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hidePivotFieldList="1"/>
  <xr:revisionPtr revIDLastSave="2989" documentId="8_{943B199A-43A5-48C7-9943-6FC8BACDF015}" xr6:coauthVersionLast="47" xr6:coauthVersionMax="47" xr10:uidLastSave="{615596DE-292F-4EFC-A052-BB8B180CC2C8}"/>
  <bookViews>
    <workbookView xWindow="-110" yWindow="-110" windowWidth="22780" windowHeight="14540" tabRatio="797" activeTab="10"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LA List" sheetId="76" state="hidden" r:id="rId17"/>
    <sheet name="Dropdown options" sheetId="78" state="hidden" r:id="rId18"/>
    <sheet name="Class check validations" sheetId="77" state="hidden" r:id="rId19"/>
    <sheet name="LA_data_prev_year" sheetId="46" state="hidden" r:id="rId20"/>
    <sheet name="NEW backsheet" sheetId="55" state="hidden" r:id="rId21"/>
    <sheet name="LA_info" sheetId="40" state="hidden" r:id="rId22"/>
    <sheet name="Validation Parameters" sheetId="4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R">!#REF!</definedName>
    <definedName name="_">"CTS+Data!$A$712:$CF$1037"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dif1" hidden="1">26</definedName>
    <definedName name="__dif2" hidden="1">{#N/A,#N/A,FALSE,"Running Costs Consolidated"}</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CTR1">!#REF!</definedName>
    <definedName name="_dif1" hidden="1">26</definedName>
    <definedName name="_dif2" hidden="1">{#N/A,#N/A,FALSE,"Running Costs Consolidated"}</definedName>
    <definedName name="_Fill" hidden="1">'[2]Forecast data'!#REF!</definedName>
    <definedName name="_xlnm._FilterDatabase" localSheetId="0" hidden="1">ContactDetails!$AC$309:$AO$720</definedName>
    <definedName name="_xlnm._FilterDatabase" localSheetId="15" hidden="1">'LA Data'!$A$2:$AR$417</definedName>
    <definedName name="_xlnm._FilterDatabase" localSheetId="16" hidden="1">'LA List'!$A$1:$M$416</definedName>
    <definedName name="_xlnm._FilterDatabase" localSheetId="19" hidden="1">LA_data_prev_year!$A$8:$C$417</definedName>
    <definedName name="_xlnm._FilterDatabase" localSheetId="14" hidden="1">Memo!$A$34:$L$732</definedName>
    <definedName name="_xlnm._FilterDatabase" localSheetId="20" hidden="1">'NEW backsheet'!$A$1:$S$2909</definedName>
    <definedName name="_xlnm._FilterDatabase" localSheetId="22" hidden="1">'Validation Parameters'!$A$1:$L$405</definedName>
    <definedName name="_xlnm._FilterDatabase" hidden="1">#REF!</definedName>
    <definedName name="_FilterDatabase_summary_table" hidden="1">#REF!</definedName>
    <definedName name="_FilterDatabase1" hidden="1">#REF!</definedName>
    <definedName name="_FliterDatabase2"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dur">[10]DATA!#REF!</definedName>
    <definedName name="AllCTR1Data">#REF!</definedName>
    <definedName name="AllCTR2Data">#REF!</definedName>
    <definedName name="ALLCTRDATA">#REF!</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'[11]4.6 ten year bonds'!$A$4</definedName>
    <definedName name="BLPH2" hidden="1">'[11]4.6 ten year bonds'!$D$4</definedName>
    <definedName name="BLPH3" hidden="1">'[11]4.6 ten year bonds'!$G$4</definedName>
    <definedName name="BLPH4" hidden="1">'[11]4.6 ten year bonds'!$J$4</definedName>
    <definedName name="BLPH5" hidden="1">'[11]4.6 ten year bonds'!$M$4</definedName>
    <definedName name="BR">[12]Precepting_Authorities!#REF!</definedName>
    <definedName name="BRprint1">!#REF!</definedName>
    <definedName name="BRprint2">!#REF!</definedName>
    <definedName name="cccc">[13]BR1_Form6!#REF!</definedName>
    <definedName name="CERDATA">[14]Section_A14!#REF!</definedName>
    <definedName name="Certifier_Selection_list">ContactDetails!$L$91:$L$93</definedName>
    <definedName name="CLASS_CHECK" localSheetId="2">RSm!$AZ$392:$BY$409</definedName>
    <definedName name="CLASS_CHECK">RS!$AR$540:$BQ$557</definedName>
    <definedName name="col_first">#REF!</definedName>
    <definedName name="CSP" hidden="1">'[15]Model inputs'!#REF!</definedName>
    <definedName name="CT" hidden="1">'[2]Forecast data'!#REF!</definedName>
    <definedName name="CTNABS" hidden="1">'[1]Model inputs'!#REF!</definedName>
    <definedName name="CTR">[16]CTR1_Form5!$N$245:$N$250</definedName>
    <definedName name="current_year">LA_info!$I$1</definedName>
    <definedName name="data_prev_year">LA_data_prev_year!$A$8:$PR$436</definedName>
    <definedName name="data_prev_year_headers">LA_data_prev_year!$A$2:$PR$2</definedName>
    <definedName name="data_val_parameters">'Validation Parameters'!$A$1:$J$405</definedName>
    <definedName name="Data1516">!#REF!</definedName>
    <definedName name="datar">[12]Precepting_Bodies!$A$5:$H$301</definedName>
    <definedName name="deadline_certify">LA_info!$F$1</definedName>
    <definedName name="deadline_provisional">LA_info!$E$1</definedName>
    <definedName name="delta_name">[17]Form!$L$1:$L$504</definedName>
    <definedName name="detruse">!#REF!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hhjfh" hidden="1">{#N/A,#N/A,FALSE,"Running Costs Consolidated"}</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tribution" hidden="1">#REF!</definedName>
    <definedName name="Drop_down_List">'[18]LA_drop-down'!$AH$148:$AH$560</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tlruse">!#REF!</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fd" hidden="1">"6BHTDRAPSAUJIHBW0OG3PW6JF"</definedName>
    <definedName name="fdgfgfd" hidden="1">{#N/A,#N/A,FALSE,"TMCOMP96";#N/A,#N/A,FALSE,"MAT96";#N/A,#N/A,FALSE,"FANDA96";#N/A,#N/A,FALSE,"INTRAN96";#N/A,#N/A,FALSE,"NAA9697";#N/A,#N/A,FALSE,"ECWEBB";#N/A,#N/A,FALSE,"MFT96";#N/A,#N/A,FALSE,"CTrecon"}</definedName>
    <definedName name="fdjg" hidden="1">{#N/A,#N/A,FALSE,"Running Costs Consolidated"}</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sdf" hidden="1">9</definedName>
    <definedName name="fyear">ContactDetails!$A$2</definedName>
    <definedName name="fyu" hidden="1">'[2]Forecast data'!#REF!</definedName>
    <definedName name="ghghg" hidden="1">{#N/A,#N/A,FALSE,"main summary";#N/A,#N/A,FALSE,"dept summary";#N/A,#N/A,FALSE,"psd";#N/A,#N/A,FALSE,"doi";#N/A,#N/A,FALSE,"other"}</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o">[19]DATA!$A$7:$AC$362</definedName>
    <definedName name="hhg" hidden="1">{#N/A,#N/A,FALSE,"main summary";#N/A,#N/A,FALSE,"dept summary";#N/A,#N/A,FALSE,"psd";#N/A,#N/A,FALSE,"doi";#N/A,#N/A,FALSE,"other"}</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'[20]Forecast 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ert">ContactDetails!$C$78</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Data'!$A$3:$AA$419</definedName>
    <definedName name="LA_name">ContactDetails!$C$21</definedName>
    <definedName name="LA_Names">'LA List'!$A$2:$A$416</definedName>
    <definedName name="la_select">[17]Form!$D$2</definedName>
    <definedName name="LAcodes">!#REF!</definedName>
    <definedName name="LAList">'[21]LA_drop-down'!$AA$1:$AA$424</definedName>
    <definedName name="LAlist2">!#REF!</definedName>
    <definedName name="MHCLG_CONTROL">'NEW backsheet'!$A$1:$G$2909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NDR1">!#REF!</definedName>
    <definedName name="NNDR1S">!#REF!</definedName>
    <definedName name="No.">!#REF!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Memo!$A$162:$D$321</definedName>
    <definedName name="notes_RO1">Memo!$A$322:$D$329</definedName>
    <definedName name="notes_RO2">Memo!$A$331:$D$366</definedName>
    <definedName name="notes_RO3">Memo!$A$368:$D$436</definedName>
    <definedName name="notes_RO4">Memo!$A$437:$D$485</definedName>
    <definedName name="notes_RO5">Memo!$A$486:$D$546</definedName>
    <definedName name="notes_RO6">Memo!$A$548:$D$609</definedName>
    <definedName name="notes_rs">Memo!$A$35:$D$147</definedName>
    <definedName name="notes_rsx">Memo!$A$148:$D$161</definedName>
    <definedName name="notes_SAR">Memo!$A$671:$D$687</definedName>
    <definedName name="notes_SARB">Memo!$A$688:$K$728</definedName>
    <definedName name="notes_SARC">Memo!$A$729:$K$732</definedName>
    <definedName name="notes_TSR">Memo!$A$610:$D$670</definedName>
    <definedName name="numberhered">!#REF!</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[22]Population!#REF!</definedName>
    <definedName name="Population" hidden="1">#REF!</definedName>
    <definedName name="pp" hidden="1">'[6]T3 Page 1'!#REF!</definedName>
    <definedName name="prev_periodcode">LA_info!$H$1</definedName>
    <definedName name="prev_year">LA_info!$G$1</definedName>
    <definedName name="PreviousYear">[23]ValidationData!$A$1:$D$7775</definedName>
    <definedName name="_xlnm.Print_Area" localSheetId="0">ContactDetails!$A$1:$N$50</definedName>
    <definedName name="_xlnm.Print_Area" localSheetId="14">Memo!$B$2:ABW$736</definedName>
    <definedName name="_xlnm.Print_Area" localSheetId="4">RG!$B$2:$O$209</definedName>
    <definedName name="_xlnm.Print_Area" localSheetId="5">'RO1'!$B$2:$P$44</definedName>
    <definedName name="_xlnm.Print_Area" localSheetId="6">'RO2'!$B$2:$P$100</definedName>
    <definedName name="_xlnm.Print_Area" localSheetId="7">'RO3'!$B$2:$P$143</definedName>
    <definedName name="_xlnm.Print_Area" localSheetId="8">'RO4'!$B$2:$P$113</definedName>
    <definedName name="_xlnm.Print_Area" localSheetId="9">'RO5'!$B$2:$P$143</definedName>
    <definedName name="_xlnm.Print_Area" localSheetId="10">'RO6'!$B$2:$P$154</definedName>
    <definedName name="_xlnm.Print_Area" localSheetId="1">RS!$B$2:$O$188</definedName>
    <definedName name="_xlnm.Print_Area" localSheetId="2">RSm!$A$2:$N$35</definedName>
    <definedName name="_xlnm.Print_Area" localSheetId="3">RSX!$B$2:$P$47</definedName>
    <definedName name="_xlnm.Print_Area" localSheetId="12">SAR!$B$2:$L$65</definedName>
    <definedName name="_xlnm.Print_Area" localSheetId="11">TSR!$B$2:$R$112</definedName>
    <definedName name="_xlnm.Print_Area">!#REF!</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RSm!$20:$32</definedName>
    <definedName name="_xlnm.Print_Titles" localSheetId="11">TSR!$21:$29</definedName>
    <definedName name="_xlnm.Print_Titles">#N/A</definedName>
    <definedName name="Prodtest" hidden="1">'[6]T3 Page 1'!#REF!</definedName>
    <definedName name="Profiles" hidden="1">#REF!</definedName>
    <definedName name="Projections" hidden="1">#REF!</definedName>
    <definedName name="QRC4R1">[13]BR1_Form6!#REF!</definedName>
    <definedName name="QRC4R10">[13]BR1_Form6!#REF!</definedName>
    <definedName name="QRC4R12">[13]BR1_Form6!#REF!</definedName>
    <definedName name="QRC4R13">[13]BR1_Form6!#REF!</definedName>
    <definedName name="QRC4R14">[13]BR1_Form6!#REF!</definedName>
    <definedName name="QRC4R15">[13]BR1_Form6!#REF!</definedName>
    <definedName name="QRC4R17">[13]BR1_Form6!#REF!</definedName>
    <definedName name="QRC4R18">[13]BR1_Form6!#REF!</definedName>
    <definedName name="QRC4R19">[13]BR1_Form6!#REF!</definedName>
    <definedName name="QRC4R20">[13]BR1_Form6!#REF!</definedName>
    <definedName name="QRC4R21">[13]BR1_Form6!#REF!</definedName>
    <definedName name="QRC4R22">[13]BR1_Form6!#REF!</definedName>
    <definedName name="QRC4R23">[13]BR1_Form6!#REF!</definedName>
    <definedName name="QRC4R24">[13]BR1_Form6!#REF!</definedName>
    <definedName name="QRC4R3">[13]BR1_Form6!#REF!</definedName>
    <definedName name="QRC4R5">[13]BR1_Form6!#REF!</definedName>
    <definedName name="QRC4R8">[13]BR1_Form6!#REF!</definedName>
    <definedName name="QRC4R9">[13]BR1_Form6!#REF!</definedName>
    <definedName name="RA_LA_DATA_23_24">#REF!</definedName>
    <definedName name="Results" hidden="1">[24]UK99!$A$1:$A$1</definedName>
    <definedName name="return_date">ContactDetails!$A$12</definedName>
    <definedName name="RG_data">RG!$A$1:$R$225</definedName>
    <definedName name="RG_Header">RG!$A$1:$R$1</definedName>
    <definedName name="RG_rows">RG!$A$1:$A$225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0" hidden="1">_xll.RiskCellHasTokens(262144+512+524288)</definedName>
    <definedName name="RiskIsInput" localSheetId="2" hidden="1">_xll.RiskCellHasTokens(262144+512+524288)</definedName>
    <definedName name="RiskIsInput" hidden="1">_xll.RiskCellHasTokens(262144+512+524288)</definedName>
    <definedName name="RiskIsOutput" localSheetId="20" hidden="1">_xll.RiskCellHasTokens(1024)</definedName>
    <definedName name="RiskIsOutput" localSheetId="2" hidden="1">_xll.RiskCellHasTokens(1024)</definedName>
    <definedName name="RiskIsOutput" hidden="1">_xll.RiskCellHasTokens(1024)</definedName>
    <definedName name="RiskIsStatistics" localSheetId="20"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'RO1'!$A$1:$S$49</definedName>
    <definedName name="RO1_Header">'RO1'!$A$1:$S$1</definedName>
    <definedName name="RO1_Headers">#REF!</definedName>
    <definedName name="RO1_rows">'RO1'!$A$1:$A$49</definedName>
    <definedName name="RO2_data">'RO2'!$A$1:$S$104</definedName>
    <definedName name="RO2_Header">'RO2'!$A$1:$S$1</definedName>
    <definedName name="RO2_Headers">#REF!</definedName>
    <definedName name="RO2_rows">'RO2'!$A$1:$A$104</definedName>
    <definedName name="RO3_data">'RO3'!$A$1:$Q$152</definedName>
    <definedName name="RO3_Header">'RO3'!$A$1:$Q$1</definedName>
    <definedName name="RO3_Headers">#REF!</definedName>
    <definedName name="RO3_rows">'RO3'!$A$1:$A$152</definedName>
    <definedName name="RO4_data">'RO4'!$A$1:$P$73</definedName>
    <definedName name="RO4_Header">'RO4'!$A$1:$Q$1</definedName>
    <definedName name="RO4_Headers">#REF!</definedName>
    <definedName name="RO4_hradata">'RO4'!$76:$106</definedName>
    <definedName name="RO4_hraHeader">'RO4'!$A$76:$P$76</definedName>
    <definedName name="RO4_hraResdata">'RO4'!$A$107:$P$110</definedName>
    <definedName name="RO4_hraResHeader">'RO4'!$A$107:$P$107</definedName>
    <definedName name="RO4_hraResRows">'RO4'!$A$107:$A$111</definedName>
    <definedName name="RO4_hraRows">'RO4'!$A$76:$A$106</definedName>
    <definedName name="RO4_rows">'RO4'!$A$1:$A$72</definedName>
    <definedName name="RO5_data">'RO5'!$A$1:$R$149</definedName>
    <definedName name="RO5_Header">'RO5'!$1:$1</definedName>
    <definedName name="RO5_Headers">#REF!</definedName>
    <definedName name="RO5_rows">'RO5'!$A$1:$A$147</definedName>
    <definedName name="RO6_data">'RO6'!$A$1:$Q$161</definedName>
    <definedName name="RO6_Header">'RO6'!$1:$1</definedName>
    <definedName name="RO6_Headers">#REF!</definedName>
    <definedName name="RO6_Other_Data">#REF!</definedName>
    <definedName name="RO6_Other_Headers">#REF!</definedName>
    <definedName name="RO6_rows">'RO6'!$A$1:$A$151</definedName>
    <definedName name="RS_data">RS!$A$1:$P$195</definedName>
    <definedName name="RS_Header">RS!$A$1:$P$1</definedName>
    <definedName name="RS_Headers">#REF!</definedName>
    <definedName name="RS_hra_Header">RS!$A$165:$P$165</definedName>
    <definedName name="RS_hra_res_Header">RS!$A$172:$P$172</definedName>
    <definedName name="RS_IAS_Header">RS!$159:$159</definedName>
    <definedName name="RS_ors_Header">RS!$A$132:$G$132</definedName>
    <definedName name="RS_res_data">RS!$A$115:$I$136</definedName>
    <definedName name="RS_res_Header">RS!$A$115:$I$115</definedName>
    <definedName name="RS_res_rows">RS!$A$115:$A$135</definedName>
    <definedName name="RS_rows">RS!$A$1:$A$195</definedName>
    <definedName name="RS_RSmdata">RSm!$A$1:$O$52</definedName>
    <definedName name="RS_RSmHeader">RSm!$A$1:$J$1</definedName>
    <definedName name="RS_RSmHeader1">RSm!$A$23:$F$23</definedName>
    <definedName name="RS_RSmrows">RSm!$A$1:$A$52</definedName>
    <definedName name="RSX_data">RSX!$A$1:$R$66</definedName>
    <definedName name="RSX_Header">RSX!$A$1:$R$1</definedName>
    <definedName name="RSX_Headers">#REF!</definedName>
    <definedName name="RSX_rows">RSX!$A$1:$A$66</definedName>
    <definedName name="s">[13]BR1_Form6!#REF!</definedName>
    <definedName name="SAPBEXrevision" hidden="1">29</definedName>
    <definedName name="SAPBEXsysID" hidden="1">"BWP"</definedName>
    <definedName name="SAPBEXwbID" hidden="1">"E21RGEGU7OCTOH4UWI364YB0C"</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 hidden="1">{#N/A,#N/A,FALSE,"Running Costs Consolidated"}</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giite" hidden="1">26</definedName>
    <definedName name="ssdsdsdsd" hidden="1">"BWQ"</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9201415">!#REF!</definedName>
    <definedName name="table1">!#REF!</definedName>
    <definedName name="Table2">!#REF!</definedName>
    <definedName name="TABLE4">!#REF!</definedName>
    <definedName name="TABLES">[25]Billing_Table7!$A$10:$S$416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TSR!$A$94:$L$107</definedName>
    <definedName name="TSR_capHeader">TSR!$A$94:$O$94</definedName>
    <definedName name="TSR_caprows">TSR!$A$94:$A$106</definedName>
    <definedName name="TSR_data">TSR!$A$1:$R$93</definedName>
    <definedName name="TSR_Header">TSR!$1:$1</definedName>
    <definedName name="TSR_Headers">#REF!</definedName>
    <definedName name="TSR_rows">TSR!$A$1:$A$93</definedName>
    <definedName name="uanumber">[23]AuthDetails!$B$1</definedName>
    <definedName name="Unused" hidden="1">'[26]SUMMARY TABLE'!$S$23:$S$46</definedName>
    <definedName name="Unused4" hidden="1">'[26]SUMMARY TABLE'!$T$23:$T$46</definedName>
    <definedName name="Unused5" hidden="1">'[26]SUMMARY TABLE'!$P$23:$P$46</definedName>
    <definedName name="Unused7" hidden="1">'[26]SUMMARY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'[26]SUMMARY TABLE'!$S$23:$S$46</definedName>
    <definedName name="Unusued24" hidden="1">#REF!</definedName>
    <definedName name="Unusued3" hidden="1">'[26]SUMMARY TABLE'!$T$23:$T$46</definedName>
    <definedName name="Unusued5" hidden="1">'[26]SUMMARY TABLE'!$Q$6:$Q$49</definedName>
    <definedName name="Unusued8" hidden="1">{#N/A,#N/A,FALSE,"TMCOMP96";#N/A,#N/A,FALSE,"MAT96";#N/A,#N/A,FALSE,"FANDA96";#N/A,#N/A,FALSE,"INTRAN96";#N/A,#N/A,FALSE,"NAA9697";#N/A,#N/A,FALSE,"ECWEBB";#N/A,#N/A,FALSE,"MFT96";#N/A,#N/A,FALSE,"CTrecon"}</definedName>
    <definedName name="upper">'RO5'!$AP$51:$AP$54</definedName>
    <definedName name="Validation">!#REF!</definedName>
    <definedName name="VOAList">[23]ValidationData!$G$2:$K$208</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we" hidden="1">{#N/A,#N/A,FALSE,"Running Costs Consolidated"}</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Cap._.Prog._.landscape." hidden="1">{#N/A,#N/A,FALSE,"main summary";#N/A,#N/A,FALSE,"dept summary";#N/A,#N/A,FALSE,"psd";#N/A,#N/A,FALSE,"doi";#N/A,#N/A,FALSE,"other"}</definedName>
    <definedName name="wrn.Consolidated." hidden="1">{#N/A,#N/A,FALSE,"Running Costs Consolidated"}</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[23]FormFrontPage!$O$3</definedName>
    <definedName name="YearForm">LA_info!$D$1</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4" i="2" l="1"/>
  <c r="F144" i="35"/>
  <c r="D89" i="45" l="1"/>
  <c r="D90" i="45"/>
  <c r="D91" i="45"/>
  <c r="D92" i="45"/>
  <c r="D93" i="45"/>
  <c r="D94" i="45"/>
  <c r="D95" i="45"/>
  <c r="D96" i="45"/>
  <c r="D97" i="45"/>
  <c r="D98" i="45"/>
  <c r="D99" i="45"/>
  <c r="D100" i="45"/>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D141" i="45" s="1"/>
  <c r="D142" i="45" s="1"/>
  <c r="D143" i="45" s="1"/>
  <c r="D144" i="45" s="1"/>
  <c r="D145" i="45" s="1"/>
  <c r="D146" i="45" s="1"/>
  <c r="D147" i="45" s="1"/>
  <c r="D148" i="45" s="1"/>
  <c r="D149" i="45" s="1"/>
  <c r="D150" i="45" s="1"/>
  <c r="D151" i="45" s="1"/>
  <c r="D152" i="45" s="1"/>
  <c r="D153" i="45" s="1"/>
  <c r="D154" i="45" s="1"/>
  <c r="D155" i="45" s="1"/>
  <c r="D156" i="45" s="1"/>
  <c r="D157" i="45" s="1"/>
  <c r="D158" i="45" s="1"/>
  <c r="D159" i="45" s="1"/>
  <c r="D160" i="45" s="1"/>
  <c r="D161" i="45" s="1"/>
  <c r="D162" i="45" s="1"/>
  <c r="D163" i="45" s="1"/>
  <c r="D164" i="45" s="1"/>
  <c r="D165" i="45" s="1"/>
  <c r="D166" i="45" s="1"/>
  <c r="D167" i="45" s="1"/>
  <c r="D168" i="45" s="1"/>
  <c r="D169" i="45" s="1"/>
  <c r="D170" i="45" s="1"/>
  <c r="D171" i="45" s="1"/>
  <c r="D172" i="45" s="1"/>
  <c r="D173" i="45" s="1"/>
  <c r="D174" i="45" s="1"/>
  <c r="D175" i="45" s="1"/>
  <c r="D176" i="45" s="1"/>
  <c r="D177" i="45" s="1"/>
  <c r="D178" i="45" s="1"/>
  <c r="D179" i="45" s="1"/>
  <c r="D180" i="45" s="1"/>
  <c r="D181" i="45" s="1"/>
  <c r="D182" i="45" s="1"/>
  <c r="D183" i="45" s="1"/>
  <c r="D184" i="45" s="1"/>
  <c r="D185" i="45" s="1"/>
  <c r="D186" i="45" s="1"/>
  <c r="D187" i="45" s="1"/>
  <c r="D188" i="45" s="1"/>
  <c r="D189" i="45" s="1"/>
  <c r="D190" i="45" s="1"/>
  <c r="D191" i="45" s="1"/>
  <c r="D192" i="45" s="1"/>
  <c r="D193" i="45" s="1"/>
  <c r="D194" i="45" s="1"/>
  <c r="D195" i="45" s="1"/>
  <c r="D196" i="45" s="1"/>
  <c r="D197" i="45" s="1"/>
  <c r="D198" i="45" s="1"/>
  <c r="D199" i="45" s="1"/>
  <c r="D200" i="45" s="1"/>
  <c r="D201" i="45" s="1"/>
  <c r="D202" i="45" s="1"/>
  <c r="D203" i="45" s="1"/>
  <c r="D204" i="45" s="1"/>
  <c r="D205" i="45" s="1"/>
  <c r="D206" i="45" s="1"/>
  <c r="D207" i="45" s="1"/>
  <c r="D208" i="45" s="1"/>
  <c r="D209" i="45" s="1"/>
  <c r="D210" i="45" s="1"/>
  <c r="D211" i="45" s="1"/>
  <c r="D212" i="45" s="1"/>
  <c r="D213" i="45" s="1"/>
  <c r="D214" i="45" s="1"/>
  <c r="D215" i="45" s="1"/>
  <c r="D216" i="45" s="1"/>
  <c r="D217" i="45" s="1"/>
  <c r="D218" i="45" s="1"/>
  <c r="D219" i="45" s="1"/>
  <c r="D220" i="45" s="1"/>
  <c r="D221" i="45" s="1"/>
  <c r="D222" i="45" s="1"/>
  <c r="D223" i="45" s="1"/>
  <c r="D224" i="45" s="1"/>
  <c r="D225" i="45" s="1"/>
  <c r="D226" i="45" s="1"/>
  <c r="D227" i="45" s="1"/>
  <c r="D228" i="45" s="1"/>
  <c r="D229" i="45" s="1"/>
  <c r="D230" i="45" s="1"/>
  <c r="D231" i="45" s="1"/>
  <c r="D232" i="45" s="1"/>
  <c r="D233" i="45" s="1"/>
  <c r="D234" i="45" s="1"/>
  <c r="D235" i="45" s="1"/>
  <c r="D236" i="45" s="1"/>
  <c r="D237" i="45" s="1"/>
  <c r="D238" i="45" s="1"/>
  <c r="D239" i="45" s="1"/>
  <c r="D240" i="45" s="1"/>
  <c r="D241" i="45" s="1"/>
  <c r="D242" i="45" s="1"/>
  <c r="D243" i="45" s="1"/>
  <c r="D244" i="45" s="1"/>
  <c r="D245" i="45" s="1"/>
  <c r="D246" i="45" s="1"/>
  <c r="D247" i="45" s="1"/>
  <c r="D248" i="45" s="1"/>
  <c r="D249" i="45" s="1"/>
  <c r="D250" i="45" s="1"/>
  <c r="D251" i="45" s="1"/>
  <c r="D252" i="45" s="1"/>
  <c r="D253" i="45" s="1"/>
  <c r="D254" i="45" s="1"/>
  <c r="D255" i="45" s="1"/>
  <c r="D256" i="45" s="1"/>
  <c r="D257" i="45" s="1"/>
  <c r="D258" i="45" s="1"/>
  <c r="D259" i="45" s="1"/>
  <c r="D260" i="45" s="1"/>
  <c r="D261" i="45" s="1"/>
  <c r="D262" i="45" s="1"/>
  <c r="D263" i="45" s="1"/>
  <c r="D264" i="45" s="1"/>
  <c r="D265" i="45" s="1"/>
  <c r="D266" i="45" s="1"/>
  <c r="D267" i="45" s="1"/>
  <c r="D268" i="45" s="1"/>
  <c r="D269" i="45" s="1"/>
  <c r="D270" i="45" s="1"/>
  <c r="D271" i="45" s="1"/>
  <c r="D272" i="45" s="1"/>
  <c r="D273" i="45" s="1"/>
  <c r="D274" i="45" s="1"/>
  <c r="D275" i="45" s="1"/>
  <c r="D276" i="45" s="1"/>
  <c r="D277" i="45" s="1"/>
  <c r="D278" i="45" s="1"/>
  <c r="D279" i="45" s="1"/>
  <c r="D280" i="45" s="1"/>
  <c r="D281" i="45" s="1"/>
  <c r="D282" i="45" s="1"/>
  <c r="D283" i="45" s="1"/>
  <c r="D284" i="45" s="1"/>
  <c r="D285" i="45" s="1"/>
  <c r="D286" i="45" s="1"/>
  <c r="D287" i="45" s="1"/>
  <c r="D288" i="45" s="1"/>
  <c r="D289" i="45" s="1"/>
  <c r="D290" i="45" s="1"/>
  <c r="D291" i="45" s="1"/>
  <c r="D292" i="45" s="1"/>
  <c r="D293" i="45" s="1"/>
  <c r="D294" i="45" s="1"/>
  <c r="D295" i="45" s="1"/>
  <c r="D296" i="45" s="1"/>
  <c r="D297" i="45" s="1"/>
  <c r="D298" i="45" s="1"/>
  <c r="D299" i="45" s="1"/>
  <c r="D300" i="45" s="1"/>
  <c r="D301" i="45" s="1"/>
  <c r="D302" i="45" s="1"/>
  <c r="D303" i="45" s="1"/>
  <c r="D304" i="45" s="1"/>
  <c r="D305" i="45" s="1"/>
  <c r="D306" i="45" s="1"/>
  <c r="D307" i="45" s="1"/>
  <c r="D308" i="45" s="1"/>
  <c r="D309" i="45" s="1"/>
  <c r="D310" i="45" s="1"/>
  <c r="D311" i="45" s="1"/>
  <c r="D312" i="45" s="1"/>
  <c r="D313" i="45" s="1"/>
  <c r="D314" i="45" s="1"/>
  <c r="D315" i="45" s="1"/>
  <c r="D316" i="45" s="1"/>
  <c r="D317" i="45" s="1"/>
  <c r="D318" i="45" s="1"/>
  <c r="D319" i="45" s="1"/>
  <c r="D320" i="45" s="1"/>
  <c r="D321" i="45" s="1"/>
  <c r="D322" i="45" s="1"/>
  <c r="D323" i="45" s="1"/>
  <c r="D324" i="45" s="1"/>
  <c r="D325" i="45" s="1"/>
  <c r="D326" i="45" s="1"/>
  <c r="D327" i="45" s="1"/>
  <c r="D328" i="45" s="1"/>
  <c r="D329" i="45" s="1"/>
  <c r="D330" i="45" s="1"/>
  <c r="D331" i="45" s="1"/>
  <c r="D332" i="45" s="1"/>
  <c r="D333" i="45" s="1"/>
  <c r="D334" i="45" s="1"/>
  <c r="D335" i="45" s="1"/>
  <c r="D336" i="45" s="1"/>
  <c r="D337" i="45" s="1"/>
  <c r="D338" i="45" s="1"/>
  <c r="D339" i="45" s="1"/>
  <c r="D340" i="45" s="1"/>
  <c r="D341" i="45" s="1"/>
  <c r="D342" i="45" s="1"/>
  <c r="D343" i="45" s="1"/>
  <c r="D344" i="45" s="1"/>
  <c r="D345" i="45" s="1"/>
  <c r="D346" i="45" s="1"/>
  <c r="D347" i="45" s="1"/>
  <c r="D348" i="45" s="1"/>
  <c r="D349" i="45" s="1"/>
  <c r="D350" i="45" s="1"/>
  <c r="D351" i="45" s="1"/>
  <c r="D352" i="45" s="1"/>
  <c r="D353" i="45" s="1"/>
  <c r="D354" i="45" s="1"/>
  <c r="D355" i="45" s="1"/>
  <c r="D356" i="45" s="1"/>
  <c r="D357" i="45" s="1"/>
  <c r="D358" i="45" s="1"/>
  <c r="D359" i="45" s="1"/>
  <c r="D360" i="45" s="1"/>
  <c r="D361" i="45" s="1"/>
  <c r="D362" i="45" s="1"/>
  <c r="D363" i="45" s="1"/>
  <c r="D364" i="45" s="1"/>
  <c r="D365" i="45" s="1"/>
  <c r="D366" i="45" s="1"/>
  <c r="D367" i="45" s="1"/>
  <c r="D368" i="45" s="1"/>
  <c r="D369" i="45" s="1"/>
  <c r="D370" i="45" s="1"/>
  <c r="D371" i="45" s="1"/>
  <c r="D372" i="45" s="1"/>
  <c r="D373" i="45" s="1"/>
  <c r="D374" i="45" s="1"/>
  <c r="D375" i="45" s="1"/>
  <c r="D376" i="45" s="1"/>
  <c r="D377" i="45" s="1"/>
  <c r="D378" i="45" s="1"/>
  <c r="D379" i="45" s="1"/>
  <c r="D380" i="45" s="1"/>
  <c r="D381" i="45" s="1"/>
  <c r="D382" i="45" s="1"/>
  <c r="D383" i="45" s="1"/>
  <c r="D384" i="45" s="1"/>
  <c r="D385" i="45" s="1"/>
  <c r="D386" i="45" s="1"/>
  <c r="D387" i="45" s="1"/>
  <c r="D388" i="45" s="1"/>
  <c r="D389" i="45" s="1"/>
  <c r="D390" i="45" s="1"/>
  <c r="D391" i="45" s="1"/>
  <c r="D392" i="45" s="1"/>
  <c r="D393" i="45" s="1"/>
  <c r="D394" i="45" s="1"/>
  <c r="D395" i="45" s="1"/>
  <c r="D396" i="45" s="1"/>
  <c r="D397" i="45" s="1"/>
  <c r="D398" i="45" s="1"/>
  <c r="D399" i="45" s="1"/>
  <c r="D400" i="45" s="1"/>
  <c r="D401" i="45" s="1"/>
  <c r="D402" i="45" s="1"/>
  <c r="D403" i="45" s="1"/>
  <c r="D404" i="45" s="1"/>
  <c r="D405" i="45" s="1"/>
  <c r="A89" i="45"/>
  <c r="A90" i="45"/>
  <c r="A91" i="45"/>
  <c r="A92" i="45"/>
  <c r="A300" i="45"/>
  <c r="A317" i="45"/>
  <c r="F25" i="49" l="1"/>
  <c r="C1123" i="55"/>
  <c r="C1124" i="55"/>
  <c r="Q96" i="34" l="1"/>
  <c r="O96" i="34"/>
  <c r="N96" i="34"/>
  <c r="A145" i="45"/>
  <c r="H46" i="37"/>
  <c r="AL96" i="34"/>
  <c r="E357" i="55" l="1"/>
  <c r="F357" i="55"/>
  <c r="J357" i="55"/>
  <c r="K357" i="55"/>
  <c r="J356" i="55"/>
  <c r="K356" i="55"/>
  <c r="E356" i="55"/>
  <c r="F356" i="55"/>
  <c r="J372" i="55"/>
  <c r="K372" i="55"/>
  <c r="E372" i="55"/>
  <c r="F372" i="55"/>
  <c r="J355" i="55"/>
  <c r="K355" i="55"/>
  <c r="E355" i="55"/>
  <c r="F355" i="55"/>
  <c r="E354" i="55"/>
  <c r="F354" i="55"/>
  <c r="J366" i="55"/>
  <c r="K366" i="55"/>
  <c r="E366" i="55"/>
  <c r="F366" i="55"/>
  <c r="J364" i="55"/>
  <c r="K364" i="55"/>
  <c r="F364" i="55"/>
  <c r="E364" i="55"/>
  <c r="B175" i="55"/>
  <c r="C356" i="55"/>
  <c r="B173" i="55"/>
  <c r="C364" i="55"/>
  <c r="B372" i="55"/>
  <c r="B178" i="55"/>
  <c r="B364" i="55"/>
  <c r="B366" i="55"/>
  <c r="B356" i="55"/>
  <c r="B357" i="55"/>
  <c r="C366" i="55"/>
  <c r="B174" i="55"/>
  <c r="B176" i="55"/>
  <c r="C355" i="55"/>
  <c r="B355" i="55"/>
  <c r="B177" i="55"/>
  <c r="C357" i="55"/>
  <c r="C372" i="55"/>
  <c r="A83" i="45" l="1"/>
  <c r="A84" i="45"/>
  <c r="H1937" i="55" l="1"/>
  <c r="J1937" i="55" s="1"/>
  <c r="H1123" i="55"/>
  <c r="J1123" i="55" s="1"/>
  <c r="H1124" i="55"/>
  <c r="J1124" i="55" s="1"/>
  <c r="H863" i="55"/>
  <c r="J863" i="55" s="1"/>
  <c r="B1937" i="55"/>
  <c r="C863" i="55"/>
  <c r="B863" i="55"/>
  <c r="B1124" i="55"/>
  <c r="B1123" i="55"/>
  <c r="K1124" i="55" l="1"/>
  <c r="K1937" i="55"/>
  <c r="K1123" i="55"/>
  <c r="K863" i="55"/>
  <c r="H65" i="34" l="1"/>
  <c r="J376" i="55" l="1"/>
  <c r="K376" i="55"/>
  <c r="J377" i="55"/>
  <c r="K377" i="55"/>
  <c r="J368" i="55"/>
  <c r="K368" i="55"/>
  <c r="J367" i="55"/>
  <c r="K367" i="55"/>
  <c r="J363" i="55"/>
  <c r="K363" i="55"/>
  <c r="J362" i="55"/>
  <c r="K362" i="55"/>
  <c r="J360" i="55"/>
  <c r="K360" i="55"/>
  <c r="C367" i="55"/>
  <c r="C368" i="55"/>
  <c r="C376" i="55"/>
  <c r="C360" i="55"/>
  <c r="C362" i="55"/>
  <c r="C363" i="55"/>
  <c r="C377" i="55"/>
  <c r="H1483" i="55" l="1"/>
  <c r="K1483" i="55" s="1"/>
  <c r="F1483" i="55"/>
  <c r="E1483" i="55"/>
  <c r="D1483" i="55"/>
  <c r="B1483" i="55"/>
  <c r="C1483" i="55"/>
  <c r="J1483" i="55" l="1"/>
  <c r="K1011" i="55" l="1"/>
  <c r="J1011" i="55"/>
  <c r="K1010" i="55"/>
  <c r="J1010" i="55"/>
  <c r="J147" i="35"/>
  <c r="H50" i="34"/>
  <c r="H984" i="55"/>
  <c r="H985" i="55"/>
  <c r="H981" i="55"/>
  <c r="J981" i="55" s="1"/>
  <c r="H982" i="55"/>
  <c r="H978" i="55"/>
  <c r="J978" i="55" s="1"/>
  <c r="H979" i="55"/>
  <c r="K979" i="55" s="1"/>
  <c r="H980" i="55"/>
  <c r="K980" i="55" s="1"/>
  <c r="H975" i="55"/>
  <c r="J975" i="55" s="1"/>
  <c r="H976" i="55"/>
  <c r="K976" i="55" s="1"/>
  <c r="H972" i="55"/>
  <c r="K972" i="55" s="1"/>
  <c r="H973" i="55"/>
  <c r="K973" i="55" s="1"/>
  <c r="H2194" i="55"/>
  <c r="J2194" i="55" s="1"/>
  <c r="H2187" i="55"/>
  <c r="J2187" i="55" s="1"/>
  <c r="H2165" i="55"/>
  <c r="K2165" i="55" s="1"/>
  <c r="H2160" i="55"/>
  <c r="K2160" i="55" s="1"/>
  <c r="H1827" i="55"/>
  <c r="K1827" i="55" s="1"/>
  <c r="H1825" i="55"/>
  <c r="J1825" i="55" s="1"/>
  <c r="H1814" i="55"/>
  <c r="K1814" i="55" s="1"/>
  <c r="H1784" i="55"/>
  <c r="K1784" i="55" s="1"/>
  <c r="H1423" i="55"/>
  <c r="K1423" i="55" s="1"/>
  <c r="H1446" i="55"/>
  <c r="H1148" i="55"/>
  <c r="J1148" i="55" s="1"/>
  <c r="H1122" i="55"/>
  <c r="J1122" i="55" s="1"/>
  <c r="H1092" i="55"/>
  <c r="J1092" i="55" s="1"/>
  <c r="H677" i="55"/>
  <c r="J677" i="55" s="1"/>
  <c r="J335" i="55"/>
  <c r="K335" i="55"/>
  <c r="K235" i="55"/>
  <c r="J235" i="55"/>
  <c r="K234" i="55"/>
  <c r="J234" i="55"/>
  <c r="K233" i="55"/>
  <c r="J233" i="55"/>
  <c r="K232" i="55"/>
  <c r="J232" i="55"/>
  <c r="K231" i="55"/>
  <c r="J231" i="55"/>
  <c r="K230" i="55"/>
  <c r="J230" i="55"/>
  <c r="K229" i="55"/>
  <c r="J229" i="55"/>
  <c r="K228" i="55"/>
  <c r="J228" i="55"/>
  <c r="K227" i="55"/>
  <c r="J227" i="55"/>
  <c r="K226" i="55"/>
  <c r="J226" i="55"/>
  <c r="K225" i="55"/>
  <c r="J225" i="55"/>
  <c r="K224" i="55"/>
  <c r="J224" i="55"/>
  <c r="K223" i="55"/>
  <c r="J223" i="55"/>
  <c r="K222" i="55"/>
  <c r="J222" i="55"/>
  <c r="H2110" i="55"/>
  <c r="K2110" i="55" s="1"/>
  <c r="H2109" i="55"/>
  <c r="K2109" i="55" s="1"/>
  <c r="H2108" i="55"/>
  <c r="K2108" i="55" s="1"/>
  <c r="H2107" i="55"/>
  <c r="J2107" i="55" s="1"/>
  <c r="H2106" i="55"/>
  <c r="K2106" i="55" s="1"/>
  <c r="H2105" i="55"/>
  <c r="K2105" i="55" s="1"/>
  <c r="H2104" i="55"/>
  <c r="K2104" i="55" s="1"/>
  <c r="H2103" i="55"/>
  <c r="K2103" i="55" s="1"/>
  <c r="H2102" i="55"/>
  <c r="K2102" i="55" s="1"/>
  <c r="H2101" i="55"/>
  <c r="J2101" i="55" s="1"/>
  <c r="H2100" i="55"/>
  <c r="K2100" i="55" s="1"/>
  <c r="H2099" i="55"/>
  <c r="K2099" i="55" s="1"/>
  <c r="H2098" i="55"/>
  <c r="K2098" i="55" s="1"/>
  <c r="H2097" i="55"/>
  <c r="K2097" i="55" s="1"/>
  <c r="H2096" i="55"/>
  <c r="K2096" i="55" s="1"/>
  <c r="H2095" i="55"/>
  <c r="K2095" i="55" s="1"/>
  <c r="H2094" i="55"/>
  <c r="K2094" i="55" s="1"/>
  <c r="H2093" i="55"/>
  <c r="K2093" i="55" s="1"/>
  <c r="H2092" i="55"/>
  <c r="K2092" i="55" s="1"/>
  <c r="H2091" i="55"/>
  <c r="J2091" i="55" s="1"/>
  <c r="H2090" i="55"/>
  <c r="J2090" i="55" s="1"/>
  <c r="H2089" i="55"/>
  <c r="K2089" i="55" s="1"/>
  <c r="H2088" i="55"/>
  <c r="K2088" i="55" s="1"/>
  <c r="H2087" i="55"/>
  <c r="K2087" i="55" s="1"/>
  <c r="H2086" i="55"/>
  <c r="K2086" i="55" s="1"/>
  <c r="H1715" i="55"/>
  <c r="K1715" i="55" s="1"/>
  <c r="H1714" i="55"/>
  <c r="K1714" i="55" s="1"/>
  <c r="H1713" i="55"/>
  <c r="H1712" i="55"/>
  <c r="K1712" i="55" s="1"/>
  <c r="H1711" i="55"/>
  <c r="K1711" i="55" s="1"/>
  <c r="H1710" i="55"/>
  <c r="K1710" i="55" s="1"/>
  <c r="H1709" i="55"/>
  <c r="H1708" i="55"/>
  <c r="J1708" i="55" s="1"/>
  <c r="H1707" i="55"/>
  <c r="K1707" i="55" s="1"/>
  <c r="H1706" i="55"/>
  <c r="K1706" i="55" s="1"/>
  <c r="H1705" i="55"/>
  <c r="H1704" i="55"/>
  <c r="K1704" i="55" s="1"/>
  <c r="H1703" i="55"/>
  <c r="K1703" i="55" s="1"/>
  <c r="H1702" i="55"/>
  <c r="H1701" i="55"/>
  <c r="J1701" i="55" s="1"/>
  <c r="H1700" i="55"/>
  <c r="K1700" i="55" s="1"/>
  <c r="H1699" i="55"/>
  <c r="K1699" i="55" s="1"/>
  <c r="H1698" i="55"/>
  <c r="H1697" i="55"/>
  <c r="K1697" i="55" s="1"/>
  <c r="H1696" i="55"/>
  <c r="K1696" i="55" s="1"/>
  <c r="H1695" i="55"/>
  <c r="K1695" i="55" s="1"/>
  <c r="H1694" i="55"/>
  <c r="H1693" i="55"/>
  <c r="J1693" i="55" s="1"/>
  <c r="H1692" i="55"/>
  <c r="K1692" i="55" s="1"/>
  <c r="H1691" i="55"/>
  <c r="K1691" i="55" s="1"/>
  <c r="H1690" i="55"/>
  <c r="H1689" i="55"/>
  <c r="K1689" i="55" s="1"/>
  <c r="H1688" i="55"/>
  <c r="K1688" i="55" s="1"/>
  <c r="H1687" i="55"/>
  <c r="K1687" i="55" s="1"/>
  <c r="H1686" i="55"/>
  <c r="H1685" i="55"/>
  <c r="J1685" i="55" s="1"/>
  <c r="H1684" i="55"/>
  <c r="K1684" i="55" s="1"/>
  <c r="H1683" i="55"/>
  <c r="K1683" i="55" s="1"/>
  <c r="H1682" i="55"/>
  <c r="H1681" i="55"/>
  <c r="K1681" i="55" s="1"/>
  <c r="H1680" i="55"/>
  <c r="K1680" i="55" s="1"/>
  <c r="H1679" i="55"/>
  <c r="K1679" i="55" s="1"/>
  <c r="H1678" i="55"/>
  <c r="H1677" i="55"/>
  <c r="J1677" i="55" s="1"/>
  <c r="H1676" i="55"/>
  <c r="K1676" i="55" s="1"/>
  <c r="H1675" i="55"/>
  <c r="K1675" i="55" s="1"/>
  <c r="H1674" i="55"/>
  <c r="K1674" i="55" s="1"/>
  <c r="H1673" i="55"/>
  <c r="K1673" i="55" s="1"/>
  <c r="H1672" i="55"/>
  <c r="K1672" i="55" s="1"/>
  <c r="H1671" i="55"/>
  <c r="H1670" i="55"/>
  <c r="J1670" i="55" s="1"/>
  <c r="H1669" i="55"/>
  <c r="K1669" i="55" s="1"/>
  <c r="H1668" i="55"/>
  <c r="K1668" i="55" s="1"/>
  <c r="H1667" i="55"/>
  <c r="H1666" i="55"/>
  <c r="K1666" i="55" s="1"/>
  <c r="H1665" i="55"/>
  <c r="K1665" i="55" s="1"/>
  <c r="H1664" i="55"/>
  <c r="K1664" i="55" s="1"/>
  <c r="H1663" i="55"/>
  <c r="H1662" i="55"/>
  <c r="J1662" i="55" s="1"/>
  <c r="H1661" i="55"/>
  <c r="K1661" i="55" s="1"/>
  <c r="H1378" i="55"/>
  <c r="K1378" i="55" s="1"/>
  <c r="H1377" i="55"/>
  <c r="K1377" i="55" s="1"/>
  <c r="H1376" i="55"/>
  <c r="K1376" i="55" s="1"/>
  <c r="H1375" i="55"/>
  <c r="K1375" i="55" s="1"/>
  <c r="H1374" i="55"/>
  <c r="K1374" i="55" s="1"/>
  <c r="H1373" i="55"/>
  <c r="K1373" i="55" s="1"/>
  <c r="H1372" i="55"/>
  <c r="K1372" i="55" s="1"/>
  <c r="H1371" i="55"/>
  <c r="K1371" i="55" s="1"/>
  <c r="H1370" i="55"/>
  <c r="K1370" i="55" s="1"/>
  <c r="H1369" i="55"/>
  <c r="K1369" i="55" s="1"/>
  <c r="H1368" i="55"/>
  <c r="J1368" i="55" s="1"/>
  <c r="H1367" i="55"/>
  <c r="K1367" i="55" s="1"/>
  <c r="H1366" i="55"/>
  <c r="J1366" i="55" s="1"/>
  <c r="H1365" i="55"/>
  <c r="K1365" i="55" s="1"/>
  <c r="H1364" i="55"/>
  <c r="K1364" i="55" s="1"/>
  <c r="H1363" i="55"/>
  <c r="K1363" i="55" s="1"/>
  <c r="H1362" i="55"/>
  <c r="K1362" i="55" s="1"/>
  <c r="H1361" i="55"/>
  <c r="K1361" i="55" s="1"/>
  <c r="H1360" i="55"/>
  <c r="J1360" i="55" s="1"/>
  <c r="H1359" i="55"/>
  <c r="K1359" i="55" s="1"/>
  <c r="H1358" i="55"/>
  <c r="K1358" i="55" s="1"/>
  <c r="H1357" i="55"/>
  <c r="K1357" i="55" s="1"/>
  <c r="H1009" i="55"/>
  <c r="K1009" i="55" s="1"/>
  <c r="H1008" i="55"/>
  <c r="K1008" i="55" s="1"/>
  <c r="H1007" i="55"/>
  <c r="K1007" i="55" s="1"/>
  <c r="H1006" i="55"/>
  <c r="K1006" i="55" s="1"/>
  <c r="H1005" i="55"/>
  <c r="K1005" i="55" s="1"/>
  <c r="H1004" i="55"/>
  <c r="K1004" i="55" s="1"/>
  <c r="H1003" i="55"/>
  <c r="K1003" i="55" s="1"/>
  <c r="H1002" i="55"/>
  <c r="K1002" i="55" s="1"/>
  <c r="H1001" i="55"/>
  <c r="K1001" i="55" s="1"/>
  <c r="H1000" i="55"/>
  <c r="K1000" i="55" s="1"/>
  <c r="H999" i="55"/>
  <c r="K999" i="55" s="1"/>
  <c r="H998" i="55"/>
  <c r="K998" i="55" s="1"/>
  <c r="H997" i="55"/>
  <c r="K997" i="55" s="1"/>
  <c r="H996" i="55"/>
  <c r="K996" i="55" s="1"/>
  <c r="H995" i="55"/>
  <c r="K995" i="55" s="1"/>
  <c r="H994" i="55"/>
  <c r="K994" i="55" s="1"/>
  <c r="H993" i="55"/>
  <c r="K993" i="55" s="1"/>
  <c r="H992" i="55"/>
  <c r="K992" i="55" s="1"/>
  <c r="H991" i="55"/>
  <c r="K991" i="55" s="1"/>
  <c r="H990" i="55"/>
  <c r="K990" i="55" s="1"/>
  <c r="H989" i="55"/>
  <c r="K989" i="55" s="1"/>
  <c r="H988" i="55"/>
  <c r="K988" i="55" s="1"/>
  <c r="H987" i="55"/>
  <c r="K987" i="55" s="1"/>
  <c r="H986" i="55"/>
  <c r="K986" i="55" s="1"/>
  <c r="H983" i="55"/>
  <c r="K983" i="55" s="1"/>
  <c r="H977" i="55"/>
  <c r="K977" i="55" s="1"/>
  <c r="H974" i="55"/>
  <c r="J974" i="55" s="1"/>
  <c r="H971" i="55"/>
  <c r="K971" i="55" s="1"/>
  <c r="H970" i="55"/>
  <c r="J970" i="55" s="1"/>
  <c r="H969" i="55"/>
  <c r="K969" i="55" s="1"/>
  <c r="H968" i="55"/>
  <c r="K968" i="55" s="1"/>
  <c r="H967" i="55"/>
  <c r="J967" i="55" s="1"/>
  <c r="H966" i="55"/>
  <c r="J966" i="55" s="1"/>
  <c r="H965" i="55"/>
  <c r="K965" i="55" s="1"/>
  <c r="H964" i="55"/>
  <c r="K964" i="55" s="1"/>
  <c r="H963" i="55"/>
  <c r="K963" i="55" s="1"/>
  <c r="H962" i="55"/>
  <c r="J962" i="55" s="1"/>
  <c r="H961" i="55"/>
  <c r="K961" i="55" s="1"/>
  <c r="H960" i="55"/>
  <c r="K960" i="55" s="1"/>
  <c r="H959" i="55"/>
  <c r="J959" i="55" s="1"/>
  <c r="H958" i="55"/>
  <c r="J958" i="55" s="1"/>
  <c r="H957" i="55"/>
  <c r="J957" i="55" s="1"/>
  <c r="H956" i="55"/>
  <c r="J956" i="55" s="1"/>
  <c r="H955" i="55"/>
  <c r="K955" i="55" s="1"/>
  <c r="H954" i="55"/>
  <c r="K954" i="55" s="1"/>
  <c r="H953" i="55"/>
  <c r="K953" i="55" s="1"/>
  <c r="H952" i="55"/>
  <c r="K952" i="55" s="1"/>
  <c r="H951" i="55"/>
  <c r="J951" i="55" s="1"/>
  <c r="H950" i="55"/>
  <c r="J950" i="55" s="1"/>
  <c r="H949" i="55"/>
  <c r="K949" i="55" s="1"/>
  <c r="H948" i="55"/>
  <c r="K948" i="55" s="1"/>
  <c r="H947" i="55"/>
  <c r="K947" i="55" s="1"/>
  <c r="H946" i="55"/>
  <c r="K946" i="55" s="1"/>
  <c r="H945" i="55"/>
  <c r="J945" i="55" s="1"/>
  <c r="J982" i="55" l="1"/>
  <c r="K982" i="55"/>
  <c r="J985" i="55"/>
  <c r="K985" i="55"/>
  <c r="J984" i="55"/>
  <c r="K984" i="55"/>
  <c r="K981" i="55"/>
  <c r="J979" i="55"/>
  <c r="K978" i="55"/>
  <c r="K2194" i="55"/>
  <c r="J976" i="55"/>
  <c r="K975" i="55"/>
  <c r="J972" i="55"/>
  <c r="J973" i="55"/>
  <c r="J2165" i="55"/>
  <c r="K2187" i="55"/>
  <c r="J2160" i="55"/>
  <c r="J1827" i="55"/>
  <c r="K1825" i="55"/>
  <c r="J1784" i="55"/>
  <c r="J1814" i="55"/>
  <c r="J1423" i="55"/>
  <c r="K1148" i="55"/>
  <c r="K1122" i="55"/>
  <c r="K1092" i="55"/>
  <c r="K677" i="55"/>
  <c r="J2099" i="55"/>
  <c r="K2091" i="55"/>
  <c r="K2107" i="55"/>
  <c r="J2103" i="55"/>
  <c r="J2088" i="55"/>
  <c r="J2095" i="55"/>
  <c r="J2110" i="55"/>
  <c r="J2093" i="55"/>
  <c r="J2097" i="55"/>
  <c r="J2105" i="55"/>
  <c r="J2109" i="55"/>
  <c r="K2090" i="55"/>
  <c r="K2101" i="55"/>
  <c r="J2087" i="55"/>
  <c r="J2094" i="55"/>
  <c r="J2098" i="55"/>
  <c r="J2102" i="55"/>
  <c r="J2106" i="55"/>
  <c r="J2086" i="55"/>
  <c r="J2089" i="55"/>
  <c r="J2092" i="55"/>
  <c r="J2096" i="55"/>
  <c r="J2100" i="55"/>
  <c r="J2104" i="55"/>
  <c r="J2108" i="55"/>
  <c r="K1685" i="55"/>
  <c r="K1677" i="55"/>
  <c r="K1662" i="55"/>
  <c r="K1693" i="55"/>
  <c r="K1708" i="55"/>
  <c r="K1670" i="55"/>
  <c r="K1701" i="55"/>
  <c r="K1678" i="55"/>
  <c r="J1678" i="55"/>
  <c r="K1709" i="55"/>
  <c r="J1709" i="55"/>
  <c r="J1704" i="55"/>
  <c r="K1667" i="55"/>
  <c r="J1667" i="55"/>
  <c r="K1682" i="55"/>
  <c r="J1682" i="55"/>
  <c r="K1690" i="55"/>
  <c r="J1690" i="55"/>
  <c r="K1698" i="55"/>
  <c r="J1698" i="55"/>
  <c r="K1705" i="55"/>
  <c r="J1705" i="55"/>
  <c r="K1713" i="55"/>
  <c r="J1713" i="55"/>
  <c r="K1663" i="55"/>
  <c r="J1663" i="55"/>
  <c r="K1694" i="55"/>
  <c r="J1694" i="55"/>
  <c r="K1671" i="55"/>
  <c r="J1671" i="55"/>
  <c r="K1686" i="55"/>
  <c r="J1686" i="55"/>
  <c r="K1702" i="55"/>
  <c r="J1702" i="55"/>
  <c r="J1666" i="55"/>
  <c r="J1674" i="55"/>
  <c r="J1681" i="55"/>
  <c r="J1689" i="55"/>
  <c r="J1697" i="55"/>
  <c r="J1712" i="55"/>
  <c r="J1664" i="55"/>
  <c r="J1668" i="55"/>
  <c r="J1672" i="55"/>
  <c r="J1675" i="55"/>
  <c r="J1679" i="55"/>
  <c r="J1683" i="55"/>
  <c r="J1687" i="55"/>
  <c r="J1691" i="55"/>
  <c r="J1695" i="55"/>
  <c r="J1699" i="55"/>
  <c r="J1703" i="55"/>
  <c r="J1706" i="55"/>
  <c r="J1710" i="55"/>
  <c r="J1714" i="55"/>
  <c r="J1661" i="55"/>
  <c r="J1665" i="55"/>
  <c r="J1669" i="55"/>
  <c r="J1673" i="55"/>
  <c r="J1676" i="55"/>
  <c r="J1680" i="55"/>
  <c r="J1684" i="55"/>
  <c r="J1688" i="55"/>
  <c r="J1692" i="55"/>
  <c r="J1696" i="55"/>
  <c r="J1700" i="55"/>
  <c r="J1707" i="55"/>
  <c r="J1711" i="55"/>
  <c r="J1715" i="55"/>
  <c r="J1358" i="55"/>
  <c r="J1374" i="55"/>
  <c r="K1366" i="55"/>
  <c r="J1362" i="55"/>
  <c r="J1370" i="55"/>
  <c r="J1378" i="55"/>
  <c r="K1368" i="55"/>
  <c r="J1377" i="55"/>
  <c r="J1364" i="55"/>
  <c r="J1372" i="55"/>
  <c r="K1360" i="55"/>
  <c r="J1357" i="55"/>
  <c r="J1376" i="55"/>
  <c r="J1361" i="55"/>
  <c r="J1365" i="55"/>
  <c r="J1369" i="55"/>
  <c r="J1373" i="55"/>
  <c r="J1359" i="55"/>
  <c r="J1363" i="55"/>
  <c r="J1367" i="55"/>
  <c r="J1371" i="55"/>
  <c r="J1375" i="55"/>
  <c r="K945" i="55"/>
  <c r="K951" i="55"/>
  <c r="J955" i="55"/>
  <c r="K957" i="55"/>
  <c r="J946" i="55"/>
  <c r="J952" i="55"/>
  <c r="J954" i="55"/>
  <c r="J977" i="55"/>
  <c r="J988" i="55"/>
  <c r="J992" i="55"/>
  <c r="J996" i="55"/>
  <c r="J999" i="55"/>
  <c r="J1002" i="55"/>
  <c r="J1006" i="55"/>
  <c r="J986" i="55"/>
  <c r="J989" i="55"/>
  <c r="J993" i="55"/>
  <c r="J997" i="55"/>
  <c r="J1003" i="55"/>
  <c r="J1007" i="55"/>
  <c r="J983" i="55"/>
  <c r="J990" i="55"/>
  <c r="J994" i="55"/>
  <c r="J998" i="55"/>
  <c r="J1000" i="55"/>
  <c r="J1004" i="55"/>
  <c r="J1008" i="55"/>
  <c r="J980" i="55"/>
  <c r="J987" i="55"/>
  <c r="J991" i="55"/>
  <c r="J995" i="55"/>
  <c r="J1001" i="55"/>
  <c r="J1005" i="55"/>
  <c r="J1009" i="55"/>
  <c r="J948" i="55"/>
  <c r="J949" i="55"/>
  <c r="K950" i="55"/>
  <c r="K956" i="55"/>
  <c r="J947" i="55"/>
  <c r="J953" i="55"/>
  <c r="K962" i="55"/>
  <c r="K966" i="55"/>
  <c r="K958" i="55"/>
  <c r="K970" i="55"/>
  <c r="K974" i="55"/>
  <c r="J963" i="55"/>
  <c r="K959" i="55"/>
  <c r="K967" i="55"/>
  <c r="J960" i="55"/>
  <c r="J964" i="55"/>
  <c r="J968" i="55"/>
  <c r="J971" i="55"/>
  <c r="J961" i="55"/>
  <c r="J965" i="55"/>
  <c r="J969" i="55"/>
  <c r="H33" i="33" l="1"/>
  <c r="H624" i="55"/>
  <c r="K624" i="55" s="1"/>
  <c r="H623" i="55"/>
  <c r="J623" i="55" s="1"/>
  <c r="H622" i="55"/>
  <c r="J622" i="55" s="1"/>
  <c r="H621" i="55"/>
  <c r="K621" i="55" s="1"/>
  <c r="H620" i="55"/>
  <c r="K620" i="55" s="1"/>
  <c r="H619" i="55"/>
  <c r="K619" i="55" s="1"/>
  <c r="H618" i="55"/>
  <c r="J618" i="55" s="1"/>
  <c r="H617" i="55"/>
  <c r="J617" i="55" s="1"/>
  <c r="H616" i="55"/>
  <c r="K616" i="55" s="1"/>
  <c r="H615" i="55"/>
  <c r="K615" i="55" s="1"/>
  <c r="H614" i="55"/>
  <c r="K614" i="55" s="1"/>
  <c r="H613" i="55"/>
  <c r="K613" i="55" s="1"/>
  <c r="H612" i="55"/>
  <c r="K612" i="55" s="1"/>
  <c r="H611" i="55"/>
  <c r="J611" i="55" s="1"/>
  <c r="H610" i="55"/>
  <c r="J610" i="55" s="1"/>
  <c r="H609" i="55"/>
  <c r="K609" i="55" s="1"/>
  <c r="H608" i="55"/>
  <c r="K608" i="55" s="1"/>
  <c r="H607" i="55"/>
  <c r="K607" i="55" s="1"/>
  <c r="H606" i="55"/>
  <c r="J606" i="55" s="1"/>
  <c r="H605" i="55"/>
  <c r="J605" i="55" s="1"/>
  <c r="H604" i="55"/>
  <c r="K604" i="55" s="1"/>
  <c r="H603" i="55"/>
  <c r="J603" i="55" s="1"/>
  <c r="H602" i="55"/>
  <c r="K602" i="55" s="1"/>
  <c r="J602" i="55" l="1"/>
  <c r="J604" i="55"/>
  <c r="J621" i="55"/>
  <c r="J624" i="55"/>
  <c r="J607" i="55"/>
  <c r="J608" i="55"/>
  <c r="J612" i="55"/>
  <c r="J609" i="55"/>
  <c r="J620" i="55"/>
  <c r="K603" i="55"/>
  <c r="K605" i="55"/>
  <c r="J613" i="55"/>
  <c r="J614" i="55"/>
  <c r="J615" i="55"/>
  <c r="J616" i="55"/>
  <c r="J619" i="55"/>
  <c r="K617" i="55"/>
  <c r="K606" i="55"/>
  <c r="K618" i="55"/>
  <c r="K610" i="55"/>
  <c r="K622" i="55"/>
  <c r="K611" i="55"/>
  <c r="K623" i="55"/>
  <c r="J321" i="55"/>
  <c r="K321" i="55"/>
  <c r="J320" i="55"/>
  <c r="K320" i="55"/>
  <c r="J319" i="55"/>
  <c r="K319" i="55"/>
  <c r="J318" i="55"/>
  <c r="K318" i="55"/>
  <c r="J317" i="55"/>
  <c r="K317" i="55"/>
  <c r="J316" i="55"/>
  <c r="K316" i="55"/>
  <c r="J315" i="55" l="1"/>
  <c r="K315" i="55"/>
  <c r="H151" i="37"/>
  <c r="H121" i="37" s="1"/>
  <c r="H42" i="30"/>
  <c r="H41" i="30"/>
  <c r="H44" i="30" l="1"/>
  <c r="H93" i="37"/>
  <c r="H131" i="35"/>
  <c r="H104" i="35"/>
  <c r="H53" i="35"/>
  <c r="H121" i="33"/>
  <c r="H85" i="33"/>
  <c r="H45" i="33"/>
  <c r="H65" i="32"/>
  <c r="H41" i="10"/>
  <c r="F33" i="33"/>
  <c r="F78" i="4"/>
  <c r="F76" i="4" s="1"/>
  <c r="G37" i="10"/>
  <c r="G125" i="4"/>
  <c r="B19" i="36"/>
  <c r="B19" i="38"/>
  <c r="B19" i="37"/>
  <c r="B19" i="35"/>
  <c r="B19" i="34"/>
  <c r="B19" i="33"/>
  <c r="B19" i="32"/>
  <c r="B19" i="10"/>
  <c r="B19" i="2"/>
  <c r="B19" i="30"/>
  <c r="B19" i="4"/>
  <c r="G109" i="55"/>
  <c r="G121" i="55"/>
  <c r="H40" i="30" l="1"/>
  <c r="H36" i="30"/>
  <c r="H33" i="30"/>
  <c r="H32" i="30"/>
  <c r="H43" i="30"/>
  <c r="H39" i="30"/>
  <c r="H38" i="30"/>
  <c r="H35" i="30"/>
  <c r="H34" i="30"/>
  <c r="H37" i="30"/>
  <c r="J104" i="37"/>
  <c r="H140" i="35"/>
  <c r="J105" i="37" s="1"/>
  <c r="V18" i="77"/>
  <c r="V17" i="77"/>
  <c r="V16" i="77"/>
  <c r="V15" i="77"/>
  <c r="V14" i="77"/>
  <c r="V13" i="77"/>
  <c r="V12" i="77"/>
  <c r="V11" i="77"/>
  <c r="V10" i="77"/>
  <c r="V9" i="77"/>
  <c r="V8" i="77"/>
  <c r="V7" i="77"/>
  <c r="V6" i="77"/>
  <c r="V5" i="77"/>
  <c r="V4" i="77"/>
  <c r="T18" i="77"/>
  <c r="T17" i="77"/>
  <c r="T16" i="77"/>
  <c r="T15" i="77"/>
  <c r="T14" i="77"/>
  <c r="T13" i="77"/>
  <c r="T12" i="77"/>
  <c r="T11" i="77"/>
  <c r="T10" i="77"/>
  <c r="T9" i="77"/>
  <c r="T8" i="77"/>
  <c r="T7" i="77"/>
  <c r="T6" i="77"/>
  <c r="T5" i="77"/>
  <c r="T4" i="77"/>
  <c r="S18" i="77"/>
  <c r="S17" i="77"/>
  <c r="S16" i="77"/>
  <c r="S15" i="77"/>
  <c r="S14" i="77"/>
  <c r="S13" i="77"/>
  <c r="S12" i="77"/>
  <c r="S11" i="77"/>
  <c r="S10" i="77"/>
  <c r="S9" i="77"/>
  <c r="S8" i="77"/>
  <c r="S7" i="77"/>
  <c r="S6" i="77"/>
  <c r="S5" i="77"/>
  <c r="S4" i="77"/>
  <c r="R15" i="77"/>
  <c r="R13" i="77"/>
  <c r="R10" i="77"/>
  <c r="R9" i="77"/>
  <c r="R8" i="77"/>
  <c r="R7" i="77"/>
  <c r="R6" i="77"/>
  <c r="R5" i="77"/>
  <c r="R4" i="77"/>
  <c r="Q18" i="77"/>
  <c r="Q17" i="77"/>
  <c r="Q16" i="77"/>
  <c r="Q15" i="77"/>
  <c r="Q14" i="77"/>
  <c r="Q13" i="77"/>
  <c r="Q12" i="77"/>
  <c r="Q11" i="77"/>
  <c r="Q10" i="77"/>
  <c r="Q9" i="77"/>
  <c r="Q8" i="77"/>
  <c r="Q7" i="77"/>
  <c r="Q5" i="77"/>
  <c r="Q4" i="77"/>
  <c r="P18" i="77"/>
  <c r="P17" i="77"/>
  <c r="P16" i="77"/>
  <c r="P15" i="77"/>
  <c r="P14" i="77"/>
  <c r="P13" i="77"/>
  <c r="P12" i="77"/>
  <c r="P11" i="77"/>
  <c r="P10" i="77"/>
  <c r="P9" i="77"/>
  <c r="P8" i="77"/>
  <c r="P7" i="77"/>
  <c r="P6" i="77"/>
  <c r="P5" i="77"/>
  <c r="P4" i="77"/>
  <c r="O18" i="77"/>
  <c r="O14" i="77"/>
  <c r="O13" i="77"/>
  <c r="O9" i="77"/>
  <c r="O8" i="77"/>
  <c r="O7" i="77"/>
  <c r="O5" i="77"/>
  <c r="O4" i="77"/>
  <c r="N18" i="77"/>
  <c r="N17" i="77"/>
  <c r="N16" i="77"/>
  <c r="N15" i="77"/>
  <c r="N14" i="77"/>
  <c r="N13" i="77"/>
  <c r="N12" i="77"/>
  <c r="N11" i="77"/>
  <c r="N10" i="77"/>
  <c r="N9" i="77"/>
  <c r="N8" i="77"/>
  <c r="N7" i="77"/>
  <c r="N6" i="77"/>
  <c r="N5" i="77"/>
  <c r="N4" i="77"/>
  <c r="M18" i="77"/>
  <c r="M17" i="77"/>
  <c r="M16" i="77"/>
  <c r="M15" i="77"/>
  <c r="M13" i="77"/>
  <c r="M9" i="77"/>
  <c r="M8" i="77"/>
  <c r="M7" i="77"/>
  <c r="M6" i="77"/>
  <c r="M5" i="77"/>
  <c r="M4" i="77"/>
  <c r="L18" i="77"/>
  <c r="L17" i="77"/>
  <c r="L16" i="77"/>
  <c r="L15" i="77"/>
  <c r="L14" i="77"/>
  <c r="L13" i="77"/>
  <c r="L12" i="77"/>
  <c r="L11" i="77"/>
  <c r="L10" i="77"/>
  <c r="L9" i="77"/>
  <c r="L8" i="77"/>
  <c r="L7" i="77"/>
  <c r="L6" i="77"/>
  <c r="L5" i="77"/>
  <c r="L4" i="77"/>
  <c r="H45" i="30" l="1"/>
  <c r="A322" i="45"/>
  <c r="B1691" i="55"/>
  <c r="C223" i="55"/>
  <c r="B983" i="55"/>
  <c r="C233" i="55"/>
  <c r="B1366" i="55"/>
  <c r="C607" i="55"/>
  <c r="C1703" i="55"/>
  <c r="C962" i="55"/>
  <c r="B1672" i="55"/>
  <c r="B1710" i="55"/>
  <c r="C2194" i="55"/>
  <c r="B318" i="55"/>
  <c r="C1674" i="55"/>
  <c r="B610" i="55"/>
  <c r="C606" i="55"/>
  <c r="C1713" i="55"/>
  <c r="B951" i="55"/>
  <c r="B955" i="55"/>
  <c r="C1664" i="55"/>
  <c r="B950" i="55"/>
  <c r="B953" i="55"/>
  <c r="C608" i="55"/>
  <c r="C1676" i="55"/>
  <c r="C1375" i="55"/>
  <c r="B988" i="55"/>
  <c r="B1825" i="55"/>
  <c r="B315" i="55"/>
  <c r="B2104" i="55"/>
  <c r="B2110" i="55"/>
  <c r="B2187" i="55"/>
  <c r="C222" i="55"/>
  <c r="B1367" i="55"/>
  <c r="B1010" i="55"/>
  <c r="C957" i="55"/>
  <c r="B952" i="55"/>
  <c r="B1712" i="55"/>
  <c r="B319" i="55"/>
  <c r="C945" i="55"/>
  <c r="C2092" i="55"/>
  <c r="C1710" i="55"/>
  <c r="C1706" i="55"/>
  <c r="C995" i="55"/>
  <c r="B2092" i="55"/>
  <c r="B617" i="55"/>
  <c r="B611" i="55"/>
  <c r="B1713" i="55"/>
  <c r="C1011" i="55"/>
  <c r="C1687" i="55"/>
  <c r="C1705" i="55"/>
  <c r="C1376" i="55"/>
  <c r="C2086" i="55"/>
  <c r="B2108" i="55"/>
  <c r="C1697" i="55"/>
  <c r="B977" i="55"/>
  <c r="B1682" i="55"/>
  <c r="C1362" i="55"/>
  <c r="B1663" i="55"/>
  <c r="B604" i="55"/>
  <c r="C610" i="55"/>
  <c r="B1699" i="55"/>
  <c r="B1703" i="55"/>
  <c r="B961" i="55"/>
  <c r="C611" i="55"/>
  <c r="B2090" i="55"/>
  <c r="B2100" i="55"/>
  <c r="B2102" i="55"/>
  <c r="B1706" i="55"/>
  <c r="B1376" i="55"/>
  <c r="B1092" i="55"/>
  <c r="B2194" i="55"/>
  <c r="C1377" i="55"/>
  <c r="C1701" i="55"/>
  <c r="C1366" i="55"/>
  <c r="B606" i="55"/>
  <c r="B231" i="55"/>
  <c r="B948" i="55"/>
  <c r="B226" i="55"/>
  <c r="B1680" i="55"/>
  <c r="C1005" i="55"/>
  <c r="B1668" i="55"/>
  <c r="B1814" i="55"/>
  <c r="B986" i="55"/>
  <c r="C229" i="55"/>
  <c r="B2088" i="55"/>
  <c r="B224" i="55"/>
  <c r="C1661" i="55"/>
  <c r="B1002" i="55"/>
  <c r="B1009" i="55"/>
  <c r="C1669" i="55"/>
  <c r="B1003" i="55"/>
  <c r="B994" i="55"/>
  <c r="C1361" i="55"/>
  <c r="C998" i="55"/>
  <c r="B1363" i="55"/>
  <c r="B1711" i="55"/>
  <c r="C948" i="55"/>
  <c r="B624" i="55"/>
  <c r="C2160" i="55"/>
  <c r="B954" i="55"/>
  <c r="C1671" i="55"/>
  <c r="C1678" i="55"/>
  <c r="C1696" i="55"/>
  <c r="B1677" i="55"/>
  <c r="B1000" i="55"/>
  <c r="B1362" i="55"/>
  <c r="C2102" i="55"/>
  <c r="B1665" i="55"/>
  <c r="B1357" i="55"/>
  <c r="C1663" i="55"/>
  <c r="B956" i="55"/>
  <c r="B1688" i="55"/>
  <c r="B2101" i="55"/>
  <c r="C677" i="55"/>
  <c r="C1707" i="55"/>
  <c r="C316" i="55"/>
  <c r="C1000" i="55"/>
  <c r="C1369" i="55"/>
  <c r="C605" i="55"/>
  <c r="B998" i="55"/>
  <c r="C966" i="55"/>
  <c r="B607" i="55"/>
  <c r="C604" i="55"/>
  <c r="B1676" i="55"/>
  <c r="B1702" i="55"/>
  <c r="B2103" i="55"/>
  <c r="B1684" i="55"/>
  <c r="B980" i="55"/>
  <c r="B316" i="55"/>
  <c r="B2165" i="55"/>
  <c r="C1679" i="55"/>
  <c r="B1670" i="55"/>
  <c r="B1707" i="55"/>
  <c r="C987" i="55"/>
  <c r="C1001" i="55"/>
  <c r="C990" i="55"/>
  <c r="C321" i="55"/>
  <c r="B1698" i="55"/>
  <c r="C996" i="55"/>
  <c r="B2099" i="55"/>
  <c r="C959" i="55"/>
  <c r="C1673" i="55"/>
  <c r="B967" i="55"/>
  <c r="C2087" i="55"/>
  <c r="B987" i="55"/>
  <c r="B958" i="55"/>
  <c r="B991" i="55"/>
  <c r="B317" i="55"/>
  <c r="B1007" i="55"/>
  <c r="C1364" i="55"/>
  <c r="C1662" i="55"/>
  <c r="C1712" i="55"/>
  <c r="C999" i="55"/>
  <c r="C1367" i="55"/>
  <c r="C971" i="55"/>
  <c r="B2109" i="55"/>
  <c r="C1675" i="55"/>
  <c r="B618" i="55"/>
  <c r="B2098" i="55"/>
  <c r="C2097" i="55"/>
  <c r="B990" i="55"/>
  <c r="C1692" i="55"/>
  <c r="C2093" i="55"/>
  <c r="C1825" i="55"/>
  <c r="B1370" i="55"/>
  <c r="C974" i="55"/>
  <c r="B960" i="55"/>
  <c r="C955" i="55"/>
  <c r="C1010" i="55"/>
  <c r="C618" i="55"/>
  <c r="C977" i="55"/>
  <c r="C1686" i="55"/>
  <c r="B1667" i="55"/>
  <c r="C1702" i="55"/>
  <c r="C967" i="55"/>
  <c r="C2107" i="55"/>
  <c r="C950" i="55"/>
  <c r="B2087" i="55"/>
  <c r="B2096" i="55"/>
  <c r="C2106" i="55"/>
  <c r="B1678" i="55"/>
  <c r="B1784" i="55"/>
  <c r="C1666" i="55"/>
  <c r="B1673" i="55"/>
  <c r="C1357" i="55"/>
  <c r="B957" i="55"/>
  <c r="C224" i="55"/>
  <c r="C952" i="55"/>
  <c r="B612" i="55"/>
  <c r="C1122" i="55"/>
  <c r="C1370" i="55"/>
  <c r="C969" i="55"/>
  <c r="C2099" i="55"/>
  <c r="C2090" i="55"/>
  <c r="C1008" i="55"/>
  <c r="B233" i="55"/>
  <c r="B623" i="55"/>
  <c r="B1690" i="55"/>
  <c r="C991" i="55"/>
  <c r="C1699" i="55"/>
  <c r="C958" i="55"/>
  <c r="C1374" i="55"/>
  <c r="C315" i="55"/>
  <c r="B949" i="55"/>
  <c r="C615" i="55"/>
  <c r="B1675" i="55"/>
  <c r="B989" i="55"/>
  <c r="C1148" i="55"/>
  <c r="C1378" i="55"/>
  <c r="C2103" i="55"/>
  <c r="B232" i="55"/>
  <c r="C2187" i="55"/>
  <c r="C2110" i="55"/>
  <c r="C1708" i="55"/>
  <c r="B2093" i="55"/>
  <c r="C2104" i="55"/>
  <c r="C963" i="55"/>
  <c r="C1688" i="55"/>
  <c r="C953" i="55"/>
  <c r="C2091" i="55"/>
  <c r="C617" i="55"/>
  <c r="C235" i="55"/>
  <c r="C1711" i="55"/>
  <c r="C951" i="55"/>
  <c r="B1704" i="55"/>
  <c r="B1368" i="55"/>
  <c r="C1006" i="55"/>
  <c r="B620" i="55"/>
  <c r="B616" i="55"/>
  <c r="B1669" i="55"/>
  <c r="B1374" i="55"/>
  <c r="B1681" i="55"/>
  <c r="B1373" i="55"/>
  <c r="B1701" i="55"/>
  <c r="B992" i="55"/>
  <c r="C1714" i="55"/>
  <c r="C1690" i="55"/>
  <c r="C1681" i="55"/>
  <c r="C988" i="55"/>
  <c r="B962" i="55"/>
  <c r="B993" i="55"/>
  <c r="B677" i="55"/>
  <c r="C949" i="55"/>
  <c r="B2091" i="55"/>
  <c r="B968" i="55"/>
  <c r="C623" i="55"/>
  <c r="C961" i="55"/>
  <c r="C1363" i="55"/>
  <c r="B615" i="55"/>
  <c r="B1365" i="55"/>
  <c r="B234" i="55"/>
  <c r="C232" i="55"/>
  <c r="C1682" i="55"/>
  <c r="B621" i="55"/>
  <c r="C621" i="55"/>
  <c r="B603" i="55"/>
  <c r="C992" i="55"/>
  <c r="B602" i="55"/>
  <c r="B1148" i="55"/>
  <c r="B1004" i="55"/>
  <c r="C989" i="55"/>
  <c r="C1670" i="55"/>
  <c r="C1784" i="55"/>
  <c r="B970" i="55"/>
  <c r="C226" i="55"/>
  <c r="C2098" i="55"/>
  <c r="B1674" i="55"/>
  <c r="B1708" i="55"/>
  <c r="C1423" i="55"/>
  <c r="B227" i="55"/>
  <c r="C1704" i="55"/>
  <c r="B1694" i="55"/>
  <c r="C1004" i="55"/>
  <c r="C980" i="55"/>
  <c r="B613" i="55"/>
  <c r="C1689" i="55"/>
  <c r="C1368" i="55"/>
  <c r="B1358" i="55"/>
  <c r="C2100" i="55"/>
  <c r="B945" i="55"/>
  <c r="B995" i="55"/>
  <c r="B622" i="55"/>
  <c r="B1371" i="55"/>
  <c r="B609" i="55"/>
  <c r="B223" i="55"/>
  <c r="C2105" i="55"/>
  <c r="B1715" i="55"/>
  <c r="B230" i="55"/>
  <c r="C234" i="55"/>
  <c r="B1692" i="55"/>
  <c r="B1005" i="55"/>
  <c r="C1700" i="55"/>
  <c r="C319" i="55"/>
  <c r="B2160" i="55"/>
  <c r="B999" i="55"/>
  <c r="B2089" i="55"/>
  <c r="C1009" i="55"/>
  <c r="B335" i="55"/>
  <c r="B1006" i="55"/>
  <c r="B225" i="55"/>
  <c r="C1360" i="55"/>
  <c r="C1814" i="55"/>
  <c r="C318" i="55"/>
  <c r="C1680" i="55"/>
  <c r="C620" i="55"/>
  <c r="C956" i="55"/>
  <c r="B1696" i="55"/>
  <c r="B1661" i="55"/>
  <c r="B1378" i="55"/>
  <c r="B1122" i="55"/>
  <c r="C1365" i="55"/>
  <c r="B1671" i="55"/>
  <c r="C964" i="55"/>
  <c r="B1008" i="55"/>
  <c r="C960" i="55"/>
  <c r="C2095" i="55"/>
  <c r="B1714" i="55"/>
  <c r="C1665" i="55"/>
  <c r="C231" i="55"/>
  <c r="C1827" i="55"/>
  <c r="C993" i="55"/>
  <c r="B1377" i="55"/>
  <c r="C954" i="55"/>
  <c r="C946" i="55"/>
  <c r="C1359" i="55"/>
  <c r="B1693" i="55"/>
  <c r="B966" i="55"/>
  <c r="B959" i="55"/>
  <c r="C965" i="55"/>
  <c r="C227" i="55"/>
  <c r="C1372" i="55"/>
  <c r="B2107" i="55"/>
  <c r="C994" i="55"/>
  <c r="B1705" i="55"/>
  <c r="C603" i="55"/>
  <c r="B1423" i="55"/>
  <c r="C2089" i="55"/>
  <c r="B614" i="55"/>
  <c r="B2095" i="55"/>
  <c r="C1693" i="55"/>
  <c r="B1827" i="55"/>
  <c r="B963" i="55"/>
  <c r="B1700" i="55"/>
  <c r="B965" i="55"/>
  <c r="B1001" i="55"/>
  <c r="C1683" i="55"/>
  <c r="B222" i="55"/>
  <c r="C622" i="55"/>
  <c r="C1672" i="55"/>
  <c r="C1698" i="55"/>
  <c r="B996" i="55"/>
  <c r="C602" i="55"/>
  <c r="C1373" i="55"/>
  <c r="C986" i="55"/>
  <c r="C225" i="55"/>
  <c r="B1683" i="55"/>
  <c r="B1697" i="55"/>
  <c r="C1667" i="55"/>
  <c r="B971" i="55"/>
  <c r="B1679" i="55"/>
  <c r="C320" i="55"/>
  <c r="B1359" i="55"/>
  <c r="B1369" i="55"/>
  <c r="C1003" i="55"/>
  <c r="C1677" i="55"/>
  <c r="B1709" i="55"/>
  <c r="B321" i="55"/>
  <c r="C613" i="55"/>
  <c r="B969" i="55"/>
  <c r="C1092" i="55"/>
  <c r="C2109" i="55"/>
  <c r="C614" i="55"/>
  <c r="C1358" i="55"/>
  <c r="B974" i="55"/>
  <c r="C1715" i="55"/>
  <c r="B320" i="55"/>
  <c r="B946" i="55"/>
  <c r="B1360" i="55"/>
  <c r="B1695" i="55"/>
  <c r="B1375" i="55"/>
  <c r="B947" i="55"/>
  <c r="C1007" i="55"/>
  <c r="C2165" i="55"/>
  <c r="C1695" i="55"/>
  <c r="B1685" i="55"/>
  <c r="C1691" i="55"/>
  <c r="B1361" i="55"/>
  <c r="C1002" i="55"/>
  <c r="C624" i="55"/>
  <c r="B229" i="55"/>
  <c r="C2101" i="55"/>
  <c r="B619" i="55"/>
  <c r="C228" i="55"/>
  <c r="B608" i="55"/>
  <c r="B1011" i="55"/>
  <c r="C1371" i="55"/>
  <c r="C619" i="55"/>
  <c r="B605" i="55"/>
  <c r="C1684" i="55"/>
  <c r="C609" i="55"/>
  <c r="C2088" i="55"/>
  <c r="C997" i="55"/>
  <c r="B1689" i="55"/>
  <c r="B2097" i="55"/>
  <c r="C2094" i="55"/>
  <c r="C1694" i="55"/>
  <c r="C317" i="55"/>
  <c r="C2108" i="55"/>
  <c r="C230" i="55"/>
  <c r="C1685" i="55"/>
  <c r="B1687" i="55"/>
  <c r="B1664" i="55"/>
  <c r="B2086" i="55"/>
  <c r="C1668" i="55"/>
  <c r="B228" i="55"/>
  <c r="B1372" i="55"/>
  <c r="C970" i="55"/>
  <c r="C983" i="55"/>
  <c r="C1709" i="55"/>
  <c r="B964" i="55"/>
  <c r="B2094" i="55"/>
  <c r="B997" i="55"/>
  <c r="B2106" i="55"/>
  <c r="C612" i="55"/>
  <c r="C2096" i="55"/>
  <c r="B2105" i="55"/>
  <c r="C616" i="55"/>
  <c r="B1364" i="55"/>
  <c r="B1686" i="55"/>
  <c r="C968" i="55"/>
  <c r="B1666" i="55"/>
  <c r="B235" i="55"/>
  <c r="C947" i="55"/>
  <c r="C335" i="55"/>
  <c r="B1662" i="55"/>
  <c r="I109" i="4" l="1"/>
  <c r="D3" i="45" l="1"/>
  <c r="D4" i="45" s="1"/>
  <c r="D5" i="45" s="1"/>
  <c r="D6" i="45" s="1"/>
  <c r="D7" i="45" s="1"/>
  <c r="D8" i="45" s="1"/>
  <c r="D9" i="45" s="1"/>
  <c r="D10" i="45" s="1"/>
  <c r="D11" i="45" s="1"/>
  <c r="D12" i="45" s="1"/>
  <c r="D13" i="45" s="1"/>
  <c r="D14" i="45" s="1"/>
  <c r="D15" i="45" s="1"/>
  <c r="D16" i="45" s="1"/>
  <c r="D17" i="45" s="1"/>
  <c r="D18" i="45" s="1"/>
  <c r="D19" i="45" s="1"/>
  <c r="D20" i="45" s="1"/>
  <c r="D21" i="45" s="1"/>
  <c r="D22" i="45" s="1"/>
  <c r="D23" i="45" s="1"/>
  <c r="D24" i="45" s="1"/>
  <c r="D25" i="45" s="1"/>
  <c r="D26" i="45" s="1"/>
  <c r="D27" i="45" s="1"/>
  <c r="D28" i="45" s="1"/>
  <c r="D29" i="45" s="1"/>
  <c r="D30" i="45" s="1"/>
  <c r="D31" i="45" s="1"/>
  <c r="D32" i="45" s="1"/>
  <c r="D33" i="45" s="1"/>
  <c r="D34" i="45" s="1"/>
  <c r="D35" i="45" s="1"/>
  <c r="D36" i="45" s="1"/>
  <c r="D37" i="45" s="1"/>
  <c r="D38" i="45" s="1"/>
  <c r="D39" i="45" s="1"/>
  <c r="D40" i="45" s="1"/>
  <c r="D41" i="45" s="1"/>
  <c r="D42" i="45" s="1"/>
  <c r="D43" i="45" s="1"/>
  <c r="D44" i="45" s="1"/>
  <c r="D45" i="45" s="1"/>
  <c r="D46" i="45" s="1"/>
  <c r="D47" i="45" s="1"/>
  <c r="D48" i="45" s="1"/>
  <c r="D49" i="45" s="1"/>
  <c r="D50" i="45" s="1"/>
  <c r="D51" i="45" s="1"/>
  <c r="D52" i="45" s="1"/>
  <c r="D53" i="45" s="1"/>
  <c r="D54" i="45" s="1"/>
  <c r="D55" i="45" s="1"/>
  <c r="D56" i="45" s="1"/>
  <c r="D57" i="45" s="1"/>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B2" i="36" l="1"/>
  <c r="B18" i="49"/>
  <c r="B20" i="49"/>
  <c r="B21" i="4"/>
  <c r="R18" i="77" l="1"/>
  <c r="S54" i="4" l="1"/>
  <c r="B32" i="26" l="1"/>
  <c r="E25" i="26"/>
  <c r="C25" i="26"/>
  <c r="V122" i="4" l="1"/>
  <c r="I68" i="4"/>
  <c r="AF115" i="33"/>
  <c r="AF116" i="33"/>
  <c r="AF117" i="33"/>
  <c r="AF118" i="33"/>
  <c r="AF122" i="4"/>
  <c r="V95" i="4"/>
  <c r="AF97" i="34"/>
  <c r="AF96" i="34"/>
  <c r="B21" i="49"/>
  <c r="AF110" i="33"/>
  <c r="AF109" i="33"/>
  <c r="AO51" i="35"/>
  <c r="F121" i="4"/>
  <c r="F102" i="4" s="1"/>
  <c r="F130" i="4"/>
  <c r="E110" i="34"/>
  <c r="F175" i="4" s="1"/>
  <c r="F122" i="4"/>
  <c r="F131" i="4"/>
  <c r="F123" i="4"/>
  <c r="F103" i="4" s="1"/>
  <c r="F134" i="4"/>
  <c r="F106" i="4" s="1"/>
  <c r="F124" i="4"/>
  <c r="F104" i="4" s="1"/>
  <c r="F127" i="4"/>
  <c r="F128" i="4"/>
  <c r="F129" i="4"/>
  <c r="T182" i="4"/>
  <c r="T181" i="4"/>
  <c r="T180" i="4"/>
  <c r="AO67" i="35"/>
  <c r="AO66" i="37"/>
  <c r="AO62" i="37"/>
  <c r="P3" i="77"/>
  <c r="S45" i="4" s="1"/>
  <c r="H92" i="4"/>
  <c r="O3" i="77"/>
  <c r="S49" i="4" s="1"/>
  <c r="V3" i="77"/>
  <c r="Q3" i="77"/>
  <c r="S46" i="4" s="1"/>
  <c r="M3" i="77"/>
  <c r="S3" i="77"/>
  <c r="S65" i="4" s="1"/>
  <c r="N3" i="77"/>
  <c r="S55" i="4" s="1"/>
  <c r="T3" i="77"/>
  <c r="R3" i="77"/>
  <c r="S47" i="4" s="1"/>
  <c r="L3" i="77"/>
  <c r="S53" i="4" s="1"/>
  <c r="A3" i="77"/>
  <c r="AJ118" i="33" l="1"/>
  <c r="AG118" i="33"/>
  <c r="AH118" i="33"/>
  <c r="AI118" i="33"/>
  <c r="AG117" i="33"/>
  <c r="AH117" i="33"/>
  <c r="AI117" i="33"/>
  <c r="AJ117" i="33"/>
  <c r="AG116" i="33"/>
  <c r="AH116" i="33"/>
  <c r="AI116" i="33"/>
  <c r="AJ116" i="33"/>
  <c r="AG115" i="33"/>
  <c r="AJ115" i="33"/>
  <c r="AI115" i="33"/>
  <c r="AH115" i="33"/>
  <c r="F95" i="4"/>
  <c r="S122" i="4" s="1"/>
  <c r="F125" i="4"/>
  <c r="F105" i="4" s="1"/>
  <c r="B20" i="55"/>
  <c r="K174" i="55"/>
  <c r="K175" i="55"/>
  <c r="K176" i="55"/>
  <c r="K177" i="55"/>
  <c r="K178" i="55"/>
  <c r="J174" i="55"/>
  <c r="J175" i="55"/>
  <c r="J176" i="55"/>
  <c r="J177" i="55"/>
  <c r="J178" i="55"/>
  <c r="J173" i="55"/>
  <c r="J150" i="55"/>
  <c r="K173" i="55"/>
  <c r="H66" i="4" l="1"/>
  <c r="I66" i="4" s="1"/>
  <c r="B117" i="4" l="1"/>
  <c r="E121" i="33"/>
  <c r="F121" i="33"/>
  <c r="I121" i="33"/>
  <c r="J121" i="33"/>
  <c r="E85" i="33"/>
  <c r="F85" i="33"/>
  <c r="I85" i="33"/>
  <c r="J85" i="33"/>
  <c r="B5" i="55"/>
  <c r="F108" i="34"/>
  <c r="E108" i="34"/>
  <c r="B75" i="34"/>
  <c r="B164" i="4"/>
  <c r="B116" i="4"/>
  <c r="I52" i="32"/>
  <c r="A71" i="26"/>
  <c r="B2" i="4"/>
  <c r="F52" i="55"/>
  <c r="B13" i="32" l="1"/>
  <c r="B13" i="10"/>
  <c r="B12" i="2"/>
  <c r="B13" i="30"/>
  <c r="B12" i="49"/>
  <c r="B14" i="4"/>
  <c r="B13" i="36"/>
  <c r="B13" i="38"/>
  <c r="B13" i="37"/>
  <c r="B13" i="35"/>
  <c r="B13" i="34"/>
  <c r="B2" i="34"/>
  <c r="B13" i="33"/>
  <c r="I36" i="49"/>
  <c r="G173" i="4"/>
  <c r="F173" i="4"/>
  <c r="G119" i="4"/>
  <c r="F119" i="4"/>
  <c r="E14" i="26" l="1"/>
  <c r="E13" i="26"/>
  <c r="AN129" i="35" l="1"/>
  <c r="AN127" i="35"/>
  <c r="AN126" i="35"/>
  <c r="AN125" i="35"/>
  <c r="AN123" i="35"/>
  <c r="AN121" i="35"/>
  <c r="AN120" i="35"/>
  <c r="AN117" i="35"/>
  <c r="AN115" i="35"/>
  <c r="K48" i="32" l="1"/>
  <c r="AN63" i="37"/>
  <c r="AN67" i="37"/>
  <c r="K38" i="34"/>
  <c r="K32" i="34"/>
  <c r="K34" i="34"/>
  <c r="K35" i="10"/>
  <c r="AN33" i="10"/>
  <c r="AN34" i="10"/>
  <c r="AN35" i="10"/>
  <c r="AN37" i="10"/>
  <c r="AN38" i="10"/>
  <c r="AN32" i="10"/>
  <c r="K69" i="37" l="1"/>
  <c r="K64" i="37"/>
  <c r="J374" i="55" l="1"/>
  <c r="K374" i="55"/>
  <c r="B323" i="55"/>
  <c r="C374" i="55"/>
  <c r="B137" i="55"/>
  <c r="B324" i="55"/>
  <c r="F41" i="30" l="1"/>
  <c r="J2468" i="55" l="1"/>
  <c r="B19" i="55" l="1"/>
  <c r="G486" i="55" l="1"/>
  <c r="H486" i="55"/>
  <c r="G487" i="55"/>
  <c r="H487" i="55"/>
  <c r="J487" i="55" s="1"/>
  <c r="G488" i="55"/>
  <c r="H488" i="55"/>
  <c r="G489" i="55"/>
  <c r="H489" i="55"/>
  <c r="G490" i="55"/>
  <c r="H490" i="55"/>
  <c r="J490" i="55" s="1"/>
  <c r="G491" i="55"/>
  <c r="H491" i="55"/>
  <c r="K491" i="55" s="1"/>
  <c r="G492" i="55"/>
  <c r="H492" i="55"/>
  <c r="G493" i="55"/>
  <c r="H493" i="55"/>
  <c r="J493" i="55" s="1"/>
  <c r="G494" i="55"/>
  <c r="H494" i="55"/>
  <c r="G495" i="55"/>
  <c r="H495" i="55"/>
  <c r="K495" i="55" s="1"/>
  <c r="G496" i="55"/>
  <c r="H496" i="55"/>
  <c r="J496" i="55" s="1"/>
  <c r="G497" i="55"/>
  <c r="H497" i="55"/>
  <c r="J497" i="55" s="1"/>
  <c r="G498" i="55"/>
  <c r="H498" i="55"/>
  <c r="G499" i="55"/>
  <c r="H499" i="55"/>
  <c r="J499" i="55" s="1"/>
  <c r="G500" i="55"/>
  <c r="H500" i="55"/>
  <c r="G501" i="55"/>
  <c r="H501" i="55"/>
  <c r="J501" i="55" s="1"/>
  <c r="G502" i="55"/>
  <c r="H502" i="55"/>
  <c r="J502" i="55" s="1"/>
  <c r="G503" i="55"/>
  <c r="H503" i="55"/>
  <c r="K503" i="55" s="1"/>
  <c r="G504" i="55"/>
  <c r="H504" i="55"/>
  <c r="K504" i="55" s="1"/>
  <c r="G505" i="55"/>
  <c r="H505" i="55"/>
  <c r="K505" i="55" s="1"/>
  <c r="G506" i="55"/>
  <c r="H506" i="55"/>
  <c r="J506" i="55" s="1"/>
  <c r="G507" i="55"/>
  <c r="H507" i="55"/>
  <c r="K507" i="55" s="1"/>
  <c r="G508" i="55"/>
  <c r="H508" i="55"/>
  <c r="J508" i="55" s="1"/>
  <c r="G509" i="55"/>
  <c r="H509" i="55"/>
  <c r="K509" i="55" s="1"/>
  <c r="G510" i="55"/>
  <c r="H510" i="55"/>
  <c r="G511" i="55"/>
  <c r="H511" i="55"/>
  <c r="J511" i="55" s="1"/>
  <c r="G512" i="55"/>
  <c r="H512" i="55"/>
  <c r="G513" i="55"/>
  <c r="H513" i="55"/>
  <c r="K513" i="55" s="1"/>
  <c r="G514" i="55"/>
  <c r="H514" i="55"/>
  <c r="K514" i="55" s="1"/>
  <c r="G483" i="55"/>
  <c r="H483" i="55"/>
  <c r="G484" i="55"/>
  <c r="H484" i="55"/>
  <c r="J484" i="55" s="1"/>
  <c r="G485" i="55"/>
  <c r="H485" i="55"/>
  <c r="J485" i="55" s="1"/>
  <c r="G482" i="55"/>
  <c r="H482" i="55"/>
  <c r="J482" i="55" s="1"/>
  <c r="G481" i="55"/>
  <c r="H481" i="55"/>
  <c r="J481" i="55" s="1"/>
  <c r="G480" i="55"/>
  <c r="H480" i="55"/>
  <c r="G453" i="55"/>
  <c r="H453" i="55"/>
  <c r="G454" i="55"/>
  <c r="H454" i="55"/>
  <c r="J454" i="55" s="1"/>
  <c r="G455" i="55"/>
  <c r="H455" i="55"/>
  <c r="G456" i="55"/>
  <c r="H456" i="55"/>
  <c r="J456" i="55" s="1"/>
  <c r="G457" i="55"/>
  <c r="H457" i="55"/>
  <c r="J457" i="55" s="1"/>
  <c r="G458" i="55"/>
  <c r="H458" i="55"/>
  <c r="J458" i="55" s="1"/>
  <c r="G447" i="55"/>
  <c r="H447" i="55"/>
  <c r="J447" i="55" s="1"/>
  <c r="G448" i="55"/>
  <c r="H448" i="55"/>
  <c r="J448" i="55" s="1"/>
  <c r="G449" i="55"/>
  <c r="H449" i="55"/>
  <c r="K449" i="55" s="1"/>
  <c r="G450" i="55"/>
  <c r="H450" i="55"/>
  <c r="J450" i="55" s="1"/>
  <c r="G451" i="55"/>
  <c r="H451" i="55"/>
  <c r="J451" i="55" s="1"/>
  <c r="G452" i="55"/>
  <c r="H452" i="55"/>
  <c r="J452" i="55" s="1"/>
  <c r="G442" i="55"/>
  <c r="H442" i="55"/>
  <c r="K442" i="55" s="1"/>
  <c r="G443" i="55"/>
  <c r="H443" i="55"/>
  <c r="J443" i="55" s="1"/>
  <c r="G444" i="55"/>
  <c r="H444" i="55"/>
  <c r="J444" i="55" s="1"/>
  <c r="G445" i="55"/>
  <c r="H445" i="55"/>
  <c r="G446" i="55"/>
  <c r="H446" i="55"/>
  <c r="J446" i="55" s="1"/>
  <c r="G438" i="55"/>
  <c r="H438" i="55"/>
  <c r="J438" i="55" s="1"/>
  <c r="G439" i="55"/>
  <c r="H439" i="55"/>
  <c r="J439" i="55" s="1"/>
  <c r="G440" i="55"/>
  <c r="H440" i="55"/>
  <c r="J440" i="55" s="1"/>
  <c r="G441" i="55"/>
  <c r="H441" i="55"/>
  <c r="J441" i="55" s="1"/>
  <c r="G435" i="55"/>
  <c r="H435" i="55"/>
  <c r="J435" i="55" s="1"/>
  <c r="G436" i="55"/>
  <c r="H436" i="55"/>
  <c r="J436" i="55" s="1"/>
  <c r="G437" i="55"/>
  <c r="H437" i="55"/>
  <c r="J437" i="55" s="1"/>
  <c r="G433" i="55"/>
  <c r="H433" i="55"/>
  <c r="J433" i="55" s="1"/>
  <c r="G434" i="55"/>
  <c r="H434" i="55"/>
  <c r="K434" i="55" s="1"/>
  <c r="G432" i="55"/>
  <c r="H432" i="55"/>
  <c r="B447" i="55"/>
  <c r="B512" i="55"/>
  <c r="C485" i="55"/>
  <c r="B493" i="55"/>
  <c r="B497" i="55"/>
  <c r="C484" i="55"/>
  <c r="C445" i="55"/>
  <c r="C503" i="55"/>
  <c r="C481" i="55"/>
  <c r="B483" i="55"/>
  <c r="C440" i="55"/>
  <c r="B509" i="55"/>
  <c r="C442" i="55"/>
  <c r="B485" i="55"/>
  <c r="C434" i="55"/>
  <c r="C457" i="55"/>
  <c r="B513" i="55"/>
  <c r="C489" i="55"/>
  <c r="B490" i="55"/>
  <c r="B487" i="55"/>
  <c r="B494" i="55"/>
  <c r="B448" i="55"/>
  <c r="B439" i="55"/>
  <c r="B501" i="55"/>
  <c r="B435" i="55"/>
  <c r="C432" i="55"/>
  <c r="B514" i="55"/>
  <c r="C509" i="55"/>
  <c r="B499" i="55"/>
  <c r="B432" i="55"/>
  <c r="B507" i="55"/>
  <c r="C450" i="55"/>
  <c r="C441" i="55"/>
  <c r="C439" i="55"/>
  <c r="B438" i="55"/>
  <c r="C493" i="55"/>
  <c r="C436" i="55"/>
  <c r="C487" i="55"/>
  <c r="B450" i="55"/>
  <c r="C507" i="55"/>
  <c r="C490" i="55"/>
  <c r="B445" i="55"/>
  <c r="C510" i="55"/>
  <c r="C433" i="55"/>
  <c r="C482" i="55"/>
  <c r="C455" i="55"/>
  <c r="B491" i="55"/>
  <c r="B508" i="55"/>
  <c r="B442" i="55"/>
  <c r="C437" i="55"/>
  <c r="B453" i="55"/>
  <c r="C452" i="55"/>
  <c r="C511" i="55"/>
  <c r="B452" i="55"/>
  <c r="C505" i="55"/>
  <c r="C500" i="55"/>
  <c r="C495" i="55"/>
  <c r="C496" i="55"/>
  <c r="K493" i="55" l="1"/>
  <c r="J503" i="55"/>
  <c r="K485" i="55"/>
  <c r="K490" i="55"/>
  <c r="J491" i="55"/>
  <c r="K499" i="55"/>
  <c r="J505" i="55"/>
  <c r="K481" i="55"/>
  <c r="K511" i="55"/>
  <c r="K484" i="55"/>
  <c r="J509" i="55"/>
  <c r="K502" i="55"/>
  <c r="K497" i="55"/>
  <c r="K454" i="55"/>
  <c r="K482" i="55"/>
  <c r="J514" i="55"/>
  <c r="K508" i="55"/>
  <c r="J507" i="55"/>
  <c r="K506" i="55"/>
  <c r="K496" i="55"/>
  <c r="J495" i="55"/>
  <c r="K487" i="55"/>
  <c r="J504" i="55"/>
  <c r="K501" i="55"/>
  <c r="J498" i="55"/>
  <c r="K498" i="55"/>
  <c r="J513" i="55"/>
  <c r="J488" i="55"/>
  <c r="K488" i="55"/>
  <c r="J510" i="55"/>
  <c r="K510" i="55"/>
  <c r="J512" i="55"/>
  <c r="K512" i="55"/>
  <c r="J500" i="55"/>
  <c r="K500" i="55"/>
  <c r="K489" i="55"/>
  <c r="J492" i="55"/>
  <c r="K492" i="55"/>
  <c r="J489" i="55"/>
  <c r="J494" i="55"/>
  <c r="K494" i="55"/>
  <c r="J486" i="55"/>
  <c r="K486" i="55"/>
  <c r="K483" i="55"/>
  <c r="J483" i="55"/>
  <c r="K480" i="55"/>
  <c r="J480" i="55"/>
  <c r="J449" i="55"/>
  <c r="K451" i="55"/>
  <c r="K448" i="55"/>
  <c r="K441" i="55"/>
  <c r="K457" i="55"/>
  <c r="K458" i="55"/>
  <c r="K456" i="55"/>
  <c r="J455" i="55"/>
  <c r="K455" i="55"/>
  <c r="K453" i="55"/>
  <c r="J453" i="55"/>
  <c r="K452" i="55"/>
  <c r="K450" i="55"/>
  <c r="K447" i="55"/>
  <c r="K446" i="55"/>
  <c r="K443" i="55"/>
  <c r="J442" i="55"/>
  <c r="K445" i="55"/>
  <c r="J445" i="55"/>
  <c r="K444" i="55"/>
  <c r="K438" i="55"/>
  <c r="K439" i="55"/>
  <c r="K440" i="55"/>
  <c r="K435" i="55"/>
  <c r="K436" i="55"/>
  <c r="K437" i="55"/>
  <c r="J434" i="55"/>
  <c r="K433" i="55"/>
  <c r="K432" i="55"/>
  <c r="J432" i="55"/>
  <c r="B13" i="55"/>
  <c r="J149" i="55"/>
  <c r="H431" i="55"/>
  <c r="K431" i="55" s="1"/>
  <c r="G431" i="55"/>
  <c r="K149"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80"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K147" i="55"/>
  <c r="J148" i="55"/>
  <c r="K148" i="55"/>
  <c r="K172" i="55"/>
  <c r="K179"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22" i="55"/>
  <c r="K322" i="55"/>
  <c r="J323" i="55"/>
  <c r="K323" i="55"/>
  <c r="J324" i="55"/>
  <c r="K324" i="55"/>
  <c r="J325" i="55"/>
  <c r="K325" i="55"/>
  <c r="J326" i="55"/>
  <c r="K326" i="55"/>
  <c r="J327" i="55"/>
  <c r="K327" i="55"/>
  <c r="J328" i="55"/>
  <c r="K328" i="55"/>
  <c r="J329" i="55"/>
  <c r="K329" i="55"/>
  <c r="J330" i="55"/>
  <c r="K330" i="55"/>
  <c r="J331" i="55"/>
  <c r="K331" i="55"/>
  <c r="J332" i="55"/>
  <c r="K332" i="55"/>
  <c r="J333" i="55"/>
  <c r="K333" i="55"/>
  <c r="J334" i="55"/>
  <c r="K334" i="55"/>
  <c r="J336" i="55"/>
  <c r="K336" i="55"/>
  <c r="J337" i="55"/>
  <c r="K337" i="55"/>
  <c r="J338" i="55"/>
  <c r="K338" i="55"/>
  <c r="J339" i="55"/>
  <c r="K339" i="55"/>
  <c r="J340" i="55"/>
  <c r="K340" i="55"/>
  <c r="J341" i="55"/>
  <c r="K341" i="55"/>
  <c r="J342" i="55"/>
  <c r="K342" i="55"/>
  <c r="J343" i="55"/>
  <c r="K343" i="55"/>
  <c r="J344" i="55"/>
  <c r="K344" i="55"/>
  <c r="J345" i="55"/>
  <c r="K345" i="55"/>
  <c r="J346" i="55"/>
  <c r="K346" i="55"/>
  <c r="J347" i="55"/>
  <c r="K347" i="55"/>
  <c r="J348" i="55"/>
  <c r="K348" i="55"/>
  <c r="J349" i="55"/>
  <c r="K349" i="55"/>
  <c r="J350" i="55"/>
  <c r="K350" i="55"/>
  <c r="K351" i="55"/>
  <c r="J352" i="55"/>
  <c r="K352" i="55"/>
  <c r="J353" i="55"/>
  <c r="K353" i="55"/>
  <c r="J354" i="55"/>
  <c r="K354" i="55"/>
  <c r="J358" i="55"/>
  <c r="K358" i="55"/>
  <c r="J359" i="55"/>
  <c r="K359" i="55"/>
  <c r="J361" i="55"/>
  <c r="K361" i="55"/>
  <c r="J365" i="55"/>
  <c r="K365" i="55"/>
  <c r="J369" i="55"/>
  <c r="K369" i="55"/>
  <c r="J370" i="55"/>
  <c r="K370" i="55"/>
  <c r="J371" i="55"/>
  <c r="K371" i="55"/>
  <c r="J373" i="55"/>
  <c r="K373" i="55"/>
  <c r="J375" i="55"/>
  <c r="K375" i="55"/>
  <c r="J378" i="55"/>
  <c r="K378" i="55"/>
  <c r="J379" i="55"/>
  <c r="K379" i="55"/>
  <c r="J380" i="55"/>
  <c r="K380" i="55"/>
  <c r="J381" i="55"/>
  <c r="K381" i="55"/>
  <c r="J382" i="55"/>
  <c r="K382" i="55"/>
  <c r="J383" i="55"/>
  <c r="K383" i="55"/>
  <c r="K385" i="55"/>
  <c r="K384" i="55"/>
  <c r="H473" i="55"/>
  <c r="K473" i="55" s="1"/>
  <c r="H474" i="55"/>
  <c r="J474" i="55" s="1"/>
  <c r="H475" i="55"/>
  <c r="J475" i="55" s="1"/>
  <c r="H476" i="55"/>
  <c r="J476" i="55" s="1"/>
  <c r="H477" i="55"/>
  <c r="K477" i="55" s="1"/>
  <c r="H478" i="55"/>
  <c r="J478" i="55" s="1"/>
  <c r="H479" i="55"/>
  <c r="K479" i="55" s="1"/>
  <c r="H515" i="55"/>
  <c r="J515" i="55" s="1"/>
  <c r="H516" i="55"/>
  <c r="K516" i="55" s="1"/>
  <c r="H517" i="55"/>
  <c r="J517" i="55" s="1"/>
  <c r="H2312" i="55"/>
  <c r="B144" i="55"/>
  <c r="C491" i="55"/>
  <c r="C504" i="55"/>
  <c r="B500" i="55"/>
  <c r="B124" i="55"/>
  <c r="B504" i="55"/>
  <c r="B444" i="55"/>
  <c r="B97" i="55"/>
  <c r="B482" i="55"/>
  <c r="B113" i="55"/>
  <c r="B38" i="55"/>
  <c r="B51" i="55"/>
  <c r="C438" i="55"/>
  <c r="B481" i="55"/>
  <c r="B56" i="55"/>
  <c r="B43" i="55"/>
  <c r="C502" i="55"/>
  <c r="B115" i="55"/>
  <c r="B80" i="55"/>
  <c r="B492" i="55"/>
  <c r="B484" i="55"/>
  <c r="C508" i="55"/>
  <c r="B456" i="55"/>
  <c r="B486" i="55"/>
  <c r="B433" i="55"/>
  <c r="C512" i="55"/>
  <c r="C494" i="55"/>
  <c r="B135" i="55"/>
  <c r="B119" i="55"/>
  <c r="B498" i="55"/>
  <c r="B67" i="55"/>
  <c r="B44" i="55"/>
  <c r="B79" i="55"/>
  <c r="B489" i="55"/>
  <c r="C488" i="55"/>
  <c r="C480" i="55"/>
  <c r="B77" i="55"/>
  <c r="B118" i="55"/>
  <c r="B85" i="55"/>
  <c r="B455" i="55"/>
  <c r="C497" i="55"/>
  <c r="B495" i="55"/>
  <c r="C492" i="55"/>
  <c r="B75" i="55"/>
  <c r="C435" i="55"/>
  <c r="B54" i="55"/>
  <c r="C449" i="55"/>
  <c r="B82" i="55"/>
  <c r="B120" i="55"/>
  <c r="C447" i="55"/>
  <c r="B436" i="55"/>
  <c r="C443" i="55"/>
  <c r="B146" i="55"/>
  <c r="B71" i="55"/>
  <c r="B58" i="55"/>
  <c r="B117" i="55"/>
  <c r="B434" i="55"/>
  <c r="B133" i="55"/>
  <c r="B65" i="55"/>
  <c r="B446" i="55"/>
  <c r="C514" i="55"/>
  <c r="B431" i="55"/>
  <c r="B130" i="55"/>
  <c r="B506" i="55"/>
  <c r="C446" i="55"/>
  <c r="B42" i="55"/>
  <c r="B451" i="55"/>
  <c r="B112" i="55"/>
  <c r="B128" i="55"/>
  <c r="C483" i="55"/>
  <c r="B96" i="55"/>
  <c r="B454" i="55"/>
  <c r="B60" i="55"/>
  <c r="C486" i="55"/>
  <c r="B53" i="55"/>
  <c r="B510" i="55"/>
  <c r="J431" i="55" l="1"/>
  <c r="J473" i="55"/>
  <c r="C501" i="55"/>
  <c r="B81" i="55"/>
  <c r="B98" i="55"/>
  <c r="B441" i="55"/>
  <c r="C431" i="55"/>
  <c r="B68" i="55"/>
  <c r="B39" i="55"/>
  <c r="B114" i="55"/>
  <c r="B50" i="55"/>
  <c r="B480" i="55"/>
  <c r="B488" i="55"/>
  <c r="C458" i="55"/>
  <c r="B111" i="55"/>
  <c r="B36" i="55"/>
  <c r="B505" i="55"/>
  <c r="B503" i="55"/>
  <c r="B125" i="55"/>
  <c r="C506" i="55"/>
  <c r="B45" i="55"/>
  <c r="B136" i="55"/>
  <c r="B449" i="55"/>
  <c r="B40" i="55"/>
  <c r="B72" i="55"/>
  <c r="B76" i="55"/>
  <c r="B440" i="55"/>
  <c r="B127" i="55"/>
  <c r="C456" i="55"/>
  <c r="B457" i="55"/>
  <c r="B511" i="55"/>
  <c r="C448" i="55"/>
  <c r="B88" i="55"/>
  <c r="B69" i="55"/>
  <c r="C453" i="55"/>
  <c r="C513" i="55"/>
  <c r="B126" i="55"/>
  <c r="B74" i="55"/>
  <c r="B70" i="55"/>
  <c r="B73" i="55"/>
  <c r="B443" i="55"/>
  <c r="C499" i="55"/>
  <c r="C451" i="55"/>
  <c r="B132" i="55"/>
  <c r="C444" i="55"/>
  <c r="B62" i="55"/>
  <c r="B458" i="55"/>
  <c r="B437" i="55"/>
  <c r="B131" i="55"/>
  <c r="C454" i="55"/>
  <c r="B123" i="55"/>
  <c r="B129" i="55"/>
  <c r="B122" i="55"/>
  <c r="J479" i="55" l="1"/>
  <c r="J516" i="55"/>
  <c r="K515" i="55"/>
  <c r="K475" i="55"/>
  <c r="K474" i="55"/>
  <c r="K478" i="55"/>
  <c r="K517" i="55"/>
  <c r="J477" i="55"/>
  <c r="J384" i="55"/>
  <c r="J385" i="55"/>
  <c r="K476" i="55"/>
  <c r="D79" i="36"/>
  <c r="J2888" i="55"/>
  <c r="K2888" i="55"/>
  <c r="J2889" i="55"/>
  <c r="K2889" i="55"/>
  <c r="J2890" i="55"/>
  <c r="K2890" i="55"/>
  <c r="J2891" i="55"/>
  <c r="K2891" i="55"/>
  <c r="J2892" i="55"/>
  <c r="K2892" i="55"/>
  <c r="J2893" i="55"/>
  <c r="K2893" i="55"/>
  <c r="J2894" i="55"/>
  <c r="K2894" i="55"/>
  <c r="J2895" i="55"/>
  <c r="K2895" i="55"/>
  <c r="J2896" i="55"/>
  <c r="K2896" i="55"/>
  <c r="J2897" i="55"/>
  <c r="K2897" i="55"/>
  <c r="J2898" i="55"/>
  <c r="K2898" i="55"/>
  <c r="J2899" i="55"/>
  <c r="K2899" i="55"/>
  <c r="J2900" i="55"/>
  <c r="K2900" i="55"/>
  <c r="J2901" i="55"/>
  <c r="K2901" i="55"/>
  <c r="J2902" i="55"/>
  <c r="K2902" i="55"/>
  <c r="J2903" i="55"/>
  <c r="K2903" i="55"/>
  <c r="J2904" i="55"/>
  <c r="K2904" i="55"/>
  <c r="J2905" i="55"/>
  <c r="K2905" i="55"/>
  <c r="J2906" i="55"/>
  <c r="K2906" i="55"/>
  <c r="J2907" i="55"/>
  <c r="K2907" i="55"/>
  <c r="J2908" i="55"/>
  <c r="K2908" i="55"/>
  <c r="J2909" i="55"/>
  <c r="K2909" i="55"/>
  <c r="J2866" i="55"/>
  <c r="K2866" i="55"/>
  <c r="J2867" i="55"/>
  <c r="K2867" i="55"/>
  <c r="J2868" i="55"/>
  <c r="K2868" i="55"/>
  <c r="J2869" i="55"/>
  <c r="K2869" i="55"/>
  <c r="J2870" i="55"/>
  <c r="K2870" i="55"/>
  <c r="J2871" i="55"/>
  <c r="K2871" i="55"/>
  <c r="J2872" i="55"/>
  <c r="K2872" i="55"/>
  <c r="J2873" i="55"/>
  <c r="K2873" i="55"/>
  <c r="J2874" i="55"/>
  <c r="K2874" i="55"/>
  <c r="J2875" i="55"/>
  <c r="K2875" i="55"/>
  <c r="J2876" i="55"/>
  <c r="K2876" i="55"/>
  <c r="J2877" i="55"/>
  <c r="K2877" i="55"/>
  <c r="J2878" i="55"/>
  <c r="K2878" i="55"/>
  <c r="J2879" i="55"/>
  <c r="K2879" i="55"/>
  <c r="J2880" i="55"/>
  <c r="K2880" i="55"/>
  <c r="J2881" i="55"/>
  <c r="K2881" i="55"/>
  <c r="J2882" i="55"/>
  <c r="K2882" i="55"/>
  <c r="J2883" i="55"/>
  <c r="K2883" i="55"/>
  <c r="J2884" i="55"/>
  <c r="K2884" i="55"/>
  <c r="J2885" i="55"/>
  <c r="K2885" i="55"/>
  <c r="J2886" i="55"/>
  <c r="K2886" i="55"/>
  <c r="J2887" i="55"/>
  <c r="K2887" i="55"/>
  <c r="J2847" i="55"/>
  <c r="K2847" i="55"/>
  <c r="J2848" i="55"/>
  <c r="K2848" i="55"/>
  <c r="J2849" i="55"/>
  <c r="K2849" i="55"/>
  <c r="J2850" i="55"/>
  <c r="K2850" i="55"/>
  <c r="J2851" i="55"/>
  <c r="K2851" i="55"/>
  <c r="J2852" i="55"/>
  <c r="K2852" i="55"/>
  <c r="J2853" i="55"/>
  <c r="K2853" i="55"/>
  <c r="J2854" i="55"/>
  <c r="K2854" i="55"/>
  <c r="J2855" i="55"/>
  <c r="K2855" i="55"/>
  <c r="J2856" i="55"/>
  <c r="K2856" i="55"/>
  <c r="J2857" i="55"/>
  <c r="K2857" i="55"/>
  <c r="J2858" i="55"/>
  <c r="K2858" i="55"/>
  <c r="J2859" i="55"/>
  <c r="K2859" i="55"/>
  <c r="J2860" i="55"/>
  <c r="K2860" i="55"/>
  <c r="J2861" i="55"/>
  <c r="K2861" i="55"/>
  <c r="J2862" i="55"/>
  <c r="K2862" i="55"/>
  <c r="J2863" i="55"/>
  <c r="K2863" i="55"/>
  <c r="J2864" i="55"/>
  <c r="K2864" i="55"/>
  <c r="J2865" i="55"/>
  <c r="K2865" i="55"/>
  <c r="J2826" i="55"/>
  <c r="K2826" i="55"/>
  <c r="J2827" i="55"/>
  <c r="K2827" i="55"/>
  <c r="J2828" i="55"/>
  <c r="K2828" i="55"/>
  <c r="J2829" i="55"/>
  <c r="K2829" i="55"/>
  <c r="J2830" i="55"/>
  <c r="K2830" i="55"/>
  <c r="J2831" i="55"/>
  <c r="K2831" i="55"/>
  <c r="J2832" i="55"/>
  <c r="K2832" i="55"/>
  <c r="J2833" i="55"/>
  <c r="K2833" i="55"/>
  <c r="J2834" i="55"/>
  <c r="K2834" i="55"/>
  <c r="J2835" i="55"/>
  <c r="K2835" i="55"/>
  <c r="J2836" i="55"/>
  <c r="K2836" i="55"/>
  <c r="J2837" i="55"/>
  <c r="K2837" i="55"/>
  <c r="J2838" i="55"/>
  <c r="K2838" i="55"/>
  <c r="J2839" i="55"/>
  <c r="K2839" i="55"/>
  <c r="J2840" i="55"/>
  <c r="K2840" i="55"/>
  <c r="J2841" i="55"/>
  <c r="K2841" i="55"/>
  <c r="J2842" i="55"/>
  <c r="K2842" i="55"/>
  <c r="J2843" i="55"/>
  <c r="K2843" i="55"/>
  <c r="J2844" i="55"/>
  <c r="K2844" i="55"/>
  <c r="J2845" i="55"/>
  <c r="K2845" i="55"/>
  <c r="J2846" i="55"/>
  <c r="K2846" i="55"/>
  <c r="J2804" i="55"/>
  <c r="K2804" i="55"/>
  <c r="J2805" i="55"/>
  <c r="K2805" i="55"/>
  <c r="J2806" i="55"/>
  <c r="K2806" i="55"/>
  <c r="J2807" i="55"/>
  <c r="K2807" i="55"/>
  <c r="J2808" i="55"/>
  <c r="K2808" i="55"/>
  <c r="J2809" i="55"/>
  <c r="K2809" i="55"/>
  <c r="J2810" i="55"/>
  <c r="K2810" i="55"/>
  <c r="J2811" i="55"/>
  <c r="K2811" i="55"/>
  <c r="J2812" i="55"/>
  <c r="K2812" i="55"/>
  <c r="J2813" i="55"/>
  <c r="K2813" i="55"/>
  <c r="J2814" i="55"/>
  <c r="K2814" i="55"/>
  <c r="J2815" i="55"/>
  <c r="K2815" i="55"/>
  <c r="J2816" i="55"/>
  <c r="K2816" i="55"/>
  <c r="J2817" i="55"/>
  <c r="K2817" i="55"/>
  <c r="J2818" i="55"/>
  <c r="K2818" i="55"/>
  <c r="J2819" i="55"/>
  <c r="K2819" i="55"/>
  <c r="J2820" i="55"/>
  <c r="K2820" i="55"/>
  <c r="J2821" i="55"/>
  <c r="K2821" i="55"/>
  <c r="J2822" i="55"/>
  <c r="K2822" i="55"/>
  <c r="J2823" i="55"/>
  <c r="K2823" i="55"/>
  <c r="J2824" i="55"/>
  <c r="K2824" i="55"/>
  <c r="J2825" i="55"/>
  <c r="K2825" i="55"/>
  <c r="J2782" i="55"/>
  <c r="K2782" i="55"/>
  <c r="J2783" i="55"/>
  <c r="K2783" i="55"/>
  <c r="J2784" i="55"/>
  <c r="K2784" i="55"/>
  <c r="J2785" i="55"/>
  <c r="K2785" i="55"/>
  <c r="J2786" i="55"/>
  <c r="K2786" i="55"/>
  <c r="J2787" i="55"/>
  <c r="K2787" i="55"/>
  <c r="J2788" i="55"/>
  <c r="K2788" i="55"/>
  <c r="J2789" i="55"/>
  <c r="K2789" i="55"/>
  <c r="J2790" i="55"/>
  <c r="K2790" i="55"/>
  <c r="J2791" i="55"/>
  <c r="K2791" i="55"/>
  <c r="J2792" i="55"/>
  <c r="K2792" i="55"/>
  <c r="J2793" i="55"/>
  <c r="K2793" i="55"/>
  <c r="J2794" i="55"/>
  <c r="K2794" i="55"/>
  <c r="J2795" i="55"/>
  <c r="K2795" i="55"/>
  <c r="J2796" i="55"/>
  <c r="K2796" i="55"/>
  <c r="J2797" i="55"/>
  <c r="K2797" i="55"/>
  <c r="J2798" i="55"/>
  <c r="K2798" i="55"/>
  <c r="J2799" i="55"/>
  <c r="K2799" i="55"/>
  <c r="J2800" i="55"/>
  <c r="K2800" i="55"/>
  <c r="J2801" i="55"/>
  <c r="K2801" i="55"/>
  <c r="J2802" i="55"/>
  <c r="K2802" i="55"/>
  <c r="J2803" i="55"/>
  <c r="K2803" i="55"/>
  <c r="J2764" i="55"/>
  <c r="K2764" i="55"/>
  <c r="J2765" i="55"/>
  <c r="K2765" i="55"/>
  <c r="J2766" i="55"/>
  <c r="K2766" i="55"/>
  <c r="J2767" i="55"/>
  <c r="K2767" i="55"/>
  <c r="J2768" i="55"/>
  <c r="K2768" i="55"/>
  <c r="J2769" i="55"/>
  <c r="K2769" i="55"/>
  <c r="J2770" i="55"/>
  <c r="K2770" i="55"/>
  <c r="J2771" i="55"/>
  <c r="K2771" i="55"/>
  <c r="J2772" i="55"/>
  <c r="K2772" i="55"/>
  <c r="J2773" i="55"/>
  <c r="K2773" i="55"/>
  <c r="J2774" i="55"/>
  <c r="K2774" i="55"/>
  <c r="J2775" i="55"/>
  <c r="K2775" i="55"/>
  <c r="J2776" i="55"/>
  <c r="K2776" i="55"/>
  <c r="J2777" i="55"/>
  <c r="K2777" i="55"/>
  <c r="J2778" i="55"/>
  <c r="K2778" i="55"/>
  <c r="J2779" i="55"/>
  <c r="K2779" i="55"/>
  <c r="J2780" i="55"/>
  <c r="K2780" i="55"/>
  <c r="J2781" i="55"/>
  <c r="K2781" i="55"/>
  <c r="J2753" i="55"/>
  <c r="K2753" i="55"/>
  <c r="J2754" i="55"/>
  <c r="K2754" i="55"/>
  <c r="J2755" i="55"/>
  <c r="K2755" i="55"/>
  <c r="J2756" i="55"/>
  <c r="K2756" i="55"/>
  <c r="J2757" i="55"/>
  <c r="K2757" i="55"/>
  <c r="J2758" i="55"/>
  <c r="K2758" i="55"/>
  <c r="J2759" i="55"/>
  <c r="K2759" i="55"/>
  <c r="J2760" i="55"/>
  <c r="K2760" i="55"/>
  <c r="J2761" i="55"/>
  <c r="K2761" i="55"/>
  <c r="J2762" i="55"/>
  <c r="K2762" i="55"/>
  <c r="J2763" i="55"/>
  <c r="K2763" i="55"/>
  <c r="J2743" i="55"/>
  <c r="K2743" i="55"/>
  <c r="J2744" i="55"/>
  <c r="K2744" i="55"/>
  <c r="J2745" i="55"/>
  <c r="K2745" i="55"/>
  <c r="J2746" i="55"/>
  <c r="K2746" i="55"/>
  <c r="J2747" i="55"/>
  <c r="K2747" i="55"/>
  <c r="J2748" i="55"/>
  <c r="K2748" i="55"/>
  <c r="J2749" i="55"/>
  <c r="K2749" i="55"/>
  <c r="J2750" i="55"/>
  <c r="K2750" i="55"/>
  <c r="J2751" i="55"/>
  <c r="K2751" i="55"/>
  <c r="J2752" i="55"/>
  <c r="K2752" i="55"/>
  <c r="J2732" i="55"/>
  <c r="K2732" i="55"/>
  <c r="J2733" i="55"/>
  <c r="K2733" i="55"/>
  <c r="J2734" i="55"/>
  <c r="K2734" i="55"/>
  <c r="J2735" i="55"/>
  <c r="K2735" i="55"/>
  <c r="J2736" i="55"/>
  <c r="K2736" i="55"/>
  <c r="J2737" i="55"/>
  <c r="K2737" i="55"/>
  <c r="J2738" i="55"/>
  <c r="K2738" i="55"/>
  <c r="J2739" i="55"/>
  <c r="K2739" i="55"/>
  <c r="J2740" i="55"/>
  <c r="K2740" i="55"/>
  <c r="J2741" i="55"/>
  <c r="K2741" i="55"/>
  <c r="J2742" i="55"/>
  <c r="K2742" i="55"/>
  <c r="J2722" i="55"/>
  <c r="K2722" i="55"/>
  <c r="J2723" i="55"/>
  <c r="K2723" i="55"/>
  <c r="J2724" i="55"/>
  <c r="K2724" i="55"/>
  <c r="J2725" i="55"/>
  <c r="K2725" i="55"/>
  <c r="J2726" i="55"/>
  <c r="K2726" i="55"/>
  <c r="J2727" i="55"/>
  <c r="K2727" i="55"/>
  <c r="J2728" i="55"/>
  <c r="K2728" i="55"/>
  <c r="J2729" i="55"/>
  <c r="K2729" i="55"/>
  <c r="J2730" i="55"/>
  <c r="K2730" i="55"/>
  <c r="J2731" i="55"/>
  <c r="K2731" i="55"/>
  <c r="J2710" i="55"/>
  <c r="K2710" i="55"/>
  <c r="J2711" i="55"/>
  <c r="K2711" i="55"/>
  <c r="J2712" i="55"/>
  <c r="K2712" i="55"/>
  <c r="J2713" i="55"/>
  <c r="K2713" i="55"/>
  <c r="J2714" i="55"/>
  <c r="K2714" i="55"/>
  <c r="J2715" i="55"/>
  <c r="K2715" i="55"/>
  <c r="J2716" i="55"/>
  <c r="K2716" i="55"/>
  <c r="J2717" i="55"/>
  <c r="K2717" i="55"/>
  <c r="J2718" i="55"/>
  <c r="K2718" i="55"/>
  <c r="J2719" i="55"/>
  <c r="K2719" i="55"/>
  <c r="J2720" i="55"/>
  <c r="K2720" i="55"/>
  <c r="J2721" i="55"/>
  <c r="K2721" i="55"/>
  <c r="J2703" i="55"/>
  <c r="K2703" i="55"/>
  <c r="J2704" i="55"/>
  <c r="K2704" i="55"/>
  <c r="J2705" i="55"/>
  <c r="K2705" i="55"/>
  <c r="J2706" i="55"/>
  <c r="K2706" i="55"/>
  <c r="J2707" i="55"/>
  <c r="K2707" i="55"/>
  <c r="J2708" i="55"/>
  <c r="K2708" i="55"/>
  <c r="J2709" i="55"/>
  <c r="K2709" i="55"/>
  <c r="J2701" i="55"/>
  <c r="K2701" i="55"/>
  <c r="J2702" i="55"/>
  <c r="K2702" i="55"/>
  <c r="J2700" i="55"/>
  <c r="K2700"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98" i="55"/>
  <c r="K2698" i="55"/>
  <c r="J2699" i="55"/>
  <c r="K2699" i="55"/>
  <c r="J2685" i="55"/>
  <c r="K2685" i="55"/>
  <c r="J2684" i="55"/>
  <c r="K2684" i="55"/>
  <c r="J2670" i="55"/>
  <c r="K2670" i="55"/>
  <c r="J2671" i="55"/>
  <c r="K2671" i="55"/>
  <c r="J2672" i="55"/>
  <c r="K2672" i="55"/>
  <c r="J2673" i="55"/>
  <c r="K2673" i="55"/>
  <c r="J2674" i="55"/>
  <c r="K2674" i="55"/>
  <c r="J2675" i="55"/>
  <c r="K2675" i="55"/>
  <c r="J2676" i="55"/>
  <c r="K2676" i="55"/>
  <c r="J2677" i="55"/>
  <c r="K2677" i="55"/>
  <c r="J2678" i="55"/>
  <c r="K2678" i="55"/>
  <c r="J2679" i="55"/>
  <c r="K2679" i="55"/>
  <c r="J2680" i="55"/>
  <c r="K2680" i="55"/>
  <c r="J2681" i="55"/>
  <c r="K2681" i="55"/>
  <c r="J2682" i="55"/>
  <c r="K2682" i="55"/>
  <c r="J2683" i="55"/>
  <c r="K2683" i="55"/>
  <c r="J2669" i="55"/>
  <c r="K2669" i="55"/>
  <c r="J2652" i="55"/>
  <c r="K2652" i="55"/>
  <c r="J2653" i="55"/>
  <c r="K2653" i="55"/>
  <c r="J2654" i="55"/>
  <c r="K2654" i="55"/>
  <c r="J2655" i="55"/>
  <c r="K2655" i="55"/>
  <c r="J2656" i="55"/>
  <c r="K2656"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35" i="55"/>
  <c r="K263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614" i="55"/>
  <c r="K2614" i="55"/>
  <c r="J2615" i="55"/>
  <c r="K2615" i="55"/>
  <c r="J2616" i="55"/>
  <c r="K2616" i="55"/>
  <c r="J2617" i="55"/>
  <c r="K2617" i="55"/>
  <c r="J2584" i="55"/>
  <c r="K2584" i="55"/>
  <c r="J2585" i="55"/>
  <c r="K2585" i="55"/>
  <c r="J2586" i="55"/>
  <c r="K2586" i="55"/>
  <c r="J2587" i="55"/>
  <c r="K2587" i="55"/>
  <c r="J2588" i="55"/>
  <c r="K2588" i="55"/>
  <c r="J2589" i="55"/>
  <c r="K2589" i="55"/>
  <c r="J2590" i="55"/>
  <c r="K2590" i="55"/>
  <c r="J2591" i="55"/>
  <c r="K2591" i="55"/>
  <c r="J2592" i="55"/>
  <c r="K2592" i="55"/>
  <c r="J2593" i="55"/>
  <c r="K2593" i="55"/>
  <c r="J2594" i="55"/>
  <c r="K2594" i="55"/>
  <c r="J2595" i="55"/>
  <c r="K2595" i="55"/>
  <c r="J2596" i="55"/>
  <c r="K2596" i="55"/>
  <c r="J2597" i="55"/>
  <c r="K2597" i="55"/>
  <c r="J2598" i="55"/>
  <c r="K2598" i="55"/>
  <c r="J2599" i="55"/>
  <c r="K2599" i="55"/>
  <c r="J2600" i="55"/>
  <c r="K2600" i="55"/>
  <c r="J2567" i="55"/>
  <c r="K2567" i="55"/>
  <c r="J2568" i="55"/>
  <c r="K2568" i="55"/>
  <c r="J2569" i="55"/>
  <c r="K2569" i="55"/>
  <c r="J2570" i="55"/>
  <c r="K2570" i="55"/>
  <c r="J2571" i="55"/>
  <c r="K2571" i="55"/>
  <c r="J2572" i="55"/>
  <c r="K2572" i="55"/>
  <c r="J2573" i="55"/>
  <c r="K2573" i="55"/>
  <c r="J2574" i="55"/>
  <c r="K2574" i="55"/>
  <c r="J2575" i="55"/>
  <c r="K2575" i="55"/>
  <c r="J2576" i="55"/>
  <c r="K2576" i="55"/>
  <c r="J2577" i="55"/>
  <c r="K2577" i="55"/>
  <c r="J2578" i="55"/>
  <c r="K2578" i="55"/>
  <c r="J2579" i="55"/>
  <c r="K2579" i="55"/>
  <c r="J2580" i="55"/>
  <c r="K2580" i="55"/>
  <c r="J2581" i="55"/>
  <c r="K2581" i="55"/>
  <c r="J2582" i="55"/>
  <c r="K2582" i="55"/>
  <c r="J2583" i="55"/>
  <c r="K2583" i="55"/>
  <c r="J2550" i="55"/>
  <c r="K2550" i="55"/>
  <c r="J2551" i="55"/>
  <c r="K2551" i="55"/>
  <c r="J2552" i="55"/>
  <c r="K2552" i="55"/>
  <c r="J2553" i="55"/>
  <c r="K2553" i="55"/>
  <c r="J2554" i="55"/>
  <c r="K2554" i="55"/>
  <c r="J2555" i="55"/>
  <c r="K2555" i="55"/>
  <c r="J2556" i="55"/>
  <c r="K2556" i="55"/>
  <c r="J2557" i="55"/>
  <c r="K2557" i="55"/>
  <c r="J2558" i="55"/>
  <c r="K2558" i="55"/>
  <c r="J2559" i="55"/>
  <c r="K2559" i="55"/>
  <c r="J2560" i="55"/>
  <c r="K2560" i="55"/>
  <c r="J2561" i="55"/>
  <c r="K2561" i="55"/>
  <c r="J2562" i="55"/>
  <c r="K2562" i="55"/>
  <c r="J2563" i="55"/>
  <c r="K2563" i="55"/>
  <c r="J2564" i="55"/>
  <c r="K2564" i="55"/>
  <c r="J2565" i="55"/>
  <c r="K2565" i="55"/>
  <c r="J2566" i="55"/>
  <c r="K2566" i="55"/>
  <c r="J2533" i="55"/>
  <c r="K2533" i="55"/>
  <c r="J2534" i="55"/>
  <c r="K2534" i="55"/>
  <c r="J2535" i="55"/>
  <c r="K2535" i="55"/>
  <c r="J2536" i="55"/>
  <c r="K2536" i="55"/>
  <c r="J2537" i="55"/>
  <c r="K2537" i="55"/>
  <c r="J2538" i="55"/>
  <c r="K2538" i="55"/>
  <c r="J2539" i="55"/>
  <c r="K2539" i="55"/>
  <c r="J2540" i="55"/>
  <c r="K2540" i="55"/>
  <c r="J2541" i="55"/>
  <c r="K2541" i="55"/>
  <c r="J2542" i="55"/>
  <c r="K2542" i="55"/>
  <c r="J2543" i="55"/>
  <c r="K2543" i="55"/>
  <c r="J2544" i="55"/>
  <c r="K2544" i="55"/>
  <c r="J2545" i="55"/>
  <c r="K2545" i="55"/>
  <c r="J2546" i="55"/>
  <c r="K2546" i="55"/>
  <c r="J2547" i="55"/>
  <c r="K2547" i="55"/>
  <c r="J2548" i="55"/>
  <c r="K2548" i="55"/>
  <c r="J2549" i="55"/>
  <c r="K2549" i="55"/>
  <c r="J2516" i="55"/>
  <c r="K2516" i="55"/>
  <c r="J2517" i="55"/>
  <c r="K2517" i="55"/>
  <c r="J2518" i="55"/>
  <c r="K2518" i="55"/>
  <c r="J2519" i="55"/>
  <c r="K2519"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32" i="55"/>
  <c r="K2532"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510" i="55"/>
  <c r="K2510" i="55"/>
  <c r="J2511" i="55"/>
  <c r="K2511" i="55"/>
  <c r="J2512" i="55"/>
  <c r="K2512" i="55"/>
  <c r="J2513" i="55"/>
  <c r="K2513" i="55"/>
  <c r="J2514" i="55"/>
  <c r="K2514" i="55"/>
  <c r="J2515" i="55"/>
  <c r="K2515" i="55"/>
  <c r="J2492" i="55"/>
  <c r="K2492" i="55"/>
  <c r="J2493" i="55"/>
  <c r="K2493" i="55"/>
  <c r="J2494" i="55"/>
  <c r="K2494" i="55"/>
  <c r="J2495" i="55"/>
  <c r="K2495" i="55"/>
  <c r="J2496" i="55"/>
  <c r="K2496" i="55"/>
  <c r="J2497" i="55"/>
  <c r="K2497" i="55"/>
  <c r="J2498" i="55"/>
  <c r="K2498" i="55"/>
  <c r="J2487" i="55"/>
  <c r="K2487" i="55"/>
  <c r="J2488" i="55"/>
  <c r="K2488" i="55"/>
  <c r="J2489" i="55"/>
  <c r="K2489" i="55"/>
  <c r="J2490" i="55"/>
  <c r="K2490" i="55"/>
  <c r="J2491" i="55"/>
  <c r="K2491" i="55"/>
  <c r="J2486" i="55"/>
  <c r="K2486" i="55"/>
  <c r="K2485" i="55"/>
  <c r="J2485" i="55"/>
  <c r="K2484" i="55"/>
  <c r="J2484" i="55"/>
  <c r="K2482" i="55"/>
  <c r="J2483" i="55"/>
  <c r="B380" i="55"/>
  <c r="B333" i="55"/>
  <c r="B383" i="55"/>
  <c r="B294" i="55"/>
  <c r="B502" i="55"/>
  <c r="B304" i="55"/>
  <c r="B303" i="55"/>
  <c r="B305" i="55"/>
  <c r="B325" i="55"/>
  <c r="C498" i="55"/>
  <c r="B143" i="55"/>
  <c r="B354" i="55"/>
  <c r="B203" i="55"/>
  <c r="B326" i="55"/>
  <c r="J2482" i="55" l="1"/>
  <c r="K2483" i="55"/>
  <c r="B381" i="55"/>
  <c r="B37" i="55"/>
  <c r="B322" i="55"/>
  <c r="B384" i="55"/>
  <c r="B298" i="55"/>
  <c r="H2477" i="55" l="1"/>
  <c r="H2478" i="55"/>
  <c r="H2479" i="55"/>
  <c r="H2480" i="55"/>
  <c r="K2480" i="55" s="1"/>
  <c r="H2481" i="55"/>
  <c r="K2481" i="55" s="1"/>
  <c r="H2460" i="55"/>
  <c r="H2461" i="55"/>
  <c r="K2461" i="55" s="1"/>
  <c r="H2462" i="55"/>
  <c r="H2463" i="55"/>
  <c r="K2463" i="55" s="1"/>
  <c r="H2464" i="55"/>
  <c r="J2464" i="55" s="1"/>
  <c r="H2465" i="55"/>
  <c r="H2466" i="55"/>
  <c r="H2467" i="55"/>
  <c r="K2467" i="55" s="1"/>
  <c r="H2469" i="55"/>
  <c r="H2470" i="55"/>
  <c r="J2470" i="55" s="1"/>
  <c r="H2471" i="55"/>
  <c r="H2472" i="55"/>
  <c r="K2472" i="55" s="1"/>
  <c r="H2473" i="55"/>
  <c r="H2474" i="55"/>
  <c r="J2474" i="55" s="1"/>
  <c r="H2475" i="55"/>
  <c r="K2475" i="55" s="1"/>
  <c r="H2476" i="55"/>
  <c r="H2447" i="55"/>
  <c r="H2448" i="55"/>
  <c r="H2449" i="55"/>
  <c r="J2449" i="55" s="1"/>
  <c r="H2450" i="55"/>
  <c r="K2450" i="55" s="1"/>
  <c r="H2451" i="55"/>
  <c r="K2451" i="55" s="1"/>
  <c r="H2452" i="55"/>
  <c r="H2453" i="55"/>
  <c r="J2453" i="55" s="1"/>
  <c r="H2454" i="55"/>
  <c r="K2454" i="55" s="1"/>
  <c r="H2455" i="55"/>
  <c r="H2456" i="55"/>
  <c r="H2457" i="55"/>
  <c r="J2457" i="55" s="1"/>
  <c r="H2458" i="55"/>
  <c r="H2459" i="55"/>
  <c r="K2459" i="55" s="1"/>
  <c r="H2435" i="55"/>
  <c r="H2436" i="55"/>
  <c r="H2437" i="55"/>
  <c r="H2438" i="55"/>
  <c r="J2438" i="55" s="1"/>
  <c r="H2439" i="55"/>
  <c r="H2440" i="55"/>
  <c r="H2441" i="55"/>
  <c r="J2441" i="55" s="1"/>
  <c r="H2442" i="55"/>
  <c r="K2442" i="55" s="1"/>
  <c r="H2443" i="55"/>
  <c r="H2444" i="55"/>
  <c r="H2445" i="55"/>
  <c r="J2445" i="55" s="1"/>
  <c r="H2446" i="55"/>
  <c r="J2446" i="55" s="1"/>
  <c r="H2423" i="55"/>
  <c r="H2424" i="55"/>
  <c r="H2425" i="55"/>
  <c r="K2425" i="55" s="1"/>
  <c r="H2426" i="55"/>
  <c r="K2426" i="55" s="1"/>
  <c r="H2427" i="55"/>
  <c r="J2427" i="55" s="1"/>
  <c r="H2428" i="55"/>
  <c r="H2429" i="55"/>
  <c r="J2429" i="55" s="1"/>
  <c r="H2430" i="55"/>
  <c r="K2430" i="55" s="1"/>
  <c r="H2431" i="55"/>
  <c r="K2431" i="55" s="1"/>
  <c r="H2432" i="55"/>
  <c r="K2432" i="55" s="1"/>
  <c r="H2433" i="55"/>
  <c r="K2433" i="55" s="1"/>
  <c r="H2434" i="55"/>
  <c r="J2434" i="55" s="1"/>
  <c r="H2402" i="55"/>
  <c r="J2402" i="55" s="1"/>
  <c r="H2403" i="55"/>
  <c r="J2403" i="55" s="1"/>
  <c r="H2404" i="55"/>
  <c r="K2404" i="55" s="1"/>
  <c r="H2405" i="55"/>
  <c r="J2405" i="55" s="1"/>
  <c r="H2406" i="55"/>
  <c r="K2406" i="55" s="1"/>
  <c r="H2407" i="55"/>
  <c r="J2407" i="55" s="1"/>
  <c r="H2408" i="55"/>
  <c r="K2408" i="55" s="1"/>
  <c r="H2409" i="55"/>
  <c r="K2409" i="55" s="1"/>
  <c r="H2410" i="55"/>
  <c r="J2410" i="55" s="1"/>
  <c r="H2411" i="55"/>
  <c r="J2411" i="55" s="1"/>
  <c r="H2412" i="55"/>
  <c r="K2412" i="55" s="1"/>
  <c r="H2413" i="55"/>
  <c r="K2413" i="55" s="1"/>
  <c r="H2414" i="55"/>
  <c r="K2414" i="55" s="1"/>
  <c r="H2415" i="55"/>
  <c r="H2416" i="55"/>
  <c r="H2417" i="55"/>
  <c r="K2417" i="55" s="1"/>
  <c r="H2418" i="55"/>
  <c r="H2419" i="55"/>
  <c r="K2419" i="55" s="1"/>
  <c r="H2420" i="55"/>
  <c r="J2420" i="55" s="1"/>
  <c r="H2421" i="55"/>
  <c r="J2421" i="55" s="1"/>
  <c r="H2422" i="55"/>
  <c r="J2422" i="55" s="1"/>
  <c r="H2364" i="55"/>
  <c r="H2365" i="55"/>
  <c r="J2365" i="55" s="1"/>
  <c r="H2366" i="55"/>
  <c r="H2367" i="55"/>
  <c r="H2368" i="55"/>
  <c r="H2369" i="55"/>
  <c r="H2370" i="55"/>
  <c r="H2371" i="55"/>
  <c r="H2372" i="55"/>
  <c r="H2373" i="55"/>
  <c r="J2373" i="55" s="1"/>
  <c r="H2374" i="55"/>
  <c r="H2375" i="55"/>
  <c r="H2376" i="55"/>
  <c r="H2377" i="55"/>
  <c r="H2378" i="55"/>
  <c r="J2378" i="55" s="1"/>
  <c r="H2379" i="55"/>
  <c r="H2380" i="55"/>
  <c r="J2380" i="55" s="1"/>
  <c r="H2381" i="55"/>
  <c r="H2382" i="55"/>
  <c r="H2383" i="55"/>
  <c r="H2384" i="55"/>
  <c r="H2385" i="55"/>
  <c r="J2385" i="55" s="1"/>
  <c r="H2386" i="55"/>
  <c r="H2387" i="55"/>
  <c r="J2387" i="55" s="1"/>
  <c r="H2388" i="55"/>
  <c r="K2388" i="55" s="1"/>
  <c r="H2389" i="55"/>
  <c r="K2389" i="55" s="1"/>
  <c r="H2390" i="55"/>
  <c r="J2390" i="55" s="1"/>
  <c r="H2391" i="55"/>
  <c r="K2391" i="55" s="1"/>
  <c r="H2392" i="55"/>
  <c r="J2392" i="55" s="1"/>
  <c r="H2393" i="55"/>
  <c r="K2393" i="55" s="1"/>
  <c r="H2394" i="55"/>
  <c r="J2394" i="55" s="1"/>
  <c r="H2395" i="55"/>
  <c r="J2395" i="55" s="1"/>
  <c r="H2396" i="55"/>
  <c r="J2396" i="55" s="1"/>
  <c r="H2397" i="55"/>
  <c r="K2397" i="55" s="1"/>
  <c r="H2398" i="55"/>
  <c r="K2398" i="55" s="1"/>
  <c r="H2399" i="55"/>
  <c r="K2399" i="55" s="1"/>
  <c r="H2400" i="55"/>
  <c r="J2400" i="55" s="1"/>
  <c r="H2401" i="55"/>
  <c r="K2401" i="55" s="1"/>
  <c r="H2316" i="55"/>
  <c r="H2317" i="55"/>
  <c r="K2317" i="55" s="1"/>
  <c r="H2318" i="55"/>
  <c r="J2318" i="55" s="1"/>
  <c r="H2319" i="55"/>
  <c r="K2319" i="55" s="1"/>
  <c r="H2320" i="55"/>
  <c r="J2320" i="55" s="1"/>
  <c r="H2321" i="55"/>
  <c r="H2322" i="55"/>
  <c r="J2322" i="55" s="1"/>
  <c r="H2323" i="55"/>
  <c r="K2323" i="55" s="1"/>
  <c r="H2324" i="55"/>
  <c r="H2325" i="55"/>
  <c r="J2325" i="55" s="1"/>
  <c r="H2326" i="55"/>
  <c r="J2326" i="55" s="1"/>
  <c r="H2327" i="55"/>
  <c r="K2327" i="55" s="1"/>
  <c r="H2328" i="55"/>
  <c r="K2328" i="55" s="1"/>
  <c r="H2329" i="55"/>
  <c r="J2329" i="55" s="1"/>
  <c r="H2330" i="55"/>
  <c r="K2330" i="55" s="1"/>
  <c r="H2331" i="55"/>
  <c r="H2332" i="55"/>
  <c r="H2333" i="55"/>
  <c r="J2333" i="55" s="1"/>
  <c r="H2334" i="55"/>
  <c r="K2334" i="55" s="1"/>
  <c r="H2335" i="55"/>
  <c r="H2336" i="55"/>
  <c r="J2336" i="55" s="1"/>
  <c r="H2337" i="55"/>
  <c r="J2337" i="55" s="1"/>
  <c r="H2338" i="55"/>
  <c r="J2338" i="55" s="1"/>
  <c r="H2339" i="55"/>
  <c r="J2339" i="55" s="1"/>
  <c r="H2340" i="55"/>
  <c r="J2340" i="55" s="1"/>
  <c r="H2341" i="55"/>
  <c r="K2341" i="55" s="1"/>
  <c r="H2342" i="55"/>
  <c r="J2342" i="55" s="1"/>
  <c r="H2343" i="55"/>
  <c r="K2343" i="55" s="1"/>
  <c r="H2344" i="55"/>
  <c r="J2344" i="55" s="1"/>
  <c r="H2345" i="55"/>
  <c r="J2345" i="55" s="1"/>
  <c r="H2346" i="55"/>
  <c r="J2346" i="55" s="1"/>
  <c r="H2347" i="55"/>
  <c r="J2347" i="55" s="1"/>
  <c r="H2348" i="55"/>
  <c r="K2348" i="55" s="1"/>
  <c r="H2349" i="55"/>
  <c r="K2349" i="55" s="1"/>
  <c r="H2350" i="55"/>
  <c r="J2350" i="55" s="1"/>
  <c r="H2351" i="55"/>
  <c r="K2351" i="55" s="1"/>
  <c r="H2352" i="55"/>
  <c r="J2352" i="55" s="1"/>
  <c r="H2353" i="55"/>
  <c r="K2353" i="55" s="1"/>
  <c r="H2354" i="55"/>
  <c r="J2354" i="55" s="1"/>
  <c r="H2355" i="55"/>
  <c r="J2355" i="55" s="1"/>
  <c r="H2356" i="55"/>
  <c r="K2356" i="55" s="1"/>
  <c r="H2357" i="55"/>
  <c r="K2357" i="55" s="1"/>
  <c r="H2358" i="55"/>
  <c r="J2358" i="55" s="1"/>
  <c r="H2359" i="55"/>
  <c r="J2359" i="55" s="1"/>
  <c r="H2360" i="55"/>
  <c r="J2360" i="55" s="1"/>
  <c r="H2361" i="55"/>
  <c r="K2361" i="55" s="1"/>
  <c r="H2362" i="55"/>
  <c r="K2362" i="55" s="1"/>
  <c r="H2363" i="55"/>
  <c r="H2315" i="55"/>
  <c r="H2314" i="55"/>
  <c r="B331" i="55"/>
  <c r="B330" i="55"/>
  <c r="B2781" i="55"/>
  <c r="B2728" i="55"/>
  <c r="B2761" i="55"/>
  <c r="B2659" i="55"/>
  <c r="B59" i="55"/>
  <c r="B332" i="55"/>
  <c r="B296" i="55"/>
  <c r="B2552" i="55"/>
  <c r="B2534" i="55"/>
  <c r="B2810" i="55"/>
  <c r="B2850" i="55"/>
  <c r="B2657" i="55"/>
  <c r="B2556" i="55"/>
  <c r="B2629" i="55"/>
  <c r="B2849" i="55"/>
  <c r="B2828" i="55"/>
  <c r="B2773" i="55"/>
  <c r="B2797" i="55"/>
  <c r="B2569" i="55"/>
  <c r="B2818" i="55"/>
  <c r="B2857" i="55"/>
  <c r="B2553" i="55"/>
  <c r="B293" i="55"/>
  <c r="B2665" i="55"/>
  <c r="B2535" i="55"/>
  <c r="B2573" i="55"/>
  <c r="B2764" i="55"/>
  <c r="B2765" i="55"/>
  <c r="B302" i="55"/>
  <c r="B2613" i="55"/>
  <c r="B2706" i="55"/>
  <c r="B300" i="55"/>
  <c r="B57" i="55"/>
  <c r="B2697" i="55"/>
  <c r="B2712" i="55"/>
  <c r="B2846" i="55"/>
  <c r="B2774" i="55"/>
  <c r="B307" i="55"/>
  <c r="B2807" i="55"/>
  <c r="B496" i="55"/>
  <c r="B297" i="55"/>
  <c r="B2602" i="55"/>
  <c r="B2611" i="55"/>
  <c r="B2533" i="55"/>
  <c r="J2353" i="55" l="1"/>
  <c r="J2413" i="55"/>
  <c r="J2406" i="55"/>
  <c r="K2405" i="55"/>
  <c r="K2358" i="55"/>
  <c r="K2338" i="55"/>
  <c r="J2362" i="55"/>
  <c r="J2349" i="55"/>
  <c r="J2343" i="55"/>
  <c r="J2404" i="55"/>
  <c r="J2425" i="55"/>
  <c r="J2348" i="55"/>
  <c r="K2342" i="55"/>
  <c r="K2337" i="55"/>
  <c r="J2401" i="55"/>
  <c r="J2475" i="55"/>
  <c r="J2330" i="55"/>
  <c r="K2438" i="55"/>
  <c r="K2329" i="55"/>
  <c r="J2431" i="55"/>
  <c r="J2454" i="55"/>
  <c r="K2464" i="55"/>
  <c r="J2357" i="55"/>
  <c r="J2323" i="55"/>
  <c r="J2317" i="55"/>
  <c r="K2363" i="55"/>
  <c r="K2386" i="55"/>
  <c r="J2386" i="55"/>
  <c r="J2356" i="55"/>
  <c r="J2351" i="55"/>
  <c r="J2398" i="55"/>
  <c r="J2417" i="55"/>
  <c r="K2411" i="55"/>
  <c r="K2403" i="55"/>
  <c r="J2432" i="55"/>
  <c r="J2442" i="55"/>
  <c r="J2461" i="55"/>
  <c r="K2446" i="55"/>
  <c r="J2335" i="55"/>
  <c r="K2410" i="55"/>
  <c r="J2472" i="55"/>
  <c r="J2414" i="55"/>
  <c r="J2409" i="55"/>
  <c r="K2350" i="55"/>
  <c r="J2361" i="55"/>
  <c r="J2328" i="55"/>
  <c r="K2335" i="55"/>
  <c r="J2363" i="55"/>
  <c r="K2346" i="55"/>
  <c r="K2325" i="55"/>
  <c r="K2381" i="55"/>
  <c r="K2376" i="55"/>
  <c r="K2370" i="55"/>
  <c r="K2422" i="55"/>
  <c r="K2416" i="55"/>
  <c r="J2424" i="55"/>
  <c r="J2443" i="55"/>
  <c r="J2458" i="55"/>
  <c r="K2453" i="55"/>
  <c r="K2474" i="55"/>
  <c r="J2471" i="55"/>
  <c r="K2462" i="55"/>
  <c r="J2314" i="55"/>
  <c r="J2331" i="55"/>
  <c r="K2318" i="55"/>
  <c r="J2393" i="55"/>
  <c r="J2375" i="55"/>
  <c r="J2369" i="55"/>
  <c r="J2419" i="55"/>
  <c r="J2415" i="55"/>
  <c r="J2433" i="55"/>
  <c r="J2423" i="55"/>
  <c r="K2449" i="55"/>
  <c r="J2465" i="55"/>
  <c r="K2479" i="55"/>
  <c r="J2321" i="55"/>
  <c r="J2430" i="55"/>
  <c r="J2437" i="55"/>
  <c r="K2437" i="55"/>
  <c r="J2478" i="55"/>
  <c r="J2418" i="55"/>
  <c r="K2429" i="55"/>
  <c r="J2426" i="55"/>
  <c r="J2436" i="55"/>
  <c r="J2456" i="55"/>
  <c r="J2452" i="55"/>
  <c r="J2447" i="55"/>
  <c r="J2473" i="55"/>
  <c r="J2469" i="55"/>
  <c r="K2469" i="55"/>
  <c r="J2477" i="55"/>
  <c r="J2315" i="55"/>
  <c r="K2380" i="55"/>
  <c r="K2457" i="55"/>
  <c r="J2448" i="55"/>
  <c r="K2470" i="55"/>
  <c r="K2359" i="55"/>
  <c r="K2345" i="55"/>
  <c r="J2334" i="55"/>
  <c r="J2324" i="55"/>
  <c r="K2320" i="55"/>
  <c r="J2367" i="55"/>
  <c r="K2421" i="55"/>
  <c r="J2341" i="55"/>
  <c r="J2397" i="55"/>
  <c r="K2385" i="55"/>
  <c r="J2379" i="55"/>
  <c r="K2373" i="55"/>
  <c r="K2366" i="55"/>
  <c r="K2402" i="55"/>
  <c r="J2435" i="55"/>
  <c r="J2455" i="55"/>
  <c r="J2476" i="55"/>
  <c r="J2460" i="55"/>
  <c r="J2384" i="55"/>
  <c r="J2372" i="55"/>
  <c r="K2441" i="55"/>
  <c r="J2451" i="55"/>
  <c r="J2467" i="55"/>
  <c r="K2374" i="55"/>
  <c r="K2418" i="55"/>
  <c r="K2333" i="55"/>
  <c r="J2327" i="55"/>
  <c r="J2316" i="55"/>
  <c r="K2354" i="55"/>
  <c r="K2340" i="55"/>
  <c r="K2383" i="55"/>
  <c r="J2371" i="55"/>
  <c r="J2481" i="55"/>
  <c r="K2368" i="55"/>
  <c r="K2332" i="55"/>
  <c r="K2378" i="55"/>
  <c r="K2365" i="55"/>
  <c r="J2428" i="55"/>
  <c r="K2445" i="55"/>
  <c r="J2440" i="55"/>
  <c r="J2459" i="55"/>
  <c r="K2466" i="55"/>
  <c r="J2463" i="55"/>
  <c r="J2332" i="55"/>
  <c r="K2326" i="55"/>
  <c r="K2322" i="55"/>
  <c r="J2319" i="55"/>
  <c r="J2388" i="55"/>
  <c r="J2382" i="55"/>
  <c r="J2377" i="55"/>
  <c r="J2370" i="55"/>
  <c r="J2364" i="55"/>
  <c r="K2420" i="55"/>
  <c r="J2416" i="55"/>
  <c r="J2408" i="55"/>
  <c r="K2434" i="55"/>
  <c r="K2427" i="55"/>
  <c r="K2424" i="55"/>
  <c r="J2444" i="55"/>
  <c r="J2439" i="55"/>
  <c r="K2439" i="55"/>
  <c r="K2458" i="55"/>
  <c r="J2450" i="55"/>
  <c r="K2471" i="55"/>
  <c r="J2466" i="55"/>
  <c r="J2462" i="55"/>
  <c r="J2480" i="55"/>
  <c r="K2478" i="55"/>
  <c r="J2479" i="55"/>
  <c r="K2477" i="55"/>
  <c r="K2476" i="55"/>
  <c r="K2468" i="55"/>
  <c r="K2460" i="55"/>
  <c r="K2473" i="55"/>
  <c r="K2465" i="55"/>
  <c r="K2456" i="55"/>
  <c r="K2448" i="55"/>
  <c r="K2455" i="55"/>
  <c r="K2447" i="55"/>
  <c r="K2452" i="55"/>
  <c r="K2444" i="55"/>
  <c r="K2436" i="55"/>
  <c r="K2443" i="55"/>
  <c r="K2435" i="55"/>
  <c r="K2440" i="55"/>
  <c r="K2423" i="55"/>
  <c r="K2428" i="55"/>
  <c r="K2415" i="55"/>
  <c r="K2407" i="55"/>
  <c r="J2412" i="55"/>
  <c r="K2394" i="55"/>
  <c r="K2390" i="55"/>
  <c r="K2382" i="55"/>
  <c r="K2379" i="55"/>
  <c r="K2375" i="55"/>
  <c r="K2371" i="55"/>
  <c r="K2367" i="55"/>
  <c r="J2389" i="55"/>
  <c r="J2381" i="55"/>
  <c r="J2374" i="55"/>
  <c r="J2366" i="55"/>
  <c r="K2396" i="55"/>
  <c r="J2399" i="55"/>
  <c r="K2395" i="55"/>
  <c r="J2391" i="55"/>
  <c r="J2383" i="55"/>
  <c r="J2376" i="55"/>
  <c r="J2368" i="55"/>
  <c r="K2387" i="55"/>
  <c r="K2372" i="55"/>
  <c r="K2364" i="55"/>
  <c r="K2400" i="55"/>
  <c r="K2392" i="55"/>
  <c r="K2384" i="55"/>
  <c r="K2377" i="55"/>
  <c r="K2369" i="55"/>
  <c r="K2355" i="55"/>
  <c r="K2347" i="55"/>
  <c r="K2339" i="55"/>
  <c r="K2331" i="55"/>
  <c r="K2324" i="55"/>
  <c r="K2316" i="55"/>
  <c r="K2360" i="55"/>
  <c r="K2352" i="55"/>
  <c r="K2344" i="55"/>
  <c r="K2336" i="55"/>
  <c r="K2321" i="55"/>
  <c r="K2315" i="55"/>
  <c r="K2314" i="55"/>
  <c r="B2840" i="55"/>
  <c r="B2584" i="55"/>
  <c r="B2685" i="55"/>
  <c r="B2847" i="55"/>
  <c r="B2594" i="55"/>
  <c r="B2844" i="55"/>
  <c r="B2621" i="55"/>
  <c r="B2517" i="55"/>
  <c r="B373" i="55"/>
  <c r="B2653" i="55"/>
  <c r="B2660" i="55"/>
  <c r="B2705" i="55"/>
  <c r="B2524" i="55"/>
  <c r="B2500" i="55"/>
  <c r="B334" i="55"/>
  <c r="B2637" i="55"/>
  <c r="B2664" i="55"/>
  <c r="B2609" i="55"/>
  <c r="B295" i="55"/>
  <c r="B2575" i="55"/>
  <c r="B2560" i="55"/>
  <c r="B2775" i="55"/>
  <c r="B2670" i="55"/>
  <c r="B2757" i="55"/>
  <c r="B55" i="55"/>
  <c r="B2620" i="55"/>
  <c r="B2580" i="55"/>
  <c r="B2687" i="55"/>
  <c r="B2550" i="55"/>
  <c r="B2795" i="55"/>
  <c r="B301" i="55"/>
  <c r="B2746" i="55"/>
  <c r="B2643" i="55"/>
  <c r="B2794" i="55"/>
  <c r="B382" i="55"/>
  <c r="B2669" i="55"/>
  <c r="B353" i="55"/>
  <c r="B2519" i="55"/>
  <c r="B2614" i="55"/>
  <c r="B2589" i="55"/>
  <c r="B2796" i="55"/>
  <c r="B327" i="55"/>
  <c r="B2751" i="55"/>
  <c r="B329" i="55"/>
  <c r="B2703" i="55"/>
  <c r="B2578" i="55"/>
  <c r="B2558" i="55"/>
  <c r="B2505" i="55"/>
  <c r="H2266" i="55" l="1"/>
  <c r="J2266" i="55" s="1"/>
  <c r="H2267" i="55"/>
  <c r="J2267" i="55" s="1"/>
  <c r="H2268" i="55"/>
  <c r="K2268" i="55" s="1"/>
  <c r="H2269" i="55"/>
  <c r="J2269" i="55" s="1"/>
  <c r="H2270" i="55"/>
  <c r="K2270" i="55" s="1"/>
  <c r="H2271" i="55"/>
  <c r="J2271" i="55" s="1"/>
  <c r="H2272" i="55"/>
  <c r="J2272" i="55" s="1"/>
  <c r="H2273" i="55"/>
  <c r="J2273" i="55" s="1"/>
  <c r="H2274" i="55"/>
  <c r="J2274" i="55" s="1"/>
  <c r="H2275" i="55"/>
  <c r="J2275" i="55" s="1"/>
  <c r="H2276" i="55"/>
  <c r="K2276" i="55" s="1"/>
  <c r="H2277" i="55"/>
  <c r="J2277" i="55" s="1"/>
  <c r="H2278" i="55"/>
  <c r="J2278" i="55" s="1"/>
  <c r="H2279" i="55"/>
  <c r="J2279" i="55" s="1"/>
  <c r="H2280" i="55"/>
  <c r="J2280" i="55" s="1"/>
  <c r="H2281" i="55"/>
  <c r="J2281" i="55" s="1"/>
  <c r="H2282" i="55"/>
  <c r="J2282" i="55" s="1"/>
  <c r="H2283" i="55"/>
  <c r="K2283" i="55" s="1"/>
  <c r="H2284" i="55"/>
  <c r="K2284" i="55" s="1"/>
  <c r="H2285" i="55"/>
  <c r="J2285" i="55" s="1"/>
  <c r="H2286" i="55"/>
  <c r="J2286" i="55" s="1"/>
  <c r="H2287" i="55"/>
  <c r="J2287" i="55" s="1"/>
  <c r="H2288" i="55"/>
  <c r="K2288" i="55" s="1"/>
  <c r="H2289" i="55"/>
  <c r="J2289" i="55" s="1"/>
  <c r="H2290" i="55"/>
  <c r="J2290" i="55" s="1"/>
  <c r="H2291" i="55"/>
  <c r="K2291" i="55" s="1"/>
  <c r="H2292" i="55"/>
  <c r="K2292" i="55" s="1"/>
  <c r="H2293" i="55"/>
  <c r="J2293" i="55" s="1"/>
  <c r="H2294" i="55"/>
  <c r="J2294" i="55" s="1"/>
  <c r="H2295" i="55"/>
  <c r="J2295" i="55" s="1"/>
  <c r="H2296" i="55"/>
  <c r="J2296" i="55" s="1"/>
  <c r="H2297" i="55"/>
  <c r="J2297" i="55" s="1"/>
  <c r="H2298" i="55"/>
  <c r="J2298" i="55" s="1"/>
  <c r="H2299" i="55"/>
  <c r="J2299" i="55" s="1"/>
  <c r="H2300" i="55"/>
  <c r="K2300" i="55" s="1"/>
  <c r="H2301" i="55"/>
  <c r="J2301" i="55" s="1"/>
  <c r="H2302" i="55"/>
  <c r="K2302" i="55" s="1"/>
  <c r="H2303" i="55"/>
  <c r="J2303" i="55" s="1"/>
  <c r="H2304" i="55"/>
  <c r="J2304" i="55" s="1"/>
  <c r="H2305" i="55"/>
  <c r="J2305" i="55" s="1"/>
  <c r="H2306" i="55"/>
  <c r="J2306" i="55" s="1"/>
  <c r="H2307" i="55"/>
  <c r="J2307" i="55" s="1"/>
  <c r="H2308" i="55"/>
  <c r="K2308" i="55" s="1"/>
  <c r="H2309" i="55"/>
  <c r="K2309" i="55" s="1"/>
  <c r="H2310" i="55"/>
  <c r="H2311" i="55"/>
  <c r="J2311" i="55" s="1"/>
  <c r="H2313" i="55"/>
  <c r="H2265" i="55"/>
  <c r="J2265" i="55" s="1"/>
  <c r="H2244" i="55"/>
  <c r="K2244" i="55" s="1"/>
  <c r="H2245" i="55"/>
  <c r="J2245" i="55" s="1"/>
  <c r="H2246" i="55"/>
  <c r="K2246" i="55" s="1"/>
  <c r="H2247" i="55"/>
  <c r="J2247" i="55" s="1"/>
  <c r="H2248" i="55"/>
  <c r="J2248" i="55" s="1"/>
  <c r="H2249" i="55"/>
  <c r="J2249" i="55" s="1"/>
  <c r="H2250" i="55"/>
  <c r="J2250" i="55" s="1"/>
  <c r="H2251" i="55"/>
  <c r="J2251" i="55" s="1"/>
  <c r="H2252" i="55"/>
  <c r="K2252" i="55" s="1"/>
  <c r="H2253" i="55"/>
  <c r="J2253" i="55" s="1"/>
  <c r="H2254" i="55"/>
  <c r="K2254" i="55" s="1"/>
  <c r="H2255" i="55"/>
  <c r="J2255" i="55" s="1"/>
  <c r="H2256" i="55"/>
  <c r="J2256" i="55" s="1"/>
  <c r="H2257" i="55"/>
  <c r="J2257" i="55" s="1"/>
  <c r="H2258" i="55"/>
  <c r="K2258" i="55" s="1"/>
  <c r="H2259" i="55"/>
  <c r="J2259" i="55" s="1"/>
  <c r="H2260" i="55"/>
  <c r="K2260" i="55" s="1"/>
  <c r="H2261" i="55"/>
  <c r="K2261" i="55" s="1"/>
  <c r="H2262" i="55"/>
  <c r="K2262" i="55" s="1"/>
  <c r="H2263" i="55"/>
  <c r="J2263" i="55" s="1"/>
  <c r="H2264" i="55"/>
  <c r="J2264" i="55" s="1"/>
  <c r="H2227" i="55"/>
  <c r="K2227" i="55" s="1"/>
  <c r="H2228" i="55"/>
  <c r="J2228" i="55" s="1"/>
  <c r="H2229" i="55"/>
  <c r="K2229" i="55" s="1"/>
  <c r="H2230" i="55"/>
  <c r="J2230" i="55" s="1"/>
  <c r="H2231" i="55"/>
  <c r="J2231" i="55" s="1"/>
  <c r="H2232" i="55"/>
  <c r="J2232" i="55" s="1"/>
  <c r="H2233" i="55"/>
  <c r="J2233" i="55" s="1"/>
  <c r="H2234" i="55"/>
  <c r="K2234" i="55" s="1"/>
  <c r="H2235" i="55"/>
  <c r="K2235" i="55" s="1"/>
  <c r="H2236" i="55"/>
  <c r="K2236" i="55" s="1"/>
  <c r="H2237" i="55"/>
  <c r="K2237" i="55" s="1"/>
  <c r="H2238" i="55"/>
  <c r="J2238" i="55" s="1"/>
  <c r="H2239" i="55"/>
  <c r="K2239" i="55" s="1"/>
  <c r="H2240" i="55"/>
  <c r="J2240" i="55" s="1"/>
  <c r="H2241" i="55"/>
  <c r="J2241" i="55" s="1"/>
  <c r="H2242" i="55"/>
  <c r="K2242" i="55" s="1"/>
  <c r="H2243" i="55"/>
  <c r="K2243" i="55" s="1"/>
  <c r="H2209" i="55"/>
  <c r="J2209" i="55" s="1"/>
  <c r="H2210" i="55"/>
  <c r="J2210" i="55" s="1"/>
  <c r="H2211" i="55"/>
  <c r="K2211" i="55" s="1"/>
  <c r="H2212" i="55"/>
  <c r="K2212" i="55" s="1"/>
  <c r="H2213" i="55"/>
  <c r="J2213" i="55" s="1"/>
  <c r="H2214" i="55"/>
  <c r="J2214" i="55" s="1"/>
  <c r="H2215" i="55"/>
  <c r="J2215" i="55" s="1"/>
  <c r="H2216" i="55"/>
  <c r="K2216" i="55" s="1"/>
  <c r="H2217" i="55"/>
  <c r="J2217" i="55" s="1"/>
  <c r="H2218" i="55"/>
  <c r="J2218" i="55" s="1"/>
  <c r="H2219" i="55"/>
  <c r="K2219" i="55" s="1"/>
  <c r="H2220" i="55"/>
  <c r="K2220" i="55" s="1"/>
  <c r="H2221" i="55"/>
  <c r="J2221" i="55" s="1"/>
  <c r="H2222" i="55"/>
  <c r="J2222" i="55" s="1"/>
  <c r="H2223" i="55"/>
  <c r="J2223" i="55" s="1"/>
  <c r="H2224" i="55"/>
  <c r="J2224" i="55" s="1"/>
  <c r="H2225" i="55"/>
  <c r="J2225" i="55" s="1"/>
  <c r="H2226" i="55"/>
  <c r="J2226" i="55" s="1"/>
  <c r="H2186" i="55"/>
  <c r="J2186" i="55" s="1"/>
  <c r="H2188" i="55"/>
  <c r="J2188" i="55" s="1"/>
  <c r="H2189" i="55"/>
  <c r="K2189" i="55" s="1"/>
  <c r="H2190" i="55"/>
  <c r="J2190" i="55" s="1"/>
  <c r="H2191" i="55"/>
  <c r="J2191" i="55" s="1"/>
  <c r="H2192" i="55"/>
  <c r="J2192" i="55" s="1"/>
  <c r="H2193" i="55"/>
  <c r="K2193" i="55" s="1"/>
  <c r="H2195" i="55"/>
  <c r="K2195" i="55" s="1"/>
  <c r="H2196" i="55"/>
  <c r="J2196" i="55" s="1"/>
  <c r="H2197" i="55"/>
  <c r="J2197" i="55" s="1"/>
  <c r="H2198" i="55"/>
  <c r="K2198" i="55" s="1"/>
  <c r="H2199" i="55"/>
  <c r="J2199" i="55" s="1"/>
  <c r="H2200" i="55"/>
  <c r="K2200" i="55" s="1"/>
  <c r="H2201" i="55"/>
  <c r="J2201" i="55" s="1"/>
  <c r="H2202" i="55"/>
  <c r="J2202" i="55" s="1"/>
  <c r="H2203" i="55"/>
  <c r="K2203" i="55" s="1"/>
  <c r="H2204" i="55"/>
  <c r="J2204" i="55" s="1"/>
  <c r="H2205" i="55"/>
  <c r="J2205" i="55" s="1"/>
  <c r="H2206" i="55"/>
  <c r="K2206" i="55" s="1"/>
  <c r="H2207" i="55"/>
  <c r="J2207" i="55" s="1"/>
  <c r="H2208" i="55"/>
  <c r="K2208" i="55" s="1"/>
  <c r="H2162" i="55"/>
  <c r="K2162" i="55" s="1"/>
  <c r="H2163" i="55"/>
  <c r="J2163" i="55" s="1"/>
  <c r="H2164" i="55"/>
  <c r="K2164" i="55" s="1"/>
  <c r="H2166" i="55"/>
  <c r="J2166" i="55" s="1"/>
  <c r="H2167" i="55"/>
  <c r="J2167" i="55" s="1"/>
  <c r="H2168" i="55"/>
  <c r="J2168" i="55" s="1"/>
  <c r="H2169" i="55"/>
  <c r="K2169" i="55" s="1"/>
  <c r="H2170" i="55"/>
  <c r="J2170" i="55" s="1"/>
  <c r="H2171" i="55"/>
  <c r="K2171" i="55" s="1"/>
  <c r="H2172" i="55"/>
  <c r="K2172" i="55" s="1"/>
  <c r="H2173" i="55"/>
  <c r="K2173" i="55" s="1"/>
  <c r="H2174" i="55"/>
  <c r="J2174" i="55" s="1"/>
  <c r="H2175" i="55"/>
  <c r="J2175" i="55" s="1"/>
  <c r="H2176" i="55"/>
  <c r="J2176" i="55" s="1"/>
  <c r="H2177" i="55"/>
  <c r="J2177" i="55" s="1"/>
  <c r="H2178" i="55"/>
  <c r="J2178" i="55" s="1"/>
  <c r="H2179" i="55"/>
  <c r="K2179" i="55" s="1"/>
  <c r="H2180" i="55"/>
  <c r="J2180" i="55" s="1"/>
  <c r="H2181" i="55"/>
  <c r="K2181" i="55" s="1"/>
  <c r="H2182" i="55"/>
  <c r="J2182" i="55" s="1"/>
  <c r="H2183" i="55"/>
  <c r="J2183" i="55" s="1"/>
  <c r="H2184" i="55"/>
  <c r="J2184" i="55" s="1"/>
  <c r="H2185" i="55"/>
  <c r="J2185" i="55" s="1"/>
  <c r="H2161" i="55"/>
  <c r="J2161" i="55" s="1"/>
  <c r="H2137" i="55"/>
  <c r="J2137" i="55" s="1"/>
  <c r="H2138" i="55"/>
  <c r="J2138" i="55" s="1"/>
  <c r="H2139" i="55"/>
  <c r="K2139" i="55" s="1"/>
  <c r="H2140" i="55"/>
  <c r="J2140" i="55" s="1"/>
  <c r="H2141" i="55"/>
  <c r="J2141" i="55" s="1"/>
  <c r="H2142" i="55"/>
  <c r="J2142" i="55" s="1"/>
  <c r="H2143" i="55"/>
  <c r="J2143" i="55" s="1"/>
  <c r="H2144" i="55"/>
  <c r="J2144" i="55" s="1"/>
  <c r="H2145" i="55"/>
  <c r="J2145" i="55" s="1"/>
  <c r="H2146" i="55"/>
  <c r="J2146" i="55" s="1"/>
  <c r="H2147" i="55"/>
  <c r="K2147" i="55" s="1"/>
  <c r="H2148" i="55"/>
  <c r="J2148" i="55" s="1"/>
  <c r="H2149" i="55"/>
  <c r="K2149" i="55" s="1"/>
  <c r="H2150" i="55"/>
  <c r="J2150" i="55" s="1"/>
  <c r="H2151" i="55"/>
  <c r="K2151" i="55" s="1"/>
  <c r="H2152" i="55"/>
  <c r="J2152" i="55" s="1"/>
  <c r="H2153" i="55"/>
  <c r="J2153" i="55" s="1"/>
  <c r="H2154" i="55"/>
  <c r="J2154" i="55" s="1"/>
  <c r="H2155" i="55"/>
  <c r="J2155" i="55" s="1"/>
  <c r="H2156" i="55"/>
  <c r="J2156" i="55" s="1"/>
  <c r="H2157" i="55"/>
  <c r="K2157" i="55" s="1"/>
  <c r="H2158" i="55"/>
  <c r="J2158" i="55" s="1"/>
  <c r="H2159" i="55"/>
  <c r="J2159" i="55" s="1"/>
  <c r="H2131" i="55"/>
  <c r="J2131" i="55" s="1"/>
  <c r="H2132" i="55"/>
  <c r="J2132" i="55" s="1"/>
  <c r="H2133" i="55"/>
  <c r="K2133" i="55" s="1"/>
  <c r="H2134" i="55"/>
  <c r="J2134" i="55" s="1"/>
  <c r="H2135" i="55"/>
  <c r="J2135" i="55" s="1"/>
  <c r="H2136" i="55"/>
  <c r="J2136" i="55" s="1"/>
  <c r="H2113" i="55"/>
  <c r="J2113" i="55" s="1"/>
  <c r="H2114" i="55"/>
  <c r="J2114" i="55" s="1"/>
  <c r="H2115" i="55"/>
  <c r="K2115" i="55" s="1"/>
  <c r="H2116" i="55"/>
  <c r="J2116" i="55" s="1"/>
  <c r="H2117" i="55"/>
  <c r="J2117" i="55" s="1"/>
  <c r="H2118" i="55"/>
  <c r="J2118" i="55" s="1"/>
  <c r="H2119" i="55"/>
  <c r="J2119" i="55" s="1"/>
  <c r="H2120" i="55"/>
  <c r="J2120" i="55" s="1"/>
  <c r="H2121" i="55"/>
  <c r="J2121" i="55" s="1"/>
  <c r="H2122" i="55"/>
  <c r="K2122" i="55" s="1"/>
  <c r="H2123" i="55"/>
  <c r="K2123" i="55" s="1"/>
  <c r="H2124" i="55"/>
  <c r="J2124" i="55" s="1"/>
  <c r="H2125" i="55"/>
  <c r="J2125" i="55" s="1"/>
  <c r="H2126" i="55"/>
  <c r="J2126" i="55" s="1"/>
  <c r="H2127" i="55"/>
  <c r="K2127" i="55" s="1"/>
  <c r="H2128" i="55"/>
  <c r="J2128" i="55" s="1"/>
  <c r="H2129" i="55"/>
  <c r="J2129" i="55" s="1"/>
  <c r="H2130" i="55"/>
  <c r="J2130" i="55" s="1"/>
  <c r="H2111" i="55"/>
  <c r="K2111" i="55" s="1"/>
  <c r="H2112" i="55"/>
  <c r="J2112" i="55" s="1"/>
  <c r="H2085" i="55"/>
  <c r="J2085" i="55" s="1"/>
  <c r="H2077" i="55"/>
  <c r="J2077" i="55" s="1"/>
  <c r="H2078" i="55"/>
  <c r="J2078" i="55" s="1"/>
  <c r="H2079" i="55"/>
  <c r="K2079" i="55" s="1"/>
  <c r="H2080" i="55"/>
  <c r="J2080" i="55" s="1"/>
  <c r="H2081" i="55"/>
  <c r="J2081" i="55" s="1"/>
  <c r="H2082" i="55"/>
  <c r="J2082" i="55" s="1"/>
  <c r="H2083" i="55"/>
  <c r="K2083" i="55" s="1"/>
  <c r="H2084" i="55"/>
  <c r="J2084" i="55" s="1"/>
  <c r="H2045" i="55"/>
  <c r="J2045" i="55" s="1"/>
  <c r="H2046" i="55"/>
  <c r="J2046" i="55" s="1"/>
  <c r="H2047" i="55"/>
  <c r="K2047" i="55" s="1"/>
  <c r="H2048" i="55"/>
  <c r="K2048" i="55" s="1"/>
  <c r="H2049" i="55"/>
  <c r="J2049" i="55" s="1"/>
  <c r="H2050" i="55"/>
  <c r="J2050" i="55" s="1"/>
  <c r="H2051" i="55"/>
  <c r="K2051" i="55" s="1"/>
  <c r="H2052" i="55"/>
  <c r="K2052" i="55" s="1"/>
  <c r="H2053" i="55"/>
  <c r="J2053" i="55" s="1"/>
  <c r="H2054" i="55"/>
  <c r="J2054" i="55" s="1"/>
  <c r="H2055" i="55"/>
  <c r="K2055" i="55" s="1"/>
  <c r="H2056" i="55"/>
  <c r="K2056" i="55" s="1"/>
  <c r="H2057" i="55"/>
  <c r="J2057" i="55" s="1"/>
  <c r="H2058" i="55"/>
  <c r="J2058" i="55" s="1"/>
  <c r="H2059" i="55"/>
  <c r="K2059" i="55" s="1"/>
  <c r="H2060" i="55"/>
  <c r="K2060" i="55" s="1"/>
  <c r="H2061" i="55"/>
  <c r="J2061" i="55" s="1"/>
  <c r="H2062" i="55"/>
  <c r="J2062" i="55" s="1"/>
  <c r="H2063" i="55"/>
  <c r="K2063" i="55" s="1"/>
  <c r="H2064" i="55"/>
  <c r="K2064" i="55" s="1"/>
  <c r="H2065" i="55"/>
  <c r="J2065" i="55" s="1"/>
  <c r="H2066" i="55"/>
  <c r="J2066" i="55" s="1"/>
  <c r="H2067" i="55"/>
  <c r="K2067" i="55" s="1"/>
  <c r="H2068" i="55"/>
  <c r="K2068" i="55" s="1"/>
  <c r="H2069" i="55"/>
  <c r="J2069" i="55" s="1"/>
  <c r="H2070" i="55"/>
  <c r="J2070" i="55" s="1"/>
  <c r="H2071" i="55"/>
  <c r="K2071" i="55" s="1"/>
  <c r="H2072" i="55"/>
  <c r="K2072" i="55" s="1"/>
  <c r="H2073" i="55"/>
  <c r="J2073" i="55" s="1"/>
  <c r="H2074" i="55"/>
  <c r="J2074" i="55" s="1"/>
  <c r="H2075" i="55"/>
  <c r="K2075" i="55" s="1"/>
  <c r="H2076" i="55"/>
  <c r="K2076" i="55" s="1"/>
  <c r="H2039" i="55"/>
  <c r="J2039" i="55" s="1"/>
  <c r="H2040" i="55"/>
  <c r="J2040" i="55" s="1"/>
  <c r="H2041" i="55"/>
  <c r="K2041" i="55" s="1"/>
  <c r="H2042" i="55"/>
  <c r="J2042" i="55" s="1"/>
  <c r="H2043" i="55"/>
  <c r="K2043" i="55" s="1"/>
  <c r="H2044" i="55"/>
  <c r="J2044" i="55" s="1"/>
  <c r="H2038" i="55"/>
  <c r="K2038" i="55" s="1"/>
  <c r="H1939" i="55"/>
  <c r="K1939" i="55" s="1"/>
  <c r="H1940" i="55"/>
  <c r="K1940" i="55" s="1"/>
  <c r="H1941" i="55"/>
  <c r="K1941" i="55" s="1"/>
  <c r="H1942" i="55"/>
  <c r="J1942" i="55" s="1"/>
  <c r="H1943" i="55"/>
  <c r="J1943" i="55" s="1"/>
  <c r="H1944" i="55"/>
  <c r="J1944" i="55" s="1"/>
  <c r="H1945" i="55"/>
  <c r="K1945" i="55" s="1"/>
  <c r="H1946" i="55"/>
  <c r="J1946" i="55" s="1"/>
  <c r="H1947" i="55"/>
  <c r="J1947" i="55" s="1"/>
  <c r="H1948" i="55"/>
  <c r="J1948" i="55" s="1"/>
  <c r="H1949" i="55"/>
  <c r="K1949" i="55" s="1"/>
  <c r="H1950" i="55"/>
  <c r="J1950" i="55" s="1"/>
  <c r="H1951" i="55"/>
  <c r="J1951" i="55" s="1"/>
  <c r="H1952" i="55"/>
  <c r="J1952" i="55" s="1"/>
  <c r="H1953" i="55"/>
  <c r="J1953" i="55" s="1"/>
  <c r="H1954" i="55"/>
  <c r="K1954" i="55" s="1"/>
  <c r="H1955" i="55"/>
  <c r="J1955" i="55" s="1"/>
  <c r="H1956" i="55"/>
  <c r="K1956" i="55" s="1"/>
  <c r="H1957" i="55"/>
  <c r="J1957" i="55" s="1"/>
  <c r="H1958" i="55"/>
  <c r="K1958" i="55" s="1"/>
  <c r="H1959" i="55"/>
  <c r="J1959" i="55" s="1"/>
  <c r="H1960" i="55"/>
  <c r="J1960" i="55" s="1"/>
  <c r="H1961" i="55"/>
  <c r="J1961" i="55" s="1"/>
  <c r="H1962" i="55"/>
  <c r="K1962" i="55" s="1"/>
  <c r="H1963" i="55"/>
  <c r="J1963" i="55" s="1"/>
  <c r="H1964" i="55"/>
  <c r="J1964" i="55" s="1"/>
  <c r="H1965" i="55"/>
  <c r="K1965" i="55" s="1"/>
  <c r="H1966" i="55"/>
  <c r="K1966" i="55" s="1"/>
  <c r="H1967" i="55"/>
  <c r="J1967" i="55" s="1"/>
  <c r="H1968" i="55"/>
  <c r="J1968" i="55" s="1"/>
  <c r="H1969" i="55"/>
  <c r="J1969" i="55" s="1"/>
  <c r="H1970" i="55"/>
  <c r="K1970" i="55" s="1"/>
  <c r="H1971" i="55"/>
  <c r="J1971" i="55" s="1"/>
  <c r="H1972" i="55"/>
  <c r="K1972" i="55" s="1"/>
  <c r="H1973" i="55"/>
  <c r="K1973" i="55" s="1"/>
  <c r="H1974" i="55"/>
  <c r="K1974" i="55" s="1"/>
  <c r="H1975" i="55"/>
  <c r="J1975" i="55" s="1"/>
  <c r="H1976" i="55"/>
  <c r="J1976" i="55" s="1"/>
  <c r="H1977" i="55"/>
  <c r="J1977" i="55" s="1"/>
  <c r="H1978" i="55"/>
  <c r="K1978" i="55" s="1"/>
  <c r="H1979" i="55"/>
  <c r="J1979" i="55" s="1"/>
  <c r="H1980" i="55"/>
  <c r="K1980" i="55" s="1"/>
  <c r="H1981" i="55"/>
  <c r="J1981" i="55" s="1"/>
  <c r="H1982" i="55"/>
  <c r="K1982" i="55" s="1"/>
  <c r="H1983" i="55"/>
  <c r="J1983" i="55" s="1"/>
  <c r="H1984" i="55"/>
  <c r="K1984" i="55" s="1"/>
  <c r="H1985" i="55"/>
  <c r="J1985" i="55" s="1"/>
  <c r="H1986" i="55"/>
  <c r="K1986" i="55" s="1"/>
  <c r="H1987" i="55"/>
  <c r="J1987" i="55" s="1"/>
  <c r="H1988" i="55"/>
  <c r="K1988" i="55" s="1"/>
  <c r="H1989" i="55"/>
  <c r="J1989" i="55" s="1"/>
  <c r="H1990" i="55"/>
  <c r="K1990" i="55" s="1"/>
  <c r="H1991" i="55"/>
  <c r="J1991" i="55" s="1"/>
  <c r="H1992" i="55"/>
  <c r="J1992" i="55" s="1"/>
  <c r="H1993" i="55"/>
  <c r="J1993" i="55" s="1"/>
  <c r="H1994" i="55"/>
  <c r="K1994" i="55" s="1"/>
  <c r="H1995" i="55"/>
  <c r="J1995" i="55" s="1"/>
  <c r="H1996" i="55"/>
  <c r="J1996" i="55" s="1"/>
  <c r="H1997" i="55"/>
  <c r="K1997" i="55" s="1"/>
  <c r="H1998" i="55"/>
  <c r="K1998" i="55" s="1"/>
  <c r="H1999" i="55"/>
  <c r="J1999" i="55" s="1"/>
  <c r="H2000" i="55"/>
  <c r="J2000" i="55" s="1"/>
  <c r="H2001" i="55"/>
  <c r="J2001" i="55" s="1"/>
  <c r="H2002" i="55"/>
  <c r="K2002" i="55" s="1"/>
  <c r="H2003" i="55"/>
  <c r="J2003" i="55" s="1"/>
  <c r="H2004" i="55"/>
  <c r="K2004" i="55" s="1"/>
  <c r="H2005" i="55"/>
  <c r="K2005" i="55" s="1"/>
  <c r="H2006" i="55"/>
  <c r="K2006" i="55" s="1"/>
  <c r="H2007" i="55"/>
  <c r="J2007" i="55" s="1"/>
  <c r="H2008" i="55"/>
  <c r="J2008" i="55" s="1"/>
  <c r="H2009" i="55"/>
  <c r="J2009" i="55" s="1"/>
  <c r="H2010" i="55"/>
  <c r="K2010" i="55" s="1"/>
  <c r="H2011" i="55"/>
  <c r="J2011" i="55" s="1"/>
  <c r="H2012" i="55"/>
  <c r="J2012" i="55" s="1"/>
  <c r="H2013" i="55"/>
  <c r="J2013" i="55" s="1"/>
  <c r="H2014" i="55"/>
  <c r="K2014" i="55" s="1"/>
  <c r="H2015" i="55"/>
  <c r="J2015" i="55" s="1"/>
  <c r="H2016" i="55"/>
  <c r="J2016" i="55" s="1"/>
  <c r="H2017" i="55"/>
  <c r="J2017" i="55" s="1"/>
  <c r="H2018" i="55"/>
  <c r="K2018" i="55" s="1"/>
  <c r="H2019" i="55"/>
  <c r="J2019" i="55" s="1"/>
  <c r="H2020" i="55"/>
  <c r="K2020" i="55" s="1"/>
  <c r="H2021" i="55"/>
  <c r="J2021" i="55" s="1"/>
  <c r="H2022" i="55"/>
  <c r="K2022" i="55" s="1"/>
  <c r="H2023" i="55"/>
  <c r="J2023" i="55" s="1"/>
  <c r="H2024" i="55"/>
  <c r="J2024" i="55" s="1"/>
  <c r="H2025" i="55"/>
  <c r="J2025" i="55" s="1"/>
  <c r="H2026" i="55"/>
  <c r="K2026" i="55" s="1"/>
  <c r="H2027" i="55"/>
  <c r="J2027" i="55" s="1"/>
  <c r="H2028" i="55"/>
  <c r="J2028" i="55" s="1"/>
  <c r="H2029" i="55"/>
  <c r="J2029" i="55" s="1"/>
  <c r="H2030" i="55"/>
  <c r="K2030" i="55" s="1"/>
  <c r="H2031" i="55"/>
  <c r="J2031" i="55" s="1"/>
  <c r="H2032" i="55"/>
  <c r="J2032" i="55" s="1"/>
  <c r="H2033" i="55"/>
  <c r="J2033" i="55" s="1"/>
  <c r="H2034" i="55"/>
  <c r="K2034" i="55" s="1"/>
  <c r="H2035" i="55"/>
  <c r="J2035" i="55" s="1"/>
  <c r="H2036" i="55"/>
  <c r="K2036" i="55" s="1"/>
  <c r="H2037" i="55"/>
  <c r="J2037" i="55" s="1"/>
  <c r="H1938" i="55"/>
  <c r="J1938" i="55" s="1"/>
  <c r="H1936" i="55"/>
  <c r="K1936" i="55" s="1"/>
  <c r="B2798" i="55"/>
  <c r="B2792" i="55"/>
  <c r="B2563" i="55"/>
  <c r="B2802" i="55"/>
  <c r="B2831" i="55"/>
  <c r="B2821" i="55"/>
  <c r="B2630" i="55"/>
  <c r="B2762" i="55"/>
  <c r="B2626" i="55"/>
  <c r="B2506" i="55"/>
  <c r="B2568" i="55"/>
  <c r="B2770" i="55"/>
  <c r="B2737" i="55"/>
  <c r="B2832" i="55"/>
  <c r="B2675" i="55"/>
  <c r="B2586" i="55"/>
  <c r="B2642" i="55"/>
  <c r="B2784" i="55"/>
  <c r="B2509" i="55"/>
  <c r="B2624" i="55"/>
  <c r="B2851" i="55"/>
  <c r="B2688" i="55"/>
  <c r="B2590" i="55"/>
  <c r="B2747" i="55"/>
  <c r="B2690" i="55"/>
  <c r="B2599" i="55"/>
  <c r="B2845" i="55"/>
  <c r="B2557" i="55"/>
  <c r="B2716" i="55"/>
  <c r="B2717" i="55"/>
  <c r="B2650" i="55"/>
  <c r="B2645" i="55"/>
  <c r="B2745" i="55"/>
  <c r="B2790" i="55"/>
  <c r="B2769" i="55"/>
  <c r="B2595" i="55"/>
  <c r="B2607" i="55"/>
  <c r="B2544" i="55"/>
  <c r="B2673" i="55"/>
  <c r="B2694" i="55"/>
  <c r="B2528" i="55"/>
  <c r="B2758" i="55"/>
  <c r="B2763" i="55"/>
  <c r="B2711" i="55"/>
  <c r="B2777" i="55"/>
  <c r="B2541" i="55"/>
  <c r="B2789" i="55"/>
  <c r="B2837" i="55"/>
  <c r="J2051" i="55" l="1"/>
  <c r="J2310" i="55"/>
  <c r="K2310" i="55"/>
  <c r="J2291" i="55"/>
  <c r="J2216" i="55"/>
  <c r="J2258" i="55"/>
  <c r="J2313" i="55"/>
  <c r="J2193" i="55"/>
  <c r="K2218" i="55"/>
  <c r="J2075" i="55"/>
  <c r="J2203" i="55"/>
  <c r="K2305" i="55"/>
  <c r="K2202" i="55"/>
  <c r="J2195" i="55"/>
  <c r="K2061" i="55"/>
  <c r="J2127" i="55"/>
  <c r="J2284" i="55"/>
  <c r="J2147" i="55"/>
  <c r="K2141" i="55"/>
  <c r="K2177" i="55"/>
  <c r="K2278" i="55"/>
  <c r="J2043" i="55"/>
  <c r="J2060" i="55"/>
  <c r="K2128" i="55"/>
  <c r="J2122" i="55"/>
  <c r="K2146" i="55"/>
  <c r="K2248" i="55"/>
  <c r="J1945" i="55"/>
  <c r="J2052" i="55"/>
  <c r="J2151" i="55"/>
  <c r="J2139" i="55"/>
  <c r="J2239" i="55"/>
  <c r="K2304" i="55"/>
  <c r="J1965" i="55"/>
  <c r="K2215" i="55"/>
  <c r="J2243" i="55"/>
  <c r="K1957" i="55"/>
  <c r="K2053" i="55"/>
  <c r="K2154" i="55"/>
  <c r="K2148" i="55"/>
  <c r="K2180" i="55"/>
  <c r="J2246" i="55"/>
  <c r="K2296" i="55"/>
  <c r="J2071" i="55"/>
  <c r="J2064" i="55"/>
  <c r="J2059" i="55"/>
  <c r="J2164" i="55"/>
  <c r="J2198" i="55"/>
  <c r="J2242" i="55"/>
  <c r="J2283" i="55"/>
  <c r="K2277" i="55"/>
  <c r="J1941" i="55"/>
  <c r="K2045" i="55"/>
  <c r="K2188" i="55"/>
  <c r="J2181" i="55"/>
  <c r="K2221" i="55"/>
  <c r="J2261" i="55"/>
  <c r="K2028" i="55"/>
  <c r="K1964" i="55"/>
  <c r="K2021" i="55"/>
  <c r="K1989" i="55"/>
  <c r="J1940" i="55"/>
  <c r="J2056" i="55"/>
  <c r="J2047" i="55"/>
  <c r="K2114" i="55"/>
  <c r="J2162" i="55"/>
  <c r="J2212" i="55"/>
  <c r="J2236" i="55"/>
  <c r="J2002" i="55"/>
  <c r="J1970" i="55"/>
  <c r="K1996" i="55"/>
  <c r="J2020" i="55"/>
  <c r="J1988" i="55"/>
  <c r="J1980" i="55"/>
  <c r="K1948" i="55"/>
  <c r="J2036" i="55"/>
  <c r="K2012" i="55"/>
  <c r="J1956" i="55"/>
  <c r="J2055" i="55"/>
  <c r="K2080" i="55"/>
  <c r="K2130" i="55"/>
  <c r="K2125" i="55"/>
  <c r="K2159" i="55"/>
  <c r="K2167" i="55"/>
  <c r="J2208" i="55"/>
  <c r="J2220" i="55"/>
  <c r="J2235" i="55"/>
  <c r="K2297" i="55"/>
  <c r="J2004" i="55"/>
  <c r="J1972" i="55"/>
  <c r="K2069" i="55"/>
  <c r="K2049" i="55"/>
  <c r="K2124" i="55"/>
  <c r="K2207" i="55"/>
  <c r="J2189" i="55"/>
  <c r="J2309" i="55"/>
  <c r="J2292" i="55"/>
  <c r="J2034" i="55"/>
  <c r="J1997" i="55"/>
  <c r="J2041" i="55"/>
  <c r="K2073" i="55"/>
  <c r="J2068" i="55"/>
  <c r="K2057" i="55"/>
  <c r="J2048" i="55"/>
  <c r="J2083" i="55"/>
  <c r="J2133" i="55"/>
  <c r="K2156" i="55"/>
  <c r="K2183" i="55"/>
  <c r="J2200" i="55"/>
  <c r="J2237" i="55"/>
  <c r="K2256" i="55"/>
  <c r="K2272" i="55"/>
  <c r="J1998" i="55"/>
  <c r="K2029" i="55"/>
  <c r="J2010" i="55"/>
  <c r="J1978" i="55"/>
  <c r="K1943" i="55"/>
  <c r="K2065" i="55"/>
  <c r="K2084" i="55"/>
  <c r="K2116" i="55"/>
  <c r="K2178" i="55"/>
  <c r="K2233" i="55"/>
  <c r="K2138" i="55"/>
  <c r="J2172" i="55"/>
  <c r="J2219" i="55"/>
  <c r="K2241" i="55"/>
  <c r="K2285" i="55"/>
  <c r="J2270" i="55"/>
  <c r="K2245" i="55"/>
  <c r="K2037" i="55"/>
  <c r="J2018" i="55"/>
  <c r="J1954" i="55"/>
  <c r="J2014" i="55"/>
  <c r="J2005" i="55"/>
  <c r="J1982" i="55"/>
  <c r="J1973" i="55"/>
  <c r="K1951" i="55"/>
  <c r="K2273" i="55"/>
  <c r="J1986" i="55"/>
  <c r="K1938" i="55"/>
  <c r="J2026" i="55"/>
  <c r="K2013" i="55"/>
  <c r="J1994" i="55"/>
  <c r="K1981" i="55"/>
  <c r="J1962" i="55"/>
  <c r="J1949" i="55"/>
  <c r="J2072" i="55"/>
  <c r="J2063" i="55"/>
  <c r="K2132" i="55"/>
  <c r="J2244" i="55"/>
  <c r="J2288" i="55"/>
  <c r="J2006" i="55"/>
  <c r="J1974" i="55"/>
  <c r="J2022" i="55"/>
  <c r="J1990" i="55"/>
  <c r="J1958" i="55"/>
  <c r="J2076" i="55"/>
  <c r="J2067" i="55"/>
  <c r="K2081" i="55"/>
  <c r="J2123" i="55"/>
  <c r="K2117" i="55"/>
  <c r="K2155" i="55"/>
  <c r="K2140" i="55"/>
  <c r="J2169" i="55"/>
  <c r="K2163" i="55"/>
  <c r="K2197" i="55"/>
  <c r="J2149" i="55"/>
  <c r="J2179" i="55"/>
  <c r="K2190" i="55"/>
  <c r="K2217" i="55"/>
  <c r="J2234" i="55"/>
  <c r="J2302" i="55"/>
  <c r="J2030" i="55"/>
  <c r="J1966" i="55"/>
  <c r="K2286" i="55"/>
  <c r="K2120" i="55"/>
  <c r="K2191" i="55"/>
  <c r="K2224" i="55"/>
  <c r="K2016" i="55"/>
  <c r="K1976" i="55"/>
  <c r="K1960" i="55"/>
  <c r="K1947" i="55"/>
  <c r="J1984" i="55"/>
  <c r="J1939" i="55"/>
  <c r="J2157" i="55"/>
  <c r="K2182" i="55"/>
  <c r="K2175" i="55"/>
  <c r="J2171" i="55"/>
  <c r="J2206" i="55"/>
  <c r="K2199" i="55"/>
  <c r="J2211" i="55"/>
  <c r="K2228" i="55"/>
  <c r="K2259" i="55"/>
  <c r="J2252" i="55"/>
  <c r="K2307" i="55"/>
  <c r="J2300" i="55"/>
  <c r="K2293" i="55"/>
  <c r="K2289" i="55"/>
  <c r="K2275" i="55"/>
  <c r="J2268" i="55"/>
  <c r="K2032" i="55"/>
  <c r="K2000" i="55"/>
  <c r="K1992" i="55"/>
  <c r="K2023" i="55"/>
  <c r="K2007" i="55"/>
  <c r="K1979" i="55"/>
  <c r="J2262" i="55"/>
  <c r="K2024" i="55"/>
  <c r="K2008" i="55"/>
  <c r="K1968" i="55"/>
  <c r="K2035" i="55"/>
  <c r="K2031" i="55"/>
  <c r="K2027" i="55"/>
  <c r="K2019" i="55"/>
  <c r="K2015" i="55"/>
  <c r="K2011" i="55"/>
  <c r="K2003" i="55"/>
  <c r="K1999" i="55"/>
  <c r="K1995" i="55"/>
  <c r="K1991" i="55"/>
  <c r="K1987" i="55"/>
  <c r="K1983" i="55"/>
  <c r="K1975" i="55"/>
  <c r="K1971" i="55"/>
  <c r="K1967" i="55"/>
  <c r="K1963" i="55"/>
  <c r="K1959" i="55"/>
  <c r="K1955" i="55"/>
  <c r="K1950" i="55"/>
  <c r="K1946" i="55"/>
  <c r="K1942" i="55"/>
  <c r="K2040" i="55"/>
  <c r="K2135" i="55"/>
  <c r="K2143" i="55"/>
  <c r="K2185" i="55"/>
  <c r="K2170" i="55"/>
  <c r="K2205" i="55"/>
  <c r="K2226" i="55"/>
  <c r="K2223" i="55"/>
  <c r="K2213" i="55"/>
  <c r="K2210" i="55"/>
  <c r="K2231" i="55"/>
  <c r="K2251" i="55"/>
  <c r="K2299" i="55"/>
  <c r="K2281" i="55"/>
  <c r="K2267" i="55"/>
  <c r="K2078" i="55"/>
  <c r="K2119" i="55"/>
  <c r="J2115" i="55"/>
  <c r="J2173" i="55"/>
  <c r="J2227" i="55"/>
  <c r="J2254" i="55"/>
  <c r="K2033" i="55"/>
  <c r="K2025" i="55"/>
  <c r="K2017" i="55"/>
  <c r="K2009" i="55"/>
  <c r="K2001" i="55"/>
  <c r="K1993" i="55"/>
  <c r="K1985" i="55"/>
  <c r="K1977" i="55"/>
  <c r="K1969" i="55"/>
  <c r="K1961" i="55"/>
  <c r="K1952" i="55"/>
  <c r="K1944" i="55"/>
  <c r="K2134" i="55"/>
  <c r="K2225" i="55"/>
  <c r="K2209" i="55"/>
  <c r="K2264" i="55"/>
  <c r="K2253" i="55"/>
  <c r="K2250" i="55"/>
  <c r="K2294" i="55"/>
  <c r="K2280" i="55"/>
  <c r="K2042" i="55"/>
  <c r="J2229" i="55"/>
  <c r="J2260" i="55"/>
  <c r="J2308" i="55"/>
  <c r="K2301" i="55"/>
  <c r="J2276" i="55"/>
  <c r="K2269" i="55"/>
  <c r="K1953" i="55"/>
  <c r="K2313" i="55"/>
  <c r="K2312" i="55"/>
  <c r="K2306" i="55"/>
  <c r="K2298" i="55"/>
  <c r="K2290" i="55"/>
  <c r="K2282" i="55"/>
  <c r="K2274" i="55"/>
  <c r="K2266" i="55"/>
  <c r="K2311" i="55"/>
  <c r="K2303" i="55"/>
  <c r="K2295" i="55"/>
  <c r="K2287" i="55"/>
  <c r="K2279" i="55"/>
  <c r="K2271" i="55"/>
  <c r="K2265" i="55"/>
  <c r="K2263" i="55"/>
  <c r="K2255" i="55"/>
  <c r="K2247" i="55"/>
  <c r="K2257" i="55"/>
  <c r="K2249" i="55"/>
  <c r="K2238" i="55"/>
  <c r="K2230" i="55"/>
  <c r="K2240" i="55"/>
  <c r="K2232" i="55"/>
  <c r="K2222" i="55"/>
  <c r="K2214" i="55"/>
  <c r="K2204" i="55"/>
  <c r="K2196" i="55"/>
  <c r="K2186" i="55"/>
  <c r="K2201" i="55"/>
  <c r="K2192" i="55"/>
  <c r="K2174" i="55"/>
  <c r="K2166" i="55"/>
  <c r="K2184" i="55"/>
  <c r="K2176" i="55"/>
  <c r="K2168" i="55"/>
  <c r="K2161" i="55"/>
  <c r="K2152" i="55"/>
  <c r="K2144" i="55"/>
  <c r="K2153" i="55"/>
  <c r="K2145" i="55"/>
  <c r="K2137" i="55"/>
  <c r="K2158" i="55"/>
  <c r="K2150" i="55"/>
  <c r="K2142" i="55"/>
  <c r="K2131" i="55"/>
  <c r="K2136" i="55"/>
  <c r="K2129" i="55"/>
  <c r="K2121" i="55"/>
  <c r="K2113" i="55"/>
  <c r="K2126" i="55"/>
  <c r="K2118" i="55"/>
  <c r="J2111" i="55"/>
  <c r="K2112" i="55"/>
  <c r="K2085" i="55"/>
  <c r="J2079" i="55"/>
  <c r="K2077" i="55"/>
  <c r="K2082" i="55"/>
  <c r="K2070" i="55"/>
  <c r="K2062" i="55"/>
  <c r="K2054" i="55"/>
  <c r="K2046" i="55"/>
  <c r="K2074" i="55"/>
  <c r="K2066" i="55"/>
  <c r="K2058" i="55"/>
  <c r="K2050" i="55"/>
  <c r="K2039" i="55"/>
  <c r="K2044" i="55"/>
  <c r="J2038" i="55"/>
  <c r="J1936" i="55"/>
  <c r="B2750" i="55"/>
  <c r="B2323" i="55"/>
  <c r="B2819" i="55"/>
  <c r="B2771" i="55"/>
  <c r="B2545" i="55"/>
  <c r="B2640" i="55"/>
  <c r="B2678" i="55"/>
  <c r="B2521" i="55"/>
  <c r="B2365" i="55"/>
  <c r="B2585" i="55"/>
  <c r="B2906" i="55"/>
  <c r="B2754" i="55"/>
  <c r="B2733" i="55"/>
  <c r="B2526" i="55"/>
  <c r="B2591" i="55"/>
  <c r="B2516" i="55"/>
  <c r="B2727" i="55"/>
  <c r="B2683" i="55"/>
  <c r="B2748" i="55"/>
  <c r="B2527" i="55"/>
  <c r="B2587" i="55"/>
  <c r="B2504" i="55"/>
  <c r="B2756" i="55"/>
  <c r="B2732" i="55"/>
  <c r="B2597" i="55"/>
  <c r="B2853" i="55"/>
  <c r="B2721" i="55"/>
  <c r="B2676" i="55"/>
  <c r="B2715" i="55"/>
  <c r="B2536" i="55"/>
  <c r="B2601" i="55"/>
  <c r="B2693" i="55"/>
  <c r="B2625" i="55"/>
  <c r="B2546" i="55"/>
  <c r="B2816" i="55"/>
  <c r="B2511" i="55"/>
  <c r="B2730" i="55"/>
  <c r="B2648" i="55"/>
  <c r="B2836" i="55"/>
  <c r="B2529" i="55"/>
  <c r="B2638" i="55"/>
  <c r="B2641" i="55"/>
  <c r="B2856" i="55"/>
  <c r="B2704" i="55"/>
  <c r="B2328" i="55"/>
  <c r="H1928" i="55" l="1"/>
  <c r="H1929" i="55"/>
  <c r="H1930" i="55"/>
  <c r="H1931" i="55"/>
  <c r="H1932" i="55"/>
  <c r="H1933" i="55"/>
  <c r="H1934" i="55"/>
  <c r="H1935" i="55"/>
  <c r="H1912" i="55"/>
  <c r="H1913" i="55"/>
  <c r="H1914" i="55"/>
  <c r="H1915" i="55"/>
  <c r="H1916" i="55"/>
  <c r="H1917" i="55"/>
  <c r="H1918" i="55"/>
  <c r="H1919" i="55"/>
  <c r="H1920" i="55"/>
  <c r="H1921" i="55"/>
  <c r="H1922" i="55"/>
  <c r="H1923" i="55"/>
  <c r="H1924" i="55"/>
  <c r="H1925" i="55"/>
  <c r="H1926" i="55"/>
  <c r="H1927" i="55"/>
  <c r="H1893" i="55"/>
  <c r="H1894" i="55"/>
  <c r="J1894" i="55" s="1"/>
  <c r="H1895" i="55"/>
  <c r="H1896" i="55"/>
  <c r="H1897" i="55"/>
  <c r="H1898" i="55"/>
  <c r="H1899" i="55"/>
  <c r="H1900" i="55"/>
  <c r="H1901" i="55"/>
  <c r="H1902" i="55"/>
  <c r="H1903" i="55"/>
  <c r="H1904" i="55"/>
  <c r="H1905" i="55"/>
  <c r="H1906" i="55"/>
  <c r="H1907" i="55"/>
  <c r="H1908" i="55"/>
  <c r="H1909" i="55"/>
  <c r="J1909" i="55" s="1"/>
  <c r="H1910" i="55"/>
  <c r="H1911" i="55"/>
  <c r="H1876" i="55"/>
  <c r="H1877" i="55"/>
  <c r="H1878" i="55"/>
  <c r="H1879" i="55"/>
  <c r="H1880" i="55"/>
  <c r="H1881" i="55"/>
  <c r="H1882" i="55"/>
  <c r="H1883" i="55"/>
  <c r="H1884" i="55"/>
  <c r="H1885" i="55"/>
  <c r="H1886" i="55"/>
  <c r="H1887" i="55"/>
  <c r="H1888" i="55"/>
  <c r="H1889" i="55"/>
  <c r="H1890" i="55"/>
  <c r="H1891" i="55"/>
  <c r="H1892" i="55"/>
  <c r="H1862" i="55"/>
  <c r="H1863" i="55"/>
  <c r="H1864" i="55"/>
  <c r="H1865" i="55"/>
  <c r="H1866" i="55"/>
  <c r="H1867" i="55"/>
  <c r="H1868" i="55"/>
  <c r="H1869" i="55"/>
  <c r="H1870" i="55"/>
  <c r="H1871" i="55"/>
  <c r="H1872" i="55"/>
  <c r="H1873" i="55"/>
  <c r="H1874" i="55"/>
  <c r="H1875" i="55"/>
  <c r="H1846" i="55"/>
  <c r="H1847" i="55"/>
  <c r="H1848" i="55"/>
  <c r="H1849" i="55"/>
  <c r="H1850" i="55"/>
  <c r="H1851" i="55"/>
  <c r="H1852" i="55"/>
  <c r="H1853" i="55"/>
  <c r="H1854" i="55"/>
  <c r="H1855" i="55"/>
  <c r="H1856" i="55"/>
  <c r="H1857" i="55"/>
  <c r="H1858" i="55"/>
  <c r="H1859" i="55"/>
  <c r="H1860" i="55"/>
  <c r="H1861" i="55"/>
  <c r="H1834" i="55"/>
  <c r="H1835" i="55"/>
  <c r="H1836" i="55"/>
  <c r="H1837" i="55"/>
  <c r="H1838" i="55"/>
  <c r="H1839" i="55"/>
  <c r="H1840" i="55"/>
  <c r="H1841" i="55"/>
  <c r="H1842" i="55"/>
  <c r="H1843" i="55"/>
  <c r="H1844" i="55"/>
  <c r="H1845" i="55"/>
  <c r="H1818" i="55"/>
  <c r="H1819" i="55"/>
  <c r="H1820" i="55"/>
  <c r="H1821" i="55"/>
  <c r="H1822" i="55"/>
  <c r="H1823" i="55"/>
  <c r="H1824" i="55"/>
  <c r="H1826" i="55"/>
  <c r="H1828" i="55"/>
  <c r="H1829" i="55"/>
  <c r="H1830" i="55"/>
  <c r="H1831" i="55"/>
  <c r="H1832" i="55"/>
  <c r="H1833" i="55"/>
  <c r="H1805" i="55"/>
  <c r="H1806" i="55"/>
  <c r="H1807" i="55"/>
  <c r="H1808" i="55"/>
  <c r="H1809" i="55"/>
  <c r="H1810" i="55"/>
  <c r="H1811" i="55"/>
  <c r="H1812" i="55"/>
  <c r="H1813" i="55"/>
  <c r="H1815" i="55"/>
  <c r="H1816" i="55"/>
  <c r="H1817" i="55"/>
  <c r="H1788" i="55"/>
  <c r="H1789" i="55"/>
  <c r="H1790" i="55"/>
  <c r="H1791" i="55"/>
  <c r="H1792" i="55"/>
  <c r="H1793" i="55"/>
  <c r="H1794" i="55"/>
  <c r="H1795" i="55"/>
  <c r="H1796" i="55"/>
  <c r="H1797" i="55"/>
  <c r="H1798" i="55"/>
  <c r="J1798" i="55" s="1"/>
  <c r="H1799" i="55"/>
  <c r="H1800" i="55"/>
  <c r="H1801" i="55"/>
  <c r="H1802" i="55"/>
  <c r="H1803" i="55"/>
  <c r="H1804" i="55"/>
  <c r="H1772" i="55"/>
  <c r="H1773" i="55"/>
  <c r="H1774" i="55"/>
  <c r="H1775" i="55"/>
  <c r="H1776" i="55"/>
  <c r="H1777" i="55"/>
  <c r="H1778" i="55"/>
  <c r="H1779" i="55"/>
  <c r="H1780" i="55"/>
  <c r="H1781" i="55"/>
  <c r="H1782" i="55"/>
  <c r="H1783" i="55"/>
  <c r="H1785" i="55"/>
  <c r="H1786" i="55"/>
  <c r="H1787" i="55"/>
  <c r="K1787" i="55" s="1"/>
  <c r="H1761" i="55"/>
  <c r="H1762" i="55"/>
  <c r="H1763" i="55"/>
  <c r="H1764" i="55"/>
  <c r="H1765" i="55"/>
  <c r="H1766" i="55"/>
  <c r="H1767" i="55"/>
  <c r="H1768" i="55"/>
  <c r="H1769" i="55"/>
  <c r="H1770" i="55"/>
  <c r="H1771" i="55"/>
  <c r="H1741" i="55"/>
  <c r="H1742" i="55"/>
  <c r="H1743" i="55"/>
  <c r="H1744" i="55"/>
  <c r="H1745" i="55"/>
  <c r="H1746" i="55"/>
  <c r="H1747" i="55"/>
  <c r="H1748" i="55"/>
  <c r="H1749" i="55"/>
  <c r="H1750" i="55"/>
  <c r="H1751" i="55"/>
  <c r="H1752" i="55"/>
  <c r="H1753" i="55"/>
  <c r="H1754" i="55"/>
  <c r="H1755" i="55"/>
  <c r="H1756" i="55"/>
  <c r="H1757" i="55"/>
  <c r="H1758" i="55"/>
  <c r="H1759" i="55"/>
  <c r="H1760" i="55"/>
  <c r="H1718" i="55"/>
  <c r="H1719" i="55"/>
  <c r="H1720" i="55"/>
  <c r="H1721" i="55"/>
  <c r="H1722" i="55"/>
  <c r="H1723" i="55"/>
  <c r="H1724" i="55"/>
  <c r="H1725" i="55"/>
  <c r="H1726" i="55"/>
  <c r="H1727" i="55"/>
  <c r="H1728" i="55"/>
  <c r="J1728" i="55" s="1"/>
  <c r="H1729" i="55"/>
  <c r="K1729" i="55" s="1"/>
  <c r="H1730" i="55"/>
  <c r="H1731" i="55"/>
  <c r="H1732" i="55"/>
  <c r="H1733" i="55"/>
  <c r="H1734" i="55"/>
  <c r="H1735" i="55"/>
  <c r="H1736" i="55"/>
  <c r="H1737" i="55"/>
  <c r="H1738" i="55"/>
  <c r="H1739" i="55"/>
  <c r="H1740" i="55"/>
  <c r="H1659" i="55"/>
  <c r="H1660" i="55"/>
  <c r="H1716" i="55"/>
  <c r="H1717" i="55"/>
  <c r="H1643" i="55"/>
  <c r="H1644" i="55"/>
  <c r="H1645" i="55"/>
  <c r="H1646" i="55"/>
  <c r="K1646" i="55" s="1"/>
  <c r="H1647" i="55"/>
  <c r="K1647" i="55" s="1"/>
  <c r="H1648" i="55"/>
  <c r="H1649" i="55"/>
  <c r="H1650" i="55"/>
  <c r="H1651" i="55"/>
  <c r="H1652" i="55"/>
  <c r="H1653" i="55"/>
  <c r="H1654" i="55"/>
  <c r="H1655" i="55"/>
  <c r="H1656" i="55"/>
  <c r="H1657" i="55"/>
  <c r="H1658" i="55"/>
  <c r="H1625" i="55"/>
  <c r="H1626" i="55"/>
  <c r="H1627" i="55"/>
  <c r="H1628" i="55"/>
  <c r="H1629" i="55"/>
  <c r="H1630" i="55"/>
  <c r="H1631" i="55"/>
  <c r="H1632" i="55"/>
  <c r="H1633" i="55"/>
  <c r="H1634" i="55"/>
  <c r="H1635" i="55"/>
  <c r="H1636" i="55"/>
  <c r="H1637" i="55"/>
  <c r="H1638" i="55"/>
  <c r="H1639" i="55"/>
  <c r="H1640" i="55"/>
  <c r="H1641" i="55"/>
  <c r="H1642" i="55"/>
  <c r="J1642" i="55" s="1"/>
  <c r="H1609" i="55"/>
  <c r="H1610" i="55"/>
  <c r="H1611" i="55"/>
  <c r="H1612" i="55"/>
  <c r="H1613" i="55"/>
  <c r="H1614" i="55"/>
  <c r="H1615" i="55"/>
  <c r="H1616" i="55"/>
  <c r="H1617" i="55"/>
  <c r="H1618" i="55"/>
  <c r="H1619" i="55"/>
  <c r="H1620" i="55"/>
  <c r="H1621" i="55"/>
  <c r="H1622" i="55"/>
  <c r="H1623" i="55"/>
  <c r="H1624" i="55"/>
  <c r="H1607" i="55"/>
  <c r="H1608" i="55"/>
  <c r="H1551" i="55"/>
  <c r="H1552" i="55"/>
  <c r="H1553" i="55"/>
  <c r="H1554" i="55"/>
  <c r="H1555" i="55"/>
  <c r="H1556" i="55"/>
  <c r="H1557" i="55"/>
  <c r="H1558" i="55"/>
  <c r="H1559" i="55"/>
  <c r="H1560" i="55"/>
  <c r="H1561" i="55"/>
  <c r="H1562" i="55"/>
  <c r="H1563" i="55"/>
  <c r="H1564" i="55"/>
  <c r="H1565" i="55"/>
  <c r="H1566" i="55"/>
  <c r="H1567" i="55"/>
  <c r="H1568" i="55"/>
  <c r="H1569" i="55"/>
  <c r="H1570" i="55"/>
  <c r="H1571" i="55"/>
  <c r="H1572" i="55"/>
  <c r="H1573" i="55"/>
  <c r="H1574" i="55"/>
  <c r="H1575" i="55"/>
  <c r="H1576" i="55"/>
  <c r="H1577" i="55"/>
  <c r="H1578" i="55"/>
  <c r="H1579" i="55"/>
  <c r="H1580" i="55"/>
  <c r="H1581" i="55"/>
  <c r="H1582" i="55"/>
  <c r="H1583" i="55"/>
  <c r="H1584" i="55"/>
  <c r="H1585" i="55"/>
  <c r="H1586" i="55"/>
  <c r="H1587" i="55"/>
  <c r="H1588" i="55"/>
  <c r="H1589" i="55"/>
  <c r="H1590" i="55"/>
  <c r="H1591" i="55"/>
  <c r="H1592" i="55"/>
  <c r="H1593" i="55"/>
  <c r="H1594" i="55"/>
  <c r="H1595" i="55"/>
  <c r="H1596" i="55"/>
  <c r="H1597" i="55"/>
  <c r="H1598" i="55"/>
  <c r="H1599" i="55"/>
  <c r="H1600" i="55"/>
  <c r="H1601" i="55"/>
  <c r="H1602" i="55"/>
  <c r="H1603" i="55"/>
  <c r="H1604" i="55"/>
  <c r="H1605" i="55"/>
  <c r="H1606" i="55"/>
  <c r="H1550" i="55"/>
  <c r="H1549" i="55"/>
  <c r="H1541" i="55"/>
  <c r="H1542" i="55"/>
  <c r="H1543" i="55"/>
  <c r="H1544" i="55"/>
  <c r="H1545" i="55"/>
  <c r="H1546" i="55"/>
  <c r="H1547" i="55"/>
  <c r="H1548" i="55"/>
  <c r="H1540" i="55"/>
  <c r="H1495" i="55"/>
  <c r="H1496" i="55"/>
  <c r="H1497" i="55"/>
  <c r="H1498" i="55"/>
  <c r="H1499" i="55"/>
  <c r="K1499" i="55" s="1"/>
  <c r="H1500" i="55"/>
  <c r="H1501" i="55"/>
  <c r="H1502" i="55"/>
  <c r="H1503" i="55"/>
  <c r="H1504" i="55"/>
  <c r="H1505" i="55"/>
  <c r="H1506" i="55"/>
  <c r="H1507" i="55"/>
  <c r="H1508" i="55"/>
  <c r="H1509" i="55"/>
  <c r="H1510" i="55"/>
  <c r="H1511" i="55"/>
  <c r="H1512" i="55"/>
  <c r="J1512" i="55" s="1"/>
  <c r="H1513" i="55"/>
  <c r="H1514" i="55"/>
  <c r="H1515" i="55"/>
  <c r="H1516" i="55"/>
  <c r="H1517" i="55"/>
  <c r="H1518" i="55"/>
  <c r="H1519" i="55"/>
  <c r="H1520" i="55"/>
  <c r="H1521" i="55"/>
  <c r="H1522" i="55"/>
  <c r="H1523" i="55"/>
  <c r="H1524" i="55"/>
  <c r="H1525" i="55"/>
  <c r="H1526" i="55"/>
  <c r="H1527" i="55"/>
  <c r="H1528" i="55"/>
  <c r="H1529" i="55"/>
  <c r="H1530" i="55"/>
  <c r="H1531" i="55"/>
  <c r="H1532" i="55"/>
  <c r="H1533" i="55"/>
  <c r="H1534" i="55"/>
  <c r="H1535" i="55"/>
  <c r="H1536" i="55"/>
  <c r="H1537" i="55"/>
  <c r="H1538" i="55"/>
  <c r="H1539" i="55"/>
  <c r="H1494" i="55"/>
  <c r="H1436" i="55"/>
  <c r="J1436" i="55" s="1"/>
  <c r="H1437" i="55"/>
  <c r="J1437" i="55" s="1"/>
  <c r="H1413" i="55"/>
  <c r="H1391" i="55"/>
  <c r="H1474" i="55"/>
  <c r="K1474" i="55" s="1"/>
  <c r="H1475" i="55"/>
  <c r="J1475" i="55" s="1"/>
  <c r="H1476" i="55"/>
  <c r="K1476" i="55" s="1"/>
  <c r="H1477" i="55"/>
  <c r="J1477" i="55" s="1"/>
  <c r="H1478" i="55"/>
  <c r="K1478" i="55" s="1"/>
  <c r="H1479" i="55"/>
  <c r="J1479" i="55" s="1"/>
  <c r="H1480" i="55"/>
  <c r="J1480" i="55" s="1"/>
  <c r="H1481" i="55"/>
  <c r="K1481" i="55" s="1"/>
  <c r="H1482" i="55"/>
  <c r="K1482" i="55" s="1"/>
  <c r="H1484" i="55"/>
  <c r="J1484" i="55" s="1"/>
  <c r="H1485" i="55"/>
  <c r="J1485" i="55" s="1"/>
  <c r="H1486" i="55"/>
  <c r="K1486" i="55" s="1"/>
  <c r="H1487" i="55"/>
  <c r="K1487" i="55" s="1"/>
  <c r="H1488" i="55"/>
  <c r="K1488" i="55" s="1"/>
  <c r="H1489" i="55"/>
  <c r="J1489" i="55" s="1"/>
  <c r="H1490" i="55"/>
  <c r="K1490" i="55" s="1"/>
  <c r="H1491" i="55"/>
  <c r="K1491" i="55" s="1"/>
  <c r="H1492" i="55"/>
  <c r="J1492" i="55" s="1"/>
  <c r="H1493" i="55"/>
  <c r="H1460" i="55"/>
  <c r="J1460" i="55" s="1"/>
  <c r="H1461" i="55"/>
  <c r="J1461" i="55" s="1"/>
  <c r="H1462" i="55"/>
  <c r="J1462" i="55" s="1"/>
  <c r="H1463" i="55"/>
  <c r="J1463" i="55" s="1"/>
  <c r="H1464" i="55"/>
  <c r="J1464" i="55" s="1"/>
  <c r="H1465" i="55"/>
  <c r="K1465" i="55" s="1"/>
  <c r="H1466" i="55"/>
  <c r="K1466" i="55" s="1"/>
  <c r="H1467" i="55"/>
  <c r="J1467" i="55" s="1"/>
  <c r="H1468" i="55"/>
  <c r="J1468" i="55" s="1"/>
  <c r="H1469" i="55"/>
  <c r="J1469" i="55" s="1"/>
  <c r="H1470" i="55"/>
  <c r="J1470" i="55" s="1"/>
  <c r="H1471" i="55"/>
  <c r="J1471" i="55" s="1"/>
  <c r="H1472" i="55"/>
  <c r="J1472" i="55" s="1"/>
  <c r="H1473" i="55"/>
  <c r="J1473" i="55" s="1"/>
  <c r="H1444" i="55"/>
  <c r="J1444" i="55" s="1"/>
  <c r="H1445" i="55"/>
  <c r="J1445" i="55" s="1"/>
  <c r="K1446" i="55"/>
  <c r="H1447" i="55"/>
  <c r="J1447" i="55" s="1"/>
  <c r="H1448" i="55"/>
  <c r="J1448" i="55" s="1"/>
  <c r="H1449" i="55"/>
  <c r="J1449" i="55" s="1"/>
  <c r="H1450" i="55"/>
  <c r="K1450" i="55" s="1"/>
  <c r="H1451" i="55"/>
  <c r="K1451" i="55" s="1"/>
  <c r="H1452" i="55"/>
  <c r="J1452" i="55" s="1"/>
  <c r="H1453" i="55"/>
  <c r="K1453" i="55" s="1"/>
  <c r="H1454" i="55"/>
  <c r="H1455" i="55"/>
  <c r="J1455" i="55" s="1"/>
  <c r="H1456" i="55"/>
  <c r="J1456" i="55" s="1"/>
  <c r="H1457" i="55"/>
  <c r="K1457" i="55" s="1"/>
  <c r="H1458" i="55"/>
  <c r="H1459" i="55"/>
  <c r="J1459" i="55" s="1"/>
  <c r="H1432" i="55"/>
  <c r="J1432" i="55" s="1"/>
  <c r="H1433" i="55"/>
  <c r="J1433" i="55" s="1"/>
  <c r="H1434" i="55"/>
  <c r="J1434" i="55" s="1"/>
  <c r="H1435" i="55"/>
  <c r="K1435" i="55" s="1"/>
  <c r="H1438" i="55"/>
  <c r="J1438" i="55" s="1"/>
  <c r="H1439" i="55"/>
  <c r="J1439" i="55" s="1"/>
  <c r="H1440" i="55"/>
  <c r="J1440" i="55" s="1"/>
  <c r="H1441" i="55"/>
  <c r="J1441" i="55" s="1"/>
  <c r="H1442" i="55"/>
  <c r="J1442" i="55" s="1"/>
  <c r="H1443" i="55"/>
  <c r="K1443" i="55" s="1"/>
  <c r="H1422" i="55"/>
  <c r="J1422" i="55" s="1"/>
  <c r="H1424" i="55"/>
  <c r="K1424" i="55" s="1"/>
  <c r="H1425" i="55"/>
  <c r="J1425" i="55" s="1"/>
  <c r="H1426" i="55"/>
  <c r="J1426" i="55" s="1"/>
  <c r="H1427" i="55"/>
  <c r="J1427" i="55" s="1"/>
  <c r="H1428" i="55"/>
  <c r="J1428" i="55" s="1"/>
  <c r="H1429" i="55"/>
  <c r="H1430" i="55"/>
  <c r="K1430" i="55" s="1"/>
  <c r="H1431" i="55"/>
  <c r="J1431" i="55" s="1"/>
  <c r="H1408" i="55"/>
  <c r="J1408" i="55" s="1"/>
  <c r="H1409" i="55"/>
  <c r="H1410" i="55"/>
  <c r="K1410" i="55" s="1"/>
  <c r="H1411" i="55"/>
  <c r="J1411" i="55" s="1"/>
  <c r="H1412" i="55"/>
  <c r="J1412" i="55" s="1"/>
  <c r="H1414" i="55"/>
  <c r="K1414" i="55" s="1"/>
  <c r="H1415" i="55"/>
  <c r="J1415" i="55" s="1"/>
  <c r="H1416" i="55"/>
  <c r="J1416" i="55" s="1"/>
  <c r="H1417" i="55"/>
  <c r="J1417" i="55" s="1"/>
  <c r="H1418" i="55"/>
  <c r="H1419" i="55"/>
  <c r="J1419" i="55" s="1"/>
  <c r="H1420" i="55"/>
  <c r="J1420" i="55" s="1"/>
  <c r="H1421" i="55"/>
  <c r="K1421" i="55" s="1"/>
  <c r="H1314" i="55"/>
  <c r="J1314" i="55" s="1"/>
  <c r="H1315" i="55"/>
  <c r="K1315" i="55" s="1"/>
  <c r="H1316" i="55"/>
  <c r="K1316" i="55" s="1"/>
  <c r="H1317" i="55"/>
  <c r="K1317" i="55" s="1"/>
  <c r="H1318" i="55"/>
  <c r="J1318" i="55" s="1"/>
  <c r="H1319" i="55"/>
  <c r="J1319" i="55" s="1"/>
  <c r="H1320" i="55"/>
  <c r="J1320" i="55" s="1"/>
  <c r="H1321" i="55"/>
  <c r="J1321" i="55" s="1"/>
  <c r="H1322" i="55"/>
  <c r="H1323" i="55"/>
  <c r="K1323" i="55" s="1"/>
  <c r="H1324" i="55"/>
  <c r="J1324" i="55" s="1"/>
  <c r="H1325" i="55"/>
  <c r="K1325" i="55" s="1"/>
  <c r="H1326" i="55"/>
  <c r="J1326" i="55" s="1"/>
  <c r="H1327" i="55"/>
  <c r="J1327" i="55" s="1"/>
  <c r="H1328" i="55"/>
  <c r="J1328" i="55" s="1"/>
  <c r="H1329" i="55"/>
  <c r="K1329" i="55" s="1"/>
  <c r="H1330" i="55"/>
  <c r="K1330" i="55" s="1"/>
  <c r="H1331" i="55"/>
  <c r="H1332" i="55"/>
  <c r="K1332" i="55" s="1"/>
  <c r="H1333" i="55"/>
  <c r="K1333" i="55" s="1"/>
  <c r="H1334" i="55"/>
  <c r="J1334" i="55" s="1"/>
  <c r="H1335" i="55"/>
  <c r="H1336" i="55"/>
  <c r="J1336" i="55" s="1"/>
  <c r="H1337" i="55"/>
  <c r="J1337" i="55" s="1"/>
  <c r="H1338" i="55"/>
  <c r="J1338" i="55" s="1"/>
  <c r="H1339" i="55"/>
  <c r="K1339" i="55" s="1"/>
  <c r="H1340" i="55"/>
  <c r="J1340" i="55" s="1"/>
  <c r="H1341" i="55"/>
  <c r="K1341" i="55" s="1"/>
  <c r="H1342" i="55"/>
  <c r="K1342" i="55" s="1"/>
  <c r="H1343" i="55"/>
  <c r="K1343" i="55" s="1"/>
  <c r="H1344" i="55"/>
  <c r="K1344" i="55" s="1"/>
  <c r="H1345" i="55"/>
  <c r="J1345" i="55" s="1"/>
  <c r="H1346" i="55"/>
  <c r="H1347" i="55"/>
  <c r="H1348" i="55"/>
  <c r="J1348" i="55" s="1"/>
  <c r="H1349" i="55"/>
  <c r="J1349" i="55" s="1"/>
  <c r="H1350" i="55"/>
  <c r="K1350" i="55" s="1"/>
  <c r="H1351" i="55"/>
  <c r="J1351" i="55" s="1"/>
  <c r="H1352" i="55"/>
  <c r="K1352" i="55" s="1"/>
  <c r="H1353" i="55"/>
  <c r="J1353" i="55" s="1"/>
  <c r="H1354" i="55"/>
  <c r="J1354" i="55" s="1"/>
  <c r="H1355" i="55"/>
  <c r="J1355" i="55" s="1"/>
  <c r="H1356" i="55"/>
  <c r="K1356" i="55" s="1"/>
  <c r="H1379" i="55"/>
  <c r="J1379" i="55" s="1"/>
  <c r="H1380" i="55"/>
  <c r="K1380" i="55" s="1"/>
  <c r="H1381" i="55"/>
  <c r="H1382" i="55"/>
  <c r="K1382" i="55" s="1"/>
  <c r="H1383" i="55"/>
  <c r="J1383" i="55" s="1"/>
  <c r="H1384" i="55"/>
  <c r="J1384" i="55" s="1"/>
  <c r="H1385" i="55"/>
  <c r="J1385" i="55" s="1"/>
  <c r="H1386" i="55"/>
  <c r="K1386" i="55" s="1"/>
  <c r="H1387" i="55"/>
  <c r="H1388" i="55"/>
  <c r="J1388" i="55" s="1"/>
  <c r="H1389" i="55"/>
  <c r="J1389" i="55" s="1"/>
  <c r="H1390" i="55"/>
  <c r="K1390" i="55" s="1"/>
  <c r="H1392" i="55"/>
  <c r="J1392" i="55" s="1"/>
  <c r="H1393" i="55"/>
  <c r="J1393" i="55" s="1"/>
  <c r="H1394" i="55"/>
  <c r="J1394" i="55" s="1"/>
  <c r="H1395" i="55"/>
  <c r="J1395" i="55" s="1"/>
  <c r="H1396" i="55"/>
  <c r="J1396" i="55" s="1"/>
  <c r="H1397" i="55"/>
  <c r="J1397" i="55" s="1"/>
  <c r="H1398" i="55"/>
  <c r="K1398" i="55" s="1"/>
  <c r="H1399" i="55"/>
  <c r="J1399" i="55" s="1"/>
  <c r="H1400" i="55"/>
  <c r="J1400" i="55" s="1"/>
  <c r="H1401" i="55"/>
  <c r="H1402" i="55"/>
  <c r="K1402" i="55" s="1"/>
  <c r="H1403" i="55"/>
  <c r="J1403" i="55" s="1"/>
  <c r="H1404" i="55"/>
  <c r="J1404" i="55" s="1"/>
  <c r="H1405" i="55"/>
  <c r="H1406" i="55"/>
  <c r="H1407" i="55"/>
  <c r="J1407" i="55" s="1"/>
  <c r="H1292" i="55"/>
  <c r="J1292" i="55" s="1"/>
  <c r="H1293" i="55"/>
  <c r="J1293" i="55" s="1"/>
  <c r="H1294" i="55"/>
  <c r="J1294" i="55" s="1"/>
  <c r="H1295" i="55"/>
  <c r="J1295" i="55" s="1"/>
  <c r="H1296" i="55"/>
  <c r="J1296" i="55" s="1"/>
  <c r="H1297" i="55"/>
  <c r="J1297" i="55" s="1"/>
  <c r="H1298" i="55"/>
  <c r="J1298" i="55" s="1"/>
  <c r="H1299" i="55"/>
  <c r="J1299" i="55" s="1"/>
  <c r="H1300" i="55"/>
  <c r="J1300" i="55" s="1"/>
  <c r="H1301" i="55"/>
  <c r="K1301" i="55" s="1"/>
  <c r="H1302" i="55"/>
  <c r="J1302" i="55" s="1"/>
  <c r="H1303" i="55"/>
  <c r="H1304" i="55"/>
  <c r="J1304" i="55" s="1"/>
  <c r="H1305" i="55"/>
  <c r="J1305" i="55" s="1"/>
  <c r="H1306" i="55"/>
  <c r="J1306" i="55" s="1"/>
  <c r="H1307" i="55"/>
  <c r="J1307" i="55" s="1"/>
  <c r="H1308" i="55"/>
  <c r="J1308" i="55" s="1"/>
  <c r="H1309" i="55"/>
  <c r="K1309" i="55" s="1"/>
  <c r="H1310" i="55"/>
  <c r="K1310" i="55" s="1"/>
  <c r="H1311" i="55"/>
  <c r="K1311" i="55" s="1"/>
  <c r="H1312" i="55"/>
  <c r="K1312" i="55" s="1"/>
  <c r="H1313" i="55"/>
  <c r="K1313" i="55" s="1"/>
  <c r="H1220" i="55"/>
  <c r="J1220" i="55" s="1"/>
  <c r="H1221" i="55"/>
  <c r="H1222" i="55"/>
  <c r="J1222" i="55" s="1"/>
  <c r="H1223" i="55"/>
  <c r="J1223" i="55" s="1"/>
  <c r="H1224" i="55"/>
  <c r="K1224" i="55" s="1"/>
  <c r="H1225" i="55"/>
  <c r="K1225" i="55" s="1"/>
  <c r="H1226" i="55"/>
  <c r="K1226" i="55" s="1"/>
  <c r="H1227" i="55"/>
  <c r="H1228" i="55"/>
  <c r="J1228" i="55" s="1"/>
  <c r="H1229" i="55"/>
  <c r="H1230" i="55"/>
  <c r="J1230" i="55" s="1"/>
  <c r="H1231" i="55"/>
  <c r="H1232" i="55"/>
  <c r="J1232" i="55" s="1"/>
  <c r="H1233" i="55"/>
  <c r="H1234" i="55"/>
  <c r="K1234" i="55" s="1"/>
  <c r="H1235" i="55"/>
  <c r="K1235" i="55" s="1"/>
  <c r="H1236" i="55"/>
  <c r="J1236" i="55" s="1"/>
  <c r="H1237" i="55"/>
  <c r="H1238" i="55"/>
  <c r="J1238" i="55" s="1"/>
  <c r="H1239" i="55"/>
  <c r="K1239" i="55" s="1"/>
  <c r="H1240" i="55"/>
  <c r="K1240" i="55" s="1"/>
  <c r="H1241" i="55"/>
  <c r="K1241" i="55" s="1"/>
  <c r="H1242" i="55"/>
  <c r="K1242" i="55" s="1"/>
  <c r="H1243" i="55"/>
  <c r="K1243" i="55" s="1"/>
  <c r="H1244" i="55"/>
  <c r="H1245" i="55"/>
  <c r="J1245" i="55" s="1"/>
  <c r="H1246" i="55"/>
  <c r="H1247" i="55"/>
  <c r="H1248" i="55"/>
  <c r="K1248" i="55" s="1"/>
  <c r="H1249" i="55"/>
  <c r="K1249" i="55" s="1"/>
  <c r="H1250" i="55"/>
  <c r="K1250" i="55" s="1"/>
  <c r="H1251" i="55"/>
  <c r="K1251" i="55" s="1"/>
  <c r="H1252" i="55"/>
  <c r="H1253" i="55"/>
  <c r="H1254" i="55"/>
  <c r="J1254" i="55" s="1"/>
  <c r="H1255" i="55"/>
  <c r="J1255" i="55" s="1"/>
  <c r="H1256" i="55"/>
  <c r="J1256" i="55" s="1"/>
  <c r="H1257" i="55"/>
  <c r="K1257" i="55" s="1"/>
  <c r="H1258" i="55"/>
  <c r="K1258" i="55" s="1"/>
  <c r="H1259" i="55"/>
  <c r="J1259" i="55" s="1"/>
  <c r="H1260" i="55"/>
  <c r="J1260" i="55" s="1"/>
  <c r="H1261" i="55"/>
  <c r="H1262" i="55"/>
  <c r="K1262" i="55" s="1"/>
  <c r="H1263" i="55"/>
  <c r="J1263" i="55" s="1"/>
  <c r="H1264" i="55"/>
  <c r="H1265" i="55"/>
  <c r="K1265" i="55" s="1"/>
  <c r="H1266" i="55"/>
  <c r="J1266" i="55" s="1"/>
  <c r="H1267" i="55"/>
  <c r="H1268" i="55"/>
  <c r="J1268" i="55" s="1"/>
  <c r="H1269" i="55"/>
  <c r="J1269" i="55" s="1"/>
  <c r="H1270" i="55"/>
  <c r="K1270" i="55" s="1"/>
  <c r="H1271" i="55"/>
  <c r="K1271" i="55" s="1"/>
  <c r="H1272" i="55"/>
  <c r="K1272" i="55" s="1"/>
  <c r="H1273" i="55"/>
  <c r="H1274" i="55"/>
  <c r="H1275" i="55"/>
  <c r="H1276" i="55"/>
  <c r="K1276" i="55" s="1"/>
  <c r="H1277" i="55"/>
  <c r="K1277" i="55" s="1"/>
  <c r="H1278" i="55"/>
  <c r="K1278" i="55" s="1"/>
  <c r="H1279" i="55"/>
  <c r="K1279" i="55" s="1"/>
  <c r="H1280" i="55"/>
  <c r="H1281" i="55"/>
  <c r="H1282" i="55"/>
  <c r="J1282" i="55" s="1"/>
  <c r="H1283" i="55"/>
  <c r="J1283" i="55" s="1"/>
  <c r="H1284" i="55"/>
  <c r="K1284" i="55" s="1"/>
  <c r="H1285" i="55"/>
  <c r="H1286" i="55"/>
  <c r="K1286" i="55" s="1"/>
  <c r="H1287" i="55"/>
  <c r="J1287" i="55" s="1"/>
  <c r="H1288" i="55"/>
  <c r="J1288" i="55" s="1"/>
  <c r="H1289" i="55"/>
  <c r="J1289" i="55" s="1"/>
  <c r="H1290" i="55"/>
  <c r="J1290" i="55" s="1"/>
  <c r="H1291" i="55"/>
  <c r="K1291" i="55" s="1"/>
  <c r="H1081" i="55"/>
  <c r="J1081" i="55" s="1"/>
  <c r="H1082" i="55"/>
  <c r="H1083" i="55"/>
  <c r="K1083" i="55" s="1"/>
  <c r="H1084" i="55"/>
  <c r="J1084" i="55" s="1"/>
  <c r="H1085" i="55"/>
  <c r="H1086" i="55"/>
  <c r="J1086" i="55" s="1"/>
  <c r="H1087" i="55"/>
  <c r="J1087" i="55" s="1"/>
  <c r="H1088" i="55"/>
  <c r="J1088" i="55" s="1"/>
  <c r="H1089" i="55"/>
  <c r="J1089" i="55" s="1"/>
  <c r="H1090" i="55"/>
  <c r="J1090" i="55" s="1"/>
  <c r="H1091" i="55"/>
  <c r="J1091" i="55" s="1"/>
  <c r="H1093" i="55"/>
  <c r="K1093" i="55" s="1"/>
  <c r="H1094" i="55"/>
  <c r="J1094" i="55" s="1"/>
  <c r="H1095" i="55"/>
  <c r="K1095" i="55" s="1"/>
  <c r="H1096" i="55"/>
  <c r="H1097" i="55"/>
  <c r="J1097" i="55" s="1"/>
  <c r="H1098" i="55"/>
  <c r="J1098" i="55" s="1"/>
  <c r="H1099" i="55"/>
  <c r="J1099" i="55" s="1"/>
  <c r="H1100" i="55"/>
  <c r="J1100" i="55" s="1"/>
  <c r="H1101" i="55"/>
  <c r="H1102" i="55"/>
  <c r="H1103" i="55"/>
  <c r="H1104" i="55"/>
  <c r="J1104" i="55" s="1"/>
  <c r="H1105" i="55"/>
  <c r="J1105" i="55" s="1"/>
  <c r="H1106" i="55"/>
  <c r="H1107" i="55"/>
  <c r="J1107" i="55" s="1"/>
  <c r="H1108" i="55"/>
  <c r="H1109" i="55"/>
  <c r="K1109" i="55" s="1"/>
  <c r="H1110" i="55"/>
  <c r="H1111" i="55"/>
  <c r="K1111" i="55" s="1"/>
  <c r="H1112" i="55"/>
  <c r="J1112" i="55" s="1"/>
  <c r="H1113" i="55"/>
  <c r="H1114" i="55"/>
  <c r="H1115" i="55"/>
  <c r="K1115" i="55" s="1"/>
  <c r="H1116" i="55"/>
  <c r="K1116" i="55" s="1"/>
  <c r="H1117" i="55"/>
  <c r="J1117" i="55" s="1"/>
  <c r="H1118" i="55"/>
  <c r="H1119" i="55"/>
  <c r="H1120" i="55"/>
  <c r="H1121" i="55"/>
  <c r="K1121" i="55" s="1"/>
  <c r="H1125" i="55"/>
  <c r="K1125" i="55" s="1"/>
  <c r="H1126" i="55"/>
  <c r="J1126" i="55" s="1"/>
  <c r="H1127" i="55"/>
  <c r="J1127" i="55" s="1"/>
  <c r="H1128" i="55"/>
  <c r="K1128" i="55" s="1"/>
  <c r="H1129" i="55"/>
  <c r="J1129" i="55" s="1"/>
  <c r="H1130" i="55"/>
  <c r="K1130" i="55" s="1"/>
  <c r="H1131" i="55"/>
  <c r="J1131" i="55" s="1"/>
  <c r="H1132" i="55"/>
  <c r="H1133" i="55"/>
  <c r="J1133" i="55" s="1"/>
  <c r="H1134" i="55"/>
  <c r="J1134" i="55" s="1"/>
  <c r="H1135" i="55"/>
  <c r="J1135" i="55" s="1"/>
  <c r="H1136" i="55"/>
  <c r="H1137" i="55"/>
  <c r="J1137" i="55" s="1"/>
  <c r="H1138" i="55"/>
  <c r="J1138" i="55" s="1"/>
  <c r="H1139" i="55"/>
  <c r="J1139" i="55" s="1"/>
  <c r="H1140" i="55"/>
  <c r="K1140" i="55" s="1"/>
  <c r="H1141" i="55"/>
  <c r="J1141" i="55" s="1"/>
  <c r="H1142" i="55"/>
  <c r="K1142" i="55" s="1"/>
  <c r="H1143" i="55"/>
  <c r="K1143" i="55" s="1"/>
  <c r="H1144" i="55"/>
  <c r="H1145" i="55"/>
  <c r="J1145" i="55" s="1"/>
  <c r="H1146" i="55"/>
  <c r="J1146" i="55" s="1"/>
  <c r="H1147" i="55"/>
  <c r="J1147" i="55" s="1"/>
  <c r="H1149" i="55"/>
  <c r="H1150" i="55"/>
  <c r="J1150" i="55" s="1"/>
  <c r="H1151" i="55"/>
  <c r="H1152" i="55"/>
  <c r="J1152" i="55" s="1"/>
  <c r="H1153" i="55"/>
  <c r="H1154" i="55"/>
  <c r="H1155" i="55"/>
  <c r="K1155" i="55" s="1"/>
  <c r="H1156" i="55"/>
  <c r="J1156" i="55" s="1"/>
  <c r="H1157" i="55"/>
  <c r="H1158" i="55"/>
  <c r="J1158" i="55" s="1"/>
  <c r="H1159" i="55"/>
  <c r="J1159" i="55" s="1"/>
  <c r="H1160" i="55"/>
  <c r="H1161" i="55"/>
  <c r="H1162" i="55"/>
  <c r="K1162" i="55" s="1"/>
  <c r="H1163" i="55"/>
  <c r="J1163" i="55" s="1"/>
  <c r="H1164" i="55"/>
  <c r="J1164" i="55" s="1"/>
  <c r="H1165" i="55"/>
  <c r="H1166" i="55"/>
  <c r="J1166" i="55" s="1"/>
  <c r="H1167" i="55"/>
  <c r="H1168" i="55"/>
  <c r="H1169" i="55"/>
  <c r="K1169" i="55" s="1"/>
  <c r="H1170" i="55"/>
  <c r="H1171" i="55"/>
  <c r="J1171" i="55" s="1"/>
  <c r="H1172" i="55"/>
  <c r="J1172" i="55" s="1"/>
  <c r="H1173" i="55"/>
  <c r="J1173" i="55" s="1"/>
  <c r="H1174" i="55"/>
  <c r="K1174" i="55" s="1"/>
  <c r="H1175" i="55"/>
  <c r="H1176" i="55"/>
  <c r="J1176" i="55" s="1"/>
  <c r="H1177" i="55"/>
  <c r="J1177" i="55" s="1"/>
  <c r="H1178" i="55"/>
  <c r="H1179" i="55"/>
  <c r="J1179" i="55" s="1"/>
  <c r="H1180" i="55"/>
  <c r="J1180" i="55" s="1"/>
  <c r="H1181" i="55"/>
  <c r="H1182" i="55"/>
  <c r="K1182" i="55" s="1"/>
  <c r="H1183" i="55"/>
  <c r="K1183" i="55" s="1"/>
  <c r="H1184" i="55"/>
  <c r="J1184" i="55" s="1"/>
  <c r="H1185" i="55"/>
  <c r="J1185" i="55" s="1"/>
  <c r="H1186" i="55"/>
  <c r="J1186" i="55" s="1"/>
  <c r="H1187" i="55"/>
  <c r="H1188" i="55"/>
  <c r="J1188" i="55" s="1"/>
  <c r="H1189" i="55"/>
  <c r="H1190" i="55"/>
  <c r="K1190" i="55" s="1"/>
  <c r="H1191" i="55"/>
  <c r="K1191" i="55" s="1"/>
  <c r="H1192" i="55"/>
  <c r="H1193" i="55"/>
  <c r="K1193" i="55" s="1"/>
  <c r="H1194" i="55"/>
  <c r="J1194" i="55" s="1"/>
  <c r="H1195" i="55"/>
  <c r="H1196" i="55"/>
  <c r="J1196" i="55" s="1"/>
  <c r="H1197" i="55"/>
  <c r="H1198" i="55"/>
  <c r="H1199" i="55"/>
  <c r="K1199" i="55" s="1"/>
  <c r="H1200" i="55"/>
  <c r="K1200" i="55" s="1"/>
  <c r="H1201" i="55"/>
  <c r="K1201" i="55" s="1"/>
  <c r="H1202" i="55"/>
  <c r="J1202" i="55" s="1"/>
  <c r="H1203" i="55"/>
  <c r="J1203" i="55" s="1"/>
  <c r="H1204" i="55"/>
  <c r="J1204" i="55" s="1"/>
  <c r="H1205" i="55"/>
  <c r="H1206" i="55"/>
  <c r="H1207" i="55"/>
  <c r="J1207" i="55" s="1"/>
  <c r="H1208" i="55"/>
  <c r="J1208" i="55" s="1"/>
  <c r="H1209" i="55"/>
  <c r="K1209" i="55" s="1"/>
  <c r="H1210" i="55"/>
  <c r="K1210" i="55" s="1"/>
  <c r="H1211" i="55"/>
  <c r="H1212" i="55"/>
  <c r="J1212" i="55" s="1"/>
  <c r="H1213" i="55"/>
  <c r="H1214" i="55"/>
  <c r="J1214" i="55" s="1"/>
  <c r="H1215" i="55"/>
  <c r="J1215" i="55" s="1"/>
  <c r="H1216" i="55"/>
  <c r="K1216" i="55" s="1"/>
  <c r="H1217" i="55"/>
  <c r="K1217" i="55" s="1"/>
  <c r="H1218" i="55"/>
  <c r="J1218" i="55" s="1"/>
  <c r="H1219" i="55"/>
  <c r="K1219" i="55" s="1"/>
  <c r="H1013" i="55"/>
  <c r="K1013" i="55" s="1"/>
  <c r="H1014" i="55"/>
  <c r="J1014" i="55" s="1"/>
  <c r="H1015" i="55"/>
  <c r="H1016" i="55"/>
  <c r="J1016" i="55" s="1"/>
  <c r="H1017" i="55"/>
  <c r="J1017" i="55" s="1"/>
  <c r="H1018" i="55"/>
  <c r="H1019" i="55"/>
  <c r="J1019" i="55" s="1"/>
  <c r="H1020" i="55"/>
  <c r="H1021" i="55"/>
  <c r="J1021" i="55" s="1"/>
  <c r="H1022" i="55"/>
  <c r="H1023" i="55"/>
  <c r="K1023" i="55" s="1"/>
  <c r="H1024" i="55"/>
  <c r="J1024" i="55" s="1"/>
  <c r="H1025" i="55"/>
  <c r="H1026" i="55"/>
  <c r="K1026" i="55" s="1"/>
  <c r="H1027" i="55"/>
  <c r="K1027" i="55" s="1"/>
  <c r="H1028" i="55"/>
  <c r="K1028" i="55" s="1"/>
  <c r="H1029" i="55"/>
  <c r="H1030" i="55"/>
  <c r="K1030" i="55" s="1"/>
  <c r="H1031" i="55"/>
  <c r="J1031" i="55" s="1"/>
  <c r="H1032" i="55"/>
  <c r="H1033" i="55"/>
  <c r="J1033" i="55" s="1"/>
  <c r="H1034" i="55"/>
  <c r="K1034" i="55" s="1"/>
  <c r="H1035" i="55"/>
  <c r="K1035" i="55" s="1"/>
  <c r="H1036" i="55"/>
  <c r="K1036" i="55" s="1"/>
  <c r="H1037" i="55"/>
  <c r="J1037" i="55" s="1"/>
  <c r="H1038" i="55"/>
  <c r="K1038" i="55" s="1"/>
  <c r="H1039" i="55"/>
  <c r="K1039" i="55" s="1"/>
  <c r="H1040" i="55"/>
  <c r="K1040" i="55" s="1"/>
  <c r="H1041" i="55"/>
  <c r="H1042" i="55"/>
  <c r="K1042" i="55" s="1"/>
  <c r="H1043" i="55"/>
  <c r="K1043" i="55" s="1"/>
  <c r="H1044" i="55"/>
  <c r="J1044" i="55" s="1"/>
  <c r="H1045" i="55"/>
  <c r="H1046" i="55"/>
  <c r="J1046" i="55" s="1"/>
  <c r="H1047" i="55"/>
  <c r="H1048" i="55"/>
  <c r="J1048" i="55" s="1"/>
  <c r="H1049" i="55"/>
  <c r="H1050" i="55"/>
  <c r="J1050" i="55" s="1"/>
  <c r="H1051" i="55"/>
  <c r="H1052" i="55"/>
  <c r="J1052" i="55" s="1"/>
  <c r="H1053" i="55"/>
  <c r="K1053" i="55" s="1"/>
  <c r="H1054" i="55"/>
  <c r="J1054" i="55" s="1"/>
  <c r="H1055" i="55"/>
  <c r="J1055" i="55" s="1"/>
  <c r="H1056" i="55"/>
  <c r="K1056" i="55" s="1"/>
  <c r="H1057" i="55"/>
  <c r="K1057" i="55" s="1"/>
  <c r="H1058" i="55"/>
  <c r="K1058" i="55" s="1"/>
  <c r="H1059" i="55"/>
  <c r="J1059" i="55" s="1"/>
  <c r="H1060" i="55"/>
  <c r="J1060" i="55" s="1"/>
  <c r="H1061" i="55"/>
  <c r="K1061" i="55" s="1"/>
  <c r="H1062" i="55"/>
  <c r="K1062" i="55" s="1"/>
  <c r="H1063" i="55"/>
  <c r="J1063" i="55" s="1"/>
  <c r="H1064" i="55"/>
  <c r="K1064" i="55" s="1"/>
  <c r="H1065" i="55"/>
  <c r="K1065" i="55" s="1"/>
  <c r="H1066" i="55"/>
  <c r="J1066" i="55" s="1"/>
  <c r="H1067" i="55"/>
  <c r="K1067" i="55" s="1"/>
  <c r="H1068" i="55"/>
  <c r="K1068" i="55" s="1"/>
  <c r="H1069" i="55"/>
  <c r="H1070" i="55"/>
  <c r="K1070" i="55" s="1"/>
  <c r="H1071" i="55"/>
  <c r="K1071" i="55" s="1"/>
  <c r="H1072" i="55"/>
  <c r="J1072" i="55" s="1"/>
  <c r="H1073" i="55"/>
  <c r="H1074" i="55"/>
  <c r="K1074" i="55" s="1"/>
  <c r="H1075" i="55"/>
  <c r="J1075" i="55" s="1"/>
  <c r="H1076" i="55"/>
  <c r="H1077" i="55"/>
  <c r="J1077" i="55" s="1"/>
  <c r="H1078" i="55"/>
  <c r="J1078" i="55" s="1"/>
  <c r="H1079" i="55"/>
  <c r="J1079" i="55" s="1"/>
  <c r="H1080" i="55"/>
  <c r="J1080" i="55" s="1"/>
  <c r="H1012" i="55"/>
  <c r="J1012" i="55" s="1"/>
  <c r="H810" i="55"/>
  <c r="J810" i="55" s="1"/>
  <c r="H811" i="55"/>
  <c r="K811" i="55" s="1"/>
  <c r="H812" i="55"/>
  <c r="K812" i="55" s="1"/>
  <c r="H813" i="55"/>
  <c r="K813" i="55" s="1"/>
  <c r="H814" i="55"/>
  <c r="J814" i="55" s="1"/>
  <c r="H815" i="55"/>
  <c r="K815" i="55" s="1"/>
  <c r="H816" i="55"/>
  <c r="J816" i="55" s="1"/>
  <c r="H817" i="55"/>
  <c r="K817" i="55" s="1"/>
  <c r="H818" i="55"/>
  <c r="K818" i="55" s="1"/>
  <c r="H819" i="55"/>
  <c r="K819" i="55" s="1"/>
  <c r="H820" i="55"/>
  <c r="J820" i="55" s="1"/>
  <c r="H821" i="55"/>
  <c r="J821" i="55" s="1"/>
  <c r="H822" i="55"/>
  <c r="J822" i="55" s="1"/>
  <c r="H823" i="55"/>
  <c r="K823" i="55" s="1"/>
  <c r="H824" i="55"/>
  <c r="J824" i="55" s="1"/>
  <c r="H825" i="55"/>
  <c r="K825" i="55" s="1"/>
  <c r="H826" i="55"/>
  <c r="K826" i="55" s="1"/>
  <c r="H827" i="55"/>
  <c r="H828" i="55"/>
  <c r="H829" i="55"/>
  <c r="J829" i="55" s="1"/>
  <c r="H830" i="55"/>
  <c r="J830" i="55" s="1"/>
  <c r="H831" i="55"/>
  <c r="K831" i="55" s="1"/>
  <c r="H832" i="55"/>
  <c r="J832" i="55" s="1"/>
  <c r="H833" i="55"/>
  <c r="J833" i="55" s="1"/>
  <c r="H834" i="55"/>
  <c r="K834" i="55" s="1"/>
  <c r="H835" i="55"/>
  <c r="K835" i="55" s="1"/>
  <c r="H836" i="55"/>
  <c r="J836" i="55" s="1"/>
  <c r="H837" i="55"/>
  <c r="J837" i="55" s="1"/>
  <c r="H838" i="55"/>
  <c r="J838" i="55" s="1"/>
  <c r="H839" i="55"/>
  <c r="K839" i="55" s="1"/>
  <c r="H840" i="55"/>
  <c r="J840" i="55" s="1"/>
  <c r="H841" i="55"/>
  <c r="J841" i="55" s="1"/>
  <c r="H842" i="55"/>
  <c r="K842" i="55" s="1"/>
  <c r="H843" i="55"/>
  <c r="H844" i="55"/>
  <c r="J844" i="55" s="1"/>
  <c r="H845" i="55"/>
  <c r="J845" i="55" s="1"/>
  <c r="H846" i="55"/>
  <c r="J846" i="55" s="1"/>
  <c r="H847" i="55"/>
  <c r="K847" i="55" s="1"/>
  <c r="H848" i="55"/>
  <c r="J848" i="55" s="1"/>
  <c r="H849" i="55"/>
  <c r="J849" i="55" s="1"/>
  <c r="H850" i="55"/>
  <c r="J850" i="55" s="1"/>
  <c r="H851" i="55"/>
  <c r="H852" i="55"/>
  <c r="J852" i="55" s="1"/>
  <c r="H853" i="55"/>
  <c r="K853" i="55" s="1"/>
  <c r="H854" i="55"/>
  <c r="K854" i="55" s="1"/>
  <c r="H855" i="55"/>
  <c r="J855" i="55" s="1"/>
  <c r="H856" i="55"/>
  <c r="K856" i="55" s="1"/>
  <c r="H857" i="55"/>
  <c r="H858" i="55"/>
  <c r="J858" i="55" s="1"/>
  <c r="H859" i="55"/>
  <c r="J859" i="55" s="1"/>
  <c r="H860" i="55"/>
  <c r="J860" i="55" s="1"/>
  <c r="H861" i="55"/>
  <c r="K861" i="55" s="1"/>
  <c r="H862" i="55"/>
  <c r="J862" i="55" s="1"/>
  <c r="H864" i="55"/>
  <c r="H865" i="55"/>
  <c r="J865" i="55" s="1"/>
  <c r="H866" i="55"/>
  <c r="J866" i="55" s="1"/>
  <c r="H867" i="55"/>
  <c r="H868" i="55"/>
  <c r="J868" i="55" s="1"/>
  <c r="H869" i="55"/>
  <c r="K869" i="55" s="1"/>
  <c r="H870" i="55"/>
  <c r="K870" i="55" s="1"/>
  <c r="H871" i="55"/>
  <c r="H872" i="55"/>
  <c r="J872" i="55" s="1"/>
  <c r="H873" i="55"/>
  <c r="J873" i="55" s="1"/>
  <c r="H874" i="55"/>
  <c r="K874" i="55" s="1"/>
  <c r="H875" i="55"/>
  <c r="K875" i="55" s="1"/>
  <c r="H876" i="55"/>
  <c r="H877" i="55"/>
  <c r="K877" i="55" s="1"/>
  <c r="H878" i="55"/>
  <c r="J878" i="55" s="1"/>
  <c r="H879" i="55"/>
  <c r="J879" i="55" s="1"/>
  <c r="H880" i="55"/>
  <c r="J880" i="55" s="1"/>
  <c r="H881" i="55"/>
  <c r="H882" i="55"/>
  <c r="K882" i="55" s="1"/>
  <c r="H883" i="55"/>
  <c r="J883" i="55" s="1"/>
  <c r="H884" i="55"/>
  <c r="K884" i="55" s="1"/>
  <c r="H885" i="55"/>
  <c r="H886" i="55"/>
  <c r="J886" i="55" s="1"/>
  <c r="H887" i="55"/>
  <c r="J887" i="55" s="1"/>
  <c r="H888" i="55"/>
  <c r="J888" i="55" s="1"/>
  <c r="H889" i="55"/>
  <c r="H890" i="55"/>
  <c r="J890" i="55" s="1"/>
  <c r="H891" i="55"/>
  <c r="J891" i="55" s="1"/>
  <c r="H892" i="55"/>
  <c r="H893" i="55"/>
  <c r="K893" i="55" s="1"/>
  <c r="H894" i="55"/>
  <c r="J894" i="55" s="1"/>
  <c r="H895" i="55"/>
  <c r="J895" i="55" s="1"/>
  <c r="H896" i="55"/>
  <c r="J896" i="55" s="1"/>
  <c r="H897" i="55"/>
  <c r="K897" i="55" s="1"/>
  <c r="H898" i="55"/>
  <c r="K898" i="55" s="1"/>
  <c r="H899" i="55"/>
  <c r="K899" i="55" s="1"/>
  <c r="H900" i="55"/>
  <c r="K900" i="55" s="1"/>
  <c r="H901" i="55"/>
  <c r="H902" i="55"/>
  <c r="J902" i="55" s="1"/>
  <c r="H903" i="55"/>
  <c r="J903" i="55" s="1"/>
  <c r="H904" i="55"/>
  <c r="J904" i="55" s="1"/>
  <c r="H905" i="55"/>
  <c r="J905" i="55" s="1"/>
  <c r="H906" i="55"/>
  <c r="K906" i="55" s="1"/>
  <c r="H907" i="55"/>
  <c r="K907" i="55" s="1"/>
  <c r="H908" i="55"/>
  <c r="K908" i="55" s="1"/>
  <c r="H909" i="55"/>
  <c r="H910" i="55"/>
  <c r="J910" i="55" s="1"/>
  <c r="H911" i="55"/>
  <c r="J911" i="55" s="1"/>
  <c r="H912" i="55"/>
  <c r="K912" i="55" s="1"/>
  <c r="H913" i="55"/>
  <c r="J913" i="55" s="1"/>
  <c r="H914" i="55"/>
  <c r="K914" i="55" s="1"/>
  <c r="H915" i="55"/>
  <c r="K915" i="55" s="1"/>
  <c r="H916" i="55"/>
  <c r="K916" i="55" s="1"/>
  <c r="H917" i="55"/>
  <c r="J917" i="55" s="1"/>
  <c r="H918" i="55"/>
  <c r="H919" i="55"/>
  <c r="J919" i="55" s="1"/>
  <c r="H920" i="55"/>
  <c r="K920" i="55" s="1"/>
  <c r="H921" i="55"/>
  <c r="K921" i="55" s="1"/>
  <c r="H922" i="55"/>
  <c r="H923" i="55"/>
  <c r="H924" i="55"/>
  <c r="J924" i="55" s="1"/>
  <c r="H925" i="55"/>
  <c r="J925" i="55" s="1"/>
  <c r="H926" i="55"/>
  <c r="K926" i="55" s="1"/>
  <c r="H927" i="55"/>
  <c r="J927" i="55" s="1"/>
  <c r="H928" i="55"/>
  <c r="K928" i="55" s="1"/>
  <c r="H929" i="55"/>
  <c r="K929" i="55" s="1"/>
  <c r="H930" i="55"/>
  <c r="K930" i="55" s="1"/>
  <c r="H931" i="55"/>
  <c r="J931" i="55" s="1"/>
  <c r="H932" i="55"/>
  <c r="J932" i="55" s="1"/>
  <c r="H933" i="55"/>
  <c r="J933" i="55" s="1"/>
  <c r="H934" i="55"/>
  <c r="K934" i="55" s="1"/>
  <c r="H935" i="55"/>
  <c r="H936" i="55"/>
  <c r="K936" i="55" s="1"/>
  <c r="H937" i="55"/>
  <c r="H938" i="55"/>
  <c r="J938" i="55" s="1"/>
  <c r="H939" i="55"/>
  <c r="J939" i="55" s="1"/>
  <c r="H940" i="55"/>
  <c r="J940" i="55" s="1"/>
  <c r="H941" i="55"/>
  <c r="K941" i="55" s="1"/>
  <c r="H942" i="55"/>
  <c r="J942" i="55" s="1"/>
  <c r="H943" i="55"/>
  <c r="J943" i="55" s="1"/>
  <c r="H944" i="55"/>
  <c r="K944" i="55" s="1"/>
  <c r="H809" i="55"/>
  <c r="K809" i="55" s="1"/>
  <c r="H808" i="55"/>
  <c r="K808" i="55" s="1"/>
  <c r="H741" i="55"/>
  <c r="K741" i="55" s="1"/>
  <c r="H742" i="55"/>
  <c r="K742" i="55" s="1"/>
  <c r="H743" i="55"/>
  <c r="K743" i="55" s="1"/>
  <c r="H744" i="55"/>
  <c r="K744" i="55" s="1"/>
  <c r="H745" i="55"/>
  <c r="J745" i="55" s="1"/>
  <c r="H746" i="55"/>
  <c r="K746" i="55" s="1"/>
  <c r="H747" i="55"/>
  <c r="H748" i="55"/>
  <c r="J748" i="55" s="1"/>
  <c r="H749" i="55"/>
  <c r="J749" i="55" s="1"/>
  <c r="H750" i="55"/>
  <c r="K750" i="55" s="1"/>
  <c r="H751" i="55"/>
  <c r="K751" i="55" s="1"/>
  <c r="H752" i="55"/>
  <c r="J752" i="55" s="1"/>
  <c r="H753" i="55"/>
  <c r="J753" i="55" s="1"/>
  <c r="H754" i="55"/>
  <c r="K754" i="55" s="1"/>
  <c r="H755" i="55"/>
  <c r="K755" i="55" s="1"/>
  <c r="H756" i="55"/>
  <c r="J756" i="55" s="1"/>
  <c r="H757" i="55"/>
  <c r="J757" i="55" s="1"/>
  <c r="H758" i="55"/>
  <c r="K758" i="55" s="1"/>
  <c r="H759" i="55"/>
  <c r="K759" i="55" s="1"/>
  <c r="H760" i="55"/>
  <c r="J760" i="55" s="1"/>
  <c r="H761" i="55"/>
  <c r="J761" i="55" s="1"/>
  <c r="H762" i="55"/>
  <c r="K762" i="55" s="1"/>
  <c r="H763" i="55"/>
  <c r="K763" i="55" s="1"/>
  <c r="H764" i="55"/>
  <c r="J764" i="55" s="1"/>
  <c r="H765" i="55"/>
  <c r="J765" i="55" s="1"/>
  <c r="H766" i="55"/>
  <c r="K766" i="55" s="1"/>
  <c r="H767" i="55"/>
  <c r="K767" i="55" s="1"/>
  <c r="H768" i="55"/>
  <c r="J768" i="55" s="1"/>
  <c r="H769" i="55"/>
  <c r="J769" i="55" s="1"/>
  <c r="H770" i="55"/>
  <c r="K770" i="55" s="1"/>
  <c r="H771" i="55"/>
  <c r="K771" i="55" s="1"/>
  <c r="H772" i="55"/>
  <c r="J772" i="55" s="1"/>
  <c r="H773" i="55"/>
  <c r="K773" i="55" s="1"/>
  <c r="H774" i="55"/>
  <c r="K774" i="55" s="1"/>
  <c r="H775" i="55"/>
  <c r="K775" i="55" s="1"/>
  <c r="H776" i="55"/>
  <c r="J776" i="55" s="1"/>
  <c r="H777" i="55"/>
  <c r="J777" i="55" s="1"/>
  <c r="H778" i="55"/>
  <c r="K778" i="55" s="1"/>
  <c r="H779" i="55"/>
  <c r="K779" i="55" s="1"/>
  <c r="H780" i="55"/>
  <c r="J780" i="55" s="1"/>
  <c r="H781" i="55"/>
  <c r="J781" i="55" s="1"/>
  <c r="H782" i="55"/>
  <c r="J782" i="55" s="1"/>
  <c r="H783" i="55"/>
  <c r="J783" i="55" s="1"/>
  <c r="H784" i="55"/>
  <c r="K784" i="55" s="1"/>
  <c r="H785" i="55"/>
  <c r="K785" i="55" s="1"/>
  <c r="H786" i="55"/>
  <c r="J786" i="55" s="1"/>
  <c r="H787" i="55"/>
  <c r="K787" i="55" s="1"/>
  <c r="H788" i="55"/>
  <c r="K788" i="55" s="1"/>
  <c r="H789" i="55"/>
  <c r="K789" i="55" s="1"/>
  <c r="H790" i="55"/>
  <c r="J790" i="55" s="1"/>
  <c r="H791" i="55"/>
  <c r="J791" i="55" s="1"/>
  <c r="H792" i="55"/>
  <c r="K792" i="55" s="1"/>
  <c r="H793" i="55"/>
  <c r="K793" i="55" s="1"/>
  <c r="H794" i="55"/>
  <c r="J794" i="55" s="1"/>
  <c r="H795" i="55"/>
  <c r="K795" i="55" s="1"/>
  <c r="H796" i="55"/>
  <c r="J796" i="55" s="1"/>
  <c r="H797" i="55"/>
  <c r="J797" i="55" s="1"/>
  <c r="H798" i="55"/>
  <c r="K798" i="55" s="1"/>
  <c r="H799" i="55"/>
  <c r="K799" i="55" s="1"/>
  <c r="H800" i="55"/>
  <c r="J800" i="55" s="1"/>
  <c r="H801" i="55"/>
  <c r="J801" i="55" s="1"/>
  <c r="H802" i="55"/>
  <c r="K802" i="55" s="1"/>
  <c r="H803" i="55"/>
  <c r="K803" i="55" s="1"/>
  <c r="H804" i="55"/>
  <c r="J804" i="55" s="1"/>
  <c r="H805" i="55"/>
  <c r="K805" i="55" s="1"/>
  <c r="H806" i="55"/>
  <c r="J806" i="55" s="1"/>
  <c r="H807" i="55"/>
  <c r="K807" i="55" s="1"/>
  <c r="H740" i="55"/>
  <c r="K740" i="55" s="1"/>
  <c r="H714" i="55"/>
  <c r="K714" i="55" s="1"/>
  <c r="H715" i="55"/>
  <c r="K715" i="55" s="1"/>
  <c r="H716" i="55"/>
  <c r="J716" i="55" s="1"/>
  <c r="H717" i="55"/>
  <c r="K717" i="55" s="1"/>
  <c r="H718" i="55"/>
  <c r="K718" i="55" s="1"/>
  <c r="H719" i="55"/>
  <c r="J719" i="55" s="1"/>
  <c r="H720" i="55"/>
  <c r="K720" i="55" s="1"/>
  <c r="H721" i="55"/>
  <c r="K721" i="55" s="1"/>
  <c r="H722" i="55"/>
  <c r="K722" i="55" s="1"/>
  <c r="H723" i="55"/>
  <c r="J723" i="55" s="1"/>
  <c r="H724" i="55"/>
  <c r="J724" i="55" s="1"/>
  <c r="H725" i="55"/>
  <c r="K725" i="55" s="1"/>
  <c r="H726" i="55"/>
  <c r="K726" i="55" s="1"/>
  <c r="H727" i="55"/>
  <c r="J727" i="55" s="1"/>
  <c r="H728" i="55"/>
  <c r="J728" i="55" s="1"/>
  <c r="H729" i="55"/>
  <c r="K729" i="55" s="1"/>
  <c r="H730" i="55"/>
  <c r="K730" i="55" s="1"/>
  <c r="H731" i="55"/>
  <c r="K731" i="55" s="1"/>
  <c r="H732" i="55"/>
  <c r="J732" i="55" s="1"/>
  <c r="H733" i="55"/>
  <c r="K733" i="55" s="1"/>
  <c r="H734" i="55"/>
  <c r="K734" i="55" s="1"/>
  <c r="H735" i="55"/>
  <c r="J735" i="55" s="1"/>
  <c r="H736" i="55"/>
  <c r="K736" i="55" s="1"/>
  <c r="H737" i="55"/>
  <c r="K737" i="55" s="1"/>
  <c r="H738" i="55"/>
  <c r="K738" i="55" s="1"/>
  <c r="H739" i="55"/>
  <c r="J739" i="55" s="1"/>
  <c r="H713" i="55"/>
  <c r="K713" i="55" s="1"/>
  <c r="H686" i="55"/>
  <c r="J686" i="55" s="1"/>
  <c r="H687" i="55"/>
  <c r="J687" i="55" s="1"/>
  <c r="H688" i="55"/>
  <c r="J688" i="55" s="1"/>
  <c r="H689" i="55"/>
  <c r="K689" i="55" s="1"/>
  <c r="H690" i="55"/>
  <c r="J690" i="55" s="1"/>
  <c r="H691" i="55"/>
  <c r="J691" i="55" s="1"/>
  <c r="H692" i="55"/>
  <c r="J692" i="55" s="1"/>
  <c r="H693" i="55"/>
  <c r="J693" i="55" s="1"/>
  <c r="H694" i="55"/>
  <c r="J694" i="55" s="1"/>
  <c r="H695" i="55"/>
  <c r="J695" i="55" s="1"/>
  <c r="H696" i="55"/>
  <c r="K696" i="55" s="1"/>
  <c r="H697" i="55"/>
  <c r="J697" i="55" s="1"/>
  <c r="H698" i="55"/>
  <c r="J698" i="55" s="1"/>
  <c r="H699" i="55"/>
  <c r="J699" i="55" s="1"/>
  <c r="H700" i="55"/>
  <c r="K700" i="55" s="1"/>
  <c r="H701" i="55"/>
  <c r="J701" i="55" s="1"/>
  <c r="H702" i="55"/>
  <c r="J702" i="55" s="1"/>
  <c r="H703" i="55"/>
  <c r="J703" i="55" s="1"/>
  <c r="H704" i="55"/>
  <c r="K704" i="55" s="1"/>
  <c r="H705" i="55"/>
  <c r="J705" i="55" s="1"/>
  <c r="H706" i="55"/>
  <c r="J706" i="55" s="1"/>
  <c r="H707" i="55"/>
  <c r="J707" i="55" s="1"/>
  <c r="H708" i="55"/>
  <c r="J708" i="55" s="1"/>
  <c r="H709" i="55"/>
  <c r="J709" i="55" s="1"/>
  <c r="H710" i="55"/>
  <c r="J710" i="55" s="1"/>
  <c r="H711" i="55"/>
  <c r="J711" i="55" s="1"/>
  <c r="H712" i="55"/>
  <c r="K712" i="55" s="1"/>
  <c r="H678" i="55"/>
  <c r="K678" i="55" s="1"/>
  <c r="H679" i="55"/>
  <c r="J679" i="55" s="1"/>
  <c r="H680" i="55"/>
  <c r="K680" i="55" s="1"/>
  <c r="H681" i="55"/>
  <c r="K681" i="55" s="1"/>
  <c r="H682" i="55"/>
  <c r="K682" i="55" s="1"/>
  <c r="H683" i="55"/>
  <c r="J683" i="55" s="1"/>
  <c r="H684" i="55"/>
  <c r="K684" i="55" s="1"/>
  <c r="H685" i="55"/>
  <c r="K685" i="55" s="1"/>
  <c r="H655" i="55"/>
  <c r="K655" i="55" s="1"/>
  <c r="H656" i="55"/>
  <c r="K656" i="55" s="1"/>
  <c r="H657" i="55"/>
  <c r="J657" i="55" s="1"/>
  <c r="H658" i="55"/>
  <c r="K658" i="55" s="1"/>
  <c r="H659" i="55"/>
  <c r="K659" i="55" s="1"/>
  <c r="H660" i="55"/>
  <c r="K660" i="55" s="1"/>
  <c r="H661" i="55"/>
  <c r="J661" i="55" s="1"/>
  <c r="H662" i="55"/>
  <c r="K662" i="55" s="1"/>
  <c r="H663" i="55"/>
  <c r="K663" i="55" s="1"/>
  <c r="H664" i="55"/>
  <c r="K664" i="55" s="1"/>
  <c r="H665" i="55"/>
  <c r="J665" i="55" s="1"/>
  <c r="H666" i="55"/>
  <c r="K666" i="55" s="1"/>
  <c r="H667" i="55"/>
  <c r="K667" i="55" s="1"/>
  <c r="H668" i="55"/>
  <c r="J668" i="55" s="1"/>
  <c r="H669" i="55"/>
  <c r="K669" i="55" s="1"/>
  <c r="H670" i="55"/>
  <c r="K670" i="55" s="1"/>
  <c r="H671" i="55"/>
  <c r="K671" i="55" s="1"/>
  <c r="H672" i="55"/>
  <c r="K672" i="55" s="1"/>
  <c r="H673" i="55"/>
  <c r="J673" i="55" s="1"/>
  <c r="H674" i="55"/>
  <c r="K674" i="55" s="1"/>
  <c r="H675" i="55"/>
  <c r="K675" i="55" s="1"/>
  <c r="H676" i="55"/>
  <c r="J676" i="55" s="1"/>
  <c r="H654" i="55"/>
  <c r="K654" i="55" s="1"/>
  <c r="H626" i="55"/>
  <c r="J626" i="55" s="1"/>
  <c r="H627" i="55"/>
  <c r="J627" i="55" s="1"/>
  <c r="H628" i="55"/>
  <c r="K628" i="55" s="1"/>
  <c r="H629" i="55"/>
  <c r="J629" i="55" s="1"/>
  <c r="H630" i="55"/>
  <c r="J630" i="55" s="1"/>
  <c r="H631" i="55"/>
  <c r="K631" i="55" s="1"/>
  <c r="H632" i="55"/>
  <c r="J632" i="55" s="1"/>
  <c r="H633" i="55"/>
  <c r="J633" i="55" s="1"/>
  <c r="H634" i="55"/>
  <c r="J634" i="55" s="1"/>
  <c r="H635" i="55"/>
  <c r="J635" i="55" s="1"/>
  <c r="H636" i="55"/>
  <c r="J636" i="55" s="1"/>
  <c r="H637" i="55"/>
  <c r="J637" i="55" s="1"/>
  <c r="H638" i="55"/>
  <c r="J638" i="55" s="1"/>
  <c r="H639" i="55"/>
  <c r="J639" i="55" s="1"/>
  <c r="H640" i="55"/>
  <c r="J640" i="55" s="1"/>
  <c r="H641" i="55"/>
  <c r="H642" i="55"/>
  <c r="J642" i="55" s="1"/>
  <c r="H643" i="55"/>
  <c r="K643" i="55" s="1"/>
  <c r="H644" i="55"/>
  <c r="J644" i="55" s="1"/>
  <c r="H645" i="55"/>
  <c r="J645" i="55" s="1"/>
  <c r="H646" i="55"/>
  <c r="J646" i="55" s="1"/>
  <c r="H647" i="55"/>
  <c r="J647" i="55" s="1"/>
  <c r="H648" i="55"/>
  <c r="J648" i="55" s="1"/>
  <c r="H649" i="55"/>
  <c r="J649" i="55" s="1"/>
  <c r="H650" i="55"/>
  <c r="K650" i="55" s="1"/>
  <c r="H651" i="55"/>
  <c r="J651" i="55" s="1"/>
  <c r="H652" i="55"/>
  <c r="J652" i="55" s="1"/>
  <c r="H653" i="55"/>
  <c r="K653" i="55" s="1"/>
  <c r="H386" i="55"/>
  <c r="H387" i="55"/>
  <c r="H388" i="55"/>
  <c r="H389" i="55"/>
  <c r="H390" i="55"/>
  <c r="H391" i="55"/>
  <c r="H392" i="55"/>
  <c r="H393" i="55"/>
  <c r="H394" i="55"/>
  <c r="H395" i="55"/>
  <c r="H396" i="55"/>
  <c r="H397" i="55"/>
  <c r="H398" i="55"/>
  <c r="H399" i="55"/>
  <c r="H400" i="55"/>
  <c r="H401" i="55"/>
  <c r="H402" i="55"/>
  <c r="H403" i="55"/>
  <c r="H405" i="55"/>
  <c r="H406" i="55"/>
  <c r="H407" i="55"/>
  <c r="H408" i="55"/>
  <c r="H409" i="55"/>
  <c r="H410" i="55"/>
  <c r="H411" i="55"/>
  <c r="J411" i="55" s="1"/>
  <c r="H412" i="55"/>
  <c r="J412" i="55" s="1"/>
  <c r="H413" i="55"/>
  <c r="K413" i="55" s="1"/>
  <c r="H414" i="55"/>
  <c r="K414" i="55" s="1"/>
  <c r="H415" i="55"/>
  <c r="J415" i="55" s="1"/>
  <c r="H416" i="55"/>
  <c r="K416" i="55" s="1"/>
  <c r="H417" i="55"/>
  <c r="K417" i="55" s="1"/>
  <c r="H418" i="55"/>
  <c r="K418" i="55" s="1"/>
  <c r="H419" i="55"/>
  <c r="K419" i="55" s="1"/>
  <c r="H420" i="55"/>
  <c r="K420" i="55" s="1"/>
  <c r="H421" i="55"/>
  <c r="K421" i="55" s="1"/>
  <c r="H422" i="55"/>
  <c r="K422" i="55" s="1"/>
  <c r="H423" i="55"/>
  <c r="K423" i="55" s="1"/>
  <c r="H424" i="55"/>
  <c r="J424" i="55" s="1"/>
  <c r="H425" i="55"/>
  <c r="K425" i="55" s="1"/>
  <c r="H426" i="55"/>
  <c r="J426" i="55" s="1"/>
  <c r="H427" i="55"/>
  <c r="J427" i="55" s="1"/>
  <c r="H428" i="55"/>
  <c r="K428" i="55" s="1"/>
  <c r="H429" i="55"/>
  <c r="J429" i="55" s="1"/>
  <c r="H430" i="55"/>
  <c r="K430" i="55" s="1"/>
  <c r="H459" i="55"/>
  <c r="K459" i="55" s="1"/>
  <c r="H460" i="55"/>
  <c r="K460" i="55" s="1"/>
  <c r="H461" i="55"/>
  <c r="K461" i="55" s="1"/>
  <c r="H462" i="55"/>
  <c r="K462" i="55" s="1"/>
  <c r="H463" i="55"/>
  <c r="K463" i="55" s="1"/>
  <c r="H464" i="55"/>
  <c r="K464" i="55" s="1"/>
  <c r="H465" i="55"/>
  <c r="K465" i="55" s="1"/>
  <c r="H466" i="55"/>
  <c r="J466" i="55" s="1"/>
  <c r="H467" i="55"/>
  <c r="J467" i="55" s="1"/>
  <c r="H468" i="55"/>
  <c r="J468" i="55" s="1"/>
  <c r="H469" i="55"/>
  <c r="J469" i="55" s="1"/>
  <c r="H470" i="55"/>
  <c r="K470" i="55" s="1"/>
  <c r="H471" i="55"/>
  <c r="J471" i="55" s="1"/>
  <c r="H472" i="55"/>
  <c r="K472" i="55" s="1"/>
  <c r="H518" i="55"/>
  <c r="J518" i="55" s="1"/>
  <c r="H519" i="55"/>
  <c r="K519" i="55" s="1"/>
  <c r="H520" i="55"/>
  <c r="J520" i="55" s="1"/>
  <c r="H521" i="55"/>
  <c r="J521" i="55" s="1"/>
  <c r="H522" i="55"/>
  <c r="K522" i="55" s="1"/>
  <c r="H523" i="55"/>
  <c r="K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K538" i="55" s="1"/>
  <c r="H539" i="55"/>
  <c r="J539" i="55" s="1"/>
  <c r="H540" i="55"/>
  <c r="J540" i="55" s="1"/>
  <c r="H541" i="55"/>
  <c r="H542" i="55"/>
  <c r="K542" i="55" s="1"/>
  <c r="H543" i="55"/>
  <c r="J543" i="55" s="1"/>
  <c r="H544" i="55"/>
  <c r="J544" i="55" s="1"/>
  <c r="H545" i="55"/>
  <c r="J545" i="55" s="1"/>
  <c r="H546" i="55"/>
  <c r="K546" i="55" s="1"/>
  <c r="H547" i="55"/>
  <c r="K547" i="55" s="1"/>
  <c r="H548" i="55"/>
  <c r="J548" i="55" s="1"/>
  <c r="H549" i="55"/>
  <c r="J549" i="55" s="1"/>
  <c r="H550" i="55"/>
  <c r="J550" i="55" s="1"/>
  <c r="H551" i="55"/>
  <c r="J551" i="55" s="1"/>
  <c r="H552" i="55"/>
  <c r="J552" i="55" s="1"/>
  <c r="H553" i="55"/>
  <c r="J553" i="55" s="1"/>
  <c r="H554" i="55"/>
  <c r="J554" i="55" s="1"/>
  <c r="H555" i="55"/>
  <c r="J555" i="55" s="1"/>
  <c r="H556" i="55"/>
  <c r="J556" i="55" s="1"/>
  <c r="H557" i="55"/>
  <c r="J557" i="55" s="1"/>
  <c r="H558" i="55"/>
  <c r="J558" i="55" s="1"/>
  <c r="H559" i="55"/>
  <c r="J559" i="55" s="1"/>
  <c r="H560" i="55"/>
  <c r="J560" i="55" s="1"/>
  <c r="H561" i="55"/>
  <c r="K561" i="55" s="1"/>
  <c r="H562" i="55"/>
  <c r="J562" i="55" s="1"/>
  <c r="H563" i="55"/>
  <c r="J563" i="55" s="1"/>
  <c r="H564" i="55"/>
  <c r="J564" i="55" s="1"/>
  <c r="H565" i="55"/>
  <c r="K565" i="55" s="1"/>
  <c r="H566" i="55"/>
  <c r="J566" i="55" s="1"/>
  <c r="H567" i="55"/>
  <c r="K567" i="55" s="1"/>
  <c r="H568" i="55"/>
  <c r="J568" i="55" s="1"/>
  <c r="H569" i="55"/>
  <c r="J569" i="55" s="1"/>
  <c r="H570" i="55"/>
  <c r="J570" i="55" s="1"/>
  <c r="H571" i="55"/>
  <c r="J571" i="55" s="1"/>
  <c r="H572" i="55"/>
  <c r="J572" i="55" s="1"/>
  <c r="H573" i="55"/>
  <c r="K573" i="55" s="1"/>
  <c r="H574" i="55"/>
  <c r="K574" i="55" s="1"/>
  <c r="H575" i="55"/>
  <c r="J575" i="55" s="1"/>
  <c r="H576" i="55"/>
  <c r="J576" i="55" s="1"/>
  <c r="H577" i="55"/>
  <c r="J577" i="55" s="1"/>
  <c r="H578" i="55"/>
  <c r="J578" i="55" s="1"/>
  <c r="H579" i="55"/>
  <c r="K579" i="55" s="1"/>
  <c r="H580" i="55"/>
  <c r="J580" i="55" s="1"/>
  <c r="H581" i="55"/>
  <c r="J581" i="55" s="1"/>
  <c r="H582" i="55"/>
  <c r="K582" i="55" s="1"/>
  <c r="H583" i="55"/>
  <c r="K583" i="55" s="1"/>
  <c r="H584" i="55"/>
  <c r="K584" i="55" s="1"/>
  <c r="H585" i="55"/>
  <c r="J585" i="55" s="1"/>
  <c r="H586" i="55"/>
  <c r="K586" i="55" s="1"/>
  <c r="H587" i="55"/>
  <c r="J587" i="55" s="1"/>
  <c r="H588" i="55"/>
  <c r="J588" i="55" s="1"/>
  <c r="H589" i="55"/>
  <c r="J589" i="55" s="1"/>
  <c r="H590" i="55"/>
  <c r="K590" i="55" s="1"/>
  <c r="H591" i="55"/>
  <c r="K591" i="55" s="1"/>
  <c r="H592" i="55"/>
  <c r="J592" i="55" s="1"/>
  <c r="H593" i="55"/>
  <c r="J593" i="55" s="1"/>
  <c r="H594" i="55"/>
  <c r="J594" i="55" s="1"/>
  <c r="H595" i="55"/>
  <c r="J595" i="55" s="1"/>
  <c r="H596" i="55"/>
  <c r="K596" i="55" s="1"/>
  <c r="H597" i="55"/>
  <c r="J597" i="55" s="1"/>
  <c r="H598" i="55"/>
  <c r="J598" i="55" s="1"/>
  <c r="H599" i="55"/>
  <c r="K599" i="55" s="1"/>
  <c r="H600" i="55"/>
  <c r="K600" i="55" s="1"/>
  <c r="H601" i="55"/>
  <c r="J601" i="55" s="1"/>
  <c r="K386" i="55"/>
  <c r="K387" i="55"/>
  <c r="B2129" i="55"/>
  <c r="B2175" i="55"/>
  <c r="B2579" i="55"/>
  <c r="B2014" i="55"/>
  <c r="J1347" i="55" l="1"/>
  <c r="K541" i="55"/>
  <c r="K1391" i="55"/>
  <c r="J851" i="55"/>
  <c r="J407" i="55"/>
  <c r="J406" i="55"/>
  <c r="K399" i="55"/>
  <c r="J391" i="55"/>
  <c r="K405" i="55"/>
  <c r="J398" i="55"/>
  <c r="K404" i="55"/>
  <c r="K397" i="55"/>
  <c r="J390" i="55"/>
  <c r="K396" i="55"/>
  <c r="K389" i="55"/>
  <c r="K403" i="55"/>
  <c r="J410" i="55"/>
  <c r="J402" i="55"/>
  <c r="K395" i="55"/>
  <c r="K388" i="55"/>
  <c r="J409" i="55"/>
  <c r="J401" i="55"/>
  <c r="J394" i="55"/>
  <c r="K408" i="55"/>
  <c r="K393" i="55"/>
  <c r="K400" i="55"/>
  <c r="K392" i="55"/>
  <c r="J459" i="55"/>
  <c r="J574" i="55"/>
  <c r="K429" i="55"/>
  <c r="J387" i="55"/>
  <c r="J386" i="55"/>
  <c r="K1413" i="55"/>
  <c r="J1413" i="55"/>
  <c r="K468" i="55"/>
  <c r="J1219" i="55"/>
  <c r="K638" i="55"/>
  <c r="K1179" i="55"/>
  <c r="J1057" i="55"/>
  <c r="K407" i="55"/>
  <c r="K536" i="55"/>
  <c r="J906" i="55"/>
  <c r="J899" i="55"/>
  <c r="J405" i="55"/>
  <c r="K534" i="55"/>
  <c r="J582" i="55"/>
  <c r="K849" i="55"/>
  <c r="K1054" i="55"/>
  <c r="J1183" i="55"/>
  <c r="K832" i="55"/>
  <c r="J1286" i="55"/>
  <c r="J522" i="55"/>
  <c r="K1079" i="55"/>
  <c r="J535" i="55"/>
  <c r="K406" i="55"/>
  <c r="K578" i="55"/>
  <c r="J936" i="55"/>
  <c r="K852" i="55"/>
  <c r="J1109" i="55"/>
  <c r="J430" i="55"/>
  <c r="K816" i="55"/>
  <c r="K1100" i="55"/>
  <c r="J1093" i="55"/>
  <c r="K1084" i="55"/>
  <c r="J584" i="55"/>
  <c r="J854" i="55"/>
  <c r="K679" i="55"/>
  <c r="J1494" i="55"/>
  <c r="K1532" i="55"/>
  <c r="K1524" i="55"/>
  <c r="K1516" i="55"/>
  <c r="K1508" i="55"/>
  <c r="K1500" i="55"/>
  <c r="J1540" i="55"/>
  <c r="J1541" i="55"/>
  <c r="K1621" i="55"/>
  <c r="K1613" i="55"/>
  <c r="J1640" i="55"/>
  <c r="J1632" i="55"/>
  <c r="J1650" i="55"/>
  <c r="J1644" i="55"/>
  <c r="K1738" i="55"/>
  <c r="K1730" i="55"/>
  <c r="K1759" i="55"/>
  <c r="K1751" i="55"/>
  <c r="K1743" i="55"/>
  <c r="J1766" i="55"/>
  <c r="J1786" i="55"/>
  <c r="J1777" i="55"/>
  <c r="K1802" i="55"/>
  <c r="J1795" i="55"/>
  <c r="J1817" i="55"/>
  <c r="J1808" i="55"/>
  <c r="J1829" i="55"/>
  <c r="K1819" i="55"/>
  <c r="J1839" i="55"/>
  <c r="J1859" i="55"/>
  <c r="J1851" i="55"/>
  <c r="J1873" i="55"/>
  <c r="J1865" i="55"/>
  <c r="J1880" i="55"/>
  <c r="K390" i="55"/>
  <c r="K873" i="55"/>
  <c r="K860" i="55"/>
  <c r="J1061" i="55"/>
  <c r="J1539" i="55"/>
  <c r="J1531" i="55"/>
  <c r="K1523" i="55"/>
  <c r="J1515" i="55"/>
  <c r="J1507" i="55"/>
  <c r="J1499" i="55"/>
  <c r="J1548" i="55"/>
  <c r="J1576" i="55"/>
  <c r="J1620" i="55"/>
  <c r="J1612" i="55"/>
  <c r="J1639" i="55"/>
  <c r="K1631" i="55"/>
  <c r="J1657" i="55"/>
  <c r="J1649" i="55"/>
  <c r="J1643" i="55"/>
  <c r="J1737" i="55"/>
  <c r="J1723" i="55"/>
  <c r="K1785" i="55"/>
  <c r="K1776" i="55"/>
  <c r="J1801" i="55"/>
  <c r="K1794" i="55"/>
  <c r="J1816" i="55"/>
  <c r="J1807" i="55"/>
  <c r="J1828" i="55"/>
  <c r="J1818" i="55"/>
  <c r="J1838" i="55"/>
  <c r="J1858" i="55"/>
  <c r="J1850" i="55"/>
  <c r="J1872" i="55"/>
  <c r="J1864" i="55"/>
  <c r="J1879" i="55"/>
  <c r="K1139" i="55"/>
  <c r="J1538" i="55"/>
  <c r="J1530" i="55"/>
  <c r="J1522" i="55"/>
  <c r="J1514" i="55"/>
  <c r="J1506" i="55"/>
  <c r="J1498" i="55"/>
  <c r="J1547" i="55"/>
  <c r="J1550" i="55"/>
  <c r="K1611" i="55"/>
  <c r="J1638" i="55"/>
  <c r="J1630" i="55"/>
  <c r="J1656" i="55"/>
  <c r="J1648" i="55"/>
  <c r="J1717" i="55"/>
  <c r="K1736" i="55"/>
  <c r="J1729" i="55"/>
  <c r="K1722" i="55"/>
  <c r="J1757" i="55"/>
  <c r="J1749" i="55"/>
  <c r="J1741" i="55"/>
  <c r="J1764" i="55"/>
  <c r="K1775" i="55"/>
  <c r="J1800" i="55"/>
  <c r="J1793" i="55"/>
  <c r="J1815" i="55"/>
  <c r="J1806" i="55"/>
  <c r="J1826" i="55"/>
  <c r="J1845" i="55"/>
  <c r="J1837" i="55"/>
  <c r="J1857" i="55"/>
  <c r="J1849" i="55"/>
  <c r="J1871" i="55"/>
  <c r="J1863" i="55"/>
  <c r="J1878" i="55"/>
  <c r="K651" i="55"/>
  <c r="K1537" i="55"/>
  <c r="K1529" i="55"/>
  <c r="K1521" i="55"/>
  <c r="K1513" i="55"/>
  <c r="K1505" i="55"/>
  <c r="K1497" i="55"/>
  <c r="J1606" i="55"/>
  <c r="J1598" i="55"/>
  <c r="J1590" i="55"/>
  <c r="J1582" i="55"/>
  <c r="J1574" i="55"/>
  <c r="J1566" i="55"/>
  <c r="J1558" i="55"/>
  <c r="J1608" i="55"/>
  <c r="K1618" i="55"/>
  <c r="J1637" i="55"/>
  <c r="J1629" i="55"/>
  <c r="J1655" i="55"/>
  <c r="K1716" i="55"/>
  <c r="J1735" i="55"/>
  <c r="J1721" i="55"/>
  <c r="J1756" i="55"/>
  <c r="J1748" i="55"/>
  <c r="J1771" i="55"/>
  <c r="J1763" i="55"/>
  <c r="J1782" i="55"/>
  <c r="K1774" i="55"/>
  <c r="J1799" i="55"/>
  <c r="J1813" i="55"/>
  <c r="J1805" i="55"/>
  <c r="J1824" i="55"/>
  <c r="K1844" i="55"/>
  <c r="K1836" i="55"/>
  <c r="K1856" i="55"/>
  <c r="J1848" i="55"/>
  <c r="K1870" i="55"/>
  <c r="K1862" i="55"/>
  <c r="K1877" i="55"/>
  <c r="K415" i="55"/>
  <c r="J898" i="55"/>
  <c r="J875" i="55"/>
  <c r="J1121" i="55"/>
  <c r="K1489" i="55"/>
  <c r="K1536" i="55"/>
  <c r="K1528" i="55"/>
  <c r="K1520" i="55"/>
  <c r="K1512" i="55"/>
  <c r="K1504" i="55"/>
  <c r="J1496" i="55"/>
  <c r="K1545" i="55"/>
  <c r="J1605" i="55"/>
  <c r="J1597" i="55"/>
  <c r="J1589" i="55"/>
  <c r="J1581" i="55"/>
  <c r="J1573" i="55"/>
  <c r="J1565" i="55"/>
  <c r="J1557" i="55"/>
  <c r="K1607" i="55"/>
  <c r="J1617" i="55"/>
  <c r="J1609" i="55"/>
  <c r="J1636" i="55"/>
  <c r="J1628" i="55"/>
  <c r="J1654" i="55"/>
  <c r="J1647" i="55"/>
  <c r="J1660" i="55"/>
  <c r="J1734" i="55"/>
  <c r="K1728" i="55"/>
  <c r="K1720" i="55"/>
  <c r="J1755" i="55"/>
  <c r="J1747" i="55"/>
  <c r="J1770" i="55"/>
  <c r="J1762" i="55"/>
  <c r="J1781" i="55"/>
  <c r="K1773" i="55"/>
  <c r="J1791" i="55"/>
  <c r="J1812" i="55"/>
  <c r="J1833" i="55"/>
  <c r="J1823" i="55"/>
  <c r="J1835" i="55"/>
  <c r="J1855" i="55"/>
  <c r="J1876" i="55"/>
  <c r="K851" i="55"/>
  <c r="K840" i="55"/>
  <c r="K833" i="55"/>
  <c r="J1058" i="55"/>
  <c r="K1535" i="55"/>
  <c r="J1544" i="55"/>
  <c r="K1604" i="55"/>
  <c r="K1596" i="55"/>
  <c r="K1588" i="55"/>
  <c r="K1580" i="55"/>
  <c r="K1572" i="55"/>
  <c r="K1564" i="55"/>
  <c r="K1556" i="55"/>
  <c r="J1624" i="55"/>
  <c r="J1616" i="55"/>
  <c r="J1627" i="55"/>
  <c r="J1659" i="55"/>
  <c r="J1733" i="55"/>
  <c r="K1727" i="55"/>
  <c r="J1754" i="55"/>
  <c r="J1746" i="55"/>
  <c r="J1769" i="55"/>
  <c r="J1761" i="55"/>
  <c r="J1780" i="55"/>
  <c r="J1772" i="55"/>
  <c r="K1798" i="55"/>
  <c r="J1790" i="55"/>
  <c r="J1811" i="55"/>
  <c r="J1832" i="55"/>
  <c r="J1822" i="55"/>
  <c r="J1842" i="55"/>
  <c r="J1834" i="55"/>
  <c r="J1854" i="55"/>
  <c r="J1846" i="55"/>
  <c r="J1868" i="55"/>
  <c r="J1534" i="55"/>
  <c r="J1526" i="55"/>
  <c r="J1518" i="55"/>
  <c r="J1510" i="55"/>
  <c r="J1502" i="55"/>
  <c r="J1543" i="55"/>
  <c r="J1603" i="55"/>
  <c r="J1595" i="55"/>
  <c r="J1587" i="55"/>
  <c r="K1579" i="55"/>
  <c r="J1571" i="55"/>
  <c r="J1563" i="55"/>
  <c r="J1555" i="55"/>
  <c r="J1615" i="55"/>
  <c r="K1642" i="55"/>
  <c r="J1626" i="55"/>
  <c r="J1652" i="55"/>
  <c r="J1646" i="55"/>
  <c r="J1732" i="55"/>
  <c r="J1726" i="55"/>
  <c r="J1718" i="55"/>
  <c r="J1768" i="55"/>
  <c r="J1804" i="55"/>
  <c r="J1797" i="55"/>
  <c r="J1789" i="55"/>
  <c r="J1810" i="55"/>
  <c r="J1831" i="55"/>
  <c r="J1821" i="55"/>
  <c r="J1841" i="55"/>
  <c r="J1861" i="55"/>
  <c r="J1853" i="55"/>
  <c r="J1875" i="55"/>
  <c r="J1867" i="55"/>
  <c r="K1542" i="55"/>
  <c r="J1602" i="55"/>
  <c r="J1594" i="55"/>
  <c r="J1586" i="55"/>
  <c r="J1578" i="55"/>
  <c r="J1570" i="55"/>
  <c r="J1562" i="55"/>
  <c r="J1554" i="55"/>
  <c r="J1622" i="55"/>
  <c r="J1614" i="55"/>
  <c r="J1641" i="55"/>
  <c r="J1633" i="55"/>
  <c r="J1625" i="55"/>
  <c r="J1651" i="55"/>
  <c r="J1645" i="55"/>
  <c r="J1739" i="55"/>
  <c r="J1731" i="55"/>
  <c r="J1725" i="55"/>
  <c r="J1760" i="55"/>
  <c r="J1752" i="55"/>
  <c r="J1744" i="55"/>
  <c r="J1767" i="55"/>
  <c r="J1787" i="55"/>
  <c r="J1796" i="55"/>
  <c r="J1788" i="55"/>
  <c r="J1809" i="55"/>
  <c r="J1830" i="55"/>
  <c r="J1840" i="55"/>
  <c r="J1852" i="55"/>
  <c r="J1874" i="55"/>
  <c r="J1866" i="55"/>
  <c r="J1881" i="55"/>
  <c r="J1884" i="55"/>
  <c r="J1886" i="55"/>
  <c r="J1935" i="55"/>
  <c r="J1892" i="55"/>
  <c r="K1885" i="55"/>
  <c r="J1906" i="55"/>
  <c r="J1898" i="55"/>
  <c r="J1926" i="55"/>
  <c r="J1918" i="55"/>
  <c r="J1934" i="55"/>
  <c r="J1899" i="55"/>
  <c r="J1891" i="55"/>
  <c r="J1905" i="55"/>
  <c r="J1917" i="55"/>
  <c r="J1933" i="55"/>
  <c r="J1919" i="55"/>
  <c r="J1890" i="55"/>
  <c r="K1911" i="55"/>
  <c r="J1904" i="55"/>
  <c r="J1896" i="55"/>
  <c r="K1924" i="55"/>
  <c r="J1916" i="55"/>
  <c r="K1932" i="55"/>
  <c r="J1927" i="55"/>
  <c r="J1889" i="55"/>
  <c r="K1910" i="55"/>
  <c r="K1895" i="55"/>
  <c r="J1923" i="55"/>
  <c r="J1915" i="55"/>
  <c r="J1931" i="55"/>
  <c r="J1888" i="55"/>
  <c r="K1902" i="55"/>
  <c r="K1922" i="55"/>
  <c r="K1914" i="55"/>
  <c r="K1930" i="55"/>
  <c r="J1907" i="55"/>
  <c r="J1887" i="55"/>
  <c r="K1909" i="55"/>
  <c r="J1901" i="55"/>
  <c r="K1894" i="55"/>
  <c r="J1913" i="55"/>
  <c r="J1929" i="55"/>
  <c r="K1886" i="55"/>
  <c r="J1908" i="55"/>
  <c r="J1893" i="55"/>
  <c r="K1920" i="55"/>
  <c r="J1912" i="55"/>
  <c r="K1928" i="55"/>
  <c r="J1883" i="55"/>
  <c r="J1882" i="55"/>
  <c r="K933" i="55"/>
  <c r="J921" i="55"/>
  <c r="J908" i="55"/>
  <c r="J1523" i="55"/>
  <c r="K639" i="55"/>
  <c r="K938" i="55"/>
  <c r="K927" i="55"/>
  <c r="J812" i="55"/>
  <c r="K1066" i="55"/>
  <c r="K1050" i="55"/>
  <c r="K1180" i="55"/>
  <c r="J1278" i="55"/>
  <c r="K1871" i="55"/>
  <c r="K1864" i="55"/>
  <c r="K777" i="55"/>
  <c r="K1127" i="55"/>
  <c r="K1853" i="55"/>
  <c r="K1908" i="55"/>
  <c r="J700" i="55"/>
  <c r="K761" i="55"/>
  <c r="K905" i="55"/>
  <c r="J815" i="55"/>
  <c r="K1012" i="55"/>
  <c r="K1024" i="55"/>
  <c r="K549" i="55"/>
  <c r="J742" i="55"/>
  <c r="J658" i="55"/>
  <c r="K1037" i="55"/>
  <c r="K1222" i="55"/>
  <c r="J1446" i="55"/>
  <c r="K1469" i="55"/>
  <c r="J1618" i="55"/>
  <c r="K1764" i="55"/>
  <c r="J1564" i="55"/>
  <c r="K427" i="55"/>
  <c r="J731" i="55"/>
  <c r="K791" i="55"/>
  <c r="K753" i="55"/>
  <c r="K1539" i="55"/>
  <c r="J773" i="55"/>
  <c r="J523" i="55"/>
  <c r="K569" i="55"/>
  <c r="J730" i="55"/>
  <c r="K749" i="55"/>
  <c r="J926" i="55"/>
  <c r="K830" i="55"/>
  <c r="J1071" i="55"/>
  <c r="K1052" i="55"/>
  <c r="K1046" i="55"/>
  <c r="J1039" i="55"/>
  <c r="K1172" i="55"/>
  <c r="K1129" i="55"/>
  <c r="K1094" i="55"/>
  <c r="J1239" i="55"/>
  <c r="J1536" i="55"/>
  <c r="K1782" i="55"/>
  <c r="J1775" i="55"/>
  <c r="K1893" i="55"/>
  <c r="J541" i="55"/>
  <c r="J807" i="55"/>
  <c r="K801" i="55"/>
  <c r="K466" i="55"/>
  <c r="J573" i="55"/>
  <c r="J561" i="55"/>
  <c r="J674" i="55"/>
  <c r="K709" i="55"/>
  <c r="J725" i="55"/>
  <c r="J787" i="55"/>
  <c r="K848" i="55"/>
  <c r="K1060" i="55"/>
  <c r="J1604" i="55"/>
  <c r="K594" i="55"/>
  <c r="J419" i="55"/>
  <c r="J408" i="55"/>
  <c r="K411" i="55"/>
  <c r="J583" i="55"/>
  <c r="J650" i="55"/>
  <c r="J666" i="55"/>
  <c r="J704" i="55"/>
  <c r="K783" i="55"/>
  <c r="J934" i="55"/>
  <c r="J930" i="55"/>
  <c r="K886" i="55"/>
  <c r="K855" i="55"/>
  <c r="J1065" i="55"/>
  <c r="K1283" i="55"/>
  <c r="K1230" i="55"/>
  <c r="K1223" i="55"/>
  <c r="J1332" i="55"/>
  <c r="J1465" i="55"/>
  <c r="J1520" i="55"/>
  <c r="K1565" i="55"/>
  <c r="K1760" i="55"/>
  <c r="J1774" i="55"/>
  <c r="K401" i="55"/>
  <c r="K528" i="55"/>
  <c r="K640" i="55"/>
  <c r="J669" i="55"/>
  <c r="J696" i="55"/>
  <c r="K719" i="55"/>
  <c r="K772" i="55"/>
  <c r="K942" i="55"/>
  <c r="K896" i="55"/>
  <c r="K891" i="55"/>
  <c r="J882" i="55"/>
  <c r="J877" i="55"/>
  <c r="K868" i="55"/>
  <c r="K844" i="55"/>
  <c r="J823" i="55"/>
  <c r="K1063" i="55"/>
  <c r="J1027" i="55"/>
  <c r="K1021" i="55"/>
  <c r="K1016" i="55"/>
  <c r="K1203" i="55"/>
  <c r="J1199" i="55"/>
  <c r="J1193" i="55"/>
  <c r="K1134" i="55"/>
  <c r="J1116" i="55"/>
  <c r="K1097" i="55"/>
  <c r="K1087" i="55"/>
  <c r="K1287" i="55"/>
  <c r="J1276" i="55"/>
  <c r="K1268" i="55"/>
  <c r="J1262" i="55"/>
  <c r="K1255" i="55"/>
  <c r="J1435" i="55"/>
  <c r="J1476" i="55"/>
  <c r="K1436" i="55"/>
  <c r="K1515" i="55"/>
  <c r="K1597" i="55"/>
  <c r="J1556" i="55"/>
  <c r="J1844" i="55"/>
  <c r="J1182" i="55"/>
  <c r="K1156" i="55"/>
  <c r="J1143" i="55"/>
  <c r="K1091" i="55"/>
  <c r="K1081" i="55"/>
  <c r="J1271" i="55"/>
  <c r="J1258" i="55"/>
  <c r="J1249" i="55"/>
  <c r="K1238" i="55"/>
  <c r="J1226" i="55"/>
  <c r="J1482" i="55"/>
  <c r="K1540" i="55"/>
  <c r="J1596" i="55"/>
  <c r="K1555" i="55"/>
  <c r="K1735" i="55"/>
  <c r="K1752" i="55"/>
  <c r="J1773" i="55"/>
  <c r="K1800" i="55"/>
  <c r="K1795" i="55"/>
  <c r="J1836" i="55"/>
  <c r="J1911" i="55"/>
  <c r="K695" i="55"/>
  <c r="J762" i="55"/>
  <c r="J744" i="55"/>
  <c r="J421" i="55"/>
  <c r="K568" i="55"/>
  <c r="J714" i="55"/>
  <c r="K919" i="55"/>
  <c r="K890" i="55"/>
  <c r="K1031" i="55"/>
  <c r="K1282" i="55"/>
  <c r="K1531" i="55"/>
  <c r="K1587" i="55"/>
  <c r="K1891" i="55"/>
  <c r="K1879" i="55"/>
  <c r="K668" i="55"/>
  <c r="J428" i="55"/>
  <c r="K592" i="55"/>
  <c r="J399" i="55"/>
  <c r="J420" i="55"/>
  <c r="K469" i="55"/>
  <c r="J599" i="55"/>
  <c r="J663" i="55"/>
  <c r="K710" i="55"/>
  <c r="K797" i="55"/>
  <c r="K781" i="55"/>
  <c r="K757" i="55"/>
  <c r="J741" i="55"/>
  <c r="J929" i="55"/>
  <c r="J915" i="55"/>
  <c r="K894" i="55"/>
  <c r="K880" i="55"/>
  <c r="K866" i="55"/>
  <c r="K859" i="55"/>
  <c r="K838" i="55"/>
  <c r="K821" i="55"/>
  <c r="J811" i="55"/>
  <c r="J1053" i="55"/>
  <c r="K1019" i="55"/>
  <c r="K1014" i="55"/>
  <c r="J1216" i="55"/>
  <c r="K1202" i="55"/>
  <c r="K1186" i="55"/>
  <c r="J1169" i="55"/>
  <c r="J1155" i="55"/>
  <c r="J1270" i="55"/>
  <c r="K1266" i="55"/>
  <c r="K1260" i="55"/>
  <c r="J1257" i="55"/>
  <c r="K1254" i="55"/>
  <c r="J1248" i="55"/>
  <c r="J1241" i="55"/>
  <c r="J1225" i="55"/>
  <c r="J1316" i="55"/>
  <c r="K1426" i="55"/>
  <c r="K1440" i="55"/>
  <c r="K1507" i="55"/>
  <c r="K1547" i="55"/>
  <c r="J1580" i="55"/>
  <c r="J1611" i="55"/>
  <c r="K1639" i="55"/>
  <c r="K1757" i="55"/>
  <c r="K1744" i="55"/>
  <c r="K1768" i="55"/>
  <c r="J1776" i="55"/>
  <c r="K1799" i="55"/>
  <c r="J1794" i="55"/>
  <c r="K1808" i="55"/>
  <c r="K1855" i="55"/>
  <c r="K1872" i="55"/>
  <c r="J1885" i="55"/>
  <c r="J1910" i="55"/>
  <c r="J1920" i="55"/>
  <c r="J393" i="55"/>
  <c r="K598" i="55"/>
  <c r="J660" i="55"/>
  <c r="K841" i="55"/>
  <c r="K1078" i="55"/>
  <c r="K1236" i="55"/>
  <c r="J1528" i="55"/>
  <c r="K1544" i="55"/>
  <c r="K1576" i="55"/>
  <c r="J1631" i="55"/>
  <c r="K1645" i="55"/>
  <c r="J1727" i="55"/>
  <c r="K1781" i="55"/>
  <c r="J1819" i="55"/>
  <c r="K1878" i="55"/>
  <c r="K1912" i="55"/>
  <c r="K559" i="55"/>
  <c r="K752" i="55"/>
  <c r="J941" i="55"/>
  <c r="J928" i="55"/>
  <c r="K902" i="55"/>
  <c r="J893" i="55"/>
  <c r="K883" i="55"/>
  <c r="K879" i="55"/>
  <c r="K865" i="55"/>
  <c r="K862" i="55"/>
  <c r="K858" i="55"/>
  <c r="K846" i="55"/>
  <c r="J825" i="55"/>
  <c r="K810" i="55"/>
  <c r="J1074" i="55"/>
  <c r="J1068" i="55"/>
  <c r="J1035" i="55"/>
  <c r="J1013" i="55"/>
  <c r="K1215" i="55"/>
  <c r="J1191" i="55"/>
  <c r="J1140" i="55"/>
  <c r="J1125" i="55"/>
  <c r="K1088" i="55"/>
  <c r="J1284" i="55"/>
  <c r="K1269" i="55"/>
  <c r="K1256" i="55"/>
  <c r="J1240" i="55"/>
  <c r="J1224" i="55"/>
  <c r="K1220" i="55"/>
  <c r="J1382" i="55"/>
  <c r="K1496" i="55"/>
  <c r="J1504" i="55"/>
  <c r="J1572" i="55"/>
  <c r="K1616" i="55"/>
  <c r="K1749" i="55"/>
  <c r="K467" i="55"/>
  <c r="J404" i="55"/>
  <c r="K518" i="55"/>
  <c r="K703" i="55"/>
  <c r="K913" i="55"/>
  <c r="J897" i="55"/>
  <c r="K888" i="55"/>
  <c r="J869" i="55"/>
  <c r="K836" i="55"/>
  <c r="J819" i="55"/>
  <c r="K814" i="55"/>
  <c r="J1064" i="55"/>
  <c r="J1056" i="55"/>
  <c r="K1017" i="55"/>
  <c r="J1209" i="55"/>
  <c r="J1200" i="55"/>
  <c r="K1194" i="55"/>
  <c r="K1135" i="55"/>
  <c r="J1111" i="55"/>
  <c r="J1083" i="55"/>
  <c r="K1288" i="55"/>
  <c r="J1277" i="55"/>
  <c r="J1430" i="55"/>
  <c r="J1495" i="55"/>
  <c r="K1780" i="55"/>
  <c r="J1802" i="55"/>
  <c r="J1877" i="55"/>
  <c r="J1924" i="55"/>
  <c r="K1935" i="55"/>
  <c r="K867" i="55"/>
  <c r="J867" i="55"/>
  <c r="J628" i="55"/>
  <c r="J672" i="55"/>
  <c r="J680" i="55"/>
  <c r="J712" i="55"/>
  <c r="K687" i="55"/>
  <c r="J733" i="55"/>
  <c r="J720" i="55"/>
  <c r="J802" i="55"/>
  <c r="J788" i="55"/>
  <c r="J763" i="55"/>
  <c r="K922" i="55"/>
  <c r="J922" i="55"/>
  <c r="J912" i="55"/>
  <c r="J907" i="55"/>
  <c r="J874" i="55"/>
  <c r="K864" i="55"/>
  <c r="J864" i="55"/>
  <c r="J861" i="55"/>
  <c r="J853" i="55"/>
  <c r="J817" i="55"/>
  <c r="K1055" i="55"/>
  <c r="J1034" i="55"/>
  <c r="J1030" i="55"/>
  <c r="J1217" i="55"/>
  <c r="K1214" i="55"/>
  <c r="J1190" i="55"/>
  <c r="J1174" i="55"/>
  <c r="K1141" i="55"/>
  <c r="K1133" i="55"/>
  <c r="J1102" i="55"/>
  <c r="K1102" i="55"/>
  <c r="J1280" i="55"/>
  <c r="K1280" i="55"/>
  <c r="J1454" i="55"/>
  <c r="K1454" i="55"/>
  <c r="K1724" i="55"/>
  <c r="J1724" i="55"/>
  <c r="K1753" i="55"/>
  <c r="J1753" i="55"/>
  <c r="J1779" i="55"/>
  <c r="K1779" i="55"/>
  <c r="J805" i="55"/>
  <c r="J793" i="55"/>
  <c r="J779" i="55"/>
  <c r="K1167" i="55"/>
  <c r="J1167" i="55"/>
  <c r="K1153" i="55"/>
  <c r="J1153" i="55"/>
  <c r="J1136" i="55"/>
  <c r="K1136" i="55"/>
  <c r="K1132" i="55"/>
  <c r="J1132" i="55"/>
  <c r="J1113" i="55"/>
  <c r="K1113" i="55"/>
  <c r="J1273" i="55"/>
  <c r="K1273" i="55"/>
  <c r="K1331" i="55"/>
  <c r="J1331" i="55"/>
  <c r="K1758" i="55"/>
  <c r="J1758" i="55"/>
  <c r="K1745" i="55"/>
  <c r="J1745" i="55"/>
  <c r="K1843" i="55"/>
  <c r="J1843" i="55"/>
  <c r="K747" i="55"/>
  <c r="J747" i="55"/>
  <c r="K657" i="55"/>
  <c r="J678" i="55"/>
  <c r="K694" i="55"/>
  <c r="J729" i="55"/>
  <c r="J717" i="55"/>
  <c r="K800" i="55"/>
  <c r="J792" i="55"/>
  <c r="K786" i="55"/>
  <c r="J778" i="55"/>
  <c r="K769" i="55"/>
  <c r="K760" i="55"/>
  <c r="J750" i="55"/>
  <c r="K940" i="55"/>
  <c r="K935" i="55"/>
  <c r="J935" i="55"/>
  <c r="K932" i="55"/>
  <c r="K925" i="55"/>
  <c r="J920" i="55"/>
  <c r="J914" i="55"/>
  <c r="K910" i="55"/>
  <c r="K881" i="55"/>
  <c r="J881" i="55"/>
  <c r="K845" i="55"/>
  <c r="K837" i="55"/>
  <c r="K829" i="55"/>
  <c r="K824" i="55"/>
  <c r="K1080" i="55"/>
  <c r="K1072" i="55"/>
  <c r="J1067" i="55"/>
  <c r="J1040" i="55"/>
  <c r="J1036" i="55"/>
  <c r="J1028" i="55"/>
  <c r="K1212" i="55"/>
  <c r="K1188" i="55"/>
  <c r="J1119" i="55"/>
  <c r="K1119" i="55"/>
  <c r="J1820" i="55"/>
  <c r="K1820" i="55"/>
  <c r="K676" i="55"/>
  <c r="J656" i="55"/>
  <c r="K707" i="55"/>
  <c r="K690" i="55"/>
  <c r="J737" i="55"/>
  <c r="K727" i="55"/>
  <c r="J715" i="55"/>
  <c r="K768" i="55"/>
  <c r="K889" i="55"/>
  <c r="J889" i="55"/>
  <c r="K1157" i="55"/>
  <c r="J1157" i="55"/>
  <c r="K1264" i="55"/>
  <c r="J1264" i="55"/>
  <c r="K1252" i="55"/>
  <c r="J1252" i="55"/>
  <c r="J1229" i="55"/>
  <c r="K1229" i="55"/>
  <c r="K1658" i="55"/>
  <c r="J1658" i="55"/>
  <c r="K1750" i="55"/>
  <c r="J1750" i="55"/>
  <c r="J1897" i="55"/>
  <c r="K1897" i="55"/>
  <c r="K1634" i="55"/>
  <c r="J1634" i="55"/>
  <c r="J664" i="55"/>
  <c r="J685" i="55"/>
  <c r="K706" i="55"/>
  <c r="K699" i="55"/>
  <c r="J736" i="55"/>
  <c r="K796" i="55"/>
  <c r="K782" i="55"/>
  <c r="K776" i="55"/>
  <c r="J758" i="55"/>
  <c r="K924" i="55"/>
  <c r="J828" i="55"/>
  <c r="K828" i="55"/>
  <c r="K1211" i="55"/>
  <c r="J1211" i="55"/>
  <c r="K1549" i="55"/>
  <c r="J1549" i="55"/>
  <c r="K1600" i="55"/>
  <c r="J1600" i="55"/>
  <c r="J1592" i="55"/>
  <c r="K1592" i="55"/>
  <c r="J1584" i="55"/>
  <c r="K1584" i="55"/>
  <c r="K1568" i="55"/>
  <c r="J1568" i="55"/>
  <c r="J1560" i="55"/>
  <c r="K1560" i="55"/>
  <c r="J1552" i="55"/>
  <c r="K1552" i="55"/>
  <c r="J1623" i="55"/>
  <c r="K1623" i="55"/>
  <c r="K652" i="55"/>
  <c r="J684" i="55"/>
  <c r="K698" i="55"/>
  <c r="K688" i="55"/>
  <c r="K735" i="55"/>
  <c r="K804" i="55"/>
  <c r="K790" i="55"/>
  <c r="J766" i="55"/>
  <c r="J746" i="55"/>
  <c r="K1170" i="55"/>
  <c r="J1170" i="55"/>
  <c r="K1149" i="55"/>
  <c r="J1149" i="55"/>
  <c r="K1244" i="55"/>
  <c r="J1244" i="55"/>
  <c r="K1533" i="55"/>
  <c r="J1533" i="55"/>
  <c r="K1525" i="55"/>
  <c r="J1525" i="55"/>
  <c r="K1517" i="55"/>
  <c r="J1517" i="55"/>
  <c r="K1509" i="55"/>
  <c r="J1509" i="55"/>
  <c r="K1501" i="55"/>
  <c r="J1501" i="55"/>
  <c r="J1025" i="55"/>
  <c r="K1025" i="55"/>
  <c r="K1783" i="55"/>
  <c r="J1783" i="55"/>
  <c r="K548" i="55"/>
  <c r="K673" i="55"/>
  <c r="J662" i="55"/>
  <c r="K705" i="55"/>
  <c r="J721" i="55"/>
  <c r="J795" i="55"/>
  <c r="J774" i="55"/>
  <c r="K765" i="55"/>
  <c r="K756" i="55"/>
  <c r="K745" i="55"/>
  <c r="J944" i="55"/>
  <c r="J916" i="55"/>
  <c r="K903" i="55"/>
  <c r="K895" i="55"/>
  <c r="K887" i="55"/>
  <c r="K872" i="55"/>
  <c r="J847" i="55"/>
  <c r="J839" i="55"/>
  <c r="J835" i="55"/>
  <c r="J831" i="55"/>
  <c r="K822" i="55"/>
  <c r="J1049" i="55"/>
  <c r="K1049" i="55"/>
  <c r="J1043" i="55"/>
  <c r="J1038" i="55"/>
  <c r="J1026" i="55"/>
  <c r="K1233" i="55"/>
  <c r="J1233" i="55"/>
  <c r="K1765" i="55"/>
  <c r="J1765" i="55"/>
  <c r="J1588" i="55"/>
  <c r="J1579" i="55"/>
  <c r="K1263" i="55"/>
  <c r="K1232" i="55"/>
  <c r="K1228" i="55"/>
  <c r="K1538" i="55"/>
  <c r="K1530" i="55"/>
  <c r="K1522" i="55"/>
  <c r="K1514" i="55"/>
  <c r="K1506" i="55"/>
  <c r="K1498" i="55"/>
  <c r="K1259" i="55"/>
  <c r="J1250" i="55"/>
  <c r="J1242" i="55"/>
  <c r="J1309" i="55"/>
  <c r="K1379" i="55"/>
  <c r="J1481" i="55"/>
  <c r="J1537" i="55"/>
  <c r="J1529" i="55"/>
  <c r="J1521" i="55"/>
  <c r="J1513" i="55"/>
  <c r="J1505" i="55"/>
  <c r="J1497" i="55"/>
  <c r="J1545" i="55"/>
  <c r="K1605" i="55"/>
  <c r="K1595" i="55"/>
  <c r="K1573" i="55"/>
  <c r="K1563" i="55"/>
  <c r="J1621" i="55"/>
  <c r="K1632" i="55"/>
  <c r="K1627" i="55"/>
  <c r="J1738" i="55"/>
  <c r="K1732" i="55"/>
  <c r="J1722" i="55"/>
  <c r="K1797" i="55"/>
  <c r="K1824" i="55"/>
  <c r="K1841" i="55"/>
  <c r="J1856" i="55"/>
  <c r="K1852" i="55"/>
  <c r="J1870" i="55"/>
  <c r="K1767" i="55"/>
  <c r="K1763" i="55"/>
  <c r="K1807" i="55"/>
  <c r="K1830" i="55"/>
  <c r="K1107" i="55"/>
  <c r="J1095" i="55"/>
  <c r="K1245" i="55"/>
  <c r="J1234" i="55"/>
  <c r="K1300" i="55"/>
  <c r="J1356" i="55"/>
  <c r="K1327" i="55"/>
  <c r="J1486" i="55"/>
  <c r="K1534" i="55"/>
  <c r="K1526" i="55"/>
  <c r="K1518" i="55"/>
  <c r="K1510" i="55"/>
  <c r="K1502" i="55"/>
  <c r="K1603" i="55"/>
  <c r="K1581" i="55"/>
  <c r="K1571" i="55"/>
  <c r="K1626" i="55"/>
  <c r="K1721" i="55"/>
  <c r="J1759" i="55"/>
  <c r="K1755" i="55"/>
  <c r="J1751" i="55"/>
  <c r="K1747" i="55"/>
  <c r="J1785" i="55"/>
  <c r="K1812" i="55"/>
  <c r="K1840" i="55"/>
  <c r="K1863" i="55"/>
  <c r="K1543" i="55"/>
  <c r="J1532" i="55"/>
  <c r="J1524" i="55"/>
  <c r="J1516" i="55"/>
  <c r="J1508" i="55"/>
  <c r="J1500" i="55"/>
  <c r="J1542" i="55"/>
  <c r="K1589" i="55"/>
  <c r="K1557" i="55"/>
  <c r="K1762" i="55"/>
  <c r="K1829" i="55"/>
  <c r="J1862" i="55"/>
  <c r="K1887" i="55"/>
  <c r="K1883" i="55"/>
  <c r="J1922" i="55"/>
  <c r="K1916" i="55"/>
  <c r="J1187" i="55"/>
  <c r="K1187" i="55"/>
  <c r="J1281" i="55"/>
  <c r="K1281" i="55"/>
  <c r="K1405" i="55"/>
  <c r="J1405" i="55"/>
  <c r="J1601" i="55"/>
  <c r="K1601" i="55"/>
  <c r="J1561" i="55"/>
  <c r="K1561" i="55"/>
  <c r="K683" i="55"/>
  <c r="J1076" i="55"/>
  <c r="K1076" i="55"/>
  <c r="K1032" i="55"/>
  <c r="J1032" i="55"/>
  <c r="J464" i="55"/>
  <c r="K572" i="55"/>
  <c r="K562" i="55"/>
  <c r="K556" i="55"/>
  <c r="J547" i="55"/>
  <c r="J667" i="55"/>
  <c r="K661" i="55"/>
  <c r="J682" i="55"/>
  <c r="K708" i="55"/>
  <c r="K693" i="55"/>
  <c r="J689" i="55"/>
  <c r="K739" i="55"/>
  <c r="J734" i="55"/>
  <c r="K728" i="55"/>
  <c r="K723" i="55"/>
  <c r="J718" i="55"/>
  <c r="J937" i="55"/>
  <c r="K937" i="55"/>
  <c r="K931" i="55"/>
  <c r="J909" i="55"/>
  <c r="K909" i="55"/>
  <c r="J900" i="55"/>
  <c r="K876" i="55"/>
  <c r="J876" i="55"/>
  <c r="J870" i="55"/>
  <c r="J842" i="55"/>
  <c r="J1181" i="55"/>
  <c r="K1181" i="55"/>
  <c r="J1096" i="55"/>
  <c r="K1096" i="55"/>
  <c r="J1246" i="55"/>
  <c r="K1246" i="55"/>
  <c r="K1381" i="55"/>
  <c r="J1381" i="55"/>
  <c r="J1593" i="55"/>
  <c r="K1593" i="55"/>
  <c r="J1553" i="55"/>
  <c r="K1553" i="55"/>
  <c r="J1029" i="55"/>
  <c r="K1029" i="55"/>
  <c r="J1213" i="55"/>
  <c r="K1213" i="55"/>
  <c r="J1161" i="55"/>
  <c r="K1161" i="55"/>
  <c r="K409" i="55"/>
  <c r="K629" i="55"/>
  <c r="J1073" i="55"/>
  <c r="K1073" i="55"/>
  <c r="K540" i="55"/>
  <c r="K641" i="55"/>
  <c r="J641" i="55"/>
  <c r="J681" i="55"/>
  <c r="J799" i="55"/>
  <c r="J785" i="55"/>
  <c r="J771" i="55"/>
  <c r="J755" i="55"/>
  <c r="J1020" i="55"/>
  <c r="K1020" i="55"/>
  <c r="J1015" i="55"/>
  <c r="K1015" i="55"/>
  <c r="K1175" i="55"/>
  <c r="J1175" i="55"/>
  <c r="J1128" i="55"/>
  <c r="J1101" i="55"/>
  <c r="K1101" i="55"/>
  <c r="K1227" i="55"/>
  <c r="J1227" i="55"/>
  <c r="J1151" i="55"/>
  <c r="K1151" i="55"/>
  <c r="K1548" i="55"/>
  <c r="K724" i="55"/>
  <c r="J1069" i="55"/>
  <c r="K1069" i="55"/>
  <c r="J1051" i="55"/>
  <c r="K1051" i="55"/>
  <c r="J1022" i="55"/>
  <c r="K1022" i="55"/>
  <c r="J1178" i="55"/>
  <c r="K1178" i="55"/>
  <c r="J1144" i="55"/>
  <c r="K1144" i="55"/>
  <c r="J465" i="55"/>
  <c r="J767" i="55"/>
  <c r="K843" i="55"/>
  <c r="J843" i="55"/>
  <c r="K1285" i="55"/>
  <c r="J1285" i="55"/>
  <c r="J1221" i="55"/>
  <c r="K1221" i="55"/>
  <c r="K391" i="55"/>
  <c r="K627" i="55"/>
  <c r="J654" i="55"/>
  <c r="J671" i="55"/>
  <c r="K665" i="55"/>
  <c r="J655" i="55"/>
  <c r="K702" i="55"/>
  <c r="K697" i="55"/>
  <c r="K692" i="55"/>
  <c r="J738" i="55"/>
  <c r="K732" i="55"/>
  <c r="J722" i="55"/>
  <c r="K716" i="55"/>
  <c r="J798" i="55"/>
  <c r="J784" i="55"/>
  <c r="J770" i="55"/>
  <c r="J754" i="55"/>
  <c r="J1192" i="55"/>
  <c r="K1192" i="55"/>
  <c r="K1189" i="55"/>
  <c r="J1189" i="55"/>
  <c r="J1253" i="55"/>
  <c r="K1253" i="55"/>
  <c r="J1577" i="55"/>
  <c r="K1577" i="55"/>
  <c r="J1168" i="55"/>
  <c r="K1168" i="55"/>
  <c r="J418" i="55"/>
  <c r="J1160" i="55"/>
  <c r="K1160" i="55"/>
  <c r="J417" i="55"/>
  <c r="J416" i="55"/>
  <c r="J462" i="55"/>
  <c r="K555" i="55"/>
  <c r="K580" i="55"/>
  <c r="J461" i="55"/>
  <c r="K570" i="55"/>
  <c r="K560" i="55"/>
  <c r="J600" i="55"/>
  <c r="K595" i="55"/>
  <c r="J653" i="55"/>
  <c r="J670" i="55"/>
  <c r="K701" i="55"/>
  <c r="K806" i="55"/>
  <c r="J803" i="55"/>
  <c r="K794" i="55"/>
  <c r="J789" i="55"/>
  <c r="K780" i="55"/>
  <c r="J775" i="55"/>
  <c r="K764" i="55"/>
  <c r="J759" i="55"/>
  <c r="K748" i="55"/>
  <c r="J743" i="55"/>
  <c r="K943" i="55"/>
  <c r="K939" i="55"/>
  <c r="J918" i="55"/>
  <c r="K918" i="55"/>
  <c r="K911" i="55"/>
  <c r="K885" i="55"/>
  <c r="J885" i="55"/>
  <c r="K878" i="55"/>
  <c r="K857" i="55"/>
  <c r="J857" i="55"/>
  <c r="K850" i="55"/>
  <c r="K827" i="55"/>
  <c r="J827" i="55"/>
  <c r="K820" i="55"/>
  <c r="J1197" i="55"/>
  <c r="K1197" i="55"/>
  <c r="J1274" i="55"/>
  <c r="K1274" i="55"/>
  <c r="J1585" i="55"/>
  <c r="K1585" i="55"/>
  <c r="J1569" i="55"/>
  <c r="K1569" i="55"/>
  <c r="J1719" i="55"/>
  <c r="K1719" i="55"/>
  <c r="J1803" i="55"/>
  <c r="K1803" i="55"/>
  <c r="J392" i="55"/>
  <c r="K410" i="55"/>
  <c r="J751" i="55"/>
  <c r="K901" i="55"/>
  <c r="J901" i="55"/>
  <c r="K871" i="55"/>
  <c r="J871" i="55"/>
  <c r="J596" i="55"/>
  <c r="K524" i="55"/>
  <c r="J586" i="55"/>
  <c r="J460" i="55"/>
  <c r="J400" i="55"/>
  <c r="K412" i="55"/>
  <c r="J579" i="55"/>
  <c r="K626" i="55"/>
  <c r="J675" i="55"/>
  <c r="J659" i="55"/>
  <c r="K711" i="55"/>
  <c r="K691" i="55"/>
  <c r="K686" i="55"/>
  <c r="J726" i="55"/>
  <c r="J923" i="55"/>
  <c r="K923" i="55"/>
  <c r="K917" i="55"/>
  <c r="K892" i="55"/>
  <c r="J892" i="55"/>
  <c r="J884" i="55"/>
  <c r="J856" i="55"/>
  <c r="J826" i="55"/>
  <c r="J1070" i="55"/>
  <c r="J1047" i="55"/>
  <c r="K1047" i="55"/>
  <c r="J1042" i="55"/>
  <c r="J1023" i="55"/>
  <c r="J1018" i="55"/>
  <c r="K1018" i="55"/>
  <c r="J1205" i="55"/>
  <c r="K1205" i="55"/>
  <c r="J1201" i="55"/>
  <c r="K1137" i="55"/>
  <c r="K1387" i="55"/>
  <c r="J1387" i="55"/>
  <c r="K1494" i="55"/>
  <c r="J1740" i="55"/>
  <c r="K1740" i="55"/>
  <c r="J1847" i="55"/>
  <c r="K1847" i="55"/>
  <c r="J1921" i="55"/>
  <c r="K1921" i="55"/>
  <c r="K1195" i="55"/>
  <c r="J1195" i="55"/>
  <c r="J1261" i="55"/>
  <c r="K1261" i="55"/>
  <c r="J1231" i="55"/>
  <c r="K1231" i="55"/>
  <c r="J1322" i="55"/>
  <c r="K1322" i="55"/>
  <c r="K1546" i="55"/>
  <c r="J1546" i="55"/>
  <c r="J1599" i="55"/>
  <c r="K1599" i="55"/>
  <c r="J1591" i="55"/>
  <c r="K1591" i="55"/>
  <c r="J1583" i="55"/>
  <c r="K1583" i="55"/>
  <c r="J1575" i="55"/>
  <c r="K1575" i="55"/>
  <c r="J1567" i="55"/>
  <c r="K1567" i="55"/>
  <c r="J1559" i="55"/>
  <c r="K1559" i="55"/>
  <c r="J1551" i="55"/>
  <c r="K1551" i="55"/>
  <c r="J1778" i="55"/>
  <c r="K1778" i="55"/>
  <c r="K1903" i="55"/>
  <c r="J1903" i="55"/>
  <c r="J1458" i="55"/>
  <c r="K1458" i="55"/>
  <c r="J1045" i="55"/>
  <c r="K1045" i="55"/>
  <c r="J1041" i="55"/>
  <c r="K1041" i="55"/>
  <c r="K1206" i="55"/>
  <c r="J1206" i="55"/>
  <c r="J1165" i="55"/>
  <c r="K1165" i="55"/>
  <c r="K1154" i="55"/>
  <c r="J1154" i="55"/>
  <c r="J1106" i="55"/>
  <c r="K1106" i="55"/>
  <c r="K1493" i="55"/>
  <c r="J1493" i="55"/>
  <c r="J834" i="55"/>
  <c r="J818" i="55"/>
  <c r="K1077" i="55"/>
  <c r="K1075" i="55"/>
  <c r="J1062" i="55"/>
  <c r="K1059" i="55"/>
  <c r="K1048" i="55"/>
  <c r="K1044" i="55"/>
  <c r="K1033" i="55"/>
  <c r="J1210" i="55"/>
  <c r="K1164" i="55"/>
  <c r="J1120" i="55"/>
  <c r="K1120" i="55"/>
  <c r="J1115" i="55"/>
  <c r="J1110" i="55"/>
  <c r="K1110" i="55"/>
  <c r="K1105" i="55"/>
  <c r="J1267" i="55"/>
  <c r="K1267" i="55"/>
  <c r="J1237" i="55"/>
  <c r="K1237" i="55"/>
  <c r="J1198" i="55"/>
  <c r="K1198" i="55"/>
  <c r="J1275" i="55"/>
  <c r="K1275" i="55"/>
  <c r="J1272" i="55"/>
  <c r="J1247" i="55"/>
  <c r="K1247" i="55"/>
  <c r="J1243" i="55"/>
  <c r="J1114" i="55"/>
  <c r="K1114" i="55"/>
  <c r="J1346" i="55"/>
  <c r="K1346" i="55"/>
  <c r="K1177" i="55"/>
  <c r="K1166" i="55"/>
  <c r="K1159" i="55"/>
  <c r="K1082" i="55"/>
  <c r="J1082" i="55"/>
  <c r="J1429" i="55"/>
  <c r="K1429" i="55"/>
  <c r="J1535" i="55"/>
  <c r="J1610" i="55"/>
  <c r="K1610" i="55"/>
  <c r="J1925" i="55"/>
  <c r="K1925" i="55"/>
  <c r="K1173" i="55"/>
  <c r="J1162" i="55"/>
  <c r="K1152" i="55"/>
  <c r="K1147" i="55"/>
  <c r="K1145" i="55"/>
  <c r="J1142" i="55"/>
  <c r="J1130" i="55"/>
  <c r="J1118" i="55"/>
  <c r="K1118" i="55"/>
  <c r="K1108" i="55"/>
  <c r="J1108" i="55"/>
  <c r="K1103" i="55"/>
  <c r="J1103" i="55"/>
  <c r="K1098" i="55"/>
  <c r="J1279" i="55"/>
  <c r="J1265" i="55"/>
  <c r="J1251" i="55"/>
  <c r="J1235" i="55"/>
  <c r="K1299" i="55"/>
  <c r="K1351" i="55"/>
  <c r="J1344" i="55"/>
  <c r="K1337" i="55"/>
  <c r="J1792" i="55"/>
  <c r="K1792" i="55"/>
  <c r="J1085" i="55"/>
  <c r="K1085" i="55"/>
  <c r="K1401" i="55"/>
  <c r="J1401" i="55"/>
  <c r="J1418" i="55"/>
  <c r="K1418" i="55"/>
  <c r="J1527" i="55"/>
  <c r="K1527" i="55"/>
  <c r="J1519" i="55"/>
  <c r="K1519" i="55"/>
  <c r="J1511" i="55"/>
  <c r="K1511" i="55"/>
  <c r="J1503" i="55"/>
  <c r="K1503" i="55"/>
  <c r="J1742" i="55"/>
  <c r="K1742" i="55"/>
  <c r="J1869" i="55"/>
  <c r="K1869" i="55"/>
  <c r="J1900" i="55"/>
  <c r="K1900" i="55"/>
  <c r="K1406" i="55"/>
  <c r="J1406" i="55"/>
  <c r="J1409" i="55"/>
  <c r="K1409" i="55"/>
  <c r="J1619" i="55"/>
  <c r="K1619" i="55"/>
  <c r="J1653" i="55"/>
  <c r="K1653" i="55"/>
  <c r="J1303" i="55"/>
  <c r="K1303" i="55"/>
  <c r="J1335" i="55"/>
  <c r="K1335" i="55"/>
  <c r="J1635" i="55"/>
  <c r="K1635" i="55"/>
  <c r="J1860" i="55"/>
  <c r="K1860" i="55"/>
  <c r="K1934" i="55"/>
  <c r="J1930" i="55"/>
  <c r="J1424" i="55"/>
  <c r="K1541" i="55"/>
  <c r="K1624" i="55"/>
  <c r="K1640" i="55"/>
  <c r="J1736" i="55"/>
  <c r="K1789" i="55"/>
  <c r="K1845" i="55"/>
  <c r="K1837" i="55"/>
  <c r="J1895" i="55"/>
  <c r="K1917" i="55"/>
  <c r="K1913" i="55"/>
  <c r="K1929" i="55"/>
  <c r="J1613" i="55"/>
  <c r="K1655" i="55"/>
  <c r="J1730" i="55"/>
  <c r="K1791" i="55"/>
  <c r="K1817" i="55"/>
  <c r="K1826" i="55"/>
  <c r="J1902" i="55"/>
  <c r="J1932" i="55"/>
  <c r="J1928" i="55"/>
  <c r="K1606" i="55"/>
  <c r="K1602" i="55"/>
  <c r="K1598" i="55"/>
  <c r="K1594" i="55"/>
  <c r="K1590" i="55"/>
  <c r="K1586" i="55"/>
  <c r="K1582" i="55"/>
  <c r="K1578" i="55"/>
  <c r="K1574" i="55"/>
  <c r="K1570" i="55"/>
  <c r="K1566" i="55"/>
  <c r="K1562" i="55"/>
  <c r="K1558" i="55"/>
  <c r="K1554" i="55"/>
  <c r="K1654" i="55"/>
  <c r="K1650" i="55"/>
  <c r="K1790" i="55"/>
  <c r="K1816" i="55"/>
  <c r="K1811" i="55"/>
  <c r="K1848" i="55"/>
  <c r="K1874" i="55"/>
  <c r="K1866" i="55"/>
  <c r="K1890" i="55"/>
  <c r="K1882" i="55"/>
  <c r="K1901" i="55"/>
  <c r="J1607" i="55"/>
  <c r="K1737" i="55"/>
  <c r="J1720" i="55"/>
  <c r="J1743" i="55"/>
  <c r="K1838" i="55"/>
  <c r="K1861" i="55"/>
  <c r="K1905" i="55"/>
  <c r="J1914" i="55"/>
  <c r="K1931" i="55"/>
  <c r="K1933" i="55"/>
  <c r="K1927" i="55"/>
  <c r="K1919" i="55"/>
  <c r="K1926" i="55"/>
  <c r="K1918" i="55"/>
  <c r="K1923" i="55"/>
  <c r="K1915" i="55"/>
  <c r="K1907" i="55"/>
  <c r="K1899" i="55"/>
  <c r="K1904" i="55"/>
  <c r="K1896" i="55"/>
  <c r="K1906" i="55"/>
  <c r="K1898" i="55"/>
  <c r="K1888" i="55"/>
  <c r="K1880" i="55"/>
  <c r="K1892" i="55"/>
  <c r="K1884" i="55"/>
  <c r="K1876" i="55"/>
  <c r="K1889" i="55"/>
  <c r="K1881" i="55"/>
  <c r="K1868" i="55"/>
  <c r="K1873" i="55"/>
  <c r="K1865" i="55"/>
  <c r="K1875" i="55"/>
  <c r="K1867" i="55"/>
  <c r="K1858" i="55"/>
  <c r="K1850" i="55"/>
  <c r="K1857" i="55"/>
  <c r="K1849" i="55"/>
  <c r="K1854" i="55"/>
  <c r="K1846" i="55"/>
  <c r="K1859" i="55"/>
  <c r="K1851" i="55"/>
  <c r="K1835" i="55"/>
  <c r="K1842" i="55"/>
  <c r="K1834" i="55"/>
  <c r="K1839" i="55"/>
  <c r="K1832" i="55"/>
  <c r="K1822" i="55"/>
  <c r="K1831" i="55"/>
  <c r="K1821" i="55"/>
  <c r="K1828" i="55"/>
  <c r="K1818" i="55"/>
  <c r="K1833" i="55"/>
  <c r="K1823" i="55"/>
  <c r="K1809" i="55"/>
  <c r="K1815" i="55"/>
  <c r="K1806" i="55"/>
  <c r="K1813" i="55"/>
  <c r="K1805" i="55"/>
  <c r="K1810" i="55"/>
  <c r="K1804" i="55"/>
  <c r="K1796" i="55"/>
  <c r="K1788" i="55"/>
  <c r="K1801" i="55"/>
  <c r="K1793" i="55"/>
  <c r="K1772" i="55"/>
  <c r="K1786" i="55"/>
  <c r="K1777" i="55"/>
  <c r="K1771" i="55"/>
  <c r="K1770" i="55"/>
  <c r="K1769" i="55"/>
  <c r="K1761" i="55"/>
  <c r="K1766" i="55"/>
  <c r="K1756" i="55"/>
  <c r="K1748" i="55"/>
  <c r="K1741" i="55"/>
  <c r="K1754" i="55"/>
  <c r="K1746" i="55"/>
  <c r="K1733" i="55"/>
  <c r="K1725" i="55"/>
  <c r="K1734" i="55"/>
  <c r="K1726" i="55"/>
  <c r="K1718" i="55"/>
  <c r="K1739" i="55"/>
  <c r="K1731" i="55"/>
  <c r="K1723" i="55"/>
  <c r="K1717" i="55"/>
  <c r="J1716" i="55"/>
  <c r="K1660" i="55"/>
  <c r="K1659" i="55"/>
  <c r="K1652" i="55"/>
  <c r="K1644" i="55"/>
  <c r="K1657" i="55"/>
  <c r="K1649" i="55"/>
  <c r="K1651" i="55"/>
  <c r="K1643" i="55"/>
  <c r="K1656" i="55"/>
  <c r="K1648" i="55"/>
  <c r="K1637" i="55"/>
  <c r="K1629" i="55"/>
  <c r="K1636" i="55"/>
  <c r="K1628" i="55"/>
  <c r="K1641" i="55"/>
  <c r="K1633" i="55"/>
  <c r="K1625" i="55"/>
  <c r="K1638" i="55"/>
  <c r="K1630" i="55"/>
  <c r="K1615" i="55"/>
  <c r="K1620" i="55"/>
  <c r="K1612" i="55"/>
  <c r="K1617" i="55"/>
  <c r="K1609" i="55"/>
  <c r="K1622" i="55"/>
  <c r="K1614" i="55"/>
  <c r="K1608" i="55"/>
  <c r="K1550" i="55"/>
  <c r="K1495" i="55"/>
  <c r="J1391" i="55"/>
  <c r="J1390" i="55"/>
  <c r="J1380" i="55"/>
  <c r="K1348" i="55"/>
  <c r="J1343" i="55"/>
  <c r="J1323" i="55"/>
  <c r="J1414" i="55"/>
  <c r="K1461" i="55"/>
  <c r="K1485" i="55"/>
  <c r="J1310" i="55"/>
  <c r="K1394" i="55"/>
  <c r="J1342" i="55"/>
  <c r="J1313" i="55"/>
  <c r="J1398" i="55"/>
  <c r="K1340" i="55"/>
  <c r="J1330" i="55"/>
  <c r="J1325" i="55"/>
  <c r="K1314" i="55"/>
  <c r="J1457" i="55"/>
  <c r="J1451" i="55"/>
  <c r="K1407" i="55"/>
  <c r="K1438" i="55"/>
  <c r="K1434" i="55"/>
  <c r="J1312" i="55"/>
  <c r="K1307" i="55"/>
  <c r="J1301" i="55"/>
  <c r="K1385" i="55"/>
  <c r="J1333" i="55"/>
  <c r="J1329" i="55"/>
  <c r="J1421" i="55"/>
  <c r="J1443" i="55"/>
  <c r="K1467" i="55"/>
  <c r="J1490" i="55"/>
  <c r="K1297" i="55"/>
  <c r="K1349" i="55"/>
  <c r="K1338" i="55"/>
  <c r="J1291" i="55"/>
  <c r="J1386" i="55"/>
  <c r="J1352" i="55"/>
  <c r="J1341" i="55"/>
  <c r="K1319" i="55"/>
  <c r="J1315" i="55"/>
  <c r="J1410" i="55"/>
  <c r="K1425" i="55"/>
  <c r="K1447" i="55"/>
  <c r="K1471" i="55"/>
  <c r="K1479" i="55"/>
  <c r="K1289" i="55"/>
  <c r="J1311" i="55"/>
  <c r="K1295" i="55"/>
  <c r="J1402" i="55"/>
  <c r="J1317" i="55"/>
  <c r="K1459" i="55"/>
  <c r="K1462" i="55"/>
  <c r="K1492" i="55"/>
  <c r="K1475" i="55"/>
  <c r="K1298" i="55"/>
  <c r="K1397" i="55"/>
  <c r="K1324" i="55"/>
  <c r="K1321" i="55"/>
  <c r="K1417" i="55"/>
  <c r="K1449" i="55"/>
  <c r="K1445" i="55"/>
  <c r="J1466" i="55"/>
  <c r="K1294" i="55"/>
  <c r="K1354" i="55"/>
  <c r="J1350" i="55"/>
  <c r="J1339" i="55"/>
  <c r="J1453" i="55"/>
  <c r="J1478" i="55"/>
  <c r="K1306" i="55"/>
  <c r="K1302" i="55"/>
  <c r="K1399" i="55"/>
  <c r="K1393" i="55"/>
  <c r="K1383" i="55"/>
  <c r="K1353" i="55"/>
  <c r="K1345" i="55"/>
  <c r="K1334" i="55"/>
  <c r="K1326" i="55"/>
  <c r="K1318" i="55"/>
  <c r="K1428" i="55"/>
  <c r="K1439" i="55"/>
  <c r="K1470" i="55"/>
  <c r="J1491" i="55"/>
  <c r="J1488" i="55"/>
  <c r="K1480" i="55"/>
  <c r="K1477" i="55"/>
  <c r="K1308" i="55"/>
  <c r="K1296" i="55"/>
  <c r="K1293" i="55"/>
  <c r="K1395" i="55"/>
  <c r="K1389" i="55"/>
  <c r="K1355" i="55"/>
  <c r="K1347" i="55"/>
  <c r="K1336" i="55"/>
  <c r="K1328" i="55"/>
  <c r="K1320" i="55"/>
  <c r="K1442" i="55"/>
  <c r="K1432" i="55"/>
  <c r="J1450" i="55"/>
  <c r="K1473" i="55"/>
  <c r="K1463" i="55"/>
  <c r="J1474" i="55"/>
  <c r="J1487" i="55"/>
  <c r="K1305" i="55"/>
  <c r="K1304" i="55"/>
  <c r="K1292" i="55"/>
  <c r="K1484" i="55"/>
  <c r="K1472" i="55"/>
  <c r="K1468" i="55"/>
  <c r="K1464" i="55"/>
  <c r="K1460" i="55"/>
  <c r="K1455" i="55"/>
  <c r="K1456" i="55"/>
  <c r="K1452" i="55"/>
  <c r="K1448" i="55"/>
  <c r="K1444" i="55"/>
  <c r="K1441" i="55"/>
  <c r="K1437" i="55"/>
  <c r="K1433" i="55"/>
  <c r="K1431" i="55"/>
  <c r="K1427" i="55"/>
  <c r="K1422" i="55"/>
  <c r="K1419" i="55"/>
  <c r="K1415" i="55"/>
  <c r="K1411" i="55"/>
  <c r="K1420" i="55"/>
  <c r="K1416" i="55"/>
  <c r="K1412" i="55"/>
  <c r="K1408" i="55"/>
  <c r="K1403" i="55"/>
  <c r="K1404" i="55"/>
  <c r="K1400" i="55"/>
  <c r="K1396" i="55"/>
  <c r="K1392" i="55"/>
  <c r="K1388" i="55"/>
  <c r="K1384" i="55"/>
  <c r="K1290" i="55"/>
  <c r="K1204" i="55"/>
  <c r="K1171" i="55"/>
  <c r="K1158" i="55"/>
  <c r="K1146" i="55"/>
  <c r="K1126" i="55"/>
  <c r="K1112" i="55"/>
  <c r="K1099" i="55"/>
  <c r="K1184" i="55"/>
  <c r="K1089" i="55"/>
  <c r="K1208" i="55"/>
  <c r="K1086" i="55"/>
  <c r="K1207" i="55"/>
  <c r="K1196" i="55"/>
  <c r="K1185" i="55"/>
  <c r="K1163" i="55"/>
  <c r="K1150" i="55"/>
  <c r="K1138" i="55"/>
  <c r="K1117" i="55"/>
  <c r="K1104" i="55"/>
  <c r="K1090" i="55"/>
  <c r="K1218" i="55"/>
  <c r="K1176" i="55"/>
  <c r="K1131" i="55"/>
  <c r="K904" i="55"/>
  <c r="J813" i="55"/>
  <c r="J809" i="55"/>
  <c r="J808" i="55"/>
  <c r="J740" i="55"/>
  <c r="J713" i="55"/>
  <c r="K647" i="55"/>
  <c r="K635" i="55"/>
  <c r="K646" i="55"/>
  <c r="K634" i="55"/>
  <c r="K633" i="55"/>
  <c r="K645" i="55"/>
  <c r="K632" i="55"/>
  <c r="K649" i="55"/>
  <c r="K637" i="55"/>
  <c r="J643" i="55"/>
  <c r="J631" i="55"/>
  <c r="K648" i="55"/>
  <c r="K642" i="55"/>
  <c r="K636" i="55"/>
  <c r="K630" i="55"/>
  <c r="K644" i="55"/>
  <c r="J388" i="55"/>
  <c r="K398" i="55"/>
  <c r="J470" i="55"/>
  <c r="J423" i="55"/>
  <c r="K471" i="55"/>
  <c r="K402" i="55"/>
  <c r="J542" i="55"/>
  <c r="K529" i="55"/>
  <c r="K550" i="55"/>
  <c r="J422" i="55"/>
  <c r="J567" i="55"/>
  <c r="K566" i="55"/>
  <c r="J591" i="55"/>
  <c r="K576" i="55"/>
  <c r="K394" i="55"/>
  <c r="K552" i="55"/>
  <c r="J590" i="55"/>
  <c r="J565" i="55"/>
  <c r="K575" i="55"/>
  <c r="K554" i="55"/>
  <c r="K424" i="55"/>
  <c r="K553" i="55"/>
  <c r="J395" i="55"/>
  <c r="K530" i="55"/>
  <c r="K564" i="55"/>
  <c r="K557" i="55"/>
  <c r="K551" i="55"/>
  <c r="K588" i="55"/>
  <c r="J463" i="55"/>
  <c r="J389" i="55"/>
  <c r="J472" i="55"/>
  <c r="J425" i="55"/>
  <c r="J413" i="55"/>
  <c r="J403" i="55"/>
  <c r="K539" i="55"/>
  <c r="K533" i="55"/>
  <c r="K527" i="55"/>
  <c r="K521" i="55"/>
  <c r="K544" i="55"/>
  <c r="K532" i="55"/>
  <c r="K526" i="55"/>
  <c r="J397" i="55"/>
  <c r="J538" i="55"/>
  <c r="K563" i="55"/>
  <c r="J414" i="55"/>
  <c r="K520" i="55"/>
  <c r="K426" i="55"/>
  <c r="K543" i="55"/>
  <c r="K537" i="55"/>
  <c r="K531" i="55"/>
  <c r="K525" i="55"/>
  <c r="K558" i="55"/>
  <c r="K587" i="55"/>
  <c r="J519" i="55"/>
  <c r="J396" i="55"/>
  <c r="K571" i="55"/>
  <c r="K601" i="55"/>
  <c r="K597" i="55"/>
  <c r="K593" i="55"/>
  <c r="K589" i="55"/>
  <c r="K585" i="55"/>
  <c r="K581" i="55"/>
  <c r="K577" i="55"/>
  <c r="J546" i="55"/>
  <c r="K545" i="55"/>
  <c r="B2811" i="55"/>
  <c r="B1947" i="55"/>
  <c r="B2510" i="55"/>
  <c r="B1788" i="55"/>
  <c r="B2364" i="55"/>
  <c r="B2633" i="55"/>
  <c r="B2523" i="55"/>
  <c r="B2838" i="55"/>
  <c r="B1989" i="55"/>
  <c r="B2720" i="55"/>
  <c r="B2671" i="55"/>
  <c r="B2577" i="55"/>
  <c r="B1943" i="55"/>
  <c r="B2672" i="55"/>
  <c r="B2172" i="55"/>
  <c r="B2367" i="55"/>
  <c r="B2619" i="55"/>
  <c r="B2829" i="55"/>
  <c r="B2117" i="55"/>
  <c r="B2768" i="55"/>
  <c r="B2791" i="55"/>
  <c r="B2332" i="55"/>
  <c r="B2514" i="55"/>
  <c r="B2658" i="55"/>
  <c r="B2171" i="55"/>
  <c r="B2785" i="55"/>
  <c r="B2183" i="55"/>
  <c r="B2133" i="55"/>
  <c r="B2004" i="55"/>
  <c r="B2749" i="55"/>
  <c r="B2826" i="55"/>
  <c r="B2009" i="55"/>
  <c r="B2135" i="55"/>
  <c r="B1941" i="55"/>
  <c r="B2652" i="55"/>
  <c r="B2722" i="55"/>
  <c r="B2635" i="55"/>
  <c r="B1952" i="55"/>
  <c r="B2859" i="55"/>
  <c r="B2543" i="55"/>
  <c r="B2809" i="55"/>
  <c r="B2708" i="55"/>
  <c r="B2735" i="55"/>
  <c r="B2384" i="55"/>
  <c r="B2833" i="55"/>
  <c r="B2565" i="55"/>
  <c r="B2646" i="55"/>
  <c r="B2162" i="55"/>
  <c r="B2848" i="55"/>
  <c r="B2636" i="55"/>
  <c r="B2647" i="55"/>
  <c r="B2000" i="55"/>
  <c r="B2815" i="55"/>
  <c r="B2477" i="55"/>
  <c r="B2783" i="55"/>
  <c r="B2788" i="55"/>
  <c r="B2835" i="55"/>
  <c r="B2119" i="55"/>
  <c r="B2512" i="55"/>
  <c r="B1992" i="55"/>
  <c r="B2120" i="55"/>
  <c r="B2814" i="55"/>
  <c r="B2383" i="55"/>
  <c r="B2382" i="55"/>
  <c r="B2561" i="55"/>
  <c r="B2780" i="55"/>
  <c r="B2471" i="55"/>
  <c r="B2499" i="55"/>
  <c r="B2128" i="55"/>
  <c r="B2329" i="55"/>
  <c r="B1961" i="55"/>
  <c r="B2319" i="55"/>
  <c r="K33" i="37" l="1"/>
  <c r="AN75" i="37"/>
  <c r="AN77" i="37"/>
  <c r="AN79" i="37"/>
  <c r="AN81" i="37"/>
  <c r="AN83" i="37"/>
  <c r="AN84" i="37"/>
  <c r="AN87" i="37"/>
  <c r="AN88" i="37"/>
  <c r="AN89" i="37"/>
  <c r="AN72" i="37"/>
  <c r="AN73" i="37"/>
  <c r="AN69" i="37"/>
  <c r="AN64" i="37"/>
  <c r="AN65" i="37"/>
  <c r="AN57" i="37"/>
  <c r="AN43" i="37"/>
  <c r="AN44" i="37"/>
  <c r="AN45" i="37"/>
  <c r="AN33" i="37"/>
  <c r="AN94" i="35"/>
  <c r="AN97" i="35"/>
  <c r="AN98" i="35"/>
  <c r="AN99" i="35"/>
  <c r="AN100" i="35"/>
  <c r="AN101" i="35"/>
  <c r="AN102" i="35"/>
  <c r="AN87" i="35"/>
  <c r="AN88" i="35"/>
  <c r="AN89" i="35"/>
  <c r="AN86" i="35"/>
  <c r="AN82" i="35"/>
  <c r="AN83" i="35"/>
  <c r="AN81" i="35"/>
  <c r="AN69" i="35"/>
  <c r="AN70" i="35"/>
  <c r="AN71" i="35"/>
  <c r="AN72" i="35"/>
  <c r="AN73" i="35"/>
  <c r="AN74" i="35"/>
  <c r="AN75" i="35"/>
  <c r="AN76" i="35"/>
  <c r="AN77" i="35"/>
  <c r="AN78" i="35"/>
  <c r="AN68" i="35"/>
  <c r="AN64" i="35"/>
  <c r="K41" i="35"/>
  <c r="AN34" i="35"/>
  <c r="AN35" i="35"/>
  <c r="AN36" i="35"/>
  <c r="AN37" i="35"/>
  <c r="AN38" i="35"/>
  <c r="AN39" i="35"/>
  <c r="AN40" i="35"/>
  <c r="AN41" i="35"/>
  <c r="AN42" i="35"/>
  <c r="AN43" i="35"/>
  <c r="AN44" i="35"/>
  <c r="AN45" i="35"/>
  <c r="AN46" i="35"/>
  <c r="AN47" i="35"/>
  <c r="AN48" i="35"/>
  <c r="AN49" i="35"/>
  <c r="AN33" i="35"/>
  <c r="AN59" i="34"/>
  <c r="AN62" i="34"/>
  <c r="AN63" i="34"/>
  <c r="AN52" i="34"/>
  <c r="AN53" i="34"/>
  <c r="AN54" i="34"/>
  <c r="AN55" i="34"/>
  <c r="AN56" i="34"/>
  <c r="K49" i="34"/>
  <c r="K47" i="34"/>
  <c r="AN47" i="34"/>
  <c r="AN48" i="34"/>
  <c r="AN49" i="34"/>
  <c r="AN41" i="34"/>
  <c r="AN42" i="34"/>
  <c r="AN43" i="34"/>
  <c r="AN44" i="34"/>
  <c r="AN45" i="34"/>
  <c r="AN46" i="34"/>
  <c r="AN37" i="34"/>
  <c r="AN38" i="34"/>
  <c r="AN34" i="34"/>
  <c r="AN32" i="34"/>
  <c r="K66" i="33"/>
  <c r="AN56" i="33"/>
  <c r="AN57" i="33"/>
  <c r="AN58" i="33"/>
  <c r="AN59" i="33"/>
  <c r="AN60" i="33"/>
  <c r="AN61" i="33"/>
  <c r="AN62" i="33"/>
  <c r="AN63" i="33"/>
  <c r="AN64" i="33"/>
  <c r="AN65" i="33"/>
  <c r="AN66" i="33"/>
  <c r="AN67" i="33"/>
  <c r="AN55" i="33"/>
  <c r="AN34" i="33"/>
  <c r="AN35" i="33"/>
  <c r="AN36" i="33"/>
  <c r="AN37" i="33"/>
  <c r="AN38" i="33"/>
  <c r="AN39" i="33"/>
  <c r="AN40" i="33"/>
  <c r="AN41" i="33"/>
  <c r="AN42" i="33"/>
  <c r="AN43" i="33"/>
  <c r="AN32" i="33"/>
  <c r="O45" i="32"/>
  <c r="G32" i="32"/>
  <c r="AN33" i="32"/>
  <c r="AN36" i="32"/>
  <c r="AN37" i="32"/>
  <c r="AN38" i="32"/>
  <c r="AN39" i="32"/>
  <c r="AN40" i="32"/>
  <c r="AN41" i="32"/>
  <c r="AN42" i="32"/>
  <c r="AN46" i="32"/>
  <c r="AN47" i="32"/>
  <c r="AN48" i="32"/>
  <c r="AN49" i="32"/>
  <c r="AN53" i="32"/>
  <c r="AN56" i="32"/>
  <c r="AN57" i="32"/>
  <c r="AN58" i="32"/>
  <c r="AN59" i="32"/>
  <c r="AN60" i="32"/>
  <c r="AN61" i="32"/>
  <c r="AN63" i="32"/>
  <c r="AN32" i="32"/>
  <c r="K32" i="10"/>
  <c r="B2334" i="55"/>
  <c r="B2474" i="55"/>
  <c r="B2518" i="55"/>
  <c r="B2180" i="55"/>
  <c r="B1957" i="55"/>
  <c r="B1946" i="55"/>
  <c r="B2502" i="55"/>
  <c r="B2540" i="55"/>
  <c r="B2551" i="55"/>
  <c r="B2681" i="55"/>
  <c r="B2184" i="55"/>
  <c r="B2843" i="55"/>
  <c r="B2501" i="55"/>
  <c r="B2370" i="55"/>
  <c r="B2628" i="55"/>
  <c r="B2592" i="55"/>
  <c r="B2734" i="55"/>
  <c r="B2181" i="55"/>
  <c r="B2689" i="55"/>
  <c r="B2321" i="55"/>
  <c r="B2852" i="55"/>
  <c r="B2131" i="55"/>
  <c r="B2134" i="55"/>
  <c r="B2604" i="55"/>
  <c r="B2539" i="55"/>
  <c r="B2114" i="55"/>
  <c r="B2320" i="55"/>
  <c r="B2631" i="55"/>
  <c r="B2567" i="55"/>
  <c r="B2766" i="55"/>
  <c r="B2743" i="55"/>
  <c r="B2692" i="55"/>
  <c r="B2121" i="55"/>
  <c r="B2368" i="55"/>
  <c r="B1945" i="55"/>
  <c r="B1939" i="55"/>
  <c r="B2555" i="55"/>
  <c r="B2317" i="55"/>
  <c r="B2677" i="55"/>
  <c r="B2182" i="55"/>
  <c r="B2001" i="55"/>
  <c r="B2662" i="55"/>
  <c r="B2176" i="55"/>
  <c r="B2371" i="55"/>
  <c r="B2479" i="55"/>
  <c r="B2470" i="55"/>
  <c r="B2612" i="55"/>
  <c r="B2686" i="55"/>
  <c r="B2822" i="55"/>
  <c r="B2170" i="55"/>
  <c r="B2318" i="55"/>
  <c r="B2714" i="55"/>
  <c r="B2702" i="55"/>
  <c r="B1954" i="55"/>
  <c r="B2327" i="55"/>
  <c r="B2572" i="55"/>
  <c r="B2908" i="55"/>
  <c r="B2007" i="55"/>
  <c r="B1951" i="55"/>
  <c r="B2167" i="55"/>
  <c r="B2596" i="55"/>
  <c r="B2803" i="55"/>
  <c r="B1987" i="55"/>
  <c r="B2531" i="55"/>
  <c r="B2695" i="55"/>
  <c r="B2123" i="55"/>
  <c r="B2111" i="55"/>
  <c r="B1522" i="55"/>
  <c r="B2011" i="55"/>
  <c r="B2003" i="55"/>
  <c r="B1994" i="55"/>
  <c r="B2616" i="55"/>
  <c r="B2674" i="55"/>
  <c r="B2522" i="55"/>
  <c r="B2369" i="55"/>
  <c r="B2333" i="55"/>
  <c r="B2163" i="55"/>
  <c r="B1962" i="55"/>
  <c r="B2736" i="55"/>
  <c r="B2753" i="55"/>
  <c r="B2608" i="55"/>
  <c r="B2112" i="55"/>
  <c r="B2125" i="55"/>
  <c r="B2472" i="55"/>
  <c r="B2806" i="55"/>
  <c r="B2118" i="55"/>
  <c r="B2378" i="55"/>
  <c r="B541" i="55"/>
  <c r="B2786" i="55"/>
  <c r="B2725" i="55"/>
  <c r="B2742" i="55"/>
  <c r="B2006" i="55"/>
  <c r="B2476" i="55"/>
  <c r="B1990" i="55"/>
  <c r="B2379" i="55"/>
  <c r="B2372" i="55"/>
  <c r="B2709" i="55"/>
  <c r="B2562" i="55"/>
  <c r="B2623" i="55"/>
  <c r="B2824" i="55"/>
  <c r="B2507" i="55"/>
  <c r="B2113" i="55"/>
  <c r="B2606" i="55"/>
  <c r="B2655" i="55"/>
  <c r="B2374" i="55"/>
  <c r="B1999" i="55"/>
  <c r="B2667" i="55"/>
  <c r="B1986" i="55"/>
  <c r="B1988" i="55"/>
  <c r="B2825" i="55"/>
  <c r="B2842" i="55"/>
  <c r="B2124" i="55"/>
  <c r="B2739" i="55"/>
  <c r="B404" i="55"/>
  <c r="B2008" i="55"/>
  <c r="B2116" i="55"/>
  <c r="B2767" i="55"/>
  <c r="B1940" i="55"/>
  <c r="B2159" i="55"/>
  <c r="B2827" i="55"/>
  <c r="B2174" i="55"/>
  <c r="B2804" i="55"/>
  <c r="B2177" i="55"/>
  <c r="B2330" i="55"/>
  <c r="B2322" i="55"/>
  <c r="B1996" i="55"/>
  <c r="B2326" i="55"/>
  <c r="B1955" i="55"/>
  <c r="B2010" i="55"/>
  <c r="B2707" i="55"/>
  <c r="B2228" i="55"/>
  <c r="B2699" i="55"/>
  <c r="B2315" i="55"/>
  <c r="B2375" i="55"/>
  <c r="B2582" i="55"/>
  <c r="B2679" i="55"/>
  <c r="B2324" i="55"/>
  <c r="B2132" i="55"/>
  <c r="B2603" i="55"/>
  <c r="B1956" i="55"/>
  <c r="B2808" i="55"/>
  <c r="B2538" i="55"/>
  <c r="B2760" i="55"/>
  <c r="B1949" i="55"/>
  <c r="B2376" i="55"/>
  <c r="B2179" i="55"/>
  <c r="B2778" i="55"/>
  <c r="B2548" i="55"/>
  <c r="B2744" i="55"/>
  <c r="B2618" i="55"/>
  <c r="B2787" i="55"/>
  <c r="B2855" i="55"/>
  <c r="B2570" i="55"/>
  <c r="B2701" i="55"/>
  <c r="B2726" i="55"/>
  <c r="B1959" i="55"/>
  <c r="B2473" i="55"/>
  <c r="B2127" i="55"/>
  <c r="B2812" i="55"/>
  <c r="B2169" i="55"/>
  <c r="B2005" i="55"/>
  <c r="B1391" i="55"/>
  <c r="B1950" i="55"/>
  <c r="B2680" i="55"/>
  <c r="B2858" i="55"/>
  <c r="B2366" i="55"/>
  <c r="B2316" i="55"/>
  <c r="B1995" i="55"/>
  <c r="B2698" i="55"/>
  <c r="B2776" i="55"/>
  <c r="B2178" i="55"/>
  <c r="B2860" i="55"/>
  <c r="B1993" i="55"/>
  <c r="B2691" i="55"/>
  <c r="B2755" i="55"/>
  <c r="B2801" i="55"/>
  <c r="B2724" i="55"/>
  <c r="B2839" i="55"/>
  <c r="B2713" i="55"/>
  <c r="B2574" i="55"/>
  <c r="B2830" i="55"/>
  <c r="B2168" i="55"/>
  <c r="B2331" i="55"/>
  <c r="B1953" i="55"/>
  <c r="B2478" i="55"/>
  <c r="B2799" i="55"/>
  <c r="B2863" i="55"/>
  <c r="B2805" i="55"/>
  <c r="B2862" i="55"/>
  <c r="B2719" i="55"/>
  <c r="B2002" i="55"/>
  <c r="B2377" i="55"/>
  <c r="B2380" i="55"/>
  <c r="B2381" i="55"/>
  <c r="B2166" i="55"/>
  <c r="B1998" i="55"/>
  <c r="B2817" i="55"/>
  <c r="B2313" i="55"/>
  <c r="B2663" i="55"/>
  <c r="B2729" i="55"/>
  <c r="N3" i="29" l="1"/>
  <c r="B9" i="29"/>
  <c r="B11" i="36"/>
  <c r="L4" i="36"/>
  <c r="Q4" i="38"/>
  <c r="B11" i="38"/>
  <c r="B11" i="37"/>
  <c r="O4" i="37"/>
  <c r="B11" i="35"/>
  <c r="O4" i="35"/>
  <c r="B11" i="34"/>
  <c r="O4" i="34"/>
  <c r="B11" i="33"/>
  <c r="O4" i="33"/>
  <c r="B11" i="32"/>
  <c r="O4" i="32"/>
  <c r="O4" i="10"/>
  <c r="B11" i="10"/>
  <c r="N4" i="2"/>
  <c r="B11" i="2"/>
  <c r="O4" i="30"/>
  <c r="B11" i="30"/>
  <c r="B10" i="49"/>
  <c r="N5" i="4"/>
  <c r="M3" i="26"/>
  <c r="B12" i="4"/>
  <c r="A9" i="26"/>
  <c r="B2385" i="55"/>
  <c r="B2710" i="55"/>
  <c r="B2480" i="55"/>
  <c r="B1944" i="55"/>
  <c r="B1938" i="55"/>
  <c r="B1960" i="55"/>
  <c r="B2373" i="55"/>
  <c r="B2224" i="55"/>
  <c r="B2216" i="55"/>
  <c r="B2723" i="55"/>
  <c r="B1958" i="55"/>
  <c r="B1820" i="55"/>
  <c r="B337" i="55"/>
  <c r="B2161" i="55"/>
  <c r="B2654" i="55"/>
  <c r="B2012" i="55"/>
  <c r="B2126" i="55"/>
  <c r="B1948" i="55"/>
  <c r="B1997" i="55"/>
  <c r="B2682" i="55"/>
  <c r="B2696" i="55"/>
  <c r="B2122" i="55"/>
  <c r="B1794" i="55"/>
  <c r="B2325" i="55"/>
  <c r="B2173" i="55"/>
  <c r="B1795" i="55"/>
  <c r="B2130" i="55"/>
  <c r="B2314" i="55"/>
  <c r="G2699" i="55" l="1"/>
  <c r="G2698" i="55"/>
  <c r="G2697" i="55"/>
  <c r="G2696" i="55"/>
  <c r="G2695" i="55"/>
  <c r="G2694" i="55"/>
  <c r="G2693" i="55"/>
  <c r="G2692" i="55"/>
  <c r="G2691" i="55"/>
  <c r="G2690" i="55"/>
  <c r="G2689" i="55"/>
  <c r="G2688" i="55"/>
  <c r="G2687" i="55"/>
  <c r="G2686" i="55"/>
  <c r="G2685" i="55"/>
  <c r="G2683" i="55"/>
  <c r="G2682" i="55"/>
  <c r="G2681" i="55"/>
  <c r="G2680" i="55"/>
  <c r="G2679" i="55"/>
  <c r="G2678" i="55"/>
  <c r="G2677" i="55"/>
  <c r="G2676" i="55"/>
  <c r="G2675" i="55"/>
  <c r="G2674" i="55"/>
  <c r="G2673" i="55"/>
  <c r="G2672" i="55"/>
  <c r="G2671" i="55"/>
  <c r="G2670" i="55"/>
  <c r="G2669" i="55"/>
  <c r="G2466" i="55"/>
  <c r="G2465" i="55"/>
  <c r="G2464" i="55"/>
  <c r="G2463" i="55"/>
  <c r="G2462" i="55"/>
  <c r="G2436" i="55"/>
  <c r="G2435" i="55"/>
  <c r="G2434" i="55"/>
  <c r="G2433" i="55"/>
  <c r="G2432" i="55"/>
  <c r="G2310" i="55"/>
  <c r="G2309" i="55"/>
  <c r="G2308" i="55"/>
  <c r="G2307" i="55"/>
  <c r="G2306" i="55"/>
  <c r="G2305" i="55"/>
  <c r="G2304" i="55"/>
  <c r="G2303" i="55"/>
  <c r="G2302" i="55"/>
  <c r="G2301" i="55"/>
  <c r="G2300" i="55"/>
  <c r="G2299" i="55"/>
  <c r="G2298" i="55"/>
  <c r="G2297" i="55"/>
  <c r="G2296" i="55"/>
  <c r="G2295" i="55"/>
  <c r="G2294" i="55"/>
  <c r="G2293" i="55"/>
  <c r="G2292" i="55"/>
  <c r="G2291" i="55"/>
  <c r="G2262" i="55"/>
  <c r="G2261" i="55"/>
  <c r="G2260" i="55"/>
  <c r="G2259" i="55"/>
  <c r="G2258" i="55"/>
  <c r="G2257" i="55"/>
  <c r="G2256" i="55"/>
  <c r="G2255" i="55"/>
  <c r="G2254" i="55"/>
  <c r="G2253" i="55"/>
  <c r="G2252" i="55"/>
  <c r="G2251" i="55"/>
  <c r="G2250" i="55"/>
  <c r="G2249" i="55"/>
  <c r="G2248" i="55"/>
  <c r="G2247" i="55"/>
  <c r="G2246" i="55"/>
  <c r="G2245" i="55"/>
  <c r="G2244" i="55"/>
  <c r="G2243" i="55"/>
  <c r="G2214" i="55"/>
  <c r="G2213" i="55"/>
  <c r="G2212" i="55"/>
  <c r="G2211" i="55"/>
  <c r="G2210" i="55"/>
  <c r="G2209" i="55"/>
  <c r="G2208" i="55"/>
  <c r="G2207" i="55"/>
  <c r="G2206" i="55"/>
  <c r="G2205" i="55"/>
  <c r="G2204" i="55"/>
  <c r="G2203" i="55"/>
  <c r="G2202" i="55"/>
  <c r="G2201" i="55"/>
  <c r="G2200" i="55"/>
  <c r="G2199" i="55"/>
  <c r="G2198" i="55"/>
  <c r="G2197" i="55"/>
  <c r="G2196" i="55"/>
  <c r="G2195" i="55"/>
  <c r="G2157" i="55"/>
  <c r="G2156" i="55"/>
  <c r="G2155" i="55"/>
  <c r="G2154" i="55"/>
  <c r="G2153" i="55"/>
  <c r="G2152" i="55"/>
  <c r="G2151" i="55"/>
  <c r="G2150" i="55"/>
  <c r="G2149" i="55"/>
  <c r="G2148" i="55"/>
  <c r="G2147" i="55"/>
  <c r="G2146" i="55"/>
  <c r="G2145" i="55"/>
  <c r="G2144" i="55"/>
  <c r="G2143" i="55"/>
  <c r="G2142" i="55"/>
  <c r="G2141" i="55"/>
  <c r="G2140" i="55"/>
  <c r="G2139" i="55"/>
  <c r="G2138" i="55"/>
  <c r="G2084" i="55"/>
  <c r="G2083" i="55"/>
  <c r="G2082" i="55"/>
  <c r="G2081" i="55"/>
  <c r="G2080" i="55"/>
  <c r="G2079" i="55"/>
  <c r="G2078" i="55"/>
  <c r="G2077" i="55"/>
  <c r="G2076" i="55"/>
  <c r="G2075" i="55"/>
  <c r="G2074" i="55"/>
  <c r="G2073" i="55"/>
  <c r="G2072" i="55"/>
  <c r="G2071" i="55"/>
  <c r="G2070" i="55"/>
  <c r="G2069" i="55"/>
  <c r="G2068" i="55"/>
  <c r="G2067" i="55"/>
  <c r="G2066" i="55"/>
  <c r="G2065" i="55"/>
  <c r="G2036" i="55"/>
  <c r="G2035" i="55"/>
  <c r="G2034" i="55"/>
  <c r="G2033" i="55"/>
  <c r="G2032" i="55"/>
  <c r="G2031" i="55"/>
  <c r="G2030" i="55"/>
  <c r="G2029" i="55"/>
  <c r="G2028" i="55"/>
  <c r="G2027" i="55"/>
  <c r="G2026" i="55"/>
  <c r="G2025" i="55"/>
  <c r="G2024" i="55"/>
  <c r="G2023" i="55"/>
  <c r="G2022" i="55"/>
  <c r="G2021" i="55"/>
  <c r="G2020" i="55"/>
  <c r="G2019" i="55"/>
  <c r="G2018" i="55"/>
  <c r="G2017" i="55"/>
  <c r="G1984" i="55"/>
  <c r="G1983" i="55"/>
  <c r="G1982" i="55"/>
  <c r="G1981" i="55"/>
  <c r="G1980" i="55"/>
  <c r="G1979" i="55"/>
  <c r="G1978" i="55"/>
  <c r="G1977" i="55"/>
  <c r="G1976" i="55"/>
  <c r="G1975" i="55"/>
  <c r="G1974" i="55"/>
  <c r="G1973" i="55"/>
  <c r="G1972" i="55"/>
  <c r="G1971" i="55"/>
  <c r="G1970" i="55"/>
  <c r="G1969" i="55"/>
  <c r="G1968" i="55"/>
  <c r="G1967" i="55"/>
  <c r="G1966" i="55"/>
  <c r="G1965" i="55"/>
  <c r="D1258" i="55"/>
  <c r="D1257" i="55"/>
  <c r="F1256" i="55"/>
  <c r="D1255" i="55"/>
  <c r="D1254" i="55"/>
  <c r="F1253" i="55"/>
  <c r="D1252" i="55"/>
  <c r="D1251" i="55"/>
  <c r="D1249" i="55"/>
  <c r="D1248" i="55"/>
  <c r="D1246" i="55"/>
  <c r="D1245" i="55"/>
  <c r="F1243" i="55"/>
  <c r="E1243" i="55"/>
  <c r="F1242" i="55"/>
  <c r="E1242" i="55"/>
  <c r="G479" i="55"/>
  <c r="G478" i="55"/>
  <c r="G477" i="55"/>
  <c r="G476" i="55"/>
  <c r="G475" i="55"/>
  <c r="G474" i="55"/>
  <c r="G473" i="55"/>
  <c r="G472" i="55"/>
  <c r="G471" i="55"/>
  <c r="G470" i="55"/>
  <c r="G469" i="55"/>
  <c r="G468" i="55"/>
  <c r="G467" i="55"/>
  <c r="G466" i="55"/>
  <c r="G465" i="55"/>
  <c r="G464" i="55"/>
  <c r="G430" i="55"/>
  <c r="G429" i="55"/>
  <c r="G428" i="55"/>
  <c r="G427" i="55"/>
  <c r="G426" i="55"/>
  <c r="G425" i="55"/>
  <c r="G424" i="55"/>
  <c r="G423" i="55"/>
  <c r="G422" i="55"/>
  <c r="G421" i="55"/>
  <c r="G420" i="55"/>
  <c r="G419" i="55"/>
  <c r="G418" i="55"/>
  <c r="G417" i="55"/>
  <c r="G416" i="55"/>
  <c r="G415" i="55"/>
  <c r="G414" i="55"/>
  <c r="G413" i="55"/>
  <c r="G412" i="55"/>
  <c r="G411" i="55"/>
  <c r="G410" i="55"/>
  <c r="G409" i="55"/>
  <c r="G408" i="55"/>
  <c r="G407" i="55"/>
  <c r="G406" i="55"/>
  <c r="G405" i="55"/>
  <c r="G404" i="55"/>
  <c r="F353" i="55"/>
  <c r="E353" i="55"/>
  <c r="C172" i="55"/>
  <c r="G171" i="55"/>
  <c r="E111" i="55"/>
  <c r="D111" i="55"/>
  <c r="F97" i="55"/>
  <c r="E97" i="55"/>
  <c r="G96" i="55"/>
  <c r="B18" i="55" a="1"/>
  <c r="B18" i="55" s="1"/>
  <c r="B17" i="55"/>
  <c r="B16" i="55" a="1"/>
  <c r="B16" i="55" s="1"/>
  <c r="B15" i="55"/>
  <c r="B14" i="55"/>
  <c r="B12" i="55"/>
  <c r="B11" i="55"/>
  <c r="B10" i="55"/>
  <c r="B9" i="55"/>
  <c r="B8" i="55"/>
  <c r="B7" i="55"/>
  <c r="B6" i="55"/>
  <c r="H126" i="4"/>
  <c r="J33" i="33"/>
  <c r="G32" i="33"/>
  <c r="D41" i="49"/>
  <c r="D42" i="49" s="1"/>
  <c r="G111" i="4" l="1"/>
  <c r="D98" i="55" s="1"/>
  <c r="H69" i="4"/>
  <c r="E57" i="55" s="1"/>
  <c r="I76" i="4" l="1"/>
  <c r="F64" i="55" s="1"/>
  <c r="G103" i="36"/>
  <c r="G88" i="36"/>
  <c r="M3" i="49" l="1"/>
  <c r="B538" i="55"/>
  <c r="B476" i="55"/>
  <c r="B549" i="55"/>
  <c r="B1598" i="55"/>
  <c r="B472" i="55"/>
  <c r="B878" i="55"/>
  <c r="B521" i="55"/>
  <c r="B1570" i="55"/>
  <c r="B1798" i="55"/>
  <c r="B1511" i="55"/>
  <c r="B1528" i="55"/>
  <c r="B1290" i="55"/>
  <c r="B635" i="55"/>
  <c r="B1757" i="55"/>
  <c r="B1722" i="55"/>
  <c r="B1530" i="55"/>
  <c r="B1737" i="55"/>
  <c r="B1775" i="55"/>
  <c r="C180" i="55"/>
  <c r="B1512" i="55"/>
  <c r="B1022" i="55"/>
  <c r="B655" i="55"/>
  <c r="B1717" i="55"/>
  <c r="B641" i="55"/>
  <c r="B561" i="55"/>
  <c r="B1560" i="55"/>
  <c r="B1580" i="55"/>
  <c r="B1542" i="55"/>
  <c r="E78" i="4" l="1"/>
  <c r="B420" i="55"/>
  <c r="B1785" i="55"/>
  <c r="B643" i="55"/>
  <c r="B751" i="55"/>
  <c r="B1540" i="55"/>
  <c r="B1742" i="55"/>
  <c r="E76" i="4" l="1"/>
  <c r="Z79" i="4" l="1"/>
  <c r="Z80" i="4"/>
  <c r="Z81" i="4"/>
  <c r="Z82" i="4"/>
  <c r="Z83" i="4"/>
  <c r="Z84" i="4"/>
  <c r="Z85" i="4"/>
  <c r="Z86" i="4"/>
  <c r="Y79" i="4"/>
  <c r="Y80" i="4"/>
  <c r="Y81" i="4"/>
  <c r="AB81" i="4" s="1"/>
  <c r="Y82" i="4"/>
  <c r="Y83" i="4"/>
  <c r="Y84" i="4"/>
  <c r="Y85" i="4"/>
  <c r="Y86" i="4"/>
  <c r="X79" i="4"/>
  <c r="X80" i="4"/>
  <c r="X81" i="4"/>
  <c r="X82" i="4"/>
  <c r="X83" i="4"/>
  <c r="X84" i="4"/>
  <c r="X85" i="4"/>
  <c r="X86" i="4"/>
  <c r="W79" i="4"/>
  <c r="W80" i="4"/>
  <c r="W81" i="4"/>
  <c r="W82" i="4"/>
  <c r="W84" i="4"/>
  <c r="W83" i="4"/>
  <c r="W85" i="4"/>
  <c r="W86" i="4"/>
  <c r="B640" i="55"/>
  <c r="B546" i="55"/>
  <c r="B1588" i="55"/>
  <c r="B1498" i="55"/>
  <c r="B1736" i="55"/>
  <c r="B657" i="55"/>
  <c r="B656" i="55"/>
  <c r="B1753" i="55"/>
  <c r="C519" i="55"/>
  <c r="B1745" i="55"/>
  <c r="B1822" i="55"/>
  <c r="B1544" i="55"/>
  <c r="B1718" i="55"/>
  <c r="B741" i="55"/>
  <c r="AB82" i="4" l="1"/>
  <c r="AB80" i="4"/>
  <c r="AB79" i="4"/>
  <c r="AB86" i="4"/>
  <c r="AB85" i="4"/>
  <c r="AB84" i="4"/>
  <c r="AB83" i="4"/>
  <c r="AA79" i="4"/>
  <c r="AC79" i="4" s="1"/>
  <c r="AA83" i="4"/>
  <c r="AA86" i="4"/>
  <c r="AA85" i="4"/>
  <c r="AA84" i="4"/>
  <c r="AA82" i="4"/>
  <c r="AA81" i="4"/>
  <c r="AC81" i="4" s="1"/>
  <c r="AA80" i="4"/>
  <c r="AC80" i="4" s="1"/>
  <c r="E41" i="49"/>
  <c r="F41" i="49"/>
  <c r="G41" i="49"/>
  <c r="B529" i="55"/>
  <c r="B650" i="55"/>
  <c r="B531" i="55"/>
  <c r="B1315" i="55"/>
  <c r="B477" i="55"/>
  <c r="B1786" i="55"/>
  <c r="B1405" i="55"/>
  <c r="B1782" i="55"/>
  <c r="B674" i="55"/>
  <c r="B570" i="55"/>
  <c r="B1543" i="55"/>
  <c r="B428" i="55"/>
  <c r="B683" i="55"/>
  <c r="B64" i="55"/>
  <c r="B1805" i="55"/>
  <c r="B1523" i="55"/>
  <c r="B1317" i="55"/>
  <c r="B680" i="55"/>
  <c r="B645" i="55"/>
  <c r="B1751" i="55"/>
  <c r="B1732" i="55"/>
  <c r="B744" i="55"/>
  <c r="B1807" i="55"/>
  <c r="B421" i="55"/>
  <c r="B543" i="55"/>
  <c r="B478" i="55"/>
  <c r="B402" i="55"/>
  <c r="B411" i="55"/>
  <c r="B1566" i="55"/>
  <c r="B652" i="55"/>
  <c r="B1555" i="55"/>
  <c r="B1526" i="55"/>
  <c r="B395" i="55"/>
  <c r="B399" i="55"/>
  <c r="B1774" i="55"/>
  <c r="B1791" i="55"/>
  <c r="B1582" i="55"/>
  <c r="B1020" i="55"/>
  <c r="B1574" i="55"/>
  <c r="B1762" i="55"/>
  <c r="B1719" i="55"/>
  <c r="B814" i="55"/>
  <c r="B397" i="55"/>
  <c r="B1532" i="55"/>
  <c r="B1591" i="55"/>
  <c r="B562" i="55"/>
  <c r="B1521" i="55"/>
  <c r="B1087" i="55"/>
  <c r="B1586" i="55"/>
  <c r="B1816" i="55"/>
  <c r="B1535" i="55"/>
  <c r="B390" i="55"/>
  <c r="B1767" i="55"/>
  <c r="B1016" i="55"/>
  <c r="AC82" i="4" l="1"/>
  <c r="AC84" i="4"/>
  <c r="AC85" i="4"/>
  <c r="AC86" i="4"/>
  <c r="AC83" i="4"/>
  <c r="G112" i="36"/>
  <c r="G79" i="36"/>
  <c r="H55" i="36"/>
  <c r="I55" i="36"/>
  <c r="H48" i="36"/>
  <c r="I48" i="36"/>
  <c r="H41" i="36"/>
  <c r="I41" i="36"/>
  <c r="J45" i="33"/>
  <c r="I33" i="33"/>
  <c r="E33" i="33"/>
  <c r="F35" i="30"/>
  <c r="K34" i="33"/>
  <c r="K35" i="33"/>
  <c r="K36" i="33"/>
  <c r="K37" i="33"/>
  <c r="G34" i="33"/>
  <c r="G35" i="33"/>
  <c r="G36" i="33"/>
  <c r="G37" i="33"/>
  <c r="B1546" i="55"/>
  <c r="B1749" i="55"/>
  <c r="B685" i="55"/>
  <c r="B532" i="55"/>
  <c r="B1561" i="55"/>
  <c r="B1514" i="55"/>
  <c r="B1551" i="55"/>
  <c r="B746" i="55"/>
  <c r="B1079" i="55"/>
  <c r="B1817" i="55"/>
  <c r="B630" i="55"/>
  <c r="B1513" i="55"/>
  <c r="B474" i="55"/>
  <c r="B1550" i="55"/>
  <c r="B1756" i="55"/>
  <c r="B1549" i="55"/>
  <c r="B1604" i="55"/>
  <c r="B679" i="55"/>
  <c r="B632" i="55"/>
  <c r="B1090" i="55"/>
  <c r="B1505" i="55"/>
  <c r="B646" i="55"/>
  <c r="B631" i="55"/>
  <c r="B808" i="55"/>
  <c r="B648" i="55"/>
  <c r="B1724" i="55"/>
  <c r="B810" i="55"/>
  <c r="B1510" i="55"/>
  <c r="B1772" i="55"/>
  <c r="B1781" i="55"/>
  <c r="B1740" i="55"/>
  <c r="B427" i="55"/>
  <c r="B471" i="55"/>
  <c r="B1754" i="55"/>
  <c r="B1519" i="55"/>
  <c r="B535" i="55"/>
  <c r="B633" i="55"/>
  <c r="B1577" i="55"/>
  <c r="B637" i="55"/>
  <c r="B1554" i="55"/>
  <c r="B1720" i="55"/>
  <c r="B626" i="55"/>
  <c r="B574" i="55"/>
  <c r="B654" i="55"/>
  <c r="B1594" i="55"/>
  <c r="B668" i="55"/>
  <c r="B548" i="55"/>
  <c r="B1803" i="55"/>
  <c r="B1750" i="55"/>
  <c r="B1573" i="55"/>
  <c r="B644" i="55"/>
  <c r="B470" i="55"/>
  <c r="B554" i="55"/>
  <c r="B1789" i="55"/>
  <c r="B1021" i="55"/>
  <c r="B1747" i="55"/>
  <c r="B1733" i="55"/>
  <c r="B550" i="55"/>
  <c r="B1506" i="55"/>
  <c r="B673" i="55"/>
  <c r="B1080" i="55"/>
  <c r="B1565" i="55"/>
  <c r="B572" i="55"/>
  <c r="B1086" i="55"/>
  <c r="B407" i="55"/>
  <c r="B519" i="55"/>
  <c r="B1726" i="55"/>
  <c r="B1744" i="55"/>
  <c r="B520" i="55"/>
  <c r="B1529" i="55"/>
  <c r="B1504" i="55"/>
  <c r="B1316" i="55"/>
  <c r="B1531" i="55"/>
  <c r="B1777" i="55"/>
  <c r="B1567" i="55"/>
  <c r="B1014" i="55"/>
  <c r="B664" i="55"/>
  <c r="B121" i="55"/>
  <c r="B1596" i="55"/>
  <c r="B464" i="55"/>
  <c r="B1578" i="55"/>
  <c r="B569" i="55"/>
  <c r="B410" i="55"/>
  <c r="B658" i="55"/>
  <c r="B651" i="55"/>
  <c r="B1746" i="55"/>
  <c r="B1381" i="55"/>
  <c r="B1571" i="55"/>
  <c r="B1585" i="55"/>
  <c r="B1766" i="55"/>
  <c r="B418" i="55"/>
  <c r="B1525" i="55"/>
  <c r="B1082" i="55"/>
  <c r="C520" i="55"/>
  <c r="B1019" i="55"/>
  <c r="B564" i="55"/>
  <c r="B817" i="55"/>
  <c r="B1606" i="55"/>
  <c r="B1728" i="55"/>
  <c r="B515" i="55"/>
  <c r="B1516" i="55"/>
  <c r="B1808" i="55"/>
  <c r="B539" i="55"/>
  <c r="B551" i="55"/>
  <c r="B557" i="55"/>
  <c r="B1589" i="55"/>
  <c r="B1569" i="55"/>
  <c r="B1802" i="55"/>
  <c r="B524" i="55"/>
  <c r="B670" i="55"/>
  <c r="B1796" i="55"/>
  <c r="B1801" i="55"/>
  <c r="B465" i="55"/>
  <c r="B1545" i="55"/>
  <c r="B1804" i="55"/>
  <c r="B662" i="55"/>
  <c r="B1595" i="55"/>
  <c r="B563" i="55"/>
  <c r="B1778" i="55"/>
  <c r="B1780" i="55"/>
  <c r="B1524" i="55"/>
  <c r="B1563" i="55"/>
  <c r="B1579" i="55"/>
  <c r="B556" i="55"/>
  <c r="B66" i="55"/>
  <c r="B462" i="55"/>
  <c r="B1797" i="55"/>
  <c r="B1503" i="55"/>
  <c r="B1834" i="55"/>
  <c r="B479" i="55"/>
  <c r="B568" i="55"/>
  <c r="B1495" i="55"/>
  <c r="B1755" i="55"/>
  <c r="B1089" i="55"/>
  <c r="B1741" i="55"/>
  <c r="B1743" i="55"/>
  <c r="B560" i="55"/>
  <c r="B661" i="55"/>
  <c r="B1716" i="55"/>
  <c r="B1731" i="55"/>
  <c r="B558" i="55"/>
  <c r="B682" i="55"/>
  <c r="B1584" i="55"/>
  <c r="B1587" i="55"/>
  <c r="AN33" i="33" l="1"/>
  <c r="F45" i="33"/>
  <c r="F34" i="30" s="1"/>
  <c r="I45" i="33"/>
  <c r="E45" i="33"/>
  <c r="H59" i="36"/>
  <c r="I59" i="36"/>
  <c r="G118" i="36"/>
  <c r="L34" i="33"/>
  <c r="L35" i="33"/>
  <c r="L37" i="33"/>
  <c r="L36" i="33"/>
  <c r="G120" i="36" l="1"/>
  <c r="G119" i="36"/>
  <c r="G121" i="36"/>
  <c r="O37" i="33"/>
  <c r="Q37" i="33" s="1"/>
  <c r="O36" i="33"/>
  <c r="Q36" i="33" s="1"/>
  <c r="O35" i="33"/>
  <c r="Q35" i="33" s="1"/>
  <c r="O34" i="33"/>
  <c r="Q34" i="33" s="1"/>
  <c r="H60" i="36"/>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40" i="49"/>
  <c r="H39" i="49"/>
  <c r="H38" i="49"/>
  <c r="B2" i="49"/>
  <c r="G68" i="33"/>
  <c r="I40" i="49" l="1"/>
  <c r="I39" i="49"/>
  <c r="N37" i="33"/>
  <c r="N36" i="33"/>
  <c r="N35" i="33"/>
  <c r="N34" i="33"/>
  <c r="I38" i="49"/>
  <c r="H41" i="49"/>
  <c r="E42" i="49" s="1"/>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B1787" i="55"/>
  <c r="B678" i="55"/>
  <c r="B1597" i="55"/>
  <c r="B745" i="55"/>
  <c r="B1295" i="55"/>
  <c r="B1793" i="55"/>
  <c r="B1536" i="55"/>
  <c r="C1622" i="55"/>
  <c r="B1291" i="55"/>
  <c r="B747" i="55"/>
  <c r="B1382" i="55"/>
  <c r="B1314" i="55"/>
  <c r="B1576" i="55"/>
  <c r="C521" i="55"/>
  <c r="C516" i="55"/>
  <c r="B1601" i="55"/>
  <c r="B392" i="55"/>
  <c r="B1583" i="55"/>
  <c r="B1402" i="55"/>
  <c r="B406" i="55"/>
  <c r="B466" i="55"/>
  <c r="B391" i="55"/>
  <c r="B566" i="55"/>
  <c r="B463" i="55"/>
  <c r="B1293" i="55"/>
  <c r="B653" i="55"/>
  <c r="B1091" i="55"/>
  <c r="B2800" i="55"/>
  <c r="B2820" i="55"/>
  <c r="B2564" i="55"/>
  <c r="B1593" i="55"/>
  <c r="B681" i="55"/>
  <c r="B1527" i="55"/>
  <c r="B1760" i="55"/>
  <c r="B649" i="55"/>
  <c r="B1084" i="55"/>
  <c r="B1017" i="55"/>
  <c r="B408" i="55"/>
  <c r="B1821" i="55"/>
  <c r="B429" i="55"/>
  <c r="B2566" i="55"/>
  <c r="B425" i="55"/>
  <c r="B419" i="55"/>
  <c r="B473" i="55"/>
  <c r="B1081" i="55"/>
  <c r="B575" i="55"/>
  <c r="B1220" i="55"/>
  <c r="B116" i="55"/>
  <c r="C672" i="55"/>
  <c r="B2793" i="55"/>
  <c r="B667" i="55"/>
  <c r="B1401" i="55"/>
  <c r="B675" i="55"/>
  <c r="B534" i="55"/>
  <c r="B1424" i="55"/>
  <c r="B1294" i="55"/>
  <c r="B1539" i="55"/>
  <c r="B665" i="55"/>
  <c r="B2554" i="55"/>
  <c r="B475" i="55"/>
  <c r="B1541" i="55"/>
  <c r="B1776" i="55"/>
  <c r="B1738" i="55"/>
  <c r="C1086" i="55"/>
  <c r="B749" i="55"/>
  <c r="B1564" i="55"/>
  <c r="B423" i="55"/>
  <c r="B1773" i="55"/>
  <c r="B811" i="55"/>
  <c r="B1739" i="55"/>
  <c r="B1083" i="55"/>
  <c r="B1602" i="55"/>
  <c r="C2127" i="55"/>
  <c r="B396" i="55"/>
  <c r="B659" i="55"/>
  <c r="B752" i="55"/>
  <c r="B424" i="55"/>
  <c r="B1222" i="55"/>
  <c r="B1770" i="55"/>
  <c r="B416" i="55"/>
  <c r="B555" i="55"/>
  <c r="B629" i="55"/>
  <c r="B1312" i="55"/>
  <c r="B1759" i="55"/>
  <c r="B1500" i="55"/>
  <c r="B422" i="55"/>
  <c r="B459" i="55"/>
  <c r="B880" i="55"/>
  <c r="B537" i="55"/>
  <c r="B1088" i="55"/>
  <c r="B2823" i="55"/>
  <c r="B1533" i="55"/>
  <c r="C518" i="55"/>
  <c r="B753" i="55"/>
  <c r="B542" i="55"/>
  <c r="B1572" i="55"/>
  <c r="B389" i="55"/>
  <c r="B545" i="55"/>
  <c r="B666" i="55"/>
  <c r="B426" i="55"/>
  <c r="B400" i="55"/>
  <c r="B669" i="55"/>
  <c r="B171" i="55"/>
  <c r="B1153" i="55"/>
  <c r="B565" i="55"/>
  <c r="B748" i="55"/>
  <c r="B1556" i="55"/>
  <c r="B2581" i="55"/>
  <c r="C115" i="55"/>
  <c r="B809" i="55"/>
  <c r="B1023" i="55"/>
  <c r="B1507" i="55"/>
  <c r="B1404" i="55"/>
  <c r="B1221" i="55"/>
  <c r="B1406" i="55"/>
  <c r="B2559" i="55"/>
  <c r="B816" i="55"/>
  <c r="B1819" i="55"/>
  <c r="B1085" i="55"/>
  <c r="B1403" i="55"/>
  <c r="B415" i="55"/>
  <c r="B571" i="55"/>
  <c r="B1581" i="55"/>
  <c r="C1566" i="55"/>
  <c r="B812" i="55"/>
  <c r="B660" i="55"/>
  <c r="B1156" i="55"/>
  <c r="C2264" i="55"/>
  <c r="B1553" i="55"/>
  <c r="B1815" i="55"/>
  <c r="B393" i="55"/>
  <c r="B1806" i="55"/>
  <c r="B815" i="55"/>
  <c r="B1790" i="55"/>
  <c r="B1818" i="55"/>
  <c r="B1015" i="55"/>
  <c r="B1501" i="55"/>
  <c r="B1383" i="55"/>
  <c r="B1763" i="55"/>
  <c r="B1811" i="55"/>
  <c r="B2576" i="55"/>
  <c r="C799" i="55"/>
  <c r="B553" i="55"/>
  <c r="C2144" i="55"/>
  <c r="B1313" i="55"/>
  <c r="B409" i="55"/>
  <c r="B881" i="55"/>
  <c r="B526" i="55"/>
  <c r="B627" i="55"/>
  <c r="B1538" i="55"/>
  <c r="C517" i="55"/>
  <c r="B1499" i="55"/>
  <c r="B1552" i="55"/>
  <c r="B547" i="55"/>
  <c r="C1643" i="55"/>
  <c r="B528" i="55"/>
  <c r="B467" i="55"/>
  <c r="B1727" i="55"/>
  <c r="B628" i="55"/>
  <c r="B573" i="55"/>
  <c r="B1809" i="55"/>
  <c r="B461" i="55"/>
  <c r="B1559" i="55"/>
  <c r="B1765" i="55"/>
  <c r="B1497" i="55"/>
  <c r="B1810" i="55"/>
  <c r="B634" i="55"/>
  <c r="B412" i="55"/>
  <c r="B1154" i="55"/>
  <c r="B750" i="55"/>
  <c r="B2583" i="55"/>
  <c r="B818" i="55"/>
  <c r="B1734" i="55"/>
  <c r="B413" i="55"/>
  <c r="C1548" i="55"/>
  <c r="B1748" i="55"/>
  <c r="B684" i="55"/>
  <c r="B1518" i="55"/>
  <c r="B636" i="55"/>
  <c r="B1155" i="55"/>
  <c r="B523" i="55"/>
  <c r="B1752" i="55"/>
  <c r="B1223" i="55"/>
  <c r="B405" i="55"/>
  <c r="B813" i="55"/>
  <c r="B401" i="55"/>
  <c r="B417" i="55"/>
  <c r="B536" i="55"/>
  <c r="B1779" i="55"/>
  <c r="B1823" i="55"/>
  <c r="B403" i="55"/>
  <c r="B2571" i="55"/>
  <c r="C1260" i="55"/>
  <c r="B1800" i="55"/>
  <c r="B819" i="55"/>
  <c r="B742" i="55"/>
  <c r="B552" i="55"/>
  <c r="B1599" i="55"/>
  <c r="B1764" i="55"/>
  <c r="B1509" i="55"/>
  <c r="B1568" i="55"/>
  <c r="B1380" i="55"/>
  <c r="B1725" i="55"/>
  <c r="B398" i="55"/>
  <c r="B642" i="55"/>
  <c r="B1384" i="55"/>
  <c r="B1735" i="55"/>
  <c r="B1799" i="55"/>
  <c r="B1520" i="55"/>
  <c r="B522" i="55"/>
  <c r="B530" i="55"/>
  <c r="B1792" i="55"/>
  <c r="B639" i="55"/>
  <c r="B1292" i="55"/>
  <c r="B1013" i="55"/>
  <c r="B1557" i="55"/>
  <c r="B1558" i="55"/>
  <c r="B430" i="55"/>
  <c r="B1721" i="55"/>
  <c r="B469" i="55"/>
  <c r="B663" i="55"/>
  <c r="B518" i="55"/>
  <c r="B1771" i="55"/>
  <c r="B414" i="55"/>
  <c r="B388" i="55"/>
  <c r="B544" i="55"/>
  <c r="B820" i="55"/>
  <c r="B672" i="55"/>
  <c r="B1012" i="55"/>
  <c r="B1723" i="55"/>
  <c r="B1018" i="55"/>
  <c r="B533" i="55"/>
  <c r="B882" i="55"/>
  <c r="B1515" i="55"/>
  <c r="B1761" i="55"/>
  <c r="B1496" i="55"/>
  <c r="B2813" i="55"/>
  <c r="B1575" i="55"/>
  <c r="B394" i="55"/>
  <c r="B1730" i="55"/>
  <c r="B527" i="55"/>
  <c r="B1600" i="55"/>
  <c r="B559" i="55"/>
  <c r="B1024" i="55"/>
  <c r="B671" i="55"/>
  <c r="B1534" i="55"/>
  <c r="B1590" i="55"/>
  <c r="B743" i="55"/>
  <c r="B468" i="55"/>
  <c r="B1379" i="55"/>
  <c r="B1502" i="55"/>
  <c r="C1088" i="55"/>
  <c r="B1517" i="55"/>
  <c r="B525" i="55"/>
  <c r="B883" i="55"/>
  <c r="B1812" i="55"/>
  <c r="BB390" i="49" l="1"/>
  <c r="BC390" i="49"/>
  <c r="BH390" i="49"/>
  <c r="BA390" i="49"/>
  <c r="BJ390" i="49"/>
  <c r="BE390" i="49"/>
  <c r="BF390" i="49"/>
  <c r="BG390" i="49"/>
  <c r="BD390" i="49"/>
  <c r="I41" i="49"/>
  <c r="I105" i="38"/>
  <c r="B2481" i="55"/>
  <c r="F42" i="49" l="1"/>
  <c r="I77" i="4"/>
  <c r="H77" i="4"/>
  <c r="E65" i="55" s="1"/>
  <c r="H79" i="4"/>
  <c r="E67" i="55" s="1"/>
  <c r="H80" i="4"/>
  <c r="E68" i="55" s="1"/>
  <c r="H81" i="4"/>
  <c r="E69" i="55" s="1"/>
  <c r="H82" i="4"/>
  <c r="E70" i="55" s="1"/>
  <c r="H83" i="4"/>
  <c r="E71" i="55" s="1"/>
  <c r="H84" i="4"/>
  <c r="E72" i="55" s="1"/>
  <c r="H85" i="4"/>
  <c r="E73" i="55" s="1"/>
  <c r="H86" i="4"/>
  <c r="E74" i="55" s="1"/>
  <c r="I86" i="4"/>
  <c r="I79" i="4"/>
  <c r="I80" i="4"/>
  <c r="I81" i="4"/>
  <c r="I82" i="4"/>
  <c r="I83" i="4"/>
  <c r="I84" i="4"/>
  <c r="I85" i="4"/>
  <c r="H625" i="55" l="1"/>
  <c r="F71" i="55"/>
  <c r="F70" i="55"/>
  <c r="F73" i="55"/>
  <c r="F69" i="55"/>
  <c r="F68" i="55"/>
  <c r="F67" i="55"/>
  <c r="F74" i="55"/>
  <c r="F72" i="55"/>
  <c r="F65" i="55"/>
  <c r="G77" i="4"/>
  <c r="G86" i="4"/>
  <c r="G85" i="4"/>
  <c r="G84" i="4"/>
  <c r="G83" i="4"/>
  <c r="G82" i="4"/>
  <c r="G81" i="4"/>
  <c r="G80" i="4"/>
  <c r="G79" i="4"/>
  <c r="C2153" i="55"/>
  <c r="C2906" i="55"/>
  <c r="C2575" i="55"/>
  <c r="C776" i="55"/>
  <c r="C2068" i="55"/>
  <c r="C2216" i="55"/>
  <c r="C1268" i="55"/>
  <c r="C2320" i="55"/>
  <c r="C1790" i="55"/>
  <c r="C2642" i="55"/>
  <c r="C1623" i="55"/>
  <c r="C276" i="55"/>
  <c r="C32" i="55"/>
  <c r="C884" i="55"/>
  <c r="C1880" i="55"/>
  <c r="C1477" i="55"/>
  <c r="C1434" i="55"/>
  <c r="C2382" i="55"/>
  <c r="C2076" i="55"/>
  <c r="C1904" i="55"/>
  <c r="C1888" i="55"/>
  <c r="J625" i="55" l="1"/>
  <c r="K625" i="55"/>
  <c r="D71" i="55"/>
  <c r="D72" i="55"/>
  <c r="D70" i="55"/>
  <c r="D69" i="55"/>
  <c r="D74" i="55"/>
  <c r="D73" i="55"/>
  <c r="D67" i="55"/>
  <c r="D65" i="55"/>
  <c r="D68" i="55"/>
  <c r="E103" i="34"/>
  <c r="C1021" i="55"/>
  <c r="C1907" i="55"/>
  <c r="C628" i="55"/>
  <c r="C1354" i="55"/>
  <c r="C1089" i="55"/>
  <c r="C1171" i="55"/>
  <c r="C638" i="55"/>
  <c r="C1400" i="55"/>
  <c r="C1769" i="55"/>
  <c r="C1390" i="55"/>
  <c r="C346" i="55"/>
  <c r="C2533" i="55"/>
  <c r="C2706" i="55"/>
  <c r="C1350" i="55"/>
  <c r="C2771" i="55"/>
  <c r="C2646" i="55"/>
  <c r="C709" i="55"/>
  <c r="C1743" i="55"/>
  <c r="C109" i="55"/>
  <c r="C2237" i="55"/>
  <c r="C2195" i="55"/>
  <c r="C384" i="55"/>
  <c r="C1198" i="55"/>
  <c r="C1506" i="55"/>
  <c r="C1149" i="55"/>
  <c r="C1969" i="55"/>
  <c r="C1448" i="55"/>
  <c r="C569" i="55"/>
  <c r="C46" i="55"/>
  <c r="C1627" i="55"/>
  <c r="C1739" i="55"/>
  <c r="C547" i="55"/>
  <c r="C1653" i="55"/>
  <c r="C1272" i="55"/>
  <c r="C2453" i="55"/>
  <c r="C706" i="55"/>
  <c r="C1093" i="55"/>
  <c r="C1966" i="55"/>
  <c r="C2141" i="55"/>
  <c r="C2637" i="55"/>
  <c r="C1411" i="55"/>
  <c r="C2529" i="55"/>
  <c r="C2327" i="55"/>
  <c r="C598" i="55"/>
  <c r="C1942" i="55"/>
  <c r="C2006" i="55"/>
  <c r="C1222" i="55"/>
  <c r="C2447" i="55"/>
  <c r="C2638" i="55"/>
  <c r="C1173" i="55"/>
  <c r="C1538" i="55"/>
  <c r="C2492" i="55"/>
  <c r="C306" i="55"/>
  <c r="C2483" i="55"/>
  <c r="C1493" i="55"/>
  <c r="C1923" i="55"/>
  <c r="C1336" i="55"/>
  <c r="C2028" i="55"/>
  <c r="C2428" i="55"/>
  <c r="C2775" i="55"/>
  <c r="C807" i="55"/>
  <c r="C719" i="55"/>
  <c r="C1800" i="55"/>
  <c r="C1425" i="55"/>
  <c r="C285" i="55"/>
  <c r="C270" i="55"/>
  <c r="C2475" i="55"/>
  <c r="C2630" i="55"/>
  <c r="C1625" i="55"/>
  <c r="C2133" i="55"/>
  <c r="C2124" i="55"/>
  <c r="C1534" i="55"/>
  <c r="C184" i="55"/>
  <c r="C1536" i="55"/>
  <c r="C1355" i="55"/>
  <c r="C710" i="55"/>
  <c r="C85" i="55"/>
  <c r="C794" i="55"/>
  <c r="C1767" i="55"/>
  <c r="C1393" i="55"/>
  <c r="C856" i="55"/>
  <c r="C2578" i="55"/>
  <c r="C568" i="55"/>
  <c r="C2459" i="55"/>
  <c r="C2377" i="55"/>
  <c r="C861" i="55"/>
  <c r="C107" i="55"/>
  <c r="C2197" i="55"/>
  <c r="C2125" i="55"/>
  <c r="C213" i="55"/>
  <c r="C2051" i="55"/>
  <c r="C2345" i="55"/>
  <c r="C1347" i="55"/>
  <c r="C111" i="55"/>
  <c r="C2484" i="55"/>
  <c r="C2155" i="55"/>
  <c r="C2617" i="55"/>
  <c r="C2793" i="55"/>
  <c r="C1059" i="55"/>
  <c r="C1169" i="55"/>
  <c r="C1094" i="55"/>
  <c r="C1934" i="55"/>
  <c r="C553" i="55"/>
  <c r="C104" i="55"/>
  <c r="C751" i="55"/>
  <c r="C2800" i="55"/>
  <c r="C1515" i="55"/>
  <c r="C2080" i="55"/>
  <c r="C1542" i="55"/>
  <c r="C1144" i="55"/>
  <c r="C342" i="55"/>
  <c r="C1394" i="55"/>
  <c r="C1118" i="55"/>
  <c r="C741" i="55"/>
  <c r="C2863" i="55"/>
  <c r="C2498" i="55"/>
  <c r="C2769" i="55"/>
  <c r="C2534" i="55"/>
  <c r="C789" i="55"/>
  <c r="C1475" i="55"/>
  <c r="C1853" i="55"/>
  <c r="C1328" i="55"/>
  <c r="C653" i="55"/>
  <c r="C99" i="55"/>
  <c r="C1242" i="55"/>
  <c r="C1804" i="55"/>
  <c r="C2318" i="55"/>
  <c r="C1330" i="55"/>
  <c r="C1874" i="55"/>
  <c r="C2291" i="55"/>
  <c r="C722" i="55"/>
  <c r="C194" i="55"/>
  <c r="C527" i="55"/>
  <c r="C1621" i="55"/>
  <c r="C817" i="55"/>
  <c r="C1591" i="55"/>
  <c r="C2884" i="55"/>
  <c r="C1900" i="55"/>
  <c r="C2707" i="55"/>
  <c r="C1492" i="55"/>
  <c r="C1859" i="55"/>
  <c r="C1402" i="55"/>
  <c r="C2745" i="55"/>
  <c r="C2284" i="55"/>
  <c r="C1205" i="55"/>
  <c r="C339" i="55"/>
  <c r="C328" i="55"/>
  <c r="C850" i="55"/>
  <c r="C2263" i="55"/>
  <c r="C395" i="55"/>
  <c r="C1404" i="55"/>
  <c r="C323" i="55"/>
  <c r="C2273" i="55"/>
  <c r="C700" i="55"/>
  <c r="C2025" i="55"/>
  <c r="C2616" i="55"/>
  <c r="C735" i="55"/>
  <c r="C670" i="55"/>
  <c r="C65" i="55"/>
  <c r="C565" i="55"/>
  <c r="C401" i="55"/>
  <c r="C251" i="55"/>
  <c r="C2558" i="55"/>
  <c r="C80" i="55"/>
  <c r="C1998" i="55"/>
  <c r="C1768" i="55"/>
  <c r="C2848" i="55"/>
  <c r="C902" i="55"/>
  <c r="C2744" i="55"/>
  <c r="C1993" i="55"/>
  <c r="C2835" i="55"/>
  <c r="C560" i="55"/>
  <c r="C1317" i="55"/>
  <c r="C1385" i="55"/>
  <c r="C2328" i="55"/>
  <c r="C302" i="55"/>
  <c r="C1764" i="55"/>
  <c r="C190" i="55"/>
  <c r="C2786" i="55"/>
  <c r="C1326" i="55"/>
  <c r="C557" i="55"/>
  <c r="C1142" i="55"/>
  <c r="C1717" i="55"/>
  <c r="C1316" i="55"/>
  <c r="C2612" i="55"/>
  <c r="C1286" i="55"/>
  <c r="C1168" i="55"/>
  <c r="C139" i="55"/>
  <c r="C281" i="55"/>
  <c r="C119" i="55"/>
  <c r="C729" i="55"/>
  <c r="C1777" i="55"/>
  <c r="C2023" i="55"/>
  <c r="C1752" i="55"/>
  <c r="C45" i="55"/>
  <c r="C1291" i="55"/>
  <c r="C795" i="55"/>
  <c r="C2583" i="55"/>
  <c r="C79" i="55"/>
  <c r="C1496" i="55"/>
  <c r="C2477" i="55"/>
  <c r="C2576" i="55"/>
  <c r="C124" i="55"/>
  <c r="C866" i="55"/>
  <c r="C1044" i="55"/>
  <c r="C114" i="55"/>
  <c r="C2394" i="55"/>
  <c r="C2855" i="55"/>
  <c r="C786" i="55"/>
  <c r="C2411" i="55"/>
  <c r="C2355" i="55"/>
  <c r="C1032" i="55"/>
  <c r="C1498" i="55"/>
  <c r="C2878" i="55"/>
  <c r="C1948" i="55"/>
  <c r="C2600" i="55"/>
  <c r="C2423" i="55"/>
  <c r="C427" i="55"/>
  <c r="C1560" i="55"/>
  <c r="C2715" i="55"/>
  <c r="C2370" i="55"/>
  <c r="C2393" i="55"/>
  <c r="C1567" i="55"/>
  <c r="C2066" i="55"/>
  <c r="C1652" i="55"/>
  <c r="C1852" i="55"/>
  <c r="C633" i="55"/>
  <c r="C78" i="55"/>
  <c r="C1329" i="55"/>
  <c r="C2763" i="55"/>
  <c r="C1570" i="55"/>
  <c r="C327" i="55"/>
  <c r="C800" i="55"/>
  <c r="C916" i="55"/>
  <c r="C108" i="55"/>
  <c r="C1770" i="55"/>
  <c r="C145" i="55"/>
  <c r="C2709" i="55"/>
  <c r="C1523" i="55"/>
  <c r="G80" i="33" l="1"/>
  <c r="G77" i="33"/>
  <c r="C1897" i="55"/>
  <c r="C192" i="55"/>
  <c r="C851" i="55"/>
  <c r="C2202" i="55"/>
  <c r="C2014" i="55"/>
  <c r="C1060" i="55"/>
  <c r="C2398" i="55"/>
  <c r="C87" i="55"/>
  <c r="C2595" i="55"/>
  <c r="C1838" i="55"/>
  <c r="C2112" i="55"/>
  <c r="C1882" i="55"/>
  <c r="C798" i="55"/>
  <c r="C1779" i="55"/>
  <c r="C2046" i="55"/>
  <c r="C1277" i="55"/>
  <c r="C879" i="55"/>
  <c r="C2551" i="55"/>
  <c r="C1577" i="55"/>
  <c r="C2836" i="55"/>
  <c r="C2137" i="55"/>
  <c r="C1991" i="55"/>
  <c r="K68" i="33" l="1"/>
  <c r="K71" i="33"/>
  <c r="K74" i="33"/>
  <c r="K77" i="33"/>
  <c r="K80" i="33"/>
  <c r="G71" i="33"/>
  <c r="G74" i="33"/>
  <c r="L77" i="33" l="1"/>
  <c r="L71" i="33"/>
  <c r="L80" i="33"/>
  <c r="L74" i="33"/>
  <c r="L68" i="33"/>
  <c r="H78" i="4" l="1"/>
  <c r="E66" i="55" s="1"/>
  <c r="C1082" i="55"/>
  <c r="C2877" i="55"/>
  <c r="C392" i="55"/>
  <c r="C2357" i="55"/>
  <c r="C1781" i="55"/>
  <c r="C1301" i="55"/>
  <c r="C199" i="55"/>
  <c r="C733" i="55"/>
  <c r="C787" i="55"/>
  <c r="C2220" i="55"/>
  <c r="C698" i="55"/>
  <c r="C1464" i="55"/>
  <c r="C73" i="55"/>
  <c r="C54" i="55"/>
  <c r="C386" i="55"/>
  <c r="C1096" i="55"/>
  <c r="C797" i="55"/>
  <c r="C1106" i="55"/>
  <c r="C695" i="55"/>
  <c r="C1100" i="55"/>
  <c r="C632" i="55"/>
  <c r="C659" i="55"/>
  <c r="C1319" i="55"/>
  <c r="C2363" i="55"/>
  <c r="C1014" i="55"/>
  <c r="C1209" i="55"/>
  <c r="C636" i="55"/>
  <c r="C530" i="55"/>
  <c r="C1930" i="55"/>
  <c r="C1488" i="55"/>
  <c r="C2858" i="55"/>
  <c r="C463" i="55"/>
  <c r="C1441" i="55"/>
  <c r="C1987" i="55"/>
  <c r="C2180" i="55"/>
  <c r="C2215" i="55"/>
  <c r="C144" i="55"/>
  <c r="C1780" i="55"/>
  <c r="C1280" i="55"/>
  <c r="G78" i="4" l="1"/>
  <c r="I78" i="4"/>
  <c r="J65" i="34"/>
  <c r="I65" i="34"/>
  <c r="F65" i="34"/>
  <c r="E65" i="34"/>
  <c r="C1785" i="55"/>
  <c r="C688" i="55"/>
  <c r="C2336" i="55"/>
  <c r="C1919" i="55"/>
  <c r="C1012" i="55"/>
  <c r="C731" i="55"/>
  <c r="C58" i="55"/>
  <c r="C793" i="55"/>
  <c r="C110" i="55"/>
  <c r="C2822" i="55"/>
  <c r="C2510" i="55"/>
  <c r="C1073" i="55"/>
  <c r="C2168" i="55"/>
  <c r="C2451" i="55"/>
  <c r="C1723" i="55"/>
  <c r="C2335" i="55"/>
  <c r="C477" i="55"/>
  <c r="C49" i="55"/>
  <c r="C2563" i="55"/>
  <c r="C1410" i="55"/>
  <c r="C2889" i="55"/>
  <c r="C2316" i="55"/>
  <c r="C424" i="55"/>
  <c r="C210" i="55"/>
  <c r="C2149" i="55"/>
  <c r="C2524" i="55"/>
  <c r="C2758" i="55"/>
  <c r="C2020" i="55"/>
  <c r="C273" i="55"/>
  <c r="C2317" i="55"/>
  <c r="C142" i="55"/>
  <c r="C2222" i="55"/>
  <c r="C571" i="55"/>
  <c r="C2163" i="55"/>
  <c r="C2586" i="55"/>
  <c r="C1551" i="55"/>
  <c r="C1235" i="55"/>
  <c r="C390" i="55"/>
  <c r="C1147" i="55"/>
  <c r="C2480" i="55"/>
  <c r="C1333" i="55"/>
  <c r="C2552" i="55"/>
  <c r="C2267" i="55"/>
  <c r="C1520" i="55"/>
  <c r="C2177" i="55"/>
  <c r="C2128" i="55"/>
  <c r="C293" i="55"/>
  <c r="C129" i="55"/>
  <c r="C2011" i="55"/>
  <c r="C1733" i="55"/>
  <c r="C2486" i="55"/>
  <c r="C2725" i="55"/>
  <c r="C936" i="55"/>
  <c r="C2059" i="55"/>
  <c r="C1323" i="55"/>
  <c r="C847" i="55"/>
  <c r="C2280" i="55"/>
  <c r="C2010" i="55"/>
  <c r="C1951" i="55"/>
  <c r="C2736" i="55"/>
  <c r="C2640" i="55"/>
  <c r="C1387" i="55"/>
  <c r="C2735" i="55"/>
  <c r="C2536" i="55"/>
  <c r="C1322" i="55"/>
  <c r="C2462" i="55"/>
  <c r="C2130" i="55"/>
  <c r="C1274" i="55"/>
  <c r="C1279" i="55"/>
  <c r="C1324" i="55"/>
  <c r="C1949" i="55"/>
  <c r="C2643" i="55"/>
  <c r="C1234" i="55"/>
  <c r="C44" i="55"/>
  <c r="C932" i="55"/>
  <c r="C674" i="55"/>
  <c r="C644" i="55"/>
  <c r="C1945" i="55"/>
  <c r="C1208" i="55"/>
  <c r="C38" i="55"/>
  <c r="C2122" i="55"/>
  <c r="C573" i="55"/>
  <c r="C1735" i="55"/>
  <c r="C822" i="55"/>
  <c r="C725" i="55"/>
  <c r="C1608" i="55"/>
  <c r="C336" i="55"/>
  <c r="C2440" i="55"/>
  <c r="C1744" i="55"/>
  <c r="C1602" i="55"/>
  <c r="C2811" i="55"/>
  <c r="C1787" i="55"/>
  <c r="C727" i="55"/>
  <c r="C2408" i="55"/>
  <c r="C2314" i="55"/>
  <c r="C2845" i="55"/>
  <c r="C561" i="55"/>
  <c r="C2412" i="55"/>
  <c r="C1754" i="55"/>
  <c r="D66" i="55" l="1"/>
  <c r="F66" i="55"/>
  <c r="N80" i="33" l="1"/>
  <c r="N77" i="33"/>
  <c r="N74" i="33"/>
  <c r="N71" i="33"/>
  <c r="AM134" i="4" l="1"/>
  <c r="M134" i="4" s="1"/>
  <c r="AM125" i="4"/>
  <c r="M125" i="4" s="1"/>
  <c r="AM124" i="4"/>
  <c r="M124" i="4" s="1"/>
  <c r="AM123" i="4"/>
  <c r="M123" i="4" s="1"/>
  <c r="AM121" i="4"/>
  <c r="M121" i="4" s="1"/>
  <c r="H103" i="4"/>
  <c r="H63" i="4"/>
  <c r="E52" i="55" s="1"/>
  <c r="G103" i="4" l="1"/>
  <c r="E90" i="55"/>
  <c r="G116" i="55"/>
  <c r="G112" i="55"/>
  <c r="G114" i="55"/>
  <c r="G115" i="55"/>
  <c r="G122" i="55"/>
  <c r="I69" i="4"/>
  <c r="I103" i="4"/>
  <c r="G69" i="4"/>
  <c r="F57" i="55" l="1"/>
  <c r="F90" i="55"/>
  <c r="D90" i="55"/>
  <c r="D57" i="55"/>
  <c r="I85" i="38" l="1"/>
  <c r="I87" i="38"/>
  <c r="I83" i="38"/>
  <c r="I82" i="38"/>
  <c r="I81" i="38"/>
  <c r="I80" i="38"/>
  <c r="I79" i="38"/>
  <c r="I78" i="38"/>
  <c r="I77" i="38"/>
  <c r="I76" i="38"/>
  <c r="I75" i="38"/>
  <c r="I74" i="38"/>
  <c r="I45" i="38"/>
  <c r="I46" i="38"/>
  <c r="I47" i="38"/>
  <c r="I48" i="38"/>
  <c r="I49" i="38"/>
  <c r="I50" i="38"/>
  <c r="I51" i="38"/>
  <c r="I52" i="38"/>
  <c r="I53" i="38"/>
  <c r="I54" i="38"/>
  <c r="G55" i="38"/>
  <c r="B2460" i="55"/>
  <c r="B2433" i="55"/>
  <c r="B2431" i="55"/>
  <c r="B2458" i="55"/>
  <c r="B2457" i="55"/>
  <c r="B2428" i="55"/>
  <c r="B2434" i="55"/>
  <c r="B2466" i="55"/>
  <c r="B2436" i="55"/>
  <c r="B2430" i="55"/>
  <c r="B2461" i="55"/>
  <c r="B2455" i="55"/>
  <c r="B2429" i="55"/>
  <c r="B2464" i="55"/>
  <c r="B2453" i="55"/>
  <c r="B2432" i="55"/>
  <c r="B2335" i="55"/>
  <c r="B2456" i="55"/>
  <c r="B2459" i="55"/>
  <c r="B2435" i="55"/>
  <c r="B2427" i="55"/>
  <c r="B2454" i="55"/>
  <c r="B2462" i="55"/>
  <c r="I44" i="38" l="1"/>
  <c r="I73" i="38"/>
  <c r="A324" i="45"/>
  <c r="A318" i="45"/>
  <c r="B2426" i="55"/>
  <c r="B2452" i="55"/>
  <c r="G88" i="38" l="1"/>
  <c r="I72" i="38"/>
  <c r="I43" i="38"/>
  <c r="B2451" i="55"/>
  <c r="B2425" i="55"/>
  <c r="B2363" i="55"/>
  <c r="I42" i="38" l="1"/>
  <c r="I71" i="38"/>
  <c r="G43" i="34"/>
  <c r="K43" i="34"/>
  <c r="I41" i="38" l="1"/>
  <c r="I70" i="38"/>
  <c r="L43" i="34"/>
  <c r="I69" i="38" l="1"/>
  <c r="I40" i="38"/>
  <c r="I68" i="38" l="1"/>
  <c r="I39" i="38"/>
  <c r="I67" i="38" l="1"/>
  <c r="I38" i="38"/>
  <c r="I37" i="38" l="1"/>
  <c r="I66" i="38"/>
  <c r="I50" i="34"/>
  <c r="J50" i="34"/>
  <c r="F50" i="34"/>
  <c r="E50" i="34"/>
  <c r="G49" i="34"/>
  <c r="I65" i="38" l="1"/>
  <c r="I36" i="38"/>
  <c r="L49" i="34"/>
  <c r="O49" i="34" l="1"/>
  <c r="Q49" i="34" s="1"/>
  <c r="I60" i="36"/>
  <c r="I35" i="38"/>
  <c r="I64" i="38"/>
  <c r="N49" i="34" l="1"/>
  <c r="E1458" i="55"/>
  <c r="I63" i="38"/>
  <c r="I34" i="38"/>
  <c r="F1458" i="55" l="1"/>
  <c r="D1458" i="55"/>
  <c r="I62" i="38"/>
  <c r="H55" i="38"/>
  <c r="I33" i="38"/>
  <c r="I61" i="38" l="1"/>
  <c r="I84" i="38" l="1"/>
  <c r="D129" i="36"/>
  <c r="D116" i="36"/>
  <c r="I86" i="38" l="1"/>
  <c r="H88" i="38"/>
  <c r="I88" i="38" l="1"/>
  <c r="B2467" i="55" s="1"/>
  <c r="Q71" i="33" l="1"/>
  <c r="Q74" i="33" s="1"/>
  <c r="Q77" i="33" s="1"/>
  <c r="Q80" i="33" s="1"/>
  <c r="BL539" i="4" l="1"/>
  <c r="H68" i="4" l="1"/>
  <c r="F182" i="4"/>
  <c r="E56" i="55" l="1"/>
  <c r="G50" i="34"/>
  <c r="K50" i="34"/>
  <c r="L50" i="34" l="1"/>
  <c r="O50" i="34" l="1"/>
  <c r="E1459" i="55" s="1"/>
  <c r="J53" i="35"/>
  <c r="I53" i="35"/>
  <c r="F53" i="35"/>
  <c r="E53" i="35"/>
  <c r="Q50" i="34" l="1"/>
  <c r="N50" i="34"/>
  <c r="D1459" i="55" l="1"/>
  <c r="F1459" i="55"/>
  <c r="K47" i="35" l="1"/>
  <c r="G47" i="35"/>
  <c r="L47" i="35" l="1"/>
  <c r="K67" i="33" l="1"/>
  <c r="G67" i="33"/>
  <c r="L67" i="33" l="1"/>
  <c r="G115" i="35" l="1"/>
  <c r="K115" i="35"/>
  <c r="G117" i="35"/>
  <c r="K117" i="35"/>
  <c r="G120" i="35"/>
  <c r="K120" i="35"/>
  <c r="G121" i="35"/>
  <c r="K121" i="35"/>
  <c r="G123" i="35"/>
  <c r="K123" i="35"/>
  <c r="G125" i="35"/>
  <c r="K125" i="35"/>
  <c r="G126" i="35"/>
  <c r="K126" i="35"/>
  <c r="G127" i="35"/>
  <c r="K127" i="35"/>
  <c r="G129" i="35"/>
  <c r="K129" i="35"/>
  <c r="G98" i="33"/>
  <c r="K98" i="33"/>
  <c r="G99" i="33"/>
  <c r="K99" i="33"/>
  <c r="G100" i="33"/>
  <c r="K100" i="33"/>
  <c r="G101" i="33"/>
  <c r="K101" i="33"/>
  <c r="G102" i="33"/>
  <c r="K102" i="33"/>
  <c r="G103" i="33"/>
  <c r="K103" i="33"/>
  <c r="G104" i="33"/>
  <c r="K104" i="33"/>
  <c r="G105" i="33"/>
  <c r="K105" i="33"/>
  <c r="G106" i="33"/>
  <c r="K106" i="33"/>
  <c r="G107" i="33"/>
  <c r="K107" i="33"/>
  <c r="G108" i="33"/>
  <c r="K108" i="33"/>
  <c r="G109" i="33"/>
  <c r="K109" i="33"/>
  <c r="G110" i="33"/>
  <c r="K110" i="33"/>
  <c r="G111" i="33"/>
  <c r="K111" i="33"/>
  <c r="G112" i="33"/>
  <c r="K112" i="33"/>
  <c r="G113" i="33"/>
  <c r="K113" i="33"/>
  <c r="G114" i="33"/>
  <c r="K114" i="33"/>
  <c r="G115" i="33"/>
  <c r="K115" i="33"/>
  <c r="G116" i="33"/>
  <c r="K116" i="33"/>
  <c r="G117" i="33"/>
  <c r="K117" i="33"/>
  <c r="G118" i="33"/>
  <c r="K118" i="33"/>
  <c r="G119" i="33"/>
  <c r="K119" i="33"/>
  <c r="G40" i="33"/>
  <c r="K40" i="33"/>
  <c r="G41" i="33"/>
  <c r="K41" i="33"/>
  <c r="K67" i="35"/>
  <c r="G67" i="35"/>
  <c r="K51" i="35"/>
  <c r="G51" i="35"/>
  <c r="A2" i="45"/>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5" i="45"/>
  <c r="A86" i="45"/>
  <c r="A87" i="45"/>
  <c r="A88"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6" i="45"/>
  <c r="A147" i="45"/>
  <c r="A148" i="45"/>
  <c r="A149" i="45"/>
  <c r="A150" i="45"/>
  <c r="A151" i="45"/>
  <c r="A152" i="45"/>
  <c r="A153" i="45"/>
  <c r="A154" i="45"/>
  <c r="A155" i="45"/>
  <c r="A156" i="45"/>
  <c r="A157" i="45"/>
  <c r="A158" i="45"/>
  <c r="A159" i="45"/>
  <c r="A160"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1" i="45"/>
  <c r="A302" i="45"/>
  <c r="A303" i="45"/>
  <c r="A304" i="45"/>
  <c r="A305" i="45"/>
  <c r="A306" i="45"/>
  <c r="A308" i="45"/>
  <c r="A309" i="45"/>
  <c r="A310" i="45"/>
  <c r="A311" i="45"/>
  <c r="A312" i="45"/>
  <c r="A313" i="45"/>
  <c r="A314" i="45"/>
  <c r="A315" i="45"/>
  <c r="A316" i="45"/>
  <c r="A319" i="45"/>
  <c r="A320" i="45"/>
  <c r="A321" i="45"/>
  <c r="A323"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BF549" i="4"/>
  <c r="BJ549" i="4"/>
  <c r="G56" i="33"/>
  <c r="K56" i="33"/>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G32" i="10"/>
  <c r="G33" i="10"/>
  <c r="K33" i="10"/>
  <c r="G34" i="10"/>
  <c r="K34" i="10"/>
  <c r="G35" i="10"/>
  <c r="K37" i="10"/>
  <c r="G38" i="10"/>
  <c r="K38" i="10"/>
  <c r="K32" i="32"/>
  <c r="G33" i="32"/>
  <c r="K33" i="32"/>
  <c r="G36" i="32"/>
  <c r="K36" i="32"/>
  <c r="G37" i="32"/>
  <c r="K37" i="32"/>
  <c r="G38" i="32"/>
  <c r="K38" i="32"/>
  <c r="G39" i="32"/>
  <c r="K39" i="32"/>
  <c r="G40" i="32"/>
  <c r="K40" i="32"/>
  <c r="G41" i="32"/>
  <c r="K41" i="32"/>
  <c r="G42" i="32"/>
  <c r="K42" i="32"/>
  <c r="G46" i="32"/>
  <c r="K46" i="32"/>
  <c r="G47" i="32"/>
  <c r="K47" i="32"/>
  <c r="G48" i="32"/>
  <c r="G49" i="32"/>
  <c r="K49" i="32"/>
  <c r="G52" i="32"/>
  <c r="G53" i="32"/>
  <c r="K53" i="32"/>
  <c r="G56" i="32"/>
  <c r="K56" i="32"/>
  <c r="G57" i="32"/>
  <c r="K57" i="32"/>
  <c r="G58" i="32"/>
  <c r="K58" i="32"/>
  <c r="G59" i="32"/>
  <c r="K59" i="32"/>
  <c r="G60" i="32"/>
  <c r="K60" i="32"/>
  <c r="G61" i="32"/>
  <c r="K61" i="32"/>
  <c r="G63" i="32"/>
  <c r="K63" i="32"/>
  <c r="K32" i="33"/>
  <c r="G33" i="33"/>
  <c r="K33" i="33"/>
  <c r="G38" i="33"/>
  <c r="K38" i="33"/>
  <c r="G39" i="33"/>
  <c r="K39" i="33"/>
  <c r="G42" i="33"/>
  <c r="K42" i="33"/>
  <c r="G43" i="33"/>
  <c r="K43" i="33"/>
  <c r="G55" i="33"/>
  <c r="K55" i="33"/>
  <c r="G57" i="33"/>
  <c r="K57" i="33"/>
  <c r="G58" i="33"/>
  <c r="K58" i="33"/>
  <c r="G59" i="33"/>
  <c r="K59" i="33"/>
  <c r="G60" i="33"/>
  <c r="K60" i="33"/>
  <c r="G61" i="33"/>
  <c r="K61" i="33"/>
  <c r="G62" i="33"/>
  <c r="K62" i="33"/>
  <c r="G63" i="33"/>
  <c r="K63" i="33"/>
  <c r="G64" i="33"/>
  <c r="K64" i="33"/>
  <c r="G65" i="33"/>
  <c r="K65" i="33"/>
  <c r="G66" i="33"/>
  <c r="G32" i="34"/>
  <c r="G34" i="34"/>
  <c r="G37" i="34"/>
  <c r="K37" i="34"/>
  <c r="G38" i="34"/>
  <c r="G41" i="34"/>
  <c r="K41" i="34"/>
  <c r="G42" i="34"/>
  <c r="K42" i="34"/>
  <c r="G44" i="34"/>
  <c r="K44" i="34"/>
  <c r="G45" i="34"/>
  <c r="K45" i="34"/>
  <c r="G46" i="34"/>
  <c r="K46" i="34"/>
  <c r="G47" i="34"/>
  <c r="G48" i="34"/>
  <c r="K48" i="34"/>
  <c r="G53" i="34"/>
  <c r="K53" i="34"/>
  <c r="G54" i="34"/>
  <c r="K54" i="34"/>
  <c r="G55" i="34"/>
  <c r="K55" i="34"/>
  <c r="G56" i="34"/>
  <c r="K56" i="34"/>
  <c r="G59" i="34"/>
  <c r="K59" i="34"/>
  <c r="G62" i="34"/>
  <c r="K62" i="34"/>
  <c r="G63" i="34"/>
  <c r="K63" i="34"/>
  <c r="G33" i="35"/>
  <c r="K33" i="35"/>
  <c r="G34" i="35"/>
  <c r="K34" i="35"/>
  <c r="G35" i="35"/>
  <c r="K35" i="35"/>
  <c r="G36" i="35"/>
  <c r="K36" i="35"/>
  <c r="G37" i="35"/>
  <c r="K37" i="35"/>
  <c r="G40" i="35"/>
  <c r="K40" i="35"/>
  <c r="G41" i="35"/>
  <c r="G42" i="35"/>
  <c r="K42" i="35"/>
  <c r="G43" i="35"/>
  <c r="K43" i="35"/>
  <c r="G45" i="35"/>
  <c r="K45" i="35"/>
  <c r="G49" i="35"/>
  <c r="K49" i="35"/>
  <c r="G64" i="35"/>
  <c r="K64" i="35"/>
  <c r="G68" i="35"/>
  <c r="K68" i="35"/>
  <c r="G69" i="35"/>
  <c r="K69" i="35"/>
  <c r="G70" i="35"/>
  <c r="K70" i="35"/>
  <c r="G71" i="35"/>
  <c r="K71" i="35"/>
  <c r="G72" i="35"/>
  <c r="K72" i="35"/>
  <c r="G73" i="35"/>
  <c r="K73" i="35"/>
  <c r="G74" i="35"/>
  <c r="K74" i="35"/>
  <c r="G75" i="35"/>
  <c r="K75" i="35"/>
  <c r="G76" i="35"/>
  <c r="K76" i="35"/>
  <c r="G77" i="35"/>
  <c r="K77" i="35"/>
  <c r="G78" i="35"/>
  <c r="K78" i="35"/>
  <c r="G81" i="35"/>
  <c r="K81" i="35"/>
  <c r="G82" i="35"/>
  <c r="K82" i="35"/>
  <c r="G83" i="35"/>
  <c r="K83" i="35"/>
  <c r="G86" i="35"/>
  <c r="K86" i="35"/>
  <c r="G87" i="35"/>
  <c r="K87" i="35"/>
  <c r="G88" i="35"/>
  <c r="K88" i="35"/>
  <c r="G89" i="35"/>
  <c r="K89" i="35"/>
  <c r="G91" i="35"/>
  <c r="K91" i="35"/>
  <c r="G94" i="35"/>
  <c r="K94" i="35"/>
  <c r="G97" i="35"/>
  <c r="K97" i="35"/>
  <c r="G98" i="35"/>
  <c r="K98" i="35"/>
  <c r="G99" i="35"/>
  <c r="K99" i="35"/>
  <c r="G100" i="35"/>
  <c r="K100" i="35"/>
  <c r="G101" i="35"/>
  <c r="K101" i="35"/>
  <c r="G102" i="35"/>
  <c r="K102" i="35"/>
  <c r="G33" i="37"/>
  <c r="H35" i="37" s="1"/>
  <c r="I35" i="37" s="1"/>
  <c r="K41" i="30"/>
  <c r="G43" i="37"/>
  <c r="K43" i="37"/>
  <c r="G44" i="37"/>
  <c r="K44" i="37"/>
  <c r="G45" i="37"/>
  <c r="K45" i="37"/>
  <c r="G57" i="37"/>
  <c r="K57" i="37"/>
  <c r="G62" i="37"/>
  <c r="K62" i="37"/>
  <c r="G63" i="37"/>
  <c r="K63" i="37"/>
  <c r="G64" i="37"/>
  <c r="G65" i="37"/>
  <c r="K65" i="37"/>
  <c r="G66" i="37"/>
  <c r="K66" i="37"/>
  <c r="G67" i="37"/>
  <c r="K67" i="37"/>
  <c r="G69" i="37"/>
  <c r="G72" i="37"/>
  <c r="K72" i="37"/>
  <c r="G73" i="37"/>
  <c r="K73" i="37"/>
  <c r="G75" i="37"/>
  <c r="K75" i="37"/>
  <c r="G77" i="37"/>
  <c r="K77" i="37"/>
  <c r="G79" i="37"/>
  <c r="K79" i="37"/>
  <c r="G81" i="37"/>
  <c r="K81" i="37"/>
  <c r="G83" i="37"/>
  <c r="K83" i="37"/>
  <c r="G84" i="37"/>
  <c r="K84" i="37"/>
  <c r="G87" i="37"/>
  <c r="K87" i="37"/>
  <c r="G88" i="37"/>
  <c r="K88" i="37"/>
  <c r="G89" i="37"/>
  <c r="K89" i="37"/>
  <c r="G91" i="37"/>
  <c r="J91" i="37"/>
  <c r="G131" i="37"/>
  <c r="K131" i="37"/>
  <c r="G132" i="37"/>
  <c r="K132" i="37"/>
  <c r="G133" i="37"/>
  <c r="K133" i="37"/>
  <c r="G134" i="37"/>
  <c r="K134" i="37"/>
  <c r="G135" i="37"/>
  <c r="K135" i="37"/>
  <c r="G136" i="37"/>
  <c r="K136" i="37"/>
  <c r="G137" i="37"/>
  <c r="K137" i="37"/>
  <c r="G138" i="37"/>
  <c r="K138" i="37"/>
  <c r="G139" i="37"/>
  <c r="K139" i="37"/>
  <c r="G140" i="37"/>
  <c r="K140" i="37"/>
  <c r="G141" i="37"/>
  <c r="K141" i="37"/>
  <c r="G142" i="37"/>
  <c r="K142" i="37"/>
  <c r="G143" i="37"/>
  <c r="K143" i="37"/>
  <c r="G144" i="37"/>
  <c r="K144" i="37"/>
  <c r="G145" i="37"/>
  <c r="K145" i="37"/>
  <c r="G146" i="37"/>
  <c r="K146" i="37"/>
  <c r="G147" i="37"/>
  <c r="K147" i="37"/>
  <c r="G148" i="37"/>
  <c r="K148" i="37"/>
  <c r="G149" i="37"/>
  <c r="K149" i="37"/>
  <c r="G150" i="37"/>
  <c r="K150"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H105" i="38"/>
  <c r="I55" i="38"/>
  <c r="J151" i="37"/>
  <c r="J46" i="37"/>
  <c r="I151" i="37"/>
  <c r="I93" i="37"/>
  <c r="I46" i="37"/>
  <c r="F151" i="37"/>
  <c r="F93" i="37"/>
  <c r="F46" i="37"/>
  <c r="E151" i="37"/>
  <c r="E121" i="37" s="1"/>
  <c r="E93" i="37"/>
  <c r="E46" i="37"/>
  <c r="J104" i="35"/>
  <c r="J131" i="35"/>
  <c r="I104" i="35"/>
  <c r="I131" i="35"/>
  <c r="F104" i="35"/>
  <c r="F131" i="35"/>
  <c r="E104" i="35"/>
  <c r="E131" i="35"/>
  <c r="E88" i="34"/>
  <c r="I37" i="30"/>
  <c r="E37" i="30"/>
  <c r="G141" i="33"/>
  <c r="K141" i="33"/>
  <c r="G139" i="33"/>
  <c r="K139" i="33"/>
  <c r="G98" i="32"/>
  <c r="K98" i="32"/>
  <c r="G97" i="32"/>
  <c r="K97" i="32"/>
  <c r="G96" i="32"/>
  <c r="K96" i="32"/>
  <c r="G84" i="32"/>
  <c r="K84" i="32"/>
  <c r="J65" i="32"/>
  <c r="F65" i="32"/>
  <c r="E65" i="32"/>
  <c r="H207" i="2"/>
  <c r="H146" i="2"/>
  <c r="J41" i="10"/>
  <c r="I41" i="10"/>
  <c r="F41" i="10"/>
  <c r="E41" i="10"/>
  <c r="J38" i="30"/>
  <c r="J41" i="30"/>
  <c r="I38" i="30"/>
  <c r="I41" i="30"/>
  <c r="F38" i="30"/>
  <c r="E41" i="30"/>
  <c r="F151" i="4"/>
  <c r="C52" i="44"/>
  <c r="B2684" i="55" s="1"/>
  <c r="C26" i="44"/>
  <c r="B2700" i="55" s="1"/>
  <c r="A1" i="44"/>
  <c r="B1" i="29"/>
  <c r="B99" i="38"/>
  <c r="B17" i="38"/>
  <c r="B10" i="38"/>
  <c r="B2" i="38"/>
  <c r="B17" i="37"/>
  <c r="B10" i="37"/>
  <c r="B2" i="37"/>
  <c r="B17" i="35"/>
  <c r="B10" i="35"/>
  <c r="B2" i="35"/>
  <c r="B17" i="34"/>
  <c r="B10" i="34"/>
  <c r="B17" i="33"/>
  <c r="B10" i="33"/>
  <c r="B2" i="33"/>
  <c r="O76" i="32"/>
  <c r="Q76" i="32" s="1"/>
  <c r="B17" i="32"/>
  <c r="B10" i="32"/>
  <c r="B2" i="32"/>
  <c r="B17" i="10"/>
  <c r="B10" i="10"/>
  <c r="B2" i="10"/>
  <c r="K64" i="2"/>
  <c r="J64" i="2"/>
  <c r="K63" i="2"/>
  <c r="J63" i="2"/>
  <c r="K62" i="2"/>
  <c r="J62" i="2"/>
  <c r="B17" i="2"/>
  <c r="B10" i="2"/>
  <c r="B2" i="2"/>
  <c r="B17" i="30"/>
  <c r="B10" i="30"/>
  <c r="B2" i="30"/>
  <c r="BN557" i="4"/>
  <c r="BM557" i="4"/>
  <c r="BK557" i="4"/>
  <c r="BJ557" i="4"/>
  <c r="BI557" i="4"/>
  <c r="BH557" i="4"/>
  <c r="BF557" i="4"/>
  <c r="BE557" i="4"/>
  <c r="BD557" i="4"/>
  <c r="BN556" i="4"/>
  <c r="BJ556" i="4"/>
  <c r="BI556" i="4"/>
  <c r="BF556" i="4"/>
  <c r="BE556" i="4"/>
  <c r="BD556" i="4"/>
  <c r="BN555" i="4"/>
  <c r="BJ555" i="4"/>
  <c r="BI555" i="4"/>
  <c r="BF555" i="4"/>
  <c r="BE555" i="4"/>
  <c r="BD555" i="4"/>
  <c r="BN554" i="4"/>
  <c r="BK554" i="4"/>
  <c r="BJ554" i="4"/>
  <c r="BI554" i="4"/>
  <c r="BF554" i="4"/>
  <c r="BE554" i="4"/>
  <c r="BD554" i="4"/>
  <c r="BN553" i="4"/>
  <c r="BM553" i="4"/>
  <c r="BJ553" i="4"/>
  <c r="BI553" i="4"/>
  <c r="BH553" i="4"/>
  <c r="BF553" i="4"/>
  <c r="BD553" i="4"/>
  <c r="BN552" i="4"/>
  <c r="BM552" i="4"/>
  <c r="BK552" i="4"/>
  <c r="BJ552" i="4"/>
  <c r="BI552" i="4"/>
  <c r="BH552" i="4"/>
  <c r="BF552" i="4"/>
  <c r="BE552" i="4"/>
  <c r="BD552" i="4"/>
  <c r="BN551" i="4"/>
  <c r="BJ551" i="4"/>
  <c r="BI551" i="4"/>
  <c r="BF551" i="4"/>
  <c r="BD551" i="4"/>
  <c r="BN549" i="4"/>
  <c r="BI549" i="4"/>
  <c r="BD549" i="4"/>
  <c r="BN547" i="4"/>
  <c r="BK547" i="4"/>
  <c r="BJ547" i="4"/>
  <c r="BI547" i="4"/>
  <c r="BF547" i="4"/>
  <c r="BD547" i="4"/>
  <c r="BN545" i="4"/>
  <c r="BM545" i="4"/>
  <c r="BK545" i="4"/>
  <c r="BJ545" i="4"/>
  <c r="BI545" i="4"/>
  <c r="BH545" i="4"/>
  <c r="BF545" i="4"/>
  <c r="BE545" i="4"/>
  <c r="BD545" i="4"/>
  <c r="BN544" i="4"/>
  <c r="BM544" i="4"/>
  <c r="BK544" i="4"/>
  <c r="BJ544" i="4"/>
  <c r="BI544" i="4"/>
  <c r="BH544" i="4"/>
  <c r="BF544" i="4"/>
  <c r="BE544" i="4"/>
  <c r="BD544" i="4"/>
  <c r="BN543" i="4"/>
  <c r="BM543" i="4"/>
  <c r="BK543" i="4"/>
  <c r="BJ543" i="4"/>
  <c r="BI543" i="4"/>
  <c r="BH543" i="4"/>
  <c r="BF543" i="4"/>
  <c r="BE543" i="4"/>
  <c r="BD543" i="4"/>
  <c r="BN542" i="4"/>
  <c r="BK542" i="4"/>
  <c r="BI542" i="4"/>
  <c r="BF542" i="4"/>
  <c r="BE542" i="4"/>
  <c r="BD542" i="4"/>
  <c r="BN541" i="4"/>
  <c r="BM541" i="4"/>
  <c r="BK541" i="4"/>
  <c r="BJ541" i="4"/>
  <c r="BI541" i="4"/>
  <c r="BH541" i="4"/>
  <c r="BF541" i="4"/>
  <c r="BE541" i="4"/>
  <c r="BD541" i="4"/>
  <c r="BN540" i="4"/>
  <c r="BM540" i="4"/>
  <c r="BK540" i="4"/>
  <c r="BJ540" i="4"/>
  <c r="BI540" i="4"/>
  <c r="BH540" i="4"/>
  <c r="BF540" i="4"/>
  <c r="BE540" i="4"/>
  <c r="BD540" i="4"/>
  <c r="BQ539" i="4"/>
  <c r="BP539" i="4"/>
  <c r="BO539" i="4"/>
  <c r="BN539" i="4"/>
  <c r="BM539" i="4"/>
  <c r="BK539" i="4"/>
  <c r="BJ539" i="4"/>
  <c r="BI539" i="4"/>
  <c r="BH539" i="4"/>
  <c r="BF539" i="4"/>
  <c r="BE539" i="4"/>
  <c r="BD539" i="4"/>
  <c r="BB539" i="4"/>
  <c r="BA539" i="4"/>
  <c r="AZ539" i="4"/>
  <c r="AY539" i="4"/>
  <c r="AX539" i="4"/>
  <c r="AW539" i="4"/>
  <c r="AV539" i="4"/>
  <c r="AU539" i="4"/>
  <c r="AT539" i="4"/>
  <c r="AS539" i="4"/>
  <c r="BQ537" i="4"/>
  <c r="BP537" i="4"/>
  <c r="BO537" i="4"/>
  <c r="BN537" i="4"/>
  <c r="BJ537" i="4"/>
  <c r="BI537" i="4"/>
  <c r="BH537" i="4"/>
  <c r="BF537" i="4"/>
  <c r="BE537" i="4"/>
  <c r="BD537" i="4"/>
  <c r="BB537" i="4"/>
  <c r="BA537" i="4"/>
  <c r="AZ537" i="4"/>
  <c r="AX537" i="4"/>
  <c r="AW537" i="4"/>
  <c r="AV537" i="4"/>
  <c r="AU537" i="4"/>
  <c r="AT537" i="4"/>
  <c r="AS537" i="4"/>
  <c r="I160" i="4"/>
  <c r="H160" i="4"/>
  <c r="E137" i="55" s="1"/>
  <c r="G151" i="4"/>
  <c r="G96" i="4"/>
  <c r="H91" i="4"/>
  <c r="G63" i="4"/>
  <c r="D52" i="55" s="1"/>
  <c r="B4" i="55"/>
  <c r="A1" i="26"/>
  <c r="G110" i="4"/>
  <c r="AD115" i="33" l="1"/>
  <c r="AD116" i="33"/>
  <c r="AE116" i="33"/>
  <c r="AD122" i="4"/>
  <c r="AD117" i="33"/>
  <c r="AE115" i="33"/>
  <c r="AE122" i="4"/>
  <c r="AE117" i="33"/>
  <c r="AD118" i="33"/>
  <c r="AE118" i="33"/>
  <c r="U95" i="4"/>
  <c r="U122" i="4"/>
  <c r="T95" i="4"/>
  <c r="T122" i="4"/>
  <c r="AD96" i="34"/>
  <c r="AD97" i="34"/>
  <c r="AE97" i="34"/>
  <c r="AE96" i="34"/>
  <c r="AD101" i="34"/>
  <c r="AE110" i="33"/>
  <c r="AD109" i="33"/>
  <c r="AE109" i="33"/>
  <c r="AD110" i="33"/>
  <c r="AD109" i="34"/>
  <c r="U175" i="4"/>
  <c r="T174" i="4"/>
  <c r="AD134" i="4"/>
  <c r="AD66" i="38"/>
  <c r="AD78" i="38"/>
  <c r="AD49" i="38"/>
  <c r="AD67" i="35"/>
  <c r="AD129" i="35"/>
  <c r="AD81" i="34"/>
  <c r="AD59" i="33"/>
  <c r="AD136" i="33"/>
  <c r="AD63" i="32"/>
  <c r="U180" i="4"/>
  <c r="T104" i="4"/>
  <c r="AD68" i="35"/>
  <c r="AD34" i="35"/>
  <c r="AD82" i="34"/>
  <c r="AD60" i="33"/>
  <c r="AD139" i="33"/>
  <c r="AD65" i="32"/>
  <c r="T141" i="4"/>
  <c r="T94" i="4"/>
  <c r="T52" i="4"/>
  <c r="AD84" i="34"/>
  <c r="AD62" i="33"/>
  <c r="AD33" i="10"/>
  <c r="T76" i="4"/>
  <c r="AD55" i="34"/>
  <c r="AD63" i="33"/>
  <c r="AD33" i="32"/>
  <c r="T150" i="4"/>
  <c r="T45" i="4"/>
  <c r="AD71" i="38"/>
  <c r="AD107" i="37"/>
  <c r="AD42" i="34"/>
  <c r="AD64" i="33"/>
  <c r="AD53" i="32"/>
  <c r="T151" i="4"/>
  <c r="T70" i="4"/>
  <c r="AN102" i="38"/>
  <c r="AD46" i="37"/>
  <c r="AD108" i="37"/>
  <c r="AD89" i="35"/>
  <c r="AD59" i="34"/>
  <c r="AD37" i="32"/>
  <c r="T112" i="4"/>
  <c r="AD73" i="38"/>
  <c r="AD66" i="33"/>
  <c r="AD87" i="32"/>
  <c r="T72" i="4"/>
  <c r="AD123" i="4"/>
  <c r="AD103" i="38"/>
  <c r="AD67" i="38"/>
  <c r="AD79" i="38"/>
  <c r="AD38" i="38"/>
  <c r="AD33" i="38"/>
  <c r="AD91" i="37"/>
  <c r="AD101" i="35"/>
  <c r="AD80" i="33"/>
  <c r="T105" i="4"/>
  <c r="AD111" i="33"/>
  <c r="T107" i="4"/>
  <c r="AD100" i="34"/>
  <c r="T172" i="4"/>
  <c r="AD75" i="37"/>
  <c r="AD90" i="38"/>
  <c r="AD120" i="35"/>
  <c r="AD114" i="33"/>
  <c r="AD37" i="10"/>
  <c r="AD44" i="38"/>
  <c r="AD91" i="35"/>
  <c r="AD88" i="34"/>
  <c r="AD38" i="32"/>
  <c r="T123" i="4"/>
  <c r="AD124" i="4"/>
  <c r="AD104" i="38"/>
  <c r="AD68" i="38"/>
  <c r="AD80" i="38"/>
  <c r="AD39" i="38"/>
  <c r="AD79" i="37"/>
  <c r="AD69" i="37"/>
  <c r="AD104" i="37"/>
  <c r="AD69" i="35"/>
  <c r="AD83" i="35"/>
  <c r="AD102" i="35"/>
  <c r="AD35" i="35"/>
  <c r="AD37" i="34"/>
  <c r="AD53" i="34"/>
  <c r="AD83" i="34"/>
  <c r="AD98" i="34"/>
  <c r="AD39" i="33"/>
  <c r="AD61" i="33"/>
  <c r="AD84" i="33"/>
  <c r="AD108" i="33"/>
  <c r="AD141" i="33"/>
  <c r="AD48" i="32"/>
  <c r="AD77" i="32"/>
  <c r="AD32" i="32"/>
  <c r="T169" i="4"/>
  <c r="T144" i="4"/>
  <c r="T106" i="4"/>
  <c r="T87" i="4"/>
  <c r="T53" i="4"/>
  <c r="T48" i="4"/>
  <c r="AD86" i="35"/>
  <c r="AD54" i="34"/>
  <c r="AD40" i="33"/>
  <c r="T170" i="4"/>
  <c r="AD85" i="34"/>
  <c r="AD52" i="32"/>
  <c r="T55" i="4"/>
  <c r="AD89" i="38"/>
  <c r="AD72" i="35"/>
  <c r="AD56" i="34"/>
  <c r="AD113" i="33"/>
  <c r="T111" i="4"/>
  <c r="AD43" i="38"/>
  <c r="AD87" i="34"/>
  <c r="AD100" i="33"/>
  <c r="T156" i="4"/>
  <c r="AD88" i="38"/>
  <c r="AD121" i="37"/>
  <c r="AD121" i="35"/>
  <c r="AD45" i="33"/>
  <c r="AD57" i="32"/>
  <c r="T88" i="4"/>
  <c r="AD125" i="4"/>
  <c r="AD105" i="38"/>
  <c r="AD69" i="38"/>
  <c r="AD81" i="38"/>
  <c r="AD40" i="38"/>
  <c r="AD43" i="37"/>
  <c r="AD72" i="37"/>
  <c r="AD105" i="37"/>
  <c r="AD70" i="35"/>
  <c r="AD104" i="35"/>
  <c r="AD36" i="35"/>
  <c r="AD38" i="34"/>
  <c r="AD49" i="32"/>
  <c r="T49" i="4"/>
  <c r="AD112" i="33"/>
  <c r="T108" i="4"/>
  <c r="AN101" i="38"/>
  <c r="AD88" i="35"/>
  <c r="AD42" i="33"/>
  <c r="T175" i="4"/>
  <c r="AD72" i="38"/>
  <c r="AD43" i="34"/>
  <c r="AD65" i="33"/>
  <c r="AD83" i="32"/>
  <c r="T57" i="4"/>
  <c r="AD57" i="37"/>
  <c r="AD44" i="34"/>
  <c r="AD103" i="34"/>
  <c r="AD119" i="33"/>
  <c r="AD38" i="10"/>
  <c r="AD121" i="4"/>
  <c r="AD100" i="38"/>
  <c r="AD70" i="38"/>
  <c r="AD82" i="38"/>
  <c r="AD41" i="38"/>
  <c r="AD44" i="37"/>
  <c r="AD73" i="37"/>
  <c r="AD106" i="37"/>
  <c r="AD71" i="35"/>
  <c r="AD87" i="35"/>
  <c r="AD115" i="35"/>
  <c r="AD37" i="35"/>
  <c r="AD41" i="33"/>
  <c r="AD34" i="10"/>
  <c r="AD42" i="38"/>
  <c r="AD117" i="35"/>
  <c r="AD86" i="34"/>
  <c r="AD80" i="32"/>
  <c r="T56" i="4"/>
  <c r="AD77" i="37"/>
  <c r="AD43" i="33"/>
  <c r="AD56" i="32"/>
  <c r="T71" i="4"/>
  <c r="AD57" i="38"/>
  <c r="AD74" i="35"/>
  <c r="AD62" i="34"/>
  <c r="AD101" i="33"/>
  <c r="AD101" i="38"/>
  <c r="AD65" i="38"/>
  <c r="AD77" i="38"/>
  <c r="AD36" i="38"/>
  <c r="AD48" i="38"/>
  <c r="AD65" i="37"/>
  <c r="AD88" i="37"/>
  <c r="AD64" i="35"/>
  <c r="AD78" i="35"/>
  <c r="AD99" i="35"/>
  <c r="AD127" i="35"/>
  <c r="AD49" i="35"/>
  <c r="AD48" i="34"/>
  <c r="AD80" i="34"/>
  <c r="AD94" i="34"/>
  <c r="AD32" i="34"/>
  <c r="AD58" i="33"/>
  <c r="AD74" i="33"/>
  <c r="AD105" i="33"/>
  <c r="AD135" i="33"/>
  <c r="AD42" i="32"/>
  <c r="AD61" i="32"/>
  <c r="AD96" i="32"/>
  <c r="U181" i="4"/>
  <c r="T135" i="4"/>
  <c r="T102" i="4"/>
  <c r="T92" i="4"/>
  <c r="T66" i="4"/>
  <c r="T62" i="4"/>
  <c r="AD102" i="38"/>
  <c r="AD37" i="38"/>
  <c r="AD66" i="37"/>
  <c r="AD89" i="37"/>
  <c r="AD81" i="35"/>
  <c r="AD100" i="35"/>
  <c r="AD33" i="35"/>
  <c r="AD49" i="34"/>
  <c r="AD95" i="34"/>
  <c r="AD33" i="33"/>
  <c r="AD77" i="33"/>
  <c r="AD106" i="33"/>
  <c r="AD46" i="32"/>
  <c r="AD97" i="32"/>
  <c r="T140" i="4"/>
  <c r="T93" i="4"/>
  <c r="T67" i="4"/>
  <c r="T46" i="4"/>
  <c r="AD67" i="37"/>
  <c r="AD82" i="35"/>
  <c r="AD34" i="34"/>
  <c r="AD50" i="34"/>
  <c r="AD38" i="33"/>
  <c r="AD107" i="33"/>
  <c r="AD47" i="32"/>
  <c r="AD98" i="32"/>
  <c r="T168" i="4"/>
  <c r="T47" i="4"/>
  <c r="AD99" i="34"/>
  <c r="AD85" i="33"/>
  <c r="AD32" i="33"/>
  <c r="AD78" i="32"/>
  <c r="T149" i="4"/>
  <c r="T54" i="4"/>
  <c r="AD41" i="34"/>
  <c r="AD98" i="33"/>
  <c r="AD79" i="32"/>
  <c r="U76" i="4"/>
  <c r="AD61" i="38"/>
  <c r="AD45" i="37"/>
  <c r="AD40" i="35"/>
  <c r="AD99" i="33"/>
  <c r="AD36" i="32"/>
  <c r="AD35" i="10"/>
  <c r="AD56" i="38"/>
  <c r="AD73" i="35"/>
  <c r="AD41" i="35"/>
  <c r="AD102" i="34"/>
  <c r="T121" i="4"/>
  <c r="AN103" i="38"/>
  <c r="AD81" i="37"/>
  <c r="AD42" i="35"/>
  <c r="AD32" i="10"/>
  <c r="AD133" i="33"/>
  <c r="AD107" i="34"/>
  <c r="AD45" i="35"/>
  <c r="AD51" i="35"/>
  <c r="AD35" i="38"/>
  <c r="AD53" i="35"/>
  <c r="AD47" i="35"/>
  <c r="AD110" i="34"/>
  <c r="AD134" i="33"/>
  <c r="U182" i="4"/>
  <c r="T74" i="4"/>
  <c r="AN104" i="38"/>
  <c r="AD45" i="38"/>
  <c r="AD75" i="35"/>
  <c r="AD45" i="34"/>
  <c r="AD55" i="33"/>
  <c r="AD39" i="32"/>
  <c r="T124" i="4"/>
  <c r="T65" i="4"/>
  <c r="AN105" i="38"/>
  <c r="AD46" i="38"/>
  <c r="AD76" i="35"/>
  <c r="AD46" i="34"/>
  <c r="AD56" i="33"/>
  <c r="AD40" i="32"/>
  <c r="T125" i="4"/>
  <c r="T58" i="4"/>
  <c r="AN100" i="38"/>
  <c r="AD47" i="38"/>
  <c r="AD77" i="35"/>
  <c r="AD47" i="34"/>
  <c r="AD57" i="33"/>
  <c r="AD41" i="32"/>
  <c r="T134" i="4"/>
  <c r="T59" i="4"/>
  <c r="AD62" i="38"/>
  <c r="AD62" i="37"/>
  <c r="AD94" i="35"/>
  <c r="AD63" i="34"/>
  <c r="AD67" i="33"/>
  <c r="AD58" i="32"/>
  <c r="T157" i="4"/>
  <c r="T60" i="4"/>
  <c r="AD63" i="38"/>
  <c r="AD63" i="37"/>
  <c r="AD97" i="35"/>
  <c r="AD76" i="34"/>
  <c r="AD68" i="33"/>
  <c r="AD59" i="32"/>
  <c r="T98" i="4"/>
  <c r="T61" i="4"/>
  <c r="AD64" i="38"/>
  <c r="AD64" i="37"/>
  <c r="AD98" i="35"/>
  <c r="AD79" i="34"/>
  <c r="AD71" i="33"/>
  <c r="AD60" i="32"/>
  <c r="T99" i="4"/>
  <c r="AD74" i="38"/>
  <c r="AD83" i="37"/>
  <c r="AD123" i="35"/>
  <c r="AD91" i="34"/>
  <c r="AD102" i="33"/>
  <c r="AD88" i="32"/>
  <c r="T101" i="4"/>
  <c r="AD75" i="38"/>
  <c r="AD84" i="37"/>
  <c r="AD125" i="35"/>
  <c r="AD92" i="34"/>
  <c r="AD103" i="33"/>
  <c r="AD91" i="32"/>
  <c r="T89" i="4"/>
  <c r="AD76" i="38"/>
  <c r="AD87" i="37"/>
  <c r="AD126" i="35"/>
  <c r="AD93" i="34"/>
  <c r="AD104" i="33"/>
  <c r="AD92" i="32"/>
  <c r="T90" i="4"/>
  <c r="AD55" i="38"/>
  <c r="AD33" i="37"/>
  <c r="AD43" i="35"/>
  <c r="AD105" i="34"/>
  <c r="AD121" i="33"/>
  <c r="T91" i="4"/>
  <c r="AD34" i="38"/>
  <c r="T185" i="4"/>
  <c r="T73" i="4"/>
  <c r="G41" i="10"/>
  <c r="H43" i="10" s="1" a="1"/>
  <c r="H43" i="10" s="1"/>
  <c r="I43" i="10" s="1"/>
  <c r="L141" i="33"/>
  <c r="L33" i="33"/>
  <c r="E31" i="33" s="1"/>
  <c r="AE47" i="34"/>
  <c r="AE48" i="34"/>
  <c r="AE49" i="34"/>
  <c r="AE32" i="34"/>
  <c r="AE91" i="34"/>
  <c r="AE89" i="37"/>
  <c r="BD538" i="4"/>
  <c r="BE538" i="4"/>
  <c r="AR538" i="4"/>
  <c r="BF538" i="4"/>
  <c r="F56" i="55"/>
  <c r="K121" i="33"/>
  <c r="G121" i="33"/>
  <c r="H123" i="33" s="1" a="1"/>
  <c r="H123" i="33" s="1"/>
  <c r="I123" i="33" s="1"/>
  <c r="K85" i="33"/>
  <c r="G85" i="33"/>
  <c r="F42" i="30"/>
  <c r="I122" i="4"/>
  <c r="L62" i="37"/>
  <c r="AF49" i="34"/>
  <c r="AF47" i="34"/>
  <c r="AF48" i="34"/>
  <c r="AN52" i="32"/>
  <c r="D118" i="36"/>
  <c r="E42" i="30"/>
  <c r="I121" i="37"/>
  <c r="J93" i="37"/>
  <c r="AN91" i="37"/>
  <c r="I42" i="30"/>
  <c r="E39" i="30"/>
  <c r="J40" i="30"/>
  <c r="F40" i="30"/>
  <c r="I40" i="30"/>
  <c r="J39" i="30"/>
  <c r="I39" i="30"/>
  <c r="E44" i="33"/>
  <c r="D84" i="55"/>
  <c r="D97" i="55"/>
  <c r="D134" i="55"/>
  <c r="F137" i="55"/>
  <c r="E79" i="55"/>
  <c r="E33" i="30"/>
  <c r="L84" i="32"/>
  <c r="I65" i="32"/>
  <c r="F384" i="55"/>
  <c r="F382" i="55"/>
  <c r="F383" i="55"/>
  <c r="E384" i="55"/>
  <c r="E382" i="55"/>
  <c r="E383" i="55"/>
  <c r="I121" i="4"/>
  <c r="I134" i="4"/>
  <c r="I123" i="4"/>
  <c r="I44" i="33"/>
  <c r="K45" i="33"/>
  <c r="G45" i="33"/>
  <c r="H47" i="33" s="1" a="1"/>
  <c r="H47" i="33" s="1"/>
  <c r="I47" i="33" s="1"/>
  <c r="AF123" i="4"/>
  <c r="AF124" i="4"/>
  <c r="AF121" i="4"/>
  <c r="AF125" i="4"/>
  <c r="E105" i="34"/>
  <c r="AE46" i="34"/>
  <c r="AE45" i="34"/>
  <c r="AE42" i="34"/>
  <c r="AE43" i="34"/>
  <c r="AE44" i="34"/>
  <c r="AE41" i="34"/>
  <c r="AF45" i="34"/>
  <c r="AF44" i="34"/>
  <c r="AF43" i="34"/>
  <c r="AF42" i="34"/>
  <c r="AF46" i="34"/>
  <c r="AF41" i="34"/>
  <c r="K65" i="34"/>
  <c r="G65" i="34"/>
  <c r="H67" i="34" s="1" a="1"/>
  <c r="H67" i="34" s="1"/>
  <c r="I67" i="34" s="1"/>
  <c r="E40" i="30"/>
  <c r="L66" i="37"/>
  <c r="AE32" i="10"/>
  <c r="I56" i="38"/>
  <c r="B2438" i="55" s="1"/>
  <c r="U73" i="4"/>
  <c r="I43" i="30"/>
  <c r="U61" i="4"/>
  <c r="E32" i="30"/>
  <c r="AE39" i="33"/>
  <c r="AE34" i="35"/>
  <c r="AE38" i="32"/>
  <c r="AE58" i="33"/>
  <c r="AE62" i="34"/>
  <c r="AO102" i="38"/>
  <c r="AO100" i="38"/>
  <c r="AE68" i="38"/>
  <c r="AE34" i="38"/>
  <c r="AE36" i="38"/>
  <c r="AE38" i="38"/>
  <c r="AE47" i="38"/>
  <c r="U134" i="4"/>
  <c r="U169" i="4"/>
  <c r="AE66" i="38"/>
  <c r="AE73" i="38"/>
  <c r="AE75" i="38"/>
  <c r="AE77" i="38"/>
  <c r="AE101" i="38"/>
  <c r="AE43" i="38"/>
  <c r="U135" i="4"/>
  <c r="U121" i="4"/>
  <c r="U185" i="4"/>
  <c r="AO105" i="38"/>
  <c r="AE64" i="38"/>
  <c r="AE71" i="38"/>
  <c r="AE80" i="38"/>
  <c r="AE88" i="38"/>
  <c r="AE90" i="38"/>
  <c r="AE104" i="38"/>
  <c r="AE41" i="38"/>
  <c r="AE45" i="38"/>
  <c r="AE61" i="38"/>
  <c r="AE125" i="4"/>
  <c r="AE123" i="4"/>
  <c r="U123" i="4"/>
  <c r="V180" i="4"/>
  <c r="U170" i="4"/>
  <c r="U141" i="4"/>
  <c r="U149" i="4"/>
  <c r="U168" i="4"/>
  <c r="U156" i="4"/>
  <c r="AE35" i="38"/>
  <c r="AE37" i="38"/>
  <c r="AE39" i="38"/>
  <c r="AE49" i="38"/>
  <c r="AE56" i="38"/>
  <c r="AE33" i="38"/>
  <c r="AE67" i="38"/>
  <c r="AE72" i="38"/>
  <c r="AE42" i="38"/>
  <c r="AE46" i="38"/>
  <c r="AE65" i="38"/>
  <c r="AE89" i="38"/>
  <c r="AE40" i="38"/>
  <c r="AE44" i="38"/>
  <c r="AE134" i="4"/>
  <c r="AE124" i="4"/>
  <c r="AE121" i="4"/>
  <c r="AO101" i="38"/>
  <c r="AE62" i="38"/>
  <c r="AE81" i="38"/>
  <c r="AE105" i="38"/>
  <c r="V181" i="4"/>
  <c r="U144" i="4"/>
  <c r="AE63" i="38"/>
  <c r="AE82" i="38"/>
  <c r="AE55" i="38"/>
  <c r="AE76" i="38"/>
  <c r="AE102" i="38"/>
  <c r="U125" i="4"/>
  <c r="AE79" i="38"/>
  <c r="AO104" i="38"/>
  <c r="AE74" i="38"/>
  <c r="V182" i="4"/>
  <c r="AE57" i="38"/>
  <c r="U150" i="4"/>
  <c r="U174" i="4"/>
  <c r="AE69" i="38"/>
  <c r="AE48" i="38"/>
  <c r="AE103" i="38"/>
  <c r="AO103" i="38"/>
  <c r="AE100" i="38"/>
  <c r="U124" i="4"/>
  <c r="AE78" i="38"/>
  <c r="U140" i="4"/>
  <c r="AE70" i="38"/>
  <c r="U157" i="4"/>
  <c r="AE66" i="33"/>
  <c r="AF104" i="38"/>
  <c r="AF63" i="38"/>
  <c r="AF70" i="38"/>
  <c r="AF79" i="38"/>
  <c r="AF82" i="38"/>
  <c r="AF55" i="38"/>
  <c r="AF57" i="38"/>
  <c r="AF33" i="38"/>
  <c r="V121" i="4"/>
  <c r="V185" i="4"/>
  <c r="W182" i="4"/>
  <c r="V107" i="4"/>
  <c r="V101" i="4"/>
  <c r="V92" i="4"/>
  <c r="V66" i="4"/>
  <c r="V58" i="4"/>
  <c r="V46" i="4"/>
  <c r="V73" i="4"/>
  <c r="V88" i="4"/>
  <c r="V54" i="4"/>
  <c r="V59" i="4"/>
  <c r="AP105" i="38"/>
  <c r="AF105" i="38"/>
  <c r="AF68" i="38"/>
  <c r="AF34" i="38"/>
  <c r="AF36" i="38"/>
  <c r="AF38" i="38"/>
  <c r="AF47" i="38"/>
  <c r="V174" i="4"/>
  <c r="W180" i="4"/>
  <c r="V111" i="4"/>
  <c r="V105" i="4"/>
  <c r="AF100" i="38"/>
  <c r="AF66" i="38"/>
  <c r="AF73" i="38"/>
  <c r="AF75" i="38"/>
  <c r="AF77" i="38"/>
  <c r="AF43" i="38"/>
  <c r="V135" i="4"/>
  <c r="V175" i="4"/>
  <c r="V156" i="4"/>
  <c r="V102" i="4"/>
  <c r="V74" i="4"/>
  <c r="V93" i="4"/>
  <c r="V67" i="4"/>
  <c r="V60" i="4"/>
  <c r="V47" i="4"/>
  <c r="V141" i="4"/>
  <c r="V149" i="4"/>
  <c r="V112" i="4"/>
  <c r="V106" i="4"/>
  <c r="V89" i="4"/>
  <c r="V94" i="4"/>
  <c r="AP103" i="38"/>
  <c r="AP101" i="38"/>
  <c r="AF80" i="38"/>
  <c r="AF64" i="38"/>
  <c r="AF71" i="38"/>
  <c r="AF88" i="38"/>
  <c r="AF90" i="38"/>
  <c r="AF41" i="38"/>
  <c r="AF45" i="38"/>
  <c r="AF61" i="38"/>
  <c r="AF101" i="38"/>
  <c r="AF62" i="38"/>
  <c r="AF69" i="38"/>
  <c r="AF74" i="38"/>
  <c r="AF76" i="38"/>
  <c r="AF78" i="38"/>
  <c r="AF81" i="38"/>
  <c r="AF48" i="38"/>
  <c r="AF134" i="4"/>
  <c r="V124" i="4"/>
  <c r="W181" i="4"/>
  <c r="V170" i="4"/>
  <c r="V108" i="4"/>
  <c r="AP104" i="38"/>
  <c r="AF102" i="38"/>
  <c r="AF67" i="38"/>
  <c r="AF72" i="38"/>
  <c r="AF42" i="38"/>
  <c r="AF46" i="38"/>
  <c r="V125" i="4"/>
  <c r="AF49" i="38"/>
  <c r="V157" i="4"/>
  <c r="V91" i="4"/>
  <c r="V52" i="4"/>
  <c r="V45" i="4"/>
  <c r="V144" i="4"/>
  <c r="V76" i="4"/>
  <c r="V56" i="4"/>
  <c r="V168" i="4"/>
  <c r="V53" i="4"/>
  <c r="V61" i="4"/>
  <c r="V150" i="4"/>
  <c r="V72" i="4"/>
  <c r="V49" i="4"/>
  <c r="AP102" i="38"/>
  <c r="V104" i="4"/>
  <c r="V55" i="4"/>
  <c r="AP100" i="38"/>
  <c r="AF35" i="38"/>
  <c r="AF56" i="38"/>
  <c r="V98" i="4"/>
  <c r="V99" i="4"/>
  <c r="V65" i="4"/>
  <c r="AF103" i="38"/>
  <c r="AF65" i="38"/>
  <c r="AF89" i="38"/>
  <c r="AF44" i="38"/>
  <c r="V123" i="4"/>
  <c r="V169" i="4"/>
  <c r="V87" i="4"/>
  <c r="AF37" i="38"/>
  <c r="V140" i="4"/>
  <c r="V70" i="4"/>
  <c r="V71" i="4"/>
  <c r="V57" i="4"/>
  <c r="V48" i="4"/>
  <c r="V134" i="4"/>
  <c r="AF39" i="38"/>
  <c r="V62" i="4"/>
  <c r="AF40" i="38"/>
  <c r="V90" i="4"/>
  <c r="K131" i="35"/>
  <c r="AE69" i="37"/>
  <c r="F33" i="30"/>
  <c r="K104" i="35"/>
  <c r="AE109" i="34"/>
  <c r="AE106" i="37"/>
  <c r="AE108" i="37"/>
  <c r="AE110" i="34"/>
  <c r="AE98" i="34"/>
  <c r="AE81" i="34"/>
  <c r="AE95" i="34"/>
  <c r="AE86" i="34"/>
  <c r="AE92" i="34"/>
  <c r="AE84" i="34"/>
  <c r="AE104" i="37"/>
  <c r="AE102" i="34"/>
  <c r="AE99" i="34"/>
  <c r="AE82" i="34"/>
  <c r="AE85" i="34"/>
  <c r="AE105" i="37"/>
  <c r="AE107" i="37"/>
  <c r="AE93" i="34"/>
  <c r="AE87" i="34"/>
  <c r="AE79" i="34"/>
  <c r="AE94" i="34"/>
  <c r="AE47" i="35"/>
  <c r="AE80" i="34"/>
  <c r="AE101" i="34"/>
  <c r="AE100" i="34"/>
  <c r="AE83" i="34"/>
  <c r="AE100" i="33"/>
  <c r="AE102" i="33"/>
  <c r="AE104" i="33"/>
  <c r="AE106" i="33"/>
  <c r="AE108" i="33"/>
  <c r="AE135" i="33"/>
  <c r="AE107" i="33"/>
  <c r="AE139" i="33"/>
  <c r="AE133" i="33"/>
  <c r="AE111" i="33"/>
  <c r="AE112" i="33"/>
  <c r="AE113" i="33"/>
  <c r="AE119" i="33"/>
  <c r="AE99" i="33"/>
  <c r="AE101" i="33"/>
  <c r="AE103" i="33"/>
  <c r="AE105" i="33"/>
  <c r="AE114" i="33"/>
  <c r="AE141" i="33"/>
  <c r="AE134" i="33"/>
  <c r="AE136" i="33"/>
  <c r="AE88" i="32"/>
  <c r="AE97" i="32"/>
  <c r="AE87" i="32"/>
  <c r="AE96" i="32"/>
  <c r="AE91" i="32"/>
  <c r="AE92" i="32"/>
  <c r="AE98" i="32"/>
  <c r="AE98" i="33"/>
  <c r="AE84" i="32"/>
  <c r="AE78" i="32"/>
  <c r="AE79" i="32"/>
  <c r="AE80" i="32"/>
  <c r="AE77" i="32"/>
  <c r="AF47" i="35"/>
  <c r="AF94" i="34"/>
  <c r="AF91" i="34"/>
  <c r="AF85" i="34"/>
  <c r="AF92" i="34"/>
  <c r="AF106" i="37"/>
  <c r="AF108" i="37"/>
  <c r="AF98" i="34"/>
  <c r="AF81" i="34"/>
  <c r="AF84" i="34"/>
  <c r="AF100" i="34"/>
  <c r="AF83" i="34"/>
  <c r="AF95" i="34"/>
  <c r="AF86" i="34"/>
  <c r="AF79" i="34"/>
  <c r="AF80" i="34"/>
  <c r="AF104" i="37"/>
  <c r="AF110" i="34"/>
  <c r="AF102" i="34"/>
  <c r="AF99" i="34"/>
  <c r="AF82" i="34"/>
  <c r="AF101" i="34"/>
  <c r="AF105" i="37"/>
  <c r="AF107" i="37"/>
  <c r="AF109" i="34"/>
  <c r="AF93" i="34"/>
  <c r="AF87" i="34"/>
  <c r="AF139" i="33"/>
  <c r="AF133" i="33"/>
  <c r="AF100" i="33"/>
  <c r="AF102" i="33"/>
  <c r="AF104" i="33"/>
  <c r="AF106" i="33"/>
  <c r="AF108" i="33"/>
  <c r="AF112" i="33"/>
  <c r="AF114" i="33"/>
  <c r="AF119" i="33"/>
  <c r="AF135" i="33"/>
  <c r="AF99" i="33"/>
  <c r="AF101" i="33"/>
  <c r="AF103" i="33"/>
  <c r="AF105" i="33"/>
  <c r="AF107" i="33"/>
  <c r="AF111" i="33"/>
  <c r="AF113" i="33"/>
  <c r="AF141" i="33"/>
  <c r="AF134" i="33"/>
  <c r="AF136" i="33"/>
  <c r="AF96" i="32"/>
  <c r="AF91" i="32"/>
  <c r="AF97" i="32"/>
  <c r="AF87" i="32"/>
  <c r="AF98" i="33"/>
  <c r="AF98" i="32"/>
  <c r="AF88" i="32"/>
  <c r="AF92" i="32"/>
  <c r="AF79" i="32"/>
  <c r="AF80" i="32"/>
  <c r="AF78" i="32"/>
  <c r="AF77" i="32"/>
  <c r="AF84" i="32"/>
  <c r="F32" i="30"/>
  <c r="H65" i="2"/>
  <c r="F37" i="30"/>
  <c r="G131" i="35"/>
  <c r="H133" i="35" s="1" a="1"/>
  <c r="H133" i="35" s="1"/>
  <c r="I133" i="35" s="1"/>
  <c r="AE67" i="37"/>
  <c r="AE40" i="32"/>
  <c r="AE63" i="32"/>
  <c r="AE83" i="35"/>
  <c r="U46" i="4"/>
  <c r="U65" i="4"/>
  <c r="U106" i="4"/>
  <c r="AE115" i="35"/>
  <c r="AE129" i="35"/>
  <c r="AE44" i="37"/>
  <c r="U47" i="4"/>
  <c r="U56" i="4"/>
  <c r="U66" i="4"/>
  <c r="U91" i="4"/>
  <c r="U101" i="4"/>
  <c r="AE48" i="32"/>
  <c r="AE60" i="32"/>
  <c r="AE38" i="33"/>
  <c r="AE57" i="33"/>
  <c r="AE65" i="33"/>
  <c r="AE45" i="35"/>
  <c r="AE72" i="35"/>
  <c r="AE82" i="35"/>
  <c r="AE97" i="35"/>
  <c r="AE120" i="35"/>
  <c r="AE83" i="37"/>
  <c r="L40" i="32"/>
  <c r="K41" i="10"/>
  <c r="AE59" i="33"/>
  <c r="AE73" i="35"/>
  <c r="G65" i="32"/>
  <c r="H67" i="32" s="1" a="1"/>
  <c r="H67" i="32" s="1"/>
  <c r="I67" i="32" s="1"/>
  <c r="U58" i="4"/>
  <c r="U70" i="4"/>
  <c r="U88" i="4"/>
  <c r="AE35" i="10"/>
  <c r="AE53" i="32"/>
  <c r="AE42" i="33"/>
  <c r="AE61" i="33"/>
  <c r="AE36" i="35"/>
  <c r="AE64" i="35"/>
  <c r="AE74" i="35"/>
  <c r="AE86" i="35"/>
  <c r="AE99" i="35"/>
  <c r="AE123" i="35"/>
  <c r="AE63" i="37"/>
  <c r="AE75" i="37"/>
  <c r="F39" i="30"/>
  <c r="J42" i="30"/>
  <c r="AE117" i="35"/>
  <c r="AE100" i="35"/>
  <c r="AE87" i="35"/>
  <c r="AE75" i="35"/>
  <c r="AE67" i="35"/>
  <c r="AE55" i="34"/>
  <c r="AE64" i="33"/>
  <c r="AE33" i="33"/>
  <c r="AE58" i="32"/>
  <c r="AE39" i="32"/>
  <c r="AE33" i="32"/>
  <c r="U112" i="4"/>
  <c r="U108" i="4"/>
  <c r="U45" i="4"/>
  <c r="U107" i="4"/>
  <c r="U104" i="4"/>
  <c r="U90" i="4"/>
  <c r="U67" i="4"/>
  <c r="AE88" i="37"/>
  <c r="AE81" i="37"/>
  <c r="AE73" i="37"/>
  <c r="AE66" i="37"/>
  <c r="AE62" i="37"/>
  <c r="AE43" i="37"/>
  <c r="AE125" i="35"/>
  <c r="AE94" i="35"/>
  <c r="AE81" i="35"/>
  <c r="AE71" i="35"/>
  <c r="AE43" i="35"/>
  <c r="AE37" i="35"/>
  <c r="AE33" i="35"/>
  <c r="AE63" i="34"/>
  <c r="AE37" i="34"/>
  <c r="AE60" i="33"/>
  <c r="AE56" i="33"/>
  <c r="AE41" i="33"/>
  <c r="AE57" i="32"/>
  <c r="AE49" i="32"/>
  <c r="AE34" i="10"/>
  <c r="U93" i="4"/>
  <c r="U72" i="4"/>
  <c r="U60" i="4"/>
  <c r="U54" i="4"/>
  <c r="U48" i="4"/>
  <c r="U111" i="4"/>
  <c r="U87" i="4"/>
  <c r="AE87" i="37"/>
  <c r="AE33" i="37"/>
  <c r="AE91" i="35"/>
  <c r="AE78" i="35"/>
  <c r="AE70" i="35"/>
  <c r="AE42" i="35"/>
  <c r="AE34" i="34"/>
  <c r="AE68" i="33"/>
  <c r="AE63" i="33"/>
  <c r="AE55" i="33"/>
  <c r="AE40" i="33"/>
  <c r="AE61" i="32"/>
  <c r="AE42" i="32"/>
  <c r="U57" i="4"/>
  <c r="AE91" i="37"/>
  <c r="AE84" i="37"/>
  <c r="AE77" i="37"/>
  <c r="AE64" i="37"/>
  <c r="AE45" i="37"/>
  <c r="AE127" i="35"/>
  <c r="AE121" i="35"/>
  <c r="AE69" i="35"/>
  <c r="AE49" i="35"/>
  <c r="AE41" i="35"/>
  <c r="AE35" i="35"/>
  <c r="AE59" i="34"/>
  <c r="AE62" i="33"/>
  <c r="AE59" i="32"/>
  <c r="AE47" i="32"/>
  <c r="AE37" i="32"/>
  <c r="AE37" i="10"/>
  <c r="U94" i="4"/>
  <c r="U92" i="4"/>
  <c r="U52" i="4"/>
  <c r="U49" i="4"/>
  <c r="AE52" i="32"/>
  <c r="AE38" i="34"/>
  <c r="AE98" i="35"/>
  <c r="AE57" i="37"/>
  <c r="U62" i="4"/>
  <c r="U74" i="4"/>
  <c r="U98" i="4"/>
  <c r="AE41" i="32"/>
  <c r="AE53" i="34"/>
  <c r="AE40" i="35"/>
  <c r="AE68" i="35"/>
  <c r="AE76" i="35"/>
  <c r="AE88" i="35"/>
  <c r="AE101" i="35"/>
  <c r="AE72" i="37"/>
  <c r="U53" i="4"/>
  <c r="U59" i="4"/>
  <c r="U71" i="4"/>
  <c r="U89" i="4"/>
  <c r="U99" i="4"/>
  <c r="U105" i="4"/>
  <c r="AE32" i="32"/>
  <c r="AE56" i="32"/>
  <c r="AE43" i="33"/>
  <c r="AE54" i="34"/>
  <c r="AE126" i="35"/>
  <c r="U102" i="4"/>
  <c r="AE33" i="10"/>
  <c r="U55" i="4"/>
  <c r="AE38" i="10"/>
  <c r="AE36" i="32"/>
  <c r="AE46" i="32"/>
  <c r="AE32" i="33"/>
  <c r="AE56" i="34"/>
  <c r="AE77" i="35"/>
  <c r="AE89" i="35"/>
  <c r="AE102" i="35"/>
  <c r="AE65" i="37"/>
  <c r="AE79" i="37"/>
  <c r="AE121" i="37"/>
  <c r="K46" i="37"/>
  <c r="F43" i="30"/>
  <c r="F59" i="36"/>
  <c r="G46" i="37"/>
  <c r="H48" i="37" s="1" a="1"/>
  <c r="H48" i="37" s="1"/>
  <c r="I48" i="37" s="1"/>
  <c r="F168" i="4"/>
  <c r="L70" i="35"/>
  <c r="L58" i="32"/>
  <c r="H55" i="2"/>
  <c r="L132" i="37"/>
  <c r="L101" i="35"/>
  <c r="F169" i="4"/>
  <c r="F121" i="37"/>
  <c r="L34" i="10"/>
  <c r="L79" i="37"/>
  <c r="L81" i="35"/>
  <c r="L56" i="34"/>
  <c r="J32" i="30"/>
  <c r="J37" i="30"/>
  <c r="B21" i="36"/>
  <c r="AE51" i="35"/>
  <c r="L146" i="37"/>
  <c r="L73" i="37"/>
  <c r="L76" i="35"/>
  <c r="L61" i="32"/>
  <c r="C53" i="44"/>
  <c r="L59" i="36"/>
  <c r="I116" i="36"/>
  <c r="L84" i="37"/>
  <c r="L91" i="35"/>
  <c r="L63" i="34"/>
  <c r="L47" i="32"/>
  <c r="L38" i="10"/>
  <c r="L127" i="35"/>
  <c r="I32" i="30"/>
  <c r="L96" i="32"/>
  <c r="J121" i="37"/>
  <c r="G59" i="36"/>
  <c r="I112" i="36"/>
  <c r="L139" i="37"/>
  <c r="L81" i="37"/>
  <c r="L45" i="37"/>
  <c r="L88" i="35"/>
  <c r="L71" i="35"/>
  <c r="L62" i="34"/>
  <c r="L60" i="32"/>
  <c r="L41" i="32"/>
  <c r="L37" i="10"/>
  <c r="L147" i="37"/>
  <c r="K91" i="37"/>
  <c r="L77" i="37"/>
  <c r="L94" i="35"/>
  <c r="L78" i="35"/>
  <c r="L68" i="35"/>
  <c r="L38" i="34"/>
  <c r="L49" i="32"/>
  <c r="L38" i="32"/>
  <c r="L33" i="10"/>
  <c r="L67" i="35"/>
  <c r="L123" i="35"/>
  <c r="L42" i="34"/>
  <c r="L48" i="34"/>
  <c r="K53" i="35"/>
  <c r="G53" i="35"/>
  <c r="H55" i="35" s="1" a="1"/>
  <c r="H55" i="35" s="1"/>
  <c r="I55" i="35" s="1"/>
  <c r="J140" i="35"/>
  <c r="I140" i="35"/>
  <c r="L37" i="35"/>
  <c r="E38" i="30"/>
  <c r="E140" i="35"/>
  <c r="S182" i="4"/>
  <c r="H182" i="4" s="1"/>
  <c r="S181" i="4"/>
  <c r="H181" i="4" s="1"/>
  <c r="G91" i="4"/>
  <c r="G160" i="4"/>
  <c r="C27" i="44"/>
  <c r="L97" i="32"/>
  <c r="L98" i="32"/>
  <c r="F140" i="35"/>
  <c r="I89" i="38"/>
  <c r="B2468" i="55" s="1"/>
  <c r="J59" i="36"/>
  <c r="M59" i="36"/>
  <c r="F118" i="36"/>
  <c r="F121" i="36" s="1"/>
  <c r="H118" i="36"/>
  <c r="L150" i="37"/>
  <c r="L149" i="37"/>
  <c r="L148" i="37"/>
  <c r="L145" i="37"/>
  <c r="L144" i="37"/>
  <c r="L143" i="37"/>
  <c r="L140" i="37"/>
  <c r="L138" i="37"/>
  <c r="L136" i="37"/>
  <c r="L135" i="37"/>
  <c r="L131" i="37"/>
  <c r="L88" i="37"/>
  <c r="L87" i="37"/>
  <c r="L83" i="37"/>
  <c r="L72" i="37"/>
  <c r="L44" i="37"/>
  <c r="L102" i="35"/>
  <c r="L100" i="35"/>
  <c r="L98" i="35"/>
  <c r="L97" i="35"/>
  <c r="L89" i="35"/>
  <c r="L87" i="35"/>
  <c r="L86" i="35"/>
  <c r="L83" i="35"/>
  <c r="L82" i="35"/>
  <c r="L77" i="35"/>
  <c r="L75" i="35"/>
  <c r="L74" i="35"/>
  <c r="L73" i="35"/>
  <c r="L72" i="35"/>
  <c r="L69" i="35"/>
  <c r="L64" i="35"/>
  <c r="L49" i="35"/>
  <c r="L43" i="35"/>
  <c r="L36" i="35"/>
  <c r="L35" i="35"/>
  <c r="L34" i="35"/>
  <c r="L33" i="35"/>
  <c r="L55" i="34"/>
  <c r="L54" i="34"/>
  <c r="L53" i="34"/>
  <c r="L47" i="34"/>
  <c r="L46" i="34"/>
  <c r="L45" i="34"/>
  <c r="L44" i="34"/>
  <c r="L41" i="34"/>
  <c r="L37" i="34"/>
  <c r="L34" i="34"/>
  <c r="L32" i="34"/>
  <c r="L63" i="32"/>
  <c r="L59" i="32"/>
  <c r="L57" i="32"/>
  <c r="L56" i="32"/>
  <c r="L53" i="32"/>
  <c r="K52" i="32"/>
  <c r="L48" i="32"/>
  <c r="L46" i="32"/>
  <c r="L42" i="32"/>
  <c r="L39" i="32"/>
  <c r="L37" i="32"/>
  <c r="L36" i="32"/>
  <c r="L33" i="32"/>
  <c r="L32" i="32"/>
  <c r="L32" i="10"/>
  <c r="AE80" i="33"/>
  <c r="AE77" i="33"/>
  <c r="AE74" i="33"/>
  <c r="AE71" i="33"/>
  <c r="AE67" i="33"/>
  <c r="L51" i="35"/>
  <c r="AN51" i="35" s="1"/>
  <c r="L129" i="35"/>
  <c r="L126" i="35"/>
  <c r="L125" i="35"/>
  <c r="L121" i="35"/>
  <c r="L120" i="35"/>
  <c r="L117" i="35"/>
  <c r="L115" i="35"/>
  <c r="B21" i="30"/>
  <c r="BI538" i="4"/>
  <c r="B21" i="38"/>
  <c r="H55" i="4"/>
  <c r="BJ538" i="4"/>
  <c r="H46" i="4" s="1"/>
  <c r="E37" i="55" s="1"/>
  <c r="BM538" i="4"/>
  <c r="B21" i="37"/>
  <c r="B21" i="2"/>
  <c r="B21" i="35"/>
  <c r="B21" i="32"/>
  <c r="AF74" i="33"/>
  <c r="AF67" i="33"/>
  <c r="AF80" i="33"/>
  <c r="AF77" i="33"/>
  <c r="AF71" i="33"/>
  <c r="B21" i="34"/>
  <c r="B21" i="10"/>
  <c r="BK538" i="4"/>
  <c r="B15" i="29"/>
  <c r="B21" i="33"/>
  <c r="BH538" i="4"/>
  <c r="L45" i="35"/>
  <c r="L40" i="35"/>
  <c r="L41" i="35"/>
  <c r="L42" i="35"/>
  <c r="I79" i="36"/>
  <c r="J35" i="30"/>
  <c r="I35" i="30"/>
  <c r="J36" i="30"/>
  <c r="L114" i="33"/>
  <c r="F36" i="30"/>
  <c r="I34" i="30"/>
  <c r="L104" i="33"/>
  <c r="L100" i="33"/>
  <c r="L139" i="33"/>
  <c r="E36" i="30"/>
  <c r="L105" i="33"/>
  <c r="I36" i="30"/>
  <c r="L32" i="33"/>
  <c r="L119" i="33"/>
  <c r="L98" i="33"/>
  <c r="J34" i="30"/>
  <c r="E35" i="30"/>
  <c r="L111" i="33"/>
  <c r="L118" i="33"/>
  <c r="L108" i="33"/>
  <c r="L113" i="33"/>
  <c r="L39" i="33"/>
  <c r="L41" i="33"/>
  <c r="L109" i="33"/>
  <c r="L99" i="33"/>
  <c r="L40" i="33"/>
  <c r="L102" i="33"/>
  <c r="L106" i="33"/>
  <c r="L65" i="33"/>
  <c r="L61" i="33"/>
  <c r="L116" i="33"/>
  <c r="L101" i="33"/>
  <c r="L112" i="33"/>
  <c r="L38" i="33"/>
  <c r="L115" i="33"/>
  <c r="L107" i="33"/>
  <c r="L60" i="33"/>
  <c r="L55" i="33"/>
  <c r="L63" i="33"/>
  <c r="L59" i="33"/>
  <c r="L64" i="33"/>
  <c r="L43" i="33"/>
  <c r="L62" i="33"/>
  <c r="L58" i="33"/>
  <c r="L57" i="33"/>
  <c r="BN538" i="4"/>
  <c r="H65" i="4" s="1"/>
  <c r="E53" i="55" s="1"/>
  <c r="J33" i="30"/>
  <c r="L142" i="37"/>
  <c r="G151" i="37"/>
  <c r="K151" i="37"/>
  <c r="L99" i="35"/>
  <c r="G104" i="35"/>
  <c r="H106" i="35" s="1" a="1"/>
  <c r="H106" i="35" s="1"/>
  <c r="I106" i="35" s="1"/>
  <c r="L59" i="34"/>
  <c r="L66" i="33"/>
  <c r="N76" i="32"/>
  <c r="E34" i="30"/>
  <c r="D48" i="36"/>
  <c r="L33" i="37"/>
  <c r="E59" i="36"/>
  <c r="L134" i="37"/>
  <c r="D41" i="36"/>
  <c r="K59" i="36"/>
  <c r="L137" i="37"/>
  <c r="D55" i="36"/>
  <c r="N59" i="36"/>
  <c r="I88" i="36"/>
  <c r="L133" i="37"/>
  <c r="L75" i="37"/>
  <c r="L42" i="33"/>
  <c r="L35" i="10"/>
  <c r="L56" i="33"/>
  <c r="L110" i="33"/>
  <c r="I103" i="36"/>
  <c r="L141" i="37"/>
  <c r="L89" i="37"/>
  <c r="L103" i="33"/>
  <c r="L69" i="37"/>
  <c r="L64" i="37"/>
  <c r="L117" i="33"/>
  <c r="L67" i="37"/>
  <c r="L63" i="37"/>
  <c r="L65" i="37"/>
  <c r="L57" i="37"/>
  <c r="L43" i="37"/>
  <c r="I91" i="4"/>
  <c r="G41" i="30"/>
  <c r="E43" i="30"/>
  <c r="G93" i="37"/>
  <c r="H95" i="37" s="1" a="1"/>
  <c r="H95" i="37" s="1"/>
  <c r="I95" i="37" s="1"/>
  <c r="AF65" i="33"/>
  <c r="AF43" i="33"/>
  <c r="AF57" i="37"/>
  <c r="AF71" i="35"/>
  <c r="AF63" i="34"/>
  <c r="AF40" i="32"/>
  <c r="AF56" i="32"/>
  <c r="AF117" i="35"/>
  <c r="AF62" i="34"/>
  <c r="AF38" i="10"/>
  <c r="AF87" i="37"/>
  <c r="AF38" i="34"/>
  <c r="AF91" i="35"/>
  <c r="AF43" i="35"/>
  <c r="AF44" i="37"/>
  <c r="AF94" i="35"/>
  <c r="AF34" i="34"/>
  <c r="AF78" i="35"/>
  <c r="AF98" i="35"/>
  <c r="AF75" i="37"/>
  <c r="AF121" i="37"/>
  <c r="AF56" i="33"/>
  <c r="AF55" i="34"/>
  <c r="AF72" i="35"/>
  <c r="AF33" i="37"/>
  <c r="AF77" i="37"/>
  <c r="AF35" i="10"/>
  <c r="AF32" i="33"/>
  <c r="AF100" i="35"/>
  <c r="AF65" i="37"/>
  <c r="AF41" i="33"/>
  <c r="AF61" i="33"/>
  <c r="AF58" i="33"/>
  <c r="AF99" i="35"/>
  <c r="AF76" i="35"/>
  <c r="AF83" i="37"/>
  <c r="AF126" i="35"/>
  <c r="AF48" i="32"/>
  <c r="AF88" i="37"/>
  <c r="AF42" i="33"/>
  <c r="AF42" i="35"/>
  <c r="AF73" i="37"/>
  <c r="AF39" i="32"/>
  <c r="AF37" i="10"/>
  <c r="AF59" i="32"/>
  <c r="AF56" i="34"/>
  <c r="AF64" i="35"/>
  <c r="AF43" i="37"/>
  <c r="AF125" i="35"/>
  <c r="AF102" i="35"/>
  <c r="B22" i="35"/>
  <c r="AF33" i="10"/>
  <c r="B22" i="4"/>
  <c r="F73" i="4" s="1"/>
  <c r="AF34" i="10"/>
  <c r="B22" i="33"/>
  <c r="B22" i="37"/>
  <c r="B22" i="36"/>
  <c r="B22" i="10"/>
  <c r="B22" i="38"/>
  <c r="B22" i="32"/>
  <c r="B22" i="34"/>
  <c r="B22" i="30"/>
  <c r="B16" i="29"/>
  <c r="AF32" i="10"/>
  <c r="B22" i="2"/>
  <c r="AF41" i="35"/>
  <c r="AF57" i="32"/>
  <c r="AF59" i="34"/>
  <c r="AF82" i="35"/>
  <c r="AF53" i="32"/>
  <c r="AF91" i="37"/>
  <c r="AF101" i="35"/>
  <c r="AF39" i="33"/>
  <c r="AF74" i="35"/>
  <c r="AF59" i="33"/>
  <c r="AF33" i="35"/>
  <c r="AF64" i="37"/>
  <c r="AF37" i="32"/>
  <c r="AF64" i="33"/>
  <c r="AF54" i="34"/>
  <c r="AF115" i="35"/>
  <c r="AF69" i="35"/>
  <c r="AF79" i="37"/>
  <c r="AF61" i="32"/>
  <c r="AF34" i="35"/>
  <c r="AF129" i="35"/>
  <c r="AF40" i="35"/>
  <c r="AF51" i="35"/>
  <c r="AF62" i="33"/>
  <c r="AF87" i="35"/>
  <c r="AF42" i="32"/>
  <c r="AF35" i="35"/>
  <c r="AF47" i="32"/>
  <c r="AF70" i="35"/>
  <c r="AF63" i="37"/>
  <c r="AF69" i="37"/>
  <c r="AF49" i="32"/>
  <c r="AF32" i="32"/>
  <c r="AF68" i="33"/>
  <c r="AF45" i="37"/>
  <c r="AF38" i="33"/>
  <c r="AF45" i="35"/>
  <c r="AF33" i="32"/>
  <c r="AF66" i="33"/>
  <c r="AF121" i="35"/>
  <c r="AF55" i="33"/>
  <c r="AF89" i="35"/>
  <c r="AF75" i="35"/>
  <c r="AF72" i="37"/>
  <c r="AF52" i="32"/>
  <c r="AF88" i="35"/>
  <c r="AF60" i="33"/>
  <c r="AF60" i="32"/>
  <c r="AF68" i="35"/>
  <c r="AF53" i="34"/>
  <c r="AF73" i="35"/>
  <c r="AF89" i="37"/>
  <c r="AF36" i="35"/>
  <c r="AF66" i="37"/>
  <c r="AF63" i="33"/>
  <c r="AF38" i="32"/>
  <c r="AF67" i="35"/>
  <c r="AF127" i="35"/>
  <c r="AF62" i="37"/>
  <c r="AF33" i="33"/>
  <c r="AF77" i="35"/>
  <c r="AF58" i="32"/>
  <c r="AF97" i="35"/>
  <c r="AF123" i="35"/>
  <c r="AF41" i="32"/>
  <c r="AF32" i="34"/>
  <c r="AF83" i="35"/>
  <c r="AF36" i="32"/>
  <c r="AF37" i="35"/>
  <c r="AF84" i="37"/>
  <c r="AF49" i="35"/>
  <c r="AF57" i="33"/>
  <c r="AF67" i="37"/>
  <c r="AF37" i="34"/>
  <c r="AF86" i="35"/>
  <c r="AF81" i="37"/>
  <c r="AF120" i="35"/>
  <c r="AF81" i="35"/>
  <c r="AF40" i="33"/>
  <c r="AF46" i="32"/>
  <c r="AF63" i="32"/>
  <c r="AK118" i="33" l="1"/>
  <c r="AL118" i="33"/>
  <c r="AK115" i="33"/>
  <c r="AL115" i="33"/>
  <c r="AK116" i="33"/>
  <c r="AL116" i="33"/>
  <c r="AK117" i="33"/>
  <c r="AL117" i="33"/>
  <c r="X95" i="4"/>
  <c r="W95" i="4"/>
  <c r="AG122" i="4"/>
  <c r="AH122" i="4"/>
  <c r="AI122" i="4"/>
  <c r="AJ122" i="4"/>
  <c r="Z95" i="4"/>
  <c r="Y95" i="4"/>
  <c r="AB95" i="4" s="1"/>
  <c r="Y122" i="4"/>
  <c r="Z122" i="4"/>
  <c r="X122" i="4"/>
  <c r="W122" i="4"/>
  <c r="AG96" i="34"/>
  <c r="AH96" i="34"/>
  <c r="AJ97" i="34"/>
  <c r="AI97" i="34"/>
  <c r="AG97" i="34"/>
  <c r="AH97" i="34"/>
  <c r="AI96" i="34"/>
  <c r="AJ96" i="34"/>
  <c r="H53" i="2"/>
  <c r="H37" i="2"/>
  <c r="H51" i="2"/>
  <c r="H45" i="2"/>
  <c r="H44" i="2"/>
  <c r="H39" i="2"/>
  <c r="H40" i="2"/>
  <c r="AI109" i="33"/>
  <c r="AJ109" i="33"/>
  <c r="AI110" i="33"/>
  <c r="AJ110" i="33"/>
  <c r="AH109" i="33"/>
  <c r="AG109" i="33"/>
  <c r="AG110" i="33"/>
  <c r="AH110" i="33"/>
  <c r="N69" i="33"/>
  <c r="F107" i="4"/>
  <c r="F108" i="4"/>
  <c r="F112" i="4"/>
  <c r="F52" i="4"/>
  <c r="I52" i="4" s="1"/>
  <c r="H42" i="2"/>
  <c r="H38" i="2"/>
  <c r="H35" i="2"/>
  <c r="H47" i="2"/>
  <c r="H29" i="2"/>
  <c r="H46" i="2"/>
  <c r="H36" i="2"/>
  <c r="H48" i="2"/>
  <c r="H52" i="2"/>
  <c r="O116" i="33"/>
  <c r="Q116" i="33"/>
  <c r="F1278" i="55" s="1"/>
  <c r="O115" i="33"/>
  <c r="Q115" i="33"/>
  <c r="O104" i="33"/>
  <c r="Q104" i="33"/>
  <c r="Q103" i="33"/>
  <c r="O103" i="33"/>
  <c r="O102" i="33"/>
  <c r="Q102" i="33"/>
  <c r="Q101" i="33"/>
  <c r="O101" i="33"/>
  <c r="O99" i="33"/>
  <c r="Q99" i="33"/>
  <c r="O98" i="33"/>
  <c r="Q98" i="33"/>
  <c r="F1260" i="55" s="1"/>
  <c r="U14" i="77"/>
  <c r="U6" i="77"/>
  <c r="U9" i="77"/>
  <c r="U13" i="77"/>
  <c r="U5" i="77"/>
  <c r="U12" i="77"/>
  <c r="U4" i="77"/>
  <c r="U17" i="77"/>
  <c r="U11" i="77"/>
  <c r="U18" i="77"/>
  <c r="U10" i="77"/>
  <c r="U16" i="77"/>
  <c r="U8" i="77"/>
  <c r="U15" i="77"/>
  <c r="U7" i="77"/>
  <c r="E44" i="55"/>
  <c r="AJ48" i="32"/>
  <c r="AG62" i="34"/>
  <c r="L121" i="33"/>
  <c r="L85" i="33"/>
  <c r="AJ48" i="34"/>
  <c r="AG48" i="34"/>
  <c r="AH48" i="34"/>
  <c r="AI48" i="34"/>
  <c r="AG47" i="34"/>
  <c r="AI47" i="34"/>
  <c r="AJ47" i="34"/>
  <c r="AH47" i="34"/>
  <c r="AJ49" i="34"/>
  <c r="AI49" i="34"/>
  <c r="AG49" i="34"/>
  <c r="AH49" i="34"/>
  <c r="I33" i="30"/>
  <c r="F119" i="36"/>
  <c r="F120" i="36"/>
  <c r="H121" i="36"/>
  <c r="H119" i="36"/>
  <c r="H120" i="36"/>
  <c r="F60" i="36"/>
  <c r="L60" i="36"/>
  <c r="F44" i="30"/>
  <c r="I44" i="30"/>
  <c r="E44" i="30"/>
  <c r="J44" i="30"/>
  <c r="K42" i="30"/>
  <c r="J43" i="30"/>
  <c r="G40" i="30"/>
  <c r="O48" i="34"/>
  <c r="Q48" i="34" s="1"/>
  <c r="L41" i="30"/>
  <c r="O47" i="34"/>
  <c r="Q47" i="34" s="1"/>
  <c r="AM118" i="33"/>
  <c r="R118" i="33" s="1"/>
  <c r="F79" i="55"/>
  <c r="D137" i="55"/>
  <c r="D79" i="55"/>
  <c r="G33" i="30"/>
  <c r="L52" i="32"/>
  <c r="E80" i="55"/>
  <c r="E144" i="55"/>
  <c r="H66" i="2"/>
  <c r="I182" i="4"/>
  <c r="E145" i="55"/>
  <c r="AN66" i="37"/>
  <c r="H130" i="4"/>
  <c r="I130" i="4"/>
  <c r="H127" i="4"/>
  <c r="I127" i="4"/>
  <c r="I128" i="4"/>
  <c r="H128" i="4"/>
  <c r="I129" i="4"/>
  <c r="H129" i="4"/>
  <c r="G60" i="36"/>
  <c r="AH58" i="33"/>
  <c r="G32" i="30"/>
  <c r="L45" i="33"/>
  <c r="N70"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I92" i="4"/>
  <c r="G92" i="4"/>
  <c r="F110" i="34"/>
  <c r="AG46" i="34"/>
  <c r="AH46" i="34"/>
  <c r="AJ46" i="34"/>
  <c r="AI46" i="34"/>
  <c r="AJ42" i="34"/>
  <c r="AG42" i="34"/>
  <c r="AH42" i="34"/>
  <c r="AI42" i="34"/>
  <c r="AI43" i="34"/>
  <c r="AJ43" i="34"/>
  <c r="AG43" i="34"/>
  <c r="AH43" i="34"/>
  <c r="AG44" i="34"/>
  <c r="AH44" i="34"/>
  <c r="AI44" i="34"/>
  <c r="AJ44" i="34"/>
  <c r="AI45" i="34"/>
  <c r="AJ45" i="34"/>
  <c r="AG45" i="34"/>
  <c r="AH45" i="34"/>
  <c r="X73" i="4"/>
  <c r="L65" i="34"/>
  <c r="N60" i="36"/>
  <c r="K39" i="30"/>
  <c r="K38" i="30"/>
  <c r="AJ34" i="34"/>
  <c r="W73" i="4"/>
  <c r="AJ36" i="38"/>
  <c r="Z157" i="4"/>
  <c r="Y157" i="4"/>
  <c r="X157" i="4"/>
  <c r="W157" i="4"/>
  <c r="AG62" i="38"/>
  <c r="AJ62" i="38"/>
  <c r="AH62" i="38"/>
  <c r="AI62" i="38"/>
  <c r="Z112" i="4"/>
  <c r="Y112" i="4"/>
  <c r="AG73" i="38"/>
  <c r="AH73" i="38"/>
  <c r="AJ73" i="38"/>
  <c r="AT105" i="38"/>
  <c r="AS105" i="38"/>
  <c r="AR105" i="38"/>
  <c r="AQ105" i="38"/>
  <c r="Z92" i="4"/>
  <c r="Y92" i="4"/>
  <c r="Z71" i="4"/>
  <c r="Y71" i="4"/>
  <c r="W123" i="4"/>
  <c r="Z123" i="4"/>
  <c r="Y123" i="4"/>
  <c r="X123" i="4"/>
  <c r="BO552" i="4"/>
  <c r="BO541" i="4"/>
  <c r="BO556" i="4"/>
  <c r="BO547" i="4"/>
  <c r="BO555" i="4"/>
  <c r="BO545" i="4"/>
  <c r="BO543" i="4"/>
  <c r="BO557" i="4"/>
  <c r="BO553" i="4"/>
  <c r="BO544" i="4"/>
  <c r="BO542" i="4"/>
  <c r="BO554" i="4"/>
  <c r="BO551" i="4"/>
  <c r="BO549" i="4"/>
  <c r="BO540" i="4"/>
  <c r="Y72" i="4"/>
  <c r="Z72" i="4"/>
  <c r="Y144" i="4"/>
  <c r="Z144" i="4"/>
  <c r="W144" i="4"/>
  <c r="X144" i="4"/>
  <c r="AQ104" i="38"/>
  <c r="AR104" i="38"/>
  <c r="AT104" i="38"/>
  <c r="AS104" i="38"/>
  <c r="AH134" i="4"/>
  <c r="AI134" i="4"/>
  <c r="AJ134" i="4"/>
  <c r="AG134" i="4"/>
  <c r="AH101" i="38"/>
  <c r="AG101" i="38"/>
  <c r="AJ101" i="38"/>
  <c r="AJ80" i="38"/>
  <c r="AH80" i="38"/>
  <c r="AI80" i="38"/>
  <c r="AG80" i="38"/>
  <c r="Y149" i="4"/>
  <c r="W149" i="4"/>
  <c r="X149" i="4"/>
  <c r="Z149" i="4"/>
  <c r="Y102" i="4"/>
  <c r="Z102" i="4"/>
  <c r="AJ66" i="38"/>
  <c r="AG66" i="38"/>
  <c r="AH66" i="38"/>
  <c r="AI66" i="38"/>
  <c r="Y59" i="4"/>
  <c r="Z59" i="4"/>
  <c r="Z101" i="4"/>
  <c r="Y101" i="4"/>
  <c r="AG82" i="38"/>
  <c r="AJ82" i="38"/>
  <c r="AI74" i="38"/>
  <c r="Y57" i="4"/>
  <c r="Z57" i="4"/>
  <c r="Z169" i="4"/>
  <c r="X169" i="4"/>
  <c r="W169" i="4"/>
  <c r="Y169" i="4"/>
  <c r="Y98" i="4"/>
  <c r="Z98" i="4"/>
  <c r="Y49" i="4"/>
  <c r="Z49" i="4"/>
  <c r="AG102" i="38"/>
  <c r="AH102" i="38"/>
  <c r="AJ102" i="38"/>
  <c r="AI102" i="38"/>
  <c r="AI124" i="4"/>
  <c r="AG124" i="4"/>
  <c r="AJ124" i="4"/>
  <c r="AH124" i="4"/>
  <c r="AG64" i="38"/>
  <c r="AI64" i="38"/>
  <c r="AJ64" i="38"/>
  <c r="AH64" i="38"/>
  <c r="Y74" i="4"/>
  <c r="Z74" i="4"/>
  <c r="AJ125" i="4"/>
  <c r="AH125" i="4"/>
  <c r="AI125" i="4"/>
  <c r="AG125" i="4"/>
  <c r="AI83" i="37"/>
  <c r="I90" i="38"/>
  <c r="B2469" i="55" s="1"/>
  <c r="Z90" i="4"/>
  <c r="Y90" i="4"/>
  <c r="AH44" i="38"/>
  <c r="AG44" i="38"/>
  <c r="AI44" i="38"/>
  <c r="AG56" i="38"/>
  <c r="AI56" i="38"/>
  <c r="AJ56" i="38"/>
  <c r="AH56" i="38"/>
  <c r="Y150" i="4"/>
  <c r="X150" i="4"/>
  <c r="W150" i="4"/>
  <c r="Z150" i="4"/>
  <c r="BQ556" i="4"/>
  <c r="BQ547" i="4"/>
  <c r="BQ555" i="4"/>
  <c r="BQ545" i="4"/>
  <c r="BQ543" i="4"/>
  <c r="BQ554" i="4"/>
  <c r="BQ551" i="4"/>
  <c r="BQ549" i="4"/>
  <c r="BQ540" i="4"/>
  <c r="BQ544" i="4"/>
  <c r="BQ542" i="4"/>
  <c r="BQ552" i="4"/>
  <c r="BQ541" i="4"/>
  <c r="BQ557" i="4"/>
  <c r="BQ553" i="4"/>
  <c r="AG49" i="38"/>
  <c r="AI49" i="38"/>
  <c r="AJ49" i="38"/>
  <c r="AH49" i="38"/>
  <c r="Y108" i="4"/>
  <c r="Z108" i="4"/>
  <c r="AH48" i="38"/>
  <c r="AG48" i="38"/>
  <c r="AI48" i="38"/>
  <c r="AG61" i="38"/>
  <c r="AI61" i="38"/>
  <c r="AJ61" i="38"/>
  <c r="AH61" i="38"/>
  <c r="AT101" i="38"/>
  <c r="AR101" i="38"/>
  <c r="AQ101" i="38"/>
  <c r="AS101" i="38"/>
  <c r="Y141" i="4"/>
  <c r="Z141" i="4"/>
  <c r="X141" i="4"/>
  <c r="W141" i="4"/>
  <c r="Y156" i="4"/>
  <c r="Z156" i="4"/>
  <c r="W156" i="4"/>
  <c r="X156" i="4"/>
  <c r="AG100" i="38"/>
  <c r="AH100" i="38"/>
  <c r="AJ100" i="38"/>
  <c r="AI100" i="38"/>
  <c r="AJ47" i="38"/>
  <c r="AI47" i="38"/>
  <c r="AH47" i="38"/>
  <c r="AG47" i="38"/>
  <c r="Y54" i="4"/>
  <c r="Z54" i="4"/>
  <c r="Z107" i="4"/>
  <c r="Y107" i="4"/>
  <c r="AG79" i="38"/>
  <c r="AH79" i="38"/>
  <c r="AI79" i="38"/>
  <c r="AJ79" i="38"/>
  <c r="AJ72" i="38"/>
  <c r="AJ44" i="38"/>
  <c r="AG70" i="38"/>
  <c r="AJ70" i="38"/>
  <c r="AI70" i="38"/>
  <c r="AH70" i="38"/>
  <c r="AR102" i="38"/>
  <c r="AH40" i="38"/>
  <c r="AG40" i="38"/>
  <c r="AI40" i="38"/>
  <c r="AJ40" i="38"/>
  <c r="AG89" i="38"/>
  <c r="AH89" i="38"/>
  <c r="AJ89" i="38"/>
  <c r="AJ35" i="38"/>
  <c r="AI35" i="38"/>
  <c r="AG35" i="38"/>
  <c r="AH35" i="38"/>
  <c r="Z61" i="4"/>
  <c r="Y61" i="4"/>
  <c r="Z45" i="4"/>
  <c r="Y45" i="4"/>
  <c r="W125" i="4"/>
  <c r="X125" i="4"/>
  <c r="Y125" i="4"/>
  <c r="Z125" i="4"/>
  <c r="X170" i="4"/>
  <c r="Z170" i="4"/>
  <c r="W170" i="4"/>
  <c r="Y170" i="4"/>
  <c r="AG81" i="38"/>
  <c r="AI81" i="38"/>
  <c r="AJ81" i="38"/>
  <c r="AH81" i="38"/>
  <c r="AG45" i="38"/>
  <c r="AH45" i="38"/>
  <c r="AJ45" i="38"/>
  <c r="AI45" i="38"/>
  <c r="AS103" i="38"/>
  <c r="AT103" i="38"/>
  <c r="AQ103" i="38"/>
  <c r="AR103" i="38"/>
  <c r="W175" i="4"/>
  <c r="Z175" i="4"/>
  <c r="X175" i="4"/>
  <c r="Y175" i="4"/>
  <c r="Y105" i="4"/>
  <c r="Z105" i="4"/>
  <c r="AG38" i="38"/>
  <c r="AI38" i="38"/>
  <c r="AJ38" i="38"/>
  <c r="AH38" i="38"/>
  <c r="Y88" i="4"/>
  <c r="Z88" i="4"/>
  <c r="X182" i="4"/>
  <c r="Y182" i="4"/>
  <c r="Z182" i="4"/>
  <c r="AA182" i="4"/>
  <c r="K40" i="30"/>
  <c r="Z62" i="4"/>
  <c r="Y62" i="4"/>
  <c r="Y70" i="4"/>
  <c r="Z70" i="4"/>
  <c r="AG65" i="38"/>
  <c r="AI65" i="38"/>
  <c r="AH65" i="38"/>
  <c r="AJ65" i="38"/>
  <c r="AQ100" i="38"/>
  <c r="AR100" i="38"/>
  <c r="AT100" i="38"/>
  <c r="AS100" i="38"/>
  <c r="Y53" i="4"/>
  <c r="Z53" i="4"/>
  <c r="Z52" i="4"/>
  <c r="Y52" i="4"/>
  <c r="AG46" i="38"/>
  <c r="AH46" i="38"/>
  <c r="AJ46" i="38"/>
  <c r="AI46" i="38"/>
  <c r="AA181" i="4"/>
  <c r="Z181" i="4"/>
  <c r="X181" i="4"/>
  <c r="Y181" i="4"/>
  <c r="AG78" i="38"/>
  <c r="AI78" i="38"/>
  <c r="AH78" i="38"/>
  <c r="AJ78" i="38"/>
  <c r="AG41" i="38"/>
  <c r="AJ41" i="38"/>
  <c r="AI41" i="38"/>
  <c r="AH41" i="38"/>
  <c r="Z47" i="4"/>
  <c r="Y47" i="4"/>
  <c r="X135" i="4"/>
  <c r="W135" i="4"/>
  <c r="Z135" i="4"/>
  <c r="Y135" i="4"/>
  <c r="Z111" i="4"/>
  <c r="Y111" i="4"/>
  <c r="AH36" i="38"/>
  <c r="AI36" i="38"/>
  <c r="AG36" i="38"/>
  <c r="Y73" i="4"/>
  <c r="Z73" i="4"/>
  <c r="Y185" i="4"/>
  <c r="Z185" i="4"/>
  <c r="W185" i="4"/>
  <c r="X185" i="4"/>
  <c r="AG63" i="38"/>
  <c r="AI63" i="38"/>
  <c r="AJ63" i="38"/>
  <c r="AH63" i="38"/>
  <c r="AG69" i="38"/>
  <c r="AH90" i="38"/>
  <c r="AI101" i="38"/>
  <c r="AJ104" i="38"/>
  <c r="AG104" i="38"/>
  <c r="AI104" i="38"/>
  <c r="AH104" i="38"/>
  <c r="J106" i="38"/>
  <c r="AI89" i="38"/>
  <c r="AJ39" i="38"/>
  <c r="AH39" i="38"/>
  <c r="AI39" i="38"/>
  <c r="AG39" i="38"/>
  <c r="AJ103" i="38"/>
  <c r="AG103" i="38"/>
  <c r="AH103" i="38"/>
  <c r="AI103" i="38"/>
  <c r="Z55" i="4"/>
  <c r="Y55" i="4"/>
  <c r="Y91" i="4"/>
  <c r="Z91" i="4"/>
  <c r="AJ88" i="38"/>
  <c r="AI88" i="38"/>
  <c r="AH88" i="38"/>
  <c r="AG88" i="38"/>
  <c r="Z89" i="4"/>
  <c r="Y89" i="4"/>
  <c r="Z67" i="4"/>
  <c r="Y67" i="4"/>
  <c r="AH77" i="38"/>
  <c r="AI77" i="38"/>
  <c r="AG77" i="38"/>
  <c r="AJ77" i="38"/>
  <c r="W174" i="4"/>
  <c r="X174" i="4"/>
  <c r="Y174" i="4"/>
  <c r="Z174" i="4"/>
  <c r="AG68" i="38"/>
  <c r="AI68" i="38"/>
  <c r="AH68" i="38"/>
  <c r="AJ68" i="38"/>
  <c r="Y58" i="4"/>
  <c r="Z58" i="4"/>
  <c r="AG33" i="38"/>
  <c r="AH33" i="38"/>
  <c r="AJ33" i="38"/>
  <c r="AI33" i="38"/>
  <c r="X140" i="4"/>
  <c r="Y140" i="4"/>
  <c r="Z140" i="4"/>
  <c r="W140" i="4"/>
  <c r="Z168" i="4"/>
  <c r="W168" i="4"/>
  <c r="X168" i="4"/>
  <c r="Y168" i="4"/>
  <c r="AG42" i="38"/>
  <c r="AH42" i="38"/>
  <c r="AJ42" i="38"/>
  <c r="AI42" i="38"/>
  <c r="AG76" i="38"/>
  <c r="AI76" i="38"/>
  <c r="AJ76" i="38"/>
  <c r="AH76" i="38"/>
  <c r="AJ90" i="38"/>
  <c r="AG90" i="38"/>
  <c r="Y94" i="4"/>
  <c r="Z94" i="4"/>
  <c r="Z60" i="4"/>
  <c r="Y60" i="4"/>
  <c r="AJ43" i="38"/>
  <c r="AI43" i="38"/>
  <c r="AG43" i="38"/>
  <c r="AH43" i="38"/>
  <c r="X180" i="4"/>
  <c r="AA180" i="4"/>
  <c r="Y180" i="4"/>
  <c r="Z180" i="4"/>
  <c r="AG34" i="38"/>
  <c r="AI34" i="38"/>
  <c r="AH34" i="38"/>
  <c r="AJ34" i="38"/>
  <c r="Z46" i="4"/>
  <c r="Y46" i="4"/>
  <c r="Z121" i="4"/>
  <c r="W121" i="4"/>
  <c r="X121" i="4"/>
  <c r="Y121" i="4"/>
  <c r="I57" i="38"/>
  <c r="X61" i="4"/>
  <c r="Y134" i="4"/>
  <c r="X134" i="4"/>
  <c r="W134" i="4"/>
  <c r="Z134" i="4"/>
  <c r="AG37" i="38"/>
  <c r="AJ37" i="38"/>
  <c r="AI37" i="38"/>
  <c r="AH37" i="38"/>
  <c r="Z65" i="4"/>
  <c r="Y65" i="4"/>
  <c r="Z104" i="4"/>
  <c r="Y104" i="4"/>
  <c r="Y56" i="4"/>
  <c r="Z56" i="4"/>
  <c r="AG72" i="38"/>
  <c r="AI72" i="38"/>
  <c r="AH72" i="38"/>
  <c r="W124" i="4"/>
  <c r="X124" i="4"/>
  <c r="Y124" i="4"/>
  <c r="Z124" i="4"/>
  <c r="AG74" i="38"/>
  <c r="AJ74" i="38"/>
  <c r="AH74" i="38"/>
  <c r="W61" i="4"/>
  <c r="Y48" i="4"/>
  <c r="Z48" i="4"/>
  <c r="Z87" i="4"/>
  <c r="Y87" i="4"/>
  <c r="Y99" i="4"/>
  <c r="Z99" i="4"/>
  <c r="AT102" i="38"/>
  <c r="AS102" i="38"/>
  <c r="AQ102" i="38"/>
  <c r="Z76" i="4"/>
  <c r="Y76" i="4"/>
  <c r="AG67" i="38"/>
  <c r="AI67" i="38"/>
  <c r="AJ67" i="38"/>
  <c r="AH67" i="38"/>
  <c r="AJ121" i="4"/>
  <c r="AG121" i="4"/>
  <c r="AH121" i="4"/>
  <c r="AI121" i="4"/>
  <c r="AH69" i="38"/>
  <c r="AJ69" i="38"/>
  <c r="AI69" i="38"/>
  <c r="AG71" i="38"/>
  <c r="AI71" i="38"/>
  <c r="AH71" i="38"/>
  <c r="AJ71" i="38"/>
  <c r="Z106" i="4"/>
  <c r="Y106" i="4"/>
  <c r="Y93" i="4"/>
  <c r="Z93" i="4"/>
  <c r="AG75" i="38"/>
  <c r="AI75" i="38"/>
  <c r="AJ75" i="38"/>
  <c r="AH75" i="38"/>
  <c r="AH123" i="4"/>
  <c r="AI123" i="4"/>
  <c r="AG123" i="4"/>
  <c r="AJ123" i="4"/>
  <c r="AI105" i="38"/>
  <c r="AH105" i="38"/>
  <c r="AG105" i="38"/>
  <c r="AJ105" i="38"/>
  <c r="Z66" i="4"/>
  <c r="Y66" i="4"/>
  <c r="AG57" i="38"/>
  <c r="AI57" i="38"/>
  <c r="AJ57" i="38"/>
  <c r="AH57" i="38"/>
  <c r="AI82" i="38"/>
  <c r="AI90" i="38"/>
  <c r="AI73" i="38"/>
  <c r="I106" i="38"/>
  <c r="AI55" i="38"/>
  <c r="AG55" i="38"/>
  <c r="AH55" i="38"/>
  <c r="AJ55" i="38"/>
  <c r="AH82" i="38"/>
  <c r="AJ48" i="38"/>
  <c r="W53" i="4"/>
  <c r="X53" i="4"/>
  <c r="W104" i="4"/>
  <c r="X104" i="4"/>
  <c r="X106" i="4"/>
  <c r="W106" i="4"/>
  <c r="X102" i="4"/>
  <c r="W102" i="4"/>
  <c r="W98" i="4"/>
  <c r="X98" i="4"/>
  <c r="X52" i="4"/>
  <c r="W52" i="4"/>
  <c r="X93" i="4"/>
  <c r="W93" i="4"/>
  <c r="X65" i="4"/>
  <c r="W65" i="4"/>
  <c r="W74" i="4"/>
  <c r="X74" i="4"/>
  <c r="X76" i="4"/>
  <c r="W76" i="4"/>
  <c r="X87" i="4"/>
  <c r="W87" i="4"/>
  <c r="X105" i="4"/>
  <c r="W105" i="4"/>
  <c r="X62" i="4"/>
  <c r="W62" i="4"/>
  <c r="W92" i="4"/>
  <c r="X92" i="4"/>
  <c r="W88" i="4"/>
  <c r="X88" i="4"/>
  <c r="W99" i="4"/>
  <c r="X99" i="4"/>
  <c r="X94" i="4"/>
  <c r="W94" i="4"/>
  <c r="W57" i="4"/>
  <c r="X57" i="4"/>
  <c r="W70" i="4"/>
  <c r="X70" i="4"/>
  <c r="W101" i="4"/>
  <c r="X101" i="4"/>
  <c r="W89" i="4"/>
  <c r="X89" i="4"/>
  <c r="W54" i="4"/>
  <c r="X54" i="4"/>
  <c r="X67" i="4"/>
  <c r="W67" i="4"/>
  <c r="X58" i="4"/>
  <c r="W58" i="4"/>
  <c r="W91" i="4"/>
  <c r="X91" i="4"/>
  <c r="W55" i="4"/>
  <c r="X55" i="4"/>
  <c r="W71" i="4"/>
  <c r="X71" i="4"/>
  <c r="W60" i="4"/>
  <c r="X60" i="4"/>
  <c r="X90" i="4"/>
  <c r="W90" i="4"/>
  <c r="W66" i="4"/>
  <c r="X66" i="4"/>
  <c r="W59" i="4"/>
  <c r="X59" i="4"/>
  <c r="X72" i="4"/>
  <c r="W72" i="4"/>
  <c r="X56" i="4"/>
  <c r="W56" i="4"/>
  <c r="W45" i="4"/>
  <c r="X45" i="4"/>
  <c r="W48" i="4"/>
  <c r="X48" i="4"/>
  <c r="X108" i="4"/>
  <c r="W108" i="4"/>
  <c r="W49" i="4"/>
  <c r="X49" i="4"/>
  <c r="X112" i="4"/>
  <c r="W112" i="4"/>
  <c r="W47" i="4"/>
  <c r="X47" i="4"/>
  <c r="X107" i="4"/>
  <c r="W107" i="4"/>
  <c r="X46" i="4"/>
  <c r="W46" i="4"/>
  <c r="W111" i="4"/>
  <c r="X111" i="4"/>
  <c r="H45" i="4"/>
  <c r="E36" i="55" s="1"/>
  <c r="AG92" i="32"/>
  <c r="AJ92" i="32"/>
  <c r="AI92" i="32"/>
  <c r="AH92" i="32"/>
  <c r="AJ136" i="33"/>
  <c r="AH136" i="33"/>
  <c r="AI136" i="33"/>
  <c r="AG136" i="33"/>
  <c r="AH101" i="33"/>
  <c r="AI101" i="33"/>
  <c r="AG101" i="33"/>
  <c r="AJ101" i="33"/>
  <c r="AG104" i="33"/>
  <c r="AI104" i="33"/>
  <c r="AJ104" i="33"/>
  <c r="AH104" i="33"/>
  <c r="AI84" i="34"/>
  <c r="AJ84" i="34"/>
  <c r="AH84" i="34"/>
  <c r="AG84" i="34"/>
  <c r="AJ91" i="34"/>
  <c r="AH91" i="34"/>
  <c r="AG91" i="34"/>
  <c r="AI91" i="34"/>
  <c r="AH88" i="32"/>
  <c r="AG88" i="32"/>
  <c r="AJ88" i="32"/>
  <c r="AI88" i="32"/>
  <c r="AG134" i="33"/>
  <c r="AI134" i="33"/>
  <c r="AH134" i="33"/>
  <c r="AJ134" i="33"/>
  <c r="AG99" i="33"/>
  <c r="AJ99" i="33"/>
  <c r="AH99" i="33"/>
  <c r="AI99" i="33"/>
  <c r="AG102" i="33"/>
  <c r="AJ102" i="33"/>
  <c r="AH102" i="33"/>
  <c r="AI102" i="33"/>
  <c r="AJ101" i="34"/>
  <c r="AH101" i="34"/>
  <c r="AI101" i="34"/>
  <c r="AG101" i="34"/>
  <c r="AG81" i="34"/>
  <c r="AH81" i="34"/>
  <c r="AJ81" i="34"/>
  <c r="AI81" i="34"/>
  <c r="AJ94" i="34"/>
  <c r="AG94" i="34"/>
  <c r="AH94" i="34"/>
  <c r="AI98" i="32"/>
  <c r="AH98" i="32"/>
  <c r="AG98" i="32"/>
  <c r="AJ98" i="32"/>
  <c r="AH141" i="33"/>
  <c r="AI141" i="33"/>
  <c r="AJ141" i="33"/>
  <c r="AG141" i="33"/>
  <c r="AG135" i="33"/>
  <c r="AJ135" i="33"/>
  <c r="AH135" i="33"/>
  <c r="AI135" i="33"/>
  <c r="AI100" i="33"/>
  <c r="AJ100" i="33"/>
  <c r="AH100" i="33"/>
  <c r="AG100" i="33"/>
  <c r="AI87" i="34"/>
  <c r="AG87" i="34"/>
  <c r="AJ87" i="34"/>
  <c r="AH87" i="34"/>
  <c r="AI80" i="34"/>
  <c r="AH80" i="34"/>
  <c r="AG80" i="34"/>
  <c r="AJ80" i="34"/>
  <c r="AG98" i="34"/>
  <c r="AH98" i="34"/>
  <c r="AJ98" i="34"/>
  <c r="AI98" i="34"/>
  <c r="AH47" i="35"/>
  <c r="AJ47" i="35"/>
  <c r="AG47" i="35"/>
  <c r="AI47" i="35"/>
  <c r="AI94" i="34"/>
  <c r="AM115" i="33"/>
  <c r="R115" i="33" s="1"/>
  <c r="AI84" i="32"/>
  <c r="AG84" i="32"/>
  <c r="AJ84" i="32"/>
  <c r="AH84" i="32"/>
  <c r="AG98" i="33"/>
  <c r="AI98" i="33"/>
  <c r="AJ98" i="33"/>
  <c r="AH98" i="33"/>
  <c r="AI113" i="33"/>
  <c r="AG113" i="33"/>
  <c r="AJ113" i="33"/>
  <c r="AH113" i="33"/>
  <c r="AI119" i="33"/>
  <c r="AH119" i="33"/>
  <c r="AG119" i="33"/>
  <c r="AJ119" i="33"/>
  <c r="AJ133" i="33"/>
  <c r="AG133" i="33"/>
  <c r="AH133" i="33"/>
  <c r="AI133" i="33"/>
  <c r="AI93" i="34"/>
  <c r="AG93" i="34"/>
  <c r="AJ93" i="34"/>
  <c r="AH93" i="34"/>
  <c r="AG82" i="34"/>
  <c r="AJ82" i="34"/>
  <c r="AI82" i="34"/>
  <c r="AH82" i="34"/>
  <c r="AI79" i="34"/>
  <c r="AJ79" i="34"/>
  <c r="AG79" i="34"/>
  <c r="AH79" i="34"/>
  <c r="AJ108" i="37"/>
  <c r="AI108" i="37"/>
  <c r="AG108" i="37"/>
  <c r="AH108" i="37"/>
  <c r="AH107" i="37"/>
  <c r="AG106" i="37"/>
  <c r="AM117" i="33"/>
  <c r="R117" i="33" s="1"/>
  <c r="K32" i="30"/>
  <c r="AJ77" i="32"/>
  <c r="AI77" i="32"/>
  <c r="AG77" i="32"/>
  <c r="AH77" i="32"/>
  <c r="AH87" i="32"/>
  <c r="AG87" i="32"/>
  <c r="AJ87" i="32"/>
  <c r="AI87" i="32"/>
  <c r="AH111" i="33"/>
  <c r="AJ111" i="33"/>
  <c r="AI111" i="33"/>
  <c r="AG111" i="33"/>
  <c r="AG114" i="33"/>
  <c r="AJ114" i="33"/>
  <c r="AH114" i="33"/>
  <c r="AI114" i="33"/>
  <c r="AH139" i="33"/>
  <c r="AG139" i="33"/>
  <c r="AI139" i="33"/>
  <c r="AJ139" i="33"/>
  <c r="AG109" i="34"/>
  <c r="AJ109" i="34"/>
  <c r="AH109" i="34"/>
  <c r="AI109" i="34"/>
  <c r="AH99" i="34"/>
  <c r="AG99" i="34"/>
  <c r="AJ99" i="34"/>
  <c r="AI99" i="34"/>
  <c r="AJ86" i="34"/>
  <c r="AH86" i="34"/>
  <c r="AG86" i="34"/>
  <c r="AI86" i="34"/>
  <c r="AH106" i="37"/>
  <c r="AI106" i="37"/>
  <c r="AJ106" i="37"/>
  <c r="AG78" i="32"/>
  <c r="AJ78" i="32"/>
  <c r="AI78" i="32"/>
  <c r="AH78" i="32"/>
  <c r="AI97" i="32"/>
  <c r="AJ97" i="32"/>
  <c r="AG97" i="32"/>
  <c r="AH97" i="32"/>
  <c r="AH107" i="33"/>
  <c r="AI107" i="33"/>
  <c r="AG107" i="33"/>
  <c r="AJ107" i="33"/>
  <c r="AH112" i="33"/>
  <c r="AJ112" i="33"/>
  <c r="AG112" i="33"/>
  <c r="AI112" i="33"/>
  <c r="AJ107" i="37"/>
  <c r="AG107" i="37"/>
  <c r="AG102" i="34"/>
  <c r="AH102" i="34"/>
  <c r="AJ102" i="34"/>
  <c r="AI102" i="34"/>
  <c r="AG95" i="34"/>
  <c r="AI95" i="34"/>
  <c r="AH95" i="34"/>
  <c r="AJ95" i="34"/>
  <c r="AI107" i="37"/>
  <c r="AH80" i="32"/>
  <c r="AI80" i="32"/>
  <c r="AG80" i="32"/>
  <c r="AJ80" i="32"/>
  <c r="AG91" i="32"/>
  <c r="AI91" i="32"/>
  <c r="AJ91" i="32"/>
  <c r="AH91" i="32"/>
  <c r="AI105" i="33"/>
  <c r="AJ105" i="33"/>
  <c r="AG105" i="33"/>
  <c r="AH105" i="33"/>
  <c r="AH108" i="33"/>
  <c r="AJ108" i="33"/>
  <c r="AI108" i="33"/>
  <c r="AG108" i="33"/>
  <c r="AH105" i="37"/>
  <c r="AG105" i="37"/>
  <c r="AJ105" i="37"/>
  <c r="AJ110" i="34"/>
  <c r="AI110" i="34"/>
  <c r="AG110" i="34"/>
  <c r="AH110" i="34"/>
  <c r="AI83" i="34"/>
  <c r="AJ83" i="34"/>
  <c r="AH83" i="34"/>
  <c r="AG83" i="34"/>
  <c r="AH92" i="34"/>
  <c r="AJ92" i="34"/>
  <c r="AG92" i="34"/>
  <c r="AI92" i="34"/>
  <c r="AI105" i="37"/>
  <c r="AM116" i="33"/>
  <c r="R116" i="33" s="1"/>
  <c r="AH79" i="32"/>
  <c r="AJ79" i="32"/>
  <c r="AG79" i="32"/>
  <c r="AI79" i="32"/>
  <c r="AJ96" i="32"/>
  <c r="AG96" i="32"/>
  <c r="AH96" i="32"/>
  <c r="AI96" i="32"/>
  <c r="AJ103" i="33"/>
  <c r="AH103" i="33"/>
  <c r="AI103" i="33"/>
  <c r="AG103" i="33"/>
  <c r="AJ106" i="33"/>
  <c r="AH106" i="33"/>
  <c r="AG106" i="33"/>
  <c r="AI106" i="33"/>
  <c r="AH104" i="37"/>
  <c r="AJ104" i="37"/>
  <c r="AI104" i="37"/>
  <c r="AG104" i="37"/>
  <c r="AG100" i="34"/>
  <c r="AI100" i="34"/>
  <c r="AJ100" i="34"/>
  <c r="AH100" i="34"/>
  <c r="AJ85" i="34"/>
  <c r="AI85" i="34"/>
  <c r="AH85" i="34"/>
  <c r="AG85" i="34"/>
  <c r="AJ40" i="32"/>
  <c r="AG100" i="35"/>
  <c r="AH87" i="37"/>
  <c r="AI64" i="35"/>
  <c r="AG63" i="34"/>
  <c r="AI44" i="37"/>
  <c r="AG32" i="33"/>
  <c r="AJ71" i="35"/>
  <c r="AH102" i="35"/>
  <c r="AG126" i="35"/>
  <c r="AJ56" i="32"/>
  <c r="AJ38" i="34"/>
  <c r="AG61" i="33"/>
  <c r="AI43" i="33"/>
  <c r="AG65" i="37"/>
  <c r="AG38" i="10"/>
  <c r="AJ42" i="35"/>
  <c r="AG77" i="37"/>
  <c r="AI57" i="37"/>
  <c r="AI117" i="35"/>
  <c r="L104" i="35"/>
  <c r="AJ76" i="35"/>
  <c r="G42" i="30"/>
  <c r="AH65" i="33"/>
  <c r="AH37" i="10"/>
  <c r="AI56" i="33"/>
  <c r="AI94" i="35"/>
  <c r="AI56" i="34"/>
  <c r="AI75" i="37"/>
  <c r="AG35" i="10"/>
  <c r="L131" i="35"/>
  <c r="AN67" i="35"/>
  <c r="AN62" i="37"/>
  <c r="F170" i="4"/>
  <c r="BL556" i="4"/>
  <c r="BL555" i="4"/>
  <c r="BL554" i="4"/>
  <c r="BL552" i="4"/>
  <c r="BL551" i="4"/>
  <c r="BL547" i="4"/>
  <c r="BL540" i="4"/>
  <c r="BL557" i="4"/>
  <c r="BL545" i="4"/>
  <c r="BL544" i="4"/>
  <c r="BL543" i="4"/>
  <c r="BL542" i="4"/>
  <c r="BL541" i="4"/>
  <c r="BL549" i="4"/>
  <c r="BL553" i="4"/>
  <c r="I181" i="4"/>
  <c r="G181" i="4"/>
  <c r="L46" i="37"/>
  <c r="K37" i="30"/>
  <c r="S180" i="4"/>
  <c r="H180" i="4" s="1"/>
  <c r="L53" i="35"/>
  <c r="K140" i="35"/>
  <c r="G38" i="30"/>
  <c r="G46" i="4"/>
  <c r="D37" i="55" s="1"/>
  <c r="G35" i="30"/>
  <c r="G34" i="30"/>
  <c r="O111" i="33"/>
  <c r="E1273" i="55" s="1"/>
  <c r="O105" i="33"/>
  <c r="E1267" i="55" s="1"/>
  <c r="O114" i="33"/>
  <c r="E1276" i="55" s="1"/>
  <c r="K65" i="32"/>
  <c r="M60" i="36"/>
  <c r="J60" i="36"/>
  <c r="F60" i="4"/>
  <c r="AJ71" i="33"/>
  <c r="AG71" i="33"/>
  <c r="AH71" i="33"/>
  <c r="AI71" i="33"/>
  <c r="AH77" i="33"/>
  <c r="AJ77" i="33"/>
  <c r="AG77" i="33"/>
  <c r="AI77" i="33"/>
  <c r="AJ80" i="33"/>
  <c r="AG80" i="33"/>
  <c r="AH80" i="33"/>
  <c r="AI80" i="33"/>
  <c r="AJ67" i="33"/>
  <c r="AI67" i="33"/>
  <c r="AG67" i="33"/>
  <c r="AH67" i="33"/>
  <c r="AG74" i="33"/>
  <c r="AI74" i="33"/>
  <c r="AH74" i="33"/>
  <c r="AJ74" i="33"/>
  <c r="O100" i="33"/>
  <c r="E1262" i="55" s="1"/>
  <c r="K36" i="30"/>
  <c r="O108" i="33"/>
  <c r="E1270" i="55" s="1"/>
  <c r="O118" i="33"/>
  <c r="O113" i="33"/>
  <c r="E1275" i="55" s="1"/>
  <c r="K34" i="30"/>
  <c r="O106" i="33"/>
  <c r="E1268" i="55" s="1"/>
  <c r="G36" i="30"/>
  <c r="O109" i="33"/>
  <c r="O107" i="33"/>
  <c r="E1269" i="55" s="1"/>
  <c r="O112" i="33"/>
  <c r="E1274" i="55" s="1"/>
  <c r="K35" i="30"/>
  <c r="G65" i="4"/>
  <c r="D53" i="55" s="1"/>
  <c r="I118" i="36"/>
  <c r="I120" i="36" s="1"/>
  <c r="E60" i="36"/>
  <c r="G121" i="37"/>
  <c r="H123" i="37" s="1"/>
  <c r="I123" i="37" s="1"/>
  <c r="L41" i="10"/>
  <c r="L32" i="30" s="1"/>
  <c r="G37" i="30"/>
  <c r="F39" i="4"/>
  <c r="K60" i="36"/>
  <c r="O117" i="33"/>
  <c r="E1279" i="55" s="1"/>
  <c r="G39" i="30"/>
  <c r="L151" i="37"/>
  <c r="O110" i="33"/>
  <c r="D59" i="36"/>
  <c r="K121" i="37"/>
  <c r="G140" i="35"/>
  <c r="AH43" i="33"/>
  <c r="AH40" i="32"/>
  <c r="AH94" i="35"/>
  <c r="G43" i="30"/>
  <c r="AJ63" i="34"/>
  <c r="AG58" i="33"/>
  <c r="AG56" i="32"/>
  <c r="AH56" i="32"/>
  <c r="AJ43" i="33"/>
  <c r="AG43" i="33"/>
  <c r="AI61" i="33"/>
  <c r="AH100" i="35"/>
  <c r="AH32" i="33"/>
  <c r="AJ100" i="35"/>
  <c r="AH35" i="10"/>
  <c r="AH63" i="34"/>
  <c r="AI63" i="34"/>
  <c r="AJ65" i="33"/>
  <c r="AH71" i="35"/>
  <c r="AI34" i="34"/>
  <c r="AJ62" i="34"/>
  <c r="AI62" i="34"/>
  <c r="AI77" i="37"/>
  <c r="AG102" i="35"/>
  <c r="AH62" i="34"/>
  <c r="AG65" i="33"/>
  <c r="AG71" i="35"/>
  <c r="AI71" i="35"/>
  <c r="AI65" i="33"/>
  <c r="AH65" i="37"/>
  <c r="AJ117" i="35"/>
  <c r="AH57" i="37"/>
  <c r="AG57" i="37"/>
  <c r="AJ57" i="37"/>
  <c r="AH83" i="37"/>
  <c r="AG87" i="37"/>
  <c r="AI87" i="37"/>
  <c r="AJ87" i="37"/>
  <c r="AI58" i="33"/>
  <c r="AI56" i="32"/>
  <c r="AG83" i="37"/>
  <c r="AJ58" i="33"/>
  <c r="AJ83" i="37"/>
  <c r="AJ65" i="37"/>
  <c r="AH42" i="35"/>
  <c r="AI40" i="32"/>
  <c r="AJ38" i="10"/>
  <c r="AG40" i="32"/>
  <c r="AI38" i="10"/>
  <c r="AI42" i="35"/>
  <c r="AH38" i="10"/>
  <c r="AG42" i="35"/>
  <c r="AI65" i="37"/>
  <c r="AJ64" i="35"/>
  <c r="AG75" i="37"/>
  <c r="AJ75" i="37"/>
  <c r="AG117" i="35"/>
  <c r="AH117" i="35"/>
  <c r="AH75" i="37"/>
  <c r="AJ102" i="35"/>
  <c r="AJ56" i="34"/>
  <c r="AG56" i="34"/>
  <c r="AI102" i="35"/>
  <c r="AI37" i="10"/>
  <c r="AJ37" i="10"/>
  <c r="AG37" i="10"/>
  <c r="AG33" i="37"/>
  <c r="AI33" i="37"/>
  <c r="AH33" i="37"/>
  <c r="AJ33" i="37"/>
  <c r="AH34" i="34"/>
  <c r="AG34" i="34"/>
  <c r="AI39" i="32"/>
  <c r="AH39" i="32"/>
  <c r="AG39" i="32"/>
  <c r="AJ39" i="32"/>
  <c r="AJ73" i="37"/>
  <c r="AH73" i="37"/>
  <c r="AI73" i="37"/>
  <c r="AG73" i="37"/>
  <c r="AJ61" i="33"/>
  <c r="AH61" i="33"/>
  <c r="AI72" i="35"/>
  <c r="AH72" i="35"/>
  <c r="AG72" i="35"/>
  <c r="AJ72" i="35"/>
  <c r="AH44" i="37"/>
  <c r="AG44" i="37"/>
  <c r="AJ44" i="37"/>
  <c r="AI100" i="35"/>
  <c r="AH56" i="34"/>
  <c r="AJ41" i="33"/>
  <c r="AH41" i="33"/>
  <c r="AI41" i="33"/>
  <c r="AG41" i="33"/>
  <c r="AJ55" i="34"/>
  <c r="AI55" i="34"/>
  <c r="AG55" i="34"/>
  <c r="AH55" i="34"/>
  <c r="AG43" i="35"/>
  <c r="AI43" i="35"/>
  <c r="AJ43" i="35"/>
  <c r="AH43" i="35"/>
  <c r="AG43" i="37"/>
  <c r="AJ43" i="37"/>
  <c r="AH43" i="37"/>
  <c r="AI43" i="37"/>
  <c r="AH56" i="33"/>
  <c r="AJ56" i="33"/>
  <c r="AG56" i="33"/>
  <c r="AJ91" i="35"/>
  <c r="AI91" i="35"/>
  <c r="AG91" i="35"/>
  <c r="AH91" i="35"/>
  <c r="AH64" i="35"/>
  <c r="AG64" i="35"/>
  <c r="AI42" i="33"/>
  <c r="AJ42" i="33"/>
  <c r="AG42" i="33"/>
  <c r="AH42" i="33"/>
  <c r="AH76" i="35"/>
  <c r="AI76" i="35"/>
  <c r="AG76" i="35"/>
  <c r="AH121" i="37"/>
  <c r="AI121" i="37"/>
  <c r="AJ121" i="37"/>
  <c r="AG121" i="37"/>
  <c r="AH38" i="34"/>
  <c r="AG38" i="34"/>
  <c r="AI38" i="34"/>
  <c r="AJ88" i="37"/>
  <c r="AI88" i="37"/>
  <c r="AH88" i="37"/>
  <c r="AG88" i="37"/>
  <c r="AI32" i="33"/>
  <c r="AJ32" i="33"/>
  <c r="AH125" i="35"/>
  <c r="AG125" i="35"/>
  <c r="AI125" i="35"/>
  <c r="AJ125" i="35"/>
  <c r="AH48" i="32"/>
  <c r="AG48" i="32"/>
  <c r="AI48" i="32"/>
  <c r="AI35" i="10"/>
  <c r="AJ35" i="10"/>
  <c r="AH98" i="35"/>
  <c r="AJ98" i="35"/>
  <c r="AI98" i="35"/>
  <c r="AG98" i="35"/>
  <c r="AH59" i="32"/>
  <c r="AI59" i="32"/>
  <c r="AJ59" i="32"/>
  <c r="AG59" i="32"/>
  <c r="AI126" i="35"/>
  <c r="AH126" i="35"/>
  <c r="AJ126" i="35"/>
  <c r="AH99" i="35"/>
  <c r="AI99" i="35"/>
  <c r="AJ99" i="35"/>
  <c r="AG99" i="35"/>
  <c r="AH77" i="37"/>
  <c r="AJ77" i="37"/>
  <c r="AJ78" i="35"/>
  <c r="AG78" i="35"/>
  <c r="AI78" i="35"/>
  <c r="AH78" i="35"/>
  <c r="AG94" i="35"/>
  <c r="AJ94" i="35"/>
  <c r="AG60" i="32"/>
  <c r="AH60" i="32"/>
  <c r="AI60" i="32"/>
  <c r="AJ60" i="32"/>
  <c r="AH55" i="33"/>
  <c r="AJ55" i="33"/>
  <c r="AI55" i="33"/>
  <c r="AG55" i="33"/>
  <c r="AH32" i="32"/>
  <c r="AG32" i="32"/>
  <c r="AJ32" i="32"/>
  <c r="AI32" i="32"/>
  <c r="AG70" i="35"/>
  <c r="AI70" i="35"/>
  <c r="AJ70" i="35"/>
  <c r="AH70" i="35"/>
  <c r="AJ51" i="35"/>
  <c r="AH51" i="35"/>
  <c r="AG51" i="35"/>
  <c r="AI51" i="35"/>
  <c r="AI33" i="35"/>
  <c r="AG33" i="35"/>
  <c r="AJ33" i="35"/>
  <c r="AH33" i="35"/>
  <c r="AH53" i="32"/>
  <c r="AG53" i="32"/>
  <c r="AI53" i="32"/>
  <c r="AJ53" i="32"/>
  <c r="AI32" i="10"/>
  <c r="AH32" i="10"/>
  <c r="AJ32" i="10"/>
  <c r="AG32" i="10"/>
  <c r="G182" i="4"/>
  <c r="AI84" i="37"/>
  <c r="AJ84" i="37"/>
  <c r="AH84" i="37"/>
  <c r="AG84" i="37"/>
  <c r="AG37" i="35"/>
  <c r="AI37" i="35"/>
  <c r="AH37" i="35"/>
  <c r="AJ37" i="35"/>
  <c r="AH123" i="35"/>
  <c r="AI123" i="35"/>
  <c r="AJ123" i="35"/>
  <c r="AG123" i="35"/>
  <c r="AJ127" i="35"/>
  <c r="AG127" i="35"/>
  <c r="AI127" i="35"/>
  <c r="AH127" i="35"/>
  <c r="AJ73" i="35"/>
  <c r="AG73" i="35"/>
  <c r="AH73" i="35"/>
  <c r="AI73" i="35"/>
  <c r="AJ60" i="33"/>
  <c r="AG60" i="33"/>
  <c r="AH60" i="33"/>
  <c r="AI60" i="33"/>
  <c r="AH121" i="35"/>
  <c r="AI121" i="35"/>
  <c r="AJ121" i="35"/>
  <c r="AG121" i="35"/>
  <c r="AH40" i="35"/>
  <c r="AG40" i="35"/>
  <c r="AI40" i="35"/>
  <c r="AJ40" i="35"/>
  <c r="AG59" i="33"/>
  <c r="AI59" i="33"/>
  <c r="AJ59" i="33"/>
  <c r="AH59" i="33"/>
  <c r="AG82" i="35"/>
  <c r="AI82" i="35"/>
  <c r="AH82" i="35"/>
  <c r="AJ82" i="35"/>
  <c r="AJ81" i="37"/>
  <c r="AI81" i="37"/>
  <c r="AG81" i="37"/>
  <c r="AH81" i="37"/>
  <c r="AJ97" i="35"/>
  <c r="AI97" i="35"/>
  <c r="AH97" i="35"/>
  <c r="AG97" i="35"/>
  <c r="AG67" i="35"/>
  <c r="AI67" i="35"/>
  <c r="AH67" i="35"/>
  <c r="AJ67" i="35"/>
  <c r="AI88" i="35"/>
  <c r="AJ88" i="35"/>
  <c r="AH88" i="35"/>
  <c r="AG88" i="35"/>
  <c r="AG66" i="33"/>
  <c r="AH66" i="33"/>
  <c r="AI66" i="33"/>
  <c r="AJ66" i="33"/>
  <c r="AH47" i="32"/>
  <c r="AI47" i="32"/>
  <c r="AJ47" i="32"/>
  <c r="AG47" i="32"/>
  <c r="AJ129" i="35"/>
  <c r="AG129" i="35"/>
  <c r="AI129" i="35"/>
  <c r="AH129" i="35"/>
  <c r="AI115" i="35"/>
  <c r="AG115" i="35"/>
  <c r="AJ115" i="35"/>
  <c r="AH115" i="35"/>
  <c r="AI74" i="35"/>
  <c r="AH74" i="35"/>
  <c r="AJ74" i="35"/>
  <c r="AG74" i="35"/>
  <c r="AG59" i="34"/>
  <c r="AJ59" i="34"/>
  <c r="AH59" i="34"/>
  <c r="AI59" i="34"/>
  <c r="AG120" i="35"/>
  <c r="AH120" i="35"/>
  <c r="AI120" i="35"/>
  <c r="AJ120" i="35"/>
  <c r="AJ41" i="34"/>
  <c r="AH41" i="34"/>
  <c r="AG41" i="34"/>
  <c r="AI41" i="34"/>
  <c r="AJ86" i="35"/>
  <c r="AG86" i="35"/>
  <c r="AI86" i="35"/>
  <c r="AH86" i="35"/>
  <c r="AG36" i="32"/>
  <c r="AJ36" i="32"/>
  <c r="AI36" i="32"/>
  <c r="AH36" i="32"/>
  <c r="AJ38" i="32"/>
  <c r="AH38" i="32"/>
  <c r="AI38" i="32"/>
  <c r="AG38" i="32"/>
  <c r="AG52" i="32"/>
  <c r="AH52" i="32"/>
  <c r="AI52" i="32"/>
  <c r="AJ52" i="32"/>
  <c r="AJ33" i="32"/>
  <c r="AI33" i="32"/>
  <c r="AH33" i="32"/>
  <c r="AG33" i="32"/>
  <c r="AI35" i="35"/>
  <c r="AJ35" i="35"/>
  <c r="AH35" i="35"/>
  <c r="AG35" i="35"/>
  <c r="AG34" i="35"/>
  <c r="AJ34" i="35"/>
  <c r="AI34" i="35"/>
  <c r="AH34" i="35"/>
  <c r="AI57" i="32"/>
  <c r="AJ57" i="32"/>
  <c r="AG57" i="32"/>
  <c r="AH57" i="32"/>
  <c r="AI33" i="10"/>
  <c r="AG33" i="10"/>
  <c r="AH33" i="10"/>
  <c r="AJ33" i="10"/>
  <c r="AH63" i="32"/>
  <c r="AG63" i="32"/>
  <c r="AJ63" i="32"/>
  <c r="AI63" i="32"/>
  <c r="AJ37" i="34"/>
  <c r="AH37" i="34"/>
  <c r="AG37" i="34"/>
  <c r="AI37" i="34"/>
  <c r="AH83" i="35"/>
  <c r="AJ83" i="35"/>
  <c r="AG83" i="35"/>
  <c r="AI83" i="35"/>
  <c r="AJ58" i="32"/>
  <c r="AG58" i="32"/>
  <c r="AI58" i="32"/>
  <c r="AH58" i="32"/>
  <c r="AI63" i="33"/>
  <c r="AH63" i="33"/>
  <c r="AG63" i="33"/>
  <c r="AJ63" i="33"/>
  <c r="AH72" i="37"/>
  <c r="AI72" i="37"/>
  <c r="AJ72" i="37"/>
  <c r="AG72" i="37"/>
  <c r="AG45" i="35"/>
  <c r="AJ45" i="35"/>
  <c r="AI45" i="35"/>
  <c r="AH45" i="35"/>
  <c r="AI42" i="32"/>
  <c r="AJ42" i="32"/>
  <c r="AH42" i="32"/>
  <c r="AG42" i="32"/>
  <c r="AJ61" i="32"/>
  <c r="AH61" i="32"/>
  <c r="AG61" i="32"/>
  <c r="AI61" i="32"/>
  <c r="AG54" i="34"/>
  <c r="AJ54" i="34"/>
  <c r="AI54" i="34"/>
  <c r="AH54" i="34"/>
  <c r="AJ39" i="33"/>
  <c r="AI39" i="33"/>
  <c r="AH39" i="33"/>
  <c r="AG39" i="33"/>
  <c r="AJ41" i="35"/>
  <c r="AI41" i="35"/>
  <c r="AG41" i="35"/>
  <c r="AH41" i="35"/>
  <c r="AJ41" i="32"/>
  <c r="AI41" i="32"/>
  <c r="AG41" i="32"/>
  <c r="AH41" i="32"/>
  <c r="AI46" i="32"/>
  <c r="AG46" i="32"/>
  <c r="AJ46" i="32"/>
  <c r="AH46" i="32"/>
  <c r="AH67" i="37"/>
  <c r="AG67" i="37"/>
  <c r="AI67" i="37"/>
  <c r="AJ67" i="37"/>
  <c r="AI32" i="34"/>
  <c r="AJ32" i="34"/>
  <c r="AH32" i="34"/>
  <c r="AG32" i="34"/>
  <c r="AJ77" i="35"/>
  <c r="AH77" i="35"/>
  <c r="AG77" i="35"/>
  <c r="AI77" i="35"/>
  <c r="AG66" i="37"/>
  <c r="AJ66" i="37"/>
  <c r="AH66" i="37"/>
  <c r="AI66" i="37"/>
  <c r="AJ75" i="35"/>
  <c r="AG75" i="35"/>
  <c r="AI75" i="35"/>
  <c r="AH75" i="35"/>
  <c r="AG38" i="33"/>
  <c r="AI38" i="33"/>
  <c r="AH38" i="33"/>
  <c r="AJ38" i="33"/>
  <c r="AJ49" i="32"/>
  <c r="AI49" i="32"/>
  <c r="AH49" i="32"/>
  <c r="AG49" i="32"/>
  <c r="AI87" i="35"/>
  <c r="AG87" i="35"/>
  <c r="AH87" i="35"/>
  <c r="AJ87" i="35"/>
  <c r="AH79" i="37"/>
  <c r="AI79" i="37"/>
  <c r="AJ79" i="37"/>
  <c r="AG79" i="37"/>
  <c r="AG64" i="33"/>
  <c r="AH64" i="33"/>
  <c r="AJ64" i="33"/>
  <c r="AI64" i="33"/>
  <c r="AG101" i="35"/>
  <c r="AI101" i="35"/>
  <c r="AJ101" i="35"/>
  <c r="AH101" i="35"/>
  <c r="AJ40" i="33"/>
  <c r="AG40" i="33"/>
  <c r="AH40" i="33"/>
  <c r="AI40" i="33"/>
  <c r="AH57" i="33"/>
  <c r="AI57" i="33"/>
  <c r="AG57" i="33"/>
  <c r="AJ57" i="33"/>
  <c r="AG33" i="33"/>
  <c r="AJ33" i="33"/>
  <c r="AI33" i="33"/>
  <c r="AH33" i="33"/>
  <c r="AI36" i="35"/>
  <c r="AJ36" i="35"/>
  <c r="AG36" i="35"/>
  <c r="AH36" i="35"/>
  <c r="AG53" i="34"/>
  <c r="AJ53" i="34"/>
  <c r="AI53" i="34"/>
  <c r="AH53" i="34"/>
  <c r="AJ45" i="37"/>
  <c r="AI45" i="37"/>
  <c r="AH45" i="37"/>
  <c r="AG45" i="37"/>
  <c r="AJ69" i="37"/>
  <c r="AI69" i="37"/>
  <c r="AG69" i="37"/>
  <c r="AH69" i="37"/>
  <c r="AI69" i="35"/>
  <c r="AH69" i="35"/>
  <c r="AJ69" i="35"/>
  <c r="AG69" i="35"/>
  <c r="AH37" i="32"/>
  <c r="AJ37" i="32"/>
  <c r="AG37" i="32"/>
  <c r="AI37" i="32"/>
  <c r="AI91" i="37"/>
  <c r="AJ91" i="37"/>
  <c r="AH91" i="37"/>
  <c r="AG91" i="37"/>
  <c r="AI34" i="10"/>
  <c r="AG34" i="10"/>
  <c r="AJ34" i="10"/>
  <c r="AH34" i="10"/>
  <c r="AJ89" i="37"/>
  <c r="AG89" i="37"/>
  <c r="AH89" i="37"/>
  <c r="AI89" i="37"/>
  <c r="AI81" i="35"/>
  <c r="AH81" i="35"/>
  <c r="AJ81" i="35"/>
  <c r="AG81" i="35"/>
  <c r="AH49" i="35"/>
  <c r="AI49" i="35"/>
  <c r="AG49" i="35"/>
  <c r="AJ49" i="35"/>
  <c r="AG62" i="37"/>
  <c r="AJ62" i="37"/>
  <c r="AI62" i="37"/>
  <c r="AH62" i="37"/>
  <c r="AI68" i="35"/>
  <c r="AJ68" i="35"/>
  <c r="AG68" i="35"/>
  <c r="AH68" i="35"/>
  <c r="AG89" i="35"/>
  <c r="AJ89" i="35"/>
  <c r="AI89" i="35"/>
  <c r="AH89" i="35"/>
  <c r="AG68" i="33"/>
  <c r="AH68" i="33"/>
  <c r="AI68" i="33"/>
  <c r="AJ68" i="33"/>
  <c r="AI63" i="37"/>
  <c r="AH63" i="37"/>
  <c r="AG63" i="37"/>
  <c r="AJ63" i="37"/>
  <c r="AI62" i="33"/>
  <c r="AH62" i="33"/>
  <c r="AJ62" i="33"/>
  <c r="AG62" i="33"/>
  <c r="AG64" i="37"/>
  <c r="AJ64" i="37"/>
  <c r="AH64" i="37"/>
  <c r="AI64" i="37"/>
  <c r="G68" i="4"/>
  <c r="B368" i="55"/>
  <c r="B377" i="55"/>
  <c r="B363" i="55"/>
  <c r="B362" i="55"/>
  <c r="B376" i="55"/>
  <c r="B367" i="55"/>
  <c r="B360" i="55"/>
  <c r="I119" i="36" l="1"/>
  <c r="H70" i="33"/>
  <c r="AA122" i="4"/>
  <c r="AL122" i="4"/>
  <c r="AK122" i="4"/>
  <c r="AA95" i="4"/>
  <c r="AC95" i="4" s="1"/>
  <c r="H95" i="4" s="1"/>
  <c r="AB122" i="4"/>
  <c r="AK110" i="33"/>
  <c r="AL109" i="33"/>
  <c r="J54" i="2"/>
  <c r="K54" i="2"/>
  <c r="J53" i="2"/>
  <c r="K53" i="2"/>
  <c r="K37" i="2"/>
  <c r="F360" i="55" s="1"/>
  <c r="J37" i="2"/>
  <c r="E360" i="55" s="1"/>
  <c r="K44" i="2"/>
  <c r="F367" i="55" s="1"/>
  <c r="J44" i="2"/>
  <c r="E367" i="55" s="1"/>
  <c r="K40" i="2"/>
  <c r="F363" i="55" s="1"/>
  <c r="J40" i="2"/>
  <c r="E363" i="55" s="1"/>
  <c r="J39" i="2"/>
  <c r="E362" i="55" s="1"/>
  <c r="K39" i="2"/>
  <c r="F362" i="55" s="1"/>
  <c r="J45" i="2"/>
  <c r="E368" i="55" s="1"/>
  <c r="K45" i="2"/>
  <c r="F368" i="55" s="1"/>
  <c r="J51" i="2"/>
  <c r="K51" i="2"/>
  <c r="AK109" i="33"/>
  <c r="AL110" i="33"/>
  <c r="H69" i="33"/>
  <c r="U3" i="77"/>
  <c r="H67" i="4"/>
  <c r="E55" i="55" s="1"/>
  <c r="I67" i="4"/>
  <c r="J15" i="77"/>
  <c r="J7" i="77"/>
  <c r="J14" i="77"/>
  <c r="J6" i="77"/>
  <c r="J18" i="77"/>
  <c r="J16" i="77"/>
  <c r="J13" i="77"/>
  <c r="J5" i="77"/>
  <c r="J10" i="77"/>
  <c r="J12" i="77"/>
  <c r="J11" i="77"/>
  <c r="J17" i="77"/>
  <c r="J9" i="77"/>
  <c r="J8" i="77"/>
  <c r="F41" i="55"/>
  <c r="H52" i="4"/>
  <c r="E41" i="55" s="1"/>
  <c r="H108" i="4"/>
  <c r="E95" i="55" s="1"/>
  <c r="I108" i="4"/>
  <c r="F95" i="55" s="1"/>
  <c r="I107" i="4"/>
  <c r="F94" i="55" s="1"/>
  <c r="H107" i="4"/>
  <c r="G107" i="4" s="1"/>
  <c r="J73" i="4"/>
  <c r="G61" i="55" s="1"/>
  <c r="H56" i="2"/>
  <c r="K48" i="2"/>
  <c r="J48" i="2"/>
  <c r="E371" i="55" s="1"/>
  <c r="J42" i="2"/>
  <c r="E365" i="55" s="1"/>
  <c r="K42" i="2"/>
  <c r="F365" i="55" s="1"/>
  <c r="K29" i="2"/>
  <c r="J29" i="2"/>
  <c r="E352" i="55" s="1"/>
  <c r="J47" i="2"/>
  <c r="K47" i="2"/>
  <c r="J36" i="2"/>
  <c r="E359" i="55" s="1"/>
  <c r="K36" i="2"/>
  <c r="K52" i="2"/>
  <c r="J52" i="2"/>
  <c r="J46" i="2"/>
  <c r="E369" i="55" s="1"/>
  <c r="K46" i="2"/>
  <c r="F369" i="55" s="1"/>
  <c r="K38" i="2"/>
  <c r="F361" i="55" s="1"/>
  <c r="J38" i="2"/>
  <c r="J35" i="2"/>
  <c r="K35" i="2"/>
  <c r="F358" i="55" s="1"/>
  <c r="AK62" i="34"/>
  <c r="AL48" i="32"/>
  <c r="F45" i="30"/>
  <c r="D120" i="36" s="1"/>
  <c r="BY390" i="49"/>
  <c r="AK47" i="34"/>
  <c r="AL47" i="34"/>
  <c r="AK33" i="10"/>
  <c r="AL48" i="34"/>
  <c r="AK48" i="34"/>
  <c r="AK49" i="34"/>
  <c r="I45" i="30"/>
  <c r="AL49" i="34"/>
  <c r="AL34" i="10"/>
  <c r="AL33" i="10"/>
  <c r="AK34" i="10"/>
  <c r="AK32" i="10"/>
  <c r="AL32" i="10"/>
  <c r="L65" i="32"/>
  <c r="I121" i="36"/>
  <c r="BW390" i="49"/>
  <c r="F58" i="4"/>
  <c r="E45" i="30"/>
  <c r="J45" i="30"/>
  <c r="O41" i="30"/>
  <c r="O46" i="37"/>
  <c r="E2268" i="55" s="1"/>
  <c r="Q41" i="30"/>
  <c r="E1457" i="55"/>
  <c r="F1457" i="55"/>
  <c r="E1456" i="55"/>
  <c r="F1277" i="55"/>
  <c r="F1263" i="55"/>
  <c r="F1266" i="55"/>
  <c r="F1265" i="55"/>
  <c r="F1261" i="55"/>
  <c r="F90" i="4"/>
  <c r="N118" i="33"/>
  <c r="D1280" i="55" s="1"/>
  <c r="E1280" i="55"/>
  <c r="E1272" i="55"/>
  <c r="E1271" i="55"/>
  <c r="F1264" i="55"/>
  <c r="AZ544" i="4"/>
  <c r="D56" i="55"/>
  <c r="E1264" i="55"/>
  <c r="E1265" i="55"/>
  <c r="E1266" i="55"/>
  <c r="D144" i="55"/>
  <c r="F144" i="55"/>
  <c r="E1278" i="55"/>
  <c r="E1263" i="55"/>
  <c r="E1261" i="55"/>
  <c r="D145" i="55"/>
  <c r="F145" i="55"/>
  <c r="E1260" i="55"/>
  <c r="N115" i="33"/>
  <c r="E1277" i="55"/>
  <c r="E107" i="55"/>
  <c r="E119" i="55"/>
  <c r="D80" i="55"/>
  <c r="I180" i="4"/>
  <c r="E143" i="55"/>
  <c r="F80" i="55"/>
  <c r="D118" i="55"/>
  <c r="D106" i="55"/>
  <c r="E118" i="55"/>
  <c r="E106" i="55"/>
  <c r="E120" i="55"/>
  <c r="E108" i="55"/>
  <c r="D120" i="55"/>
  <c r="D108" i="55"/>
  <c r="E117" i="55"/>
  <c r="E105" i="55"/>
  <c r="D117" i="55"/>
  <c r="D105" i="55"/>
  <c r="D107" i="55"/>
  <c r="D119" i="55"/>
  <c r="E70" i="33"/>
  <c r="F70" i="33"/>
  <c r="I70" i="33"/>
  <c r="J70" i="33"/>
  <c r="I69" i="33"/>
  <c r="J69" i="33"/>
  <c r="F69" i="33"/>
  <c r="E69" i="33"/>
  <c r="AK58" i="33"/>
  <c r="AL42" i="33"/>
  <c r="AK42" i="33"/>
  <c r="BT390" i="49"/>
  <c r="O131" i="35"/>
  <c r="L40" i="30"/>
  <c r="F38" i="4"/>
  <c r="N117" i="33"/>
  <c r="I131" i="4"/>
  <c r="H131" i="4"/>
  <c r="AU100" i="38"/>
  <c r="AK100" i="38"/>
  <c r="AU101" i="38"/>
  <c r="AV104" i="38"/>
  <c r="AA174" i="4"/>
  <c r="AV103" i="38"/>
  <c r="AV101" i="38"/>
  <c r="AB174" i="4"/>
  <c r="AV102" i="38"/>
  <c r="AU105" i="38"/>
  <c r="AU102" i="38"/>
  <c r="AV100" i="38"/>
  <c r="AU104" i="38"/>
  <c r="AU103" i="38"/>
  <c r="AV105" i="38"/>
  <c r="AM111" i="34"/>
  <c r="O111" i="34" s="1"/>
  <c r="G175" i="4"/>
  <c r="Q111" i="34"/>
  <c r="AK45" i="34"/>
  <c r="AK43" i="34"/>
  <c r="AK46" i="34"/>
  <c r="AL45" i="34"/>
  <c r="AK44" i="34"/>
  <c r="AL46" i="34"/>
  <c r="AL43" i="34"/>
  <c r="AL42" i="34"/>
  <c r="AL44" i="34"/>
  <c r="AK42" i="34"/>
  <c r="AA73" i="4"/>
  <c r="N81" i="33"/>
  <c r="N75" i="33"/>
  <c r="N72" i="33"/>
  <c r="N78" i="33"/>
  <c r="N82" i="33"/>
  <c r="N76" i="33"/>
  <c r="H76" i="33" s="1"/>
  <c r="N79" i="33"/>
  <c r="N73" i="33"/>
  <c r="O104" i="35"/>
  <c r="AL34" i="34"/>
  <c r="L39" i="30"/>
  <c r="F37" i="4"/>
  <c r="BO538" i="4"/>
  <c r="BQ538" i="4"/>
  <c r="AL36" i="38"/>
  <c r="AB107" i="4"/>
  <c r="AK61" i="38"/>
  <c r="AA144" i="4"/>
  <c r="AB71" i="4"/>
  <c r="AK102" i="38"/>
  <c r="AA149" i="4"/>
  <c r="AK73" i="38"/>
  <c r="AK65" i="38"/>
  <c r="AB135" i="4"/>
  <c r="AB123" i="4"/>
  <c r="AB56" i="4"/>
  <c r="AA121" i="4"/>
  <c r="AB112" i="4"/>
  <c r="AL37" i="38"/>
  <c r="AK67" i="38"/>
  <c r="AB48" i="4"/>
  <c r="AB134" i="4"/>
  <c r="AK72" i="38"/>
  <c r="AL121" i="4"/>
  <c r="AL88" i="38"/>
  <c r="AK45" i="38"/>
  <c r="AB61" i="4"/>
  <c r="AB168" i="4"/>
  <c r="AL79" i="38"/>
  <c r="AK47" i="38"/>
  <c r="AK105" i="38"/>
  <c r="AB124" i="4"/>
  <c r="AL42" i="38"/>
  <c r="AK79" i="38"/>
  <c r="AL47" i="38"/>
  <c r="AA124" i="4"/>
  <c r="AB121" i="4"/>
  <c r="AL34" i="38"/>
  <c r="AL43" i="38"/>
  <c r="AK76" i="38"/>
  <c r="AA185" i="4"/>
  <c r="AK81" i="38"/>
  <c r="AK35" i="38"/>
  <c r="AB157" i="4"/>
  <c r="AL69" i="38"/>
  <c r="AA61" i="4"/>
  <c r="AA134" i="4"/>
  <c r="AL41" i="38"/>
  <c r="AB52" i="4"/>
  <c r="AB88" i="4"/>
  <c r="AL35" i="38"/>
  <c r="AK70" i="38"/>
  <c r="AK49" i="38"/>
  <c r="AK104" i="38"/>
  <c r="AK69" i="38"/>
  <c r="AA168" i="4"/>
  <c r="AL45" i="38"/>
  <c r="AB45" i="4"/>
  <c r="AA123" i="4"/>
  <c r="AK36" i="38"/>
  <c r="AL83" i="37"/>
  <c r="AL82" i="38"/>
  <c r="AB66" i="4"/>
  <c r="AK74" i="38"/>
  <c r="AB65" i="4"/>
  <c r="AB91" i="4"/>
  <c r="AL81" i="38"/>
  <c r="AL100" i="38"/>
  <c r="AB108" i="4"/>
  <c r="AA150" i="4"/>
  <c r="AL102" i="38"/>
  <c r="AB92" i="4"/>
  <c r="AB94" i="4"/>
  <c r="AL33" i="38"/>
  <c r="AK38" i="38"/>
  <c r="AK56" i="38"/>
  <c r="AL64" i="38"/>
  <c r="AA169" i="4"/>
  <c r="AB72" i="4"/>
  <c r="AK39" i="38"/>
  <c r="AL68" i="38"/>
  <c r="AL103" i="38"/>
  <c r="AL104" i="38"/>
  <c r="AK63" i="38"/>
  <c r="AB54" i="4"/>
  <c r="AB141" i="4"/>
  <c r="AL49" i="38"/>
  <c r="AL125" i="4"/>
  <c r="AB169" i="4"/>
  <c r="AB101" i="4"/>
  <c r="AL66" i="38"/>
  <c r="AL71" i="38"/>
  <c r="AK34" i="38"/>
  <c r="AK68" i="38"/>
  <c r="AK77" i="38"/>
  <c r="AK103" i="38"/>
  <c r="AL46" i="38"/>
  <c r="AK124" i="4"/>
  <c r="AK66" i="38"/>
  <c r="AB149" i="4"/>
  <c r="AK90" i="38"/>
  <c r="AK82" i="38"/>
  <c r="AB53" i="4"/>
  <c r="AB73" i="4"/>
  <c r="L42" i="30"/>
  <c r="N116" i="33"/>
  <c r="AK123" i="4"/>
  <c r="AL63" i="38"/>
  <c r="AA135" i="4"/>
  <c r="AK78" i="38"/>
  <c r="AB70" i="4"/>
  <c r="AK40" i="38"/>
  <c r="AA141" i="4"/>
  <c r="AL44" i="38"/>
  <c r="AL74" i="38"/>
  <c r="AL80" i="38"/>
  <c r="AL134" i="4"/>
  <c r="AB144" i="4"/>
  <c r="AL90" i="38"/>
  <c r="AB156" i="4"/>
  <c r="AK125" i="4"/>
  <c r="F40" i="4"/>
  <c r="AL123" i="4"/>
  <c r="AL77" i="38"/>
  <c r="AA157" i="4"/>
  <c r="AK55" i="38"/>
  <c r="AL105" i="38"/>
  <c r="AK75" i="38"/>
  <c r="AK121" i="4"/>
  <c r="AB87" i="4"/>
  <c r="AK37" i="38"/>
  <c r="AB46" i="4"/>
  <c r="AK42" i="38"/>
  <c r="AB140" i="4"/>
  <c r="AK33" i="38"/>
  <c r="AB67" i="4"/>
  <c r="AB47" i="4"/>
  <c r="AL78" i="38"/>
  <c r="AK46" i="38"/>
  <c r="AB62" i="4"/>
  <c r="AL70" i="38"/>
  <c r="AL61" i="38"/>
  <c r="AK44" i="38"/>
  <c r="AB74" i="4"/>
  <c r="AL124" i="4"/>
  <c r="AB98" i="4"/>
  <c r="AK80" i="38"/>
  <c r="AK134" i="4"/>
  <c r="AL57" i="38"/>
  <c r="AB185" i="4"/>
  <c r="AK101" i="38"/>
  <c r="AB93" i="4"/>
  <c r="AL40" i="38"/>
  <c r="AL56" i="38"/>
  <c r="F57" i="4"/>
  <c r="AK71" i="38"/>
  <c r="AA140" i="4"/>
  <c r="AL39" i="38"/>
  <c r="AL89" i="38"/>
  <c r="AK64" i="38"/>
  <c r="AL62" i="38"/>
  <c r="AK48" i="38"/>
  <c r="AL73" i="38"/>
  <c r="AL67" i="38"/>
  <c r="AK88" i="38"/>
  <c r="AL72" i="38"/>
  <c r="AL76" i="38"/>
  <c r="AL38" i="38"/>
  <c r="AB49" i="4"/>
  <c r="AL55" i="38"/>
  <c r="AK57" i="38"/>
  <c r="AL75" i="38"/>
  <c r="AK43" i="38"/>
  <c r="AB89" i="4"/>
  <c r="AB55" i="4"/>
  <c r="AB111" i="4"/>
  <c r="AK41" i="38"/>
  <c r="AL65" i="38"/>
  <c r="AK89" i="38"/>
  <c r="AA156" i="4"/>
  <c r="AL48" i="38"/>
  <c r="AB150" i="4"/>
  <c r="AL101" i="38"/>
  <c r="AK62" i="38"/>
  <c r="AA49" i="4"/>
  <c r="AK139" i="33"/>
  <c r="AL98" i="33"/>
  <c r="AA101" i="4"/>
  <c r="AA53" i="4"/>
  <c r="AL103" i="33"/>
  <c r="AK102" i="33"/>
  <c r="AL80" i="34"/>
  <c r="AL98" i="32"/>
  <c r="AK101" i="33"/>
  <c r="AA52" i="4"/>
  <c r="AA91" i="4"/>
  <c r="AA94" i="4"/>
  <c r="AL95" i="34"/>
  <c r="AK104" i="33"/>
  <c r="AK100" i="33"/>
  <c r="AK141" i="33"/>
  <c r="AA89" i="4"/>
  <c r="AA111" i="4"/>
  <c r="AA72" i="4"/>
  <c r="AL119" i="33"/>
  <c r="AL139" i="33"/>
  <c r="AL111" i="33"/>
  <c r="AL92" i="32"/>
  <c r="AA66" i="4"/>
  <c r="AA55" i="4"/>
  <c r="AA54" i="4"/>
  <c r="AA87" i="4"/>
  <c r="AA93" i="4"/>
  <c r="AA62" i="4"/>
  <c r="AA71" i="4"/>
  <c r="AA67" i="4"/>
  <c r="AA70" i="4"/>
  <c r="AA88" i="4"/>
  <c r="AA56" i="4"/>
  <c r="AA92" i="4"/>
  <c r="AA74" i="4"/>
  <c r="AA98" i="4"/>
  <c r="AA65" i="4"/>
  <c r="AA107" i="4"/>
  <c r="AA45" i="4"/>
  <c r="AA48" i="4"/>
  <c r="AB181" i="4"/>
  <c r="AC181" i="4"/>
  <c r="AC182" i="4"/>
  <c r="AB182" i="4"/>
  <c r="AA108" i="4"/>
  <c r="AB170" i="4"/>
  <c r="AA170" i="4"/>
  <c r="AA47" i="4"/>
  <c r="AA46" i="4"/>
  <c r="AB60" i="4"/>
  <c r="AA60" i="4"/>
  <c r="AA112" i="4"/>
  <c r="G45" i="4"/>
  <c r="D36" i="55" s="1"/>
  <c r="AL107" i="33"/>
  <c r="AK101" i="34"/>
  <c r="AK98" i="33"/>
  <c r="AL99" i="34"/>
  <c r="AL113" i="33"/>
  <c r="AL101" i="33"/>
  <c r="AK47" i="35"/>
  <c r="AL87" i="34"/>
  <c r="AL102" i="33"/>
  <c r="AL134" i="33"/>
  <c r="AL96" i="32"/>
  <c r="AL83" i="34"/>
  <c r="AL108" i="33"/>
  <c r="AL78" i="32"/>
  <c r="AK77" i="32"/>
  <c r="AL106" i="33"/>
  <c r="AK108" i="33"/>
  <c r="AK106" i="37"/>
  <c r="AK99" i="34"/>
  <c r="AL141" i="33"/>
  <c r="AL87" i="32"/>
  <c r="AK119" i="33"/>
  <c r="AK109" i="34"/>
  <c r="AK114" i="33"/>
  <c r="AL100" i="33"/>
  <c r="AL81" i="34"/>
  <c r="AK106" i="33"/>
  <c r="AK86" i="34"/>
  <c r="AK136" i="33"/>
  <c r="AK105" i="37"/>
  <c r="AL105" i="33"/>
  <c r="AK80" i="32"/>
  <c r="AK95" i="34"/>
  <c r="AL107" i="37"/>
  <c r="AK112" i="33"/>
  <c r="AL97" i="32"/>
  <c r="AL106" i="37"/>
  <c r="AL84" i="32"/>
  <c r="AK96" i="32"/>
  <c r="AK91" i="32"/>
  <c r="AK111" i="33"/>
  <c r="AL108" i="37"/>
  <c r="AK113" i="33"/>
  <c r="AK84" i="32"/>
  <c r="AK80" i="34"/>
  <c r="AK98" i="32"/>
  <c r="AK134" i="33"/>
  <c r="AL91" i="32"/>
  <c r="AL98" i="34"/>
  <c r="AK94" i="34"/>
  <c r="AL99" i="33"/>
  <c r="AK107" i="33"/>
  <c r="AL109" i="34"/>
  <c r="AL114" i="33"/>
  <c r="AK92" i="34"/>
  <c r="AK105" i="33"/>
  <c r="AK102" i="34"/>
  <c r="AL112" i="33"/>
  <c r="AK97" i="32"/>
  <c r="AK98" i="34"/>
  <c r="AL94" i="34"/>
  <c r="AL101" i="34"/>
  <c r="AK99" i="33"/>
  <c r="AL136" i="33"/>
  <c r="AK103" i="33"/>
  <c r="AK100" i="34"/>
  <c r="AK107" i="37"/>
  <c r="AK84" i="34"/>
  <c r="AL104" i="33"/>
  <c r="AK85" i="34"/>
  <c r="AL104" i="37"/>
  <c r="AL92" i="34"/>
  <c r="AL86" i="34"/>
  <c r="AL84" i="34"/>
  <c r="AL85" i="34"/>
  <c r="AL79" i="32"/>
  <c r="AK79" i="34"/>
  <c r="AK93" i="34"/>
  <c r="AL88" i="32"/>
  <c r="AL91" i="34"/>
  <c r="AK92" i="32"/>
  <c r="AK104" i="37"/>
  <c r="AK78" i="32"/>
  <c r="AK87" i="32"/>
  <c r="AK91" i="34"/>
  <c r="AK79" i="32"/>
  <c r="AL105" i="37"/>
  <c r="AL79" i="34"/>
  <c r="AL93" i="34"/>
  <c r="AL47" i="35"/>
  <c r="AK87" i="34"/>
  <c r="AL135" i="33"/>
  <c r="AK88" i="32"/>
  <c r="AL100" i="34"/>
  <c r="AK83" i="34"/>
  <c r="AL80" i="32"/>
  <c r="AL102" i="34"/>
  <c r="AK108" i="37"/>
  <c r="AK82" i="34"/>
  <c r="AL133" i="33"/>
  <c r="AK135" i="33"/>
  <c r="AK81" i="34"/>
  <c r="AL77" i="32"/>
  <c r="AL82" i="34"/>
  <c r="AK133" i="33"/>
  <c r="AL40" i="32"/>
  <c r="AK100" i="35"/>
  <c r="AK87" i="37"/>
  <c r="AL110" i="34"/>
  <c r="AK110" i="34"/>
  <c r="AL64" i="35"/>
  <c r="AK63" i="34"/>
  <c r="AL44" i="37"/>
  <c r="AK77" i="37"/>
  <c r="AK32" i="33"/>
  <c r="AK102" i="35"/>
  <c r="AL71" i="35"/>
  <c r="AL56" i="32"/>
  <c r="AK126" i="35"/>
  <c r="AK61" i="33"/>
  <c r="AL38" i="34"/>
  <c r="AK38" i="10"/>
  <c r="AL43" i="33"/>
  <c r="AL42" i="35"/>
  <c r="AK65" i="37"/>
  <c r="AL57" i="37"/>
  <c r="AL117" i="35"/>
  <c r="AL75" i="37"/>
  <c r="AL76" i="35"/>
  <c r="AL56" i="34"/>
  <c r="AL94" i="35"/>
  <c r="AK35" i="10"/>
  <c r="AK37" i="10"/>
  <c r="AL56" i="33"/>
  <c r="AK65" i="33"/>
  <c r="Q111" i="33"/>
  <c r="Q105" i="33"/>
  <c r="BL538" i="4"/>
  <c r="L91" i="37"/>
  <c r="O91" i="37" s="1"/>
  <c r="Q91" i="37" s="1"/>
  <c r="K93" i="37"/>
  <c r="I107" i="38"/>
  <c r="F59" i="4"/>
  <c r="G180" i="4"/>
  <c r="AZ554" i="4"/>
  <c r="F30" i="4"/>
  <c r="Q100" i="33"/>
  <c r="K33" i="30"/>
  <c r="Q114" i="33"/>
  <c r="AK80" i="33"/>
  <c r="AK71" i="33"/>
  <c r="AL80" i="33"/>
  <c r="AL71" i="33"/>
  <c r="AK74" i="33"/>
  <c r="AL67" i="33"/>
  <c r="AL77" i="33"/>
  <c r="AK67" i="33"/>
  <c r="AK40" i="32"/>
  <c r="AK77" i="33"/>
  <c r="AL74" i="33"/>
  <c r="O53" i="35"/>
  <c r="L38" i="30"/>
  <c r="F36" i="4"/>
  <c r="L140" i="35"/>
  <c r="Q118" i="33"/>
  <c r="Q108" i="33"/>
  <c r="Q113" i="33"/>
  <c r="Q107" i="33"/>
  <c r="Q109" i="33"/>
  <c r="Q112" i="33"/>
  <c r="Q106" i="33"/>
  <c r="L34" i="30"/>
  <c r="O45" i="33"/>
  <c r="E1230" i="55" s="1"/>
  <c r="F32" i="4"/>
  <c r="AZ545" i="4"/>
  <c r="AZ549" i="4"/>
  <c r="AZ551" i="4"/>
  <c r="AZ547" i="4"/>
  <c r="AK89" i="37"/>
  <c r="G44" i="30"/>
  <c r="AZ541" i="4"/>
  <c r="AZ543" i="4"/>
  <c r="AZ552" i="4"/>
  <c r="AZ542" i="4"/>
  <c r="AZ555" i="4"/>
  <c r="AZ556" i="4"/>
  <c r="AZ553" i="4"/>
  <c r="AZ557" i="4"/>
  <c r="Q110" i="33"/>
  <c r="Q117" i="33"/>
  <c r="L121" i="37"/>
  <c r="F34" i="4"/>
  <c r="S34" i="4" s="1"/>
  <c r="L36" i="30"/>
  <c r="O132" i="33"/>
  <c r="Q132" i="33" s="1"/>
  <c r="Q119" i="33"/>
  <c r="O119" i="33"/>
  <c r="E1281" i="55" s="1"/>
  <c r="F33" i="4"/>
  <c r="L35" i="30"/>
  <c r="O85" i="33"/>
  <c r="K44" i="30"/>
  <c r="F35" i="4"/>
  <c r="L37" i="30"/>
  <c r="O65" i="34"/>
  <c r="O41" i="10"/>
  <c r="E350" i="55" s="1"/>
  <c r="AK94" i="35"/>
  <c r="AK43" i="33"/>
  <c r="AL63" i="34"/>
  <c r="AK56" i="32"/>
  <c r="AL65" i="37"/>
  <c r="AL61" i="33"/>
  <c r="AK71" i="35"/>
  <c r="AL65" i="33"/>
  <c r="AK64" i="33"/>
  <c r="AL100" i="35"/>
  <c r="AK57" i="37"/>
  <c r="AK75" i="37"/>
  <c r="AL62" i="34"/>
  <c r="AL77" i="37"/>
  <c r="AL87" i="37"/>
  <c r="AL61" i="32"/>
  <c r="AK45" i="35"/>
  <c r="AL58" i="33"/>
  <c r="AK83" i="37"/>
  <c r="AK68" i="35"/>
  <c r="AL69" i="37"/>
  <c r="AK61" i="32"/>
  <c r="AK63" i="33"/>
  <c r="AL38" i="10"/>
  <c r="AL129" i="35"/>
  <c r="AL41" i="33"/>
  <c r="AK42" i="35"/>
  <c r="AL78" i="35"/>
  <c r="AK59" i="32"/>
  <c r="AL53" i="34"/>
  <c r="AL33" i="33"/>
  <c r="AK40" i="33"/>
  <c r="AL49" i="32"/>
  <c r="AL41" i="32"/>
  <c r="AK99" i="35"/>
  <c r="AL33" i="32"/>
  <c r="AK66" i="33"/>
  <c r="AL97" i="35"/>
  <c r="AK121" i="35"/>
  <c r="AK123" i="35"/>
  <c r="AL32" i="32"/>
  <c r="AL98" i="35"/>
  <c r="AL55" i="34"/>
  <c r="AK56" i="34"/>
  <c r="AK117" i="35"/>
  <c r="AL126" i="35"/>
  <c r="AK98" i="35"/>
  <c r="AL39" i="32"/>
  <c r="AL102" i="35"/>
  <c r="AK78" i="35"/>
  <c r="AK63" i="37"/>
  <c r="AL68" i="35"/>
  <c r="AK45" i="37"/>
  <c r="AL101" i="35"/>
  <c r="AL79" i="37"/>
  <c r="AK77" i="35"/>
  <c r="AK56" i="33"/>
  <c r="AK73" i="37"/>
  <c r="AL43" i="37"/>
  <c r="AK41" i="33"/>
  <c r="AK60" i="33"/>
  <c r="AK60" i="32"/>
  <c r="AL37" i="10"/>
  <c r="AK101" i="35"/>
  <c r="AL77" i="35"/>
  <c r="AL84" i="37"/>
  <c r="AL70" i="35"/>
  <c r="AL88" i="37"/>
  <c r="AL39" i="33"/>
  <c r="AL55" i="33"/>
  <c r="AK58" i="32"/>
  <c r="AL57" i="32"/>
  <c r="AL35" i="35"/>
  <c r="AL66" i="33"/>
  <c r="AK97" i="35"/>
  <c r="AL121" i="35"/>
  <c r="AL123" i="35"/>
  <c r="AL53" i="32"/>
  <c r="AL99" i="35"/>
  <c r="AL125" i="35"/>
  <c r="AK76" i="35"/>
  <c r="AK39" i="32"/>
  <c r="AL33" i="37"/>
  <c r="AL59" i="32"/>
  <c r="AK88" i="37"/>
  <c r="AL91" i="35"/>
  <c r="AK43" i="35"/>
  <c r="AL72" i="35"/>
  <c r="AK33" i="37"/>
  <c r="AL43" i="35"/>
  <c r="AK62" i="37"/>
  <c r="AL42" i="32"/>
  <c r="AK41" i="34"/>
  <c r="AL59" i="34"/>
  <c r="AK115" i="35"/>
  <c r="AL35" i="10"/>
  <c r="AK64" i="35"/>
  <c r="AL62" i="37"/>
  <c r="AK41" i="32"/>
  <c r="AL63" i="32"/>
  <c r="N48" i="34"/>
  <c r="AK43" i="37"/>
  <c r="AK55" i="34"/>
  <c r="AK44" i="37"/>
  <c r="AL73" i="37"/>
  <c r="AK35" i="35"/>
  <c r="AL52" i="32"/>
  <c r="AL120" i="35"/>
  <c r="AL88" i="35"/>
  <c r="AK48" i="32"/>
  <c r="AK125" i="35"/>
  <c r="AL32" i="33"/>
  <c r="AK38" i="34"/>
  <c r="AK34" i="34"/>
  <c r="AL51" i="35"/>
  <c r="AK91" i="35"/>
  <c r="AK72" i="35"/>
  <c r="AK129" i="35"/>
  <c r="AL40" i="35"/>
  <c r="AL89" i="35"/>
  <c r="AL81" i="35"/>
  <c r="AK37" i="32"/>
  <c r="AL64" i="33"/>
  <c r="AL66" i="37"/>
  <c r="AK46" i="32"/>
  <c r="AK41" i="35"/>
  <c r="AK54" i="34"/>
  <c r="AL37" i="34"/>
  <c r="AL82" i="35"/>
  <c r="AL72" i="37"/>
  <c r="AK37" i="34"/>
  <c r="AK33" i="32"/>
  <c r="AL62" i="33"/>
  <c r="AL49" i="35"/>
  <c r="AK69" i="35"/>
  <c r="AL57" i="33"/>
  <c r="AL46" i="32"/>
  <c r="AK38" i="32"/>
  <c r="AK84" i="37"/>
  <c r="AK70" i="35"/>
  <c r="AL64" i="37"/>
  <c r="AK75" i="35"/>
  <c r="AL37" i="35"/>
  <c r="AL83" i="35"/>
  <c r="AK59" i="34"/>
  <c r="AK67" i="35"/>
  <c r="AK64" i="37"/>
  <c r="AL37" i="32"/>
  <c r="AL75" i="35"/>
  <c r="AK86" i="35"/>
  <c r="AL89" i="37"/>
  <c r="AK69" i="37"/>
  <c r="AK36" i="35"/>
  <c r="AK87" i="35"/>
  <c r="AK38" i="33"/>
  <c r="AK66" i="37"/>
  <c r="AK32" i="34"/>
  <c r="AL54" i="34"/>
  <c r="AK42" i="32"/>
  <c r="AL58" i="32"/>
  <c r="AK34" i="35"/>
  <c r="AK36" i="32"/>
  <c r="AL41" i="34"/>
  <c r="AK74" i="35"/>
  <c r="AL81" i="37"/>
  <c r="AL73" i="35"/>
  <c r="AL33" i="35"/>
  <c r="AL38" i="33"/>
  <c r="AL41" i="35"/>
  <c r="AL34" i="35"/>
  <c r="AL38" i="32"/>
  <c r="AL36" i="32"/>
  <c r="AL74" i="35"/>
  <c r="AK82" i="35"/>
  <c r="AK73" i="35"/>
  <c r="AK62" i="33"/>
  <c r="AK55" i="33"/>
  <c r="AL87" i="35"/>
  <c r="AL32" i="34"/>
  <c r="AK72" i="37"/>
  <c r="AL68" i="33"/>
  <c r="AK40" i="35"/>
  <c r="AK51" i="35"/>
  <c r="AK49" i="35"/>
  <c r="AK88" i="35"/>
  <c r="AK68" i="33"/>
  <c r="AK53" i="34"/>
  <c r="AK33" i="33"/>
  <c r="AL40" i="33"/>
  <c r="AK49" i="32"/>
  <c r="AL67" i="37"/>
  <c r="AK39" i="33"/>
  <c r="AL45" i="35"/>
  <c r="AK57" i="32"/>
  <c r="AL47" i="32"/>
  <c r="AL67" i="35"/>
  <c r="AK59" i="33"/>
  <c r="AL60" i="33"/>
  <c r="AK127" i="35"/>
  <c r="AK53" i="32"/>
  <c r="AL60" i="32"/>
  <c r="AK57" i="33"/>
  <c r="AL86" i="35"/>
  <c r="AL115" i="35"/>
  <c r="AK47" i="32"/>
  <c r="AL127" i="35"/>
  <c r="AK37" i="35"/>
  <c r="AK33" i="35"/>
  <c r="AL69" i="35"/>
  <c r="AL36" i="35"/>
  <c r="AL63" i="37"/>
  <c r="AK89" i="35"/>
  <c r="AK81" i="35"/>
  <c r="AL45" i="37"/>
  <c r="AK79" i="37"/>
  <c r="AK67" i="37"/>
  <c r="AL63" i="33"/>
  <c r="AK83" i="35"/>
  <c r="AK63" i="32"/>
  <c r="AK52" i="32"/>
  <c r="AK120" i="35"/>
  <c r="AK81" i="37"/>
  <c r="AL59" i="33"/>
  <c r="AK32" i="32"/>
  <c r="B973" i="55"/>
  <c r="B972" i="55"/>
  <c r="B979" i="55"/>
  <c r="AC122" i="4" l="1"/>
  <c r="K122" i="4" s="1"/>
  <c r="F101" i="55" s="1"/>
  <c r="I95" i="4"/>
  <c r="G95" i="4"/>
  <c r="AM109" i="33"/>
  <c r="R109" i="33" s="1"/>
  <c r="G1271" i="55" s="1"/>
  <c r="AM110" i="33"/>
  <c r="R110" i="33" s="1"/>
  <c r="G1272" i="55" s="1"/>
  <c r="AM62" i="34"/>
  <c r="O62" i="34" s="1"/>
  <c r="Q62" i="34" s="1"/>
  <c r="H73" i="33"/>
  <c r="H82" i="33"/>
  <c r="H79" i="33"/>
  <c r="H78" i="33"/>
  <c r="H72" i="33"/>
  <c r="H75" i="33"/>
  <c r="H81" i="33"/>
  <c r="J3" i="77"/>
  <c r="S39" i="4" s="1"/>
  <c r="AM48" i="32"/>
  <c r="O48" i="32" s="1"/>
  <c r="Q48" i="32" s="1"/>
  <c r="G67" i="4"/>
  <c r="D55" i="55" s="1"/>
  <c r="AC135" i="4"/>
  <c r="K135" i="4" s="1"/>
  <c r="F111" i="55" s="1"/>
  <c r="G13" i="77"/>
  <c r="G5" i="77"/>
  <c r="G8" i="77"/>
  <c r="G12" i="77"/>
  <c r="G4" i="77"/>
  <c r="G6" i="77"/>
  <c r="G11" i="77"/>
  <c r="G16" i="77"/>
  <c r="G18" i="77"/>
  <c r="G10" i="77"/>
  <c r="G17" i="77"/>
  <c r="G9" i="77"/>
  <c r="G14" i="77"/>
  <c r="G15" i="77"/>
  <c r="G7" i="77"/>
  <c r="I12" i="77"/>
  <c r="I4" i="77"/>
  <c r="I16" i="77"/>
  <c r="I5" i="77"/>
  <c r="I11" i="77"/>
  <c r="I7" i="77"/>
  <c r="I10" i="77"/>
  <c r="I18" i="77"/>
  <c r="I9" i="77"/>
  <c r="I13" i="77"/>
  <c r="I17" i="77"/>
  <c r="I8" i="77"/>
  <c r="I15" i="77"/>
  <c r="I6" i="77"/>
  <c r="F11" i="77"/>
  <c r="F10" i="77"/>
  <c r="F14" i="77"/>
  <c r="F18" i="77"/>
  <c r="F9" i="77"/>
  <c r="F5" i="77"/>
  <c r="F17" i="77"/>
  <c r="F8" i="77"/>
  <c r="F16" i="77"/>
  <c r="F7" i="77"/>
  <c r="F13" i="77"/>
  <c r="F12" i="77"/>
  <c r="D13" i="77"/>
  <c r="D5" i="77"/>
  <c r="D17" i="77"/>
  <c r="D12" i="77"/>
  <c r="D3" i="77" s="1"/>
  <c r="S32" i="4" s="1"/>
  <c r="D4" i="77"/>
  <c r="D14" i="77"/>
  <c r="D11" i="77"/>
  <c r="D6" i="77"/>
  <c r="D10" i="77"/>
  <c r="D8" i="77"/>
  <c r="D18" i="77"/>
  <c r="D9" i="77"/>
  <c r="D15" i="77"/>
  <c r="D7" i="77"/>
  <c r="K18" i="77"/>
  <c r="K9" i="77"/>
  <c r="K12" i="77"/>
  <c r="K10" i="77"/>
  <c r="K16" i="77"/>
  <c r="K8" i="77"/>
  <c r="K15" i="77"/>
  <c r="K7" i="77"/>
  <c r="K14" i="77"/>
  <c r="K6" i="77"/>
  <c r="K13" i="77"/>
  <c r="K5" i="77"/>
  <c r="K11" i="77"/>
  <c r="H10" i="77"/>
  <c r="H18" i="77"/>
  <c r="H9" i="77"/>
  <c r="H17" i="77"/>
  <c r="H4" i="77"/>
  <c r="H11" i="77"/>
  <c r="H16" i="77"/>
  <c r="H15" i="77"/>
  <c r="H14" i="77"/>
  <c r="H12" i="77"/>
  <c r="E17" i="77"/>
  <c r="E8" i="77"/>
  <c r="E9" i="77"/>
  <c r="E15" i="77"/>
  <c r="E7" i="77"/>
  <c r="E14" i="77"/>
  <c r="E6" i="77"/>
  <c r="E13" i="77"/>
  <c r="E4" i="77"/>
  <c r="E18" i="77"/>
  <c r="E12" i="77"/>
  <c r="E3" i="77" s="1"/>
  <c r="S33" i="4" s="1"/>
  <c r="E11" i="77"/>
  <c r="E5" i="77"/>
  <c r="E10" i="77"/>
  <c r="B15" i="77"/>
  <c r="B7" i="77"/>
  <c r="B14" i="77"/>
  <c r="B5" i="77"/>
  <c r="B13" i="77"/>
  <c r="B12" i="77"/>
  <c r="B4" i="77"/>
  <c r="B16" i="77"/>
  <c r="B11" i="77"/>
  <c r="B10" i="77"/>
  <c r="B17" i="77"/>
  <c r="B8" i="77"/>
  <c r="B18" i="77"/>
  <c r="B9" i="77"/>
  <c r="B6" i="77"/>
  <c r="G52" i="4"/>
  <c r="D41" i="55" s="1"/>
  <c r="E126" i="4"/>
  <c r="E94" i="55"/>
  <c r="G108" i="4"/>
  <c r="D95" i="55" s="1"/>
  <c r="F99" i="4"/>
  <c r="AA99" i="4" s="1"/>
  <c r="H67" i="2"/>
  <c r="F55" i="55"/>
  <c r="F371" i="55"/>
  <c r="B18" i="2"/>
  <c r="F352" i="55"/>
  <c r="E358" i="55"/>
  <c r="F359" i="55"/>
  <c r="E370" i="55"/>
  <c r="E361" i="55"/>
  <c r="F370" i="55"/>
  <c r="D119" i="36"/>
  <c r="D121" i="36"/>
  <c r="AM33" i="10"/>
  <c r="O33" i="10" s="1"/>
  <c r="Q33" i="10" s="1"/>
  <c r="O65" i="32"/>
  <c r="E735" i="55" s="1"/>
  <c r="F31" i="4"/>
  <c r="L33" i="30"/>
  <c r="O33" i="30" s="1"/>
  <c r="AM34" i="10"/>
  <c r="AM32" i="10"/>
  <c r="O32" i="10" s="1"/>
  <c r="Q32" i="10" s="1"/>
  <c r="AM32" i="32"/>
  <c r="O32" i="32" s="1"/>
  <c r="Q32" i="32" s="1"/>
  <c r="AC71" i="4"/>
  <c r="H71" i="4" s="1"/>
  <c r="AC72" i="4"/>
  <c r="H72" i="4" s="1"/>
  <c r="E60" i="55" s="1"/>
  <c r="AM58" i="33"/>
  <c r="O58" i="33" s="1"/>
  <c r="Q58" i="33" s="1"/>
  <c r="AC111" i="4"/>
  <c r="H111" i="4" s="1"/>
  <c r="E98" i="55" s="1"/>
  <c r="AM92" i="32"/>
  <c r="O92" i="32" s="1"/>
  <c r="Q92" i="32" s="1"/>
  <c r="AC49" i="4"/>
  <c r="H49" i="4" s="1"/>
  <c r="AC56" i="4"/>
  <c r="H56" i="4" s="1"/>
  <c r="AC55" i="4"/>
  <c r="I55" i="4" s="1"/>
  <c r="AC70" i="4"/>
  <c r="H70" i="4" s="1"/>
  <c r="E58" i="55" s="1"/>
  <c r="AM46" i="32"/>
  <c r="O46" i="32" s="1"/>
  <c r="AC88" i="4"/>
  <c r="H88" i="4" s="1"/>
  <c r="I88" i="4" s="1"/>
  <c r="AC74" i="4"/>
  <c r="H74" i="4" s="1"/>
  <c r="E62" i="55" s="1"/>
  <c r="AA58" i="4"/>
  <c r="AM141" i="33"/>
  <c r="O141" i="33" s="1"/>
  <c r="AM88" i="32"/>
  <c r="O88" i="32" s="1"/>
  <c r="E571" i="55" s="1"/>
  <c r="AM60" i="32"/>
  <c r="O60" i="32" s="1"/>
  <c r="AM56" i="32"/>
  <c r="O56" i="32" s="1"/>
  <c r="Q56" i="32" s="1"/>
  <c r="AM43" i="33"/>
  <c r="O43" i="33" s="1"/>
  <c r="Q43" i="33" s="1"/>
  <c r="AM40" i="33"/>
  <c r="O40" i="33" s="1"/>
  <c r="Q40" i="33" s="1"/>
  <c r="AM65" i="38"/>
  <c r="L65" i="38" s="1"/>
  <c r="E2444" i="55" s="1"/>
  <c r="AM80" i="38"/>
  <c r="L80" i="38" s="1"/>
  <c r="E2459" i="55" s="1"/>
  <c r="AE175" i="4"/>
  <c r="AC141" i="4"/>
  <c r="H141" i="4" s="1"/>
  <c r="E124" i="55" s="1"/>
  <c r="AC140" i="4"/>
  <c r="H140" i="4" s="1"/>
  <c r="I140" i="4" s="1"/>
  <c r="AM44" i="37"/>
  <c r="O44" i="37" s="1"/>
  <c r="Q44" i="37" s="1"/>
  <c r="AM72" i="37"/>
  <c r="O72" i="37" s="1"/>
  <c r="AM108" i="37"/>
  <c r="O108" i="37" s="1"/>
  <c r="N108" i="37" s="1"/>
  <c r="AW103" i="38"/>
  <c r="N103" i="38" s="1"/>
  <c r="AM120" i="35"/>
  <c r="O120" i="35" s="1"/>
  <c r="Q120" i="35" s="1"/>
  <c r="AM81" i="34"/>
  <c r="AM95" i="34"/>
  <c r="O95" i="34" s="1"/>
  <c r="AW102" i="38"/>
  <c r="N102" i="38" s="1"/>
  <c r="F2478" i="55" s="1"/>
  <c r="AM107" i="37"/>
  <c r="O107" i="37" s="1"/>
  <c r="N107" i="37" s="1"/>
  <c r="AM65" i="37"/>
  <c r="O65" i="37" s="1"/>
  <c r="Q65" i="37" s="1"/>
  <c r="AM80" i="34"/>
  <c r="O80" i="34" s="1"/>
  <c r="AM92" i="34"/>
  <c r="O92" i="34" s="1"/>
  <c r="AM82" i="34"/>
  <c r="AM87" i="34"/>
  <c r="AW104" i="38"/>
  <c r="N104" i="38" s="1"/>
  <c r="F2480" i="55" s="1"/>
  <c r="AM102" i="38"/>
  <c r="AB58" i="4"/>
  <c r="AB90" i="4"/>
  <c r="H90" i="4"/>
  <c r="E78" i="55" s="1"/>
  <c r="AA90" i="4"/>
  <c r="I90" i="4"/>
  <c r="AM79" i="37"/>
  <c r="O79" i="37" s="1"/>
  <c r="Q79" i="37" s="1"/>
  <c r="N46" i="37"/>
  <c r="D2268" i="55" s="1"/>
  <c r="Q46" i="37"/>
  <c r="F2268" i="55" s="1"/>
  <c r="E287" i="55"/>
  <c r="F287" i="55"/>
  <c r="AM83" i="35"/>
  <c r="O83" i="35" s="1"/>
  <c r="Q83" i="35" s="1"/>
  <c r="AM81" i="35"/>
  <c r="O81" i="35" s="1"/>
  <c r="Q81" i="35" s="1"/>
  <c r="AM86" i="35"/>
  <c r="O86" i="35" s="1"/>
  <c r="Q86" i="35" s="1"/>
  <c r="AM82" i="35"/>
  <c r="O82" i="35" s="1"/>
  <c r="Q82" i="35" s="1"/>
  <c r="AM73" i="35"/>
  <c r="O73" i="35" s="1"/>
  <c r="Q73" i="35" s="1"/>
  <c r="AM71" i="35"/>
  <c r="O71" i="35" s="1"/>
  <c r="Q71" i="35" s="1"/>
  <c r="AM70" i="35"/>
  <c r="O70" i="35" s="1"/>
  <c r="Q70" i="35" s="1"/>
  <c r="AM35" i="35"/>
  <c r="O35" i="35" s="1"/>
  <c r="Q35" i="35" s="1"/>
  <c r="AM51" i="35"/>
  <c r="O51" i="35" s="1"/>
  <c r="Q51" i="35" s="1"/>
  <c r="E1934" i="55"/>
  <c r="AM98" i="34"/>
  <c r="AM94" i="34"/>
  <c r="AM85" i="34"/>
  <c r="AM86" i="34"/>
  <c r="O86" i="34" s="1"/>
  <c r="AM100" i="34"/>
  <c r="AK91" i="37"/>
  <c r="AM76" i="35"/>
  <c r="O76" i="35" s="1"/>
  <c r="Q76" i="35" s="1"/>
  <c r="E1924" i="55"/>
  <c r="AM49" i="35"/>
  <c r="O49" i="35" s="1"/>
  <c r="Q49" i="35" s="1"/>
  <c r="E1895" i="55"/>
  <c r="D1457" i="55"/>
  <c r="F1456" i="55"/>
  <c r="AM34" i="34"/>
  <c r="O34" i="34" s="1"/>
  <c r="Q34" i="34" s="1"/>
  <c r="E1467" i="55"/>
  <c r="F1279" i="55"/>
  <c r="F1272" i="55"/>
  <c r="F1276" i="55"/>
  <c r="F1274" i="55"/>
  <c r="F1271" i="55"/>
  <c r="F1262" i="55"/>
  <c r="F1267" i="55"/>
  <c r="F1273" i="55"/>
  <c r="D1279" i="55"/>
  <c r="F1269" i="55"/>
  <c r="F1281" i="55"/>
  <c r="F1275" i="55"/>
  <c r="F1270" i="55"/>
  <c r="F1268" i="55"/>
  <c r="F1280" i="55"/>
  <c r="E1259" i="55"/>
  <c r="F126" i="4"/>
  <c r="F143" i="55"/>
  <c r="D94" i="55"/>
  <c r="D143" i="55"/>
  <c r="D1277" i="55"/>
  <c r="G45" i="30"/>
  <c r="E109" i="55"/>
  <c r="E121" i="55"/>
  <c r="D1278" i="55"/>
  <c r="D109" i="55"/>
  <c r="D121" i="55"/>
  <c r="AC157" i="4"/>
  <c r="H157" i="4" s="1"/>
  <c r="AC156" i="4"/>
  <c r="H156" i="4" s="1"/>
  <c r="AC144" i="4"/>
  <c r="H144" i="4" s="1"/>
  <c r="AC98" i="4"/>
  <c r="H98" i="4" s="1"/>
  <c r="AM105" i="37"/>
  <c r="O105" i="37" s="1"/>
  <c r="AM104" i="37"/>
  <c r="O104" i="37" s="1"/>
  <c r="Q104" i="37" s="1"/>
  <c r="AW105" i="38"/>
  <c r="N105" i="38" s="1"/>
  <c r="AW100" i="38"/>
  <c r="N100" i="38" s="1"/>
  <c r="AM62" i="37"/>
  <c r="O62" i="37" s="1"/>
  <c r="AM66" i="37"/>
  <c r="O66" i="37" s="1"/>
  <c r="AM69" i="37"/>
  <c r="O69" i="37" s="1"/>
  <c r="Q69" i="37" s="1"/>
  <c r="AM77" i="37"/>
  <c r="O77" i="37" s="1"/>
  <c r="Q77" i="37" s="1"/>
  <c r="AM83" i="37"/>
  <c r="O83" i="37" s="1"/>
  <c r="Q83" i="37" s="1"/>
  <c r="AM106" i="37"/>
  <c r="O106" i="37" s="1"/>
  <c r="AM88" i="37"/>
  <c r="O88" i="37" s="1"/>
  <c r="Q88" i="37" s="1"/>
  <c r="AM87" i="37"/>
  <c r="O87" i="37" s="1"/>
  <c r="Q87" i="37" s="1"/>
  <c r="AM84" i="37"/>
  <c r="AM81" i="37"/>
  <c r="O81" i="37" s="1"/>
  <c r="Q81" i="37" s="1"/>
  <c r="AM75" i="37"/>
  <c r="O75" i="37" s="1"/>
  <c r="Q75" i="37" s="1"/>
  <c r="AM73" i="37"/>
  <c r="O73" i="37" s="1"/>
  <c r="Q73" i="37" s="1"/>
  <c r="AM64" i="37"/>
  <c r="O64" i="37" s="1"/>
  <c r="Q64" i="37" s="1"/>
  <c r="AM67" i="37"/>
  <c r="O67" i="37" s="1"/>
  <c r="Q67" i="37" s="1"/>
  <c r="AM57" i="37"/>
  <c r="O57" i="37" s="1"/>
  <c r="Q57" i="37" s="1"/>
  <c r="AM45" i="37"/>
  <c r="O45" i="37" s="1"/>
  <c r="Q45" i="37" s="1"/>
  <c r="AM43" i="37"/>
  <c r="O43" i="37" s="1"/>
  <c r="Q43" i="37" s="1"/>
  <c r="AM123" i="35"/>
  <c r="O123" i="35" s="1"/>
  <c r="Q123" i="35" s="1"/>
  <c r="AM88" i="35"/>
  <c r="O88" i="35" s="1"/>
  <c r="Q88" i="35" s="1"/>
  <c r="AM72" i="35"/>
  <c r="O72" i="35" s="1"/>
  <c r="Q72" i="35" s="1"/>
  <c r="AM68" i="35"/>
  <c r="AM37" i="35"/>
  <c r="O37" i="35" s="1"/>
  <c r="Q37" i="35" s="1"/>
  <c r="AM34" i="35"/>
  <c r="AM129" i="35"/>
  <c r="O129" i="35" s="1"/>
  <c r="Q129" i="35" s="1"/>
  <c r="AM117" i="35"/>
  <c r="O117" i="35" s="1"/>
  <c r="Q117" i="35" s="1"/>
  <c r="AM125" i="35"/>
  <c r="O125" i="35" s="1"/>
  <c r="Q125" i="35" s="1"/>
  <c r="AM127" i="35"/>
  <c r="O127" i="35" s="1"/>
  <c r="Q127" i="35" s="1"/>
  <c r="AM126" i="35"/>
  <c r="O126" i="35" s="1"/>
  <c r="Q126" i="35" s="1"/>
  <c r="AM121" i="35"/>
  <c r="O121" i="35" s="1"/>
  <c r="Q121" i="35" s="1"/>
  <c r="AM115" i="35"/>
  <c r="O115" i="35" s="1"/>
  <c r="Q115" i="35" s="1"/>
  <c r="AM102" i="35"/>
  <c r="O102" i="35" s="1"/>
  <c r="Q102" i="35" s="1"/>
  <c r="AM101" i="35"/>
  <c r="O101" i="35" s="1"/>
  <c r="Q101" i="35" s="1"/>
  <c r="AM100" i="35"/>
  <c r="O100" i="35" s="1"/>
  <c r="Q100" i="35" s="1"/>
  <c r="AM99" i="35"/>
  <c r="O99" i="35" s="1"/>
  <c r="Q99" i="35" s="1"/>
  <c r="AM98" i="35"/>
  <c r="O98" i="35" s="1"/>
  <c r="Q98" i="35" s="1"/>
  <c r="AM97" i="35"/>
  <c r="O97" i="35" s="1"/>
  <c r="Q97" i="35" s="1"/>
  <c r="AM94" i="35"/>
  <c r="O94" i="35" s="1"/>
  <c r="Q94" i="35" s="1"/>
  <c r="AM91" i="35"/>
  <c r="O91" i="35" s="1"/>
  <c r="Q91" i="35" s="1"/>
  <c r="AM89" i="35"/>
  <c r="O89" i="35" s="1"/>
  <c r="Q89" i="35" s="1"/>
  <c r="AM87" i="35"/>
  <c r="O87" i="35" s="1"/>
  <c r="Q87" i="35" s="1"/>
  <c r="AM78" i="35"/>
  <c r="O78" i="35" s="1"/>
  <c r="Q78" i="35" s="1"/>
  <c r="AM75" i="35"/>
  <c r="O75" i="35" s="1"/>
  <c r="Q75" i="35" s="1"/>
  <c r="AM67" i="35"/>
  <c r="O67" i="35" s="1"/>
  <c r="AM74" i="35"/>
  <c r="O74" i="35" s="1"/>
  <c r="Q74" i="35" s="1"/>
  <c r="AM69" i="35"/>
  <c r="O69" i="35" s="1"/>
  <c r="Q69" i="35" s="1"/>
  <c r="AM77" i="35"/>
  <c r="O77" i="35" s="1"/>
  <c r="Q77" i="35" s="1"/>
  <c r="AM64" i="35"/>
  <c r="O64" i="35" s="1"/>
  <c r="Q64" i="35" s="1"/>
  <c r="AM47" i="35"/>
  <c r="O47" i="35" s="1"/>
  <c r="Q47" i="35" s="1"/>
  <c r="AM42" i="35"/>
  <c r="AM37" i="34"/>
  <c r="O37" i="34" s="1"/>
  <c r="Q37" i="34" s="1"/>
  <c r="AM102" i="34"/>
  <c r="O102" i="34" s="1"/>
  <c r="AM101" i="34"/>
  <c r="AM99" i="34"/>
  <c r="O99" i="34" s="1"/>
  <c r="AM93" i="34"/>
  <c r="O93" i="34" s="1"/>
  <c r="AM91" i="34"/>
  <c r="O91" i="34" s="1"/>
  <c r="AM84" i="34"/>
  <c r="O84" i="34" s="1"/>
  <c r="AC170" i="4"/>
  <c r="H170" i="4" s="1"/>
  <c r="AM79" i="34"/>
  <c r="O79" i="34" s="1"/>
  <c r="AM63" i="34"/>
  <c r="O63" i="34" s="1"/>
  <c r="Q63" i="34" s="1"/>
  <c r="AM59" i="34"/>
  <c r="O59" i="34" s="1"/>
  <c r="Q59" i="34" s="1"/>
  <c r="AM56" i="34"/>
  <c r="O56" i="34" s="1"/>
  <c r="Q56" i="34" s="1"/>
  <c r="AM55" i="34"/>
  <c r="O55" i="34" s="1"/>
  <c r="Q55" i="34" s="1"/>
  <c r="AM54" i="34"/>
  <c r="O54" i="34" s="1"/>
  <c r="Q54" i="34" s="1"/>
  <c r="AM53" i="34"/>
  <c r="O53" i="34" s="1"/>
  <c r="Q53" i="34" s="1"/>
  <c r="AM38" i="34"/>
  <c r="J73" i="33"/>
  <c r="I73" i="33"/>
  <c r="E73" i="33"/>
  <c r="F73" i="33"/>
  <c r="E82" i="33"/>
  <c r="F82" i="33"/>
  <c r="J82" i="33"/>
  <c r="I82" i="33"/>
  <c r="J78" i="33"/>
  <c r="I78" i="33"/>
  <c r="F78" i="33"/>
  <c r="E78" i="33"/>
  <c r="I76" i="33"/>
  <c r="F76" i="33"/>
  <c r="J76" i="33"/>
  <c r="E76" i="33"/>
  <c r="F72" i="33"/>
  <c r="E72" i="33"/>
  <c r="J72" i="33"/>
  <c r="I72" i="33"/>
  <c r="J75" i="33"/>
  <c r="F75" i="33"/>
  <c r="E75" i="33"/>
  <c r="I75" i="33"/>
  <c r="F81" i="33"/>
  <c r="E81" i="33"/>
  <c r="I81" i="33"/>
  <c r="J81" i="33"/>
  <c r="I79" i="33"/>
  <c r="J79" i="33"/>
  <c r="F79" i="33"/>
  <c r="E79" i="33"/>
  <c r="AM103" i="33"/>
  <c r="R103" i="33" s="1"/>
  <c r="AM111" i="33"/>
  <c r="R111" i="33" s="1"/>
  <c r="AM101" i="33"/>
  <c r="R101" i="33" s="1"/>
  <c r="AM139" i="33"/>
  <c r="O139" i="33" s="1"/>
  <c r="Q139" i="33" s="1"/>
  <c r="AM119" i="33"/>
  <c r="R119" i="33" s="1"/>
  <c r="AM107" i="33"/>
  <c r="R107" i="33" s="1"/>
  <c r="AM113" i="33"/>
  <c r="R113" i="33" s="1"/>
  <c r="AM106" i="33"/>
  <c r="N106" i="33" s="1"/>
  <c r="AM105" i="33"/>
  <c r="R105" i="33" s="1"/>
  <c r="AM114" i="33"/>
  <c r="R114" i="33" s="1"/>
  <c r="AM100" i="33"/>
  <c r="R100" i="33" s="1"/>
  <c r="AM112" i="33"/>
  <c r="AM108" i="33"/>
  <c r="AM42" i="33"/>
  <c r="O42" i="33" s="1"/>
  <c r="Q42" i="33" s="1"/>
  <c r="AM41" i="33"/>
  <c r="O41" i="33" s="1"/>
  <c r="Q41" i="33" s="1"/>
  <c r="AM39" i="33"/>
  <c r="O39" i="33" s="1"/>
  <c r="Q39" i="33" s="1"/>
  <c r="AM91" i="32"/>
  <c r="O91" i="32" s="1"/>
  <c r="Q91" i="32" s="1"/>
  <c r="AM87" i="32"/>
  <c r="O87" i="32" s="1"/>
  <c r="AM57" i="32"/>
  <c r="O57" i="32" s="1"/>
  <c r="Q57" i="32" s="1"/>
  <c r="AM59" i="32"/>
  <c r="O59" i="32" s="1"/>
  <c r="Q59" i="32" s="1"/>
  <c r="AM53" i="32"/>
  <c r="O53" i="32" s="1"/>
  <c r="Q53" i="32" s="1"/>
  <c r="AM49" i="32"/>
  <c r="O49" i="32" s="1"/>
  <c r="Q49" i="32" s="1"/>
  <c r="AM39" i="32"/>
  <c r="O39" i="32" s="1"/>
  <c r="Q39" i="32" s="1"/>
  <c r="AM33" i="32"/>
  <c r="O33" i="32" s="1"/>
  <c r="Q33" i="32" s="1"/>
  <c r="AM37" i="10"/>
  <c r="AM35" i="10"/>
  <c r="O35" i="10" s="1"/>
  <c r="AC93" i="4"/>
  <c r="H93" i="4" s="1"/>
  <c r="AC89" i="4"/>
  <c r="H89" i="4" s="1"/>
  <c r="AC65" i="4"/>
  <c r="I65" i="4" s="1"/>
  <c r="F53" i="55" s="1"/>
  <c r="AC54" i="4"/>
  <c r="I54" i="4" s="1"/>
  <c r="F43" i="55" s="1"/>
  <c r="AC46" i="4"/>
  <c r="I46" i="4" s="1"/>
  <c r="F37" i="55" s="1"/>
  <c r="AC87" i="4"/>
  <c r="H87" i="4" s="1"/>
  <c r="AC48" i="4"/>
  <c r="H48" i="4" s="1"/>
  <c r="E39" i="55" s="1"/>
  <c r="AC47" i="4"/>
  <c r="H47" i="4" s="1"/>
  <c r="E38" i="55" s="1"/>
  <c r="AC45" i="4"/>
  <c r="I45" i="4" s="1"/>
  <c r="F36" i="55" s="1"/>
  <c r="AC67" i="4"/>
  <c r="J67" i="4" s="1"/>
  <c r="AC91" i="4"/>
  <c r="J91" i="4" s="1"/>
  <c r="AC66" i="4"/>
  <c r="AM98" i="32"/>
  <c r="O98" i="32" s="1"/>
  <c r="AC53" i="4"/>
  <c r="I53" i="4" s="1"/>
  <c r="F42" i="55" s="1"/>
  <c r="AM32" i="34"/>
  <c r="O32" i="34" s="1"/>
  <c r="Q32" i="34" s="1"/>
  <c r="AC61" i="4"/>
  <c r="H61" i="4" s="1"/>
  <c r="E50" i="55" s="1"/>
  <c r="AA125" i="4"/>
  <c r="AM38" i="10"/>
  <c r="N131" i="35"/>
  <c r="Q131" i="35"/>
  <c r="AX549" i="4"/>
  <c r="AY551" i="4"/>
  <c r="AY540" i="4"/>
  <c r="AY556" i="4"/>
  <c r="AY549" i="4"/>
  <c r="AY555" i="4"/>
  <c r="AY557" i="4"/>
  <c r="Q40" i="30"/>
  <c r="AY544" i="4"/>
  <c r="AY542" i="4"/>
  <c r="AY547" i="4"/>
  <c r="AY543" i="4"/>
  <c r="AY545" i="4"/>
  <c r="AY552" i="4"/>
  <c r="AY541" i="4"/>
  <c r="AY554" i="4"/>
  <c r="O40" i="30"/>
  <c r="AM33" i="33"/>
  <c r="O33" i="33" s="1"/>
  <c r="Q33" i="33" s="1"/>
  <c r="AM32" i="33"/>
  <c r="O32" i="33" s="1"/>
  <c r="Q32" i="33" s="1"/>
  <c r="AM38" i="33"/>
  <c r="O38" i="33" s="1"/>
  <c r="Q38" i="33" s="1"/>
  <c r="BX408" i="49"/>
  <c r="BX405" i="49"/>
  <c r="BX395" i="49"/>
  <c r="BX393" i="49"/>
  <c r="BX409" i="49"/>
  <c r="BX403" i="49"/>
  <c r="BX396" i="49"/>
  <c r="BX407" i="49"/>
  <c r="BX397" i="49"/>
  <c r="BX406" i="49"/>
  <c r="BX404" i="49"/>
  <c r="BX401" i="49"/>
  <c r="BX394" i="49"/>
  <c r="BX392" i="49"/>
  <c r="BX399" i="49"/>
  <c r="AX557" i="4"/>
  <c r="AX551" i="4"/>
  <c r="AX554" i="4"/>
  <c r="AX540" i="4"/>
  <c r="AM104" i="33"/>
  <c r="AM102" i="33"/>
  <c r="AM99" i="33"/>
  <c r="AB125" i="4"/>
  <c r="BP556" i="4"/>
  <c r="BP551" i="4"/>
  <c r="BP552" i="4"/>
  <c r="BP542" i="4"/>
  <c r="BP547" i="4"/>
  <c r="BP549" i="4"/>
  <c r="BP555" i="4"/>
  <c r="BP541" i="4"/>
  <c r="BP543" i="4"/>
  <c r="BP540" i="4"/>
  <c r="BP545" i="4"/>
  <c r="BP557" i="4"/>
  <c r="BP554" i="4"/>
  <c r="BP553" i="4"/>
  <c r="BP544" i="4"/>
  <c r="AM98" i="33"/>
  <c r="N98" i="33" s="1"/>
  <c r="AM42" i="32"/>
  <c r="O42" i="32" s="1"/>
  <c r="Q42" i="32" s="1"/>
  <c r="AM38" i="32"/>
  <c r="O38" i="32" s="1"/>
  <c r="Q38" i="32" s="1"/>
  <c r="AW101" i="38"/>
  <c r="N101" i="38" s="1"/>
  <c r="AC174" i="4"/>
  <c r="AM40" i="32"/>
  <c r="O40" i="32" s="1"/>
  <c r="Q40" i="32" s="1"/>
  <c r="AB175" i="4"/>
  <c r="AA175" i="4"/>
  <c r="AM89" i="37"/>
  <c r="O89" i="37" s="1"/>
  <c r="Q89" i="37" s="1"/>
  <c r="AM77" i="32"/>
  <c r="O77" i="32" s="1"/>
  <c r="AM79" i="32"/>
  <c r="O79" i="32" s="1"/>
  <c r="AC62" i="4"/>
  <c r="H62" i="4" s="1"/>
  <c r="E51" i="55" s="1"/>
  <c r="AC185" i="4"/>
  <c r="H185" i="4" s="1"/>
  <c r="AC150" i="4"/>
  <c r="H150" i="4" s="1"/>
  <c r="AC149" i="4"/>
  <c r="H149" i="4" s="1"/>
  <c r="AC101" i="4"/>
  <c r="H101" i="4" s="1"/>
  <c r="AM89" i="38"/>
  <c r="L89" i="38" s="1"/>
  <c r="AM36" i="32"/>
  <c r="O36" i="32" s="1"/>
  <c r="Q36" i="32" s="1"/>
  <c r="AM96" i="32"/>
  <c r="O96" i="32" s="1"/>
  <c r="AM80" i="32"/>
  <c r="O80" i="32" s="1"/>
  <c r="AM63" i="32"/>
  <c r="O63" i="32" s="1"/>
  <c r="Q63" i="32" s="1"/>
  <c r="AM61" i="32"/>
  <c r="O61" i="32" s="1"/>
  <c r="Q61" i="32" s="1"/>
  <c r="AM58" i="32"/>
  <c r="O58" i="32" s="1"/>
  <c r="Q58" i="32" s="1"/>
  <c r="AM52" i="32"/>
  <c r="O52" i="32" s="1"/>
  <c r="Q52" i="32" s="1"/>
  <c r="AM47" i="32"/>
  <c r="O47" i="32" s="1"/>
  <c r="Q47" i="32" s="1"/>
  <c r="AM41" i="32"/>
  <c r="O41" i="32" s="1"/>
  <c r="Q41" i="32" s="1"/>
  <c r="AM37" i="32"/>
  <c r="O37" i="32" s="1"/>
  <c r="Q37" i="32" s="1"/>
  <c r="AM78" i="32"/>
  <c r="O78" i="32" s="1"/>
  <c r="AM97" i="32"/>
  <c r="O97" i="32" s="1"/>
  <c r="AM84" i="32"/>
  <c r="O84" i="32" s="1"/>
  <c r="AC169" i="4"/>
  <c r="H169" i="4" s="1"/>
  <c r="AC73" i="4"/>
  <c r="H73" i="4" s="1"/>
  <c r="AM77" i="33"/>
  <c r="S77" i="33" s="1"/>
  <c r="AM64" i="33"/>
  <c r="O64" i="33" s="1"/>
  <c r="Q64" i="33" s="1"/>
  <c r="AM61" i="33"/>
  <c r="O61" i="33" s="1"/>
  <c r="Q61" i="33" s="1"/>
  <c r="AM62" i="33"/>
  <c r="O62" i="33" s="1"/>
  <c r="Q62" i="33" s="1"/>
  <c r="AM65" i="33"/>
  <c r="O65" i="33" s="1"/>
  <c r="Q65" i="33" s="1"/>
  <c r="AM59" i="33"/>
  <c r="O59" i="33" s="1"/>
  <c r="Q59" i="33" s="1"/>
  <c r="AM66" i="33"/>
  <c r="O66" i="33" s="1"/>
  <c r="Q66" i="33" s="1"/>
  <c r="G69" i="33"/>
  <c r="G70" i="33"/>
  <c r="K69" i="33"/>
  <c r="K70" i="33"/>
  <c r="AM74" i="33"/>
  <c r="S74" i="33" s="1"/>
  <c r="AM71" i="33"/>
  <c r="S71" i="33" s="1"/>
  <c r="AM80" i="33"/>
  <c r="S80" i="33" s="1"/>
  <c r="AM56" i="33"/>
  <c r="O56" i="33" s="1"/>
  <c r="Q56" i="33" s="1"/>
  <c r="AX553" i="4"/>
  <c r="AX545" i="4"/>
  <c r="AX547" i="4"/>
  <c r="AX556" i="4"/>
  <c r="AC123" i="4"/>
  <c r="K123" i="4" s="1"/>
  <c r="AM83" i="34"/>
  <c r="O83" i="34" s="1"/>
  <c r="AX555" i="4"/>
  <c r="AC168" i="4"/>
  <c r="H168" i="4" s="1"/>
  <c r="AC52" i="4"/>
  <c r="N104" i="35"/>
  <c r="Q104" i="35"/>
  <c r="O39" i="30"/>
  <c r="Q39" i="30"/>
  <c r="BA543" i="4"/>
  <c r="BA547" i="4"/>
  <c r="BA541" i="4"/>
  <c r="BA557" i="4"/>
  <c r="AC94" i="4"/>
  <c r="AC92" i="4"/>
  <c r="J92" i="4" s="1"/>
  <c r="O42" i="30"/>
  <c r="Q42" i="30"/>
  <c r="AC112" i="4"/>
  <c r="AC108" i="4"/>
  <c r="AC107" i="4"/>
  <c r="H109" i="4"/>
  <c r="AM73" i="38"/>
  <c r="L73" i="38" s="1"/>
  <c r="AM36" i="38"/>
  <c r="L36" i="38" s="1"/>
  <c r="AM37" i="38"/>
  <c r="L37" i="38" s="1"/>
  <c r="AM88" i="38"/>
  <c r="L88" i="38" s="1"/>
  <c r="AM71" i="38"/>
  <c r="L71" i="38" s="1"/>
  <c r="AM61" i="38"/>
  <c r="L61" i="38" s="1"/>
  <c r="AM72" i="38"/>
  <c r="L72" i="38" s="1"/>
  <c r="AC121" i="4"/>
  <c r="K121" i="4" s="1"/>
  <c r="AM34" i="38"/>
  <c r="L34" i="38" s="1"/>
  <c r="AM45" i="38"/>
  <c r="L45" i="38" s="1"/>
  <c r="AM47" i="38"/>
  <c r="L47" i="38" s="1"/>
  <c r="AM67" i="38"/>
  <c r="L67" i="38" s="1"/>
  <c r="AM69" i="38"/>
  <c r="L69" i="38" s="1"/>
  <c r="AM43" i="38"/>
  <c r="L43" i="38" s="1"/>
  <c r="AC124" i="4"/>
  <c r="K124" i="4" s="1"/>
  <c r="AM81" i="38"/>
  <c r="L81" i="38" s="1"/>
  <c r="AM76" i="38"/>
  <c r="L76" i="38" s="1"/>
  <c r="AM39" i="38"/>
  <c r="L39" i="38" s="1"/>
  <c r="AM74" i="38"/>
  <c r="L74" i="38" s="1"/>
  <c r="AM70" i="38"/>
  <c r="L70" i="38" s="1"/>
  <c r="AM35" i="38"/>
  <c r="L35" i="38" s="1"/>
  <c r="AM104" i="38"/>
  <c r="AM42" i="38"/>
  <c r="L42" i="38" s="1"/>
  <c r="AM77" i="38"/>
  <c r="L77" i="38" s="1"/>
  <c r="AM49" i="38"/>
  <c r="L49" i="38" s="1"/>
  <c r="AM79" i="38"/>
  <c r="L79" i="38" s="1"/>
  <c r="AC134" i="4"/>
  <c r="K134" i="4" s="1"/>
  <c r="AM90" i="38"/>
  <c r="AM63" i="38"/>
  <c r="L63" i="38" s="1"/>
  <c r="AM38" i="38"/>
  <c r="L38" i="38" s="1"/>
  <c r="AM41" i="38"/>
  <c r="L41" i="38" s="1"/>
  <c r="AM101" i="38"/>
  <c r="M101" i="38" s="1"/>
  <c r="AM33" i="38"/>
  <c r="AM105" i="38"/>
  <c r="M105" i="38" s="1"/>
  <c r="AM103" i="38"/>
  <c r="AM64" i="38"/>
  <c r="L64" i="38" s="1"/>
  <c r="AM62" i="38"/>
  <c r="L62" i="38" s="1"/>
  <c r="AM68" i="38"/>
  <c r="L68" i="38" s="1"/>
  <c r="AM100" i="38"/>
  <c r="M100" i="38" s="1"/>
  <c r="AM82" i="38"/>
  <c r="L82" i="38" s="1"/>
  <c r="AM136" i="33"/>
  <c r="O136" i="33" s="1"/>
  <c r="AM56" i="38"/>
  <c r="L56" i="38" s="1"/>
  <c r="AM66" i="38"/>
  <c r="L66" i="38" s="1"/>
  <c r="AM135" i="33"/>
  <c r="O135" i="33" s="1"/>
  <c r="AM46" i="38"/>
  <c r="L46" i="38" s="1"/>
  <c r="AM97" i="34"/>
  <c r="O97" i="34" s="1"/>
  <c r="AM134" i="33"/>
  <c r="O134" i="33" s="1"/>
  <c r="AM133" i="33"/>
  <c r="O133" i="33" s="1"/>
  <c r="AM44" i="34"/>
  <c r="O44" i="34" s="1"/>
  <c r="Q44" i="34" s="1"/>
  <c r="AM43" i="34"/>
  <c r="O43" i="34" s="1"/>
  <c r="Q43" i="34" s="1"/>
  <c r="AM42" i="34"/>
  <c r="O42" i="34" s="1"/>
  <c r="Q42" i="34" s="1"/>
  <c r="AM46" i="34"/>
  <c r="O46" i="34" s="1"/>
  <c r="Q46" i="34" s="1"/>
  <c r="AM78" i="38"/>
  <c r="L78" i="38" s="1"/>
  <c r="AM75" i="38"/>
  <c r="L75" i="38" s="1"/>
  <c r="AC60" i="4"/>
  <c r="H60" i="4" s="1"/>
  <c r="E49" i="55" s="1"/>
  <c r="AM57" i="38"/>
  <c r="AM44" i="38"/>
  <c r="L44" i="38" s="1"/>
  <c r="AM40" i="38"/>
  <c r="L40" i="38" s="1"/>
  <c r="AM48" i="38"/>
  <c r="L48" i="38" s="1"/>
  <c r="AM55" i="38"/>
  <c r="L55" i="38" s="1"/>
  <c r="AA57" i="4"/>
  <c r="AK121" i="37"/>
  <c r="BA553" i="4"/>
  <c r="BA552" i="4"/>
  <c r="BA549" i="4"/>
  <c r="AL121" i="37"/>
  <c r="BA545" i="4"/>
  <c r="BA551" i="4"/>
  <c r="AB57" i="4"/>
  <c r="BA554" i="4"/>
  <c r="BA542" i="4"/>
  <c r="BA555" i="4"/>
  <c r="BA544" i="4"/>
  <c r="AM109" i="34"/>
  <c r="O109" i="34" s="1"/>
  <c r="AD182" i="4"/>
  <c r="J182" i="4" s="1"/>
  <c r="AD181" i="4"/>
  <c r="J181" i="4" s="1"/>
  <c r="AC180" i="4"/>
  <c r="AB180" i="4"/>
  <c r="AA59" i="4"/>
  <c r="AB59" i="4"/>
  <c r="AM110" i="34"/>
  <c r="S110" i="34" s="1"/>
  <c r="AL91" i="37"/>
  <c r="AZ538" i="4"/>
  <c r="K43" i="30"/>
  <c r="L93" i="37"/>
  <c r="AM41" i="34"/>
  <c r="O41" i="34" s="1"/>
  <c r="Q41" i="34" s="1"/>
  <c r="AM45" i="34"/>
  <c r="O45" i="34" s="1"/>
  <c r="Q45" i="34" s="1"/>
  <c r="AM68" i="33"/>
  <c r="AM67" i="33"/>
  <c r="O67" i="33" s="1"/>
  <c r="Q67" i="33" s="1"/>
  <c r="AM63" i="33"/>
  <c r="O63" i="33" s="1"/>
  <c r="Q63" i="33" s="1"/>
  <c r="AM60" i="33"/>
  <c r="O60" i="33" s="1"/>
  <c r="Q60" i="33" s="1"/>
  <c r="AM57" i="33"/>
  <c r="O57" i="33" s="1"/>
  <c r="Q57" i="33" s="1"/>
  <c r="AM55" i="33"/>
  <c r="O55" i="33" s="1"/>
  <c r="Q55" i="33" s="1"/>
  <c r="AM41" i="35"/>
  <c r="O41" i="35" s="1"/>
  <c r="Q41" i="35" s="1"/>
  <c r="AM45" i="35"/>
  <c r="O45" i="35" s="1"/>
  <c r="Q45" i="35" s="1"/>
  <c r="AM43" i="35"/>
  <c r="O43" i="35" s="1"/>
  <c r="Q43" i="35" s="1"/>
  <c r="AM40" i="35"/>
  <c r="O40" i="35" s="1"/>
  <c r="Q40" i="35" s="1"/>
  <c r="AM36" i="35"/>
  <c r="O36" i="35" s="1"/>
  <c r="Q36" i="35" s="1"/>
  <c r="AM33" i="35"/>
  <c r="O33" i="35" s="1"/>
  <c r="Q33" i="35" s="1"/>
  <c r="Q45" i="33"/>
  <c r="O34" i="30"/>
  <c r="AW544" i="4"/>
  <c r="AW542" i="4"/>
  <c r="AW552" i="4"/>
  <c r="AW545" i="4"/>
  <c r="AW540" i="4"/>
  <c r="AW541" i="4"/>
  <c r="AW553" i="4"/>
  <c r="AW556" i="4"/>
  <c r="AW549" i="4"/>
  <c r="AW547" i="4"/>
  <c r="AW557" i="4"/>
  <c r="AW543" i="4"/>
  <c r="AW551" i="4"/>
  <c r="AW554" i="4"/>
  <c r="AW555" i="4"/>
  <c r="Q38" i="30"/>
  <c r="O38" i="30"/>
  <c r="Q53" i="35"/>
  <c r="N53" i="35"/>
  <c r="O140" i="35"/>
  <c r="N45" i="33"/>
  <c r="Q34" i="30"/>
  <c r="AU543" i="4"/>
  <c r="AU544" i="4"/>
  <c r="AU549" i="4"/>
  <c r="AU541" i="4"/>
  <c r="AU545" i="4"/>
  <c r="AU547" i="4"/>
  <c r="AU540" i="4"/>
  <c r="AU554" i="4"/>
  <c r="AU557" i="4"/>
  <c r="AU542" i="4"/>
  <c r="AU556" i="4"/>
  <c r="AU553" i="4"/>
  <c r="AU552" i="4"/>
  <c r="AU551" i="4"/>
  <c r="AV553" i="4"/>
  <c r="AV555" i="4"/>
  <c r="AV543" i="4"/>
  <c r="AV551" i="4"/>
  <c r="AV541" i="4"/>
  <c r="AV547" i="4"/>
  <c r="AV556" i="4"/>
  <c r="AV552" i="4"/>
  <c r="AV545" i="4"/>
  <c r="AV544" i="4"/>
  <c r="AV549" i="4"/>
  <c r="AV557" i="4"/>
  <c r="BB552" i="4"/>
  <c r="BB551" i="4"/>
  <c r="BB544" i="4"/>
  <c r="BB554" i="4"/>
  <c r="BB545" i="4"/>
  <c r="BB549" i="4"/>
  <c r="BB557" i="4"/>
  <c r="BB547" i="4"/>
  <c r="BB541" i="4"/>
  <c r="BB542" i="4"/>
  <c r="BB556" i="4"/>
  <c r="BB543" i="4"/>
  <c r="BB540" i="4"/>
  <c r="BB553" i="4"/>
  <c r="O32" i="30"/>
  <c r="Q32" i="30"/>
  <c r="Q65" i="34"/>
  <c r="N65" i="34"/>
  <c r="O37" i="30"/>
  <c r="Q37" i="30"/>
  <c r="Q85" i="33"/>
  <c r="N85" i="33"/>
  <c r="Q36" i="30"/>
  <c r="O36" i="30"/>
  <c r="Q41" i="10"/>
  <c r="N41" i="10"/>
  <c r="Q35" i="30"/>
  <c r="O35" i="30"/>
  <c r="AS557" i="4"/>
  <c r="AS554" i="4"/>
  <c r="AS549" i="4"/>
  <c r="AS553" i="4"/>
  <c r="AS552" i="4"/>
  <c r="AS542" i="4"/>
  <c r="AS543" i="4"/>
  <c r="AS556" i="4"/>
  <c r="AS555" i="4"/>
  <c r="AS541" i="4"/>
  <c r="AS551" i="4"/>
  <c r="AS545" i="4"/>
  <c r="AS544" i="4"/>
  <c r="AS547" i="4"/>
  <c r="AS540" i="4"/>
  <c r="L44" i="30"/>
  <c r="F42" i="4"/>
  <c r="AM63" i="37"/>
  <c r="O63" i="37" s="1"/>
  <c r="Q63" i="37" s="1"/>
  <c r="AM33" i="37"/>
  <c r="O33" i="37" s="1"/>
  <c r="Q33" i="37" s="1"/>
  <c r="B984" i="55"/>
  <c r="B975" i="55"/>
  <c r="B978" i="55"/>
  <c r="B981" i="55"/>
  <c r="B976" i="55"/>
  <c r="B982" i="55"/>
  <c r="B985" i="55"/>
  <c r="N109" i="33" l="1"/>
  <c r="D1271" i="55" s="1"/>
  <c r="N105" i="37"/>
  <c r="Q105" i="37"/>
  <c r="N110" i="33"/>
  <c r="D1272" i="55" s="1"/>
  <c r="Q97" i="34"/>
  <c r="N97" i="34"/>
  <c r="Q102" i="34"/>
  <c r="N102" i="34"/>
  <c r="N86" i="34"/>
  <c r="D1475" i="55" s="1"/>
  <c r="Q86" i="34"/>
  <c r="F1475" i="55" s="1"/>
  <c r="Q91" i="34"/>
  <c r="N91" i="34"/>
  <c r="Q99" i="34"/>
  <c r="N99" i="34"/>
  <c r="O101" i="34"/>
  <c r="O94" i="34"/>
  <c r="O87" i="34"/>
  <c r="E1476" i="55" s="1"/>
  <c r="O98" i="34"/>
  <c r="E1485" i="55" s="1"/>
  <c r="O82" i="34"/>
  <c r="E1471" i="55" s="1"/>
  <c r="Q109" i="34"/>
  <c r="N109" i="34"/>
  <c r="Q84" i="34"/>
  <c r="N84" i="34"/>
  <c r="Q95" i="34"/>
  <c r="F1482" i="55" s="1"/>
  <c r="N95" i="34"/>
  <c r="O81" i="34"/>
  <c r="E1470" i="55" s="1"/>
  <c r="O100" i="34"/>
  <c r="E1487" i="55" s="1"/>
  <c r="Q83" i="34"/>
  <c r="N83" i="34"/>
  <c r="O85" i="34"/>
  <c r="Q92" i="34"/>
  <c r="F1479" i="55" s="1"/>
  <c r="N92" i="34"/>
  <c r="D1479" i="55" s="1"/>
  <c r="Q79" i="34"/>
  <c r="N79" i="34"/>
  <c r="Q80" i="34"/>
  <c r="F1469" i="55" s="1"/>
  <c r="N80" i="34"/>
  <c r="D1469" i="55" s="1"/>
  <c r="Q93" i="34"/>
  <c r="N93" i="34"/>
  <c r="N62" i="34"/>
  <c r="D1465" i="55" s="1"/>
  <c r="E1465" i="55"/>
  <c r="H39" i="4"/>
  <c r="E31" i="55" s="1"/>
  <c r="K3" i="77"/>
  <c r="S40" i="4" s="1"/>
  <c r="I3" i="77"/>
  <c r="S38" i="4" s="1"/>
  <c r="H3" i="77"/>
  <c r="S37" i="4" s="1"/>
  <c r="G3" i="77"/>
  <c r="S36" i="4" s="1"/>
  <c r="N48" i="32"/>
  <c r="D724" i="55" s="1"/>
  <c r="E724" i="55"/>
  <c r="F3" i="77"/>
  <c r="S35" i="4" s="1"/>
  <c r="E1288" i="55"/>
  <c r="Q141" i="33"/>
  <c r="B3" i="77"/>
  <c r="S30" i="4" s="1"/>
  <c r="AT545" i="4"/>
  <c r="C10" i="77"/>
  <c r="C9" i="77"/>
  <c r="C14" i="77"/>
  <c r="C18" i="77"/>
  <c r="C8" i="77"/>
  <c r="C5" i="77"/>
  <c r="C17" i="77"/>
  <c r="C7" i="77"/>
  <c r="C15" i="77"/>
  <c r="C6" i="77"/>
  <c r="C12" i="77"/>
  <c r="C3" i="77" s="1"/>
  <c r="S31" i="4" s="1"/>
  <c r="C4" i="77"/>
  <c r="C11" i="77"/>
  <c r="AB99" i="4"/>
  <c r="AC99" i="4" s="1"/>
  <c r="H99" i="4" s="1"/>
  <c r="H34" i="4"/>
  <c r="E26" i="55" s="1"/>
  <c r="AT556" i="4"/>
  <c r="AT549" i="4"/>
  <c r="AT547" i="4"/>
  <c r="F54" i="55"/>
  <c r="J175" i="4"/>
  <c r="J110" i="34" s="1"/>
  <c r="E54" i="55"/>
  <c r="I56" i="4"/>
  <c r="F45" i="55" s="1"/>
  <c r="E45" i="55"/>
  <c r="G49" i="4"/>
  <c r="D40" i="55" s="1"/>
  <c r="E40" i="55"/>
  <c r="BX390" i="49"/>
  <c r="N60" i="32"/>
  <c r="D732" i="55" s="1"/>
  <c r="Q60" i="32"/>
  <c r="AT544" i="4"/>
  <c r="AT557" i="4"/>
  <c r="AT541" i="4"/>
  <c r="AT553" i="4"/>
  <c r="AT551" i="4"/>
  <c r="AT543" i="4"/>
  <c r="AT540" i="4"/>
  <c r="AT554" i="4"/>
  <c r="AT542" i="4"/>
  <c r="E722" i="55"/>
  <c r="Q46" i="32"/>
  <c r="Q65" i="32"/>
  <c r="N65" i="32"/>
  <c r="D735" i="55" s="1"/>
  <c r="Q33" i="30"/>
  <c r="Q66" i="37"/>
  <c r="N32" i="32"/>
  <c r="E713" i="55"/>
  <c r="N92" i="32"/>
  <c r="N58" i="33"/>
  <c r="G71" i="4"/>
  <c r="I71" i="4"/>
  <c r="F59" i="55" s="1"/>
  <c r="E59" i="55"/>
  <c r="K65" i="38"/>
  <c r="G72" i="4"/>
  <c r="I72" i="4"/>
  <c r="M65" i="38"/>
  <c r="F2444" i="55" s="1"/>
  <c r="E1234" i="55"/>
  <c r="N65" i="37"/>
  <c r="AC58" i="4"/>
  <c r="H58" i="4" s="1"/>
  <c r="G58" i="4" s="1"/>
  <c r="D47" i="55" s="1"/>
  <c r="N46" i="32"/>
  <c r="G70" i="4"/>
  <c r="I70" i="4"/>
  <c r="E732" i="55"/>
  <c r="G56" i="4"/>
  <c r="I111" i="4"/>
  <c r="F98" i="55" s="1"/>
  <c r="N88" i="32"/>
  <c r="D571" i="55" s="1"/>
  <c r="I74" i="4"/>
  <c r="F62" i="55" s="1"/>
  <c r="G88" i="4"/>
  <c r="D76" i="55" s="1"/>
  <c r="G74" i="4"/>
  <c r="E76" i="55"/>
  <c r="I49" i="4"/>
  <c r="E728" i="55"/>
  <c r="N56" i="32"/>
  <c r="Q88" i="32"/>
  <c r="AY538" i="4"/>
  <c r="N141" i="33"/>
  <c r="E1229" i="55"/>
  <c r="N43" i="33"/>
  <c r="N40" i="33"/>
  <c r="D1226" i="55" s="1"/>
  <c r="E1226" i="55"/>
  <c r="AC90" i="4"/>
  <c r="G90" i="4"/>
  <c r="D78" i="55" s="1"/>
  <c r="K80" i="38"/>
  <c r="D2459" i="55" s="1"/>
  <c r="M80" i="38"/>
  <c r="F2459" i="55" s="1"/>
  <c r="E2277" i="55"/>
  <c r="E1927" i="55"/>
  <c r="G141" i="4"/>
  <c r="D124" i="55" s="1"/>
  <c r="I141" i="4"/>
  <c r="F124" i="55" s="1"/>
  <c r="E1482" i="55"/>
  <c r="N72" i="37"/>
  <c r="G140" i="4"/>
  <c r="E123" i="55"/>
  <c r="N120" i="35"/>
  <c r="D1927" i="55" s="1"/>
  <c r="F2479" i="55"/>
  <c r="N44" i="37"/>
  <c r="E2273" i="55"/>
  <c r="Q72" i="37"/>
  <c r="F2277" i="55" s="1"/>
  <c r="E2266" i="55"/>
  <c r="Q108" i="37"/>
  <c r="Q107" i="37"/>
  <c r="L102" i="38"/>
  <c r="N35" i="35"/>
  <c r="D1884" i="55" s="1"/>
  <c r="E1469" i="55"/>
  <c r="M102" i="38"/>
  <c r="L104" i="38"/>
  <c r="N86" i="35"/>
  <c r="D1912" i="55" s="1"/>
  <c r="N79" i="37"/>
  <c r="E1479" i="55"/>
  <c r="E1912" i="55"/>
  <c r="E2281" i="55"/>
  <c r="F78" i="55"/>
  <c r="AM91" i="37"/>
  <c r="E1911" i="55"/>
  <c r="E1909" i="55"/>
  <c r="N81" i="35"/>
  <c r="D1909" i="55" s="1"/>
  <c r="N70" i="35"/>
  <c r="D1900" i="55" s="1"/>
  <c r="N71" i="35"/>
  <c r="D1901" i="55" s="1"/>
  <c r="N83" i="35"/>
  <c r="E1910" i="55"/>
  <c r="N82" i="35"/>
  <c r="N73" i="35"/>
  <c r="E1903" i="55"/>
  <c r="E1901" i="55"/>
  <c r="E1906" i="55"/>
  <c r="N76" i="35"/>
  <c r="E1900" i="55"/>
  <c r="E1884" i="55"/>
  <c r="N51" i="35"/>
  <c r="E1894" i="55"/>
  <c r="D1934" i="55"/>
  <c r="E1893" i="55"/>
  <c r="F1934" i="55"/>
  <c r="E1475" i="55"/>
  <c r="O68" i="35"/>
  <c r="Q68" i="35" s="1"/>
  <c r="O42" i="35"/>
  <c r="Q42" i="35" s="1"/>
  <c r="O84" i="37"/>
  <c r="Q84" i="37" s="1"/>
  <c r="O34" i="35"/>
  <c r="Q34" i="35" s="1"/>
  <c r="F1924" i="55"/>
  <c r="D1924" i="55"/>
  <c r="N49" i="35"/>
  <c r="D1895" i="55"/>
  <c r="F1895" i="55"/>
  <c r="E1935" i="55"/>
  <c r="E1447" i="55"/>
  <c r="N34" i="34"/>
  <c r="O37" i="10"/>
  <c r="O34" i="10"/>
  <c r="Q34" i="10" s="1"/>
  <c r="O38" i="10"/>
  <c r="E349" i="55" s="1"/>
  <c r="N33" i="10"/>
  <c r="D345" i="55" s="1"/>
  <c r="O38" i="34"/>
  <c r="Q38" i="34" s="1"/>
  <c r="D1467" i="55"/>
  <c r="F1467" i="55"/>
  <c r="Q35" i="10"/>
  <c r="N103" i="33"/>
  <c r="F1230" i="55"/>
  <c r="D1259" i="55"/>
  <c r="F1259" i="55"/>
  <c r="D1230" i="55"/>
  <c r="BA538" i="4"/>
  <c r="E734" i="55"/>
  <c r="E1462" i="55"/>
  <c r="E1907" i="55"/>
  <c r="E1920" i="55"/>
  <c r="E1931" i="55"/>
  <c r="E2437" i="55"/>
  <c r="E2457" i="55"/>
  <c r="E1891" i="55"/>
  <c r="E1463" i="55"/>
  <c r="E1489" i="55"/>
  <c r="E1899" i="55"/>
  <c r="E1921" i="55"/>
  <c r="E2285" i="55"/>
  <c r="E1236" i="55"/>
  <c r="E1882" i="55"/>
  <c r="E1239" i="55"/>
  <c r="E2447" i="55"/>
  <c r="E1227" i="55"/>
  <c r="E1480" i="55"/>
  <c r="E1913" i="55"/>
  <c r="E1922" i="55"/>
  <c r="E2286" i="55"/>
  <c r="E1887" i="55"/>
  <c r="E2430" i="55"/>
  <c r="E88" i="55"/>
  <c r="E2287" i="55"/>
  <c r="D1260" i="55"/>
  <c r="E344" i="55"/>
  <c r="E347" i="55"/>
  <c r="E1228" i="55"/>
  <c r="E1923" i="55"/>
  <c r="E2279" i="55"/>
  <c r="E738" i="55"/>
  <c r="E1231" i="55"/>
  <c r="E1468" i="55"/>
  <c r="E1486" i="55"/>
  <c r="E1892" i="55"/>
  <c r="E1904" i="55"/>
  <c r="E1925" i="55"/>
  <c r="E2454" i="55"/>
  <c r="E1492" i="55"/>
  <c r="E1233" i="55"/>
  <c r="E1484" i="55"/>
  <c r="E2445" i="55"/>
  <c r="E716" i="55"/>
  <c r="E2468" i="55"/>
  <c r="E133" i="55"/>
  <c r="E1890" i="55"/>
  <c r="E1885" i="55"/>
  <c r="E720" i="55"/>
  <c r="E730" i="55"/>
  <c r="E1218" i="55"/>
  <c r="E1460" i="55"/>
  <c r="E1478" i="55"/>
  <c r="E1918" i="55"/>
  <c r="E2282" i="55"/>
  <c r="E1219" i="55"/>
  <c r="E1225" i="55"/>
  <c r="E1461" i="55"/>
  <c r="E1473" i="55"/>
  <c r="E1919" i="55"/>
  <c r="E1928" i="55"/>
  <c r="E281" i="55"/>
  <c r="E283" i="55"/>
  <c r="E288" i="55"/>
  <c r="E282" i="55"/>
  <c r="E279" i="55"/>
  <c r="E284" i="55"/>
  <c r="F281" i="55"/>
  <c r="F283" i="55"/>
  <c r="F282" i="55"/>
  <c r="F284" i="55"/>
  <c r="F280" i="55"/>
  <c r="E280" i="55"/>
  <c r="K45" i="30"/>
  <c r="F288" i="55"/>
  <c r="F285" i="55"/>
  <c r="E286" i="55"/>
  <c r="F286" i="55"/>
  <c r="E285" i="55"/>
  <c r="N101" i="33"/>
  <c r="F278" i="55"/>
  <c r="F350" i="55"/>
  <c r="D350" i="55"/>
  <c r="E278" i="55"/>
  <c r="F110" i="55"/>
  <c r="Q79" i="32"/>
  <c r="E680" i="55"/>
  <c r="E1452" i="55"/>
  <c r="F2470" i="55"/>
  <c r="K74" i="38"/>
  <c r="E2453" i="55"/>
  <c r="K37" i="38"/>
  <c r="E2419" i="55"/>
  <c r="N47" i="32"/>
  <c r="E723" i="55"/>
  <c r="E717" i="55"/>
  <c r="G89" i="4"/>
  <c r="E77" i="55"/>
  <c r="F1226" i="55"/>
  <c r="E1902" i="55"/>
  <c r="E2272" i="55"/>
  <c r="E1888" i="55"/>
  <c r="E1493" i="55"/>
  <c r="K40" i="38"/>
  <c r="E2422" i="55"/>
  <c r="E1453" i="55"/>
  <c r="F2471" i="55"/>
  <c r="E2458" i="55"/>
  <c r="M39" i="38"/>
  <c r="E2421" i="55"/>
  <c r="M45" i="38"/>
  <c r="E2427" i="55"/>
  <c r="E2418" i="55"/>
  <c r="E139" i="55"/>
  <c r="F724" i="55"/>
  <c r="Q96" i="32"/>
  <c r="E737" i="55"/>
  <c r="Q77" i="32"/>
  <c r="E678" i="55"/>
  <c r="N42" i="32"/>
  <c r="E721" i="55"/>
  <c r="I61" i="4"/>
  <c r="F50" i="55" s="1"/>
  <c r="I47" i="4"/>
  <c r="F38" i="55" s="1"/>
  <c r="E81" i="55"/>
  <c r="E725" i="55"/>
  <c r="N78" i="35"/>
  <c r="E1908" i="55"/>
  <c r="E1932" i="55"/>
  <c r="E1914" i="55"/>
  <c r="E2280" i="55"/>
  <c r="G98" i="4"/>
  <c r="E85" i="55"/>
  <c r="F713" i="55"/>
  <c r="E2429" i="55"/>
  <c r="Q80" i="32"/>
  <c r="E681" i="55"/>
  <c r="F76" i="55"/>
  <c r="E718" i="55"/>
  <c r="E1905" i="55"/>
  <c r="F1912" i="55"/>
  <c r="E2283" i="55"/>
  <c r="E2271" i="55"/>
  <c r="F1465" i="55"/>
  <c r="F1906" i="55"/>
  <c r="F1894" i="55"/>
  <c r="M44" i="38"/>
  <c r="E2426" i="55"/>
  <c r="Q133" i="33"/>
  <c r="E1283" i="55"/>
  <c r="K46" i="38"/>
  <c r="E2428" i="55"/>
  <c r="K62" i="38"/>
  <c r="E2441" i="55"/>
  <c r="K41" i="38"/>
  <c r="E2423" i="55"/>
  <c r="M49" i="38"/>
  <c r="E2431" i="55"/>
  <c r="K76" i="38"/>
  <c r="E2455" i="55"/>
  <c r="K34" i="38"/>
  <c r="E2416" i="55"/>
  <c r="M73" i="38"/>
  <c r="E2452" i="55"/>
  <c r="Q84" i="32"/>
  <c r="E736" i="55"/>
  <c r="E726" i="55"/>
  <c r="N36" i="32"/>
  <c r="E715" i="55"/>
  <c r="E1446" i="55"/>
  <c r="G48" i="4"/>
  <c r="D39" i="55" s="1"/>
  <c r="E727" i="55"/>
  <c r="E1464" i="55"/>
  <c r="E1448" i="55"/>
  <c r="F1909" i="55"/>
  <c r="E1930" i="55"/>
  <c r="E1929" i="55"/>
  <c r="E2278" i="55"/>
  <c r="E2276" i="55"/>
  <c r="F2273" i="55"/>
  <c r="F1901" i="55"/>
  <c r="Q134" i="33"/>
  <c r="E1284" i="55"/>
  <c r="Q135" i="33"/>
  <c r="E1285" i="55"/>
  <c r="E2443" i="55"/>
  <c r="E2420" i="55"/>
  <c r="M77" i="38"/>
  <c r="E2456" i="55"/>
  <c r="E2460" i="55"/>
  <c r="F100" i="55"/>
  <c r="E96" i="55"/>
  <c r="E1237" i="55"/>
  <c r="G149" i="4"/>
  <c r="E132" i="55"/>
  <c r="E75" i="55"/>
  <c r="E731" i="55"/>
  <c r="D1268" i="55"/>
  <c r="E1466" i="55"/>
  <c r="E140" i="55"/>
  <c r="F1900" i="55"/>
  <c r="E1915" i="55"/>
  <c r="E1926" i="55"/>
  <c r="E2265" i="55"/>
  <c r="E2274" i="55"/>
  <c r="E2264" i="55"/>
  <c r="E1454" i="55"/>
  <c r="E2424" i="55"/>
  <c r="F103" i="55"/>
  <c r="M72" i="38"/>
  <c r="E2451" i="55"/>
  <c r="E138" i="55"/>
  <c r="E1232" i="55"/>
  <c r="E1235" i="55"/>
  <c r="E1240" i="55"/>
  <c r="Q98" i="32"/>
  <c r="E739" i="55"/>
  <c r="N57" i="32"/>
  <c r="E729" i="55"/>
  <c r="F1447" i="55"/>
  <c r="E1916" i="55"/>
  <c r="E1933" i="55"/>
  <c r="F2266" i="55"/>
  <c r="F2281" i="55"/>
  <c r="Q62" i="37"/>
  <c r="E2270" i="55"/>
  <c r="E127" i="55"/>
  <c r="F1927" i="55"/>
  <c r="F1234" i="55"/>
  <c r="E1450" i="55"/>
  <c r="M56" i="38"/>
  <c r="E2438" i="55"/>
  <c r="E2425" i="55"/>
  <c r="E2440" i="55"/>
  <c r="N65" i="33"/>
  <c r="E1241" i="55"/>
  <c r="T77" i="33"/>
  <c r="E1253" i="55"/>
  <c r="I185" i="4"/>
  <c r="E146" i="55"/>
  <c r="E719" i="55"/>
  <c r="E1224" i="55"/>
  <c r="N87" i="32"/>
  <c r="E570" i="55"/>
  <c r="F1229" i="55"/>
  <c r="F1910" i="55"/>
  <c r="E1917" i="55"/>
  <c r="E2267" i="55"/>
  <c r="F2476" i="55"/>
  <c r="E135" i="55"/>
  <c r="F728" i="55"/>
  <c r="F1903" i="55"/>
  <c r="E1455" i="55"/>
  <c r="Q136" i="33"/>
  <c r="E1286" i="55"/>
  <c r="F2475" i="55"/>
  <c r="K63" i="38"/>
  <c r="E2442" i="55"/>
  <c r="E2417" i="55"/>
  <c r="K69" i="38"/>
  <c r="E2448" i="55"/>
  <c r="K71" i="38"/>
  <c r="E2450" i="55"/>
  <c r="E1472" i="55"/>
  <c r="E1238" i="55"/>
  <c r="E733" i="55"/>
  <c r="F123" i="55"/>
  <c r="G62" i="4"/>
  <c r="D51" i="55" s="1"/>
  <c r="H54" i="4"/>
  <c r="E43" i="55" s="1"/>
  <c r="E345" i="55"/>
  <c r="F1893" i="55"/>
  <c r="E1886" i="55"/>
  <c r="E2269" i="55"/>
  <c r="F2481" i="55"/>
  <c r="G157" i="4"/>
  <c r="E136" i="55"/>
  <c r="F1466" i="55"/>
  <c r="E1451" i="55"/>
  <c r="K82" i="38"/>
  <c r="E2461" i="55"/>
  <c r="E2449" i="55"/>
  <c r="K67" i="38"/>
  <c r="E2446" i="55"/>
  <c r="M88" i="38"/>
  <c r="E2467" i="55"/>
  <c r="F102" i="55"/>
  <c r="R80" i="33"/>
  <c r="E1256" i="55"/>
  <c r="Q78" i="32"/>
  <c r="E679" i="55"/>
  <c r="F2477" i="55"/>
  <c r="E714" i="55"/>
  <c r="E1287" i="55"/>
  <c r="N64" i="35"/>
  <c r="E1896" i="55"/>
  <c r="N67" i="35"/>
  <c r="E1897" i="55"/>
  <c r="F1911" i="55"/>
  <c r="E2275" i="55"/>
  <c r="F1884" i="55"/>
  <c r="N57" i="37"/>
  <c r="I157" i="4"/>
  <c r="N88" i="35"/>
  <c r="N63" i="34"/>
  <c r="N91" i="32"/>
  <c r="N33" i="32"/>
  <c r="I98" i="4"/>
  <c r="N104" i="37"/>
  <c r="N72" i="35"/>
  <c r="N39" i="32"/>
  <c r="G47" i="4"/>
  <c r="D38" i="55" s="1"/>
  <c r="N100" i="33"/>
  <c r="N117" i="35"/>
  <c r="G144" i="4"/>
  <c r="I144" i="4"/>
  <c r="G156" i="4"/>
  <c r="I156" i="4"/>
  <c r="G93" i="4"/>
  <c r="N43" i="37"/>
  <c r="N62" i="37"/>
  <c r="N66" i="37"/>
  <c r="N69" i="37"/>
  <c r="N77" i="37"/>
  <c r="N83" i="37"/>
  <c r="AM121" i="37"/>
  <c r="O121" i="37" s="1"/>
  <c r="N106" i="37"/>
  <c r="Q106" i="37"/>
  <c r="N88" i="37"/>
  <c r="N87" i="37"/>
  <c r="N73" i="37"/>
  <c r="N81" i="37"/>
  <c r="N75" i="37"/>
  <c r="N64" i="37"/>
  <c r="N67" i="37"/>
  <c r="N45" i="37"/>
  <c r="N129" i="35"/>
  <c r="N125" i="35"/>
  <c r="N123" i="35"/>
  <c r="N91" i="35"/>
  <c r="N75" i="35"/>
  <c r="N37" i="35"/>
  <c r="N127" i="35"/>
  <c r="N126" i="35"/>
  <c r="N121" i="35"/>
  <c r="N115" i="35"/>
  <c r="N102" i="35"/>
  <c r="N101" i="35"/>
  <c r="N100" i="35"/>
  <c r="N99" i="35"/>
  <c r="N98" i="35"/>
  <c r="N97" i="35"/>
  <c r="N94" i="35"/>
  <c r="N89" i="35"/>
  <c r="N87" i="35"/>
  <c r="Q67" i="35"/>
  <c r="N69" i="35"/>
  <c r="N74" i="35"/>
  <c r="N77" i="35"/>
  <c r="N37" i="34"/>
  <c r="G170" i="4"/>
  <c r="I170" i="4"/>
  <c r="N59" i="34"/>
  <c r="N56" i="34"/>
  <c r="N55" i="34"/>
  <c r="N54" i="34"/>
  <c r="N53" i="34"/>
  <c r="N111" i="33"/>
  <c r="N105" i="33"/>
  <c r="N119" i="33"/>
  <c r="N139" i="33"/>
  <c r="N114" i="33"/>
  <c r="N113" i="33"/>
  <c r="R106" i="33"/>
  <c r="N107" i="33"/>
  <c r="N112" i="33"/>
  <c r="R112" i="33"/>
  <c r="R108" i="33"/>
  <c r="N108" i="33"/>
  <c r="N41" i="33"/>
  <c r="N39" i="33"/>
  <c r="N53" i="32"/>
  <c r="Q87" i="32"/>
  <c r="N59" i="32"/>
  <c r="N49" i="32"/>
  <c r="N35" i="10"/>
  <c r="G87" i="4"/>
  <c r="I93" i="4"/>
  <c r="I89" i="4"/>
  <c r="I87" i="4"/>
  <c r="I48" i="4"/>
  <c r="F39" i="55" s="1"/>
  <c r="N67" i="33"/>
  <c r="H53" i="4"/>
  <c r="E42" i="55" s="1"/>
  <c r="N98" i="32"/>
  <c r="N32" i="34"/>
  <c r="G61" i="4"/>
  <c r="D50" i="55" s="1"/>
  <c r="H94" i="4"/>
  <c r="AC125" i="4"/>
  <c r="K125" i="4" s="1"/>
  <c r="AX538" i="4"/>
  <c r="N42" i="33"/>
  <c r="N32" i="10"/>
  <c r="N33" i="33"/>
  <c r="N32" i="33"/>
  <c r="N38" i="33"/>
  <c r="G72" i="33"/>
  <c r="G79" i="33"/>
  <c r="BP538" i="4"/>
  <c r="G76" i="33"/>
  <c r="R104" i="33"/>
  <c r="N104" i="33"/>
  <c r="R102" i="33"/>
  <c r="N102" i="33"/>
  <c r="R99" i="33"/>
  <c r="N99" i="33"/>
  <c r="R98" i="33"/>
  <c r="N38" i="32"/>
  <c r="N61" i="32"/>
  <c r="AC175" i="4"/>
  <c r="I175" i="4" s="1"/>
  <c r="H175" i="4" s="1"/>
  <c r="N61" i="33"/>
  <c r="R71" i="33"/>
  <c r="T71" i="33"/>
  <c r="R74" i="33"/>
  <c r="T74" i="33"/>
  <c r="N40" i="32"/>
  <c r="N89" i="37"/>
  <c r="N77" i="32"/>
  <c r="I62" i="4"/>
  <c r="F51" i="55" s="1"/>
  <c r="G185" i="4"/>
  <c r="I149" i="4"/>
  <c r="I150" i="4"/>
  <c r="G150" i="4"/>
  <c r="I101" i="4"/>
  <c r="G101" i="4"/>
  <c r="M89" i="38"/>
  <c r="K89" i="38"/>
  <c r="N96" i="32"/>
  <c r="N63" i="32"/>
  <c r="N58" i="32"/>
  <c r="N52" i="32"/>
  <c r="N41" i="32"/>
  <c r="N37" i="32"/>
  <c r="N78" i="32"/>
  <c r="N84" i="32"/>
  <c r="Q97" i="32"/>
  <c r="N97" i="32"/>
  <c r="N64" i="33"/>
  <c r="I169" i="4"/>
  <c r="G169" i="4"/>
  <c r="N56" i="33"/>
  <c r="N59" i="33"/>
  <c r="E84" i="33"/>
  <c r="J84" i="33"/>
  <c r="F84" i="33"/>
  <c r="I84" i="33"/>
  <c r="R77" i="33"/>
  <c r="N62" i="33"/>
  <c r="L69" i="33"/>
  <c r="K72" i="33"/>
  <c r="K75" i="33"/>
  <c r="K81" i="33"/>
  <c r="K78" i="33"/>
  <c r="K79" i="33"/>
  <c r="L70" i="33"/>
  <c r="K82" i="33"/>
  <c r="K76" i="33"/>
  <c r="G81" i="33"/>
  <c r="G75" i="33"/>
  <c r="G78" i="33"/>
  <c r="G82" i="33"/>
  <c r="G73" i="33"/>
  <c r="K73" i="33"/>
  <c r="T80" i="33"/>
  <c r="L90" i="38"/>
  <c r="L57" i="38"/>
  <c r="I168" i="4"/>
  <c r="G168" i="4"/>
  <c r="N42" i="34"/>
  <c r="K56" i="38"/>
  <c r="N135" i="33"/>
  <c r="N134" i="33"/>
  <c r="G109" i="4"/>
  <c r="K73" i="38"/>
  <c r="M41" i="38"/>
  <c r="M71" i="38"/>
  <c r="M37" i="38"/>
  <c r="M36" i="38"/>
  <c r="K36" i="38"/>
  <c r="K61" i="38"/>
  <c r="K81" i="38"/>
  <c r="K43" i="38"/>
  <c r="K88" i="38"/>
  <c r="M61" i="38"/>
  <c r="M43" i="38"/>
  <c r="M63" i="38"/>
  <c r="K45" i="38"/>
  <c r="M67" i="38"/>
  <c r="M81" i="38"/>
  <c r="K72" i="38"/>
  <c r="N46" i="34"/>
  <c r="N136" i="33"/>
  <c r="K49" i="38"/>
  <c r="L105" i="38"/>
  <c r="M82" i="38"/>
  <c r="M35" i="38"/>
  <c r="M69" i="38"/>
  <c r="K47" i="38"/>
  <c r="M34" i="38"/>
  <c r="K79" i="38"/>
  <c r="M47" i="38"/>
  <c r="K35" i="38"/>
  <c r="M79" i="38"/>
  <c r="M74" i="38"/>
  <c r="K39" i="38"/>
  <c r="K77" i="38"/>
  <c r="M76" i="38"/>
  <c r="K42" i="38"/>
  <c r="M42" i="38"/>
  <c r="L100" i="38"/>
  <c r="K70" i="38"/>
  <c r="M70" i="38"/>
  <c r="M104" i="38"/>
  <c r="L101" i="38"/>
  <c r="K64" i="38"/>
  <c r="K38" i="38"/>
  <c r="M38" i="38"/>
  <c r="M46" i="38"/>
  <c r="N133" i="33"/>
  <c r="M64" i="38"/>
  <c r="K68" i="38"/>
  <c r="M68" i="38"/>
  <c r="M62" i="38"/>
  <c r="K66" i="38"/>
  <c r="M66" i="38"/>
  <c r="M103" i="38"/>
  <c r="L103" i="38"/>
  <c r="N44" i="34"/>
  <c r="N43" i="34"/>
  <c r="K75" i="38"/>
  <c r="M75" i="38"/>
  <c r="K78" i="38"/>
  <c r="M78" i="38"/>
  <c r="G60" i="4"/>
  <c r="D49" i="55" s="1"/>
  <c r="I60" i="4"/>
  <c r="F49" i="55" s="1"/>
  <c r="AC59" i="4"/>
  <c r="H59" i="4" s="1"/>
  <c r="E48" i="55" s="1"/>
  <c r="K44" i="38"/>
  <c r="M40" i="38"/>
  <c r="M48" i="38"/>
  <c r="K48" i="38"/>
  <c r="AC57" i="4"/>
  <c r="H57" i="4" s="1"/>
  <c r="E46" i="55" s="1"/>
  <c r="K55" i="38"/>
  <c r="M55" i="38"/>
  <c r="R110" i="34"/>
  <c r="U110" i="34"/>
  <c r="AD180" i="4"/>
  <c r="J180" i="4" s="1"/>
  <c r="AV538" i="4"/>
  <c r="S68" i="33"/>
  <c r="AS538" i="4"/>
  <c r="AT538" i="4"/>
  <c r="AU538" i="4"/>
  <c r="H32" i="4" s="1"/>
  <c r="E24" i="55" s="1"/>
  <c r="F41" i="4"/>
  <c r="L43" i="30"/>
  <c r="O93" i="37"/>
  <c r="E2289" i="55" s="1"/>
  <c r="N41" i="34"/>
  <c r="N47" i="34"/>
  <c r="N45" i="34"/>
  <c r="N63" i="33"/>
  <c r="N60" i="33"/>
  <c r="N57" i="33"/>
  <c r="N55" i="33"/>
  <c r="BB538" i="4"/>
  <c r="H33" i="4" s="1"/>
  <c r="E25" i="55" s="1"/>
  <c r="N47" i="35"/>
  <c r="N41" i="35"/>
  <c r="N45" i="35"/>
  <c r="N43" i="35"/>
  <c r="N40" i="35"/>
  <c r="N36" i="35"/>
  <c r="AW538" i="4"/>
  <c r="N33" i="35"/>
  <c r="Q140" i="35"/>
  <c r="N140" i="35"/>
  <c r="H42" i="4"/>
  <c r="E34" i="55" s="1"/>
  <c r="Q44" i="30"/>
  <c r="O44" i="30"/>
  <c r="N63" i="37"/>
  <c r="N33" i="37"/>
  <c r="Q94" i="34" l="1"/>
  <c r="F1481" i="55" s="1"/>
  <c r="N94" i="34"/>
  <c r="D1481" i="55" s="1"/>
  <c r="Q101" i="34"/>
  <c r="F1488" i="55" s="1"/>
  <c r="N101" i="34"/>
  <c r="D1488" i="55" s="1"/>
  <c r="E1488" i="55"/>
  <c r="Q85" i="34"/>
  <c r="F1474" i="55" s="1"/>
  <c r="N85" i="34"/>
  <c r="D1474" i="55" s="1"/>
  <c r="Q100" i="34"/>
  <c r="F1487" i="55" s="1"/>
  <c r="N100" i="34"/>
  <c r="D1487" i="55" s="1"/>
  <c r="Q98" i="34"/>
  <c r="F1485" i="55" s="1"/>
  <c r="N98" i="34"/>
  <c r="D1485" i="55" s="1"/>
  <c r="E1474" i="55"/>
  <c r="Q82" i="34"/>
  <c r="F1471" i="55" s="1"/>
  <c r="N82" i="34"/>
  <c r="D1471" i="55" s="1"/>
  <c r="E1481" i="55"/>
  <c r="Q81" i="34"/>
  <c r="F1470" i="55" s="1"/>
  <c r="N81" i="34"/>
  <c r="D1470" i="55" s="1"/>
  <c r="Q87" i="34"/>
  <c r="F1476" i="55" s="1"/>
  <c r="N87" i="34"/>
  <c r="D1476" i="55" s="1"/>
  <c r="I39" i="4"/>
  <c r="F31" i="55" s="1"/>
  <c r="G39" i="4"/>
  <c r="D31" i="55" s="1"/>
  <c r="H40" i="4"/>
  <c r="E32" i="55" s="1"/>
  <c r="H38" i="4"/>
  <c r="G38" i="4" s="1"/>
  <c r="H37" i="4"/>
  <c r="E29" i="55" s="1"/>
  <c r="H36" i="4"/>
  <c r="E28" i="55" s="1"/>
  <c r="H35" i="4"/>
  <c r="E27" i="55" s="1"/>
  <c r="H30" i="4"/>
  <c r="E22" i="55" s="1"/>
  <c r="H31" i="4"/>
  <c r="E23" i="55" s="1"/>
  <c r="G34" i="4"/>
  <c r="D26" i="55" s="1"/>
  <c r="I34" i="4"/>
  <c r="F26" i="55" s="1"/>
  <c r="F279" i="55"/>
  <c r="I110" i="34"/>
  <c r="G110" i="34" s="1"/>
  <c r="E47" i="55"/>
  <c r="F40" i="55"/>
  <c r="D45" i="55"/>
  <c r="D2444" i="55"/>
  <c r="D713" i="55"/>
  <c r="F735" i="55"/>
  <c r="I58" i="4"/>
  <c r="F60" i="55"/>
  <c r="D1234" i="55"/>
  <c r="D2273" i="55"/>
  <c r="D60" i="55"/>
  <c r="D59" i="55"/>
  <c r="D1288" i="55"/>
  <c r="D58" i="55"/>
  <c r="D722" i="55"/>
  <c r="D62" i="55"/>
  <c r="F732" i="55"/>
  <c r="F58" i="55"/>
  <c r="F1288" i="55"/>
  <c r="F722" i="55"/>
  <c r="F571" i="55"/>
  <c r="D728" i="55"/>
  <c r="D1482" i="55"/>
  <c r="F141" i="55"/>
  <c r="D1229" i="55"/>
  <c r="D133" i="36"/>
  <c r="E2474" i="55"/>
  <c r="D123" i="55"/>
  <c r="D2277" i="55"/>
  <c r="N37" i="10"/>
  <c r="D2266" i="55"/>
  <c r="E2478" i="55"/>
  <c r="E2472" i="55"/>
  <c r="K102" i="38"/>
  <c r="D1911" i="55"/>
  <c r="F2472" i="55"/>
  <c r="N38" i="10"/>
  <c r="D349" i="55" s="1"/>
  <c r="N34" i="10"/>
  <c r="E2480" i="55"/>
  <c r="K104" i="38"/>
  <c r="D2474" i="55" s="1"/>
  <c r="B18" i="35"/>
  <c r="D2281" i="55"/>
  <c r="N91" i="37"/>
  <c r="D1894" i="55"/>
  <c r="E2288" i="55"/>
  <c r="E346" i="55"/>
  <c r="E2284" i="55"/>
  <c r="N84" i="37"/>
  <c r="D1903" i="55"/>
  <c r="D1910" i="55"/>
  <c r="D1906" i="55"/>
  <c r="E1898" i="55"/>
  <c r="E1889" i="55"/>
  <c r="D1893" i="55"/>
  <c r="E1883" i="55"/>
  <c r="N34" i="35"/>
  <c r="D1883" i="55" s="1"/>
  <c r="D1447" i="55"/>
  <c r="N42" i="35"/>
  <c r="N68" i="35"/>
  <c r="D1935" i="55"/>
  <c r="F1935" i="55"/>
  <c r="D1265" i="55"/>
  <c r="Q38" i="10"/>
  <c r="E1449" i="55"/>
  <c r="B18" i="10"/>
  <c r="E348" i="55"/>
  <c r="Q37" i="10"/>
  <c r="B18" i="34"/>
  <c r="D1456" i="55"/>
  <c r="N38" i="34"/>
  <c r="G54" i="4"/>
  <c r="D43" i="55" s="1"/>
  <c r="D1263" i="55"/>
  <c r="D132" i="36"/>
  <c r="F43" i="4"/>
  <c r="F2270" i="55"/>
  <c r="F680" i="55"/>
  <c r="D1242" i="55"/>
  <c r="F1455" i="55"/>
  <c r="E2469" i="55"/>
  <c r="D1243" i="55"/>
  <c r="F1450" i="55"/>
  <c r="F2438" i="55"/>
  <c r="F736" i="55"/>
  <c r="F678" i="55"/>
  <c r="F146" i="55"/>
  <c r="E61" i="55"/>
  <c r="F681" i="55"/>
  <c r="F2274" i="55"/>
  <c r="F1453" i="55"/>
  <c r="D679" i="55"/>
  <c r="F679" i="55"/>
  <c r="F1451" i="55"/>
  <c r="F1454" i="55"/>
  <c r="F1452" i="55"/>
  <c r="F290" i="55"/>
  <c r="L45" i="30"/>
  <c r="D134" i="36"/>
  <c r="E290" i="55"/>
  <c r="D1450" i="55"/>
  <c r="D2445" i="55"/>
  <c r="F2424" i="55"/>
  <c r="D2271" i="55"/>
  <c r="D1882" i="55"/>
  <c r="F1887" i="55"/>
  <c r="D1888" i="55"/>
  <c r="D1239" i="55"/>
  <c r="D1492" i="55"/>
  <c r="F2430" i="55"/>
  <c r="D1484" i="55"/>
  <c r="F2441" i="55"/>
  <c r="F2420" i="55"/>
  <c r="F2455" i="55"/>
  <c r="F2416" i="55"/>
  <c r="D1286" i="55"/>
  <c r="D2467" i="55"/>
  <c r="D2418" i="55"/>
  <c r="D138" i="55"/>
  <c r="D139" i="55"/>
  <c r="D720" i="55"/>
  <c r="D734" i="55"/>
  <c r="F2468" i="55"/>
  <c r="D678" i="55"/>
  <c r="E141" i="55"/>
  <c r="E142" i="55"/>
  <c r="D1218" i="55"/>
  <c r="D1446" i="55"/>
  <c r="D75" i="55"/>
  <c r="F714" i="55"/>
  <c r="D1461" i="55"/>
  <c r="D1464" i="55"/>
  <c r="F140" i="55"/>
  <c r="F1489" i="55"/>
  <c r="D1904" i="55"/>
  <c r="F1897" i="55"/>
  <c r="F1923" i="55"/>
  <c r="F1931" i="55"/>
  <c r="D1886" i="55"/>
  <c r="F1930" i="55"/>
  <c r="F2275" i="55"/>
  <c r="D2274" i="55"/>
  <c r="F127" i="55"/>
  <c r="D1902" i="55"/>
  <c r="F1929" i="55"/>
  <c r="F1449" i="55"/>
  <c r="F1287" i="55"/>
  <c r="F2467" i="55"/>
  <c r="D136" i="55"/>
  <c r="F1472" i="55"/>
  <c r="D2442" i="55"/>
  <c r="F2271" i="55"/>
  <c r="F1492" i="55"/>
  <c r="D2420" i="55"/>
  <c r="F2453" i="55"/>
  <c r="D2429" i="55"/>
  <c r="D2425" i="55"/>
  <c r="D1284" i="55"/>
  <c r="D736" i="55"/>
  <c r="D733" i="55"/>
  <c r="F1218" i="55"/>
  <c r="F104" i="55"/>
  <c r="D347" i="55"/>
  <c r="D731" i="55"/>
  <c r="D1281" i="55"/>
  <c r="F1464" i="55"/>
  <c r="D140" i="55"/>
  <c r="D1486" i="55"/>
  <c r="F1904" i="55"/>
  <c r="D1918" i="55"/>
  <c r="F1921" i="55"/>
  <c r="D1905" i="55"/>
  <c r="F1933" i="55"/>
  <c r="D2272" i="55"/>
  <c r="D2278" i="55"/>
  <c r="D127" i="55"/>
  <c r="F1908" i="55"/>
  <c r="D729" i="55"/>
  <c r="D132" i="55"/>
  <c r="F1285" i="55"/>
  <c r="F727" i="55"/>
  <c r="D715" i="55"/>
  <c r="F2452" i="55"/>
  <c r="D2423" i="55"/>
  <c r="F2283" i="55"/>
  <c r="F718" i="55"/>
  <c r="D2422" i="55"/>
  <c r="F717" i="55"/>
  <c r="F1891" i="55"/>
  <c r="D1892" i="55"/>
  <c r="F1233" i="55"/>
  <c r="D2456" i="55"/>
  <c r="D1455" i="55"/>
  <c r="F2418" i="55"/>
  <c r="F138" i="55"/>
  <c r="F139" i="55"/>
  <c r="F720" i="55"/>
  <c r="F1250" i="55"/>
  <c r="D739" i="55"/>
  <c r="F1882" i="55"/>
  <c r="F1890" i="55"/>
  <c r="F1892" i="55"/>
  <c r="D1233" i="55"/>
  <c r="D1454" i="55"/>
  <c r="F2288" i="55"/>
  <c r="F1493" i="55"/>
  <c r="F2437" i="55"/>
  <c r="F2422" i="55"/>
  <c r="F2457" i="55"/>
  <c r="E2479" i="55"/>
  <c r="E2473" i="55"/>
  <c r="F2447" i="55"/>
  <c r="F2449" i="55"/>
  <c r="D2421" i="55"/>
  <c r="F2458" i="55"/>
  <c r="F2448" i="55"/>
  <c r="D2451" i="55"/>
  <c r="F2425" i="55"/>
  <c r="F2419" i="55"/>
  <c r="F96" i="55"/>
  <c r="D1472" i="55"/>
  <c r="F1241" i="55"/>
  <c r="D1240" i="55"/>
  <c r="F734" i="55"/>
  <c r="F723" i="55"/>
  <c r="F132" i="55"/>
  <c r="E1250" i="55"/>
  <c r="F733" i="55"/>
  <c r="F721" i="55"/>
  <c r="F347" i="55"/>
  <c r="D1225" i="55"/>
  <c r="D1274" i="55"/>
  <c r="D1267" i="55"/>
  <c r="D1468" i="55"/>
  <c r="F1486" i="55"/>
  <c r="D1448" i="55"/>
  <c r="D1913" i="55"/>
  <c r="F1918" i="55"/>
  <c r="D1931" i="55"/>
  <c r="F1902" i="55"/>
  <c r="D1933" i="55"/>
  <c r="F2278" i="55"/>
  <c r="E2290" i="55"/>
  <c r="D2270" i="55"/>
  <c r="D81" i="55"/>
  <c r="D1926" i="55"/>
  <c r="F1914" i="55"/>
  <c r="D2446" i="55"/>
  <c r="D2450" i="55"/>
  <c r="D1493" i="55"/>
  <c r="D2457" i="55"/>
  <c r="F2473" i="55"/>
  <c r="D2449" i="55"/>
  <c r="D1285" i="55"/>
  <c r="D737" i="55"/>
  <c r="D2287" i="55"/>
  <c r="F1228" i="55"/>
  <c r="F570" i="55"/>
  <c r="F1225" i="55"/>
  <c r="D1269" i="55"/>
  <c r="D1273" i="55"/>
  <c r="D1462" i="55"/>
  <c r="F1468" i="55"/>
  <c r="D1478" i="55"/>
  <c r="D1899" i="55"/>
  <c r="F1913" i="55"/>
  <c r="D1919" i="55"/>
  <c r="D1921" i="55"/>
  <c r="D1925" i="55"/>
  <c r="F1926" i="55"/>
  <c r="F1898" i="55"/>
  <c r="D2267" i="55"/>
  <c r="F2279" i="55"/>
  <c r="D2285" i="55"/>
  <c r="F2265" i="55"/>
  <c r="F135" i="55"/>
  <c r="D1262" i="55"/>
  <c r="F85" i="55"/>
  <c r="D1466" i="55"/>
  <c r="F1889" i="55"/>
  <c r="F1915" i="55"/>
  <c r="F731" i="55"/>
  <c r="F2456" i="55"/>
  <c r="F1284" i="55"/>
  <c r="D2416" i="55"/>
  <c r="D2441" i="55"/>
  <c r="F2426" i="55"/>
  <c r="D85" i="55"/>
  <c r="D723" i="55"/>
  <c r="D1890" i="55"/>
  <c r="D1452" i="55"/>
  <c r="D2447" i="55"/>
  <c r="F2450" i="55"/>
  <c r="F1238" i="55"/>
  <c r="F1240" i="55"/>
  <c r="F726" i="55"/>
  <c r="D88" i="55"/>
  <c r="D146" i="55"/>
  <c r="F1247" i="55"/>
  <c r="D1261" i="55"/>
  <c r="F1885" i="55"/>
  <c r="F1888" i="55"/>
  <c r="F1236" i="55"/>
  <c r="D2437" i="55"/>
  <c r="D2426" i="55"/>
  <c r="F2445" i="55"/>
  <c r="D2443" i="55"/>
  <c r="E2476" i="55"/>
  <c r="E2470" i="55"/>
  <c r="D2417" i="55"/>
  <c r="F2417" i="55"/>
  <c r="F2460" i="55"/>
  <c r="F2440" i="55"/>
  <c r="M57" i="38"/>
  <c r="E2439" i="55"/>
  <c r="D1238" i="55"/>
  <c r="F1232" i="55"/>
  <c r="D726" i="55"/>
  <c r="F715" i="55"/>
  <c r="F88" i="55"/>
  <c r="F2287" i="55"/>
  <c r="E1247" i="55"/>
  <c r="D717" i="55"/>
  <c r="F1219" i="55"/>
  <c r="D1228" i="55"/>
  <c r="I94" i="4"/>
  <c r="E82" i="55"/>
  <c r="F75" i="55"/>
  <c r="F1227" i="55"/>
  <c r="D1460" i="55"/>
  <c r="F1462" i="55"/>
  <c r="F1478" i="55"/>
  <c r="F1896" i="55"/>
  <c r="D1915" i="55"/>
  <c r="F1919" i="55"/>
  <c r="D1922" i="55"/>
  <c r="F1925" i="55"/>
  <c r="D1932" i="55"/>
  <c r="F1916" i="55"/>
  <c r="F2267" i="55"/>
  <c r="D2279" i="55"/>
  <c r="F2285" i="55"/>
  <c r="D2283" i="55"/>
  <c r="D2265" i="55"/>
  <c r="D135" i="55"/>
  <c r="D2269" i="55"/>
  <c r="F2284" i="55"/>
  <c r="D1897" i="55"/>
  <c r="F345" i="55"/>
  <c r="D2448" i="55"/>
  <c r="F1286" i="55"/>
  <c r="F1883" i="55"/>
  <c r="D1241" i="55"/>
  <c r="D1453" i="55"/>
  <c r="F2443" i="55"/>
  <c r="F2461" i="55"/>
  <c r="D2438" i="55"/>
  <c r="D1451" i="55"/>
  <c r="D738" i="55"/>
  <c r="F716" i="55"/>
  <c r="D1237" i="55"/>
  <c r="D1264" i="55"/>
  <c r="F77" i="55"/>
  <c r="D727" i="55"/>
  <c r="D1227" i="55"/>
  <c r="D1275" i="55"/>
  <c r="F1460" i="55"/>
  <c r="F1463" i="55"/>
  <c r="D1473" i="55"/>
  <c r="F1480" i="55"/>
  <c r="F1899" i="55"/>
  <c r="F1928" i="55"/>
  <c r="F2269" i="55"/>
  <c r="D2286" i="55"/>
  <c r="D2455" i="55"/>
  <c r="D2428" i="55"/>
  <c r="F2280" i="55"/>
  <c r="D1908" i="55"/>
  <c r="D721" i="55"/>
  <c r="F737" i="55"/>
  <c r="F2427" i="55"/>
  <c r="D77" i="55"/>
  <c r="D2419" i="55"/>
  <c r="F1922" i="55"/>
  <c r="F1932" i="55"/>
  <c r="D1916" i="55"/>
  <c r="D2280" i="55"/>
  <c r="D2264" i="55"/>
  <c r="D1891" i="55"/>
  <c r="F1231" i="55"/>
  <c r="G99" i="4"/>
  <c r="E86" i="55"/>
  <c r="D2430" i="55"/>
  <c r="D1283" i="55"/>
  <c r="F2474" i="55"/>
  <c r="D2424" i="55"/>
  <c r="E2475" i="55"/>
  <c r="E2481" i="55"/>
  <c r="D2427" i="55"/>
  <c r="D2460" i="55"/>
  <c r="D2452" i="55"/>
  <c r="D1235" i="55"/>
  <c r="F738" i="55"/>
  <c r="D133" i="55"/>
  <c r="F1224" i="55"/>
  <c r="F344" i="55"/>
  <c r="F81" i="55"/>
  <c r="F346" i="55"/>
  <c r="F725" i="55"/>
  <c r="D1276" i="55"/>
  <c r="F1473" i="55"/>
  <c r="F1907" i="55"/>
  <c r="D1917" i="55"/>
  <c r="F1920" i="55"/>
  <c r="D1929" i="55"/>
  <c r="F2272" i="55"/>
  <c r="F2282" i="55"/>
  <c r="F2276" i="55"/>
  <c r="D718" i="55"/>
  <c r="D1914" i="55"/>
  <c r="D1896" i="55"/>
  <c r="D2461" i="55"/>
  <c r="F1917" i="55"/>
  <c r="D570" i="55"/>
  <c r="F719" i="55"/>
  <c r="D1885" i="55"/>
  <c r="D1236" i="55"/>
  <c r="G57" i="4"/>
  <c r="D46" i="55" s="1"/>
  <c r="F2454" i="55"/>
  <c r="E2471" i="55"/>
  <c r="E2477" i="55"/>
  <c r="F2429" i="55"/>
  <c r="F2446" i="55"/>
  <c r="F2423" i="55"/>
  <c r="F1235" i="55"/>
  <c r="D730" i="55"/>
  <c r="D1219" i="55"/>
  <c r="F2264" i="55"/>
  <c r="D1887" i="55"/>
  <c r="D1231" i="55"/>
  <c r="F1239" i="55"/>
  <c r="D2454" i="55"/>
  <c r="F1484" i="55"/>
  <c r="F2428" i="55"/>
  <c r="D2458" i="55"/>
  <c r="D2431" i="55"/>
  <c r="F2442" i="55"/>
  <c r="D2440" i="55"/>
  <c r="D96" i="55"/>
  <c r="D1232" i="55"/>
  <c r="D716" i="55"/>
  <c r="F730" i="55"/>
  <c r="D2468" i="55"/>
  <c r="F133" i="55"/>
  <c r="D719" i="55"/>
  <c r="F1237" i="55"/>
  <c r="D1266" i="55"/>
  <c r="D1224" i="55"/>
  <c r="D344" i="55"/>
  <c r="F1446" i="55"/>
  <c r="D725" i="55"/>
  <c r="D1270" i="55"/>
  <c r="D1287" i="55"/>
  <c r="F1461" i="55"/>
  <c r="D1463" i="55"/>
  <c r="D1480" i="55"/>
  <c r="D1489" i="55"/>
  <c r="D1907" i="55"/>
  <c r="F1905" i="55"/>
  <c r="D1920" i="55"/>
  <c r="D1923" i="55"/>
  <c r="D1928" i="55"/>
  <c r="F1886" i="55"/>
  <c r="D1930" i="55"/>
  <c r="D2275" i="55"/>
  <c r="D2282" i="55"/>
  <c r="F2286" i="55"/>
  <c r="D2276" i="55"/>
  <c r="F729" i="55"/>
  <c r="D714" i="55"/>
  <c r="F136" i="55"/>
  <c r="F739" i="55"/>
  <c r="F2451" i="55"/>
  <c r="F1448" i="55"/>
  <c r="F2431" i="55"/>
  <c r="F1283" i="55"/>
  <c r="F2421" i="55"/>
  <c r="D2453" i="55"/>
  <c r="N121" i="37"/>
  <c r="B18" i="37"/>
  <c r="Q121" i="37"/>
  <c r="G73" i="4"/>
  <c r="I73" i="4"/>
  <c r="N66" i="33"/>
  <c r="G54" i="55"/>
  <c r="G66" i="4"/>
  <c r="D54" i="55" s="1"/>
  <c r="G53" i="4"/>
  <c r="D42" i="55" s="1"/>
  <c r="G94" i="4"/>
  <c r="K57" i="38"/>
  <c r="L75" i="33"/>
  <c r="L82" i="33"/>
  <c r="J176" i="4"/>
  <c r="R68" i="33"/>
  <c r="T68" i="33"/>
  <c r="N80" i="32"/>
  <c r="B18" i="32"/>
  <c r="N79" i="32"/>
  <c r="G84" i="33"/>
  <c r="H87" i="33" s="1" a="1"/>
  <c r="H87" i="33" s="1"/>
  <c r="K84" i="33"/>
  <c r="L72" i="33"/>
  <c r="L81" i="33"/>
  <c r="L78" i="33"/>
  <c r="L79" i="33"/>
  <c r="L76" i="33"/>
  <c r="L73" i="33"/>
  <c r="M90" i="38"/>
  <c r="K90" i="38"/>
  <c r="K105" i="38"/>
  <c r="K100" i="38"/>
  <c r="K101" i="38"/>
  <c r="K103" i="38"/>
  <c r="G59" i="4"/>
  <c r="D48" i="55" s="1"/>
  <c r="I59" i="4"/>
  <c r="F48" i="55" s="1"/>
  <c r="I57" i="4"/>
  <c r="F46" i="55" s="1"/>
  <c r="I99" i="4"/>
  <c r="G32" i="4"/>
  <c r="D24" i="55" s="1"/>
  <c r="I32" i="4"/>
  <c r="F24" i="55" s="1"/>
  <c r="Q93" i="37"/>
  <c r="N93" i="37"/>
  <c r="Q43" i="30"/>
  <c r="O43" i="30"/>
  <c r="S41" i="4"/>
  <c r="H41" i="4" s="1"/>
  <c r="E33" i="55" s="1"/>
  <c r="G33" i="4"/>
  <c r="D25" i="55" s="1"/>
  <c r="I33" i="4"/>
  <c r="F25" i="55" s="1"/>
  <c r="I42" i="4"/>
  <c r="F34" i="55" s="1"/>
  <c r="G42" i="4"/>
  <c r="D34" i="55" s="1"/>
  <c r="I87" i="33" l="1"/>
  <c r="G40" i="4"/>
  <c r="D32" i="55" s="1"/>
  <c r="I40" i="4"/>
  <c r="F32" i="55" s="1"/>
  <c r="G37" i="4"/>
  <c r="D29" i="55" s="1"/>
  <c r="I38" i="4"/>
  <c r="F30" i="55" s="1"/>
  <c r="E30" i="55"/>
  <c r="I37" i="4"/>
  <c r="F29" i="55" s="1"/>
  <c r="I36" i="4"/>
  <c r="F28" i="55" s="1"/>
  <c r="G36" i="4"/>
  <c r="D28" i="55" s="1"/>
  <c r="I35" i="4"/>
  <c r="F27" i="55" s="1"/>
  <c r="G35" i="4"/>
  <c r="D27" i="55" s="1"/>
  <c r="G30" i="4"/>
  <c r="D22" i="55" s="1"/>
  <c r="I30" i="4"/>
  <c r="F22" i="55" s="1"/>
  <c r="G31" i="4"/>
  <c r="D23" i="55" s="1"/>
  <c r="I31" i="4"/>
  <c r="F23" i="55" s="1"/>
  <c r="D30" i="55"/>
  <c r="F47" i="55"/>
  <c r="D348" i="55"/>
  <c r="D2478" i="55"/>
  <c r="D2472" i="55"/>
  <c r="D2288" i="55"/>
  <c r="D2480" i="55"/>
  <c r="D346" i="55"/>
  <c r="D2284" i="55"/>
  <c r="D1898" i="55"/>
  <c r="D1889" i="55"/>
  <c r="F2289" i="55"/>
  <c r="D2289" i="55"/>
  <c r="F348" i="55"/>
  <c r="F349" i="55"/>
  <c r="D1449" i="55"/>
  <c r="F63" i="4"/>
  <c r="H43" i="4"/>
  <c r="E35" i="55" s="1"/>
  <c r="D680" i="55"/>
  <c r="D681" i="55"/>
  <c r="Q45" i="30"/>
  <c r="O45" i="30"/>
  <c r="E291" i="55" s="1"/>
  <c r="E289" i="55"/>
  <c r="F289" i="55"/>
  <c r="F82" i="55"/>
  <c r="E1244" i="55"/>
  <c r="F86" i="55"/>
  <c r="F142" i="55"/>
  <c r="F2290" i="55"/>
  <c r="D2471" i="55"/>
  <c r="D2477" i="55"/>
  <c r="D2469" i="55"/>
  <c r="D86" i="55"/>
  <c r="D2473" i="55"/>
  <c r="D2479" i="55"/>
  <c r="D2439" i="55"/>
  <c r="F2469" i="55"/>
  <c r="D2290" i="55"/>
  <c r="D141" i="55"/>
  <c r="D142" i="55"/>
  <c r="D2476" i="55"/>
  <c r="D2470" i="55"/>
  <c r="F1244" i="55"/>
  <c r="D82" i="55"/>
  <c r="F61" i="55"/>
  <c r="F2439" i="55"/>
  <c r="D61" i="55"/>
  <c r="D2481" i="55"/>
  <c r="D2475" i="55"/>
  <c r="L84" i="33"/>
  <c r="E83" i="33" s="1"/>
  <c r="AK73" i="33"/>
  <c r="AL73" i="33"/>
  <c r="I41" i="4"/>
  <c r="F33" i="55" s="1"/>
  <c r="G41" i="4"/>
  <c r="D33" i="55" s="1"/>
  <c r="F75" i="4" l="1"/>
  <c r="I43" i="4"/>
  <c r="F35" i="55" s="1"/>
  <c r="B18" i="30"/>
  <c r="G43" i="4"/>
  <c r="D35" i="55" s="1"/>
  <c r="F291" i="55"/>
  <c r="AM73" i="33"/>
  <c r="AC75" i="4" l="1"/>
  <c r="G55" i="4"/>
  <c r="D44" i="55" s="1"/>
  <c r="F44" i="55"/>
  <c r="L33" i="38"/>
  <c r="E2415" i="55" l="1"/>
  <c r="M33" i="38"/>
  <c r="K33" i="38"/>
  <c r="D2415" i="55" l="1"/>
  <c r="F2415" i="55"/>
  <c r="B18" i="38"/>
  <c r="AB76" i="4" l="1"/>
  <c r="AA76" i="4"/>
  <c r="AC76" i="4" l="1"/>
  <c r="J76" i="4" s="1"/>
  <c r="H76" i="4" l="1"/>
  <c r="G76" i="4" l="1"/>
  <c r="E64" i="55"/>
  <c r="D64" i="55" l="1"/>
  <c r="E112" i="55"/>
  <c r="E100" i="55" l="1"/>
  <c r="J121" i="4" l="1"/>
  <c r="AA102" i="4"/>
  <c r="AB102" i="4"/>
  <c r="S121" i="4"/>
  <c r="H121" i="4" s="1"/>
  <c r="AC102" i="4" l="1"/>
  <c r="H102" i="4" s="1"/>
  <c r="D100" i="55"/>
  <c r="D112" i="55"/>
  <c r="F112" i="55"/>
  <c r="I102" i="4" l="1"/>
  <c r="F89" i="55" s="1"/>
  <c r="G102" i="4"/>
  <c r="D89" i="55" s="1"/>
  <c r="E89" i="55"/>
  <c r="H122" i="4"/>
  <c r="D101" i="55" s="1"/>
  <c r="E113" i="55"/>
  <c r="E101" i="55" l="1"/>
  <c r="D113" i="55"/>
  <c r="F96" i="4" l="1"/>
  <c r="J122" i="4"/>
  <c r="F113" i="55" l="1"/>
  <c r="F100" i="4"/>
  <c r="E114" i="55" l="1"/>
  <c r="E102" i="55"/>
  <c r="J123" i="4"/>
  <c r="S123" i="4"/>
  <c r="H123" i="4" s="1"/>
  <c r="F114" i="55" l="1"/>
  <c r="D102" i="55"/>
  <c r="D114" i="55"/>
  <c r="I124" i="4"/>
  <c r="E103" i="55" s="1"/>
  <c r="E115" i="55" l="1"/>
  <c r="O121" i="33" l="1"/>
  <c r="Q121" i="33"/>
  <c r="I104" i="4"/>
  <c r="S124" i="4"/>
  <c r="H124" i="4" s="1"/>
  <c r="AB104" i="4"/>
  <c r="H104" i="4"/>
  <c r="J124" i="4"/>
  <c r="AA104" i="4"/>
  <c r="E1282" i="55" l="1"/>
  <c r="N121" i="33"/>
  <c r="B18" i="33"/>
  <c r="F1282" i="55"/>
  <c r="AC104" i="4"/>
  <c r="J104" i="4" s="1"/>
  <c r="D103" i="55"/>
  <c r="D115" i="55"/>
  <c r="F91" i="55"/>
  <c r="F115" i="55"/>
  <c r="G104" i="4"/>
  <c r="E91" i="55"/>
  <c r="D1282" i="55" l="1"/>
  <c r="D91" i="55"/>
  <c r="I125" i="4"/>
  <c r="E116" i="55" l="1"/>
  <c r="E104" i="55"/>
  <c r="G126" i="4"/>
  <c r="AB105" i="4" l="1"/>
  <c r="S125" i="4"/>
  <c r="H125" i="4" s="1"/>
  <c r="AA105" i="4"/>
  <c r="J125" i="4"/>
  <c r="AC105" i="4" l="1"/>
  <c r="H105" i="4" s="1"/>
  <c r="F116" i="55"/>
  <c r="D104" i="55"/>
  <c r="D116" i="55"/>
  <c r="E92" i="55" l="1"/>
  <c r="I105" i="4"/>
  <c r="G105" i="4"/>
  <c r="D92" i="55" s="1"/>
  <c r="E122" i="55"/>
  <c r="F92" i="55" l="1"/>
  <c r="E110" i="55"/>
  <c r="E112" i="4"/>
  <c r="I112" i="4" l="1"/>
  <c r="H112" i="4"/>
  <c r="E99" i="55" s="1"/>
  <c r="J134" i="4"/>
  <c r="AA106" i="4"/>
  <c r="S134" i="4"/>
  <c r="H134" i="4" s="1"/>
  <c r="AB106" i="4"/>
  <c r="AC106" i="4" l="1"/>
  <c r="H106" i="4" s="1"/>
  <c r="E93" i="55" s="1"/>
  <c r="F122" i="55"/>
  <c r="D122" i="55"/>
  <c r="D110" i="55"/>
  <c r="G106" i="4" l="1"/>
  <c r="I106" i="4"/>
  <c r="G112" i="4"/>
  <c r="B3" i="4"/>
  <c r="F99" i="55"/>
  <c r="D93" i="55" l="1"/>
  <c r="F93" i="55"/>
  <c r="D99" i="55"/>
  <c r="C1444" i="55" l="1"/>
  <c r="C404" i="55"/>
  <c r="C42" i="55"/>
  <c r="B1323" i="55"/>
  <c r="C2033" i="55"/>
  <c r="C1732" i="55"/>
  <c r="B2404" i="55"/>
  <c r="C758" i="55"/>
  <c r="B2418" i="55"/>
  <c r="C1472" i="55"/>
  <c r="C2015" i="55"/>
  <c r="B1146" i="55"/>
  <c r="B581" i="55"/>
  <c r="B1832" i="55"/>
  <c r="B870" i="55"/>
  <c r="C1066" i="55"/>
  <c r="B1263" i="55"/>
  <c r="C2574" i="55"/>
  <c r="C753" i="55"/>
  <c r="B1321" i="55"/>
  <c r="C66" i="55"/>
  <c r="B278" i="55"/>
  <c r="B1105" i="55"/>
  <c r="C2226" i="55"/>
  <c r="C2806" i="55"/>
  <c r="C2874" i="55"/>
  <c r="B2058" i="55"/>
  <c r="C1763" i="55"/>
  <c r="B83" i="55"/>
  <c r="C668" i="55"/>
  <c r="B1273" i="55"/>
  <c r="B944" i="55"/>
  <c r="B724" i="55"/>
  <c r="B1892" i="55"/>
  <c r="C894" i="55"/>
  <c r="C940" i="55"/>
  <c r="C1327" i="55"/>
  <c r="C1960" i="55"/>
  <c r="C248" i="55"/>
  <c r="C1500" i="55"/>
  <c r="C2211" i="55"/>
  <c r="B1126" i="55"/>
  <c r="C26" i="55"/>
  <c r="B2496" i="55"/>
  <c r="B1654" i="55"/>
  <c r="C358" i="55"/>
  <c r="B1106" i="55"/>
  <c r="B1057" i="55"/>
  <c r="C864" i="55"/>
  <c r="B540" i="55"/>
  <c r="B2353" i="55"/>
  <c r="C2508" i="55"/>
  <c r="C2207" i="55"/>
  <c r="C344" i="55"/>
  <c r="C1038" i="55"/>
  <c r="B844" i="55"/>
  <c r="C2644" i="55"/>
  <c r="C2298" i="55"/>
  <c r="C398" i="55"/>
  <c r="C1016" i="55"/>
  <c r="B2345" i="55"/>
  <c r="B853" i="55"/>
  <c r="C2732" i="55"/>
  <c r="B166" i="55"/>
  <c r="C2520" i="55"/>
  <c r="C1549" i="55"/>
  <c r="C556" i="55"/>
  <c r="B1242" i="55"/>
  <c r="C1153" i="55"/>
  <c r="B843" i="55"/>
  <c r="C2854" i="55"/>
  <c r="C2075" i="55"/>
  <c r="B2016" i="55"/>
  <c r="C2472" i="55"/>
  <c r="C838" i="55"/>
  <c r="B1108" i="55"/>
  <c r="C1231" i="55"/>
  <c r="C2620" i="55"/>
  <c r="C1379" i="55"/>
  <c r="B1840" i="55"/>
  <c r="B2414" i="55"/>
  <c r="C1063" i="55"/>
  <c r="C1955" i="55"/>
  <c r="C471" i="55"/>
  <c r="C1976" i="55"/>
  <c r="C1808" i="55"/>
  <c r="C1972" i="55"/>
  <c r="C96" i="55"/>
  <c r="C2085" i="55"/>
  <c r="C2905" i="55"/>
  <c r="B765" i="55"/>
  <c r="B595" i="55"/>
  <c r="C641" i="55"/>
  <c r="C1151" i="55"/>
  <c r="C1230" i="55"/>
  <c r="C1491" i="55"/>
  <c r="C106" i="55"/>
  <c r="B1446" i="55"/>
  <c r="B2029" i="55"/>
  <c r="B589" i="55"/>
  <c r="C420" i="55"/>
  <c r="C1788" i="55"/>
  <c r="C1419" i="55"/>
  <c r="B1034" i="55"/>
  <c r="B35" i="55"/>
  <c r="C2506" i="55"/>
  <c r="C2821" i="55"/>
  <c r="B873" i="55"/>
  <c r="C1773" i="55"/>
  <c r="B1433" i="55"/>
  <c r="B1216" i="55"/>
  <c r="C2206" i="55"/>
  <c r="C2761" i="55"/>
  <c r="B1028" i="55"/>
  <c r="B792" i="55"/>
  <c r="C2668" i="55"/>
  <c r="C1589" i="55"/>
  <c r="C1407" i="55"/>
  <c r="C2179" i="55"/>
  <c r="C2823" i="55"/>
  <c r="B800" i="55"/>
  <c r="B1198" i="55"/>
  <c r="B2067" i="55"/>
  <c r="C1497" i="55"/>
  <c r="B786" i="55"/>
  <c r="C2069" i="55"/>
  <c r="C1544" i="55"/>
  <c r="C1462" i="55"/>
  <c r="C1990" i="55"/>
  <c r="C2565" i="55"/>
  <c r="B2229" i="55"/>
  <c r="B351" i="55"/>
  <c r="C1065" i="55"/>
  <c r="C68" i="55"/>
  <c r="B157" i="55"/>
  <c r="C418" i="55"/>
  <c r="C214" i="55"/>
  <c r="C2154" i="55"/>
  <c r="C2219" i="55"/>
  <c r="C121" i="55"/>
  <c r="C2265" i="55"/>
  <c r="C1828" i="55"/>
  <c r="C1799" i="55"/>
  <c r="C1297" i="55"/>
  <c r="B858" i="55"/>
  <c r="B1100" i="55"/>
  <c r="C1340" i="55"/>
  <c r="C92" i="55"/>
  <c r="B258" i="55"/>
  <c r="C2582" i="55"/>
  <c r="C2358" i="55"/>
  <c r="C2077" i="55"/>
  <c r="C625" i="55"/>
  <c r="C2762" i="55"/>
  <c r="B1846" i="55"/>
  <c r="C1552" i="55"/>
  <c r="C1836" i="55"/>
  <c r="B1393" i="55"/>
  <c r="C765" i="55"/>
  <c r="B891" i="55"/>
  <c r="C2896" i="55"/>
  <c r="C1132" i="55"/>
  <c r="B196" i="55"/>
  <c r="C2351" i="55"/>
  <c r="B299" i="55"/>
  <c r="B1060" i="55"/>
  <c r="C1130" i="55"/>
  <c r="C2182" i="55"/>
  <c r="B2051" i="55"/>
  <c r="C314" i="55"/>
  <c r="B1230" i="55"/>
  <c r="C1499" i="55"/>
  <c r="B219" i="55"/>
  <c r="C2053" i="55"/>
  <c r="C937" i="55"/>
  <c r="C1654" i="55"/>
  <c r="B2443" i="55"/>
  <c r="C206" i="55"/>
  <c r="C2804" i="55"/>
  <c r="B821" i="55"/>
  <c r="C1601" i="55"/>
  <c r="C1953" i="55"/>
  <c r="C2785" i="55"/>
  <c r="C690" i="55"/>
  <c r="B2185" i="55"/>
  <c r="B2419" i="55"/>
  <c r="C2851" i="55"/>
  <c r="B1033" i="55"/>
  <c r="C2334" i="55"/>
  <c r="C409" i="55"/>
  <c r="B181" i="55"/>
  <c r="C1921" i="55"/>
  <c r="B884" i="55"/>
  <c r="C1903" i="55"/>
  <c r="C1850" i="55"/>
  <c r="C705" i="55"/>
  <c r="C1596" i="55"/>
  <c r="B2213" i="55"/>
  <c r="B1226" i="55"/>
  <c r="C2850" i="55"/>
  <c r="C1457" i="55"/>
  <c r="C2754" i="55"/>
  <c r="C802" i="55"/>
  <c r="B2617" i="55"/>
  <c r="C2435" i="55"/>
  <c r="B198" i="55"/>
  <c r="C2152" i="55"/>
  <c r="B1613" i="55"/>
  <c r="C2852" i="55"/>
  <c r="C211" i="55"/>
  <c r="C823" i="55"/>
  <c r="B2045" i="55"/>
  <c r="C350" i="55"/>
  <c r="B1167" i="55"/>
  <c r="C878" i="55"/>
  <c r="C1034" i="55"/>
  <c r="C928" i="55"/>
  <c r="C246" i="55"/>
  <c r="C1753" i="55"/>
  <c r="C1146" i="55"/>
  <c r="C922" i="55"/>
  <c r="C808" i="55"/>
  <c r="C2410" i="55"/>
  <c r="B1217" i="55"/>
  <c r="C310" i="55"/>
  <c r="C1029" i="55"/>
  <c r="B1386" i="55"/>
  <c r="B1982" i="55"/>
  <c r="C2900" i="55"/>
  <c r="B2396" i="55"/>
  <c r="C105" i="55"/>
  <c r="C1737" i="55"/>
  <c r="B1143" i="55"/>
  <c r="C877" i="55"/>
  <c r="B934" i="55"/>
  <c r="C1815" i="55"/>
  <c r="B1875" i="55"/>
  <c r="C1421" i="55"/>
  <c r="C1074" i="55"/>
  <c r="C1300" i="55"/>
  <c r="C1886" i="55"/>
  <c r="B2537" i="55"/>
  <c r="B358" i="55"/>
  <c r="B1233" i="55"/>
  <c r="C1855" i="55"/>
  <c r="B874" i="55"/>
  <c r="C2876" i="55"/>
  <c r="B1657" i="55"/>
  <c r="B159" i="55"/>
  <c r="C1913" i="55"/>
  <c r="C1256" i="55"/>
  <c r="B1256" i="55"/>
  <c r="C630" i="55"/>
  <c r="B1159" i="55"/>
  <c r="C2568" i="55"/>
  <c r="C2171" i="55"/>
  <c r="C1271" i="55"/>
  <c r="C1618" i="55"/>
  <c r="B2890" i="55"/>
  <c r="C2571" i="55"/>
  <c r="B903" i="55"/>
  <c r="B2409" i="55"/>
  <c r="B347" i="55"/>
  <c r="B2157" i="55"/>
  <c r="C812" i="55"/>
  <c r="C428" i="55"/>
  <c r="C587" i="55"/>
  <c r="B924" i="55"/>
  <c r="B1869" i="55"/>
  <c r="C1136" i="55"/>
  <c r="C268" i="55"/>
  <c r="C1312" i="55"/>
  <c r="C2251" i="55"/>
  <c r="B780" i="55"/>
  <c r="B309" i="55"/>
  <c r="C2841" i="55"/>
  <c r="B1476" i="55"/>
  <c r="C2019" i="55"/>
  <c r="C2024" i="55"/>
  <c r="C2666" i="55"/>
  <c r="C257" i="55"/>
  <c r="C891" i="55"/>
  <c r="C2768" i="55"/>
  <c r="C1438" i="55"/>
  <c r="C1609" i="55"/>
  <c r="B1031" i="55"/>
  <c r="C221" i="55"/>
  <c r="C580" i="55"/>
  <c r="B2211" i="55"/>
  <c r="C2799" i="55"/>
  <c r="C1881" i="55"/>
  <c r="C1424" i="55"/>
  <c r="B1150" i="55"/>
  <c r="C2049" i="55"/>
  <c r="B1636" i="55"/>
  <c r="C2487" i="55"/>
  <c r="C1469" i="55"/>
  <c r="B2244" i="55"/>
  <c r="C2805" i="55"/>
  <c r="B1185" i="55"/>
  <c r="B270" i="55"/>
  <c r="B2909" i="55"/>
  <c r="C2308" i="55"/>
  <c r="B2257" i="55"/>
  <c r="B739" i="55"/>
  <c r="C1027" i="55"/>
  <c r="C2454" i="55"/>
  <c r="C2528" i="55"/>
  <c r="C590" i="55"/>
  <c r="C1578" i="55"/>
  <c r="C1220" i="55"/>
  <c r="B2218" i="55"/>
  <c r="C2903" i="55"/>
  <c r="B1635" i="55"/>
  <c r="C1889" i="55"/>
  <c r="C1660" i="55"/>
  <c r="C417" i="55"/>
  <c r="C637" i="55"/>
  <c r="B1349" i="55"/>
  <c r="C239" i="55"/>
  <c r="C2507" i="55"/>
  <c r="B1277" i="55"/>
  <c r="C1017" i="55"/>
  <c r="C2759" i="55"/>
  <c r="C400" i="55"/>
  <c r="B2232" i="55"/>
  <c r="C290" i="55"/>
  <c r="C2541" i="55"/>
  <c r="B1267" i="55"/>
  <c r="B1968" i="55"/>
  <c r="C2214" i="55"/>
  <c r="C1439" i="55"/>
  <c r="B2483" i="55"/>
  <c r="B2145" i="55"/>
  <c r="C1958" i="55"/>
  <c r="B929" i="55"/>
  <c r="B1976" i="55"/>
  <c r="B1963" i="55"/>
  <c r="B578" i="55"/>
  <c r="C1978" i="55"/>
  <c r="B1119" i="55"/>
  <c r="C2233" i="55"/>
  <c r="C2629" i="55"/>
  <c r="C749" i="55"/>
  <c r="C27" i="55"/>
  <c r="C423" i="55"/>
  <c r="B2295" i="55"/>
  <c r="B1626" i="55"/>
  <c r="C2383" i="55"/>
  <c r="B2239" i="55"/>
  <c r="B1039" i="55"/>
  <c r="C1097" i="55"/>
  <c r="C125" i="55"/>
  <c r="B888" i="55"/>
  <c r="C1295" i="55"/>
  <c r="C2246" i="55"/>
  <c r="C1587" i="55"/>
  <c r="C1758" i="55"/>
  <c r="B110" i="55"/>
  <c r="C2729" i="55"/>
  <c r="B2206" i="55"/>
  <c r="C816" i="55"/>
  <c r="B1125" i="55"/>
  <c r="C216" i="55"/>
  <c r="C1728" i="55"/>
  <c r="C2801" i="55"/>
  <c r="C1943" i="55"/>
  <c r="C574" i="55"/>
  <c r="C1939" i="55"/>
  <c r="B1130" i="55"/>
  <c r="C755" i="55"/>
  <c r="B1909" i="55"/>
  <c r="C588" i="55"/>
  <c r="C1025" i="55"/>
  <c r="C1517" i="55"/>
  <c r="B1862" i="55"/>
  <c r="C1294" i="55"/>
  <c r="B1182" i="55"/>
  <c r="C1228" i="55"/>
  <c r="C1916" i="55"/>
  <c r="B191" i="55"/>
  <c r="B1768" i="55"/>
  <c r="B1333" i="55"/>
  <c r="B1964" i="55"/>
  <c r="B1942" i="55"/>
  <c r="C2488" i="55"/>
  <c r="C53" i="55"/>
  <c r="C143" i="55"/>
  <c r="B2240" i="55"/>
  <c r="C773" i="55"/>
  <c r="C2741" i="55"/>
  <c r="B807" i="55"/>
  <c r="C1337" i="55"/>
  <c r="B886" i="55"/>
  <c r="B1630" i="55"/>
  <c r="C1104" i="55"/>
  <c r="B155" i="55"/>
  <c r="C1214" i="55"/>
  <c r="B1046" i="55"/>
  <c r="C2718" i="55"/>
  <c r="B276" i="55"/>
  <c r="C1432" i="55"/>
  <c r="B149" i="55"/>
  <c r="B2549" i="55"/>
  <c r="B1467" i="55"/>
  <c r="C865" i="55"/>
  <c r="B1219" i="55"/>
  <c r="B2282" i="55"/>
  <c r="B2861" i="55"/>
  <c r="B2493" i="55"/>
  <c r="C2604" i="55"/>
  <c r="B832" i="55"/>
  <c r="C2173" i="55"/>
  <c r="B1490" i="55"/>
  <c r="B2296" i="55"/>
  <c r="C1490" i="55"/>
  <c r="B2894" i="55"/>
  <c r="C649" i="55"/>
  <c r="C1309" i="55"/>
  <c r="B197" i="55"/>
  <c r="C2146" i="55"/>
  <c r="C84" i="55"/>
  <c r="B344" i="55"/>
  <c r="C1734" i="55"/>
  <c r="B696" i="55"/>
  <c r="C1226" i="55"/>
  <c r="C138" i="55"/>
  <c r="C1236" i="55"/>
  <c r="B1285" i="55"/>
  <c r="B1202" i="55"/>
  <c r="C1241" i="55"/>
  <c r="C34" i="55"/>
  <c r="B1435" i="55"/>
  <c r="C1896" i="55"/>
  <c r="C2457" i="55"/>
  <c r="C2250" i="55"/>
  <c r="C2185" i="55"/>
  <c r="C347" i="55"/>
  <c r="B169" i="55"/>
  <c r="C1895" i="55"/>
  <c r="B236" i="55"/>
  <c r="C2356" i="55"/>
  <c r="C1189" i="55"/>
  <c r="C2271" i="55"/>
  <c r="C1588" i="55"/>
  <c r="B268" i="55"/>
  <c r="C1597" i="55"/>
  <c r="B2360" i="55"/>
  <c r="B2841" i="55"/>
  <c r="C1507" i="55"/>
  <c r="C2860" i="55"/>
  <c r="C1495" i="55"/>
  <c r="B1845" i="55"/>
  <c r="B2056" i="55"/>
  <c r="C829" i="55"/>
  <c r="B2151" i="55"/>
  <c r="C1318" i="55"/>
  <c r="B1863" i="55"/>
  <c r="C2532" i="55"/>
  <c r="B1427" i="55"/>
  <c r="C2712" i="55"/>
  <c r="B140" i="55"/>
  <c r="B63" i="55"/>
  <c r="C291" i="55"/>
  <c r="C1581" i="55"/>
  <c r="B47" i="55"/>
  <c r="B590" i="55"/>
  <c r="B285" i="55"/>
  <c r="B766" i="55"/>
  <c r="C263" i="55"/>
  <c r="C1440" i="55"/>
  <c r="C650" i="55"/>
  <c r="C118" i="55"/>
  <c r="B2243" i="55"/>
  <c r="C2293" i="55"/>
  <c r="C713" i="55"/>
  <c r="B734" i="55"/>
  <c r="B2486" i="55"/>
  <c r="C1384" i="55"/>
  <c r="C1756" i="55"/>
  <c r="C2751" i="55"/>
  <c r="C2055" i="55"/>
  <c r="B150" i="55"/>
  <c r="C2281" i="55"/>
  <c r="C1738" i="55"/>
  <c r="C1513" i="55"/>
  <c r="C2270" i="55"/>
  <c r="B857" i="55"/>
  <c r="B2407" i="55"/>
  <c r="B370" i="55"/>
  <c r="B1981" i="55"/>
  <c r="C2765" i="55"/>
  <c r="B1241" i="55"/>
  <c r="C702" i="55"/>
  <c r="B917" i="55"/>
  <c r="B716" i="55"/>
  <c r="C2178" i="55"/>
  <c r="B1177" i="55"/>
  <c r="B1421" i="55"/>
  <c r="C2501" i="55"/>
  <c r="B1275" i="55"/>
  <c r="B2017" i="55"/>
  <c r="C2346" i="55"/>
  <c r="B1301" i="55"/>
  <c r="C2614" i="55"/>
  <c r="C1237" i="55"/>
  <c r="C1638" i="55"/>
  <c r="C2164" i="55"/>
  <c r="C1823" i="55"/>
  <c r="B249" i="55"/>
  <c r="C1413" i="55"/>
  <c r="B1397" i="55"/>
  <c r="B864" i="55"/>
  <c r="C1898" i="55"/>
  <c r="C1774" i="55"/>
  <c r="C2390" i="55"/>
  <c r="B1258" i="55"/>
  <c r="C2606" i="55"/>
  <c r="C806" i="55"/>
  <c r="C1382" i="55"/>
  <c r="B847" i="55"/>
  <c r="C1455" i="55"/>
  <c r="C2580" i="55"/>
  <c r="C24" i="55"/>
  <c r="C767" i="55"/>
  <c r="C2254" i="55"/>
  <c r="B904" i="55"/>
  <c r="B1647" i="55"/>
  <c r="C738" i="55"/>
  <c r="C1989" i="55"/>
  <c r="C634" i="55"/>
  <c r="B1966" i="55"/>
  <c r="C430" i="55"/>
  <c r="B1611" i="55"/>
  <c r="C2231" i="55"/>
  <c r="B378" i="55"/>
  <c r="B2264" i="55"/>
  <c r="B1639" i="55"/>
  <c r="C2343" i="55"/>
  <c r="B2893" i="55"/>
  <c r="B715" i="55"/>
  <c r="B796" i="55"/>
  <c r="B897" i="55"/>
  <c r="B1865" i="55"/>
  <c r="C89" i="55"/>
  <c r="C2371" i="55"/>
  <c r="B2903" i="55"/>
  <c r="B1117" i="55"/>
  <c r="B460" i="55"/>
  <c r="C1058" i="55"/>
  <c r="B105" i="55"/>
  <c r="C83" i="55"/>
  <c r="C1866" i="55"/>
  <c r="C1399" i="55"/>
  <c r="B2060" i="55"/>
  <c r="B1131" i="55"/>
  <c r="C1565" i="55"/>
  <c r="C2287" i="55"/>
  <c r="C1163" i="55"/>
  <c r="B1447" i="55"/>
  <c r="C413" i="55"/>
  <c r="C1957" i="55"/>
  <c r="C1892" i="55"/>
  <c r="C1535" i="55"/>
  <c r="C2794" i="55"/>
  <c r="B1059" i="55"/>
  <c r="C2602" i="55"/>
  <c r="B2027" i="55"/>
  <c r="B1238" i="55"/>
  <c r="C416" i="55"/>
  <c r="B2071" i="55"/>
  <c r="B2139" i="55"/>
  <c r="C2210" i="55"/>
  <c r="B1448" i="55"/>
  <c r="B770" i="55"/>
  <c r="C2651" i="55"/>
  <c r="B1068" i="55"/>
  <c r="B1139" i="55"/>
  <c r="C2134" i="55"/>
  <c r="C2290" i="55"/>
  <c r="B1616" i="55"/>
  <c r="C1087" i="55"/>
  <c r="B2868" i="55"/>
  <c r="C2186" i="55"/>
  <c r="B204" i="55"/>
  <c r="C1427" i="55"/>
  <c r="C1392" i="55"/>
  <c r="C629" i="55"/>
  <c r="C2354" i="55"/>
  <c r="B1410" i="55"/>
  <c r="C1527" i="55"/>
  <c r="B740" i="55"/>
  <c r="C2429" i="55"/>
  <c r="B1061" i="55"/>
  <c r="B887" i="55"/>
  <c r="C699" i="55"/>
  <c r="B2525" i="55"/>
  <c r="B151" i="55"/>
  <c r="C2499" i="55"/>
  <c r="B1305" i="55"/>
  <c r="C2479" i="55"/>
  <c r="B2899" i="55"/>
  <c r="C1177" i="55"/>
  <c r="B1041" i="55"/>
  <c r="C2509" i="55"/>
  <c r="C640" i="55"/>
  <c r="B1413" i="55"/>
  <c r="C2209" i="55"/>
  <c r="B577" i="55"/>
  <c r="B1240" i="55"/>
  <c r="C294" i="55"/>
  <c r="C929" i="55"/>
  <c r="B2442" i="55"/>
  <c r="B775" i="55"/>
  <c r="C584" i="55"/>
  <c r="C2402" i="55"/>
  <c r="B2450" i="55"/>
  <c r="B910" i="55"/>
  <c r="C283" i="55"/>
  <c r="B1047" i="55"/>
  <c r="B92" i="55"/>
  <c r="C1873" i="55"/>
  <c r="C1721" i="55"/>
  <c r="C716" i="55"/>
  <c r="B283" i="55"/>
  <c r="B773" i="55"/>
  <c r="B1398" i="55"/>
  <c r="B2508" i="55"/>
  <c r="B2406" i="55"/>
  <c r="C1430" i="55"/>
  <c r="C2021" i="55"/>
  <c r="B1224" i="55"/>
  <c r="B1924" i="55"/>
  <c r="B2021" i="55"/>
  <c r="B702" i="55"/>
  <c r="C1518" i="55"/>
  <c r="C528" i="55"/>
  <c r="C1397" i="55"/>
  <c r="C2717" i="55"/>
  <c r="B1056" i="55"/>
  <c r="B2047" i="55"/>
  <c r="B266" i="55"/>
  <c r="B855" i="55"/>
  <c r="C1561" i="55"/>
  <c r="C2349" i="55"/>
  <c r="C2909" i="55"/>
  <c r="B2350" i="55"/>
  <c r="C2227" i="55"/>
  <c r="C2495" i="55"/>
  <c r="B2072" i="55"/>
  <c r="C2738" i="55"/>
  <c r="C101" i="55"/>
  <c r="C2788" i="55"/>
  <c r="B1347" i="55"/>
  <c r="C549" i="55"/>
  <c r="C1805" i="55"/>
  <c r="C2331" i="55"/>
  <c r="C934" i="55"/>
  <c r="B759" i="55"/>
  <c r="C2815" i="55"/>
  <c r="B1931" i="55"/>
  <c r="C1772" i="55"/>
  <c r="C2235" i="55"/>
  <c r="B1831" i="55"/>
  <c r="B1632" i="55"/>
  <c r="C469" i="55"/>
  <c r="B246" i="55"/>
  <c r="C2321" i="55"/>
  <c r="B2141" i="55"/>
  <c r="C1639" i="55"/>
  <c r="B1442" i="55"/>
  <c r="C1849" i="55"/>
  <c r="B2864" i="55"/>
  <c r="B2446" i="55"/>
  <c r="C137" i="55"/>
  <c r="C304" i="55"/>
  <c r="B1030" i="55"/>
  <c r="B1128" i="55"/>
  <c r="B1174" i="55"/>
  <c r="C1933" i="55"/>
  <c r="B139" i="55"/>
  <c r="C1456" i="55"/>
  <c r="C2381" i="55"/>
  <c r="C2588" i="55"/>
  <c r="B1322" i="55"/>
  <c r="C185" i="55"/>
  <c r="B579" i="55"/>
  <c r="B2741" i="55"/>
  <c r="B2290" i="55"/>
  <c r="C2200" i="55"/>
  <c r="C2238" i="55"/>
  <c r="C2151" i="55"/>
  <c r="C262" i="55"/>
  <c r="B1161" i="55"/>
  <c r="C801" i="55"/>
  <c r="B1330" i="55"/>
  <c r="B1897" i="55"/>
  <c r="B1408" i="55"/>
  <c r="C2269" i="55"/>
  <c r="B153" i="55"/>
  <c r="C1864" i="55"/>
  <c r="C2548" i="55"/>
  <c r="C662" i="55"/>
  <c r="C2542" i="55"/>
  <c r="C1988" i="55"/>
  <c r="C2867" i="55"/>
  <c r="B1450" i="55"/>
  <c r="C39" i="55"/>
  <c r="C2288" i="55"/>
  <c r="B2269" i="55"/>
  <c r="C2297" i="55"/>
  <c r="B1249" i="55"/>
  <c r="C746" i="55"/>
  <c r="C1024" i="55"/>
  <c r="C550" i="55"/>
  <c r="B1162" i="55"/>
  <c r="C2409" i="55"/>
  <c r="B2639" i="55"/>
  <c r="C2724" i="55"/>
  <c r="B2882" i="55"/>
  <c r="C29" i="55"/>
  <c r="B2063" i="55"/>
  <c r="B2600" i="55"/>
  <c r="B1609" i="55"/>
  <c r="B2153" i="55"/>
  <c r="B2275" i="55"/>
  <c r="C2634" i="55"/>
  <c r="C1320" i="55"/>
  <c r="B720" i="55"/>
  <c r="C2315" i="55"/>
  <c r="C2560" i="55"/>
  <c r="B2610" i="55"/>
  <c r="B1843" i="55"/>
  <c r="B1437" i="55"/>
  <c r="B2605" i="55"/>
  <c r="C2537" i="55"/>
  <c r="C333" i="55"/>
  <c r="C782" i="55"/>
  <c r="C422" i="55"/>
  <c r="C2001" i="55"/>
  <c r="B1466" i="55"/>
  <c r="C2016" i="55"/>
  <c r="C2726" i="55"/>
  <c r="C920" i="55"/>
  <c r="C1571" i="55"/>
  <c r="B721" i="55"/>
  <c r="B217" i="55"/>
  <c r="C2667" i="55"/>
  <c r="B52" i="55"/>
  <c r="C2834" i="55"/>
  <c r="B2656" i="55"/>
  <c r="C252" i="55"/>
  <c r="B2306" i="55"/>
  <c r="C407" i="55"/>
  <c r="C540" i="55"/>
  <c r="B1164" i="55"/>
  <c r="B1453" i="55"/>
  <c r="B2865" i="55"/>
  <c r="C844" i="55"/>
  <c r="C399" i="55"/>
  <c r="B1547" i="55"/>
  <c r="C2396" i="55"/>
  <c r="C1155" i="55"/>
  <c r="C1841" i="55"/>
  <c r="B1355" i="55"/>
  <c r="B1094" i="55"/>
  <c r="C566" i="55"/>
  <c r="C1101" i="55"/>
  <c r="C1541" i="55"/>
  <c r="C2368" i="55"/>
  <c r="B2214" i="55"/>
  <c r="B1411" i="55"/>
  <c r="C859" i="55"/>
  <c r="C2232" i="55"/>
  <c r="B896" i="55"/>
  <c r="C1470" i="55"/>
  <c r="B2164" i="55"/>
  <c r="B2854" i="55"/>
  <c r="C77" i="55"/>
  <c r="C2593" i="55"/>
  <c r="C515" i="55"/>
  <c r="C1306" i="55"/>
  <c r="B2542" i="55"/>
  <c r="C1901" i="55"/>
  <c r="C2201" i="55"/>
  <c r="C204" i="55"/>
  <c r="B94" i="55"/>
  <c r="B1440" i="55"/>
  <c r="C857" i="55"/>
  <c r="B2230" i="55"/>
  <c r="C728" i="55"/>
  <c r="B2887" i="55"/>
  <c r="C2893" i="55"/>
  <c r="C2807" i="55"/>
  <c r="C1152" i="55"/>
  <c r="B109" i="55"/>
  <c r="B582" i="55"/>
  <c r="B2052" i="55"/>
  <c r="B717" i="55"/>
  <c r="B2255" i="55"/>
  <c r="C2514" i="55"/>
  <c r="C2188" i="55"/>
  <c r="B1965" i="55"/>
  <c r="C1749" i="55"/>
  <c r="C2039" i="55"/>
  <c r="B789" i="55"/>
  <c r="B1426" i="55"/>
  <c r="C1212" i="55"/>
  <c r="B162" i="55"/>
  <c r="B1607" i="55"/>
  <c r="B1485" i="55"/>
  <c r="B597" i="55"/>
  <c r="C2780" i="55"/>
  <c r="B2019" i="55"/>
  <c r="C1564" i="55"/>
  <c r="C895" i="55"/>
  <c r="C2430" i="55"/>
  <c r="C322" i="55"/>
  <c r="B801" i="55"/>
  <c r="B676" i="55"/>
  <c r="C100" i="55"/>
  <c r="C1503" i="55"/>
  <c r="B1044" i="55"/>
  <c r="C2161" i="55"/>
  <c r="C1818" i="55"/>
  <c r="B1157" i="55"/>
  <c r="C1405" i="55"/>
  <c r="C295" i="55"/>
  <c r="B2233" i="55"/>
  <c r="B1077" i="55"/>
  <c r="C1963" i="55"/>
  <c r="B1917" i="55"/>
  <c r="B2361" i="55"/>
  <c r="B1848" i="55"/>
  <c r="C1334" i="55"/>
  <c r="C2175" i="55"/>
  <c r="C2191" i="55"/>
  <c r="C43" i="55"/>
  <c r="B567" i="55"/>
  <c r="C2422" i="55"/>
  <c r="B2190" i="55"/>
  <c r="C2196" i="55"/>
  <c r="B308" i="55"/>
  <c r="B1416" i="55"/>
  <c r="B868" i="55"/>
  <c r="C2772" i="55"/>
  <c r="B900" i="55"/>
  <c r="C687" i="55"/>
  <c r="C2225" i="55"/>
  <c r="C1028" i="55"/>
  <c r="C2881" i="55"/>
  <c r="B1444" i="55"/>
  <c r="B291" i="55"/>
  <c r="C2611" i="55"/>
  <c r="C2218" i="55"/>
  <c r="C2365" i="55"/>
  <c r="C1837" i="55"/>
  <c r="B1436" i="55"/>
  <c r="B2484" i="55"/>
  <c r="C1645" i="55"/>
  <c r="C885" i="55"/>
  <c r="C1962" i="55"/>
  <c r="B1651" i="55"/>
  <c r="C1070" i="55"/>
  <c r="B277" i="55"/>
  <c r="C2777" i="55"/>
  <c r="C2324" i="55"/>
  <c r="C1244" i="55"/>
  <c r="B1621" i="55"/>
  <c r="C2734" i="55"/>
  <c r="B797" i="55"/>
  <c r="C593" i="55"/>
  <c r="B2423" i="55"/>
  <c r="B1259" i="55"/>
  <c r="B1210" i="55"/>
  <c r="B254" i="55"/>
  <c r="B731" i="55"/>
  <c r="C1339" i="55"/>
  <c r="C541" i="55"/>
  <c r="B2046" i="55"/>
  <c r="C188" i="55"/>
  <c r="B692" i="55"/>
  <c r="C1064" i="55"/>
  <c r="C2504" i="55"/>
  <c r="B2402" i="55"/>
  <c r="C2656" i="55"/>
  <c r="C2138" i="55"/>
  <c r="C536" i="55"/>
  <c r="B267" i="55"/>
  <c r="C1606" i="55"/>
  <c r="C2828" i="55"/>
  <c r="B1096" i="55"/>
  <c r="C2029" i="55"/>
  <c r="B885" i="55"/>
  <c r="C2018" i="55"/>
  <c r="C341" i="55"/>
  <c r="C2192" i="55"/>
  <c r="C2199" i="55"/>
  <c r="B2869" i="55"/>
  <c r="B824" i="55"/>
  <c r="C2026" i="55"/>
  <c r="B1228" i="55"/>
  <c r="B698" i="55"/>
  <c r="C1819" i="55"/>
  <c r="B2276" i="55"/>
  <c r="C1076" i="55"/>
  <c r="B2337" i="55"/>
  <c r="C2307" i="55"/>
  <c r="B1908" i="55"/>
  <c r="C2556" i="55"/>
  <c r="C1266" i="55"/>
  <c r="C730" i="55"/>
  <c r="B2236" i="55"/>
  <c r="B164" i="55"/>
  <c r="B311" i="55"/>
  <c r="C2123" i="55"/>
  <c r="B1472" i="55"/>
  <c r="B1118" i="55"/>
  <c r="C1454" i="55"/>
  <c r="C1619" i="55"/>
  <c r="C2482" i="55"/>
  <c r="C1299" i="55"/>
  <c r="C1206" i="55"/>
  <c r="B1868" i="55"/>
  <c r="B859" i="55"/>
  <c r="C1970" i="55"/>
  <c r="B1474" i="55"/>
  <c r="B2895" i="55"/>
  <c r="C692" i="55"/>
  <c r="C1918" i="55"/>
  <c r="B2397" i="55"/>
  <c r="C1481" i="55"/>
  <c r="C1386" i="55"/>
  <c r="B1158" i="55"/>
  <c r="B2234" i="55"/>
  <c r="B2156" i="55"/>
  <c r="C256" i="55"/>
  <c r="C790" i="55"/>
  <c r="B2150" i="55"/>
  <c r="C2545" i="55"/>
  <c r="C645" i="55"/>
  <c r="C1053" i="55"/>
  <c r="C2873" i="55"/>
  <c r="C1791" i="55"/>
  <c r="C880" i="55"/>
  <c r="B1114" i="55"/>
  <c r="C826" i="55"/>
  <c r="B1642" i="55"/>
  <c r="C2228" i="55"/>
  <c r="B2034" i="55"/>
  <c r="B32" i="55"/>
  <c r="B247" i="55"/>
  <c r="B852" i="55"/>
  <c r="B29" i="55"/>
  <c r="C2557" i="55"/>
  <c r="C841" i="55"/>
  <c r="C543" i="55"/>
  <c r="C2770" i="55"/>
  <c r="B2225" i="55"/>
  <c r="B93" i="55"/>
  <c r="C2230" i="55"/>
  <c r="B1247" i="55"/>
  <c r="B1914" i="55"/>
  <c r="C924" i="55"/>
  <c r="C2740" i="55"/>
  <c r="B2411" i="55"/>
  <c r="C2701" i="55"/>
  <c r="C2431" i="55"/>
  <c r="C2519" i="55"/>
  <c r="C883" i="55"/>
  <c r="B1356" i="55"/>
  <c r="C267" i="55"/>
  <c r="C2776" i="55"/>
  <c r="C1090" i="55"/>
  <c r="C298" i="55"/>
  <c r="B369" i="55"/>
  <c r="C1634" i="55"/>
  <c r="B2898" i="55"/>
  <c r="C832" i="55"/>
  <c r="B1906" i="55"/>
  <c r="C208" i="55"/>
  <c r="B242" i="55"/>
  <c r="C563" i="55"/>
  <c r="C1335" i="55"/>
  <c r="B1477" i="55"/>
  <c r="C2460" i="55"/>
  <c r="B1932" i="55"/>
  <c r="B1633" i="55"/>
  <c r="B1289" i="55"/>
  <c r="C2275" i="55"/>
  <c r="C1442" i="55"/>
  <c r="C1285" i="55"/>
  <c r="C120" i="55"/>
  <c r="C1273" i="55"/>
  <c r="C2615" i="55"/>
  <c r="C2172" i="55"/>
  <c r="B187" i="55"/>
  <c r="C2071" i="55"/>
  <c r="B2028" i="55"/>
  <c r="C579" i="55"/>
  <c r="C1239" i="55"/>
  <c r="B2598" i="55"/>
  <c r="C736" i="55"/>
  <c r="B2874" i="55"/>
  <c r="C1830" i="55"/>
  <c r="C1812" i="55"/>
  <c r="B1420" i="55"/>
  <c r="C1631" i="55"/>
  <c r="C261" i="55"/>
  <c r="B1262" i="55"/>
  <c r="C1982" i="55"/>
  <c r="B1065" i="55"/>
  <c r="C2879" i="55"/>
  <c r="C1843" i="55"/>
  <c r="C131" i="55"/>
  <c r="C1109" i="55"/>
  <c r="C126" i="55"/>
  <c r="B1306" i="55"/>
  <c r="C2403" i="55"/>
  <c r="B2078" i="55"/>
  <c r="C1150" i="55"/>
  <c r="B1399" i="55"/>
  <c r="B869" i="55"/>
  <c r="C2635" i="55"/>
  <c r="B1271" i="55"/>
  <c r="C1193" i="55"/>
  <c r="B211" i="55"/>
  <c r="B206" i="55"/>
  <c r="B700" i="55"/>
  <c r="C2338" i="55"/>
  <c r="B212" i="55"/>
  <c r="C2448" i="55"/>
  <c r="C697" i="55"/>
  <c r="C338" i="55"/>
  <c r="C2364" i="55"/>
  <c r="B1465" i="55"/>
  <c r="B1112" i="55"/>
  <c r="B1213" i="55"/>
  <c r="B99" i="55"/>
  <c r="C576" i="55"/>
  <c r="C2891" i="55"/>
  <c r="C1067" i="55"/>
  <c r="B341" i="55"/>
  <c r="C1349" i="55"/>
  <c r="C52" i="55"/>
  <c r="C331" i="55"/>
  <c r="C1983" i="55"/>
  <c r="B600" i="55"/>
  <c r="C1139" i="55"/>
  <c r="B2889" i="55"/>
  <c r="B1487" i="55"/>
  <c r="C1651" i="55"/>
  <c r="C1620" i="55"/>
  <c r="C1582" i="55"/>
  <c r="C1084" i="55"/>
  <c r="C2819" i="55"/>
  <c r="B764" i="55"/>
  <c r="C1817" i="55"/>
  <c r="C465" i="55"/>
  <c r="B2199" i="55"/>
  <c r="C2830" i="55"/>
  <c r="C1250" i="55"/>
  <c r="C567" i="55"/>
  <c r="C2902" i="55"/>
  <c r="C2117" i="55"/>
  <c r="C2013" i="55"/>
  <c r="C472" i="55"/>
  <c r="B1929" i="55"/>
  <c r="C2193" i="55"/>
  <c r="B2877" i="55"/>
  <c r="B2885" i="55"/>
  <c r="B288" i="55"/>
  <c r="B84" i="55"/>
  <c r="C1047" i="55"/>
  <c r="C714" i="55"/>
  <c r="C1755" i="55"/>
  <c r="B2866" i="55"/>
  <c r="C766" i="55"/>
  <c r="C1761" i="55"/>
  <c r="C205" i="55"/>
  <c r="C2052" i="55"/>
  <c r="B26" i="55"/>
  <c r="C854" i="55"/>
  <c r="C97" i="55"/>
  <c r="C1436" i="55"/>
  <c r="C1806" i="55"/>
  <c r="C75" i="55"/>
  <c r="B2513" i="55"/>
  <c r="C250" i="55"/>
  <c r="C1284" i="55"/>
  <c r="C2310" i="55"/>
  <c r="B1235" i="55"/>
  <c r="C685" i="55"/>
  <c r="C2418" i="55"/>
  <c r="B185" i="55"/>
  <c r="C1283" i="55"/>
  <c r="C2621" i="55"/>
  <c r="C2258" i="55"/>
  <c r="C1068" i="55"/>
  <c r="B703" i="55"/>
  <c r="C913" i="55"/>
  <c r="C1858" i="55"/>
  <c r="B1449" i="55"/>
  <c r="C1641" i="55"/>
  <c r="B1936" i="55"/>
  <c r="B1207" i="55"/>
  <c r="C651" i="55"/>
  <c r="C2753" i="55"/>
  <c r="C2711" i="55"/>
  <c r="C1466" i="55"/>
  <c r="C1971" i="55"/>
  <c r="B1978" i="55"/>
  <c r="C871" i="55"/>
  <c r="C582" i="55"/>
  <c r="C2132" i="55"/>
  <c r="B1072" i="55"/>
  <c r="C2433" i="55"/>
  <c r="C2665" i="55"/>
  <c r="B730" i="55"/>
  <c r="C1902" i="55"/>
  <c r="C2243" i="55"/>
  <c r="B2065" i="55"/>
  <c r="C2908" i="55"/>
  <c r="C1071" i="55"/>
  <c r="B1310" i="55"/>
  <c r="C680" i="55"/>
  <c r="B1899" i="55"/>
  <c r="B202" i="55"/>
  <c r="B2254" i="55"/>
  <c r="B1860" i="55"/>
  <c r="B221" i="55"/>
  <c r="B2399" i="55"/>
  <c r="C2662" i="55"/>
  <c r="B1284" i="55"/>
  <c r="C2257" i="55"/>
  <c r="B2386" i="55"/>
  <c r="C2131" i="55"/>
  <c r="B343" i="55"/>
  <c r="B1508" i="55"/>
  <c r="C2329" i="55"/>
  <c r="C2626" i="55"/>
  <c r="B931" i="55"/>
  <c r="B794" i="55"/>
  <c r="B2155" i="55"/>
  <c r="C586" i="55"/>
  <c r="B2394" i="55"/>
  <c r="B793" i="55"/>
  <c r="C1550" i="55"/>
  <c r="C2464" i="55"/>
  <c r="C1112" i="55"/>
  <c r="B841" i="55"/>
  <c r="C1095" i="55"/>
  <c r="C724" i="55"/>
  <c r="C56" i="55"/>
  <c r="B916" i="55"/>
  <c r="B237" i="55"/>
  <c r="C696" i="55"/>
  <c r="C2443" i="55"/>
  <c r="B1422" i="55"/>
  <c r="B359" i="55"/>
  <c r="B313" i="55"/>
  <c r="C2463" i="55"/>
  <c r="B2422" i="55"/>
  <c r="C1486" i="55"/>
  <c r="B2020" i="55"/>
  <c r="C1170" i="55"/>
  <c r="C2748" i="55"/>
  <c r="B1650" i="55"/>
  <c r="B2449" i="55"/>
  <c r="B2301" i="55"/>
  <c r="C570" i="55"/>
  <c r="C2458" i="55"/>
  <c r="C1802" i="55"/>
  <c r="B147" i="55"/>
  <c r="B346" i="55"/>
  <c r="C241" i="55"/>
  <c r="B785" i="55"/>
  <c r="C255" i="55"/>
  <c r="B2288" i="55"/>
  <c r="C1199" i="55"/>
  <c r="C1584" i="55"/>
  <c r="B2023" i="55"/>
  <c r="C589" i="55"/>
  <c r="B1300" i="55"/>
  <c r="B2084" i="55"/>
  <c r="B767" i="55"/>
  <c r="C2353" i="55"/>
  <c r="C1839" i="55"/>
  <c r="C2283" i="55"/>
  <c r="C146" i="55"/>
  <c r="C1414" i="55"/>
  <c r="C533" i="55"/>
  <c r="C2505" i="55"/>
  <c r="C635" i="55"/>
  <c r="B1199" i="55"/>
  <c r="C2005" i="55"/>
  <c r="C67" i="55"/>
  <c r="C1716" i="55"/>
  <c r="C1748" i="55"/>
  <c r="B1659" i="55"/>
  <c r="B1634" i="55"/>
  <c r="C269" i="55"/>
  <c r="C340" i="55"/>
  <c r="B1348" i="55"/>
  <c r="B1200" i="55"/>
  <c r="B30" i="55"/>
  <c r="C1553" i="55"/>
  <c r="B1048" i="55"/>
  <c r="C1204" i="55"/>
  <c r="C76" i="55"/>
  <c r="B1050" i="55"/>
  <c r="B942" i="55"/>
  <c r="C2439" i="55"/>
  <c r="B2515" i="55"/>
  <c r="B707" i="55"/>
  <c r="C1722" i="55"/>
  <c r="B1985" i="55"/>
  <c r="C1290" i="55"/>
  <c r="C2203" i="55"/>
  <c r="B1655" i="55"/>
  <c r="B27" i="55"/>
  <c r="C2837" i="55"/>
  <c r="C1015" i="55"/>
  <c r="B1102" i="55"/>
  <c r="B2308" i="55"/>
  <c r="B1910" i="55"/>
  <c r="C309" i="55"/>
  <c r="C2248" i="55"/>
  <c r="B2191" i="55"/>
  <c r="B804" i="55"/>
  <c r="B2079" i="55"/>
  <c r="B2237" i="55"/>
  <c r="C1940" i="55"/>
  <c r="C825" i="55"/>
  <c r="C1555" i="55"/>
  <c r="C1194" i="55"/>
  <c r="C1253" i="55"/>
  <c r="C655" i="55"/>
  <c r="C379" i="55"/>
  <c r="C2661" i="55"/>
  <c r="C2489" i="55"/>
  <c r="C592" i="55"/>
  <c r="C2212" i="55"/>
  <c r="B1841" i="55"/>
  <c r="C1730" i="55"/>
  <c r="B2195" i="55"/>
  <c r="B259" i="55"/>
  <c r="B148" i="55"/>
  <c r="C759" i="55"/>
  <c r="B2039" i="55"/>
  <c r="B1824" i="55"/>
  <c r="C1965" i="55"/>
  <c r="C127" i="55"/>
  <c r="B756" i="55"/>
  <c r="C2829" i="55"/>
  <c r="C284" i="55"/>
  <c r="B2036" i="55"/>
  <c r="B179" i="55"/>
  <c r="C33" i="55"/>
  <c r="C2810" i="55"/>
  <c r="C1018" i="55"/>
  <c r="C1473" i="55"/>
  <c r="C1072" i="55"/>
  <c r="C25" i="55"/>
  <c r="B762" i="55"/>
  <c r="C1867" i="55"/>
  <c r="C2653" i="55"/>
  <c r="B1186" i="55"/>
  <c r="C1637" i="55"/>
  <c r="B241" i="55"/>
  <c r="C2547" i="55"/>
  <c r="B1147" i="55"/>
  <c r="B1121" i="55"/>
  <c r="B689" i="55"/>
  <c r="B1248" i="55"/>
  <c r="B2249" i="55"/>
  <c r="B2588" i="55"/>
  <c r="C707" i="55"/>
  <c r="B1409" i="55"/>
  <c r="B2503" i="55"/>
  <c r="B1214" i="55"/>
  <c r="B215" i="55"/>
  <c r="C2779" i="55"/>
  <c r="B271" i="55"/>
  <c r="C2276" i="55"/>
  <c r="B2498" i="55"/>
  <c r="B625" i="55"/>
  <c r="B2343" i="55"/>
  <c r="C1207" i="55"/>
  <c r="C811" i="55"/>
  <c r="C2485" i="55"/>
  <c r="B2242" i="55"/>
  <c r="B737" i="55"/>
  <c r="C2474" i="55"/>
  <c r="C1954" i="55"/>
  <c r="C359" i="55"/>
  <c r="B861" i="55"/>
  <c r="C1270" i="55"/>
  <c r="C1344" i="55"/>
  <c r="B1729" i="55"/>
  <c r="B1430" i="55"/>
  <c r="B385" i="55"/>
  <c r="C2181" i="55"/>
  <c r="B1489" i="55"/>
  <c r="B2283" i="55"/>
  <c r="C467" i="55"/>
  <c r="C2733" i="55"/>
  <c r="C397" i="55"/>
  <c r="B2668" i="55"/>
  <c r="C2003" i="55"/>
  <c r="B2219" i="55"/>
  <c r="C2511" i="55"/>
  <c r="C815" i="55"/>
  <c r="B1195" i="55"/>
  <c r="B2485" i="55"/>
  <c r="C1590" i="55"/>
  <c r="C279" i="55"/>
  <c r="C301" i="55"/>
  <c r="B923" i="55"/>
  <c r="C1154" i="55"/>
  <c r="C2342" i="55"/>
  <c r="B2338" i="55"/>
  <c r="C286" i="55"/>
  <c r="B1338" i="55"/>
  <c r="C1727" i="55"/>
  <c r="C2781" i="55"/>
  <c r="C2333" i="55"/>
  <c r="C1389" i="55"/>
  <c r="C1135" i="55"/>
  <c r="B2070" i="55"/>
  <c r="B189" i="55"/>
  <c r="B2246" i="55"/>
  <c r="B862" i="55"/>
  <c r="C1656" i="55"/>
  <c r="C2325" i="55"/>
  <c r="C2747" i="55"/>
  <c r="C1102" i="55"/>
  <c r="C2773" i="55"/>
  <c r="B1415" i="55"/>
  <c r="B1325" i="55"/>
  <c r="C1912" i="55"/>
  <c r="B1385" i="55"/>
  <c r="B193" i="55"/>
  <c r="B190" i="55"/>
  <c r="C2887" i="55"/>
  <c r="C113" i="55"/>
  <c r="C2213" i="55"/>
  <c r="C1807" i="55"/>
  <c r="B1229" i="55"/>
  <c r="B2497" i="55"/>
  <c r="B1055" i="55"/>
  <c r="B2487" i="55"/>
  <c r="B1973" i="55"/>
  <c r="C287" i="55"/>
  <c r="C1529" i="55"/>
  <c r="B188" i="55"/>
  <c r="B1070" i="55"/>
  <c r="C1644" i="55"/>
  <c r="C1099" i="55"/>
  <c r="B86" i="55"/>
  <c r="C193" i="55"/>
  <c r="C2217" i="55"/>
  <c r="C1630" i="55"/>
  <c r="C1128" i="55"/>
  <c r="B1638" i="55"/>
  <c r="C1771" i="55"/>
  <c r="C2047" i="55"/>
  <c r="C524" i="55"/>
  <c r="C2303" i="55"/>
  <c r="B2347" i="55"/>
  <c r="C1586" i="55"/>
  <c r="B2886" i="55"/>
  <c r="B1839" i="55"/>
  <c r="C834" i="55"/>
  <c r="C1443" i="55"/>
  <c r="C784" i="55"/>
  <c r="C2256" i="55"/>
  <c r="C2567" i="55"/>
  <c r="C2156" i="55"/>
  <c r="C260" i="55"/>
  <c r="B2018" i="55"/>
  <c r="C2073" i="55"/>
  <c r="C2360" i="55"/>
  <c r="C1642" i="55"/>
  <c r="B823" i="55"/>
  <c r="B1850" i="55"/>
  <c r="B754" i="55"/>
  <c r="B1232" i="55"/>
  <c r="B2340" i="55"/>
  <c r="B1109" i="55"/>
  <c r="B1649" i="55"/>
  <c r="C824" i="55"/>
  <c r="B760" i="55"/>
  <c r="C904" i="55"/>
  <c r="B2210" i="55"/>
  <c r="C2664" i="55"/>
  <c r="B284" i="55"/>
  <c r="B180" i="55"/>
  <c r="C931" i="55"/>
  <c r="B1979" i="55"/>
  <c r="C1105" i="55"/>
  <c r="C2584" i="55"/>
  <c r="B2208" i="55"/>
  <c r="C1428" i="55"/>
  <c r="C1247" i="55"/>
  <c r="C1447" i="55"/>
  <c r="C1131" i="55"/>
  <c r="C86" i="55"/>
  <c r="B718" i="55"/>
  <c r="B1646" i="55"/>
  <c r="C1946" i="55"/>
  <c r="B1287" i="55"/>
  <c r="C2261" i="55"/>
  <c r="B141" i="55"/>
  <c r="C2864" i="55"/>
  <c r="B1127" i="55"/>
  <c r="C2531" i="55"/>
  <c r="B2309" i="55"/>
  <c r="C1305" i="55"/>
  <c r="C345" i="55"/>
  <c r="B1983" i="55"/>
  <c r="B2718" i="55"/>
  <c r="C2455" i="55"/>
  <c r="C2229" i="55"/>
  <c r="C1216" i="55"/>
  <c r="C1890" i="55"/>
  <c r="C896" i="55"/>
  <c r="C1719" i="55"/>
  <c r="B170" i="55"/>
  <c r="B1341" i="55"/>
  <c r="C1521" i="55"/>
  <c r="C1467" i="55"/>
  <c r="B687" i="55"/>
  <c r="B2354" i="55"/>
  <c r="C1813" i="55"/>
  <c r="C783" i="55"/>
  <c r="C2803" i="55"/>
  <c r="C2610" i="55"/>
  <c r="B182" i="55"/>
  <c r="C1321" i="55"/>
  <c r="C1288" i="55"/>
  <c r="B2871" i="55"/>
  <c r="C2870" i="55"/>
  <c r="C1514" i="55"/>
  <c r="B2075" i="55"/>
  <c r="B2203" i="55"/>
  <c r="B1469" i="55"/>
  <c r="C764" i="55"/>
  <c r="B706" i="55"/>
  <c r="C1083" i="55"/>
  <c r="C2849" i="55"/>
  <c r="C1636" i="55"/>
  <c r="C663" i="55"/>
  <c r="B2042" i="55"/>
  <c r="B583" i="55"/>
  <c r="C325" i="55"/>
  <c r="C2636" i="55"/>
  <c r="C2592" i="55"/>
  <c r="B735" i="55"/>
  <c r="C2384" i="55"/>
  <c r="C1846" i="55"/>
  <c r="B2403" i="55"/>
  <c r="C187" i="55"/>
  <c r="C1489" i="55"/>
  <c r="B1049" i="55"/>
  <c r="B2495" i="55"/>
  <c r="B379" i="55"/>
  <c r="B1184" i="55"/>
  <c r="B1890" i="55"/>
  <c r="B1919" i="55"/>
  <c r="C1013" i="55"/>
  <c r="C2598" i="55"/>
  <c r="B361" i="55"/>
  <c r="B2904" i="55"/>
  <c r="C1648" i="55"/>
  <c r="C537" i="55"/>
  <c r="B2622" i="55"/>
  <c r="B34" i="55"/>
  <c r="B1844" i="55"/>
  <c r="C1202" i="55"/>
  <c r="B2073" i="55"/>
  <c r="C1569" i="55"/>
  <c r="C2641" i="55"/>
  <c r="C538" i="55"/>
  <c r="C862" i="55"/>
  <c r="B2205" i="55"/>
  <c r="C2663" i="55"/>
  <c r="C626" i="55"/>
  <c r="B729" i="55"/>
  <c r="B932" i="55"/>
  <c r="C1302" i="55"/>
  <c r="C473" i="55"/>
  <c r="C907" i="55"/>
  <c r="C2559" i="55"/>
  <c r="C2375" i="55"/>
  <c r="B1871" i="55"/>
  <c r="B1320" i="55"/>
  <c r="B1652" i="55"/>
  <c r="C522" i="55"/>
  <c r="B2041" i="55"/>
  <c r="B1286" i="55"/>
  <c r="C1877" i="55"/>
  <c r="C720" i="55"/>
  <c r="B1980" i="55"/>
  <c r="B1454" i="55"/>
  <c r="C2044" i="55"/>
  <c r="C36" i="55"/>
  <c r="C1611" i="55"/>
  <c r="C2442" i="55"/>
  <c r="B1134" i="55"/>
  <c r="B1197" i="55"/>
  <c r="C2142" i="55"/>
  <c r="B1110" i="55"/>
  <c r="C1352" i="55"/>
  <c r="B1253" i="55"/>
  <c r="B1144" i="55"/>
  <c r="C1598" i="55"/>
  <c r="B2261" i="55"/>
  <c r="C1175" i="55"/>
  <c r="C2839" i="55"/>
  <c r="C303" i="55"/>
  <c r="B1036" i="55"/>
  <c r="C353" i="55"/>
  <c r="B1883" i="55"/>
  <c r="B2142" i="55"/>
  <c r="C2824" i="55"/>
  <c r="C2041" i="55"/>
  <c r="B894" i="55"/>
  <c r="C943" i="55"/>
  <c r="C715" i="55"/>
  <c r="B2294" i="55"/>
  <c r="C1792" i="55"/>
  <c r="C2825" i="55"/>
  <c r="C2538" i="55"/>
  <c r="C47" i="55"/>
  <c r="C1543" i="55"/>
  <c r="B1064" i="55"/>
  <c r="C1512" i="55"/>
  <c r="C2042" i="55"/>
  <c r="B1141" i="55"/>
  <c r="C779" i="55"/>
  <c r="C1310" i="55"/>
  <c r="C70" i="55"/>
  <c r="B2256" i="55"/>
  <c r="B1251" i="55"/>
  <c r="B1043" i="55"/>
  <c r="B306" i="55"/>
  <c r="C919" i="55"/>
  <c r="B1054" i="55"/>
  <c r="C1121" i="55"/>
  <c r="B1923" i="55"/>
  <c r="C189" i="55"/>
  <c r="B2300" i="55"/>
  <c r="C312" i="55"/>
  <c r="C1795" i="55"/>
  <c r="B2054" i="55"/>
  <c r="B893" i="55"/>
  <c r="B2024" i="55"/>
  <c r="B2241" i="55"/>
  <c r="B925" i="55"/>
  <c r="C1262" i="55"/>
  <c r="B1622" i="55"/>
  <c r="B1205" i="55"/>
  <c r="C1568" i="55"/>
  <c r="C1056" i="55"/>
  <c r="C1502" i="55"/>
  <c r="C1332" i="55"/>
  <c r="C1861" i="55"/>
  <c r="C703" i="55"/>
  <c r="B1486" i="55"/>
  <c r="B1165" i="55"/>
  <c r="C2255" i="55"/>
  <c r="C1264" i="55"/>
  <c r="B787" i="55"/>
  <c r="B1227" i="55"/>
  <c r="C2166" i="55"/>
  <c r="B593" i="55"/>
  <c r="C1140" i="55"/>
  <c r="C1418" i="55"/>
  <c r="C388" i="55"/>
  <c r="C1595" i="55"/>
  <c r="B826" i="55"/>
  <c r="B239" i="55"/>
  <c r="B1387" i="55"/>
  <c r="C2000" i="55"/>
  <c r="C202" i="55"/>
  <c r="B275" i="55"/>
  <c r="C2323" i="55"/>
  <c r="C1615" i="55"/>
  <c r="B1311" i="55"/>
  <c r="B1603" i="55"/>
  <c r="C532" i="55"/>
  <c r="C1647" i="55"/>
  <c r="B1617" i="55"/>
  <c r="C2622" i="55"/>
  <c r="C1539" i="55"/>
  <c r="C935" i="55"/>
  <c r="B1194" i="55"/>
  <c r="C2527" i="55"/>
  <c r="B1935" i="55"/>
  <c r="B1095" i="55"/>
  <c r="B1456" i="55"/>
  <c r="C1599" i="55"/>
  <c r="C2898" i="55"/>
  <c r="C1478" i="55"/>
  <c r="C1905" i="55"/>
  <c r="B1058" i="55"/>
  <c r="B238" i="55"/>
  <c r="B1351" i="55"/>
  <c r="B1977" i="55"/>
  <c r="C1967" i="55"/>
  <c r="B727" i="55"/>
  <c r="B194" i="55"/>
  <c r="C1406" i="55"/>
  <c r="C2262" i="55"/>
  <c r="C827" i="55"/>
  <c r="B1920" i="55"/>
  <c r="B2245" i="55"/>
  <c r="C426" i="55"/>
  <c r="B1170" i="55"/>
  <c r="C1796" i="55"/>
  <c r="C2585" i="55"/>
  <c r="C887" i="55"/>
  <c r="C2818" i="55"/>
  <c r="C2760" i="55"/>
  <c r="C2378" i="55"/>
  <c r="B772" i="55"/>
  <c r="C552" i="55"/>
  <c r="B1188" i="55"/>
  <c r="C2497" i="55"/>
  <c r="C272" i="55"/>
  <c r="C1997" i="55"/>
  <c r="C1649" i="55"/>
  <c r="B2048" i="55"/>
  <c r="C853" i="55"/>
  <c r="C352" i="55"/>
  <c r="C1740" i="55"/>
  <c r="C22" i="55"/>
  <c r="C1554" i="55"/>
  <c r="B2115" i="55"/>
  <c r="B2152" i="55"/>
  <c r="C750" i="55"/>
  <c r="C1484" i="55"/>
  <c r="C266" i="55"/>
  <c r="C639" i="55"/>
  <c r="C2628" i="55"/>
  <c r="C1614" i="55"/>
  <c r="C259" i="55"/>
  <c r="C203" i="55"/>
  <c r="C247" i="55"/>
  <c r="C2285" i="55"/>
  <c r="C1816" i="55"/>
  <c r="C2140" i="55"/>
  <c r="C1195" i="55"/>
  <c r="C1633" i="55"/>
  <c r="B2068" i="55"/>
  <c r="B2259" i="55"/>
  <c r="B1327" i="55"/>
  <c r="C2253" i="55"/>
  <c r="C1537" i="55"/>
  <c r="B184" i="55"/>
  <c r="C2279" i="55"/>
  <c r="C2596" i="55"/>
  <c r="C1632" i="55"/>
  <c r="B220" i="55"/>
  <c r="B2200" i="55"/>
  <c r="B1904" i="55"/>
  <c r="C2058" i="55"/>
  <c r="C2587" i="55"/>
  <c r="C694" i="55"/>
  <c r="B1245" i="55"/>
  <c r="C2348" i="55"/>
  <c r="C1275" i="55"/>
  <c r="B697" i="55"/>
  <c r="C1298" i="55"/>
  <c r="B2388" i="55"/>
  <c r="C673" i="55"/>
  <c r="C1395" i="55"/>
  <c r="C2372" i="55"/>
  <c r="C1127" i="55"/>
  <c r="B1328" i="55"/>
  <c r="B1189" i="55"/>
  <c r="B2393" i="55"/>
  <c r="C2139" i="55"/>
  <c r="B598" i="55"/>
  <c r="C2590" i="55"/>
  <c r="B281" i="55"/>
  <c r="B1930" i="55"/>
  <c r="C1600" i="55"/>
  <c r="C1718" i="55"/>
  <c r="B1905" i="55"/>
  <c r="B2265" i="55"/>
  <c r="C1956" i="55"/>
  <c r="C2544" i="55"/>
  <c r="B877" i="55"/>
  <c r="B1619" i="55"/>
  <c r="B1836" i="55"/>
  <c r="C657" i="55"/>
  <c r="B2344" i="55"/>
  <c r="B769" i="55"/>
  <c r="C1821" i="55"/>
  <c r="C2169" i="55"/>
  <c r="C271" i="55"/>
  <c r="B1491" i="55"/>
  <c r="C382" i="55"/>
  <c r="B2147" i="55"/>
  <c r="B2834" i="55"/>
  <c r="C2564" i="55"/>
  <c r="C217" i="55"/>
  <c r="B2884" i="55"/>
  <c r="B1299" i="55"/>
  <c r="C1019" i="55"/>
  <c r="C141" i="55"/>
  <c r="B24" i="55"/>
  <c r="B1859" i="55"/>
  <c r="B686" i="55"/>
  <c r="C1426" i="55"/>
  <c r="C2872" i="55"/>
  <c r="C324" i="55"/>
  <c r="C1857" i="55"/>
  <c r="B1166" i="55"/>
  <c r="C2417" i="55"/>
  <c r="C299" i="55"/>
  <c r="B1925" i="55"/>
  <c r="B1471" i="55"/>
  <c r="B2144" i="55"/>
  <c r="C2361" i="55"/>
  <c r="C523" i="55"/>
  <c r="B1029" i="55"/>
  <c r="C2809" i="55"/>
  <c r="B875" i="55"/>
  <c r="B2297" i="55"/>
  <c r="C2239" i="55"/>
  <c r="B2759" i="55"/>
  <c r="C2750" i="55"/>
  <c r="C2888" i="55"/>
  <c r="B2439" i="55"/>
  <c r="B2395" i="55"/>
  <c r="C1519" i="55"/>
  <c r="B802" i="55"/>
  <c r="B1425" i="55"/>
  <c r="B2077" i="55"/>
  <c r="C474" i="55"/>
  <c r="B1115" i="55"/>
  <c r="C804" i="55"/>
  <c r="C2385" i="55"/>
  <c r="C2784" i="55"/>
  <c r="B2475" i="55"/>
  <c r="B2140" i="55"/>
  <c r="C136" i="55"/>
  <c r="C90" i="55"/>
  <c r="C1531" i="55"/>
  <c r="B371" i="55"/>
  <c r="B1407" i="55"/>
  <c r="C1145" i="55"/>
  <c r="B2038" i="55"/>
  <c r="B854" i="55"/>
  <c r="B1878" i="55"/>
  <c r="C2599" i="55"/>
  <c r="C2205" i="55"/>
  <c r="B1395" i="55"/>
  <c r="C212" i="55"/>
  <c r="C2183" i="55"/>
  <c r="B2227" i="55"/>
  <c r="B107" i="55"/>
  <c r="B1972" i="55"/>
  <c r="B1098" i="55"/>
  <c r="C2083" i="55"/>
  <c r="C739" i="55"/>
  <c r="C2546" i="55"/>
  <c r="C2526" i="55"/>
  <c r="C2752" i="55"/>
  <c r="B2400" i="55"/>
  <c r="B2030" i="55"/>
  <c r="B1269" i="55"/>
  <c r="C2857" i="55"/>
  <c r="B2632" i="55"/>
  <c r="C2060" i="55"/>
  <c r="C2414" i="55"/>
  <c r="C2591" i="55"/>
  <c r="C402" i="55"/>
  <c r="C383" i="55"/>
  <c r="B763" i="55"/>
  <c r="C1871" i="55"/>
  <c r="B647" i="55"/>
  <c r="C2367" i="55"/>
  <c r="C1650" i="55"/>
  <c r="C1308" i="55"/>
  <c r="C2145" i="55"/>
  <c r="B872" i="55"/>
  <c r="B1390" i="55"/>
  <c r="B213" i="55"/>
  <c r="B1645" i="55"/>
  <c r="C2812" i="55"/>
  <c r="B2235" i="55"/>
  <c r="C103" i="55"/>
  <c r="B1173" i="55"/>
  <c r="C1446" i="55"/>
  <c r="C2305" i="55"/>
  <c r="B712" i="55"/>
  <c r="C941" i="55"/>
  <c r="C2063" i="55"/>
  <c r="B1307" i="55"/>
  <c r="C1183" i="55"/>
  <c r="C1526" i="55"/>
  <c r="C2240" i="55"/>
  <c r="C889" i="55"/>
  <c r="C466" i="55"/>
  <c r="B836" i="55"/>
  <c r="B2192" i="55"/>
  <c r="B1138" i="55"/>
  <c r="B831" i="55"/>
  <c r="B1160" i="55"/>
  <c r="B2201" i="55"/>
  <c r="B28" i="55"/>
  <c r="B1867" i="55"/>
  <c r="B2416" i="55"/>
  <c r="B1481" i="55"/>
  <c r="C2493" i="55"/>
  <c r="C1922" i="55"/>
  <c r="C245" i="55"/>
  <c r="B856" i="55"/>
  <c r="C1789" i="55"/>
  <c r="C2883" i="55"/>
  <c r="C459" i="55"/>
  <c r="C57" i="55"/>
  <c r="B1071" i="55"/>
  <c r="B1255" i="55"/>
  <c r="C1265" i="55"/>
  <c r="C1509" i="55"/>
  <c r="C2114" i="55"/>
  <c r="C1125" i="55"/>
  <c r="C2795" i="55"/>
  <c r="C927" i="55"/>
  <c r="B2413" i="55"/>
  <c r="C2572" i="55"/>
  <c r="B2231" i="55"/>
  <c r="C128" i="55"/>
  <c r="C1031" i="55"/>
  <c r="C2204" i="55"/>
  <c r="C1760" i="55"/>
  <c r="C2223" i="55"/>
  <c r="C1914" i="55"/>
  <c r="B1171" i="55"/>
  <c r="B1394" i="55"/>
  <c r="B1451" i="55"/>
  <c r="B928" i="55"/>
  <c r="B2312" i="55"/>
  <c r="B2196" i="55"/>
  <c r="B725" i="55"/>
  <c r="B2251" i="55"/>
  <c r="C1343" i="55"/>
  <c r="B2291" i="55"/>
  <c r="C2535" i="55"/>
  <c r="C1353" i="55"/>
  <c r="B1851" i="55"/>
  <c r="C2705" i="55"/>
  <c r="C1420" i="55"/>
  <c r="C2650" i="55"/>
  <c r="B1625" i="55"/>
  <c r="B2266" i="55"/>
  <c r="C717" i="55"/>
  <c r="B776" i="55"/>
  <c r="C2295" i="55"/>
  <c r="C627" i="55"/>
  <c r="B1097" i="55"/>
  <c r="C752" i="55"/>
  <c r="C313" i="55"/>
  <c r="C1129" i="55"/>
  <c r="B87" i="55"/>
  <c r="C419" i="55"/>
  <c r="C2569" i="55"/>
  <c r="B103" i="55"/>
  <c r="C2581" i="55"/>
  <c r="B349" i="55"/>
  <c r="C2722" i="55"/>
  <c r="B1149" i="55"/>
  <c r="B2437" i="55"/>
  <c r="C833" i="55"/>
  <c r="C2605" i="55"/>
  <c r="B2258" i="55"/>
  <c r="C2082" i="55"/>
  <c r="C2126" i="55"/>
  <c r="B1297" i="55"/>
  <c r="C875" i="55"/>
  <c r="C600" i="55"/>
  <c r="B260" i="55"/>
  <c r="B2015" i="55"/>
  <c r="B1903" i="55"/>
  <c r="C117" i="55"/>
  <c r="C2413" i="55"/>
  <c r="B845" i="55"/>
  <c r="C2481" i="55"/>
  <c r="C933" i="55"/>
  <c r="C1174" i="55"/>
  <c r="B1163" i="55"/>
  <c r="C2004" i="55"/>
  <c r="B2547" i="55"/>
  <c r="B1873" i="55"/>
  <c r="C2494" i="55"/>
  <c r="C62" i="55"/>
  <c r="B1303" i="55"/>
  <c r="C2554" i="55"/>
  <c r="C671" i="55"/>
  <c r="C2242" i="55"/>
  <c r="C2827" i="55"/>
  <c r="C112" i="55"/>
  <c r="C2326" i="55"/>
  <c r="C1910" i="55"/>
  <c r="B310" i="55"/>
  <c r="C361" i="55"/>
  <c r="B736" i="55"/>
  <c r="B78" i="55"/>
  <c r="C2373" i="55"/>
  <c r="B1104" i="55"/>
  <c r="B1913" i="55"/>
  <c r="B1051" i="55"/>
  <c r="B286" i="55"/>
  <c r="C1811" i="55"/>
  <c r="C2649" i="55"/>
  <c r="B1190" i="55"/>
  <c r="C2404" i="55"/>
  <c r="B1443" i="55"/>
  <c r="C558" i="55"/>
  <c r="C2555" i="55"/>
  <c r="B1432" i="55"/>
  <c r="B892" i="55"/>
  <c r="C1221" i="55"/>
  <c r="B90" i="55"/>
  <c r="C1994" i="55"/>
  <c r="C2268" i="55"/>
  <c r="B2050" i="55"/>
  <c r="C337" i="55"/>
  <c r="C1959" i="55"/>
  <c r="C2721" i="55"/>
  <c r="C1516" i="55"/>
  <c r="C1158" i="55"/>
  <c r="C95" i="55"/>
  <c r="C1979" i="55"/>
  <c r="C1077" i="55"/>
  <c r="B1628" i="55"/>
  <c r="C2260" i="55"/>
  <c r="C2084" i="55"/>
  <c r="B576" i="55"/>
  <c r="C858" i="55"/>
  <c r="B860" i="55"/>
  <c r="C1996" i="55"/>
  <c r="C1081" i="55"/>
  <c r="B2215" i="55"/>
  <c r="B1854" i="55"/>
  <c r="B200" i="55"/>
  <c r="B2076" i="55"/>
  <c r="C183" i="55"/>
  <c r="B1183" i="55"/>
  <c r="C876" i="55"/>
  <c r="B2207" i="55"/>
  <c r="C2723" i="55"/>
  <c r="B1345" i="55"/>
  <c r="B850" i="55"/>
  <c r="C2034" i="55"/>
  <c r="C2190" i="55"/>
  <c r="C1745" i="55"/>
  <c r="C2471" i="55"/>
  <c r="C186" i="55"/>
  <c r="B2053" i="55"/>
  <c r="C583" i="55"/>
  <c r="C1594" i="55"/>
  <c r="B1984" i="55"/>
  <c r="C2540" i="55"/>
  <c r="C2415" i="55"/>
  <c r="C2436" i="55"/>
  <c r="C869" i="55"/>
  <c r="B89" i="55"/>
  <c r="C2174" i="55"/>
  <c r="B2661" i="55"/>
  <c r="B2247" i="55"/>
  <c r="B790" i="55"/>
  <c r="C757" i="55"/>
  <c r="C2311" i="55"/>
  <c r="B2222" i="55"/>
  <c r="B699" i="55"/>
  <c r="C1166" i="55"/>
  <c r="B91" i="55"/>
  <c r="B1492" i="55"/>
  <c r="B913" i="55"/>
  <c r="B339" i="55"/>
  <c r="C2274" i="55"/>
  <c r="C534" i="55"/>
  <c r="C1783" i="55"/>
  <c r="B1640" i="55"/>
  <c r="B1915" i="55"/>
  <c r="C1926" i="55"/>
  <c r="B516" i="55"/>
  <c r="C1157" i="55"/>
  <c r="B939" i="55"/>
  <c r="B2782" i="55"/>
  <c r="B865" i="55"/>
  <c r="C546" i="55"/>
  <c r="C2844" i="55"/>
  <c r="B738" i="55"/>
  <c r="B838" i="55"/>
  <c r="C2079" i="55"/>
  <c r="C2774" i="55"/>
  <c r="B205" i="55"/>
  <c r="C554" i="55"/>
  <c r="C828" i="55"/>
  <c r="C1263" i="55"/>
  <c r="C544" i="55"/>
  <c r="C581" i="55"/>
  <c r="C30" i="55"/>
  <c r="B941" i="55"/>
  <c r="C1057" i="55"/>
  <c r="B1888" i="55"/>
  <c r="C1450" i="55"/>
  <c r="C2035" i="55"/>
  <c r="B2415" i="55"/>
  <c r="C1069" i="55"/>
  <c r="C647" i="55"/>
  <c r="B2238" i="55"/>
  <c r="C2767" i="55"/>
  <c r="B2186" i="55"/>
  <c r="B2271" i="55"/>
  <c r="B1419" i="55"/>
  <c r="C1485" i="55"/>
  <c r="B2870" i="55"/>
  <c r="B2740" i="55"/>
  <c r="B1620" i="55"/>
  <c r="B2357" i="55"/>
  <c r="B1608" i="55"/>
  <c r="C1834" i="55"/>
  <c r="B248" i="55"/>
  <c r="B1045" i="55"/>
  <c r="B2445" i="55"/>
  <c r="C1870" i="55"/>
  <c r="C1742" i="55"/>
  <c r="C2224" i="55"/>
  <c r="C2789" i="55"/>
  <c r="C1035" i="55"/>
  <c r="C938" i="55"/>
  <c r="C2176" i="55"/>
  <c r="C219" i="55"/>
  <c r="C1917" i="55"/>
  <c r="C1985" i="55"/>
  <c r="C2503" i="55"/>
  <c r="B2417" i="55"/>
  <c r="C1574" i="55"/>
  <c r="B1208" i="55"/>
  <c r="B108" i="55"/>
  <c r="B2593" i="55"/>
  <c r="C599" i="55"/>
  <c r="B33" i="55"/>
  <c r="B1326" i="55"/>
  <c r="B1211" i="55"/>
  <c r="C2820" i="55"/>
  <c r="B2901" i="55"/>
  <c r="C1311" i="55"/>
  <c r="C378" i="55"/>
  <c r="B1260" i="55"/>
  <c r="C72" i="55"/>
  <c r="C819" i="55"/>
  <c r="C562" i="55"/>
  <c r="B830" i="55"/>
  <c r="B2355" i="55"/>
  <c r="C1225" i="55"/>
  <c r="C942" i="55"/>
  <c r="B1103" i="55"/>
  <c r="C2425" i="55"/>
  <c r="C868" i="55"/>
  <c r="C652" i="55"/>
  <c r="C2121" i="55"/>
  <c r="C2111" i="55"/>
  <c r="C2866" i="55"/>
  <c r="C61" i="55"/>
  <c r="B2897" i="55"/>
  <c r="C2521" i="55"/>
  <c r="C1079" i="55"/>
  <c r="C2056" i="55"/>
  <c r="B1234" i="55"/>
  <c r="C1833" i="55"/>
  <c r="C2002" i="55"/>
  <c r="B1352" i="55"/>
  <c r="C2236" i="55"/>
  <c r="B1830" i="55"/>
  <c r="B1257" i="55"/>
  <c r="B1296" i="55"/>
  <c r="C1054" i="55"/>
  <c r="C1798" i="55"/>
  <c r="B1318" i="55"/>
  <c r="C1487" i="55"/>
  <c r="C654" i="55"/>
  <c r="B2412" i="55"/>
  <c r="B2875" i="55"/>
  <c r="B1898" i="55"/>
  <c r="C2030" i="55"/>
  <c r="C2756" i="55"/>
  <c r="B255" i="55"/>
  <c r="B1856" i="55"/>
  <c r="C1458" i="55"/>
  <c r="B889" i="55"/>
  <c r="C2221" i="55"/>
  <c r="C867" i="55"/>
  <c r="C122" i="55"/>
  <c r="B2336" i="55"/>
  <c r="B1252" i="55"/>
  <c r="C1973" i="55"/>
  <c r="C1075" i="55"/>
  <c r="C2304" i="55"/>
  <c r="C2376" i="55"/>
  <c r="C2840" i="55"/>
  <c r="C51" i="55"/>
  <c r="C2395" i="55"/>
  <c r="C1422" i="55"/>
  <c r="B909" i="55"/>
  <c r="B1861" i="55"/>
  <c r="C1884" i="55"/>
  <c r="B1204" i="55"/>
  <c r="C1524" i="55"/>
  <c r="C2491" i="55"/>
  <c r="B208" i="55"/>
  <c r="C343" i="55"/>
  <c r="B1067" i="55"/>
  <c r="B250" i="55"/>
  <c r="C870" i="55"/>
  <c r="C249" i="55"/>
  <c r="B2248" i="55"/>
  <c r="B1644" i="55"/>
  <c r="C220" i="55"/>
  <c r="B2307" i="55"/>
  <c r="C585" i="55"/>
  <c r="C1640" i="55"/>
  <c r="C2607" i="55"/>
  <c r="C63" i="55"/>
  <c r="C2116" i="55"/>
  <c r="C1269" i="55"/>
  <c r="C1635" i="55"/>
  <c r="C411" i="55"/>
  <c r="B1933" i="55"/>
  <c r="C2352" i="55"/>
  <c r="B1231" i="55"/>
  <c r="B1113" i="55"/>
  <c r="B1346" i="55"/>
  <c r="B920" i="55"/>
  <c r="B940" i="55"/>
  <c r="B2392" i="55"/>
  <c r="B2867" i="55"/>
  <c r="C1356" i="55"/>
  <c r="C1894" i="55"/>
  <c r="C2306" i="55"/>
  <c r="C745" i="55"/>
  <c r="C1224" i="55"/>
  <c r="B2270" i="55"/>
  <c r="C1409" i="55"/>
  <c r="B2348" i="55"/>
  <c r="C1585" i="55"/>
  <c r="C939" i="55"/>
  <c r="B1971" i="55"/>
  <c r="C274" i="55"/>
  <c r="B827" i="55"/>
  <c r="C2790" i="55"/>
  <c r="B1175" i="55"/>
  <c r="B1641" i="55"/>
  <c r="B243" i="55"/>
  <c r="C631" i="55"/>
  <c r="B638" i="55"/>
  <c r="B2204" i="55"/>
  <c r="C756" i="55"/>
  <c r="C64" i="55"/>
  <c r="B1902" i="55"/>
  <c r="C1824" i="55"/>
  <c r="C2603" i="55"/>
  <c r="C711" i="55"/>
  <c r="B1129" i="55"/>
  <c r="B2873" i="55"/>
  <c r="C2608" i="55"/>
  <c r="C82" i="55"/>
  <c r="B899" i="55"/>
  <c r="C597" i="55"/>
  <c r="C555" i="55"/>
  <c r="C308" i="55"/>
  <c r="C1782" i="55"/>
  <c r="B1922" i="55"/>
  <c r="C897" i="55"/>
  <c r="C2601" i="55"/>
  <c r="B2221" i="55"/>
  <c r="B192" i="55"/>
  <c r="C2714" i="55"/>
  <c r="B788" i="55"/>
  <c r="B1073" i="55"/>
  <c r="C1162" i="55"/>
  <c r="B1038" i="55"/>
  <c r="C40" i="55"/>
  <c r="C410" i="55"/>
  <c r="C387" i="55"/>
  <c r="B1488" i="55"/>
  <c r="B2032" i="55"/>
  <c r="B2905" i="55"/>
  <c r="C2743" i="55"/>
  <c r="C1449" i="55"/>
  <c r="B218" i="55"/>
  <c r="C288" i="55"/>
  <c r="C1624" i="55"/>
  <c r="B1934" i="55"/>
  <c r="B264" i="55"/>
  <c r="C1437" i="55"/>
  <c r="C1165" i="55"/>
  <c r="B907" i="55"/>
  <c r="C2871" i="55"/>
  <c r="C742" i="55"/>
  <c r="B183" i="55"/>
  <c r="C1050" i="55"/>
  <c r="C1533" i="55"/>
  <c r="C1961" i="55"/>
  <c r="B1842" i="55"/>
  <c r="C74" i="55"/>
  <c r="B1264" i="55"/>
  <c r="C2832" i="55"/>
  <c r="C2778" i="55"/>
  <c r="B2305" i="55"/>
  <c r="C2589" i="55"/>
  <c r="B2488" i="55"/>
  <c r="B2040" i="55"/>
  <c r="B726" i="55"/>
  <c r="C200" i="55"/>
  <c r="B2492" i="55"/>
  <c r="C35" i="55"/>
  <c r="B834" i="55"/>
  <c r="C2198" i="55"/>
  <c r="B1623" i="55"/>
  <c r="C2289" i="55"/>
  <c r="B2441" i="55"/>
  <c r="B580" i="55"/>
  <c r="B2081" i="55"/>
  <c r="C1992" i="55"/>
  <c r="C1563" i="55"/>
  <c r="C37" i="55"/>
  <c r="C2561" i="55"/>
  <c r="C1885" i="55"/>
  <c r="B918" i="55"/>
  <c r="B2253" i="55"/>
  <c r="C1809" i="55"/>
  <c r="C1995" i="55"/>
  <c r="B1911" i="55"/>
  <c r="C1865" i="55"/>
  <c r="B386" i="55"/>
  <c r="C2048" i="55"/>
  <c r="C1380" i="55"/>
  <c r="C394" i="55"/>
  <c r="C2319" i="55"/>
  <c r="C2624" i="55"/>
  <c r="C551" i="55"/>
  <c r="B2252" i="55"/>
  <c r="B2408" i="55"/>
  <c r="C1981" i="55"/>
  <c r="B2281" i="55"/>
  <c r="B1886" i="55"/>
  <c r="B2223" i="55"/>
  <c r="B1605" i="55"/>
  <c r="C1766" i="55"/>
  <c r="C2645" i="55"/>
  <c r="C2259" i="55"/>
  <c r="C2397" i="55"/>
  <c r="C2120" i="55"/>
  <c r="C643" i="55"/>
  <c r="B771" i="55"/>
  <c r="B1337" i="55"/>
  <c r="C675" i="55"/>
  <c r="B2341" i="55"/>
  <c r="C2791" i="55"/>
  <c r="B2907" i="55"/>
  <c r="B2049" i="55"/>
  <c r="B1066" i="55"/>
  <c r="C1287" i="55"/>
  <c r="C2434" i="55"/>
  <c r="B719" i="55"/>
  <c r="C2300" i="55"/>
  <c r="B1063" i="55"/>
  <c r="C2907" i="55"/>
  <c r="C1986" i="55"/>
  <c r="C805" i="55"/>
  <c r="B927" i="55"/>
  <c r="C406" i="55"/>
  <c r="B336" i="55"/>
  <c r="C1793" i="55"/>
  <c r="B1120" i="55"/>
  <c r="C1416" i="55"/>
  <c r="B1629" i="55"/>
  <c r="C2660" i="55"/>
  <c r="C1103" i="55"/>
  <c r="C2716" i="55"/>
  <c r="C1938" i="55"/>
  <c r="B2202" i="55"/>
  <c r="B1342" i="55"/>
  <c r="B2272" i="55"/>
  <c r="C278" i="55"/>
  <c r="B1855" i="55"/>
  <c r="C1261" i="55"/>
  <c r="B2212" i="55"/>
  <c r="B791" i="55"/>
  <c r="C660" i="55"/>
  <c r="C1133" i="55"/>
  <c r="C770" i="55"/>
  <c r="B2634" i="55"/>
  <c r="C59" i="55"/>
  <c r="B104" i="55"/>
  <c r="B688" i="55"/>
  <c r="C1026" i="55"/>
  <c r="C1160" i="55"/>
  <c r="C254" i="55"/>
  <c r="B2346" i="55"/>
  <c r="C893" i="55"/>
  <c r="C133" i="55"/>
  <c r="C679" i="55"/>
  <c r="C2389" i="55"/>
  <c r="B2044" i="55"/>
  <c r="B145" i="55"/>
  <c r="C646" i="55"/>
  <c r="B1339" i="55"/>
  <c r="C2814" i="55"/>
  <c r="C305" i="55"/>
  <c r="B1101" i="55"/>
  <c r="B1191" i="55"/>
  <c r="B1769" i="55"/>
  <c r="C1314" i="55"/>
  <c r="C2184" i="55"/>
  <c r="B2448" i="55"/>
  <c r="C2143" i="55"/>
  <c r="B1470" i="55"/>
  <c r="C1232" i="55"/>
  <c r="B758" i="55"/>
  <c r="B1218" i="55"/>
  <c r="C385" i="55"/>
  <c r="C2421" i="55"/>
  <c r="C1346" i="55"/>
  <c r="B705" i="55"/>
  <c r="B1178" i="55"/>
  <c r="C796" i="55"/>
  <c r="C2875" i="55"/>
  <c r="C1281" i="55"/>
  <c r="C2208" i="55"/>
  <c r="C1429" i="55"/>
  <c r="C2632" i="55"/>
  <c r="B265" i="55"/>
  <c r="C2897" i="55"/>
  <c r="B2250" i="55"/>
  <c r="B926" i="55"/>
  <c r="B1201" i="55"/>
  <c r="C238" i="55"/>
  <c r="B835" i="55"/>
  <c r="B2359" i="55"/>
  <c r="C575" i="55"/>
  <c r="B2080" i="55"/>
  <c r="C2597" i="55"/>
  <c r="C2461" i="55"/>
  <c r="B2872" i="55"/>
  <c r="C2167" i="55"/>
  <c r="C1218" i="55"/>
  <c r="B1900" i="55"/>
  <c r="B2137" i="55"/>
  <c r="C1944" i="55"/>
  <c r="C656" i="55"/>
  <c r="B49" i="55"/>
  <c r="C1511" i="55"/>
  <c r="B709" i="55"/>
  <c r="C1562" i="55"/>
  <c r="C1820" i="55"/>
  <c r="C2078" i="55"/>
  <c r="C1775" i="55"/>
  <c r="B21" i="55"/>
  <c r="C2031" i="55"/>
  <c r="B1478" i="55"/>
  <c r="C1180" i="55"/>
  <c r="B328" i="55"/>
  <c r="B2880" i="55"/>
  <c r="C1403" i="55"/>
  <c r="C1879" i="55"/>
  <c r="C1747" i="55"/>
  <c r="C2859" i="55"/>
  <c r="C2627" i="55"/>
  <c r="C2853" i="55"/>
  <c r="B1331" i="55"/>
  <c r="C2416" i="55"/>
  <c r="C2449" i="55"/>
  <c r="C1381" i="55"/>
  <c r="C2862" i="55"/>
  <c r="B2651" i="55"/>
  <c r="C2292" i="55"/>
  <c r="C297" i="55"/>
  <c r="C2476" i="55"/>
  <c r="B1329" i="55"/>
  <c r="B1400" i="55"/>
  <c r="C1607" i="55"/>
  <c r="C2816" i="55"/>
  <c r="B1353" i="55"/>
  <c r="C2245" i="55"/>
  <c r="B1340" i="55"/>
  <c r="C2843" i="55"/>
  <c r="C23" i="55"/>
  <c r="B1142" i="55"/>
  <c r="B154" i="55"/>
  <c r="C1033" i="55"/>
  <c r="C55" i="55"/>
  <c r="C1776" i="55"/>
  <c r="C2012" i="55"/>
  <c r="B1463" i="55"/>
  <c r="B1196" i="55"/>
  <c r="C1751" i="55"/>
  <c r="B365" i="55"/>
  <c r="C2658" i="55"/>
  <c r="C701" i="55"/>
  <c r="B312" i="55"/>
  <c r="B1180" i="55"/>
  <c r="C2882" i="55"/>
  <c r="B22" i="55"/>
  <c r="C2739" i="55"/>
  <c r="C1840" i="55"/>
  <c r="C1061" i="55"/>
  <c r="B46" i="55"/>
  <c r="B1458" i="55"/>
  <c r="B1537" i="55"/>
  <c r="B1970" i="55"/>
  <c r="C1725" i="55"/>
  <c r="B1412" i="55"/>
  <c r="C890" i="55"/>
  <c r="C2704" i="55"/>
  <c r="C1525" i="55"/>
  <c r="C1887" i="55"/>
  <c r="C2032" i="55"/>
  <c r="B2279" i="55"/>
  <c r="C708" i="55"/>
  <c r="B829" i="55"/>
  <c r="C421" i="55"/>
  <c r="B1203" i="55"/>
  <c r="C243" i="55"/>
  <c r="B31" i="55"/>
  <c r="B245" i="55"/>
  <c r="B2666" i="55"/>
  <c r="B23" i="55"/>
  <c r="B2440" i="55"/>
  <c r="C1479" i="55"/>
  <c r="C2648" i="55"/>
  <c r="B289" i="55"/>
  <c r="C1628" i="55"/>
  <c r="C721" i="55"/>
  <c r="C2515" i="55"/>
  <c r="C2339" i="55"/>
  <c r="C393" i="55"/>
  <c r="C253" i="55"/>
  <c r="B837" i="55"/>
  <c r="C1091" i="55"/>
  <c r="C181" i="55"/>
  <c r="C2562" i="55"/>
  <c r="C2869" i="55"/>
  <c r="B1852" i="55"/>
  <c r="B2287" i="55"/>
  <c r="C2847" i="55"/>
  <c r="B348" i="55"/>
  <c r="C2719" i="55"/>
  <c r="C1920" i="55"/>
  <c r="C2065" i="55"/>
  <c r="C559" i="55"/>
  <c r="C669" i="55"/>
  <c r="C414" i="55"/>
  <c r="B938" i="55"/>
  <c r="B1040" i="55"/>
  <c r="B345" i="55"/>
  <c r="B290" i="55"/>
  <c r="C2159" i="55"/>
  <c r="C1579" i="55"/>
  <c r="B1464" i="55"/>
  <c r="B805" i="55"/>
  <c r="C130" i="55"/>
  <c r="B210" i="55"/>
  <c r="C265" i="55"/>
  <c r="B201" i="55"/>
  <c r="B596" i="55"/>
  <c r="B1035" i="55"/>
  <c r="C2118" i="55"/>
  <c r="C311" i="55"/>
  <c r="B867" i="55"/>
  <c r="B142" i="55"/>
  <c r="B1343" i="55"/>
  <c r="C375" i="55"/>
  <c r="C2796" i="55"/>
  <c r="B1921" i="55"/>
  <c r="C2119" i="55"/>
  <c r="C2703" i="55"/>
  <c r="C412" i="55"/>
  <c r="B1225" i="55"/>
  <c r="B1132" i="55"/>
  <c r="C1211" i="55"/>
  <c r="C2710" i="55"/>
  <c r="C684" i="55"/>
  <c r="C2009" i="55"/>
  <c r="C686" i="55"/>
  <c r="C369" i="55"/>
  <c r="C648" i="55"/>
  <c r="B1212" i="55"/>
  <c r="B1813" i="55"/>
  <c r="C207" i="55"/>
  <c r="B2273" i="55"/>
  <c r="C2340" i="55"/>
  <c r="C2241" i="55"/>
  <c r="C282" i="55"/>
  <c r="B1783" i="55"/>
  <c r="B1137" i="55"/>
  <c r="B1928" i="55"/>
  <c r="C2469" i="55"/>
  <c r="C788" i="55"/>
  <c r="B1894" i="55"/>
  <c r="B1069" i="55"/>
  <c r="C1315" i="55"/>
  <c r="B943" i="55"/>
  <c r="C2388" i="55"/>
  <c r="B1336" i="55"/>
  <c r="B840" i="55"/>
  <c r="B1236" i="55"/>
  <c r="B274" i="55"/>
  <c r="C1927" i="55"/>
  <c r="B2289" i="55"/>
  <c r="C2446" i="55"/>
  <c r="C1219" i="55"/>
  <c r="B782" i="55"/>
  <c r="B799" i="55"/>
  <c r="C910" i="55"/>
  <c r="B846" i="55"/>
  <c r="B2738" i="55"/>
  <c r="C2539" i="55"/>
  <c r="C1757" i="55"/>
  <c r="C1893" i="55"/>
  <c r="B1350" i="55"/>
  <c r="B1612" i="55"/>
  <c r="C2516" i="55"/>
  <c r="B2263" i="55"/>
  <c r="C2749" i="55"/>
  <c r="C462" i="55"/>
  <c r="C1417" i="55"/>
  <c r="C2313" i="55"/>
  <c r="C712" i="55"/>
  <c r="C348" i="55"/>
  <c r="B784" i="55"/>
  <c r="C1829" i="55"/>
  <c r="C1532" i="55"/>
  <c r="C1878" i="55"/>
  <c r="B704" i="55"/>
  <c r="C1935" i="55"/>
  <c r="C1474" i="55"/>
  <c r="B778" i="55"/>
  <c r="C734" i="55"/>
  <c r="B61" i="55"/>
  <c r="C873" i="55"/>
  <c r="B2143" i="55"/>
  <c r="C564" i="55"/>
  <c r="B1283" i="55"/>
  <c r="B1431" i="55"/>
  <c r="C2766" i="55"/>
  <c r="B1417" i="55"/>
  <c r="C1342" i="55"/>
  <c r="C886" i="55"/>
  <c r="B906" i="55"/>
  <c r="C2647" i="55"/>
  <c r="C1862" i="55"/>
  <c r="B905" i="55"/>
  <c r="B350" i="55"/>
  <c r="C1736" i="55"/>
  <c r="B2892" i="55"/>
  <c r="B849" i="55"/>
  <c r="B933" i="55"/>
  <c r="C1217" i="55"/>
  <c r="B1439" i="55"/>
  <c r="B1152" i="55"/>
  <c r="C1348" i="55"/>
  <c r="C2136" i="55"/>
  <c r="C1729" i="55"/>
  <c r="C2639" i="55"/>
  <c r="B2026" i="55"/>
  <c r="B876" i="55"/>
  <c r="B2217" i="55"/>
  <c r="C300" i="55"/>
  <c r="C2513" i="55"/>
  <c r="B102" i="55"/>
  <c r="C1030" i="55"/>
  <c r="B1062" i="55"/>
  <c r="B2752" i="55"/>
  <c r="C1801" i="55"/>
  <c r="B2779" i="55"/>
  <c r="B156" i="55"/>
  <c r="C1196" i="55"/>
  <c r="B757" i="55"/>
  <c r="C69" i="55"/>
  <c r="C236" i="55"/>
  <c r="C2570" i="55"/>
  <c r="C539" i="55"/>
  <c r="C1345" i="55"/>
  <c r="C1292" i="55"/>
  <c r="C1383" i="55"/>
  <c r="C1463" i="55"/>
  <c r="B244" i="55"/>
  <c r="C2309" i="55"/>
  <c r="B1480" i="55"/>
  <c r="C1872" i="55"/>
  <c r="B2193" i="55"/>
  <c r="C1203" i="55"/>
  <c r="B1893" i="55"/>
  <c r="B1169" i="55"/>
  <c r="B1434" i="55"/>
  <c r="B1837" i="55"/>
  <c r="B41" i="55"/>
  <c r="B1927" i="55"/>
  <c r="B1838" i="55"/>
  <c r="C1141" i="55"/>
  <c r="B599" i="55"/>
  <c r="C2401" i="55"/>
  <c r="C2468" i="55"/>
  <c r="B2649" i="55"/>
  <c r="B1891" i="55"/>
  <c r="B1075" i="55"/>
  <c r="B1441" i="55"/>
  <c r="C403" i="55"/>
  <c r="B2303" i="55"/>
  <c r="C280" i="55"/>
  <c r="B1877" i="55"/>
  <c r="B1334" i="55"/>
  <c r="C1831" i="55"/>
  <c r="B585" i="55"/>
  <c r="C1559" i="55"/>
  <c r="B1239" i="55"/>
  <c r="B1246" i="55"/>
  <c r="C1741" i="55"/>
  <c r="C744" i="55"/>
  <c r="C2027" i="55"/>
  <c r="C2618" i="55"/>
  <c r="C408" i="55"/>
  <c r="C944" i="55"/>
  <c r="B2260" i="55"/>
  <c r="C289" i="55"/>
  <c r="B160" i="55"/>
  <c r="C1197" i="55"/>
  <c r="B1858" i="55"/>
  <c r="C2337" i="55"/>
  <c r="C1138" i="55"/>
  <c r="B1116" i="55"/>
  <c r="B1172" i="55"/>
  <c r="B1462" i="55"/>
  <c r="B2025" i="55"/>
  <c r="C2247" i="55"/>
  <c r="B1482" i="55"/>
  <c r="B1335" i="55"/>
  <c r="C1325" i="55"/>
  <c r="C2456" i="55"/>
  <c r="C2272" i="55"/>
  <c r="C2347" i="55"/>
  <c r="B2339" i="55"/>
  <c r="C1932" i="55"/>
  <c r="C1215" i="55"/>
  <c r="C1167" i="55"/>
  <c r="C1459" i="55"/>
  <c r="C93" i="55"/>
  <c r="C926" i="55"/>
  <c r="B263" i="55"/>
  <c r="C468" i="55"/>
  <c r="C1891" i="55"/>
  <c r="C1022" i="55"/>
  <c r="C529" i="55"/>
  <c r="B251" i="55"/>
  <c r="B803" i="55"/>
  <c r="B340" i="55"/>
  <c r="B186" i="55"/>
  <c r="C1480" i="55"/>
  <c r="C2074" i="55"/>
  <c r="C763" i="55"/>
  <c r="C60" i="55"/>
  <c r="C244" i="55"/>
  <c r="B895" i="55"/>
  <c r="C2113" i="55"/>
  <c r="C2277" i="55"/>
  <c r="C2892" i="55"/>
  <c r="C577" i="55"/>
  <c r="C2764" i="55"/>
  <c r="B1107" i="55"/>
  <c r="C1844" i="55"/>
  <c r="B2035" i="55"/>
  <c r="B2262" i="55"/>
  <c r="C1863" i="55"/>
  <c r="B1874" i="55"/>
  <c r="C2631" i="55"/>
  <c r="C2150" i="55"/>
  <c r="C1964" i="55"/>
  <c r="B1974" i="55"/>
  <c r="C1293" i="55"/>
  <c r="B1656" i="55"/>
  <c r="B1457" i="55"/>
  <c r="C1810" i="55"/>
  <c r="B252" i="55"/>
  <c r="C1848" i="55"/>
  <c r="C2037" i="55"/>
  <c r="B1270" i="55"/>
  <c r="B257" i="55"/>
  <c r="B2055" i="55"/>
  <c r="C2579" i="55"/>
  <c r="B1032" i="55"/>
  <c r="B879" i="55"/>
  <c r="C683" i="55"/>
  <c r="B273" i="55"/>
  <c r="C2437" i="55"/>
  <c r="C723" i="55"/>
  <c r="C900" i="55"/>
  <c r="B2285" i="55"/>
  <c r="B338" i="55"/>
  <c r="C1172" i="55"/>
  <c r="C1950" i="55"/>
  <c r="B935" i="55"/>
  <c r="B1281" i="55"/>
  <c r="C1929" i="55"/>
  <c r="C1398" i="55"/>
  <c r="B2482" i="55"/>
  <c r="C1931" i="55"/>
  <c r="C307" i="55"/>
  <c r="B1885" i="55"/>
  <c r="B2061" i="55"/>
  <c r="B690" i="55"/>
  <c r="C2022" i="55"/>
  <c r="C1909" i="55"/>
  <c r="C461" i="55"/>
  <c r="C2522" i="55"/>
  <c r="C116" i="55"/>
  <c r="C1603" i="55"/>
  <c r="B1261" i="55"/>
  <c r="B842" i="55"/>
  <c r="B106" i="55"/>
  <c r="C572" i="55"/>
  <c r="C1161" i="55"/>
  <c r="C665" i="55"/>
  <c r="B2420" i="55"/>
  <c r="C2478" i="55"/>
  <c r="C1724" i="55"/>
  <c r="C1573" i="55"/>
  <c r="C2880" i="55"/>
  <c r="B240" i="55"/>
  <c r="C2886" i="55"/>
  <c r="C242" i="55"/>
  <c r="C2426" i="55"/>
  <c r="B732" i="55"/>
  <c r="C1832" i="55"/>
  <c r="C809" i="55"/>
  <c r="B292" i="55"/>
  <c r="C1504" i="55"/>
  <c r="C1451" i="55"/>
  <c r="C2045" i="55"/>
  <c r="B2902" i="55"/>
  <c r="B1276" i="55"/>
  <c r="B163" i="55"/>
  <c r="B1882" i="55"/>
  <c r="C2899" i="55"/>
  <c r="C678" i="55"/>
  <c r="C835" i="55"/>
  <c r="B2286" i="55"/>
  <c r="C1593" i="55"/>
  <c r="C2344" i="55"/>
  <c r="B728" i="55"/>
  <c r="C2406" i="55"/>
  <c r="B1250" i="55"/>
  <c r="C275" i="55"/>
  <c r="B2274" i="55"/>
  <c r="C2129" i="55"/>
  <c r="C2330" i="55"/>
  <c r="C182" i="55"/>
  <c r="B2881" i="55"/>
  <c r="B2064" i="55"/>
  <c r="B1215" i="55"/>
  <c r="B1288" i="55"/>
  <c r="C1876" i="55"/>
  <c r="B1078" i="55"/>
  <c r="B1455" i="55"/>
  <c r="B2189" i="55"/>
  <c r="B1302" i="55"/>
  <c r="C2720" i="55"/>
  <c r="C330" i="55"/>
  <c r="B2158" i="55"/>
  <c r="B1389" i="55"/>
  <c r="C1794" i="55"/>
  <c r="C718" i="55"/>
  <c r="C1143" i="55"/>
  <c r="C1282" i="55"/>
  <c r="C1227" i="55"/>
  <c r="C2007" i="55"/>
  <c r="B901" i="55"/>
  <c r="B710" i="55"/>
  <c r="C535" i="55"/>
  <c r="C2573" i="55"/>
  <c r="C1977" i="55"/>
  <c r="C215" i="55"/>
  <c r="B2356" i="55"/>
  <c r="B2391" i="55"/>
  <c r="C2523" i="55"/>
  <c r="C1999" i="55"/>
  <c r="B1912" i="55"/>
  <c r="B871" i="55"/>
  <c r="B2198" i="55"/>
  <c r="C132" i="55"/>
  <c r="B2349" i="55"/>
  <c r="B2013" i="55"/>
  <c r="C195" i="55"/>
  <c r="B866" i="55"/>
  <c r="C2427" i="55"/>
  <c r="C2296" i="55"/>
  <c r="B828" i="55"/>
  <c r="C2278" i="55"/>
  <c r="C1210" i="55"/>
  <c r="C1137" i="55"/>
  <c r="C2731" i="55"/>
  <c r="C1482" i="55"/>
  <c r="C1115" i="55"/>
  <c r="B2085" i="55"/>
  <c r="C2234" i="55"/>
  <c r="B1304" i="55"/>
  <c r="C1080" i="55"/>
  <c r="C2846" i="55"/>
  <c r="B2154" i="55"/>
  <c r="C2302" i="55"/>
  <c r="B2304" i="55"/>
  <c r="B1847" i="55"/>
  <c r="C1528" i="55"/>
  <c r="C1952" i="55"/>
  <c r="C1546" i="55"/>
  <c r="C326" i="55"/>
  <c r="B1237" i="55"/>
  <c r="C2299" i="55"/>
  <c r="B279" i="55"/>
  <c r="C1156" i="55"/>
  <c r="B158" i="55"/>
  <c r="C135" i="55"/>
  <c r="C2294" i="55"/>
  <c r="B1627" i="55"/>
  <c r="C1762" i="55"/>
  <c r="C1856" i="55"/>
  <c r="B2146" i="55"/>
  <c r="B781" i="55"/>
  <c r="B1901" i="55"/>
  <c r="B2284" i="55"/>
  <c r="B1618" i="55"/>
  <c r="C1899" i="55"/>
  <c r="C2057" i="55"/>
  <c r="B2267" i="55"/>
  <c r="C296" i="55"/>
  <c r="C747" i="55"/>
  <c r="C1580" i="55"/>
  <c r="B2298" i="55"/>
  <c r="C2490" i="55"/>
  <c r="C2473" i="55"/>
  <c r="B695" i="55"/>
  <c r="C405" i="55"/>
  <c r="B1459" i="55"/>
  <c r="B138" i="55"/>
  <c r="C277" i="55"/>
  <c r="C1941" i="55"/>
  <c r="B2389" i="55"/>
  <c r="B1889" i="55"/>
  <c r="B1176" i="55"/>
  <c r="C48" i="55"/>
  <c r="C2158" i="55"/>
  <c r="C1452" i="55"/>
  <c r="B1354" i="55"/>
  <c r="C1576" i="55"/>
  <c r="C761" i="55"/>
  <c r="B375" i="55"/>
  <c r="C2856" i="55"/>
  <c r="C2362" i="55"/>
  <c r="B1610" i="55"/>
  <c r="C2885" i="55"/>
  <c r="B839" i="55"/>
  <c r="C91" i="55"/>
  <c r="C2148" i="55"/>
  <c r="C464" i="55"/>
  <c r="B1473" i="55"/>
  <c r="C2115" i="55"/>
  <c r="B1648" i="55"/>
  <c r="B1266" i="55"/>
  <c r="C134" i="55"/>
  <c r="B1179" i="55"/>
  <c r="C2380" i="55"/>
  <c r="B1918" i="55"/>
  <c r="B1187" i="55"/>
  <c r="C901" i="55"/>
  <c r="B691" i="55"/>
  <c r="C1085" i="55"/>
  <c r="B761" i="55"/>
  <c r="B1493" i="55"/>
  <c r="C594" i="55"/>
  <c r="B1884" i="55"/>
  <c r="B1857" i="55"/>
  <c r="C732" i="55"/>
  <c r="C874" i="55"/>
  <c r="B1344" i="55"/>
  <c r="B2424" i="55"/>
  <c r="C1453" i="55"/>
  <c r="C334" i="55"/>
  <c r="B256" i="55"/>
  <c r="C872" i="55"/>
  <c r="C1240" i="55"/>
  <c r="C2341" i="55"/>
  <c r="B1278" i="55"/>
  <c r="B2277" i="55"/>
  <c r="B2299" i="55"/>
  <c r="C349" i="55"/>
  <c r="B2891" i="55"/>
  <c r="C2054" i="55"/>
  <c r="C2755" i="55"/>
  <c r="C191" i="55"/>
  <c r="C2757" i="55"/>
  <c r="B165" i="55"/>
  <c r="C1657" i="55"/>
  <c r="B2401" i="55"/>
  <c r="B1414" i="55"/>
  <c r="C791" i="55"/>
  <c r="C1906" i="55"/>
  <c r="B777" i="55"/>
  <c r="B2444" i="55"/>
  <c r="B591" i="55"/>
  <c r="B2520" i="55"/>
  <c r="B101" i="55"/>
  <c r="C923" i="55"/>
  <c r="B1849" i="55"/>
  <c r="C2064" i="55"/>
  <c r="B1145" i="55"/>
  <c r="C478" i="55"/>
  <c r="B1025" i="55"/>
  <c r="C737" i="55"/>
  <c r="B914" i="55"/>
  <c r="C1201" i="55"/>
  <c r="C748" i="55"/>
  <c r="B584" i="55"/>
  <c r="C396" i="55"/>
  <c r="C2708" i="55"/>
  <c r="C140" i="55"/>
  <c r="C664" i="55"/>
  <c r="C1243" i="55"/>
  <c r="B2879" i="55"/>
  <c r="B374" i="55"/>
  <c r="C1924" i="55"/>
  <c r="B911" i="55"/>
  <c r="C1854" i="55"/>
  <c r="C2438" i="55"/>
  <c r="C525" i="55"/>
  <c r="C1842" i="55"/>
  <c r="C2444" i="55"/>
  <c r="B592" i="55"/>
  <c r="C2157" i="55"/>
  <c r="B2896" i="55"/>
  <c r="B919" i="55"/>
  <c r="B922" i="55"/>
  <c r="B2491" i="55"/>
  <c r="B2627" i="55"/>
  <c r="B1388" i="55"/>
  <c r="B1881" i="55"/>
  <c r="B2489" i="55"/>
  <c r="C754" i="55"/>
  <c r="C2868" i="55"/>
  <c r="C1835" i="55"/>
  <c r="C1460" i="55"/>
  <c r="B1653" i="55"/>
  <c r="C2286" i="55"/>
  <c r="C1556" i="55"/>
  <c r="C681" i="55"/>
  <c r="B2226" i="55"/>
  <c r="C2594" i="55"/>
  <c r="C28" i="55"/>
  <c r="B2405" i="55"/>
  <c r="B2138" i="55"/>
  <c r="C2525" i="55"/>
  <c r="C542" i="55"/>
  <c r="C1883" i="55"/>
  <c r="C1192" i="55"/>
  <c r="C898" i="55"/>
  <c r="C830" i="55"/>
  <c r="B1272" i="55"/>
  <c r="C831" i="55"/>
  <c r="B1975" i="55"/>
  <c r="C1612" i="55"/>
  <c r="C545" i="55"/>
  <c r="B168" i="55"/>
  <c r="B2644" i="55"/>
  <c r="B806" i="55"/>
  <c r="B1254" i="55"/>
  <c r="C2894" i="55"/>
  <c r="B2311" i="55"/>
  <c r="C1626" i="55"/>
  <c r="C2420" i="55"/>
  <c r="C2386" i="55"/>
  <c r="C1975" i="55"/>
  <c r="C2038" i="55"/>
  <c r="B287" i="55"/>
  <c r="B1268" i="55"/>
  <c r="B1592" i="55"/>
  <c r="B2062" i="55"/>
  <c r="B921" i="55"/>
  <c r="B2447" i="55"/>
  <c r="C689" i="55"/>
  <c r="B1872" i="55"/>
  <c r="B209" i="55"/>
  <c r="B694" i="55"/>
  <c r="B1181" i="55"/>
  <c r="C1605" i="55"/>
  <c r="B755" i="55"/>
  <c r="B1206" i="55"/>
  <c r="B1494" i="55"/>
  <c r="C1391" i="55"/>
  <c r="B2293" i="55"/>
  <c r="C2432" i="55"/>
  <c r="C1655" i="55"/>
  <c r="B2292" i="55"/>
  <c r="C1646" i="55"/>
  <c r="B795" i="55"/>
  <c r="B1282" i="55"/>
  <c r="C415" i="55"/>
  <c r="B937" i="55"/>
  <c r="C2619" i="55"/>
  <c r="B2310" i="55"/>
  <c r="C1974" i="55"/>
  <c r="B711" i="55"/>
  <c r="B2197" i="55"/>
  <c r="B822" i="55"/>
  <c r="B1438" i="55"/>
  <c r="C391" i="55"/>
  <c r="B282" i="55"/>
  <c r="B1828" i="55"/>
  <c r="C2787" i="55"/>
  <c r="C1433" i="55"/>
  <c r="B2082" i="55"/>
  <c r="B2490" i="55"/>
  <c r="C531" i="55"/>
  <c r="C1435" i="55"/>
  <c r="C595" i="55"/>
  <c r="C1822" i="55"/>
  <c r="B1037" i="55"/>
  <c r="B2900" i="55"/>
  <c r="B1879" i="55"/>
  <c r="B2342" i="55"/>
  <c r="B269" i="55"/>
  <c r="C1233" i="55"/>
  <c r="C2135" i="55"/>
  <c r="C591" i="55"/>
  <c r="C2350" i="55"/>
  <c r="C2366" i="55"/>
  <c r="C2737" i="55"/>
  <c r="B1193" i="55"/>
  <c r="C1164" i="55"/>
  <c r="C1746" i="55"/>
  <c r="C370" i="55"/>
  <c r="B1967" i="55"/>
  <c r="C2553" i="55"/>
  <c r="B714" i="55"/>
  <c r="C240" i="55"/>
  <c r="C1296" i="55"/>
  <c r="B25" i="55"/>
  <c r="B1324" i="55"/>
  <c r="C2379" i="55"/>
  <c r="B708" i="55"/>
  <c r="C1259" i="55"/>
  <c r="C2496" i="55"/>
  <c r="C1980" i="55"/>
  <c r="C676" i="55"/>
  <c r="C2657" i="55"/>
  <c r="C2783" i="55"/>
  <c r="B2421" i="55"/>
  <c r="C1869" i="55"/>
  <c r="C2369" i="55"/>
  <c r="C2017" i="55"/>
  <c r="C2391" i="55"/>
  <c r="C1229" i="55"/>
  <c r="B352" i="55"/>
  <c r="C41" i="55"/>
  <c r="C475" i="55"/>
  <c r="B2057" i="55"/>
  <c r="B2390" i="55"/>
  <c r="B1135" i="55"/>
  <c r="C1613" i="55"/>
  <c r="C2817" i="55"/>
  <c r="B2209" i="55"/>
  <c r="C1557" i="55"/>
  <c r="B1758" i="55"/>
  <c r="B1562" i="55"/>
  <c r="B2278" i="55"/>
  <c r="B2387" i="55"/>
  <c r="C1968" i="55"/>
  <c r="B1969" i="55"/>
  <c r="B2888" i="55"/>
  <c r="C682" i="55"/>
  <c r="B314" i="55"/>
  <c r="B908" i="55"/>
  <c r="B1244" i="55"/>
  <c r="C1176" i="55"/>
  <c r="C2466" i="55"/>
  <c r="C1750" i="55"/>
  <c r="C704" i="55"/>
  <c r="C666" i="55"/>
  <c r="B2530" i="55"/>
  <c r="C860" i="55"/>
  <c r="B2398" i="55"/>
  <c r="B1864" i="55"/>
  <c r="C2577" i="55"/>
  <c r="B2465" i="55"/>
  <c r="B722" i="55"/>
  <c r="B930" i="55"/>
  <c r="C760" i="55"/>
  <c r="B1136" i="55"/>
  <c r="B1392" i="55"/>
  <c r="B1429" i="55"/>
  <c r="C373" i="55"/>
  <c r="C1159" i="55"/>
  <c r="B1140" i="55"/>
  <c r="B1876" i="55"/>
  <c r="B1099" i="55"/>
  <c r="C1341" i="55"/>
  <c r="B1418" i="55"/>
  <c r="B1209" i="55"/>
  <c r="C2895" i="55"/>
  <c r="C814" i="55"/>
  <c r="C1915" i="55"/>
  <c r="C2654" i="55"/>
  <c r="B1042" i="55"/>
  <c r="B214" i="55"/>
  <c r="C1501" i="55"/>
  <c r="C903" i="55"/>
  <c r="B601" i="55"/>
  <c r="B2268" i="55"/>
  <c r="C2518" i="55"/>
  <c r="B890" i="55"/>
  <c r="C2609" i="55"/>
  <c r="C1307" i="55"/>
  <c r="B1151" i="55"/>
  <c r="C2465" i="55"/>
  <c r="C2727" i="55"/>
  <c r="C2189" i="55"/>
  <c r="C470" i="55"/>
  <c r="B723" i="55"/>
  <c r="C1401" i="55"/>
  <c r="C899" i="55"/>
  <c r="C892" i="55"/>
  <c r="B1308" i="55"/>
  <c r="B2220" i="55"/>
  <c r="C425" i="55"/>
  <c r="C661" i="55"/>
  <c r="B195" i="55"/>
  <c r="C1583" i="55"/>
  <c r="B2351" i="55"/>
  <c r="C2797" i="55"/>
  <c r="B100" i="55"/>
  <c r="B2059" i="55"/>
  <c r="C1759" i="55"/>
  <c r="C1126" i="55"/>
  <c r="C881" i="55"/>
  <c r="C2252" i="55"/>
  <c r="C1396" i="55"/>
  <c r="C94" i="55"/>
  <c r="C1545" i="55"/>
  <c r="C2890" i="55"/>
  <c r="B1866" i="55"/>
  <c r="B1548" i="55"/>
  <c r="B262" i="55"/>
  <c r="C2792" i="55"/>
  <c r="C2450" i="55"/>
  <c r="B1053" i="55"/>
  <c r="B915" i="55"/>
  <c r="C1925" i="55"/>
  <c r="B774" i="55"/>
  <c r="C1558" i="55"/>
  <c r="C2452" i="55"/>
  <c r="B2463" i="55"/>
  <c r="C365" i="55"/>
  <c r="C925" i="55"/>
  <c r="C2502" i="55"/>
  <c r="B587" i="55"/>
  <c r="C389" i="55"/>
  <c r="C2043" i="55"/>
  <c r="C810" i="55"/>
  <c r="C2842" i="55"/>
  <c r="C102" i="55"/>
  <c r="B1887" i="55"/>
  <c r="B1076" i="55"/>
  <c r="B1835" i="55"/>
  <c r="B848" i="55"/>
  <c r="B1452" i="55"/>
  <c r="C1213" i="55"/>
  <c r="C813" i="55"/>
  <c r="C658" i="55"/>
  <c r="C596" i="55"/>
  <c r="C855" i="55"/>
  <c r="B912" i="55"/>
  <c r="B1475" i="55"/>
  <c r="C1186" i="55"/>
  <c r="C1908" i="55"/>
  <c r="B1870" i="55"/>
  <c r="B207" i="55"/>
  <c r="C1617" i="55"/>
  <c r="C2162" i="55"/>
  <c r="C743" i="55"/>
  <c r="C2387" i="55"/>
  <c r="B1168" i="55"/>
  <c r="B2362" i="55"/>
  <c r="C1304" i="55"/>
  <c r="B2043" i="55"/>
  <c r="C578" i="55"/>
  <c r="B152" i="55"/>
  <c r="C196" i="55"/>
  <c r="C2392" i="55"/>
  <c r="C1465" i="55"/>
  <c r="C1098" i="55"/>
  <c r="C1408" i="55"/>
  <c r="C1412" i="55"/>
  <c r="C2081" i="55"/>
  <c r="B936" i="55"/>
  <c r="C1313" i="55"/>
  <c r="C2833" i="55"/>
  <c r="C1629" i="55"/>
  <c r="C479" i="55"/>
  <c r="C2659" i="55"/>
  <c r="C1041" i="55"/>
  <c r="C1845" i="55"/>
  <c r="B1895" i="55"/>
  <c r="C1445" i="55"/>
  <c r="C2901" i="55"/>
  <c r="B2022" i="55"/>
  <c r="B1880" i="55"/>
  <c r="B2148" i="55"/>
  <c r="B1660" i="55"/>
  <c r="B1319" i="55"/>
  <c r="B1093" i="55"/>
  <c r="B1396" i="55"/>
  <c r="C1847" i="55"/>
  <c r="C601" i="55"/>
  <c r="C2702" i="55"/>
  <c r="B783" i="55"/>
  <c r="B2149" i="55"/>
  <c r="C1530" i="55"/>
  <c r="B713" i="55"/>
  <c r="B779" i="55"/>
  <c r="B1658" i="55"/>
  <c r="C1020" i="55"/>
  <c r="C1200" i="55"/>
  <c r="B2280" i="55"/>
  <c r="C548" i="55"/>
  <c r="C2407" i="55"/>
  <c r="C2040" i="55"/>
  <c r="C642" i="55"/>
  <c r="B2031" i="55"/>
  <c r="B95" i="55"/>
  <c r="B2037" i="55"/>
  <c r="C2244" i="55"/>
  <c r="C762" i="55"/>
  <c r="C1803" i="55"/>
  <c r="C1303" i="55"/>
  <c r="B2302" i="55"/>
  <c r="B1052" i="55"/>
  <c r="C1388" i="55"/>
  <c r="B280" i="55"/>
  <c r="C2655" i="55"/>
  <c r="B167" i="55"/>
  <c r="C237" i="55"/>
  <c r="B216" i="55"/>
  <c r="C1505" i="55"/>
  <c r="C98" i="55"/>
  <c r="C2419" i="55"/>
  <c r="C1331" i="55"/>
  <c r="C1540" i="55"/>
  <c r="B2878" i="55"/>
  <c r="C726" i="55"/>
  <c r="C2008" i="55"/>
  <c r="C1461" i="55"/>
  <c r="B898" i="55"/>
  <c r="B1926" i="55"/>
  <c r="C1797" i="55"/>
  <c r="B902" i="55"/>
  <c r="C1510" i="55"/>
  <c r="B134" i="55"/>
  <c r="B586" i="55"/>
  <c r="C1547" i="55"/>
  <c r="C354" i="55"/>
  <c r="C1572" i="55"/>
  <c r="C1468" i="55"/>
  <c r="B1298" i="55"/>
  <c r="B588" i="55"/>
  <c r="C1338" i="55"/>
  <c r="C882" i="55"/>
  <c r="B517" i="55"/>
  <c r="C2530" i="55"/>
  <c r="C2067" i="55"/>
  <c r="C1911" i="55"/>
  <c r="B1833" i="55"/>
  <c r="C197" i="55"/>
  <c r="C2798" i="55"/>
  <c r="C1592" i="55"/>
  <c r="C1851" i="55"/>
  <c r="C2713" i="55"/>
  <c r="C2625" i="55"/>
  <c r="B342" i="55"/>
  <c r="C1984" i="55"/>
  <c r="C821" i="55"/>
  <c r="B1907" i="55"/>
  <c r="C2549" i="55"/>
  <c r="C2062" i="55"/>
  <c r="C1037" i="55"/>
  <c r="C921" i="55"/>
  <c r="C429" i="55"/>
  <c r="C1604" i="55"/>
  <c r="B693" i="55"/>
  <c r="B2358" i="55"/>
  <c r="C1868" i="55"/>
  <c r="C785" i="55"/>
  <c r="C1860" i="55"/>
  <c r="C123" i="55"/>
  <c r="C2904" i="55"/>
  <c r="B1637" i="55"/>
  <c r="C2623" i="55"/>
  <c r="C2424" i="55"/>
  <c r="B2410" i="55"/>
  <c r="C88" i="55"/>
  <c r="B261" i="55"/>
  <c r="C2517" i="55"/>
  <c r="C81" i="55"/>
  <c r="C218" i="55"/>
  <c r="B1111" i="55"/>
  <c r="C1476" i="55"/>
  <c r="B733" i="55"/>
  <c r="C2332" i="55"/>
  <c r="C1522" i="55"/>
  <c r="C1616" i="55"/>
  <c r="B1428" i="55"/>
  <c r="B2883" i="55"/>
  <c r="C2070" i="55"/>
  <c r="B272" i="55"/>
  <c r="B1624" i="55"/>
  <c r="B1265" i="55"/>
  <c r="B2772" i="55"/>
  <c r="C1947" i="55"/>
  <c r="C460" i="55"/>
  <c r="C2147" i="55"/>
  <c r="C1928" i="55"/>
  <c r="B1074" i="55"/>
  <c r="C1267" i="55"/>
  <c r="C2322" i="55"/>
  <c r="B2731" i="55"/>
  <c r="C1659" i="55"/>
  <c r="C31" i="55"/>
  <c r="C380" i="55"/>
  <c r="C2802" i="55"/>
  <c r="C1471" i="55"/>
  <c r="B199" i="55"/>
  <c r="B1484" i="55"/>
  <c r="B2136" i="55"/>
  <c r="C2652" i="55"/>
  <c r="C2072" i="55"/>
  <c r="B1643" i="55"/>
  <c r="C2861" i="55"/>
  <c r="C852" i="55"/>
  <c r="C329" i="55"/>
  <c r="C201" i="55"/>
  <c r="C258" i="55"/>
  <c r="B1026" i="55"/>
  <c r="B1896" i="55"/>
  <c r="B2352" i="55"/>
  <c r="C2633" i="55"/>
  <c r="C1610" i="55"/>
  <c r="C2400" i="55"/>
  <c r="B1027" i="55"/>
  <c r="C1786" i="55"/>
  <c r="C2467" i="55"/>
  <c r="C691" i="55"/>
  <c r="C2813" i="55"/>
  <c r="C2359" i="55"/>
  <c r="C2746" i="55"/>
  <c r="C2808" i="55"/>
  <c r="C2566" i="55"/>
  <c r="B2532" i="55"/>
  <c r="C2405" i="55"/>
  <c r="C1720" i="55"/>
  <c r="C930" i="55"/>
  <c r="C1658" i="55"/>
  <c r="C2374" i="55"/>
  <c r="C2730" i="55"/>
  <c r="C1826" i="55"/>
  <c r="C1278" i="55"/>
  <c r="C693" i="55"/>
  <c r="C2826" i="55"/>
  <c r="C2301" i="55"/>
  <c r="C792" i="55"/>
  <c r="C1223" i="55"/>
  <c r="C526" i="55"/>
  <c r="B1243" i="55"/>
  <c r="B1829" i="55"/>
  <c r="B1826" i="55"/>
  <c r="B1853" i="55"/>
  <c r="B1916" i="55"/>
  <c r="B1991" i="55"/>
  <c r="B2074" i="55"/>
  <c r="B1468" i="55"/>
  <c r="B798" i="55"/>
  <c r="B833" i="55"/>
  <c r="C476" i="55"/>
  <c r="B2494" i="55"/>
  <c r="C2061" i="55"/>
  <c r="C2445" i="55"/>
  <c r="C264" i="55"/>
  <c r="C1078" i="55"/>
  <c r="C2613" i="55"/>
  <c r="B1280" i="55"/>
  <c r="C818" i="55"/>
  <c r="B2083" i="55"/>
  <c r="C888" i="55"/>
  <c r="C1351" i="55"/>
  <c r="C209" i="55"/>
  <c r="C50" i="55"/>
  <c r="C371" i="55"/>
  <c r="C2782" i="55"/>
  <c r="B387" i="55"/>
  <c r="C1415" i="55"/>
  <c r="C2728" i="55"/>
  <c r="C2399" i="55"/>
  <c r="B1479" i="55"/>
  <c r="B2066" i="55"/>
  <c r="B1192" i="55"/>
  <c r="B701" i="55"/>
  <c r="C1575" i="55"/>
  <c r="C2543" i="55"/>
  <c r="C2865" i="55"/>
  <c r="C667" i="55"/>
  <c r="C1238" i="55"/>
  <c r="C71" i="55"/>
  <c r="B253" i="55"/>
  <c r="C381" i="55"/>
  <c r="C2838" i="55"/>
  <c r="C1023" i="55"/>
  <c r="B851" i="55"/>
  <c r="B1460" i="55"/>
  <c r="C1726" i="55"/>
  <c r="C198" i="55"/>
  <c r="C2170" i="55"/>
  <c r="B1631" i="55"/>
  <c r="C1778" i="55"/>
  <c r="C2831" i="55"/>
  <c r="C2742" i="55"/>
  <c r="B1445" i="55"/>
  <c r="C2500" i="55"/>
  <c r="B1615" i="55"/>
  <c r="B2876" i="55"/>
  <c r="C1036" i="55"/>
  <c r="C2036" i="55"/>
  <c r="C1875" i="55"/>
  <c r="B2615" i="55"/>
  <c r="B2188" i="55"/>
  <c r="C1055" i="55"/>
  <c r="B1309" i="55"/>
  <c r="C332" i="55"/>
  <c r="C2470" i="55"/>
  <c r="C1276" i="55"/>
  <c r="B1279" i="55"/>
  <c r="C1431" i="55"/>
  <c r="C1062" i="55"/>
  <c r="C820" i="55"/>
  <c r="C1134" i="55"/>
  <c r="B1274" i="55"/>
  <c r="B825" i="55"/>
  <c r="C1508" i="55"/>
  <c r="C2512" i="55"/>
  <c r="C2441" i="55"/>
  <c r="B1461" i="55"/>
  <c r="C2249" i="55"/>
  <c r="C1731" i="55"/>
  <c r="B1133" i="55"/>
  <c r="C2550" i="55"/>
  <c r="B1614" i="55"/>
  <c r="B2069" i="55"/>
  <c r="B1332" i="55"/>
  <c r="B161" i="55"/>
  <c r="C2266" i="55"/>
  <c r="B768" i="55"/>
  <c r="C2282" i="55"/>
  <c r="B48" i="55"/>
  <c r="C2050" i="55"/>
  <c r="B2033" i="55"/>
  <c r="B594" i="55"/>
  <c r="C1765" i="55"/>
  <c r="C803"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112"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2" authorId="0" shapeId="0" xr:uid="{3DE4EDEA-4AD6-4932-8066-10E51F1361DC}">
      <text>
        <r>
          <rPr>
            <sz val="9"/>
            <color indexed="81"/>
            <rFont val="Tahoma"/>
            <family val="2"/>
          </rPr>
          <t xml:space="preserve">NB Movement feeds into RS797.   </t>
        </r>
      </text>
    </comment>
    <comment ref="C125" authorId="0" shapeId="0" xr:uid="{CC8E84DC-70C4-4524-9A84-818D022D7978}">
      <text>
        <r>
          <rPr>
            <sz val="9"/>
            <color indexed="81"/>
            <rFont val="Tahoma"/>
            <family val="2"/>
          </rPr>
          <t xml:space="preserve">Be sure to check carefully whether or not your source includes all of the exceptional elements or not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52" authorId="0" shapeId="0" xr:uid="{35F42D1C-5370-4D76-AABA-7E93BD03BD62}">
      <text>
        <r>
          <rPr>
            <sz val="9"/>
            <color indexed="81"/>
            <rFont val="Tahoma"/>
            <family val="2"/>
          </rPr>
          <t>Allocations for Police Uplift Programme grant are due to updated in Summer 2026.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5C06B812-FB5B-49BF-9464-73A56580F731}">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04FA2A45-789A-4D42-8942-D95BA80B8F66}">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4BA29309-610E-4972-80C3-15E24FC487DE}">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D65082C2-57EC-468B-85FE-CA622F9637F7}">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F61590E3-4384-44D5-B00D-083C723F7DC5}">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7F11BD5E-838A-4F2E-9846-DF7F5F59E894}">
      <text>
        <r>
          <rPr>
            <sz val="10"/>
            <rFont val="Arial"/>
            <family val="2"/>
          </rPr>
          <t>NB: This value should already by included in figures provided for columns 1 and 2. 
This column only breaks down the share of column 3 that is recharged from RO6 line 489.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<sst xmlns="http://schemas.openxmlformats.org/spreadsheetml/2006/main" count="29503" uniqueCount="7432">
  <si>
    <t>2023-24</t>
  </si>
  <si>
    <t>Version 1.0</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</si>
  <si>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</si>
  <si>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</si>
  <si>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</si>
  <si>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</si>
  <si>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MHCLG.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</si>
  <si>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</si>
  <si>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</si>
  <si>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</si>
  <si>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</si>
  <si>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</si>
  <si>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review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</si>
  <si>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</si>
  <si>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</si>
  <si>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t>
  </si>
  <si>
    <t xml:space="preserve">Once completed please e-mail this Excel workbook to: </t>
  </si>
  <si>
    <t>LGF1.REVENUE@communities.gov.uk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</si>
  <si>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</si>
  <si>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</si>
  <si>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</si>
  <si>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</si>
  <si>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</si>
  <si>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</si>
  <si>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</si>
  <si>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</si>
  <si>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</si>
  <si>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</si>
  <si>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</si>
  <si>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</si>
  <si>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</si>
  <si>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</si>
  <si>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</si>
  <si>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</si>
  <si>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E-mail</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</si>
  <si>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</si>
  <si>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</si>
  <si>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</si>
  <si>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</si>
  <si>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</si>
  <si>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</si>
  <si>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</si>
  <si>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</si>
  <si>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</si>
  <si>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</si>
  <si>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</si>
  <si>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</si>
  <si>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</si>
  <si>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</si>
  <si>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</si>
  <si>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</si>
  <si>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</si>
  <si>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</si>
  <si>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</si>
  <si>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</si>
  <si>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</si>
  <si>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</si>
  <si>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</si>
  <si>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</si>
  <si>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</si>
  <si>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</si>
  <si>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</si>
  <si>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</si>
  <si>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Warning message to appear</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</si>
  <si>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</si>
  <si>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</si>
  <si>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</si>
  <si>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</si>
  <si>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</si>
  <si>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</si>
  <si>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</si>
  <si>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</si>
  <si>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</si>
  <si>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</si>
  <si>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</si>
  <si>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</si>
  <si>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</si>
  <si>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</si>
  <si>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</si>
  <si>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</si>
  <si>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</si>
  <si>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</si>
  <si>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</si>
  <si>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</si>
  <si>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</si>
  <si>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</si>
  <si>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</si>
  <si>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</si>
  <si>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</si>
  <si>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</si>
  <si>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</si>
  <si>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</si>
  <si>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</si>
  <si>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</si>
  <si>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</si>
  <si>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</si>
  <si>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</si>
  <si>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</si>
  <si>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</si>
  <si>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</si>
  <si>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</si>
  <si>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</si>
  <si>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</si>
  <si>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</si>
  <si>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</si>
  <si>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</si>
  <si>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</si>
  <si>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</si>
  <si>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</si>
  <si>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</si>
  <si>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</si>
  <si>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</si>
  <si>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</si>
  <si>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</si>
  <si>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</si>
  <si>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</si>
  <si>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</si>
  <si>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</si>
  <si>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</si>
  <si>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</si>
  <si>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</si>
  <si>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</si>
  <si>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</si>
  <si>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</si>
  <si>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</si>
  <si>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</si>
  <si>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</si>
  <si>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</si>
  <si>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</si>
  <si>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</si>
  <si>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</si>
  <si>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</si>
  <si>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</si>
  <si>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</si>
  <si>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</si>
  <si>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</si>
  <si>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</si>
  <si>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</si>
  <si>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</si>
  <si>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</si>
  <si>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</si>
  <si>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</si>
  <si>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</si>
  <si>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</si>
  <si>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</si>
  <si>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</si>
  <si>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</si>
  <si>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</si>
  <si>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</si>
  <si>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</si>
  <si>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</si>
  <si>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</si>
  <si>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</si>
  <si>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</si>
  <si>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</si>
  <si>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</si>
  <si>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</si>
  <si>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</si>
  <si>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</si>
  <si>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</si>
  <si>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</si>
  <si>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</si>
  <si>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</si>
  <si>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</si>
  <si>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</si>
  <si>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</si>
  <si>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</si>
  <si>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</si>
  <si>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</si>
  <si>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</si>
  <si>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</si>
  <si>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</si>
  <si>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</si>
  <si>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</si>
  <si>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</si>
  <si>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</si>
  <si>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</si>
  <si>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</si>
  <si>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</si>
  <si>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</si>
  <si>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</si>
  <si>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</si>
  <si>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</si>
  <si>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</si>
  <si>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</si>
  <si>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</si>
  <si>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</si>
  <si>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</si>
  <si>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</si>
  <si>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</si>
  <si>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</si>
  <si>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</si>
  <si>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</si>
  <si>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</si>
  <si>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</si>
  <si>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</si>
  <si>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</si>
  <si>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</si>
  <si>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</si>
  <si>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</si>
  <si>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</si>
  <si>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</si>
  <si>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</si>
  <si>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</si>
  <si>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</si>
  <si>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</si>
  <si>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</si>
  <si>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</si>
  <si>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</si>
  <si>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</si>
  <si>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</si>
  <si>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</si>
  <si>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</si>
  <si>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</si>
  <si>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</si>
  <si>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</si>
  <si>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</si>
  <si>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</si>
  <si>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</si>
  <si>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</si>
  <si>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</si>
  <si>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</si>
  <si>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</si>
  <si>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</si>
  <si>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</si>
  <si>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</si>
  <si>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</si>
  <si>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</si>
  <si>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</si>
  <si>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</si>
  <si>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</si>
  <si>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</si>
  <si>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</si>
  <si>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</si>
  <si>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</si>
  <si>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</si>
  <si>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</si>
  <si>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t xml:space="preserve">Appropriations to(+) / from(-) other earmarked financial reserves </t>
  </si>
  <si>
    <t>appresunall</t>
  </si>
  <si>
    <t>Appropriations to(+) / from(-) unallocated financial reserves</t>
  </si>
  <si>
    <t>grantrsg</t>
  </si>
  <si>
    <t>Revenue Support Grant (-)</t>
  </si>
  <si>
    <t>grantpol</t>
  </si>
  <si>
    <t>Police grant (-)</t>
  </si>
  <si>
    <t>retainnndr</t>
  </si>
  <si>
    <t>Retained income from Rate Retention Scheme (-)</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</si>
  <si>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</si>
  <si>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</si>
  <si>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</si>
  <si>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</si>
  <si>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</si>
  <si>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</si>
  <si>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</si>
  <si>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</si>
  <si>
    <t xml:space="preserve"> - must be near zero</t>
  </si>
  <si>
    <t>RS_res_Header</t>
  </si>
  <si>
    <t>start-cy</t>
  </si>
  <si>
    <t>end-cy</t>
  </si>
  <si>
    <t>RS_res_rows</t>
  </si>
  <si>
    <t>I</t>
  </si>
  <si>
    <t>RR</t>
  </si>
  <si>
    <t xml:space="preserve">If this figure has changed please overwrite. See the specific guidance for further information about amending pre-populated cells. </t>
  </si>
  <si>
    <t xml:space="preserve">Note: Reserves levels (non-zero) should be positive on lines 911 and 913-916. </t>
  </si>
  <si>
    <t xml:space="preserve"> </t>
  </si>
  <si>
    <t>ressch</t>
  </si>
  <si>
    <t>Schools reserves level</t>
  </si>
  <si>
    <t>These cells (lines 911-914) for 1/4/2025 have been -&gt;</t>
  </si>
  <si>
    <t>resdsgadj</t>
  </si>
  <si>
    <t>Dedicated Schools Grant Adjustment Account level</t>
  </si>
  <si>
    <t xml:space="preserve"> pre-populated from the second release of RO 2024-25 (December 2025)  -&gt;</t>
  </si>
  <si>
    <t>resdsg</t>
  </si>
  <si>
    <t>Dedicated Schools Grant reserves level</t>
  </si>
  <si>
    <t>with values that your authority provided by then for 31/3/2025 -&gt;</t>
  </si>
  <si>
    <t>resph</t>
  </si>
  <si>
    <t>Public Health financial reserves level</t>
  </si>
  <si>
    <t>You must check and update if necessary by typing over formula -&gt;</t>
  </si>
  <si>
    <t>resoth</t>
  </si>
  <si>
    <t xml:space="preserve">Other earmarked financial reserves level </t>
  </si>
  <si>
    <t>Sub-components of 915 'Other earmarked reserves'</t>
  </si>
  <si>
    <t>resothcont</t>
  </si>
  <si>
    <t>Other earmarked reserves: Contractual commitments</t>
  </si>
  <si>
    <t>These cells (lines 1023 - 1027) for 1/4/2025 have been -&gt;</t>
  </si>
  <si>
    <t>resothfut</t>
  </si>
  <si>
    <t>Other earmarked reserves: Planned future revenue and capital spending</t>
  </si>
  <si>
    <t xml:space="preserve"> pre-populated from the second release of RO 2024-25 (December 2024)  -&gt;</t>
  </si>
  <si>
    <t>resothspec</t>
  </si>
  <si>
    <t>Other earmarked reserves: Specific risks</t>
  </si>
  <si>
    <t>resothbdg</t>
  </si>
  <si>
    <t>Other earmarked reserves: Budget stabilisation</t>
  </si>
  <si>
    <t>resothoth</t>
  </si>
  <si>
    <t>Other earmarked reserves: Exceptional elements</t>
  </si>
  <si>
    <t>See guidance for further infiomation about amending pre-populated cells -&gt;</t>
  </si>
  <si>
    <t>RS_ors_Header</t>
  </si>
  <si>
    <t>strt-cy</t>
  </si>
  <si>
    <t>RS_ors_rows</t>
  </si>
  <si>
    <t>1027 description</t>
  </si>
  <si>
    <t>type description of amounts recorded in line 1027</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</si>
  <si>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</si>
  <si>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</si>
  <si>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</si>
  <si>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</si>
  <si>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</si>
  <si>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</si>
  <si>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</si>
  <si>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</si>
  <si>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</si>
  <si>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</si>
  <si>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</si>
  <si>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</si>
  <si>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</si>
  <si>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</si>
  <si>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</si>
  <si>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</si>
  <si>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</si>
  <si>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</si>
  <si>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</si>
  <si>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</si>
  <si>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</si>
  <si>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</si>
  <si>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</si>
  <si>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</si>
  <si>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</si>
  <si>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</si>
  <si>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</si>
  <si>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</si>
  <si>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</si>
  <si>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</si>
  <si>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</si>
  <si>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</si>
  <si>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</si>
  <si>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</si>
  <si>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</si>
  <si>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</si>
  <si>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</si>
  <si>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</si>
  <si>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</si>
  <si>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(Please click on the cell to select YES/NO)</t>
  </si>
  <si>
    <t>Yes</t>
  </si>
  <si>
    <t>No</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</si>
  <si>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</si>
  <si>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</si>
  <si>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</si>
  <si>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</si>
  <si>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</si>
  <si>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</si>
  <si>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</si>
  <si>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</si>
  <si>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</si>
  <si>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</si>
  <si>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</si>
  <si>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</si>
  <si>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</si>
  <si>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</si>
  <si>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</si>
  <si>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</si>
  <si>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</si>
  <si>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</si>
  <si>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lines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</si>
  <si>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</si>
  <si>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</si>
  <si>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</si>
  <si>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</si>
  <si>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</si>
  <si>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</si>
  <si>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</si>
  <si>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</si>
  <si>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</si>
  <si>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CLASS</t>
  </si>
  <si>
    <t>Planning and Development Services</t>
  </si>
  <si>
    <t>Housing benefits: rent rebates to HRA tenants - mandatory payments</t>
  </si>
  <si>
    <t>LCTS subsidy</t>
  </si>
  <si>
    <t>Local tax collection: Non-domestic rate relief - discretionary payments</t>
  </si>
  <si>
    <t>CC</t>
  </si>
  <si>
    <t>CFA</t>
  </si>
  <si>
    <t>CITY</t>
  </si>
  <si>
    <t>POL</t>
  </si>
  <si>
    <t>FIRE</t>
  </si>
  <si>
    <t>GLA</t>
  </si>
  <si>
    <t>ILB</t>
  </si>
  <si>
    <t>MD</t>
  </si>
  <si>
    <t>OLB</t>
  </si>
  <si>
    <t>PARK</t>
  </si>
  <si>
    <t>COMB</t>
  </si>
  <si>
    <t>SCILLY</t>
  </si>
  <si>
    <t>SD</t>
  </si>
  <si>
    <t>UA</t>
  </si>
  <si>
    <t>WASTE</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</si>
  <si>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</si>
  <si>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</si>
  <si>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</si>
  <si>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</si>
  <si>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</si>
  <si>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</si>
  <si>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</si>
  <si>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</si>
  <si>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</si>
  <si>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</si>
  <si>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Memorandum section on debt costs</t>
  </si>
  <si>
    <t>intcost</t>
  </si>
  <si>
    <t>fincost</t>
  </si>
  <si>
    <t>revcost</t>
  </si>
  <si>
    <t>Interest costs</t>
  </si>
  <si>
    <t>Finance cost of credit arrangements</t>
  </si>
  <si>
    <t>Revenue cost of the repayment of the principal of debt</t>
  </si>
  <si>
    <t>debtcost-GF</t>
  </si>
  <si>
    <t>General fund</t>
  </si>
  <si>
    <t>debtcost-HRA</t>
  </si>
  <si>
    <t>Housing revenue account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</si>
  <si>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</si>
  <si>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</si>
  <si>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</si>
  <si>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</si>
  <si>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</si>
  <si>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</si>
  <si>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</si>
  <si>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</si>
  <si>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</si>
  <si>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</si>
  <si>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</si>
  <si>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</si>
  <si>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</si>
  <si>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</si>
  <si>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</si>
  <si>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</si>
  <si>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</si>
  <si>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former LEP area</t>
  </si>
  <si>
    <t>invprpout2</t>
  </si>
  <si>
    <t>of which, outside former LEP area</t>
  </si>
  <si>
    <t>invprp</t>
  </si>
  <si>
    <t>Investments properties</t>
  </si>
  <si>
    <t>* LEP = local enterprise partnership</t>
  </si>
  <si>
    <r>
      <t xml:space="preserve">Provide a brief description of the rationale for any properties that are </t>
    </r>
    <r>
      <rPr>
        <b/>
        <u/>
        <sz val="11"/>
        <rFont val="Arial"/>
        <family val="2"/>
      </rPr>
      <t>outside former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</si>
  <si>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</si>
  <si>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</si>
  <si>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contres</t>
  </si>
  <si>
    <t>RSX_Header</t>
  </si>
  <si>
    <t>Do not alter column A and row 1</t>
  </si>
  <si>
    <t>empl</t>
  </si>
  <si>
    <t>run-exp</t>
  </si>
  <si>
    <t>tot-exp</t>
  </si>
  <si>
    <t>mss</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</si>
  <si>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</si>
  <si>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</si>
  <si>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</si>
  <si>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</si>
  <si>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</si>
  <si>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</si>
  <si>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</si>
  <si>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</si>
  <si>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of which central</t>
  </si>
  <si>
    <t>Running</t>
  </si>
  <si>
    <t>Total</t>
  </si>
  <si>
    <t xml:space="preserve"> management and </t>
  </si>
  <si>
    <t>Sales, Fees</t>
  </si>
  <si>
    <t>Other</t>
  </si>
  <si>
    <t>Net Current</t>
  </si>
  <si>
    <t xml:space="preserve">Employees </t>
  </si>
  <si>
    <t xml:space="preserve">Expenses </t>
  </si>
  <si>
    <t>Expenditure</t>
  </si>
  <si>
    <t xml:space="preserve">support services </t>
  </si>
  <si>
    <t>&amp; Charges</t>
  </si>
  <si>
    <t>Income</t>
  </si>
  <si>
    <t>(2)</t>
  </si>
  <si>
    <t>(3) = (1) + (2)</t>
  </si>
  <si>
    <t>(3a)</t>
  </si>
  <si>
    <t>(4)</t>
  </si>
  <si>
    <t>(5)</t>
  </si>
  <si>
    <t>(6) = (4) + (5)</t>
  </si>
  <si>
    <t>(7)  = (3) - (6)</t>
  </si>
  <si>
    <t>Breakdown only</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</si>
  <si>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</si>
  <si>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</si>
  <si>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</si>
  <si>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</si>
  <si>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</si>
  <si>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</si>
  <si>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</si>
  <si>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</si>
  <si>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</si>
  <si>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</si>
  <si>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</si>
  <si>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</si>
  <si>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</si>
  <si>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</si>
  <si>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</si>
  <si>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</si>
  <si>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</si>
  <si>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</si>
  <si>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grantincsbg</t>
  </si>
  <si>
    <t>Core Schools Budget Grant</t>
  </si>
  <si>
    <t>grantinholfd</t>
  </si>
  <si>
    <t>Holiday activites and Food programme</t>
  </si>
  <si>
    <t>grantinbsip</t>
  </si>
  <si>
    <t>Bus Service improvement plan</t>
  </si>
  <si>
    <t>DfT</t>
  </si>
  <si>
    <t>grantinph</t>
  </si>
  <si>
    <t>Public Health Grant</t>
  </si>
  <si>
    <t>DHSC</t>
  </si>
  <si>
    <t>grantinscs</t>
  </si>
  <si>
    <t>Social Care Grant</t>
  </si>
  <si>
    <t>MHCLG</t>
  </si>
  <si>
    <t>grantindasa</t>
  </si>
  <si>
    <t>Domestic Abuse Safe accommodation Grant</t>
  </si>
  <si>
    <t>grantinibcf</t>
  </si>
  <si>
    <t>Local Authority Better Care Grant</t>
  </si>
  <si>
    <t>grantincscp</t>
  </si>
  <si>
    <t>Children's Social Care Prevention Grant</t>
  </si>
  <si>
    <t>grantinrec</t>
  </si>
  <si>
    <t>Recovery Grant</t>
  </si>
  <si>
    <t>grantinhsf</t>
  </si>
  <si>
    <t>Household Support Fund</t>
  </si>
  <si>
    <t>DWP</t>
  </si>
  <si>
    <t>grantinmkt</t>
  </si>
  <si>
    <t>Market Sustainability and Improvement Fund</t>
  </si>
  <si>
    <t>grantinukprsp</t>
  </si>
  <si>
    <t>UK Shared Prosperity Fund</t>
  </si>
  <si>
    <t>grantinfndfl</t>
  </si>
  <si>
    <t>Funding Floor</t>
  </si>
  <si>
    <t>grantinnics</t>
  </si>
  <si>
    <t>Employer National Insurance Contributions Grant</t>
  </si>
  <si>
    <t>grantinfhs</t>
  </si>
  <si>
    <r>
      <t xml:space="preserve">Homelessness Prevention Grant including Winter Top-up </t>
    </r>
    <r>
      <rPr>
        <vertAlign val="superscript"/>
        <sz val="12"/>
        <color theme="1"/>
        <rFont val="Arial"/>
        <family val="2"/>
      </rPr>
      <t>(a)</t>
    </r>
  </si>
  <si>
    <t>grantinhbs</t>
  </si>
  <si>
    <t>Housing Benefit Subsidy Admin Grant</t>
  </si>
  <si>
    <t>grantinnhb</t>
  </si>
  <si>
    <t>New Homes Bonus</t>
  </si>
  <si>
    <t>grantinhmukr</t>
  </si>
  <si>
    <t>Homes for Ukraine</t>
  </si>
  <si>
    <t>grantinpfi</t>
  </si>
  <si>
    <t>The Private Finance Initiative (PFI)</t>
  </si>
  <si>
    <t>grantinslpprvrec</t>
  </si>
  <si>
    <t>Rough Sleeping Prevention and Recovery Grant</t>
  </si>
  <si>
    <t>grantinpolup</t>
  </si>
  <si>
    <t>Officer Maintenance Grant</t>
  </si>
  <si>
    <t>HO</t>
  </si>
  <si>
    <t>grantinneig</t>
  </si>
  <si>
    <t>Neighborhood Policing Grant</t>
  </si>
  <si>
    <t>grantinpolnic</t>
  </si>
  <si>
    <t>Police National Insurance Contribution Grant</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</si>
  <si>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</si>
  <si>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</si>
  <si>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</si>
  <si>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</si>
  <si>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</si>
  <si>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</si>
  <si>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</si>
  <si>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Skills fund grant</t>
  </si>
  <si>
    <t>grantoutsixth</t>
  </si>
  <si>
    <t xml:space="preserve">16-19 Funding </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</si>
  <si>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</si>
  <si>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</si>
  <si>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</si>
  <si>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</si>
  <si>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</si>
  <si>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</si>
  <si>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</si>
  <si>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</si>
  <si>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</si>
  <si>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</si>
  <si>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</si>
  <si>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</si>
  <si>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</si>
  <si>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</si>
  <si>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PLEASE PRIORITISE INDIVIDUALLY LISTING GRANTS WITH THE LARGEST VALUE. IF YOU RUN OUT OF LINES, PLEASE ENTER THE SUM OF THE REMAINING GRANTS IN LINE 898.</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</si>
  <si>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</si>
  <si>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</si>
  <si>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</si>
  <si>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</si>
  <si>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</si>
  <si>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</si>
  <si>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</si>
  <si>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grantinoth-spg-oth</t>
  </si>
  <si>
    <t xml:space="preserve">Staying Put grant </t>
  </si>
  <si>
    <t>grantinoth-met-rail-srv-oth</t>
  </si>
  <si>
    <t>Metropolitan Railway Passenger Services (include NEXUS Tyne and Wear Metro)</t>
  </si>
  <si>
    <t>grantinoth-mrsy-trvl-oth</t>
  </si>
  <si>
    <t>Mersey Travel</t>
  </si>
  <si>
    <t>grantinoth-acc-fnd-oth</t>
  </si>
  <si>
    <t>Consolidated Active Travel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</si>
  <si>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</si>
  <si>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</si>
  <si>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</si>
  <si>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</si>
  <si>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</si>
  <si>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</si>
  <si>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</si>
  <si>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</si>
  <si>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</si>
  <si>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</si>
  <si>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</si>
  <si>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</si>
  <si>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 xml:space="preserve">Children and Families Grant </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</si>
  <si>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</si>
  <si>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</si>
  <si>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</si>
  <si>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</si>
  <si>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</si>
  <si>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</si>
  <si>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</si>
  <si>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</si>
  <si>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</si>
  <si>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</si>
  <si>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</si>
  <si>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</si>
  <si>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</si>
  <si>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</si>
  <si>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</si>
  <si>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</si>
  <si>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</si>
  <si>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</si>
  <si>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</si>
  <si>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</si>
  <si>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</si>
  <si>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</si>
  <si>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</si>
  <si>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</si>
  <si>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</si>
  <si>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</si>
  <si>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</si>
  <si>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</si>
  <si>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</si>
  <si>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</si>
  <si>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</si>
  <si>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</si>
  <si>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</si>
  <si>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</si>
  <si>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</si>
  <si>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</si>
  <si>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</si>
  <si>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</si>
  <si>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</si>
  <si>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</si>
  <si>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</si>
  <si>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</si>
  <si>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</si>
  <si>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</si>
  <si>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</si>
  <si>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</si>
  <si>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</si>
  <si>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</si>
  <si>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</si>
  <si>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</si>
  <si>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</si>
  <si>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</si>
  <si>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</si>
  <si>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</si>
  <si>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</si>
  <si>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</si>
  <si>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</si>
  <si>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</si>
  <si>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</si>
  <si>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</si>
  <si>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</si>
  <si>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</si>
  <si>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</si>
  <si>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</si>
  <si>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</si>
  <si>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</si>
  <si>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</si>
  <si>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PLEASE PRIORITISE INDIVIDUALLY LISTING GRANTS WITH THE LARGEST VALUE. IF YOU RUN OUT OF LINES, PLEASE ENTER THE SUM OF THE REMAINING GRANTS IN LINE 998.</t>
  </si>
  <si>
    <t>OTHER GRANTS OUTSIDE AEF  (breakdown of line 798)</t>
  </si>
  <si>
    <t>grantoth-1619-brs-oth</t>
  </si>
  <si>
    <t xml:space="preserve">The 16 to 19 Bursary Fund </t>
  </si>
  <si>
    <t>grantoth-dhp-oth</t>
  </si>
  <si>
    <t>Discretionary Housing Payments (DHPs)</t>
  </si>
  <si>
    <t>grantoth-feffa-oth</t>
  </si>
  <si>
    <t>Further Education funding from DfE - other 19+ funding</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</si>
  <si>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</si>
  <si>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</si>
  <si>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</si>
  <si>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</si>
  <si>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</si>
  <si>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</si>
  <si>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</si>
  <si>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</si>
  <si>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</si>
  <si>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</si>
  <si>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</si>
  <si>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</si>
  <si>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</si>
  <si>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</si>
  <si>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</si>
  <si>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</si>
  <si>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</si>
  <si>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</si>
  <si>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</si>
  <si>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</si>
  <si>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</si>
  <si>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</si>
  <si>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</si>
  <si>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</si>
  <si>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</si>
  <si>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</si>
  <si>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</si>
  <si>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</si>
  <si>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</si>
  <si>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</si>
  <si>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</si>
  <si>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</si>
  <si>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</si>
  <si>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</si>
  <si>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</si>
  <si>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</si>
  <si>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</si>
  <si>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</si>
  <si>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</si>
  <si>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</si>
  <si>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</si>
  <si>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</si>
  <si>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</si>
  <si>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</si>
  <si>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</si>
  <si>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</si>
  <si>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</si>
  <si>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</si>
  <si>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</si>
  <si>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</si>
  <si>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</si>
  <si>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</si>
  <si>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</si>
  <si>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</si>
  <si>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</si>
  <si>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</si>
  <si>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</si>
  <si>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</si>
  <si>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</si>
  <si>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</si>
  <si>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</si>
  <si>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</si>
  <si>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</si>
  <si>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</si>
  <si>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</si>
  <si>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</si>
  <si>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</si>
  <si>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</si>
  <si>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</si>
  <si>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</si>
  <si>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</si>
  <si>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</si>
  <si>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</si>
  <si>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</si>
  <si>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 *</t>
  </si>
  <si>
    <t>Transfers to
RO6 492
(figures in red box)</t>
  </si>
  <si>
    <t>Transfers to RS form (figures in red box)</t>
  </si>
  <si>
    <t>…of which agency staff costs</t>
  </si>
  <si>
    <t>£000</t>
  </si>
  <si>
    <t>edusvmem</t>
  </si>
  <si>
    <t>Education services - agency staff cost memorandum item</t>
  </si>
  <si>
    <t>edusvmemrec</t>
  </si>
  <si>
    <t>Education services - non management and support services recharged to other areas</t>
  </si>
  <si>
    <t>Only for LAs not directly allocating shared services</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</si>
  <si>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</si>
  <si>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</si>
  <si>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</si>
  <si>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</si>
  <si>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</si>
  <si>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</si>
  <si>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</si>
  <si>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</si>
  <si>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</si>
  <si>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</si>
  <si>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</si>
  <si>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</si>
  <si>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</si>
  <si>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</si>
  <si>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</si>
  <si>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</si>
  <si>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</si>
  <si>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</si>
  <si>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</si>
  <si>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</si>
  <si>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</si>
  <si>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</si>
  <si>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</si>
  <si>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</si>
  <si>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</si>
  <si>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</si>
  <si>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</si>
  <si>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</si>
  <si>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</si>
  <si>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</si>
  <si>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</si>
  <si>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</si>
  <si>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</si>
  <si>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</si>
  <si>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</si>
  <si>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</si>
  <si>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</si>
  <si>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</si>
  <si>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</si>
  <si>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</si>
  <si>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</si>
  <si>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</si>
  <si>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</si>
  <si>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</si>
  <si>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</si>
  <si>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</si>
  <si>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</si>
  <si>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</si>
  <si>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</si>
  <si>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</si>
  <si>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</si>
  <si>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</si>
  <si>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</si>
  <si>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</si>
  <si>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 *</t>
  </si>
  <si>
    <t>transsvmem</t>
  </si>
  <si>
    <t>Highways and transport services - agency staff cost Memorandum item</t>
  </si>
  <si>
    <t>transsvmemrec</t>
  </si>
  <si>
    <t>Highways and transport services - non management and support services recharged to other areas</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</si>
  <si>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</si>
  <si>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</si>
  <si>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</si>
  <si>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</si>
  <si>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</si>
  <si>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</si>
  <si>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</si>
  <si>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</si>
  <si>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</si>
  <si>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</si>
  <si>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</si>
  <si>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</si>
  <si>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</si>
  <si>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</si>
  <si>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</si>
  <si>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</si>
  <si>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</si>
  <si>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</si>
  <si>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</si>
  <si>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</si>
  <si>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</si>
  <si>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</si>
  <si>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</si>
  <si>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</si>
  <si>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</si>
  <si>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</si>
  <si>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</si>
  <si>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</si>
  <si>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</si>
  <si>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</si>
  <si>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</si>
  <si>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</si>
  <si>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</si>
  <si>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</si>
  <si>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</si>
  <si>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</si>
  <si>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Click here for NHS Digital reconciliation guidance between ASC-FR and RO3.</t>
  </si>
  <si>
    <t>Expenses</t>
  </si>
  <si>
    <t>Click here for DfE's Section 251 financial data collection guidance.</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</si>
  <si>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</si>
  <si>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</si>
  <si>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</si>
  <si>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</si>
  <si>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</si>
  <si>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</si>
  <si>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</si>
  <si>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</si>
  <si>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</si>
  <si>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</si>
  <si>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</si>
  <si>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</si>
  <si>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</si>
  <si>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</si>
  <si>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</si>
  <si>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</si>
  <si>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</si>
  <si>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</si>
  <si>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</si>
  <si>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</si>
  <si>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</si>
  <si>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</si>
  <si>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</si>
  <si>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</si>
  <si>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</si>
  <si>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</si>
  <si>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 *</t>
  </si>
  <si>
    <t>cscsvmem</t>
  </si>
  <si>
    <t>Children's social care - agency staff cost memorandum item</t>
  </si>
  <si>
    <t>cscsvmemrec</t>
  </si>
  <si>
    <t>Children's social care - non management and support services recharged to other areas</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</si>
  <si>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</si>
  <si>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</si>
  <si>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</si>
  <si>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</si>
  <si>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</si>
  <si>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</si>
  <si>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</si>
  <si>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</si>
  <si>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</si>
  <si>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</si>
  <si>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</si>
  <si>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</si>
  <si>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</si>
  <si>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</si>
  <si>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</si>
  <si>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</si>
  <si>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</si>
  <si>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</si>
  <si>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</si>
  <si>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</si>
  <si>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</si>
  <si>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</si>
  <si>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</si>
  <si>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</si>
  <si>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</si>
  <si>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</si>
  <si>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</si>
  <si>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</si>
  <si>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</si>
  <si>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</si>
  <si>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</si>
  <si>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</si>
  <si>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</si>
  <si>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</si>
  <si>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</si>
  <si>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</si>
  <si>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</si>
  <si>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</si>
  <si>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</si>
  <si>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</si>
  <si>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</si>
  <si>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</si>
  <si>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</si>
  <si>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</si>
  <si>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</si>
  <si>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</si>
  <si>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</si>
  <si>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</si>
  <si>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</si>
  <si>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</si>
  <si>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</si>
  <si>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</si>
  <si>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</si>
  <si>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</si>
  <si>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</si>
  <si>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asctot</t>
  </si>
  <si>
    <t>TOTAL ADULT SOCIAL CARE *</t>
  </si>
  <si>
    <t>ascsvmem</t>
  </si>
  <si>
    <t>Adult social care - agency staff cost memorandum item</t>
  </si>
  <si>
    <t>ascsvmemrec</t>
  </si>
  <si>
    <t>Adult social care - non management and support services recharged to other areas</t>
  </si>
  <si>
    <t>ascvmemnhsbcf</t>
  </si>
  <si>
    <t>Adult social care – Income from NHS (Better Care Fund)</t>
  </si>
  <si>
    <t>ascvmemnhsoth</t>
  </si>
  <si>
    <t>Adult social care – Income from NHS (other)</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</si>
  <si>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</si>
  <si>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</si>
  <si>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</si>
  <si>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</si>
  <si>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</si>
  <si>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</si>
  <si>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</si>
  <si>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</si>
  <si>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</si>
  <si>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</si>
  <si>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</si>
  <si>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</si>
  <si>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</si>
  <si>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</si>
  <si>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</si>
  <si>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</si>
  <si>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</si>
  <si>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</si>
  <si>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</si>
  <si>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</si>
  <si>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</si>
  <si>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</si>
  <si>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</si>
  <si>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 xml:space="preserve">Substance misuse - Adult drug and alcohol treatment and recovery services and commissioning </t>
  </si>
  <si>
    <t>phsbsprvdrg</t>
  </si>
  <si>
    <t>Substance misuse - Adult drug and alcohol prevention</t>
  </si>
  <si>
    <t>phsbsspc</t>
  </si>
  <si>
    <t>Substance misuse - Children and young people specialist substance use services and prevention</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</si>
  <si>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</si>
  <si>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</si>
  <si>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</si>
  <si>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</si>
  <si>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</si>
  <si>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</si>
  <si>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</si>
  <si>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</si>
  <si>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</si>
  <si>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</si>
  <si>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</si>
  <si>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</si>
  <si>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</si>
  <si>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</si>
  <si>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</si>
  <si>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</si>
  <si>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phtot</t>
  </si>
  <si>
    <t>TOTAL PUBLIC HEALTH *</t>
  </si>
  <si>
    <t>phsvmem</t>
  </si>
  <si>
    <t>Public health - agency staff cost memorandum item</t>
  </si>
  <si>
    <t>phsvmemrec</t>
  </si>
  <si>
    <t>Public health - non management and support services recharged to other areas</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</si>
  <si>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</si>
  <si>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</si>
  <si>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</si>
  <si>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</si>
  <si>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</si>
  <si>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</si>
  <si>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</si>
  <si>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</si>
  <si>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</si>
  <si>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</si>
  <si>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</si>
  <si>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</si>
  <si>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</si>
  <si>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</si>
  <si>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INDEX(INDIRECT(LEFT($A1013,SEARCH("-",$A1013,1)-1)&amp;"_data"),MATCH(MID($A1013,SEARCH("-",$A1013)+1,SEARCH("#",SUBSTITUTE('RO3'!I139$A1013,"-","#",H1013),1)-(SEARCH("-",$A1013)+1)),INDIRECT(LEFT($A1013,SEARCH("-",$A1013,1)-1)&amp;"_rows"),0),MATCH(RIGHT($A1013,LEN($A1013)-LEN(LEFT($A1013,SEARCH("#",SUBSTITUTE($A1013,"-","#",H1013),1)))),INDIRECT(LEFT($A1013,SEARCH("-",$A1013,1)-1)&amp;"_Header"),0))</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</si>
  <si>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</si>
  <si>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</si>
  <si>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</si>
  <si>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</si>
  <si>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</si>
  <si>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</si>
  <si>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</si>
  <si>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</si>
  <si>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</si>
  <si>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</si>
  <si>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</si>
  <si>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</si>
  <si>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</si>
  <si>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</si>
  <si>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</si>
  <si>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</si>
  <si>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</si>
  <si>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</si>
  <si>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</si>
  <si>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</si>
  <si>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</si>
  <si>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</si>
  <si>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</si>
  <si>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</si>
  <si>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</si>
  <si>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</si>
  <si>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Homelessness Services: Administration, Prevention, Relief &amp; Main Duty</t>
  </si>
  <si>
    <t>housgfcfhml-non-hml-rdct-act</t>
  </si>
  <si>
    <t>Homelessness Services: Specialist Services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</si>
  <si>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</si>
  <si>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</si>
  <si>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</si>
  <si>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</si>
  <si>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</si>
  <si>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</si>
  <si>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</si>
  <si>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</si>
  <si>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</si>
  <si>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</si>
  <si>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</si>
  <si>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</si>
  <si>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</si>
  <si>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</si>
  <si>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</si>
  <si>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</si>
  <si>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</si>
  <si>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</si>
  <si>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</si>
  <si>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 *</t>
  </si>
  <si>
    <t>housgsvmem</t>
  </si>
  <si>
    <t>Housing services - agency staff cost memorandum item</t>
  </si>
  <si>
    <t>housgsvmemrec</t>
  </si>
  <si>
    <t>Housing services - non management and support services recharged to other areas</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</si>
  <si>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</si>
  <si>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</si>
  <si>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</si>
  <si>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</si>
  <si>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</si>
  <si>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</si>
  <si>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</si>
  <si>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</si>
  <si>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</si>
  <si>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</si>
  <si>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</si>
  <si>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</si>
  <si>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</si>
  <si>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</si>
  <si>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</si>
  <si>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</si>
  <si>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</si>
  <si>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</si>
  <si>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</si>
  <si>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</si>
  <si>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</si>
  <si>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</si>
  <si>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</si>
  <si>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</si>
  <si>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</si>
  <si>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</si>
  <si>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</si>
  <si>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</si>
  <si>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</si>
  <si>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</si>
  <si>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</si>
  <si>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hraexpdepr</t>
  </si>
  <si>
    <t>Charges to the HRA for depreciation</t>
  </si>
  <si>
    <t>hraexpdebtrepay</t>
  </si>
  <si>
    <t>Other debt repayment or non-interest charges to the HRA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</si>
  <si>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</si>
  <si>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</si>
  <si>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</si>
  <si>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</si>
  <si>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</si>
  <si>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</si>
  <si>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</si>
  <si>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</si>
  <si>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</si>
  <si>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</si>
  <si>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</si>
  <si>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r>
      <rPr>
        <b/>
        <sz val="12"/>
        <rFont val="Arial"/>
        <family val="2"/>
      </rPr>
      <t xml:space="preserve"> *</t>
    </r>
  </si>
  <si>
    <t>RO4_hraResHeader</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</si>
  <si>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</si>
  <si>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</si>
  <si>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</si>
  <si>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</si>
  <si>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</si>
  <si>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</si>
  <si>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</si>
  <si>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</si>
  <si>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</si>
  <si>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</si>
  <si>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</si>
  <si>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</si>
  <si>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</si>
  <si>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</si>
  <si>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</si>
  <si>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</si>
  <si>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Memo!C490</t>
  </si>
  <si>
    <t>Recreation and sport</t>
  </si>
  <si>
    <t>Memo!C491</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</si>
  <si>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</si>
  <si>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</si>
  <si>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</si>
  <si>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</si>
  <si>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</si>
  <si>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</si>
  <si>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</si>
  <si>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</si>
  <si>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</si>
  <si>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</si>
  <si>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</si>
  <si>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</si>
  <si>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</si>
  <si>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</si>
  <si>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cullib</t>
  </si>
  <si>
    <t>Library service</t>
  </si>
  <si>
    <t>cultot</t>
  </si>
  <si>
    <t>TOTAL CULTURAL AND RELATED SERVICES *</t>
  </si>
  <si>
    <t>culsvmem</t>
  </si>
  <si>
    <t>Cultural and related services - agency staff cost memorandum item</t>
  </si>
  <si>
    <t>culsvmemrec</t>
  </si>
  <si>
    <t>Cultural and related services - non management and support services recharged to other areas</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</si>
  <si>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</si>
  <si>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</si>
  <si>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</si>
  <si>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</si>
  <si>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</si>
  <si>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</si>
  <si>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</si>
  <si>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</si>
  <si>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</si>
  <si>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</si>
  <si>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</si>
  <si>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</si>
  <si>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</si>
  <si>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</si>
  <si>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</si>
  <si>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</si>
  <si>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</si>
  <si>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</si>
  <si>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</si>
  <si>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</si>
  <si>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</si>
  <si>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</si>
  <si>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</si>
  <si>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</si>
  <si>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</si>
  <si>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</si>
  <si>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</si>
  <si>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</si>
  <si>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</si>
  <si>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</si>
  <si>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</si>
  <si>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</si>
  <si>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</si>
  <si>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</si>
  <si>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</si>
  <si>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</si>
  <si>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</si>
  <si>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</si>
  <si>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</si>
  <si>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</si>
  <si>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</si>
  <si>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</si>
  <si>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</si>
  <si>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</si>
  <si>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</si>
  <si>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</si>
  <si>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</si>
  <si>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</si>
  <si>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</si>
  <si>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</si>
  <si>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</si>
  <si>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</si>
  <si>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</si>
  <si>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</si>
  <si>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</si>
  <si>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</si>
  <si>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</si>
  <si>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</si>
  <si>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</si>
  <si>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</si>
  <si>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</si>
  <si>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</si>
  <si>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 *</t>
  </si>
  <si>
    <t>envsvmem</t>
  </si>
  <si>
    <t>Environmental and regulatory services - agency staff cost memorandum item</t>
  </si>
  <si>
    <t>envsvmemrec</t>
  </si>
  <si>
    <t>Environmental and regulatory services - non management and support services recharged to other areas</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</si>
  <si>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</si>
  <si>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</si>
  <si>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</si>
  <si>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</si>
  <si>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</si>
  <si>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</si>
  <si>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</si>
  <si>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</si>
  <si>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</si>
  <si>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</si>
  <si>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</si>
  <si>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</si>
  <si>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</si>
  <si>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</si>
  <si>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</si>
  <si>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</si>
  <si>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</si>
  <si>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</si>
  <si>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</si>
  <si>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</si>
  <si>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</si>
  <si>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 *</t>
  </si>
  <si>
    <t>plansvmem</t>
  </si>
  <si>
    <t>Planning and development services - agency staff cost memorandum item</t>
  </si>
  <si>
    <t>plansvmemrec</t>
  </si>
  <si>
    <t>Planning and development services - non management and support services recharged to other areas</t>
  </si>
  <si>
    <t>culenvplantot</t>
  </si>
  <si>
    <t>TOTAL CULTURAL, ENVIRONMENTAL, REGULATORY AND PLANNING SERVICES</t>
  </si>
  <si>
    <t>culenvplantotmem</t>
  </si>
  <si>
    <t>Total cultural, environmental, regulatory and planning services - Memorandum item</t>
  </si>
  <si>
    <t>culenvplantotmemrec</t>
  </si>
  <si>
    <t>RO6_Header</t>
  </si>
  <si>
    <t>RO6_rows</t>
  </si>
  <si>
    <t xml:space="preserve">PROTECTIVE SERVICES </t>
  </si>
  <si>
    <t>POLICE SERVICES</t>
  </si>
  <si>
    <t>poltot</t>
  </si>
  <si>
    <t>TOTAL POLICE SERVICES *</t>
  </si>
  <si>
    <t>polsvmem</t>
  </si>
  <si>
    <t>Police services - agency staff cost memorandum item</t>
  </si>
  <si>
    <t>polsvmemrec</t>
  </si>
  <si>
    <t>Police services - non management and support services recharged to other areas</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</si>
  <si>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</si>
  <si>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</si>
  <si>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</si>
  <si>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</si>
  <si>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</si>
  <si>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</si>
  <si>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</si>
  <si>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</si>
  <si>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 *</t>
  </si>
  <si>
    <t>frssvmem</t>
  </si>
  <si>
    <t>Fire and rescue services - agency staff cost memorandum item</t>
  </si>
  <si>
    <t>frssvmemrec</t>
  </si>
  <si>
    <t>Fire and rescue services - non management and support services recharged to other areas</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</si>
  <si>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</si>
  <si>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</si>
  <si>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</si>
  <si>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</si>
  <si>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</si>
  <si>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</si>
  <si>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</si>
  <si>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</si>
  <si>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</si>
  <si>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</si>
  <si>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</si>
  <si>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</si>
  <si>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</si>
  <si>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</si>
  <si>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</si>
  <si>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</si>
  <si>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</si>
  <si>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</si>
  <si>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</si>
  <si>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</si>
  <si>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</si>
  <si>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</si>
  <si>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</si>
  <si>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</si>
  <si>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</si>
  <si>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</si>
  <si>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</si>
  <si>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</si>
  <si>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</si>
  <si>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</si>
  <si>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</si>
  <si>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</si>
  <si>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</si>
  <si>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</si>
  <si>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</si>
  <si>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</si>
  <si>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</si>
  <si>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</si>
  <si>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</si>
  <si>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</si>
  <si>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</si>
  <si>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</si>
  <si>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</si>
  <si>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</si>
  <si>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</si>
  <si>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</si>
  <si>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</si>
  <si>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 *</t>
  </si>
  <si>
    <t>Transfers to
RO6 491
(figures in red box)</t>
  </si>
  <si>
    <t>censvmem</t>
  </si>
  <si>
    <t>Central services - agency staff cost memorandum item</t>
  </si>
  <si>
    <t>censvmemrec</t>
  </si>
  <si>
    <t>Central services - non management and support services recharged to other areas</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</si>
  <si>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</si>
  <si>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</si>
  <si>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</si>
  <si>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</si>
  <si>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</si>
  <si>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</si>
  <si>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</si>
  <si>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</si>
  <si>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</si>
  <si>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</si>
  <si>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</si>
  <si>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Please explain the  approach taken to recording recharges (select one of options a, b or c)</t>
  </si>
  <si>
    <t>cennd-rch-conf</t>
  </si>
  <si>
    <t>drop down options</t>
  </si>
  <si>
    <t>a.      The new requirements on MSS align with our existing approach.</t>
  </si>
  <si>
    <t>b.      We changed our approach to meet the new requirements and apportioned using actuals.</t>
  </si>
  <si>
    <t>c.      We changed our approach to meet the new requirements and apportioned using a proxy methodology.</t>
  </si>
  <si>
    <t>Any further information that you wish to provide can be added to the memo sheet by clicking on the link below</t>
  </si>
  <si>
    <t>Memo</t>
  </si>
  <si>
    <t>cenothtot</t>
  </si>
  <si>
    <t>TOTAL OTHER SERVICES *</t>
  </si>
  <si>
    <t>– to be individually specified in the other services breakdown below</t>
  </si>
  <si>
    <t>cenothsvmem</t>
  </si>
  <si>
    <t>Total other services - agency staff cost memorandum item</t>
  </si>
  <si>
    <t>cenothsvmemrec</t>
  </si>
  <si>
    <t>Total other services - non management and support services recharged to other areas</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</si>
  <si>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</si>
  <si>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</si>
  <si>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</si>
  <si>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</si>
  <si>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</si>
  <si>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</si>
  <si>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</si>
  <si>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</si>
  <si>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</si>
  <si>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</si>
  <si>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</si>
  <si>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</si>
  <si>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</si>
  <si>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</si>
  <si>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</si>
  <si>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</si>
  <si>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</si>
  <si>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</si>
  <si>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</si>
  <si>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</si>
  <si>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</si>
  <si>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</si>
  <si>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</si>
  <si>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</si>
  <si>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</si>
  <si>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</si>
  <si>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</si>
  <si>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</si>
  <si>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</si>
  <si>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</si>
  <si>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</si>
  <si>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</si>
  <si>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</si>
  <si>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</si>
  <si>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</si>
  <si>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</si>
  <si>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</si>
  <si>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</si>
  <si>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</si>
  <si>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</si>
  <si>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</si>
  <si>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</si>
  <si>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</si>
  <si>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</si>
  <si>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</si>
  <si>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</si>
  <si>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</si>
  <si>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</si>
  <si>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</si>
  <si>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</si>
  <si>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</si>
  <si>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</si>
  <si>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</si>
  <si>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</si>
  <si>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</si>
  <si>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</si>
  <si>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</si>
  <si>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</si>
  <si>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</si>
  <si>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</si>
  <si>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</si>
  <si>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</si>
  <si>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</si>
  <si>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</si>
  <si>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</si>
  <si>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</si>
  <si>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</si>
  <si>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</si>
  <si>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</si>
  <si>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</si>
  <si>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</si>
  <si>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</si>
  <si>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</si>
  <si>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</si>
  <si>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</si>
  <si>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</si>
  <si>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</si>
  <si>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</si>
  <si>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</si>
  <si>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</si>
  <si>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</si>
  <si>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</si>
  <si>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</si>
  <si>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</si>
  <si>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</si>
  <si>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</si>
  <si>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</si>
  <si>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</si>
  <si>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</si>
  <si>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</si>
  <si>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</si>
  <si>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</si>
  <si>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</si>
  <si>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</si>
  <si>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</si>
  <si>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</si>
  <si>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</si>
  <si>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</si>
  <si>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</si>
  <si>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</si>
  <si>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</si>
  <si>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</si>
  <si>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</si>
  <si>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</si>
  <si>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</si>
  <si>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</si>
  <si>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</si>
  <si>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</si>
  <si>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</si>
  <si>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</si>
  <si>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</si>
  <si>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</si>
  <si>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</si>
  <si>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</si>
  <si>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</si>
  <si>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</si>
  <si>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</si>
  <si>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</si>
  <si>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</si>
  <si>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</si>
  <si>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</si>
  <si>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</si>
  <si>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</si>
  <si>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</si>
  <si>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</si>
  <si>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</si>
  <si>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</si>
  <si>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</si>
  <si>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</si>
  <si>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</si>
  <si>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</si>
  <si>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</si>
  <si>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</si>
  <si>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</si>
  <si>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</si>
  <si>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</si>
  <si>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</si>
  <si>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</si>
  <si>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</si>
  <si>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</si>
  <si>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</si>
  <si>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</si>
  <si>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</si>
  <si>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</si>
  <si>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</si>
  <si>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</si>
  <si>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</si>
  <si>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</si>
  <si>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</si>
  <si>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</si>
  <si>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</si>
  <si>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</si>
  <si>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</si>
  <si>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</si>
  <si>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</si>
  <si>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</si>
  <si>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</si>
  <si>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</si>
  <si>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</si>
  <si>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</si>
  <si>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</si>
  <si>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</si>
  <si>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</si>
  <si>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</si>
  <si>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</si>
  <si>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</si>
  <si>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</si>
  <si>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</si>
  <si>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</si>
  <si>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</si>
  <si>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</si>
  <si>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</si>
  <si>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</si>
  <si>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</si>
  <si>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</si>
  <si>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</si>
  <si>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</si>
  <si>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</si>
  <si>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</si>
  <si>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</si>
  <si>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</si>
  <si>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</si>
  <si>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</si>
  <si>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</si>
  <si>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</si>
  <si>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</si>
  <si>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</si>
  <si>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</si>
  <si>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</si>
  <si>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</si>
  <si>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</si>
  <si>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</si>
  <si>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</si>
  <si>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</si>
  <si>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</si>
  <si>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</si>
  <si>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</si>
  <si>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</si>
  <si>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</si>
  <si>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</si>
  <si>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</si>
  <si>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</si>
  <si>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</si>
  <si>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</si>
  <si>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</si>
  <si>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</si>
  <si>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</si>
  <si>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</si>
  <si>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</si>
  <si>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</si>
  <si>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</si>
  <si>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</si>
  <si>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</si>
  <si>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</si>
  <si>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</si>
  <si>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</si>
  <si>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</si>
  <si>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</si>
  <si>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</si>
  <si>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</si>
  <si>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</si>
  <si>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</si>
  <si>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</si>
  <si>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</si>
  <si>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</si>
  <si>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</si>
  <si>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are due this year.</t>
  </si>
  <si>
    <t>PART B - RUNNING EXPENSES</t>
  </si>
  <si>
    <t>All Other</t>
  </si>
  <si>
    <t>Social Care</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</si>
  <si>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</si>
  <si>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</si>
  <si>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</si>
  <si>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</si>
  <si>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</si>
  <si>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</si>
  <si>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</si>
  <si>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</si>
  <si>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</si>
  <si>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</si>
  <si>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</si>
  <si>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</si>
  <si>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</si>
  <si>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</si>
  <si>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</si>
  <si>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</si>
  <si>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</si>
  <si>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</si>
  <si>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</si>
  <si>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</si>
  <si>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</si>
  <si>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</si>
  <si>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</si>
  <si>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</si>
  <si>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</si>
  <si>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</si>
  <si>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</si>
  <si>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</si>
  <si>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</si>
  <si>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</si>
  <si>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</si>
  <si>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</si>
  <si>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</si>
  <si>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</si>
  <si>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</si>
  <si>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</si>
  <si>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</si>
  <si>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</si>
  <si>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</si>
  <si>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</si>
  <si>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</si>
  <si>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</si>
  <si>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</si>
  <si>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</si>
  <si>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</si>
  <si>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</si>
  <si>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</si>
  <si>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</si>
  <si>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</si>
  <si>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</si>
  <si>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</si>
  <si>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</si>
  <si>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</si>
  <si>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</si>
  <si>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</si>
  <si>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</si>
  <si>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</si>
  <si>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</si>
  <si>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</si>
  <si>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</si>
  <si>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</si>
  <si>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</si>
  <si>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</si>
  <si>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</si>
  <si>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</si>
  <si>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</si>
  <si>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</si>
  <si>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</si>
  <si>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</si>
  <si>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</si>
  <si>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</si>
  <si>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</si>
  <si>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</si>
  <si>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</si>
  <si>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</si>
  <si>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</si>
  <si>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</si>
  <si>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</si>
  <si>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</si>
  <si>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</si>
  <si>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</si>
  <si>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</si>
  <si>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</si>
  <si>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</si>
  <si>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</si>
  <si>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</si>
  <si>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</si>
  <si>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</si>
  <si>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</si>
  <si>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</si>
  <si>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</si>
  <si>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</si>
  <si>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</si>
  <si>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</si>
  <si>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</si>
  <si>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</si>
  <si>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</si>
  <si>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</si>
  <si>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</si>
  <si>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</si>
  <si>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</si>
  <si>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</si>
  <si>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</si>
  <si>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</si>
  <si>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</si>
  <si>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</si>
  <si>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</si>
  <si>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</si>
  <si>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</si>
  <si>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</si>
  <si>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</si>
  <si>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</si>
  <si>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</si>
  <si>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</si>
  <si>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</si>
  <si>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</si>
  <si>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</si>
  <si>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</si>
  <si>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</si>
  <si>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</si>
  <si>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</si>
  <si>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</si>
  <si>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</si>
  <si>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</si>
  <si>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</si>
  <si>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</si>
  <si>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</si>
  <si>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</si>
  <si>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</si>
  <si>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</si>
  <si>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</si>
  <si>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</si>
  <si>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</si>
  <si>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</si>
  <si>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</si>
  <si>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</si>
  <si>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</si>
  <si>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</si>
  <si>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</si>
  <si>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</si>
  <si>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</si>
  <si>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</si>
  <si>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</si>
  <si>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</si>
  <si>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</si>
  <si>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</si>
  <si>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</si>
  <si>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</si>
  <si>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</si>
  <si>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</si>
  <si>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</si>
  <si>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</si>
  <si>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</si>
  <si>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</si>
  <si>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</si>
  <si>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</si>
  <si>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</si>
  <si>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</si>
  <si>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</si>
  <si>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</si>
  <si>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</si>
  <si>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</si>
  <si>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</si>
  <si>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</si>
  <si>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</si>
  <si>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</si>
  <si>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</si>
  <si>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</si>
  <si>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</si>
  <si>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</si>
  <si>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</si>
  <si>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</si>
  <si>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</si>
  <si>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</si>
  <si>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</si>
  <si>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</si>
  <si>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</si>
  <si>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</si>
  <si>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</si>
  <si>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</si>
  <si>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</si>
  <si>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</si>
  <si>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</si>
  <si>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</si>
  <si>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</si>
  <si>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</si>
  <si>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</si>
  <si>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</si>
  <si>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</si>
  <si>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</si>
  <si>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</si>
  <si>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</si>
  <si>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</si>
  <si>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</si>
  <si>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</si>
  <si>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</si>
  <si>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</si>
  <si>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</si>
  <si>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</si>
  <si>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</si>
  <si>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</si>
  <si>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</si>
  <si>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</si>
  <si>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</si>
  <si>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</si>
  <si>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</si>
  <si>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</si>
  <si>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</si>
  <si>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</si>
  <si>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</si>
  <si>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</si>
  <si>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</si>
  <si>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</si>
  <si>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</si>
  <si>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</si>
  <si>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</si>
  <si>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</si>
  <si>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</si>
  <si>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</si>
  <si>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</si>
  <si>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</si>
  <si>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</si>
  <si>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</si>
  <si>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</si>
  <si>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</si>
  <si>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</si>
  <si>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</si>
  <si>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</si>
  <si>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</si>
  <si>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</si>
  <si>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</si>
  <si>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</si>
  <si>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</si>
  <si>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</si>
  <si>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</si>
  <si>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</si>
  <si>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</si>
  <si>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</si>
  <si>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</si>
  <si>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</si>
  <si>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</si>
  <si>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</si>
  <si>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</si>
  <si>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</si>
  <si>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</si>
  <si>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</si>
  <si>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</si>
  <si>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</si>
  <si>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</si>
  <si>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</si>
  <si>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</si>
  <si>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</si>
  <si>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</si>
  <si>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</si>
  <si>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</si>
  <si>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</si>
  <si>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</si>
  <si>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</si>
  <si>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</si>
  <si>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</si>
  <si>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</si>
  <si>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RG-grantincsbg-tot-grant</t>
  </si>
  <si>
    <t>RG-grantinholfd-tot-grant</t>
  </si>
  <si>
    <t>RG-grantinbsip-tot-grant</t>
  </si>
  <si>
    <t>RG-grantinph-tot-grant</t>
  </si>
  <si>
    <t>RG-grantinscs-tot-grant</t>
  </si>
  <si>
    <t>RG-grantinrsd-tot-grant</t>
  </si>
  <si>
    <t>RG-grantinibcf-tot-grant</t>
  </si>
  <si>
    <t>RG-grantinhsf-tot-grant</t>
  </si>
  <si>
    <t>RG-grantinmkt-tot-grant</t>
  </si>
  <si>
    <t>RG-grantinukprsp-tot-grant</t>
  </si>
  <si>
    <t>RG-grantinfndfl-tot-grant</t>
  </si>
  <si>
    <t>RG-grantinfhs-tot-grant</t>
  </si>
  <si>
    <t>RG-grantinhbs-tot-grant</t>
  </si>
  <si>
    <t>RG-grantinnhb-tot-grant</t>
  </si>
  <si>
    <t>RG-grantinhmukr-tot-grant</t>
  </si>
  <si>
    <t>RG-grantinpfi-tot-grant</t>
  </si>
  <si>
    <t>RG-grantinslpprvrec-tot-grant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</si>
  <si>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</si>
  <si>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</si>
  <si>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</si>
  <si>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</si>
  <si>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</si>
  <si>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</si>
  <si>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</si>
  <si>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</si>
  <si>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</si>
  <si>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</si>
  <si>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</si>
  <si>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</si>
  <si>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</si>
  <si>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</si>
  <si>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RG-grantinoth-spg-oth-tot-grant</t>
  </si>
  <si>
    <t>RG-grantinoth-met-rail-srv-oth-tot-grant</t>
  </si>
  <si>
    <t>RG-grantinoth-mrsy-trvl-oth-tot-grant</t>
  </si>
  <si>
    <t>RG-grantinoth-acc-fnd-oth-tot-grant</t>
  </si>
  <si>
    <t>RG-grantinoth-bso-oth-tot-grant</t>
  </si>
  <si>
    <t>RG-grantinoth-lcl-rfrm-oth-tot-grant</t>
  </si>
  <si>
    <t>RG-grantinoth-hb-rfr-oth-tot-grant</t>
  </si>
  <si>
    <t>RG-grantinoth-sfa-oth-tot-grant</t>
  </si>
  <si>
    <t>RG-grantinoth-gla-stt-oth-tot-grant</t>
  </si>
  <si>
    <t>RG-grantinoth-trb-fml-oth-tot-grant</t>
  </si>
  <si>
    <t>RG-grantinoth-ntn-prk-oth-tot-grant</t>
  </si>
  <si>
    <t>RG-grantinoth-asy-oth-tot-grant</t>
  </si>
  <si>
    <t>RG-grantinoth-ct-oth-tot-grant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</si>
  <si>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</si>
  <si>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</si>
  <si>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</si>
  <si>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</si>
  <si>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</si>
  <si>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</si>
  <si>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</si>
  <si>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</si>
  <si>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</si>
  <si>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</si>
  <si>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</si>
  <si>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</si>
  <si>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</si>
  <si>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</si>
  <si>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</si>
  <si>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</si>
  <si>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</si>
  <si>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</si>
  <si>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</si>
  <si>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</si>
  <si>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</si>
  <si>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</si>
  <si>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</si>
  <si>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</si>
  <si>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</si>
  <si>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</si>
  <si>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</si>
  <si>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</si>
  <si>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</si>
  <si>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</si>
  <si>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</si>
  <si>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</si>
  <si>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</si>
  <si>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</si>
  <si>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</si>
  <si>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</si>
  <si>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</si>
  <si>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</si>
  <si>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</si>
  <si>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</si>
  <si>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</si>
  <si>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</si>
  <si>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</si>
  <si>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</si>
  <si>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</si>
  <si>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</si>
  <si>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</si>
  <si>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</si>
  <si>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</si>
  <si>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</si>
  <si>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</si>
  <si>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</si>
  <si>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</si>
  <si>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</si>
  <si>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</si>
  <si>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RG-grantinothadd-name-oth-tot-grant</t>
  </si>
  <si>
    <t>RG-grantinoth-tot-oth-tot-grant</t>
  </si>
  <si>
    <t>RG-grantoth-1619-brs-oth-tot-grant</t>
  </si>
  <si>
    <t>RG-grantoth-dhp-oth-tot-grant</t>
  </si>
  <si>
    <t>RG-grantoth-feffa-oth-tot-grant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</si>
  <si>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</si>
  <si>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</si>
  <si>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</si>
  <si>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</si>
  <si>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</si>
  <si>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</si>
  <si>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</si>
  <si>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</si>
  <si>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</si>
  <si>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</si>
  <si>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</si>
  <si>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</si>
  <si>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</si>
  <si>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</si>
  <si>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</si>
  <si>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</si>
  <si>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</si>
  <si>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</si>
  <si>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</si>
  <si>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</si>
  <si>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</si>
  <si>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</si>
  <si>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</si>
  <si>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</si>
  <si>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</si>
  <si>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</si>
  <si>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</si>
  <si>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</si>
  <si>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</si>
  <si>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</si>
  <si>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</si>
  <si>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</si>
  <si>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</si>
  <si>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</si>
  <si>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</si>
  <si>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</si>
  <si>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</si>
  <si>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</si>
  <si>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</si>
  <si>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</si>
  <si>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</si>
  <si>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</si>
  <si>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</si>
  <si>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</si>
  <si>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</si>
  <si>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</si>
  <si>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</si>
  <si>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</si>
  <si>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</si>
  <si>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</si>
  <si>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</si>
  <si>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</si>
  <si>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</si>
  <si>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</si>
  <si>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</si>
  <si>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</si>
  <si>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</si>
  <si>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</si>
  <si>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</si>
  <si>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</si>
  <si>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</si>
  <si>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</si>
  <si>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</si>
  <si>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</si>
  <si>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</si>
  <si>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</si>
  <si>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</si>
  <si>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</si>
  <si>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</si>
  <si>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</si>
  <si>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</si>
  <si>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</si>
  <si>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</si>
  <si>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</si>
  <si>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</si>
  <si>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</si>
  <si>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</si>
  <si>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</si>
  <si>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</si>
  <si>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</si>
  <si>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</si>
  <si>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</si>
  <si>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</si>
  <si>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</si>
  <si>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</si>
  <si>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</si>
  <si>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</si>
  <si>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</si>
  <si>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</si>
  <si>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</si>
  <si>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</si>
  <si>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</si>
  <si>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</si>
  <si>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</si>
  <si>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</si>
  <si>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</si>
  <si>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</si>
  <si>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</si>
  <si>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</si>
  <si>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</si>
  <si>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</si>
  <si>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</si>
  <si>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</si>
  <si>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</si>
  <si>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</si>
  <si>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</si>
  <si>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</si>
  <si>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</si>
  <si>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</si>
  <si>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</si>
  <si>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</si>
  <si>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</si>
  <si>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</si>
  <si>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</si>
  <si>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</si>
  <si>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</si>
  <si>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</si>
  <si>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</si>
  <si>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</si>
  <si>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</si>
  <si>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</si>
  <si>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</si>
  <si>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</si>
  <si>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</si>
  <si>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</si>
  <si>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</si>
  <si>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</si>
  <si>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</si>
  <si>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</si>
  <si>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</si>
  <si>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</si>
  <si>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</si>
  <si>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RO3-asctot-net-cur-exp</t>
  </si>
  <si>
    <t>RO3-ascsvmem-run-exp</t>
  </si>
  <si>
    <t>RO3-ascsvmemrec-oth-inc</t>
  </si>
  <si>
    <t>RO3-ascvmemnhsbcf-oth-inc</t>
  </si>
  <si>
    <t>RO3-ascvmemnhsoth-oth-inc</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</si>
  <si>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</si>
  <si>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</si>
  <si>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</si>
  <si>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</si>
  <si>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</si>
  <si>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</si>
  <si>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</si>
  <si>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</si>
  <si>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</si>
  <si>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</si>
  <si>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</si>
  <si>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</si>
  <si>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RO3-phsbsprvdrg-net-cur-exp</t>
  </si>
  <si>
    <t>RO3-phsbsspc-net-cur-exp</t>
  </si>
  <si>
    <t>RO3-phsmkstp-net-cur-exp</t>
  </si>
  <si>
    <t>RO3-phsmkcnt-net-cur-exp</t>
  </si>
  <si>
    <t>RO3-phchl-net-cur-exp</t>
  </si>
  <si>
    <t>RO3-phbbymnd-net-cur-exp</t>
  </si>
  <si>
    <t>RO3-phbbyoth-net-cur-exp</t>
  </si>
  <si>
    <t>RO3-phwrk-net-cur-exp</t>
  </si>
  <si>
    <t>RO3-phmnt-net-cur-exp</t>
  </si>
  <si>
    <t>RO3-phmsc-net-cur-exp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</si>
  <si>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</si>
  <si>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</si>
  <si>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</si>
  <si>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</si>
  <si>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</si>
  <si>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</si>
  <si>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</si>
  <si>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</si>
  <si>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</si>
  <si>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</si>
  <si>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</si>
  <si>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</si>
  <si>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</si>
  <si>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</si>
  <si>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</si>
  <si>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</si>
  <si>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</si>
  <si>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</si>
  <si>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</si>
  <si>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</si>
  <si>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</si>
  <si>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</si>
  <si>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</si>
  <si>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</si>
  <si>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</si>
  <si>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</si>
  <si>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</si>
  <si>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</si>
  <si>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</si>
  <si>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</si>
  <si>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</si>
  <si>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</si>
  <si>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</si>
  <si>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</si>
  <si>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</si>
  <si>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</si>
  <si>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</si>
  <si>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</si>
  <si>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</si>
  <si>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</si>
  <si>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</si>
  <si>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</si>
  <si>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</si>
  <si>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</si>
  <si>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</si>
  <si>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</si>
  <si>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</si>
  <si>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</si>
  <si>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</si>
  <si>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</si>
  <si>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</si>
  <si>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</si>
  <si>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</si>
  <si>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</si>
  <si>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</si>
  <si>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</si>
  <si>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</si>
  <si>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</si>
  <si>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</si>
  <si>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</si>
  <si>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</si>
  <si>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</si>
  <si>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</si>
  <si>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</si>
  <si>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</si>
  <si>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</si>
  <si>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</si>
  <si>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</si>
  <si>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</si>
  <si>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</si>
  <si>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</si>
  <si>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</si>
  <si>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</si>
  <si>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</si>
  <si>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</si>
  <si>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</si>
  <si>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</si>
  <si>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</si>
  <si>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</si>
  <si>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</si>
  <si>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</si>
  <si>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</si>
  <si>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</si>
  <si>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</si>
  <si>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</si>
  <si>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</si>
  <si>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</si>
  <si>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</si>
  <si>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</si>
  <si>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</si>
  <si>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</si>
  <si>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</si>
  <si>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</si>
  <si>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</si>
  <si>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</si>
  <si>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</si>
  <si>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</si>
  <si>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</si>
  <si>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</si>
  <si>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</si>
  <si>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</si>
  <si>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</si>
  <si>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</si>
  <si>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</si>
  <si>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</si>
  <si>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</si>
  <si>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</si>
  <si>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</si>
  <si>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</si>
  <si>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</si>
  <si>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</si>
  <si>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</si>
  <si>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</si>
  <si>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</si>
  <si>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</si>
  <si>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</si>
  <si>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</si>
  <si>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</si>
  <si>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</si>
  <si>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</si>
  <si>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</si>
  <si>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</si>
  <si>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</si>
  <si>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</si>
  <si>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</si>
  <si>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</si>
  <si>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</si>
  <si>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</si>
  <si>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</si>
  <si>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</si>
  <si>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</si>
  <si>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</si>
  <si>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</si>
  <si>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</si>
  <si>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</si>
  <si>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</si>
  <si>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</si>
  <si>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</si>
  <si>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</si>
  <si>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</si>
  <si>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</si>
  <si>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</si>
  <si>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</si>
  <si>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</si>
  <si>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</si>
  <si>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</si>
  <si>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</si>
  <si>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</si>
  <si>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</si>
  <si>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</si>
  <si>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</si>
  <si>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</si>
  <si>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</si>
  <si>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</si>
  <si>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</si>
  <si>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</si>
  <si>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</si>
  <si>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</si>
  <si>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</si>
  <si>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</si>
  <si>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</si>
  <si>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</si>
  <si>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</si>
  <si>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</si>
  <si>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</si>
  <si>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</si>
  <si>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</si>
  <si>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</si>
  <si>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</si>
  <si>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</si>
  <si>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</si>
  <si>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</si>
  <si>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</si>
  <si>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</si>
  <si>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</si>
  <si>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</si>
  <si>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</si>
  <si>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</si>
  <si>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</si>
  <si>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</si>
  <si>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</si>
  <si>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</si>
  <si>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</si>
  <si>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</si>
  <si>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</si>
  <si>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</si>
  <si>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</si>
  <si>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</si>
  <si>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</si>
  <si>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</si>
  <si>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</si>
  <si>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</si>
  <si>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</si>
  <si>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</si>
  <si>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</si>
  <si>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</si>
  <si>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</si>
  <si>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</si>
  <si>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</si>
  <si>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</si>
  <si>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</si>
  <si>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</si>
  <si>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</si>
  <si>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</si>
  <si>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</si>
  <si>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</si>
  <si>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</si>
  <si>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</si>
  <si>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</si>
  <si>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</si>
  <si>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</si>
  <si>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</si>
  <si>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</si>
  <si>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</si>
  <si>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</si>
  <si>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</si>
  <si>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</si>
  <si>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</si>
  <si>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</si>
  <si>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</si>
  <si>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</si>
  <si>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</si>
  <si>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</si>
  <si>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</si>
  <si>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</si>
  <si>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</si>
  <si>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</si>
  <si>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</si>
  <si>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</si>
  <si>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</si>
  <si>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</si>
  <si>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</si>
  <si>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</si>
  <si>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</si>
  <si>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</si>
  <si>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</si>
  <si>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</si>
  <si>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</si>
  <si>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</si>
  <si>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</si>
  <si>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</si>
  <si>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</si>
  <si>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</si>
  <si>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</si>
  <si>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</si>
  <si>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</si>
  <si>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</si>
  <si>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</si>
  <si>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</si>
  <si>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</si>
  <si>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</si>
  <si>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</si>
  <si>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</si>
  <si>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</si>
  <si>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</si>
  <si>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</si>
  <si>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</si>
  <si>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</si>
  <si>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</si>
  <si>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</si>
  <si>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</si>
  <si>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</si>
  <si>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</si>
  <si>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</si>
  <si>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</si>
  <si>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</si>
  <si>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</si>
  <si>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</si>
  <si>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</si>
  <si>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</si>
  <si>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</si>
  <si>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</si>
  <si>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</si>
  <si>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</si>
  <si>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</si>
  <si>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</si>
  <si>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</si>
  <si>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</si>
  <si>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</si>
  <si>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</si>
  <si>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</si>
  <si>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</si>
  <si>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</si>
  <si>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</si>
  <si>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</si>
  <si>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</si>
  <si>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</si>
  <si>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</si>
  <si>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</si>
  <si>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</si>
  <si>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</si>
  <si>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</si>
  <si>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</si>
  <si>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</si>
  <si>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</si>
  <si>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</si>
  <si>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</si>
  <si>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E-code</t>
  </si>
  <si>
    <t>organisation-id</t>
  </si>
  <si>
    <t>organisation name</t>
  </si>
  <si>
    <t>Class</t>
  </si>
  <si>
    <t>Revenue Support Grant RS 851</t>
  </si>
  <si>
    <t>Police grant RS 856</t>
  </si>
  <si>
    <t>Dedicated schools grant RG 102</t>
  </si>
  <si>
    <t>Public health grant RG 313</t>
  </si>
  <si>
    <t xml:space="preserve">
Domestic Abuse Safe accommodation Grant RG 322</t>
  </si>
  <si>
    <t>Social Care Grant RG 315</t>
  </si>
  <si>
    <t>IBCF RG 323</t>
  </si>
  <si>
    <t>Homelessness prevention grant RG 401</t>
  </si>
  <si>
    <t>Market Sustainability and Improvement Fund RG 331</t>
  </si>
  <si>
    <t>Children's Social Care Prevention Grant RG 324</t>
  </si>
  <si>
    <t>Recovery Grant RG 325</t>
  </si>
  <si>
    <t>New homes bonus RG 540</t>
  </si>
  <si>
    <t>Parish precepts
RS 721</t>
  </si>
  <si>
    <t>CTR
RS 890</t>
  </si>
  <si>
    <t>HRA reserves 31 March
RO4 146</t>
  </si>
  <si>
    <t>CERA
RS 765</t>
  </si>
  <si>
    <t>Capital receipts flexibility RA form
RS 767</t>
  </si>
  <si>
    <t>PWLB interest costs RS 781</t>
  </si>
  <si>
    <t>Housing Benefit Subsidy Admin Grant RG 406</t>
  </si>
  <si>
    <t>Employer National Insurance Contributions Grant RG 343</t>
  </si>
  <si>
    <t>Funding Floor RG 342</t>
  </si>
  <si>
    <t>Rough Sleeping prevention &amp; Recovery RG 576</t>
  </si>
  <si>
    <t>Officer Maintenance Grant RG 656</t>
  </si>
  <si>
    <t>Neighborhood Policing Grant RG 657</t>
  </si>
  <si>
    <t>Police National Insurance Contribution Grant RG 658</t>
  </si>
  <si>
    <t>Estimated schools reserves level at 1 April RS911</t>
  </si>
  <si>
    <t>Estimated dedicated schools grant reserves level at 1 April RS913</t>
  </si>
  <si>
    <t>Estimated public health financial reserves level at 1 April RS914</t>
  </si>
  <si>
    <t>Estimated unallocated financial reserves level at 1 April RS916</t>
  </si>
  <si>
    <t>Other earmarked reserves: contractual commitments at 1 April RS1023</t>
  </si>
  <si>
    <t>Other earmarked reserves: planned future revenue and capital spending at 1 April RS1024</t>
  </si>
  <si>
    <t>Other earmarked reserves: specific risks at 1 April RS1025</t>
  </si>
  <si>
    <t>Other earmarked reserves: budget stabilisation at 1 April RS1026</t>
  </si>
  <si>
    <t>Other earmarked reserves: Exceptional elements at 1 April RS1027</t>
  </si>
  <si>
    <t>Bed and breakfast hotels (including shared annexes) (H-CLIC July-September 2025)</t>
  </si>
  <si>
    <t>Nightly paid, privately managed accommodation, self-contained (H-CLIC July-September 2025)</t>
  </si>
  <si>
    <t>Hostels (including reception centres, emergency units and refuges) (H-CLIC July-September 2025)</t>
  </si>
  <si>
    <t>Private sector accommodation leased by your authority or leased or managed by a registered provider (H-CLIC July-September 2025)</t>
  </si>
  <si>
    <t>Local authority or Housing association (LA/HA) stock (H-CLIC July-September 2025)</t>
  </si>
  <si>
    <t>Any other type of temporary accommodation (including private landlord and not known) (H-CLIC July-September 2025)</t>
  </si>
  <si>
    <t>E3831</t>
  </si>
  <si>
    <t>E07000223</t>
  </si>
  <si>
    <t>Adur</t>
  </si>
  <si>
    <t>E1031</t>
  </si>
  <si>
    <t>E07000032</t>
  </si>
  <si>
    <t>Amber Valley</t>
  </si>
  <si>
    <t>[x]</t>
  </si>
  <si>
    <t>E3832</t>
  </si>
  <si>
    <t>E07000224</t>
  </si>
  <si>
    <t>Arun</t>
  </si>
  <si>
    <t>E3031</t>
  </si>
  <si>
    <t>E07000170</t>
  </si>
  <si>
    <t>Ashfield</t>
  </si>
  <si>
    <t>E2231</t>
  </si>
  <si>
    <t>E07000105</t>
  </si>
  <si>
    <t>Ashford</t>
  </si>
  <si>
    <t>E7050</t>
  </si>
  <si>
    <t>E23000036</t>
  </si>
  <si>
    <t>Avon &amp; Somerset Police and Crime Commissioner and Chief Constable</t>
  </si>
  <si>
    <t>O</t>
  </si>
  <si>
    <t>E6101</t>
  </si>
  <si>
    <t>E31000001</t>
  </si>
  <si>
    <t>Avon Combined Fire and Rescue Authority</t>
  </si>
  <si>
    <t>E3531</t>
  </si>
  <si>
    <t>E07000200</t>
  </si>
  <si>
    <t>Babergh</t>
  </si>
  <si>
    <t>E5030</t>
  </si>
  <si>
    <t>E09000002</t>
  </si>
  <si>
    <t>Barking &amp; Dagenham</t>
  </si>
  <si>
    <t>LB</t>
  </si>
  <si>
    <t>E5031</t>
  </si>
  <si>
    <t>E09000003</t>
  </si>
  <si>
    <t>Barnet</t>
  </si>
  <si>
    <t>E4401</t>
  </si>
  <si>
    <t>E08000038</t>
  </si>
  <si>
    <t>Barnsley</t>
  </si>
  <si>
    <t>E1531</t>
  </si>
  <si>
    <t>E07000066</t>
  </si>
  <si>
    <t>Basildon</t>
  </si>
  <si>
    <t>E1731</t>
  </si>
  <si>
    <t>E07000084</t>
  </si>
  <si>
    <t>Basingstoke &amp; Deane</t>
  </si>
  <si>
    <t>E3032</t>
  </si>
  <si>
    <t>E07000171</t>
  </si>
  <si>
    <t>Bassetlaw</t>
  </si>
  <si>
    <t>E0101</t>
  </si>
  <si>
    <t>E06000022</t>
  </si>
  <si>
    <t>Bath &amp; North East Somerset</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</si>
  <si>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</si>
  <si>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</si>
  <si>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</si>
  <si>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</si>
  <si>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</si>
  <si>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</si>
  <si>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</si>
  <si>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</si>
  <si>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</si>
  <si>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</si>
  <si>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</si>
  <si>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</si>
  <si>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</si>
  <si>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</si>
  <si>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</si>
  <si>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</si>
  <si>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</si>
  <si>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</si>
  <si>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</si>
  <si>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</si>
  <si>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</si>
  <si>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</si>
  <si>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</si>
  <si>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</si>
  <si>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</si>
  <si>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</si>
  <si>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</si>
  <si>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</si>
  <si>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</si>
  <si>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</si>
  <si>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</si>
  <si>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</si>
  <si>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</si>
  <si>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</si>
  <si>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</si>
  <si>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</si>
  <si>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</si>
  <si>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</si>
  <si>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</si>
  <si>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</si>
  <si>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</si>
  <si>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</si>
  <si>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</si>
  <si>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</si>
  <si>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</si>
  <si>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</si>
  <si>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</si>
  <si>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</si>
  <si>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</si>
  <si>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</si>
  <si>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</si>
  <si>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</si>
  <si>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</si>
  <si>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</si>
  <si>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</si>
  <si>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</si>
  <si>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</si>
  <si>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</si>
  <si>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</si>
  <si>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</si>
  <si>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</si>
  <si>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</si>
  <si>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</si>
  <si>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</si>
  <si>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</si>
  <si>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</si>
  <si>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</si>
  <si>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</si>
  <si>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</si>
  <si>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</si>
  <si>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</si>
  <si>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</si>
  <si>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</si>
  <si>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</si>
  <si>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</si>
  <si>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</si>
  <si>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</si>
  <si>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</si>
  <si>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</si>
  <si>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</si>
  <si>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</si>
  <si>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</si>
  <si>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</si>
  <si>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</si>
  <si>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</si>
  <si>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</si>
  <si>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</si>
  <si>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</si>
  <si>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</si>
  <si>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</si>
  <si>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</si>
  <si>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</si>
  <si>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</si>
  <si>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</si>
  <si>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</si>
  <si>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</si>
  <si>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</si>
  <si>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</si>
  <si>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</si>
  <si>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</si>
  <si>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</si>
  <si>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</si>
  <si>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</si>
  <si>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</si>
  <si>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</si>
  <si>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</si>
  <si>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</si>
  <si>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</si>
  <si>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</si>
  <si>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</si>
  <si>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</si>
  <si>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</si>
  <si>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</si>
  <si>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</si>
  <si>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</si>
  <si>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</si>
  <si>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[note 3]</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</si>
  <si>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</si>
  <si>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</si>
  <si>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</si>
  <si>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</si>
  <si>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</si>
  <si>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</si>
  <si>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</si>
  <si>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</si>
  <si>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</si>
  <si>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</si>
  <si>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</si>
  <si>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</si>
  <si>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</si>
  <si>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</si>
  <si>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</si>
  <si>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</si>
  <si>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</si>
  <si>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</si>
  <si>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</si>
  <si>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</si>
  <si>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</si>
  <si>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</si>
  <si>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</si>
  <si>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</si>
  <si>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</si>
  <si>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</si>
  <si>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</si>
  <si>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</si>
  <si>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</si>
  <si>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</si>
  <si>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</si>
  <si>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</si>
  <si>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</si>
  <si>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</si>
  <si>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</si>
  <si>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</si>
  <si>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</si>
  <si>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</si>
  <si>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</si>
  <si>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</si>
  <si>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</si>
  <si>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</si>
  <si>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</si>
  <si>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</si>
  <si>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</si>
  <si>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</si>
  <si>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</si>
  <si>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</si>
  <si>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</si>
  <si>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</si>
  <si>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</si>
  <si>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</si>
  <si>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</si>
  <si>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</si>
  <si>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</si>
  <si>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</si>
  <si>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</si>
  <si>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</si>
  <si>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</si>
  <si>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</si>
  <si>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</si>
  <si>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</si>
  <si>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</si>
  <si>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</si>
  <si>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</si>
  <si>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</si>
  <si>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</si>
  <si>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</si>
  <si>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</si>
  <si>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</si>
  <si>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</si>
  <si>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</si>
  <si>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E6135</t>
  </si>
  <si>
    <t>E31000009</t>
  </si>
  <si>
    <t>Cumbria PCC-FRA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</si>
  <si>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</si>
  <si>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</si>
  <si>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</si>
  <si>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</si>
  <si>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</si>
  <si>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</si>
  <si>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</si>
  <si>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</si>
  <si>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</si>
  <si>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</si>
  <si>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</si>
  <si>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</si>
  <si>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</si>
  <si>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</si>
  <si>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</si>
  <si>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</si>
  <si>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</si>
  <si>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</si>
  <si>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</si>
  <si>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</si>
  <si>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</si>
  <si>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</si>
  <si>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</si>
  <si>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</si>
  <si>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</si>
  <si>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</si>
  <si>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</si>
  <si>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</si>
  <si>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</si>
  <si>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</si>
  <si>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</si>
  <si>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</si>
  <si>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</si>
  <si>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</si>
  <si>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</si>
  <si>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</si>
  <si>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</si>
  <si>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</si>
  <si>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</si>
  <si>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E6364</t>
  </si>
  <si>
    <t>E47000015</t>
  </si>
  <si>
    <t>Devon &amp; Torbay Combined County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</si>
  <si>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</si>
  <si>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</si>
  <si>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</si>
  <si>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</si>
  <si>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</si>
  <si>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</si>
  <si>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</si>
  <si>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</si>
  <si>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</si>
  <si>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</si>
  <si>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</si>
  <si>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</si>
  <si>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</si>
  <si>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</si>
  <si>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</si>
  <si>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</si>
  <si>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</si>
  <si>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</si>
  <si>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</si>
  <si>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</si>
  <si>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</si>
  <si>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</si>
  <si>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</si>
  <si>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</si>
  <si>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</si>
  <si>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</si>
  <si>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</si>
  <si>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</si>
  <si>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</si>
  <si>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</si>
  <si>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</si>
  <si>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</si>
  <si>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</si>
  <si>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</si>
  <si>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</si>
  <si>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</si>
  <si>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</si>
  <si>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</si>
  <si>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</si>
  <si>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</si>
  <si>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</si>
  <si>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</si>
  <si>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</si>
  <si>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</si>
  <si>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</si>
  <si>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</si>
  <si>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</si>
  <si>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</si>
  <si>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E6361</t>
  </si>
  <si>
    <t>E47000013</t>
  </si>
  <si>
    <t>East Midlands Combined Authority</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</si>
  <si>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</si>
  <si>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</si>
  <si>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</si>
  <si>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</si>
  <si>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</si>
  <si>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</si>
  <si>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</si>
  <si>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</si>
  <si>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</si>
  <si>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</si>
  <si>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</si>
  <si>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</si>
  <si>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</si>
  <si>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</si>
  <si>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</si>
  <si>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</si>
  <si>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</si>
  <si>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</si>
  <si>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</si>
  <si>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</si>
  <si>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</si>
  <si>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</si>
  <si>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</si>
  <si>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</si>
  <si>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</si>
  <si>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</si>
  <si>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</si>
  <si>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</si>
  <si>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</si>
  <si>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</si>
  <si>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</si>
  <si>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</si>
  <si>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</si>
  <si>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</si>
  <si>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</si>
  <si>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</si>
  <si>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</si>
  <si>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</si>
  <si>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</si>
  <si>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</si>
  <si>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</si>
  <si>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</si>
  <si>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</si>
  <si>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</si>
  <si>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</si>
  <si>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</si>
  <si>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</si>
  <si>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</si>
  <si>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</si>
  <si>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</si>
  <si>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</si>
  <si>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</si>
  <si>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</si>
  <si>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</si>
  <si>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</si>
  <si>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</si>
  <si>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</si>
  <si>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</si>
  <si>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</si>
  <si>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</si>
  <si>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</si>
  <si>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</si>
  <si>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</si>
  <si>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</si>
  <si>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</si>
  <si>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</si>
  <si>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</si>
  <si>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</si>
  <si>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</si>
  <si>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</si>
  <si>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</si>
  <si>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</si>
  <si>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</si>
  <si>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</si>
  <si>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</si>
  <si>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</si>
  <si>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</si>
  <si>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</si>
  <si>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</si>
  <si>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</si>
  <si>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</si>
  <si>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</si>
  <si>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</si>
  <si>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</si>
  <si>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</si>
  <si>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</si>
  <si>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</si>
  <si>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</si>
  <si>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</si>
  <si>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</si>
  <si>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E6362</t>
  </si>
  <si>
    <t>E47000017</t>
  </si>
  <si>
    <t>Greater Lincolnshire Combined County Authority</t>
  </si>
  <si>
    <t>E5100</t>
  </si>
  <si>
    <t>E12000007</t>
  </si>
  <si>
    <t>Greater London Authority</t>
  </si>
  <si>
    <t>E6348</t>
  </si>
  <si>
    <t>E47000001</t>
  </si>
  <si>
    <t>Greater Manchester Combined Authority</t>
  </si>
  <si>
    <t>E7042</t>
  </si>
  <si>
    <t>E23000005</t>
  </si>
  <si>
    <t>Greater Manchester Police</t>
  </si>
  <si>
    <t>E5012</t>
  </si>
  <si>
    <t>E09000011</t>
  </si>
  <si>
    <t>Greenwich</t>
  </si>
  <si>
    <t>E3633</t>
  </si>
  <si>
    <t>E07000209</t>
  </si>
  <si>
    <t>Guildford</t>
  </si>
  <si>
    <t>E5013</t>
  </si>
  <si>
    <t>E09000012</t>
  </si>
  <si>
    <t>Hackney</t>
  </si>
  <si>
    <t>E0601</t>
  </si>
  <si>
    <t>E06000006</t>
  </si>
  <si>
    <t>Halton</t>
  </si>
  <si>
    <t>E5014</t>
  </si>
  <si>
    <t>E09000013</t>
  </si>
  <si>
    <t>Hammersmith &amp; Fulham</t>
  </si>
  <si>
    <t>E1721</t>
  </si>
  <si>
    <t>E10000014</t>
  </si>
  <si>
    <t>Hampshire</t>
  </si>
  <si>
    <t>E6163</t>
  </si>
  <si>
    <t>E31000048</t>
  </si>
  <si>
    <t>Hampshire and Isle of Wight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</si>
  <si>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</si>
  <si>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</si>
  <si>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</si>
  <si>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</si>
  <si>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</si>
  <si>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</si>
  <si>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</si>
  <si>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</si>
  <si>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</si>
  <si>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</si>
  <si>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</si>
  <si>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</si>
  <si>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</si>
  <si>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</si>
  <si>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</si>
  <si>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</si>
  <si>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</si>
  <si>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</si>
  <si>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</si>
  <si>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</si>
  <si>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</si>
  <si>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</si>
  <si>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</si>
  <si>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</si>
  <si>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</si>
  <si>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</si>
  <si>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</si>
  <si>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</si>
  <si>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</si>
  <si>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</si>
  <si>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</si>
  <si>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</si>
  <si>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</si>
  <si>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</si>
  <si>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</si>
  <si>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</si>
  <si>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</si>
  <si>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</si>
  <si>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</si>
  <si>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</si>
  <si>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</si>
  <si>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</si>
  <si>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</si>
  <si>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</si>
  <si>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</si>
  <si>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</si>
  <si>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</si>
  <si>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</si>
  <si>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</si>
  <si>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</si>
  <si>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</si>
  <si>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</si>
  <si>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</si>
  <si>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</si>
  <si>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</si>
  <si>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</si>
  <si>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</si>
  <si>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</si>
  <si>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</si>
  <si>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</si>
  <si>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E6363</t>
  </si>
  <si>
    <t>E47000016</t>
  </si>
  <si>
    <t>Hull and East Yorkshire Combined County Authority</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</si>
  <si>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</si>
  <si>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</si>
  <si>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</si>
  <si>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</si>
  <si>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</si>
  <si>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</si>
  <si>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</si>
  <si>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</si>
  <si>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</si>
  <si>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</si>
  <si>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</si>
  <si>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</si>
  <si>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</si>
  <si>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</si>
  <si>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</si>
  <si>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</si>
  <si>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</si>
  <si>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</si>
  <si>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</si>
  <si>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</si>
  <si>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</si>
  <si>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</si>
  <si>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</si>
  <si>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</si>
  <si>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</si>
  <si>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</si>
  <si>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</si>
  <si>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</si>
  <si>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</si>
  <si>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</si>
  <si>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</si>
  <si>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</si>
  <si>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</si>
  <si>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</si>
  <si>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</si>
  <si>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</si>
  <si>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</si>
  <si>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</si>
  <si>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</si>
  <si>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</si>
  <si>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</si>
  <si>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</si>
  <si>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</si>
  <si>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</si>
  <si>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</si>
  <si>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</si>
  <si>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</si>
  <si>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</si>
  <si>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</si>
  <si>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</si>
  <si>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</si>
  <si>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</si>
  <si>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</si>
  <si>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</si>
  <si>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</si>
  <si>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</si>
  <si>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</si>
  <si>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</si>
  <si>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</si>
  <si>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</si>
  <si>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E6365</t>
  </si>
  <si>
    <t>E47000018</t>
  </si>
  <si>
    <t>Lancashire Combined County Authority</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</si>
  <si>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</si>
  <si>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</si>
  <si>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</si>
  <si>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</si>
  <si>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</si>
  <si>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</si>
  <si>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</si>
  <si>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</si>
  <si>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</si>
  <si>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</si>
  <si>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</si>
  <si>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</si>
  <si>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</si>
  <si>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</si>
  <si>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</si>
  <si>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</si>
  <si>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</si>
  <si>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</si>
  <si>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</si>
  <si>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</si>
  <si>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</si>
  <si>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</si>
  <si>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</si>
  <si>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</si>
  <si>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</si>
  <si>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</si>
  <si>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</si>
  <si>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</si>
  <si>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</si>
  <si>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</si>
  <si>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</si>
  <si>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</si>
  <si>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</si>
  <si>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</si>
  <si>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</si>
  <si>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</si>
  <si>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</si>
  <si>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</si>
  <si>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</si>
  <si>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</si>
  <si>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</si>
  <si>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</si>
  <si>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</si>
  <si>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</si>
  <si>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</si>
  <si>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</si>
  <si>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</si>
  <si>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</si>
  <si>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</si>
  <si>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</si>
  <si>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</si>
  <si>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</si>
  <si>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</si>
  <si>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</si>
  <si>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</si>
  <si>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</si>
  <si>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</si>
  <si>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</si>
  <si>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</si>
  <si>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</si>
  <si>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</si>
  <si>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</si>
  <si>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</si>
  <si>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</si>
  <si>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</si>
  <si>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</si>
  <si>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</si>
  <si>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</si>
  <si>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</si>
  <si>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</si>
  <si>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</si>
  <si>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</si>
  <si>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</si>
  <si>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</si>
  <si>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E6143</t>
  </si>
  <si>
    <t>E31000041</t>
  </si>
  <si>
    <t>Merseyside Fire &amp; Rescue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</si>
  <si>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</si>
  <si>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</si>
  <si>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</si>
  <si>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</si>
  <si>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</si>
  <si>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</si>
  <si>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</si>
  <si>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</si>
  <si>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</si>
  <si>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</si>
  <si>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</si>
  <si>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</si>
  <si>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</si>
  <si>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</si>
  <si>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</si>
  <si>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</si>
  <si>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</si>
  <si>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</si>
  <si>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</si>
  <si>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</si>
  <si>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</si>
  <si>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</si>
  <si>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</si>
  <si>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</si>
  <si>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</si>
  <si>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</si>
  <si>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</si>
  <si>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</si>
  <si>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</si>
  <si>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</si>
  <si>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</si>
  <si>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</si>
  <si>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</si>
  <si>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</si>
  <si>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</si>
  <si>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</si>
  <si>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</si>
  <si>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</si>
  <si>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</si>
  <si>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</si>
  <si>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</si>
  <si>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</si>
  <si>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</si>
  <si>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</si>
  <si>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</si>
  <si>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</si>
  <si>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</si>
  <si>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</si>
  <si>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</si>
  <si>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</si>
  <si>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</si>
  <si>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</si>
  <si>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</si>
  <si>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</si>
  <si>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E1038</t>
  </si>
  <si>
    <t>E07000038</t>
  </si>
  <si>
    <t>North East Derbyshire</t>
  </si>
  <si>
    <t>E2003</t>
  </si>
  <si>
    <t>E06000012</t>
  </si>
  <si>
    <t>North East Lincolnshire</t>
  </si>
  <si>
    <t>E6359</t>
  </si>
  <si>
    <t>E47000014</t>
  </si>
  <si>
    <t>North East Mayoral Combined Authority</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</si>
  <si>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</si>
  <si>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</si>
  <si>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</si>
  <si>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</si>
  <si>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</si>
  <si>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</si>
  <si>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</si>
  <si>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</si>
  <si>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</si>
  <si>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</si>
  <si>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</si>
  <si>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</si>
  <si>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</si>
  <si>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</si>
  <si>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</si>
  <si>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</si>
  <si>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</si>
  <si>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</si>
  <si>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</si>
  <si>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</si>
  <si>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</si>
  <si>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</si>
  <si>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</si>
  <si>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</si>
  <si>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</si>
  <si>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</si>
  <si>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</si>
  <si>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</si>
  <si>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</si>
  <si>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</si>
  <si>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</si>
  <si>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</si>
  <si>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</si>
  <si>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E2702</t>
  </si>
  <si>
    <t>E06000065</t>
  </si>
  <si>
    <t>North Yorkshire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</si>
  <si>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</si>
  <si>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</si>
  <si>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</si>
  <si>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</si>
  <si>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</si>
  <si>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</si>
  <si>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</si>
  <si>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</si>
  <si>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</si>
  <si>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</si>
  <si>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</si>
  <si>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</si>
  <si>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</si>
  <si>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</si>
  <si>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</si>
  <si>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</si>
  <si>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</si>
  <si>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</si>
  <si>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</si>
  <si>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</si>
  <si>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</si>
  <si>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</si>
  <si>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</si>
  <si>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</si>
  <si>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</si>
  <si>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</si>
  <si>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</si>
  <si>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</si>
  <si>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</si>
  <si>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</si>
  <si>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</si>
  <si>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</si>
  <si>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</si>
  <si>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</si>
  <si>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</si>
  <si>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</si>
  <si>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</si>
  <si>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</si>
  <si>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</si>
  <si>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</si>
  <si>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</si>
  <si>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</si>
  <si>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</si>
  <si>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</si>
  <si>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</si>
  <si>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</si>
  <si>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</si>
  <si>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</si>
  <si>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</si>
  <si>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</si>
  <si>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</si>
  <si>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</si>
  <si>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</si>
  <si>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</si>
  <si>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</si>
  <si>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</si>
  <si>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</si>
  <si>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</si>
  <si>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</si>
  <si>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</si>
  <si>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</si>
  <si>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</si>
  <si>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</si>
  <si>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</si>
  <si>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</si>
  <si>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</si>
  <si>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</si>
  <si>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</si>
  <si>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</si>
  <si>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</si>
  <si>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</si>
  <si>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</si>
  <si>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</si>
  <si>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</si>
  <si>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</si>
  <si>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</si>
  <si>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</si>
  <si>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</si>
  <si>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</si>
  <si>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</si>
  <si>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</si>
  <si>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</si>
  <si>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</si>
  <si>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</si>
  <si>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</si>
  <si>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</si>
  <si>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</si>
  <si>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</si>
  <si>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</si>
  <si>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</si>
  <si>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</si>
  <si>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</si>
  <si>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</si>
  <si>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</si>
  <si>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</si>
  <si>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</si>
  <si>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</si>
  <si>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</si>
  <si>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</si>
  <si>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</si>
  <si>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</si>
  <si>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</si>
  <si>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</si>
  <si>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</si>
  <si>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</si>
  <si>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</si>
  <si>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</si>
  <si>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</si>
  <si>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</si>
  <si>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</si>
  <si>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</si>
  <si>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</si>
  <si>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</si>
  <si>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</si>
  <si>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</si>
  <si>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</si>
  <si>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</si>
  <si>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</si>
  <si>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</si>
  <si>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</si>
  <si>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</si>
  <si>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</si>
  <si>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</si>
  <si>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</si>
  <si>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</si>
  <si>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</si>
  <si>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</si>
  <si>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E08000039</t>
  </si>
  <si>
    <t>Sheffield</t>
  </si>
  <si>
    <t>E3202</t>
  </si>
  <si>
    <t>E06000051</t>
  </si>
  <si>
    <t>Shropshire</t>
  </si>
  <si>
    <t>E6132</t>
  </si>
  <si>
    <t>E31000032</t>
  </si>
  <si>
    <t>Shropshire Combined Fire Authority</t>
  </si>
  <si>
    <t>E0304</t>
  </si>
  <si>
    <t>E06000039</t>
  </si>
  <si>
    <t>Slough</t>
  </si>
  <si>
    <t>E4605</t>
  </si>
  <si>
    <t>E08000029</t>
  </si>
  <si>
    <t>Solihull</t>
  </si>
  <si>
    <t>E3301</t>
  </si>
  <si>
    <t>E06000066</t>
  </si>
  <si>
    <t>Somerset</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</si>
  <si>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</si>
  <si>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</si>
  <si>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</si>
  <si>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</si>
  <si>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</si>
  <si>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</si>
  <si>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</si>
  <si>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</si>
  <si>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</si>
  <si>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</si>
  <si>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</si>
  <si>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</si>
  <si>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</si>
  <si>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</si>
  <si>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</si>
  <si>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</si>
  <si>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</si>
  <si>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</si>
  <si>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</si>
  <si>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</si>
  <si>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</si>
  <si>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</si>
  <si>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</si>
  <si>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</si>
  <si>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</si>
  <si>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</si>
  <si>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</si>
  <si>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</si>
  <si>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</si>
  <si>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</si>
  <si>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</si>
  <si>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</si>
  <si>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</si>
  <si>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</si>
  <si>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</si>
  <si>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</si>
  <si>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E6144</t>
  </si>
  <si>
    <t>E31000042</t>
  </si>
  <si>
    <t>South Yorkshire Fire &amp; Rescue Authority</t>
  </si>
  <si>
    <t>E6350</t>
  </si>
  <si>
    <t>E47000002</t>
  </si>
  <si>
    <t>South Yorkshire Mayoral Combined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</si>
  <si>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</si>
  <si>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</si>
  <si>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</si>
  <si>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</si>
  <si>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</si>
  <si>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</si>
  <si>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</si>
  <si>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</si>
  <si>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</si>
  <si>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</si>
  <si>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</si>
  <si>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</si>
  <si>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</si>
  <si>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</si>
  <si>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</si>
  <si>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</si>
  <si>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</si>
  <si>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</si>
  <si>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</si>
  <si>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</si>
  <si>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</si>
  <si>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</si>
  <si>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</si>
  <si>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</si>
  <si>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</si>
  <si>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</si>
  <si>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</si>
  <si>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</si>
  <si>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</si>
  <si>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</si>
  <si>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</si>
  <si>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</si>
  <si>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</si>
  <si>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</si>
  <si>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</si>
  <si>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</si>
  <si>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</si>
  <si>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</si>
  <si>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</si>
  <si>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</si>
  <si>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</si>
  <si>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</si>
  <si>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</si>
  <si>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</si>
  <si>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</si>
  <si>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</si>
  <si>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</si>
  <si>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</si>
  <si>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</si>
  <si>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</si>
  <si>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</si>
  <si>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</si>
  <si>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</si>
  <si>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</si>
  <si>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</si>
  <si>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</si>
  <si>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</si>
  <si>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</si>
  <si>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</si>
  <si>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</si>
  <si>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</si>
  <si>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</si>
  <si>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</si>
  <si>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</si>
  <si>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</si>
  <si>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</si>
  <si>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</si>
  <si>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</si>
  <si>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</si>
  <si>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</si>
  <si>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</si>
  <si>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</si>
  <si>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</si>
  <si>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</si>
  <si>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</si>
  <si>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</si>
  <si>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</si>
  <si>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</si>
  <si>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</si>
  <si>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</si>
  <si>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</si>
  <si>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</si>
  <si>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</si>
  <si>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</si>
  <si>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</si>
  <si>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</si>
  <si>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</si>
  <si>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</si>
  <si>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</si>
  <si>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</si>
  <si>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</si>
  <si>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</si>
  <si>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</si>
  <si>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</si>
  <si>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</si>
  <si>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</si>
  <si>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</si>
  <si>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</si>
  <si>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</si>
  <si>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</si>
  <si>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</si>
  <si>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</si>
  <si>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</si>
  <si>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</si>
  <si>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</si>
  <si>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</si>
  <si>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</si>
  <si>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</si>
  <si>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</si>
  <si>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</si>
  <si>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</si>
  <si>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</si>
  <si>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</si>
  <si>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</si>
  <si>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</si>
  <si>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</si>
  <si>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</si>
  <si>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</si>
  <si>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</si>
  <si>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</si>
  <si>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</si>
  <si>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</si>
  <si>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</si>
  <si>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</si>
  <si>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</si>
  <si>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</si>
  <si>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</si>
  <si>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</si>
  <si>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</si>
  <si>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</si>
  <si>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</si>
  <si>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</si>
  <si>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</si>
  <si>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</si>
  <si>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</si>
  <si>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</si>
  <si>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</si>
  <si>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</si>
  <si>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</si>
  <si>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</si>
  <si>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</si>
  <si>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</si>
  <si>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</si>
  <si>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</si>
  <si>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</si>
  <si>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</si>
  <si>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</si>
  <si>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</si>
  <si>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</si>
  <si>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</si>
  <si>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</si>
  <si>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</si>
  <si>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</si>
  <si>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</si>
  <si>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</si>
  <si>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</si>
  <si>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</si>
  <si>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</si>
  <si>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</si>
  <si>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</si>
  <si>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</si>
  <si>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</si>
  <si>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</si>
  <si>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</si>
  <si>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</si>
  <si>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</si>
  <si>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</si>
  <si>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</si>
  <si>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</si>
  <si>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</si>
  <si>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</si>
  <si>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</si>
  <si>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</si>
  <si>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</si>
  <si>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</si>
  <si>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</si>
  <si>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</si>
  <si>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</si>
  <si>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</si>
  <si>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</si>
  <si>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</si>
  <si>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</si>
  <si>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</si>
  <si>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[note 2]</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</si>
  <si>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</si>
  <si>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</si>
  <si>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</si>
  <si>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</si>
  <si>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</si>
  <si>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</si>
  <si>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</si>
  <si>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</si>
  <si>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</si>
  <si>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</si>
  <si>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</si>
  <si>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</si>
  <si>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</si>
  <si>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</si>
  <si>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</si>
  <si>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</si>
  <si>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</si>
  <si>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</si>
  <si>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</si>
  <si>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</si>
  <si>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</si>
  <si>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</si>
  <si>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</si>
  <si>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</si>
  <si>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</si>
  <si>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</si>
  <si>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</si>
  <si>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</si>
  <si>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</si>
  <si>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</si>
  <si>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</si>
  <si>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</si>
  <si>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</si>
  <si>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E0902</t>
  </si>
  <si>
    <t>E06000064</t>
  </si>
  <si>
    <t xml:space="preserve">Westmorland and Furness </t>
  </si>
  <si>
    <t>E2802</t>
  </si>
  <si>
    <t>E06000062</t>
  </si>
  <si>
    <t>West Northamptonshire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</si>
  <si>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</si>
  <si>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</si>
  <si>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</si>
  <si>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</si>
  <si>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</si>
  <si>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</si>
  <si>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</si>
  <si>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</si>
  <si>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</si>
  <si>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</si>
  <si>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</si>
  <si>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</si>
  <si>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</si>
  <si>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</si>
  <si>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</si>
  <si>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</si>
  <si>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</si>
  <si>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Rescue Authority</t>
  </si>
  <si>
    <t>E7047</t>
  </si>
  <si>
    <t>E23000010</t>
  </si>
  <si>
    <t>West Yorkshire Police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</si>
  <si>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</si>
  <si>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</si>
  <si>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</si>
  <si>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</si>
  <si>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</si>
  <si>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</si>
  <si>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</si>
  <si>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</si>
  <si>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</si>
  <si>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</si>
  <si>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</si>
  <si>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</si>
  <si>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</si>
  <si>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</si>
  <si>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</si>
  <si>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</si>
  <si>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</si>
  <si>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</si>
  <si>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</si>
  <si>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</si>
  <si>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</si>
  <si>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</si>
  <si>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</si>
  <si>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</si>
  <si>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</si>
  <si>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</si>
  <si>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</si>
  <si>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</si>
  <si>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</si>
  <si>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</si>
  <si>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</si>
  <si>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</si>
  <si>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</si>
  <si>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</si>
  <si>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</si>
  <si>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</si>
  <si>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</si>
  <si>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</si>
  <si>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</si>
  <si>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</si>
  <si>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</si>
  <si>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</si>
  <si>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</si>
  <si>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</si>
  <si>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</si>
  <si>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</si>
  <si>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</si>
  <si>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</si>
  <si>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</si>
  <si>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</si>
  <si>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</si>
  <si>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</si>
  <si>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</si>
  <si>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</si>
  <si>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E6360</t>
  </si>
  <si>
    <t>E47000012</t>
  </si>
  <si>
    <t>York and North Yorkshire Combined Authority</t>
  </si>
  <si>
    <t>E6407</t>
  </si>
  <si>
    <t>E26000012</t>
  </si>
  <si>
    <t>Yorkshire Dales National Park Authority</t>
  </si>
  <si>
    <t>LOCAL AUTH</t>
  </si>
  <si>
    <t>E-CODE</t>
  </si>
  <si>
    <t>ONS CODE</t>
  </si>
  <si>
    <t>FORM DIST CODE</t>
  </si>
  <si>
    <t>SAR CODE</t>
  </si>
  <si>
    <t>FORM DISTRIBUTION</t>
  </si>
  <si>
    <t>CIL</t>
  </si>
  <si>
    <t>BILLING</t>
  </si>
  <si>
    <t>ASC</t>
  </si>
  <si>
    <t>PUBLIC HEALTH</t>
  </si>
  <si>
    <t>UPPER TIER SERVICES</t>
  </si>
  <si>
    <t>Please select your authority name on Title page</t>
  </si>
  <si>
    <t>Your Authority ONS Code will appear here!</t>
  </si>
  <si>
    <t>Forms to be completed will appear here !</t>
  </si>
  <si>
    <t>RO2, RO3, RO4, RO5, RO6, RS, RSm, RSX, TSR, RG</t>
  </si>
  <si>
    <t>RO2, RO3, RO4, RO5, RO6, RS, RSm, RSX, TSR, RG, SAR</t>
  </si>
  <si>
    <t>RO4, RO5, RO6, RS, RSm, RSX, TSR, RG, SAR</t>
  </si>
  <si>
    <t>RO4, RO5, RO6, RS, RSm, RSX, TSR, RG</t>
  </si>
  <si>
    <t>RO1, RO2, RO3, RO4, RO5, RO6, RS, RSm, RSX, TSR, RG</t>
  </si>
  <si>
    <t>RO1, RO2, RO3, RO4, RO5, RO6, RS, RSm, RSX, TSR, RG, SAR</t>
  </si>
  <si>
    <t>Bedfordshire Fire and Rescue Authority</t>
  </si>
  <si>
    <t>Berkshire Fire and Rescue Authority</t>
  </si>
  <si>
    <t>Buckinghamshire UA</t>
  </si>
  <si>
    <t>Buckinghamshire &amp; Milton Keynes Fire and Rescue Authority</t>
  </si>
  <si>
    <t>RO1, RO2, RO4, RO5, RO6, RS, RSm, RSX, TSR, RG</t>
  </si>
  <si>
    <t>Cambridgeshire Fire and Rescue Authority</t>
  </si>
  <si>
    <t>Cheshire Fire and Rescue Authority</t>
  </si>
  <si>
    <t>Cleveland Fire and Rescue Authority</t>
  </si>
  <si>
    <t>Cumberland UA</t>
  </si>
  <si>
    <t>RO2, RO4, RO5 RO6, RS, RSm, RSX, TSR, RG</t>
  </si>
  <si>
    <t>Derbyshire Fire and Rescue Authority</t>
  </si>
  <si>
    <t>Devon &amp; Somerset Fire and Rescue Authority</t>
  </si>
  <si>
    <t>Dorset and Wiltshire Fire and Rescue Authority</t>
  </si>
  <si>
    <t>Durham Fire and Rescue Authority</t>
  </si>
  <si>
    <t>East Sussex Fire and Rescue Authority</t>
  </si>
  <si>
    <t>Essex Police, Fire and Crime Commissioner - Fire</t>
  </si>
  <si>
    <t>Essex Police, Fire and Crime Commissioner - Police</t>
  </si>
  <si>
    <t>RO1, RO2, RO3, RO4, RO5, RO6, RS, RSm, RSX, TSR, RG,SAR</t>
  </si>
  <si>
    <t>Hereford &amp; Worcester Fire and Rescue Authority</t>
  </si>
  <si>
    <t>Humberside Fire and Rescue Authority</t>
  </si>
  <si>
    <t>Kent Fire and Rescue Authority</t>
  </si>
  <si>
    <t>RO2, RO4, RO5, RO6, RS, RSm, RSX, TSR, RG</t>
  </si>
  <si>
    <t>Lancashire Fire and Rescue Authority</t>
  </si>
  <si>
    <t>Leicestershire Fire and Rescue Authority</t>
  </si>
  <si>
    <t>North Yorkshire UA</t>
  </si>
  <si>
    <t>Northamptonshire Police, Fire and Crime Commissioner - Police</t>
  </si>
  <si>
    <t>Northamptonshire Police, Fire and Crime Commissioner - Fire</t>
  </si>
  <si>
    <t>Nottinghamshire Fire &amp; Rescue Authority</t>
  </si>
  <si>
    <t>Shropshire Fire and Rescue Authority</t>
  </si>
  <si>
    <t>Somerset UA</t>
  </si>
  <si>
    <t>RO2, RO4, RO5, RO6, RS, RSm, RSX, TSR, RG, SAR</t>
  </si>
  <si>
    <t>Staffordshire Police, Fire and Crime Commissioner - Fire</t>
  </si>
  <si>
    <t>Staffordshire Police, Fire and Crime Commissioner - Police</t>
  </si>
  <si>
    <t>Westmorland &amp; Furness UA</t>
  </si>
  <si>
    <t>Dropdown options for contact details tab</t>
  </si>
  <si>
    <t>Yes, our S151 officer is the Chief Financial Officer</t>
  </si>
  <si>
    <t>No, it is a different person</t>
  </si>
  <si>
    <t>Chief Financial Officer</t>
  </si>
  <si>
    <t>Deputy Chief Financial Officer</t>
  </si>
  <si>
    <t>S151 Officer</t>
  </si>
  <si>
    <t>Deputy S151 Officer</t>
  </si>
  <si>
    <t>Row 3 is populated based on the LA selected</t>
  </si>
  <si>
    <t>Education services RS LINE 190</t>
  </si>
  <si>
    <t>Highways and transport services RS LINE 290</t>
  </si>
  <si>
    <t>Children Social Care RS LINE 330</t>
  </si>
  <si>
    <t>Adult Social Care RS LINE 360</t>
  </si>
  <si>
    <t>Housing services (GFRA only) RS LINE 490</t>
  </si>
  <si>
    <t>Cultural and related services RS LINE 509</t>
  </si>
  <si>
    <t>Environmental and regulatory services RS LINE 590</t>
  </si>
  <si>
    <t>Planning and Development Services RS LINE 599</t>
  </si>
  <si>
    <t>Police services RS LINE 601</t>
  </si>
  <si>
    <t>Fire and rescue services RS LINE 602</t>
  </si>
  <si>
    <t>Integrated Transport Authority levy (- for authorities for which this is an income, + for others) RS LINE 722</t>
  </si>
  <si>
    <t>Waste Disposal Authority levy (- for authorities for which this is an income, + for others) RS LINE 724</t>
  </si>
  <si>
    <t>London Pensions Fund Authority levy RS LINE 727</t>
  </si>
  <si>
    <t>Contribution to the HRA re items shared by the whole community RS LINE 718</t>
  </si>
  <si>
    <t>Housing benefits: rent allowances - mandatory payments RS LINE 711</t>
  </si>
  <si>
    <t>Housing benefits: non-HRA rent rebates - mandatory payments RS LINE 712</t>
  </si>
  <si>
    <t>Housing benefits: rent rebates to HRA tenants - mandatory payments RS LINE 713</t>
  </si>
  <si>
    <t>Levy: Environment Agency flood defence: payments(+) receipts(-) RS LINE 759</t>
  </si>
  <si>
    <t>Schools reserves level RS LINE 911</t>
  </si>
  <si>
    <t>Other earmarked financial reserves level (including exceptional elements) RS LINE 915</t>
  </si>
  <si>
    <t>Unallocated financial reserves level RS LINE 916</t>
  </si>
  <si>
    <t>These data are sourced from the RO 2024-25 statistical release published in December 2024. You can find the full release here: https://www.gov.uk/government/collections/local-authority-revenue-expenditure-and-financing</t>
  </si>
  <si>
    <t>RO1107</t>
  </si>
  <si>
    <t>RO1207</t>
  </si>
  <si>
    <t>RO1307</t>
  </si>
  <si>
    <t>RO1407</t>
  </si>
  <si>
    <t>RO1457</t>
  </si>
  <si>
    <t>RO1657</t>
  </si>
  <si>
    <t>RO1907</t>
  </si>
  <si>
    <t>RO119012</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</si>
  <si>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</si>
  <si>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</si>
  <si>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</si>
  <si>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</si>
  <si>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</si>
  <si>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</si>
  <si>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</si>
  <si>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</si>
  <si>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</si>
  <si>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</si>
  <si>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</si>
  <si>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</si>
  <si>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</si>
  <si>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</si>
  <si>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</si>
  <si>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</si>
  <si>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</si>
  <si>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</si>
  <si>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</si>
  <si>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</si>
  <si>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</si>
  <si>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</si>
  <si>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</si>
  <si>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RO219012</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</si>
  <si>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</si>
  <si>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</si>
  <si>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</si>
  <si>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</si>
  <si>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</si>
  <si>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</si>
  <si>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</si>
  <si>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</si>
  <si>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</si>
  <si>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</si>
  <si>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</si>
  <si>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</si>
  <si>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</si>
  <si>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</si>
  <si>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</si>
  <si>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</si>
  <si>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</si>
  <si>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</si>
  <si>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</si>
  <si>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</si>
  <si>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</si>
  <si>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RO33012</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</si>
  <si>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</si>
  <si>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</si>
  <si>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</si>
  <si>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</si>
  <si>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</si>
  <si>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</si>
  <si>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</si>
  <si>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</si>
  <si>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</si>
  <si>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</si>
  <si>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</si>
  <si>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</si>
  <si>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</si>
  <si>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</si>
  <si>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</si>
  <si>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</si>
  <si>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</si>
  <si>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</si>
  <si>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</si>
  <si>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RO36012</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</si>
  <si>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</si>
  <si>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</si>
  <si>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</si>
  <si>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</si>
  <si>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</si>
  <si>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</si>
  <si>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</si>
  <si>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</si>
  <si>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</si>
  <si>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</si>
  <si>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</si>
  <si>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</si>
  <si>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</si>
  <si>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</si>
  <si>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</si>
  <si>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</si>
  <si>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</si>
  <si>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</si>
  <si>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</si>
  <si>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</si>
  <si>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</si>
  <si>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</si>
  <si>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</si>
  <si>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</si>
  <si>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</si>
  <si>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RO319012</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</si>
  <si>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</si>
  <si>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</si>
  <si>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</si>
  <si>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</si>
  <si>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</si>
  <si>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</si>
  <si>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</si>
  <si>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</si>
  <si>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</si>
  <si>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</si>
  <si>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</si>
  <si>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</si>
  <si>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</si>
  <si>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</si>
  <si>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</si>
  <si>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</si>
  <si>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</si>
  <si>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</si>
  <si>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</si>
  <si>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</si>
  <si>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</si>
  <si>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</si>
  <si>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</si>
  <si>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</si>
  <si>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</si>
  <si>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</si>
  <si>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</si>
  <si>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</si>
  <si>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RO419012</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</si>
  <si>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</si>
  <si>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</si>
  <si>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</si>
  <si>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</si>
  <si>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</si>
  <si>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</si>
  <si>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</si>
  <si>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</si>
  <si>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</si>
  <si>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</si>
  <si>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</si>
  <si>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</si>
  <si>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</si>
  <si>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</si>
  <si>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</si>
  <si>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</si>
  <si>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</si>
  <si>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</si>
  <si>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</si>
  <si>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RO41318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</si>
  <si>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</si>
  <si>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</si>
  <si>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</si>
  <si>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</si>
  <si>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</si>
  <si>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</si>
  <si>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</si>
  <si>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</si>
  <si>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</si>
  <si>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</si>
  <si>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</si>
  <si>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</si>
  <si>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</si>
  <si>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</si>
  <si>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</si>
  <si>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</si>
  <si>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</si>
  <si>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RO511912</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</si>
  <si>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</si>
  <si>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</si>
  <si>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</si>
  <si>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</si>
  <si>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</si>
  <si>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</si>
  <si>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</si>
  <si>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</si>
  <si>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</si>
  <si>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</si>
  <si>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</si>
  <si>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</si>
  <si>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</si>
  <si>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</si>
  <si>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</si>
  <si>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</si>
  <si>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</si>
  <si>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</si>
  <si>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</si>
  <si>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</si>
  <si>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</si>
  <si>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</si>
  <si>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</si>
  <si>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</si>
  <si>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</si>
  <si>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</si>
  <si>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</si>
  <si>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</si>
  <si>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</si>
  <si>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RO512912</t>
  </si>
  <si>
    <t>RO53107</t>
  </si>
  <si>
    <t>RO53207</t>
  </si>
  <si>
    <t>RO53357</t>
  </si>
  <si>
    <t>RO53387</t>
  </si>
  <si>
    <t>RO53407</t>
  </si>
  <si>
    <t>RO53507</t>
  </si>
  <si>
    <t>RO53517</t>
  </si>
  <si>
    <t>RO53527</t>
  </si>
  <si>
    <t>RO53607</t>
  </si>
  <si>
    <t>RO53907</t>
  </si>
  <si>
    <t>RO513912</t>
  </si>
  <si>
    <t>RO54007</t>
  </si>
  <si>
    <t>RO514012</t>
  </si>
  <si>
    <t>RO61007</t>
  </si>
  <si>
    <t>RO612912</t>
  </si>
  <si>
    <t>RO62107</t>
  </si>
  <si>
    <t>RO62207</t>
  </si>
  <si>
    <t>RO62307</t>
  </si>
  <si>
    <t>RO62907</t>
  </si>
  <si>
    <t>RO613912</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</si>
  <si>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</si>
  <si>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</si>
  <si>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</si>
  <si>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</si>
  <si>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</si>
  <si>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</si>
  <si>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</si>
  <si>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</si>
  <si>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</si>
  <si>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</si>
  <si>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</si>
  <si>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</si>
  <si>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</si>
  <si>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</si>
  <si>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</si>
  <si>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</si>
  <si>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</si>
  <si>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</si>
  <si>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</si>
  <si>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</si>
  <si>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</si>
  <si>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RO614912</t>
  </si>
  <si>
    <t>RO64915</t>
  </si>
  <si>
    <t>RO64925</t>
  </si>
  <si>
    <t>RO64935</t>
  </si>
  <si>
    <t>RO64945</t>
  </si>
  <si>
    <t>RO64955</t>
  </si>
  <si>
    <t>RO65007</t>
  </si>
  <si>
    <t>RO615012</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</si>
  <si>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</si>
  <si>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</si>
  <si>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</si>
  <si>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</si>
  <si>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</si>
  <si>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</si>
  <si>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</si>
  <si>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</si>
  <si>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</si>
  <si>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</si>
  <si>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</si>
  <si>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</si>
  <si>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</si>
  <si>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</si>
  <si>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</si>
  <si>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</si>
  <si>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</si>
  <si>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</si>
  <si>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</si>
  <si>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</si>
  <si>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</si>
  <si>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</si>
  <si>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</si>
  <si>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</si>
  <si>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</si>
  <si>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</si>
  <si>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</si>
  <si>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</si>
  <si>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</si>
  <si>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</si>
  <si>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</si>
  <si>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</si>
  <si>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</si>
  <si>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</si>
  <si>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</si>
  <si>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</si>
  <si>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</si>
  <si>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</si>
  <si>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</si>
  <si>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</si>
  <si>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</si>
  <si>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</si>
  <si>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</si>
  <si>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</si>
  <si>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</si>
  <si>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</si>
  <si>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</si>
  <si>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</si>
  <si>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</si>
  <si>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</si>
  <si>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</si>
  <si>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</si>
  <si>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</si>
  <si>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</si>
  <si>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</si>
  <si>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</si>
  <si>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</si>
  <si>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</si>
  <si>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</si>
  <si>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</si>
  <si>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</si>
  <si>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</si>
  <si>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</si>
  <si>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</si>
  <si>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</si>
  <si>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</si>
  <si>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</si>
  <si>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</si>
  <si>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</si>
  <si>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RS9122</t>
  </si>
  <si>
    <t>RS9132</t>
  </si>
  <si>
    <t>RS9142</t>
  </si>
  <si>
    <t>RS9152</t>
  </si>
  <si>
    <t>RS9162</t>
  </si>
  <si>
    <t>RS9113</t>
  </si>
  <si>
    <t>RS9123</t>
  </si>
  <si>
    <t>RS9133</t>
  </si>
  <si>
    <t>RS9143</t>
  </si>
  <si>
    <t>RS9153</t>
  </si>
  <si>
    <t>RS9163</t>
  </si>
  <si>
    <t>RS9202</t>
  </si>
  <si>
    <t>RS9311</t>
  </si>
  <si>
    <t>RS9331</t>
  </si>
  <si>
    <t>RS9341</t>
  </si>
  <si>
    <t>RS9351</t>
  </si>
  <si>
    <t>RS9361</t>
  </si>
  <si>
    <t>RS9391</t>
  </si>
  <si>
    <t>RS9411</t>
  </si>
  <si>
    <t>RS9421</t>
  </si>
  <si>
    <t>RS9805</t>
  </si>
  <si>
    <t>RS9815</t>
  </si>
  <si>
    <t>RS9825</t>
  </si>
  <si>
    <t>RS9836</t>
  </si>
  <si>
    <t>RS9837</t>
  </si>
  <si>
    <t>RS9948</t>
  </si>
  <si>
    <t>RS9958</t>
  </si>
  <si>
    <t>RS9968</t>
  </si>
  <si>
    <t>RS9978</t>
  </si>
  <si>
    <t>RS10232</t>
  </si>
  <si>
    <t>RS10242</t>
  </si>
  <si>
    <t>RS10252</t>
  </si>
  <si>
    <t>RS10262</t>
  </si>
  <si>
    <t>RS10272</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</si>
  <si>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</si>
  <si>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</si>
  <si>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</si>
  <si>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</si>
  <si>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</si>
  <si>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</si>
  <si>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</si>
  <si>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</si>
  <si>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</si>
  <si>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</si>
  <si>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</si>
  <si>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</si>
  <si>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</si>
  <si>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</si>
  <si>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</si>
  <si>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</si>
  <si>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</si>
  <si>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</si>
  <si>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</si>
  <si>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</si>
  <si>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</si>
  <si>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</si>
  <si>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</si>
  <si>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</si>
  <si>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</si>
  <si>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</si>
  <si>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</si>
  <si>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</si>
  <si>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</si>
  <si>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</si>
  <si>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</si>
  <si>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</si>
  <si>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</si>
  <si>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</si>
  <si>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</si>
  <si>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</si>
  <si>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</si>
  <si>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</si>
  <si>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</si>
  <si>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</si>
  <si>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</si>
  <si>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</si>
  <si>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</si>
  <si>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</si>
  <si>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</si>
  <si>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</si>
  <si>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</si>
  <si>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</si>
  <si>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</si>
  <si>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</si>
  <si>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</si>
  <si>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</si>
  <si>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</si>
  <si>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</si>
  <si>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</si>
  <si>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</si>
  <si>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</si>
  <si>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</si>
  <si>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</si>
  <si>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</si>
  <si>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</si>
  <si>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</si>
  <si>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</si>
  <si>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</si>
  <si>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</si>
  <si>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</si>
  <si>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</si>
  <si>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</si>
  <si>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</si>
  <si>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</si>
  <si>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</si>
  <si>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</si>
  <si>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</si>
  <si>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</si>
  <si>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</si>
  <si>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</si>
  <si>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</si>
  <si>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</si>
  <si>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</si>
  <si>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</si>
  <si>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</si>
  <si>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</si>
  <si>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</si>
  <si>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</si>
  <si>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Highways maintenance planning, policy and strategy - Net Current Expenditure
 (C7 = C3 - C6)</t>
  </si>
  <si>
    <t>Public and other transport planning, policy and strategy - Net Current Expenditure
 (C7 = C3 - C6)8</t>
  </si>
  <si>
    <t>Structural maintenance - principal roads - Net Current Expenditure
 (C7 = C3 - C6)15</t>
  </si>
  <si>
    <t>Structural maintenance - other LA roads - Net Current Expenditure
 (C7 = C3 - C6)22</t>
  </si>
  <si>
    <t>Structural maintenance - Bridges - Net Current Expenditure
 (C7 = C3 - C6)29</t>
  </si>
  <si>
    <t>Environmental, safety and routine maintenance - principal roads - Net Current Expenditure
 (C7 = C3 - C6)36</t>
  </si>
  <si>
    <t>Environmental, safety and routine maintenance - other LA roads - Net Current Expenditure
 (C7 = C3 - C6)43</t>
  </si>
  <si>
    <t>Winter service - Net Current Expenditure
 (C7 = C3 - C6)50</t>
  </si>
  <si>
    <t>Street lighting - Net Current Expenditure
 (C7 = C3 - C6)57</t>
  </si>
  <si>
    <t>Congestion charging - Net Current Expenditure
 (C7 = C3 - C6)64</t>
  </si>
  <si>
    <t>Bus lane enforcement - Net Current Expenditure
 (C7 = C3 - C6)71</t>
  </si>
  <si>
    <t>Road safety education and safe routes (including school crossing patrols) - Net Current Expenditure
 (C7 = C3 - C6)78</t>
  </si>
  <si>
    <t>Other traffic management  - Net Current Expenditure
 (C7 = C3 - C6)85</t>
  </si>
  <si>
    <t>On street parking - Net Current Expenditure
 (C7 = C3 - C6)92</t>
  </si>
  <si>
    <t>Off street parking - Net Current Expenditure
 (C7 = C3 - C6)99</t>
  </si>
  <si>
    <t>Statutory concessionary fares - Net Current Expenditure
 (C7 = C3 - C6)106</t>
  </si>
  <si>
    <t>Discretionary concessionary fares - Net Current Expenditure
 (C7 = C3 - C6)113</t>
  </si>
  <si>
    <t>Support to operators - bus services - Net Current Expenditure
 (C7 = C3 - C6)120</t>
  </si>
  <si>
    <t>Support to operators - rail services - Net Current Expenditure
 (C7 = C3 - C6)127</t>
  </si>
  <si>
    <t>Support to operators - other - Net Current Expenditure
 (C7 = C3 - C6)134</t>
  </si>
  <si>
    <t>Public transport co-ordination -  Net Current Expenditure
 (C7 = C3 - C6)141</t>
  </si>
  <si>
    <t>Airports, harbours and toll facilities - Net Current Expenditure
 (C7 = C3 - C6)148</t>
  </si>
  <si>
    <t>Total highways and transport services - Net Current Expenditure
 (C7 = C3 - C6)155</t>
  </si>
  <si>
    <t>Structural maintenance - principal roads: joint arrangements in line 31 - Other Income
 (C5)156</t>
  </si>
  <si>
    <t>Structural maintenance - other LA roads: joint arrangements in line 32 - Other Income
 (C5)157</t>
  </si>
  <si>
    <t>Environmental/safety/routine maintenance principal roads: joint arrangements in line 41 - Other Income
 (C5)158</t>
  </si>
  <si>
    <t>Environmental/safety/routine maintenance other LA roads: joint arrangements in line 44 - Other Income
 (C5)159</t>
  </si>
  <si>
    <t>Structural maintenance (all local roads): third party liability claims in lines 31 + 32 - Net Current Expenditure
 (C7 = C3 - C6)166</t>
  </si>
  <si>
    <t>Environmental/safety/routine maintenance principal roads: unplanned patching in line 41 - Running Expenses
 (C2)167</t>
  </si>
  <si>
    <t>Environmental/safety/routine maintenance other LA roads: unplanned patching in line 44 - Running Expenses
 (C2)168</t>
  </si>
  <si>
    <t>On-street parking: Penalty Charge Notice income included in line 61 - Sales, Fees and Charges
 (C4)169</t>
  </si>
  <si>
    <t>On street parking: other sales, fees and charges in line 61 - Sales, Fees and Charges
 (C4)170</t>
  </si>
  <si>
    <t>Payment to operators in respect of depreciation which is included in line 73 - bus services - Net Current Expenditure
 (C7 = C3 - C6)177</t>
  </si>
  <si>
    <t>Payment to operators in respect of depreciation which is included in line 74 - rail services - Net Current Expenditure
 (C7 = C3 - C6)184</t>
  </si>
  <si>
    <t>Payment to operators in respect of depreciation which is included in line 75 - other - Net Current Expenditure
 (C7 = C3 - C6)191</t>
  </si>
  <si>
    <t>Children's social care: Sure start children's centres and early years - Net Current Expenditure
 (C7 = C3 - C6)</t>
  </si>
  <si>
    <t>Children's social care - Children Looked After - Net Current Expenditure
 (C7 = C3 - C6)8</t>
  </si>
  <si>
    <t>Children's social care - Other children's and families services - Net Current Expenditure
 (C7 = C3 - C6)15</t>
  </si>
  <si>
    <t>Children's social care - Family Support Services - Net Current Expenditure
 (C7 = C3 - C6)22</t>
  </si>
  <si>
    <t>Children's social care - Youth Justice - Net Current Expenditure
 (C7 = C3 - C6)29</t>
  </si>
  <si>
    <t>Children's social care: Safeguarding children and young people’s services - Net Current Expenditure
 (C7 = C3 - C6)36</t>
  </si>
  <si>
    <t>Children's social care - Asylum Seekers - Net Current Expenditure
 (C7 = C3 - C6)43</t>
  </si>
  <si>
    <t>Children's social care: Services for young people - Net Current Expenditure
 (C7 = C3 - C6)50</t>
  </si>
  <si>
    <t>TOTAL CHILDREN SOCIAL CARE - Net Current Expenditure
 (C7 = C3 - C6)57</t>
  </si>
  <si>
    <t>Physical support - adults (18–64) - Net Current Expenditure
 (C7 = C3 - C6)64</t>
  </si>
  <si>
    <t>Physical support - older people (65+) - Net Current Expenditure
 (C7 = C3 - C6)71</t>
  </si>
  <si>
    <t>Sensory support - adults (18–64) - Net Current Expenditure
 (C7 = C3 - C6)78</t>
  </si>
  <si>
    <t>Sensory support - older people (65+) - Net Current Expenditure
 (C7 = C3 - C6)85</t>
  </si>
  <si>
    <t>Support with memory and cognition - adults (18–64) - Net Current Expenditure
 (C7 = C3 - C6)92</t>
  </si>
  <si>
    <t>Support with memory and cognition - older people (65+) - Net Current Expenditure
 (C7 = C3 - C6)99</t>
  </si>
  <si>
    <t>Learning disability support - adults (18–64) - Net Current Expenditure
 (C7 = C3 - C6)106</t>
  </si>
  <si>
    <t>Learning disability support - older people (65+) - Net Current Expenditure
 (C7 = C3 - C6)113</t>
  </si>
  <si>
    <t>Mental health support - adults (18–64) - Net Current Expenditure
 (C7 = C3 - C6)120</t>
  </si>
  <si>
    <t>Mental health support - older people (65+) - Net Current Expenditure
 (C7 = C3 - C6)127</t>
  </si>
  <si>
    <t>Social support: Substance misuse support - Net Current Expenditure
 (C7 = C3 - C6)134</t>
  </si>
  <si>
    <t>Social support: Asylum seeker support - Net Current Expenditure
 (C7 = C3 - C6)141</t>
  </si>
  <si>
    <t>Social support: Social Isolation - Net Current Expenditure
 (C7 = C3 - C6)155</t>
  </si>
  <si>
    <t>Social support: Support for carer - Net Current Expenditure
 (C7 = C3 - C6)148</t>
  </si>
  <si>
    <t>Assistive equipment and technology - Net Current Expenditure
 (C7 = C3 - C6)176</t>
  </si>
  <si>
    <t>Care assessment and safeguarding* (previously named 'social care activities') - Net Current Expenditure
 (C7 = C3 - C6)197</t>
  </si>
  <si>
    <t>Information and early intervention - Net Current Expenditure
 (C7 = C3 - C6)218</t>
  </si>
  <si>
    <t>Commissioning, strategy and admin support* (previously named Commissioning and service delivery) - Net Current Expenditure
 (C7 = C3 - C6)239</t>
  </si>
  <si>
    <t>TOTAL ADULT SOCIAL CARE - Net Current Expenditure
 (C7 = C3 - C6)281</t>
  </si>
  <si>
    <t>Sexual health services - STI testing and treatment (prescribed functions) - Net Current Expenditure
 (C7 = C3 - C6)295</t>
  </si>
  <si>
    <t>Sexual health services - Contraception (prescribed functions) - Net Current Expenditure
 (C7 = C3 - C6)302</t>
  </si>
  <si>
    <t>Sexual health services - Advice, prevention and promotion  (non-prescribed functions) - Net Current Expenditure
 (C7 = C3 - C6)309</t>
  </si>
  <si>
    <t>NHS health check programme  (prescribed functions) - Net Current Expenditure
 (C7 = C3 - C6)316</t>
  </si>
  <si>
    <t>Health protection - Local authority role in health protection  (prescribed functions) - Net Current Expenditure
 (C7 = C3 - C6)323</t>
  </si>
  <si>
    <t>National child measurement programme (prescribed functions) - Net Current Expenditure
 (C7 = C3 - C6)330</t>
  </si>
  <si>
    <t>Public health advice to NHS commissioners (prescribed functions) - Net Current Expenditure
 (C7 = C3 - C6)337</t>
  </si>
  <si>
    <t>Obesity - adults - Net Current Expenditure
 (C7 = C3 - C6)344</t>
  </si>
  <si>
    <t>Obesity - children - Net Current Expenditure
 (C7 = C3 - C6)351</t>
  </si>
  <si>
    <t>Physical activity - adults - Net Current Expenditure
 (C7 = C3 - C6)358</t>
  </si>
  <si>
    <t>Physical activity - children - Net Current Expenditure
 (C7 = C3 - C6)365</t>
  </si>
  <si>
    <t>Substance misuse - Treatment for drug misuse in adults - Net Current Expenditure
 (C7 = C3 - C6)372</t>
  </si>
  <si>
    <t>Substance misuse - Treatment for alcohol misuse in adults - Net Current Expenditure
 (C7 = C3 - C6)379</t>
  </si>
  <si>
    <t>Substance misuse - Preventing and reducing harm from drug misuse in adults - Net Current Expenditure
 (C7 = C3 - C6)386</t>
  </si>
  <si>
    <t>Substance misuse - Preventing and reducing harm from alcohol misuse in adults - Net Current Expenditure
 (C7 = C3 - C6)393</t>
  </si>
  <si>
    <t>Substance misuse - Specialist drug and alcohol misuse services for  children and young people - Net Current Expenditure
 (C7 = C3 - C6)400</t>
  </si>
  <si>
    <t>Smoking and tobacco - Stop smoking services and interventions - Net Current Expenditure
 (C7 = C3 - C6)407</t>
  </si>
  <si>
    <t>Smoking and tobacco - Wider tobacco control - Net Current Expenditure
 (C7 = C3 - C6)414</t>
  </si>
  <si>
    <t>Children 5–19 public health programmes - Net Current Expenditure
 (C7 = C3 - C6)421</t>
  </si>
  <si>
    <t>Miscellaneous public health services - Children's 0–5 services (prescribed functions) - Net Current Expenditure
 (C7 = C3 - C6)428</t>
  </si>
  <si>
    <t>Miscellaneous public health services - Children’s 0-5 services - Other (non-prescribed functions) - Net Current Expenditure
 (C7 = C3 - C6)435</t>
  </si>
  <si>
    <t>Health at work - Net Current Expenditure
 (C7 = C3 - C6)442</t>
  </si>
  <si>
    <t>Public mental health - Net Current Expenditure
 (C7 = C3 - C6)449</t>
  </si>
  <si>
    <t>Miscellaneous public health services - Net Current Expenditure
 (C7 = C3 - C6)456</t>
  </si>
  <si>
    <t>TOTAL PUBLIC HEALTH - Net Current Expenditure
 (C7 = C3 - C6)477</t>
  </si>
  <si>
    <t>General Practice Services (included above within total public health) - Net Current Expenditure
 (C7 = C3 - C6)478</t>
  </si>
  <si>
    <t>Dental Services (included above within total public health) - Net Current Expenditure
 (C7 = C3 - C6)479</t>
  </si>
  <si>
    <t>Pharmaceutical Services and Locally Commissioned Services from Pharmacies (included above within total public health) - Net Current Expenditure
 (C7 = C3 - C6)480</t>
  </si>
  <si>
    <t>Eye Care Services (included above within total public health) - Net Current Expenditure
 (C7 = C3 - C6)481</t>
  </si>
  <si>
    <t>Supporting people ancillary expenditure included above within total children social care - Net Current Expenditure
 (C7 = C3 - C6)488</t>
  </si>
  <si>
    <t>Supporting people ancillary expenditure included above within total adult social care - Net Current Expenditure
 (C7 = C3 - C6)495</t>
  </si>
  <si>
    <t>Housing strategy, advice and enabling - Net Current Expenditure
 (C7 = C3 - C6)</t>
  </si>
  <si>
    <t>Housing advances - Net Current Expenditure
 (C7 = C3 - C6)8</t>
  </si>
  <si>
    <t>Administration of financial support for repairs and improvements - Net Current Expenditure
 (C7 = C3 - C6)15</t>
  </si>
  <si>
    <t>Other private sector housing renewal - Net Current Expenditure
 (C7 = C3 - C6)22</t>
  </si>
  <si>
    <t>Nightly paid, privately managed accommodation, self-contained - Net Current Expenditure
 (C7 = C3 - C6)29</t>
  </si>
  <si>
    <t>Private sector accommodation leased by authority or by a registered provider - Net Current Expenditure
 (C7 = C3 - C6)36</t>
  </si>
  <si>
    <t>Hostels (including reception centres, emergency units and refuges) - Net Current Expenditure
 (C7 = C3 - C6)43</t>
  </si>
  <si>
    <t>Bed and breakfast hotels (including shared annexes) - Net Current Expenditure
 (C7 = C3 - C6)50</t>
  </si>
  <si>
    <t>Local authority or housing association stock - Net Current Expenditure
 (C7 = C3 - C6)57</t>
  </si>
  <si>
    <t>Any other type of temporary accommodation (including private landlord and not known) - Net Current Expenditure
 (C7 = C3 - C6)64</t>
  </si>
  <si>
    <t>Temporary accommodation administration - Net Current Expenditure
 (C7 = C3 - C6)71</t>
  </si>
  <si>
    <t>Homeless Reduction Act: Administration, Prevention, Relief &amp; Support - Net Current Expenditure
 (C7 = C3 - C6)78</t>
  </si>
  <si>
    <t>Non Homeless Reduction Act: Administration and Support - Net Current Expenditure
 (C7 = C3 - C6)85</t>
  </si>
  <si>
    <t>TOTAL HOMELESSNESS - Net Current Expenditure
 (C7 = C3 - C6)92</t>
  </si>
  <si>
    <t>Rent allowances - discretionary payments - Net Current Expenditure
 (C7 = C3 - C6)99</t>
  </si>
  <si>
    <t>Non-HRA rent rebates - discretionary payments - Net Current Expenditure
 (C7 = C3 - C6)106</t>
  </si>
  <si>
    <t>Rent rebates to HRA tenants - discretionary payments - Net Current Expenditure
 (C7 = C3 - C6)113</t>
  </si>
  <si>
    <t>Housing benefits administration - Net Current Expenditure
 (C7 = C3 - C6)120</t>
  </si>
  <si>
    <t>Other council property (Non-HRA) - Net Current Expenditure
 (C7 = C3 - C6)127</t>
  </si>
  <si>
    <t>Supporting People - Net Current Expenditure
 (C7 = C3 - C6)134</t>
  </si>
  <si>
    <t>Other welfare services - Net Current Expenditure
 (C7 = C3 - C6)141</t>
  </si>
  <si>
    <t>TOTAL HOUSING SERVICES (GFRA only) - Net Current Expenditure
 (C7 = C3 - C6)148</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</si>
  <si>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</si>
  <si>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</si>
  <si>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</si>
  <si>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</si>
  <si>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 xml:space="preserve">Housing Revenue Account (HRA) Reserves
1 April </t>
  </si>
  <si>
    <t xml:space="preserve">Housing Revenue Account (HRA) Reserves
31 March </t>
  </si>
  <si>
    <t>Archives - Net Current Expenditure
 (C7 = C3 - C6)</t>
  </si>
  <si>
    <t>Arts development and support - Net Current Expenditure
 (C7 = C3 - C6)8</t>
  </si>
  <si>
    <t>Heritage - Net Current Expenditure
 (C7 = C3 - C6)15</t>
  </si>
  <si>
    <t>Museums and galleries - Net Current Expenditure
 (C7 = C3 - C6)22</t>
  </si>
  <si>
    <t>Theatres and public entertainment - Net Current Expenditure
 (C7 = C3 - C6)29</t>
  </si>
  <si>
    <t>Community centres and public halls - Net Current Expenditure
 (C7 = C3 - C6)36</t>
  </si>
  <si>
    <t>Foreshore - Net Current Expenditure
 (C7 = C3 - C6)43</t>
  </si>
  <si>
    <t>Sports development and community recreation - Net Current Expenditure
 (C7 = C3 - C6)50</t>
  </si>
  <si>
    <t>Sports and leisure facilities (including golf courses) - Net Current Expenditure
 (C7 = C3 - C6)57</t>
  </si>
  <si>
    <t>Parks &amp; Open Spaces (including play areas) - Net Current Expenditure
 (C7 = C3 - C6)64</t>
  </si>
  <si>
    <t>Allotments - Net Current Expenditure
 (C7 = C3 - C6)71</t>
  </si>
  <si>
    <t>Tourism - Net Current Expenditure
 (C7 = C3 - C6)78</t>
  </si>
  <si>
    <t>Library service - Net Current Expenditure
 (C7 = C3 - C6)85</t>
  </si>
  <si>
    <t>TOTAL CULTURAL AND RELATED SERVICES - Net Current Expenditure
 (C7 = C3 - C6)92</t>
  </si>
  <si>
    <t>Cemetery, cremation and mortuary services - Net Current Expenditure
 (C7 = C3 - C6)99</t>
  </si>
  <si>
    <t>Trading standards - Net Current Expenditure
 (C7 = C3 - C6)106</t>
  </si>
  <si>
    <t>Water safety - Net Current Expenditure
 (C7 = C3 - C6)113</t>
  </si>
  <si>
    <t>Food safety - Net Current Expenditure
 (C7 = C3 - C6)120</t>
  </si>
  <si>
    <t>Environmental protection; noise and nuisance - Net Current Expenditure
 (C7 = C3 - C6)127</t>
  </si>
  <si>
    <t>Housing standards - Net Current Expenditure
 (C7 = C3 - C6)134</t>
  </si>
  <si>
    <t>Health and safety - Net Current Expenditure
 (C7 = C3 - C6)141</t>
  </si>
  <si>
    <t>Port health (excluding levies) - Net Current Expenditure
 (C7 = C3 - C6)148</t>
  </si>
  <si>
    <t>Port health levies - Net Current Expenditure
 (C7 = C3 - C6)155</t>
  </si>
  <si>
    <t>Pest control - Net Current Expenditure
 (C7 = C3 - C6)162</t>
  </si>
  <si>
    <t>Public conveniences - Net Current Expenditure
 (C7 = C3 - C6)169</t>
  </si>
  <si>
    <t>Animal and public health; infectious disease control - Net Current Expenditure
 (C7 = C3 - C6)176</t>
  </si>
  <si>
    <t>Licensing - Alcohol and entertainment licensing; taxi licensing - Net Current Expenditure
 (C7 = C3 - C6)183</t>
  </si>
  <si>
    <t>Crime Reduction - Net Current Expenditure
 (C7 = C3 - C6)190</t>
  </si>
  <si>
    <t>Safety Services - Net Current Expenditure
 (C7 = C3 - C6)197</t>
  </si>
  <si>
    <t>CCTV - Net Current Expenditure
 (C7 = C3 - C6)204</t>
  </si>
  <si>
    <t>Defences against flooding - Net Current Expenditure
 (C7 = C3 - C6)211</t>
  </si>
  <si>
    <t>Land drainage and related work (excluding levy / Special levies) - Net Current Expenditure
 (C7 = C3 - C6)218</t>
  </si>
  <si>
    <t>Land drainage and related work - Levy / Special levies - Net Current Expenditure
 (C7 = C3 - C6)225</t>
  </si>
  <si>
    <t>Coast protection - Net Current Expenditure
 (C7 = C3 - C6)232</t>
  </si>
  <si>
    <t>Agricultural and fisheries services - Net Current Expenditure
 (C7 = C3 - C6)239</t>
  </si>
  <si>
    <t>Street cleansing (not chargeable to Highways) - Net Current Expenditure
 (C7 = C3 - C6)246</t>
  </si>
  <si>
    <t>Waste collection - Net Current Expenditure
 (C7 = C3 - C6)253</t>
  </si>
  <si>
    <t>Waste disposal - Net Current Expenditure
 (C7 = C3 - C6)260</t>
  </si>
  <si>
    <t>Trade waste - Net Current Expenditure
 (C7 = C3 - C6)267</t>
  </si>
  <si>
    <t>Recycling - Net Current Expenditure
 (C7 = C3 - C6)274</t>
  </si>
  <si>
    <t>Waste minimisation - Net Current Expenditure
 (C7 = C3 - C6)281</t>
  </si>
  <si>
    <t>Climate change costs - Net Current Expenditure
 (C7 = C3 - C6)288</t>
  </si>
  <si>
    <t>TOTAL ENVIRONMENTAL AND REGULATORY SERVICES - Net Current Expenditure
 (C7 = C3 - C6)295</t>
  </si>
  <si>
    <t>Building control - Net Current Expenditure
 (C7 = C3 - C6)302</t>
  </si>
  <si>
    <t>Development control - Net Current Expenditure
 (C7 = C3 - C6)309</t>
  </si>
  <si>
    <t>Conservation and listed buildings planning policy - Net Current Expenditure
 (C7 = C3 - C6)316</t>
  </si>
  <si>
    <t>Other planning policy - Net Current Expenditure
 (C7 = C3 - C6)323</t>
  </si>
  <si>
    <t>Environmental initiatives - Net Current Expenditure
 (C7 = C3 - C6)330</t>
  </si>
  <si>
    <t>Economic development - Net Current Expenditure
 (C7 = C3 - C6)337</t>
  </si>
  <si>
    <t>Economic research - Net Current Expenditure
 (C7 = C3 - C6)344</t>
  </si>
  <si>
    <t>Business support - Net Current Expenditure
 (C7 = C3 - C6)351</t>
  </si>
  <si>
    <t>Community development - Net Current Expenditure
 (C7 = C3 - C6)358</t>
  </si>
  <si>
    <t>TOTAL PLANNING AND DEVELOPMENT SERVICES - Net Current Expenditure
 (C7 = C3 - C6)365</t>
  </si>
  <si>
    <t>TOTAL CULTURAL, ENVIRONMENTAL, REGULATORY AND PLANNING SERVICES - Net Current Expenditure
 (C7 = C3 - C6)372</t>
  </si>
  <si>
    <t>TOTAL POLICE SERVICES - Net Current Expenditure
 (C7 = C3 - C6)</t>
  </si>
  <si>
    <t>Community fire safety - Net Current Expenditure
 (C7 = C3 - C6)8</t>
  </si>
  <si>
    <t>Fire fighting and rescue operations - Net Current Expenditure
 (C7 = C3 - C6)15</t>
  </si>
  <si>
    <t>Fire and rescue service emergency planning and civil defence - Net Current Expenditure
 (C7 = C3 - C6)22</t>
  </si>
  <si>
    <t>TOTAL FIRE AND RESCUE SERVICES - Net Current Expenditure
 (C7 = C3 - C6)29</t>
  </si>
  <si>
    <t>CORPORATE AND DEMOCRATIC CORE - Net Current Expenditure
 (C7 = C3 - C6)36</t>
  </si>
  <si>
    <t>Council tax collection - Net Current Expenditure
 (C7 = C3 - C6)43</t>
  </si>
  <si>
    <t>Council tax discounts for prompt payment - Net Current Expenditure
 (C7 = C3 - C6)50</t>
  </si>
  <si>
    <t>Council tax discounts locally funded - Net Current Expenditure
 (C7 = C3 - C6)57</t>
  </si>
  <si>
    <t>Council tax support administration - Net Current Expenditure
 (C7 = C3 - C6)64</t>
  </si>
  <si>
    <t>Non-domestic rates collection - Net Current Expenditure
 (C7 = C3 - C6)71</t>
  </si>
  <si>
    <t>BID ballots - Net Current Expenditure
 (C7 = C3 - C6)78</t>
  </si>
  <si>
    <t>Registration of births, deaths and marriages - Net Current Expenditure
 (C7 = C3 - C6)85</t>
  </si>
  <si>
    <t>Registration of electors - Net Current Expenditure
 (C7 = C3 - C6)92</t>
  </si>
  <si>
    <t>Conducting elections - Net Current Expenditure
 (C7 = C3 - C6)99</t>
  </si>
  <si>
    <t>Emergency planning  - Net Current Expenditure
 (C7 = C3 - C6)106</t>
  </si>
  <si>
    <t>Local land charges - Net Current Expenditure
 (C7 = C3 - C6)113</t>
  </si>
  <si>
    <t>Local welfare assistance schemes - Net Current Expenditure
 (C7 = C3 - C6)120</t>
  </si>
  <si>
    <t>General grants, bequests and donations - Net Current Expenditure
 (C7 = C3 - C6)127</t>
  </si>
  <si>
    <t>Coroners' court services -Net Current Expenditure
 (C7 = C3 - C6)134</t>
  </si>
  <si>
    <t>Other court services - Net Current Expenditure
 (C7 = C3 - C6)141</t>
  </si>
  <si>
    <t>Retirement benefits  - Net Current Expenditure
 (C7 = C3 - C6)148</t>
  </si>
  <si>
    <t>Costs of unused shares of IT facilities and other assets - Net Current Expenditure
 (C7 = C3 - C6)155</t>
  </si>
  <si>
    <t>Revenue expenditure on surplus assets - Net Current Expenditure
 (C7 = C3 - C6)162</t>
  </si>
  <si>
    <t>MANAGEMENT AND SUPPORT SERVICES - Net Current Expenditure
 (C7 = C3 - C6)169</t>
  </si>
  <si>
    <t>TOTAL CENTRAL SERVICES - Net Current Expenditure
 (C7 = C3 - C6)176</t>
  </si>
  <si>
    <t>Recharges within central services - Other Income
 (C5)177</t>
  </si>
  <si>
    <t>Recharges to general fund revenue account (excluding central services) - Other Income
 (C5)178</t>
  </si>
  <si>
    <t>Recharges to central government - Other Income
 (C5)179</t>
  </si>
  <si>
    <t>Recharges to other accounts - Other Income
 (C5)180</t>
  </si>
  <si>
    <t>Other management and support services income (excluding recharges) - Other Income
 (C5)181</t>
  </si>
  <si>
    <t>TOTAL OTHER SERVICES - 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</si>
  <si>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</si>
  <si>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</si>
  <si>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</si>
  <si>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</si>
  <si>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</si>
  <si>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</si>
  <si>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</si>
  <si>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</si>
  <si>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</si>
  <si>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</si>
  <si>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</si>
  <si>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</si>
  <si>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</si>
  <si>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</si>
  <si>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</si>
  <si>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</si>
  <si>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</si>
  <si>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</si>
  <si>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</si>
  <si>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</si>
  <si>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</si>
  <si>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</si>
  <si>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</si>
  <si>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</si>
  <si>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</si>
  <si>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</si>
  <si>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 xml:space="preserve">Appropriations to(+)/from(-) dedicated schools grant adjustment account </t>
  </si>
  <si>
    <t>REVENUE EXPENDITURE (TOTAL OF LINES 785 TO 797)</t>
  </si>
  <si>
    <t>Local Services Support Grant (LSSG)</t>
  </si>
  <si>
    <t>Specific and special grants inside AEF [SG line 699 as income]</t>
  </si>
  <si>
    <t>NET REVENUE EXPENDITURE</t>
  </si>
  <si>
    <t>Appropriations to(+)/ from(-) schools' reserves</t>
  </si>
  <si>
    <t xml:space="preserve">Appropriations to(+)/ from(-) dedicated schools grant reserves </t>
  </si>
  <si>
    <t>Appropriations to(+)/ from(-) public health financial reserves</t>
  </si>
  <si>
    <t xml:space="preserve">Appropriations to(+)/ from(-) other earmarked financial reserves </t>
  </si>
  <si>
    <t>Appropriations to(+)/ from(-) unallocated financial reserves</t>
  </si>
  <si>
    <t>Police grant</t>
  </si>
  <si>
    <t xml:space="preserve">Retained income from Rate Retention Scheme </t>
  </si>
  <si>
    <t>Collection fund surplus/deficits for council tax</t>
  </si>
  <si>
    <t>Other items</t>
  </si>
  <si>
    <t>COUNCIL TAX REQUIREMENT (total of lines 805 to 885)</t>
  </si>
  <si>
    <t>Estimated schools reserves level at 1 April</t>
  </si>
  <si>
    <t xml:space="preserve">Estimated dedicated schools grant adjustment account level at 1 April </t>
  </si>
  <si>
    <t xml:space="preserve">Estimated dedicated schools grant reserves level at 1 April </t>
  </si>
  <si>
    <t>Estimated public health financial reserves level at 1 April</t>
  </si>
  <si>
    <t xml:space="preserve">Estimated other earmarked financial reserves level at 1 April </t>
  </si>
  <si>
    <t>Estimated unallocated financial reserves level at 1 April</t>
  </si>
  <si>
    <t>Estimated schools reserves level at 31 March</t>
  </si>
  <si>
    <t xml:space="preserve">Estimated dedicated schools grant adjustment account level at 31 March </t>
  </si>
  <si>
    <t xml:space="preserve">Estimated dedicated schools grant reserves level at 31 March  </t>
  </si>
  <si>
    <t>Estimated public health financial reserves level at 31 March</t>
  </si>
  <si>
    <t xml:space="preserve">Estimated other earmarked financial reserves level at 31 March </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</si>
  <si>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</si>
  <si>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</si>
  <si>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</si>
  <si>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</si>
  <si>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</si>
  <si>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</si>
  <si>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</si>
  <si>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</si>
  <si>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HOUSING REVENUE ACCOUNT (HRA) INCOME</t>
  </si>
  <si>
    <t>TOTAL HOUSING REVENUE ACCOUNT (HRA) EXPENDITURE</t>
  </si>
  <si>
    <t>SURPLUS OR DEFICIT FOR THE YEAR ON HRA SERVICES</t>
  </si>
  <si>
    <t xml:space="preserve">Housing Revenue Account (HRA) Reserves at 1 April </t>
  </si>
  <si>
    <t>Housing Revenue Account (HRA) Reserves at 31 March</t>
  </si>
  <si>
    <t>Total council tax revenue foregone - pensioners</t>
  </si>
  <si>
    <t>Total council tax revenue foregone - working age people</t>
  </si>
  <si>
    <t>The total amount paid to local parishes [by the billing authority] with respect to their council tax support allocation</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</si>
  <si>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</si>
  <si>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</si>
  <si>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</si>
  <si>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</si>
  <si>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</si>
  <si>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</si>
  <si>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</si>
  <si>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</si>
  <si>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</si>
  <si>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</si>
  <si>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</si>
  <si>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</si>
  <si>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</si>
  <si>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</si>
  <si>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</si>
  <si>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</si>
  <si>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</si>
  <si>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</si>
  <si>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</si>
  <si>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Car parks - Surplus(-)
/deficit(+) 
(c3)</t>
  </si>
  <si>
    <t>Airports - Surplus(-)
/deficit(+) 
(c3)4</t>
  </si>
  <si>
    <t>Ports - Surplus(-)
/deficit(+) 
(c3)7</t>
  </si>
  <si>
    <t>Piers - Surplus(-)
/deficit(+) 
(c3)10</t>
  </si>
  <si>
    <t>Toll bridges and roads - Surplus(-)
/deficit(+) 
(c3)13</t>
  </si>
  <si>
    <t>Museums - Surplus(-)
/deficit(+) 
(c3)16</t>
  </si>
  <si>
    <t>Theatres - Surplus(-)
/deficit(+) 
(c3)19</t>
  </si>
  <si>
    <t>Civic halls - Surplus(-)
/deficit(+) 
(c3)22</t>
  </si>
  <si>
    <t>Civic resturants - Surplus(-)
/deficit(+) 
(c3)25</t>
  </si>
  <si>
    <t>Sports facilities - Surplus(-)
/deficit(+) 
(c3)28</t>
  </si>
  <si>
    <t>Crematoria - Surplus(-)
/deficit(+) 
(c3)31</t>
  </si>
  <si>
    <t>Fishery harbours - Surplus(-)
/deficit(+) 
(c3)34</t>
  </si>
  <si>
    <t>Trade Waste - Surplus(-)
/deficit(+) 
(c3)37</t>
  </si>
  <si>
    <t>Building control - Surplus(-)
/deficit(+) 
(c3)40</t>
  </si>
  <si>
    <t>Corporation estates - Surplus(-)
/deficit(+) 
(c3)43</t>
  </si>
  <si>
    <t>Industrial estates - Surplus(-)
/deficit(+) 
(c3)46</t>
  </si>
  <si>
    <t>Investment properties - Surplus(-)
/deficit(+) 
(c3)49</t>
  </si>
  <si>
    <t>Market undertakings - Surplus(-)
/deficit(+) 
(c3)52</t>
  </si>
  <si>
    <t xml:space="preserve">Total external trading accounts - Surplus(-)
/deficit(+) </t>
  </si>
  <si>
    <t>Total capital items - external trading account</t>
  </si>
  <si>
    <t>Surplus(-)
/deficit(+) 
including capital items (external TA)</t>
  </si>
  <si>
    <t>Administrative Education support services - Surplus(-)
/deficit(+) 
(c3)79</t>
  </si>
  <si>
    <t>Specialist Education support services- Surplus(-)
/deficit(+) 
(c3)82</t>
  </si>
  <si>
    <t>Highways maintenance - Surplus(-)
/deficit(+) 
(c3)85</t>
  </si>
  <si>
    <t>On-street parking - Surplus(-)
/deficit(+) 
(c3)88</t>
  </si>
  <si>
    <t>Social Services: residential homes - Surplus(-)
/deficit(+) 
(c3)91</t>
  </si>
  <si>
    <t>Social Services: home care services - Surplus(-)
/deficit(+) 
(c3)94</t>
  </si>
  <si>
    <t>Housing management - Surplus(-)
/deficit(+) 
(c3)97</t>
  </si>
  <si>
    <t>Leisure management - Surplus(-)
/deficit(+) 
(c3)100</t>
  </si>
  <si>
    <t>Environmental cleaning and sweeping - Surplus(-)
/deficit(+) 
(c3)103</t>
  </si>
  <si>
    <t>Construction and property services - Surplus(-)
/deficit(+) 
(c3)106</t>
  </si>
  <si>
    <t>Building cleaning - Surplus(-)
/deficit(+) 
(c3)109</t>
  </si>
  <si>
    <t>Building maintenance - Surplus(-)
/deficit(+) 
(c3)112</t>
  </si>
  <si>
    <t>Grounds maintenance - Surplus(-)
/deficit(+) 
(c3)115</t>
  </si>
  <si>
    <t>Vehicle maintenance - Surplus(-)
/deficit(+) 
(c3)118</t>
  </si>
  <si>
    <t>Vehicle management and transport - Surplus(-)
/deficit(+) 
(c3)121</t>
  </si>
  <si>
    <t>Refuse collection - Surplus(-)
/deficit(+) 
(c3)124</t>
  </si>
  <si>
    <t>Catering services (staff, welfare, education etc) - Surplus(-)
/deficit(+) 
(c3)127</t>
  </si>
  <si>
    <t>Office services (printing, security, etc) - Surplus(-)
/deficit(+) 
(c3)130</t>
  </si>
  <si>
    <t>Information Technology - Surplus(-)
/deficit(+) 
(c3)133</t>
  </si>
  <si>
    <t>Finance services - Surplus(-)
/deficit(+) 
(c3)136</t>
  </si>
  <si>
    <t>Legal services - Surplus(-)
/deficit(+) 
(c3)139</t>
  </si>
  <si>
    <t>Personnel services - Surplus(-)
/deficit(+) 
(c3)142</t>
  </si>
  <si>
    <t xml:space="preserve">Total internal trading accounts - Surplus(-)
/deficit(+) </t>
  </si>
  <si>
    <t>Total capital items - internal trading account</t>
  </si>
  <si>
    <t>Surplus(-)
/deficit(+) 
including capital items (internal TA)</t>
  </si>
  <si>
    <t>Depreciation - External Trading Accounts 
(C2)</t>
  </si>
  <si>
    <t>Loss on impairment of assets (+) - External Trading Accounts 
(C2)167</t>
  </si>
  <si>
    <t>Revaluations taken to surplus (-) or deficit (+) on the provision of services - External Trading Accounts 
(C2)169</t>
  </si>
  <si>
    <t>Credit for capital grants (-) - External Trading Accounts 
(C2)171</t>
  </si>
  <si>
    <t>Revenue Expenditure funded from Capital by Statute (RECS) (+) - External Trading Accounts 
(C2)173</t>
  </si>
  <si>
    <t>Total Capital items (total of lines 931 to 936) - External Trading Accounts 
(C2)175</t>
  </si>
  <si>
    <t>Depreciation - Internal Trading Accounts 
(C3 = C1 + C2)</t>
  </si>
  <si>
    <t>Loss on impairment of assets (+) - Internal Trading Accounts 
(C3 = C1 + C2)168</t>
  </si>
  <si>
    <t>Revaluations taken to surplus (-) or deficit (+) on the provision of services - Internal Trading Accounts 
(C3 = C1 + C2)170</t>
  </si>
  <si>
    <t>Credit for capital grants (-) - Internal Trading Accounts 
(C3 = C1 + C2)172</t>
  </si>
  <si>
    <t>Revenue Expenditure funded from Capital by Statute (RECS) (+) - Internal Trading Accounts 
(C3 = C1 + C2)174</t>
  </si>
  <si>
    <t>Revenue Expenditure funded from Capital by Statute (RECS) (+) - Internal Trading Accounts 
(C3 = C1 + C2)176</t>
  </si>
  <si>
    <t>N/A</t>
  </si>
  <si>
    <t>[note 4]</t>
  </si>
  <si>
    <t>Bath &amp; North East Somerset UA</t>
  </si>
  <si>
    <t>Bedford UA</t>
  </si>
  <si>
    <t>Bedfordshire Combined Fire and Rescue Authority</t>
  </si>
  <si>
    <t>Berkshire Combined Fire and Rescue Authority</t>
  </si>
  <si>
    <t>Blackburn with Darwen UA</t>
  </si>
  <si>
    <t>Blackpool UA</t>
  </si>
  <si>
    <t>Boston BC</t>
  </si>
  <si>
    <t>Bournemouth, Christchurch and Poole UA</t>
  </si>
  <si>
    <t>Bracknell Forest UA</t>
  </si>
  <si>
    <t>Brighton &amp; Hove UA</t>
  </si>
  <si>
    <t>Bristol UA</t>
  </si>
  <si>
    <t>Buckinghamshire Combined Fire and Rescue Authority</t>
  </si>
  <si>
    <t>Bury MBC</t>
  </si>
  <si>
    <t>Cambridgeshire CC</t>
  </si>
  <si>
    <t>Cambridgeshire Combined Fire and Rescue Authority</t>
  </si>
  <si>
    <t>[note 9]</t>
  </si>
  <si>
    <t>Central Bedfordshire UA</t>
  </si>
  <si>
    <t>Charnwood BC</t>
  </si>
  <si>
    <t>Cheshire Combined Fire and Rescue Authority</t>
  </si>
  <si>
    <t>Cheshire East UA</t>
  </si>
  <si>
    <t>Cheshire West and Chester UA</t>
  </si>
  <si>
    <t>Cleveland Combined Fire and Rescue Authority</t>
  </si>
  <si>
    <t>Cornwall UA</t>
  </si>
  <si>
    <t>Darlington UA</t>
  </si>
  <si>
    <t>Derby City UA</t>
  </si>
  <si>
    <t>Derbyshire CC</t>
  </si>
  <si>
    <t>Derbyshire Combined Fire and Rescue Authority</t>
  </si>
  <si>
    <t>Devon and Somerset Combined Fire and Rescue Authority</t>
  </si>
  <si>
    <t>Devon CC</t>
  </si>
  <si>
    <t>Durham Combined Fire and Rescue Authority</t>
  </si>
  <si>
    <t>Durham UA</t>
  </si>
  <si>
    <t>East Riding of Yorkshire UA</t>
  </si>
  <si>
    <t>East Sussex CC</t>
  </si>
  <si>
    <t>East Sussex Combined Fire and Rescue Authority</t>
  </si>
  <si>
    <t>Essex CC</t>
  </si>
  <si>
    <t>Essex Combined Fire and Rescue Authority</t>
  </si>
  <si>
    <t>Gloucestershire CC</t>
  </si>
  <si>
    <t>Halton UA</t>
  </si>
  <si>
    <t>Hampshire CC</t>
  </si>
  <si>
    <t>Hart DC</t>
  </si>
  <si>
    <t>Hartlepool UA</t>
  </si>
  <si>
    <t>Hereford &amp; Worcester Combined Fire and Rescue Authority</t>
  </si>
  <si>
    <t>Herefordshire UA</t>
  </si>
  <si>
    <t>Hertfordshire CC</t>
  </si>
  <si>
    <t>Humberside Combined Fire and Rescue Authority</t>
  </si>
  <si>
    <t>Hyndburn BC</t>
  </si>
  <si>
    <t>Isle of Wight UA</t>
  </si>
  <si>
    <t>Kent CC</t>
  </si>
  <si>
    <t>Kent Combined Fire and Rescue Authority</t>
  </si>
  <si>
    <t>Kingston Upon Thames</t>
  </si>
  <si>
    <t>Kingston-upon-Hull UA</t>
  </si>
  <si>
    <t>Lake District National Park Authority</t>
  </si>
  <si>
    <t>Lancashire CC</t>
  </si>
  <si>
    <t>Lancashire Combined Fire and Rescue Authority</t>
  </si>
  <si>
    <t>Leicester City UA</t>
  </si>
  <si>
    <t>Leicestershire CC</t>
  </si>
  <si>
    <t>Leicestershire Combined Fire and Rescue Authority</t>
  </si>
  <si>
    <t>Lincoln City</t>
  </si>
  <si>
    <t>Lincolnshire CC</t>
  </si>
  <si>
    <t>Luton UA</t>
  </si>
  <si>
    <t>Maldon DC</t>
  </si>
  <si>
    <t>Medway Towns UA</t>
  </si>
  <si>
    <t>Merseyside Fire and Rescue Authority</t>
  </si>
  <si>
    <t>Merseyside Waste Authority</t>
  </si>
  <si>
    <t>Middlesbrough UA</t>
  </si>
  <si>
    <t>Milton Keynes UA</t>
  </si>
  <si>
    <t>New Forest National Park Authority</t>
  </si>
  <si>
    <t xml:space="preserve">Newark &amp; Sherwood </t>
  </si>
  <si>
    <t>Newcastle</t>
  </si>
  <si>
    <t>Norfolk CC</t>
  </si>
  <si>
    <t>North East Lincolnshire UA</t>
  </si>
  <si>
    <t>North Lincolnshire UA</t>
  </si>
  <si>
    <t>North Somerset UA</t>
  </si>
  <si>
    <t>Northamptonshire Police and Crime Commissioner and Chief Constable</t>
  </si>
  <si>
    <t>Northumberland UA</t>
  </si>
  <si>
    <t>Norwich City</t>
  </si>
  <si>
    <t>Nottingham City UA</t>
  </si>
  <si>
    <t>Nottinghamshire CC</t>
  </si>
  <si>
    <t>Nottinghamshire Combined Fire and Rescue Authority</t>
  </si>
  <si>
    <t>Oxfordshire CC</t>
  </si>
  <si>
    <t>Peterborough UA</t>
  </si>
  <si>
    <t>Plymouth UA</t>
  </si>
  <si>
    <t>Portsmouth UA</t>
  </si>
  <si>
    <t>Reading UA</t>
  </si>
  <si>
    <t>Redcar &amp; Cleveland UA</t>
  </si>
  <si>
    <t>Redditch BC</t>
  </si>
  <si>
    <t>Reigate and Banstead</t>
  </si>
  <si>
    <t>Rutland UA</t>
  </si>
  <si>
    <t>Shropshire Combined Fire and Rescue Authority</t>
  </si>
  <si>
    <t>Shropshire UA</t>
  </si>
  <si>
    <t>Slough UA</t>
  </si>
  <si>
    <t>South Gloucestershire UA</t>
  </si>
  <si>
    <t>South Yorkshire Fire and Rescue Authority</t>
  </si>
  <si>
    <t>Southampton UA</t>
  </si>
  <si>
    <t>Southend-on-Sea UA</t>
  </si>
  <si>
    <t>St Helens MBC</t>
  </si>
  <si>
    <t>Stafford BC</t>
  </si>
  <si>
    <t>Staffordshire CC</t>
  </si>
  <si>
    <t>Staffordshire Combined Fire and Rescue Authority</t>
  </si>
  <si>
    <t>Stockport MBC</t>
  </si>
  <si>
    <t>Stockton-on-Tees UA</t>
  </si>
  <si>
    <t>Stoke-on-Trent UA</t>
  </si>
  <si>
    <t>Suffolk CC</t>
  </si>
  <si>
    <t>Surrey CC</t>
  </si>
  <si>
    <t>Swindon UA</t>
  </si>
  <si>
    <t>Telford &amp; the Wrekin UA</t>
  </si>
  <si>
    <t>Tendring DC</t>
  </si>
  <si>
    <t>The Liverpool City Region Combined Authority</t>
  </si>
  <si>
    <t>Thurrock UA</t>
  </si>
  <si>
    <t>Torbay UA</t>
  </si>
  <si>
    <t>Vale of White Horse DC</t>
  </si>
  <si>
    <t>Warrington UA</t>
  </si>
  <si>
    <t>Warwickshire CC</t>
  </si>
  <si>
    <t>[note 10]</t>
  </si>
  <si>
    <t>West Berkshire UA</t>
  </si>
  <si>
    <t>West Sussex CC</t>
  </si>
  <si>
    <t>West Yorkshire Fire and Rescue Authority</t>
  </si>
  <si>
    <t>Westmorland and Furness</t>
  </si>
  <si>
    <t>Wigan MBC</t>
  </si>
  <si>
    <t>Wiltshire UA</t>
  </si>
  <si>
    <t>Windsor &amp; Maidenhead UA</t>
  </si>
  <si>
    <t>Woking BC</t>
  </si>
  <si>
    <t>Wokingham UA</t>
  </si>
  <si>
    <t>Worcestershire CC</t>
  </si>
  <si>
    <t>York UA</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</si>
  <si>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</si>
  <si>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</si>
  <si>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</si>
  <si>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</si>
  <si>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</si>
  <si>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</si>
  <si>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</si>
  <si>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</si>
  <si>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</si>
  <si>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</si>
  <si>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</si>
  <si>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</si>
  <si>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</si>
  <si>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</si>
  <si>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</si>
  <si>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</si>
  <si>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</si>
  <si>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</si>
  <si>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</si>
  <si>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</si>
  <si>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</si>
  <si>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</si>
  <si>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</si>
  <si>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</si>
  <si>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</si>
  <si>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</si>
  <si>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</si>
  <si>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</si>
  <si>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</si>
  <si>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</si>
  <si>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</si>
  <si>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</si>
  <si>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</si>
  <si>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</si>
  <si>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</si>
  <si>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</si>
  <si>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</si>
  <si>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</si>
  <si>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</si>
  <si>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</si>
  <si>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</si>
  <si>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</si>
  <si>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</si>
  <si>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</si>
  <si>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</si>
  <si>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Cert_Contact_Email</t>
  </si>
  <si>
    <t>la_contact_email_Cert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</si>
  <si>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</si>
  <si>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</si>
  <si>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</si>
  <si>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</si>
  <si>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</si>
  <si>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</si>
  <si>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</si>
  <si>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</si>
  <si>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</si>
  <si>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</si>
  <si>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</si>
  <si>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</si>
  <si>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</si>
  <si>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</si>
  <si>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</si>
  <si>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</si>
  <si>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</si>
  <si>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</si>
  <si>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</si>
  <si>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</si>
  <si>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</si>
  <si>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</si>
  <si>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</si>
  <si>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</si>
  <si>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</si>
  <si>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</si>
  <si>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</si>
  <si>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</si>
  <si>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</si>
  <si>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</si>
  <si>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</si>
  <si>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</si>
  <si>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</si>
  <si>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</si>
  <si>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</si>
  <si>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</si>
  <si>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</si>
  <si>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</si>
  <si>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</si>
  <si>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</si>
  <si>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</si>
  <si>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</si>
  <si>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</si>
  <si>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</si>
  <si>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</si>
  <si>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</si>
  <si>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</si>
  <si>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RS-contres-conf</t>
  </si>
  <si>
    <t>Cell reference needs to be sorted yet</t>
  </si>
  <si>
    <t>RS-debtcost-GF-intcost</t>
  </si>
  <si>
    <t>RS_RSmHeader1</t>
  </si>
  <si>
    <t>RS-debtcost-HRA-intcost</t>
  </si>
  <si>
    <t>RS-debtcost-GF-fincost</t>
  </si>
  <si>
    <t>RS-debtcost-HRA-fincost</t>
  </si>
  <si>
    <t>RS-debtcost-GF-revcost</t>
  </si>
  <si>
    <t>RS-debtcost-HRA-revcost</t>
  </si>
  <si>
    <t>RSX-error</t>
  </si>
  <si>
    <t>RSX_data</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</si>
  <si>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</si>
  <si>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</si>
  <si>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</si>
  <si>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</si>
  <si>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</si>
  <si>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</si>
  <si>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</si>
  <si>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</si>
  <si>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</si>
  <si>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</si>
  <si>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</si>
  <si>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</si>
  <si>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</si>
  <si>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</si>
  <si>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</si>
  <si>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</si>
  <si>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</si>
  <si>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</si>
  <si>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</si>
  <si>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</si>
  <si>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</si>
  <si>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</si>
  <si>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</si>
  <si>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</si>
  <si>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</si>
  <si>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</si>
  <si>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</si>
  <si>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</si>
  <si>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</si>
  <si>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</si>
  <si>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</si>
  <si>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</si>
  <si>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</si>
  <si>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</si>
  <si>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</si>
  <si>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</si>
  <si>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</si>
  <si>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</si>
  <si>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</si>
  <si>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</si>
  <si>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</si>
  <si>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</si>
  <si>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RSX-edu-mss</t>
  </si>
  <si>
    <t>RSX-trans-mss</t>
  </si>
  <si>
    <t>RSX-csc-mss</t>
  </si>
  <si>
    <t>RSX-asc-mss</t>
  </si>
  <si>
    <t>RSX-phs-mss</t>
  </si>
  <si>
    <t>RSX-hous-mss</t>
  </si>
  <si>
    <t>RSX-cul-mss</t>
  </si>
  <si>
    <t>RSX-env-mss</t>
  </si>
  <si>
    <t>RSX-plan-mss</t>
  </si>
  <si>
    <t>RSX-pol-mss</t>
  </si>
  <si>
    <t>RSX-frs-mss</t>
  </si>
  <si>
    <t>RSX-cen-mss</t>
  </si>
  <si>
    <t>RSX-oth-mss</t>
  </si>
  <si>
    <t>RSX-totsx-mss</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</si>
  <si>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</si>
  <si>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</si>
  <si>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</si>
  <si>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</si>
  <si>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</si>
  <si>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</si>
  <si>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</si>
  <si>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</si>
  <si>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</si>
  <si>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</si>
  <si>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</si>
  <si>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</si>
  <si>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</si>
  <si>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</si>
  <si>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</si>
  <si>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</si>
  <si>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</si>
  <si>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</si>
  <si>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</si>
  <si>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</si>
  <si>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</si>
  <si>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</si>
  <si>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</si>
  <si>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</si>
  <si>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</si>
  <si>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</si>
  <si>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</si>
  <si>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</si>
  <si>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</si>
  <si>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</si>
  <si>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</si>
  <si>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</si>
  <si>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</si>
  <si>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</si>
  <si>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</si>
  <si>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</si>
  <si>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</si>
  <si>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</si>
  <si>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</si>
  <si>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</si>
  <si>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</si>
  <si>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</si>
  <si>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</si>
  <si>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</si>
  <si>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</si>
  <si>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</si>
  <si>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</si>
  <si>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</si>
  <si>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</si>
  <si>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</si>
  <si>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</si>
  <si>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</si>
  <si>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</si>
  <si>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</si>
  <si>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</si>
  <si>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</si>
  <si>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</si>
  <si>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</si>
  <si>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</si>
  <si>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</si>
  <si>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</si>
  <si>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</si>
  <si>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</si>
  <si>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</si>
  <si>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</si>
  <si>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RO1-eduerl-mss</t>
  </si>
  <si>
    <t>RO1-eduprm-mss</t>
  </si>
  <si>
    <t>RO1-eduscn-mss</t>
  </si>
  <si>
    <t>RO1-eduspc-mss</t>
  </si>
  <si>
    <t>RO1-edupst-mss</t>
  </si>
  <si>
    <t>RO1-eduoth-mss</t>
  </si>
  <si>
    <t>RO1-edutot-mss</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</si>
  <si>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</si>
  <si>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</si>
  <si>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</si>
  <si>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</si>
  <si>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</si>
  <si>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</si>
  <si>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</si>
  <si>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</si>
  <si>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</si>
  <si>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</si>
  <si>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</si>
  <si>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</si>
  <si>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</si>
  <si>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RO1-edusvmemrec-oth-inc</t>
  </si>
  <si>
    <t>RO1-edutot-oth-inc</t>
  </si>
  <si>
    <t>RO1-eduerl-tot-inc</t>
  </si>
  <si>
    <t>RO1-eduprm-tot-inc</t>
  </si>
  <si>
    <t>RO1-eduscn-tot-inc</t>
  </si>
  <si>
    <t>RO1-eduspc-tot-inc</t>
  </si>
  <si>
    <t>RO1-edupst-tot-inc</t>
  </si>
  <si>
    <t>RO1-eduoth-tot-inc</t>
  </si>
  <si>
    <t>RO1-edutot-tot-inc</t>
  </si>
  <si>
    <t>RG-error</t>
  </si>
  <si>
    <t>RG_data</t>
  </si>
  <si>
    <t>RG_rows</t>
  </si>
  <si>
    <t>RG_Header</t>
  </si>
  <si>
    <t>RG-grantindasa-tot-grant</t>
  </si>
  <si>
    <t>RG-grantincscp-tot-grant</t>
  </si>
  <si>
    <t>RG-grantinrec-tot-grant</t>
  </si>
  <si>
    <t>RG-grantinnics-tot-grant</t>
  </si>
  <si>
    <t>RG-grantinneig-tot-grant</t>
  </si>
  <si>
    <t>RG-grantinpolnic-tot-grant</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</si>
  <si>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</si>
  <si>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</si>
  <si>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</si>
  <si>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</si>
  <si>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</si>
  <si>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</si>
  <si>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</si>
  <si>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</si>
  <si>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</si>
  <si>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</si>
  <si>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</si>
  <si>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</si>
  <si>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</si>
  <si>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</si>
  <si>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</si>
  <si>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</si>
  <si>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</si>
  <si>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</si>
  <si>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</si>
  <si>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</si>
  <si>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</si>
  <si>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</si>
  <si>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</si>
  <si>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</si>
  <si>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</si>
  <si>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</si>
  <si>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</si>
  <si>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</si>
  <si>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</si>
  <si>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</si>
  <si>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</si>
  <si>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</si>
  <si>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</si>
  <si>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</si>
  <si>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</si>
  <si>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</si>
  <si>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</si>
  <si>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</si>
  <si>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</si>
  <si>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</si>
  <si>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</si>
  <si>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</si>
  <si>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</si>
  <si>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</si>
  <si>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</si>
  <si>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</si>
  <si>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</si>
  <si>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</si>
  <si>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</si>
  <si>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</si>
  <si>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</si>
  <si>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</si>
  <si>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</si>
  <si>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</si>
  <si>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</si>
  <si>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</si>
  <si>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</si>
  <si>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</si>
  <si>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</si>
  <si>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</si>
  <si>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</si>
  <si>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</si>
  <si>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</si>
  <si>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</si>
  <si>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</si>
  <si>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</si>
  <si>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</si>
  <si>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</si>
  <si>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</si>
  <si>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</si>
  <si>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</si>
  <si>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</si>
  <si>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</si>
  <si>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</si>
  <si>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</si>
  <si>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</si>
  <si>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</si>
  <si>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</si>
  <si>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</si>
  <si>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</si>
  <si>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</si>
  <si>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</si>
  <si>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</si>
  <si>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RO2-transpln-hghwys-mnt-mss</t>
  </si>
  <si>
    <t>RO2-transpln-pub-oth-mss</t>
  </si>
  <si>
    <t>RO2-transrdsmnt-prn-rds-mss</t>
  </si>
  <si>
    <t>RO2-transrdsmnt-oth-rds-mss</t>
  </si>
  <si>
    <t>RO2-transrdsmnt-brd-mss</t>
  </si>
  <si>
    <t>RO2-transrdsenv-prn-rds-mss</t>
  </si>
  <si>
    <t>RO2-transrdsenv-oth-rds-mss</t>
  </si>
  <si>
    <t>RO2-transrdswnt-mss</t>
  </si>
  <si>
    <t>RO2-transrdslgh-mss</t>
  </si>
  <si>
    <t>RO2-transrdstrfcng-mss</t>
  </si>
  <si>
    <t>RO2-transrdstrfbs-mss</t>
  </si>
  <si>
    <t>RO2-transrdstrfsft-mss</t>
  </si>
  <si>
    <t>RO2-transrdstrfoth-mss</t>
  </si>
  <si>
    <t>RO2-transprk-on-str-prk-mss</t>
  </si>
  <si>
    <t>RO2-transprk-off-str-prk-mss</t>
  </si>
  <si>
    <t>RO2-transpblstt-mss</t>
  </si>
  <si>
    <t>RO2-transpbldsc-mss</t>
  </si>
  <si>
    <t>RO2-transpblopr-bus-mss</t>
  </si>
  <si>
    <t>RO2-transpblopr-rail-mss</t>
  </si>
  <si>
    <t>RO2-transpblopr-oth-mss</t>
  </si>
  <si>
    <t>RO2-transpblcrd-mss</t>
  </si>
  <si>
    <t>RO2-transaht-mss</t>
  </si>
  <si>
    <t>RO2-transtot-mss</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</si>
  <si>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</si>
  <si>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</si>
  <si>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</si>
  <si>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</si>
  <si>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</si>
  <si>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</si>
  <si>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</si>
  <si>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</si>
  <si>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</si>
  <si>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</si>
  <si>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</si>
  <si>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</si>
  <si>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</si>
  <si>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</si>
  <si>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</si>
  <si>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</si>
  <si>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</si>
  <si>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</si>
  <si>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</si>
  <si>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</si>
  <si>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</si>
  <si>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</si>
  <si>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</si>
  <si>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</si>
  <si>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</si>
  <si>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</si>
  <si>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</si>
  <si>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</si>
  <si>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</si>
  <si>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</si>
  <si>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</si>
  <si>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</si>
  <si>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</si>
  <si>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</si>
  <si>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</si>
  <si>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</si>
  <si>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</si>
  <si>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</si>
  <si>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</si>
  <si>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</si>
  <si>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</si>
  <si>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</si>
  <si>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</si>
  <si>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</si>
  <si>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</si>
  <si>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</si>
  <si>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</si>
  <si>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</si>
  <si>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</si>
  <si>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</si>
  <si>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RO2-transsvmemrec-oth-inc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</si>
  <si>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</si>
  <si>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</si>
  <si>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</si>
  <si>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</si>
  <si>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</si>
  <si>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</si>
  <si>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</si>
  <si>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</si>
  <si>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</si>
  <si>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</si>
  <si>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</si>
  <si>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</si>
  <si>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</si>
  <si>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</si>
  <si>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</si>
  <si>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</si>
  <si>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</si>
  <si>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</si>
  <si>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</si>
  <si>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</si>
  <si>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</si>
  <si>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</si>
  <si>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</si>
  <si>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</si>
  <si>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</si>
  <si>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</si>
  <si>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</si>
  <si>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</si>
  <si>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</si>
  <si>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</si>
  <si>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</si>
  <si>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</si>
  <si>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</si>
  <si>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</si>
  <si>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</si>
  <si>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</si>
  <si>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</si>
  <si>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</si>
  <si>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</si>
  <si>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</si>
  <si>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</si>
  <si>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</si>
  <si>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</si>
  <si>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</si>
  <si>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</si>
  <si>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</si>
  <si>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</si>
  <si>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</si>
  <si>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</si>
  <si>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</si>
  <si>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</si>
  <si>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</si>
  <si>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</si>
  <si>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</si>
  <si>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</si>
  <si>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</si>
  <si>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</si>
  <si>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</si>
  <si>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</si>
  <si>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</si>
  <si>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</si>
  <si>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</si>
  <si>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</si>
  <si>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</si>
  <si>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</si>
  <si>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</si>
  <si>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</si>
  <si>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</si>
  <si>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</si>
  <si>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</si>
  <si>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</si>
  <si>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</si>
  <si>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</si>
  <si>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</si>
  <si>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</si>
  <si>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</si>
  <si>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</si>
  <si>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</si>
  <si>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</si>
  <si>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</si>
  <si>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</si>
  <si>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</si>
  <si>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</si>
  <si>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</si>
  <si>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</si>
  <si>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</si>
  <si>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</si>
  <si>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</si>
  <si>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</si>
  <si>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</si>
  <si>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</si>
  <si>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</si>
  <si>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</si>
  <si>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</si>
  <si>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RO3-phsbsprvdrg-empl</t>
  </si>
  <si>
    <t>RO3-phsbsspc-empl</t>
  </si>
  <si>
    <t>RO3-phsmkstp-empl</t>
  </si>
  <si>
    <t>RO3-phsmkcnt-empl</t>
  </si>
  <si>
    <t>RO3-phchl-empl</t>
  </si>
  <si>
    <t>RO3-phbbymnd-empl</t>
  </si>
  <si>
    <t>RO3-phbbyoth-empl</t>
  </si>
  <si>
    <t>RO3-phwrk-empl</t>
  </si>
  <si>
    <t>RO3-phmnt-empl</t>
  </si>
  <si>
    <t>RO3-phmsc-empl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</si>
  <si>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</si>
  <si>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</si>
  <si>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</si>
  <si>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</si>
  <si>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</si>
  <si>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</si>
  <si>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</si>
  <si>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</si>
  <si>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</si>
  <si>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</si>
  <si>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</si>
  <si>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</si>
  <si>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</si>
  <si>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</si>
  <si>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</si>
  <si>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</si>
  <si>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</si>
  <si>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</si>
  <si>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</si>
  <si>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</si>
  <si>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</si>
  <si>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</si>
  <si>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</si>
  <si>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</si>
  <si>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</si>
  <si>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</si>
  <si>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</si>
  <si>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</si>
  <si>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</si>
  <si>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</si>
  <si>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</si>
  <si>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</si>
  <si>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</si>
  <si>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</si>
  <si>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</si>
  <si>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</si>
  <si>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</si>
  <si>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</si>
  <si>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</si>
  <si>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</si>
  <si>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</si>
  <si>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</si>
  <si>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</si>
  <si>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</si>
  <si>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</si>
  <si>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</si>
  <si>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</si>
  <si>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</si>
  <si>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</si>
  <si>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</si>
  <si>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</si>
  <si>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</si>
  <si>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</si>
  <si>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</si>
  <si>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</si>
  <si>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</si>
  <si>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</si>
  <si>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RO3-phsbsprvdrg-run-exp</t>
  </si>
  <si>
    <t>RO3-phsbsspc-run-exp</t>
  </si>
  <si>
    <t>RO3-phsmkstp-run-exp</t>
  </si>
  <si>
    <t>RO3-phsmkcnt-run-exp</t>
  </si>
  <si>
    <t>RO3-phchl-run-exp</t>
  </si>
  <si>
    <t>RO3-phbbymnd-run-exp</t>
  </si>
  <si>
    <t>RO3-phbbyoth-run-exp</t>
  </si>
  <si>
    <t>RO3-phwrk-run-exp</t>
  </si>
  <si>
    <t>RO3-phmnt-run-exp</t>
  </si>
  <si>
    <t>RO3-phmsc-run-exp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</si>
  <si>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</si>
  <si>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</si>
  <si>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</si>
  <si>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</si>
  <si>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</si>
  <si>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</si>
  <si>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</si>
  <si>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</si>
  <si>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</si>
  <si>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</si>
  <si>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</si>
  <si>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</si>
  <si>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</si>
  <si>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</si>
  <si>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</si>
  <si>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</si>
  <si>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</si>
  <si>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</si>
  <si>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</si>
  <si>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</si>
  <si>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</si>
  <si>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</si>
  <si>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</si>
  <si>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</si>
  <si>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</si>
  <si>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</si>
  <si>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</si>
  <si>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</si>
  <si>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</si>
  <si>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</si>
  <si>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</si>
  <si>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</si>
  <si>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</si>
  <si>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</si>
  <si>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</si>
  <si>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</si>
  <si>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</si>
  <si>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</si>
  <si>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</si>
  <si>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</si>
  <si>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</si>
  <si>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</si>
  <si>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</si>
  <si>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</si>
  <si>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</si>
  <si>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</si>
  <si>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</si>
  <si>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</si>
  <si>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</si>
  <si>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</si>
  <si>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</si>
  <si>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</si>
  <si>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</si>
  <si>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</si>
  <si>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</si>
  <si>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</si>
  <si>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</si>
  <si>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RO3-phsbsprvdrg-tot-exp</t>
  </si>
  <si>
    <t>RO3-phsbsspc-tot-exp</t>
  </si>
  <si>
    <t>RO3-phsmkstp-tot-exp</t>
  </si>
  <si>
    <t>RO3-phsmkcnt-tot-exp</t>
  </si>
  <si>
    <t>RO3-phchl-tot-exp</t>
  </si>
  <si>
    <t>RO3-phbbymnd-tot-exp</t>
  </si>
  <si>
    <t>RO3-phbbyoth-tot-exp</t>
  </si>
  <si>
    <t>RO3-phwrk-tot-exp</t>
  </si>
  <si>
    <t>RO3-phmnt-tot-exp</t>
  </si>
  <si>
    <t>RO3-phmsc-tot-exp</t>
  </si>
  <si>
    <t>RO3-phtot-tot-exp</t>
  </si>
  <si>
    <t>RO3-phsup-anc-exp-csc-tot-exp</t>
  </si>
  <si>
    <t>RO3-phsup-anc-exp-asc-tot-exp</t>
  </si>
  <si>
    <t>RO3-cscsr-mss</t>
  </si>
  <si>
    <t>RO3-csclkd-mss</t>
  </si>
  <si>
    <t>RO3-csclkdres-mss</t>
  </si>
  <si>
    <t>RO3-csclkdfos-mss</t>
  </si>
  <si>
    <t>RO3-csclkdasy-mss</t>
  </si>
  <si>
    <t>RO3-csclkdoth-mss</t>
  </si>
  <si>
    <t>RO3-cscoth-mss</t>
  </si>
  <si>
    <t>RO3-cscfml-mss</t>
  </si>
  <si>
    <t>RO3-cscyth-mss</t>
  </si>
  <si>
    <t>RO3-cscsfg-mss</t>
  </si>
  <si>
    <t>RO3-cscasy-mss</t>
  </si>
  <si>
    <t>RO3-cscsrv-mss</t>
  </si>
  <si>
    <t>RO3-csctot-mss</t>
  </si>
  <si>
    <t>RO3-ascphyadl-mss</t>
  </si>
  <si>
    <t>RO3-ascphyold-mss</t>
  </si>
  <si>
    <t>RO3-ascsnsadl-mss</t>
  </si>
  <si>
    <t>RO3-ascsnsold-mss</t>
  </si>
  <si>
    <t>RO3-ascmmradl-mss</t>
  </si>
  <si>
    <t>RO3-ascmmrold-mss</t>
  </si>
  <si>
    <t>RO3-asclrnadl-mss</t>
  </si>
  <si>
    <t>RO3-asclrnold-mss</t>
  </si>
  <si>
    <t>RO3-ascmntadl-mss</t>
  </si>
  <si>
    <t>RO3-ascmntold-mss</t>
  </si>
  <si>
    <t>RO3-ascsclsbs-mss</t>
  </si>
  <si>
    <t>RO3-ascsclasy-mss</t>
  </si>
  <si>
    <t>RO3-ascsclisl-mss</t>
  </si>
  <si>
    <t>RO3-ascsclcrr-mss</t>
  </si>
  <si>
    <t>RO3-ascsclcrradl-mss</t>
  </si>
  <si>
    <t>RO3-ascsclcrrold-mss</t>
  </si>
  <si>
    <t>RO3-ascass-mss</t>
  </si>
  <si>
    <t>RO3-ascassadl-mss</t>
  </si>
  <si>
    <t>RO3-ascassold-mss</t>
  </si>
  <si>
    <t>RO3-asccrasssfg-mss</t>
  </si>
  <si>
    <t>RO3-asccrasssfgadl-mss</t>
  </si>
  <si>
    <t>RO3-asccrasssfgold-mss</t>
  </si>
  <si>
    <t>RO3-ascinf-mss</t>
  </si>
  <si>
    <t>RO3-ascinfadl-mss</t>
  </si>
  <si>
    <t>RO3-ascinfold-mss</t>
  </si>
  <si>
    <t>RO3-asccmstad-mss</t>
  </si>
  <si>
    <t>RO3-asccmstadadl-mss</t>
  </si>
  <si>
    <t>RO3-asccmstadold-mss</t>
  </si>
  <si>
    <t>RO3-asctot-mss</t>
  </si>
  <si>
    <t>RO3-phsxlsti-mss</t>
  </si>
  <si>
    <t>RO3-phsxlcnt-mss</t>
  </si>
  <si>
    <t>RO3-phsxlprm-mss</t>
  </si>
  <si>
    <t>RO3-phhcp-mss</t>
  </si>
  <si>
    <t>RO3-phprt-mss</t>
  </si>
  <si>
    <t>RO3-phcmp-mss</t>
  </si>
  <si>
    <t>RO3-phadv-mss</t>
  </si>
  <si>
    <t>RO3-phobsadl-mss</t>
  </si>
  <si>
    <t>RO3-phobschl-mss</t>
  </si>
  <si>
    <t>RO3-phphyadl-mss</t>
  </si>
  <si>
    <t>RO3-phphychl-mss</t>
  </si>
  <si>
    <t>RO3-phsbstrtdrg-mss</t>
  </si>
  <si>
    <t>RO3-phsbsprvdrg-mss</t>
  </si>
  <si>
    <t>RO3-phsbsspc-mss</t>
  </si>
  <si>
    <t>RO3-phsmkstp-mss</t>
  </si>
  <si>
    <t>RO3-phsmkcnt-mss</t>
  </si>
  <si>
    <t>RO3-phchl-mss</t>
  </si>
  <si>
    <t>RO3-phbbymnd-mss</t>
  </si>
  <si>
    <t>RO3-phbbyoth-mss</t>
  </si>
  <si>
    <t>RO3-phwrk-mss</t>
  </si>
  <si>
    <t>RO3-phmnt-mss</t>
  </si>
  <si>
    <t>RO3-phmsc-mss</t>
  </si>
  <si>
    <t>RO3-phtot-mss</t>
  </si>
  <si>
    <t>RO3-phsup-anc-exp-csc-mss</t>
  </si>
  <si>
    <t>RO3-phsup-anc-exp-asc-mss</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</si>
  <si>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</si>
  <si>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</si>
  <si>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</si>
  <si>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</si>
  <si>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</si>
  <si>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</si>
  <si>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</si>
  <si>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</si>
  <si>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</si>
  <si>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</si>
  <si>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</si>
  <si>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</si>
  <si>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</si>
  <si>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</si>
  <si>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</si>
  <si>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</si>
  <si>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</si>
  <si>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</si>
  <si>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</si>
  <si>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</si>
  <si>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</si>
  <si>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</si>
  <si>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</si>
  <si>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</si>
  <si>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</si>
  <si>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</si>
  <si>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</si>
  <si>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</si>
  <si>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</si>
  <si>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</si>
  <si>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</si>
  <si>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</si>
  <si>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</si>
  <si>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</si>
  <si>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</si>
  <si>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</si>
  <si>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</si>
  <si>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</si>
  <si>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</si>
  <si>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</si>
  <si>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</si>
  <si>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</si>
  <si>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</si>
  <si>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</si>
  <si>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</si>
  <si>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</si>
  <si>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</si>
  <si>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</si>
  <si>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</si>
  <si>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</si>
  <si>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</si>
  <si>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</si>
  <si>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</si>
  <si>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</si>
  <si>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RO3-phsbsprvdrg-sfc</t>
  </si>
  <si>
    <t>RO3-phsbsspc-sfc</t>
  </si>
  <si>
    <t>RO3-phsmkstp-sfc</t>
  </si>
  <si>
    <t>RO3-phsmkcnt-sfc</t>
  </si>
  <si>
    <t>RO3-phchl-sfc</t>
  </si>
  <si>
    <t>RO3-phbbymnd-sfc</t>
  </si>
  <si>
    <t>RO3-phbbyoth-sfc</t>
  </si>
  <si>
    <t>RO3-phwrk-sfc</t>
  </si>
  <si>
    <t>RO3-phmnt-sfc</t>
  </si>
  <si>
    <t>RO3-phmsc-sfc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</si>
  <si>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</si>
  <si>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</si>
  <si>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</si>
  <si>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</si>
  <si>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</si>
  <si>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</si>
  <si>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</si>
  <si>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</si>
  <si>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</si>
  <si>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</si>
  <si>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</si>
  <si>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</si>
  <si>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</si>
  <si>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</si>
  <si>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</si>
  <si>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</si>
  <si>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RO3-cscsvmemrec-oth-inc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</si>
  <si>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</si>
  <si>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</si>
  <si>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</si>
  <si>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</si>
  <si>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</si>
  <si>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</si>
  <si>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</si>
  <si>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</si>
  <si>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</si>
  <si>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</si>
  <si>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</si>
  <si>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</si>
  <si>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</si>
  <si>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</si>
  <si>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</si>
  <si>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</si>
  <si>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</si>
  <si>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</si>
  <si>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</si>
  <si>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</si>
  <si>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</si>
  <si>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</si>
  <si>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</si>
  <si>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</si>
  <si>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</si>
  <si>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</si>
  <si>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</si>
  <si>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</si>
  <si>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</si>
  <si>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</si>
  <si>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</si>
  <si>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</si>
  <si>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</si>
  <si>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</si>
  <si>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</si>
  <si>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</si>
  <si>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</si>
  <si>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</si>
  <si>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</si>
  <si>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</si>
  <si>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</si>
  <si>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RO3-phsbsprvdrg-oth-inc</t>
  </si>
  <si>
    <t>RO3-phsbsspc-oth-inc</t>
  </si>
  <si>
    <t>RO3-phsmkstp-oth-inc</t>
  </si>
  <si>
    <t>RO3-phsmkcnt-oth-inc</t>
  </si>
  <si>
    <t>RO3-phchl-oth-inc</t>
  </si>
  <si>
    <t>RO3-phbbymnd-oth-inc</t>
  </si>
  <si>
    <t>RO3-phbbyoth-oth-inc</t>
  </si>
  <si>
    <t>RO3-phwrk-oth-inc</t>
  </si>
  <si>
    <t>RO3-phmnt-oth-inc</t>
  </si>
  <si>
    <t>RO3-phmsc-oth-inc</t>
  </si>
  <si>
    <t>RO3-phtot-oth-inc</t>
  </si>
  <si>
    <t>RO3-phsvmemrec-oth-inc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</si>
  <si>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</si>
  <si>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</si>
  <si>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</si>
  <si>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</si>
  <si>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</si>
  <si>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</si>
  <si>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</si>
  <si>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</si>
  <si>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</si>
  <si>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</si>
  <si>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</si>
  <si>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</si>
  <si>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</si>
  <si>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</si>
  <si>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</si>
  <si>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</si>
  <si>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</si>
  <si>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</si>
  <si>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</si>
  <si>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</si>
  <si>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</si>
  <si>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</si>
  <si>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</si>
  <si>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</si>
  <si>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</si>
  <si>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</si>
  <si>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</si>
  <si>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</si>
  <si>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</si>
  <si>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</si>
  <si>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</si>
  <si>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</si>
  <si>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</si>
  <si>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</si>
  <si>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</si>
  <si>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</si>
  <si>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</si>
  <si>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</si>
  <si>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</si>
  <si>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</si>
  <si>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</si>
  <si>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</si>
  <si>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</si>
  <si>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</si>
  <si>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</si>
  <si>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</si>
  <si>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</si>
  <si>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</si>
  <si>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</si>
  <si>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</si>
  <si>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</si>
  <si>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</si>
  <si>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</si>
  <si>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</si>
  <si>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</si>
  <si>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</si>
  <si>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RO3-phsbsprvdrg-tot-inc</t>
  </si>
  <si>
    <t>RO3-phsbsspc-tot-inc</t>
  </si>
  <si>
    <t>RO3-phsmkstp-tot-inc</t>
  </si>
  <si>
    <t>RO3-phsmkcnt-tot-inc</t>
  </si>
  <si>
    <t>RO3-phchl-tot-inc</t>
  </si>
  <si>
    <t>RO3-phbbymnd-tot-inc</t>
  </si>
  <si>
    <t>RO3-phbbyoth-tot-inc</t>
  </si>
  <si>
    <t>RO3-phwrk-tot-inc</t>
  </si>
  <si>
    <t>RO3-phmnt-tot-inc</t>
  </si>
  <si>
    <t>RO3-phmsc-tot-inc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</si>
  <si>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</si>
  <si>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</si>
  <si>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</si>
  <si>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</si>
  <si>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</si>
  <si>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</si>
  <si>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</si>
  <si>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</si>
  <si>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</si>
  <si>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</si>
  <si>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</si>
  <si>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</si>
  <si>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</si>
  <si>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</si>
  <si>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</si>
  <si>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</si>
  <si>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</si>
  <si>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</si>
  <si>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</si>
  <si>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</si>
  <si>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</si>
  <si>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</si>
  <si>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</si>
  <si>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</si>
  <si>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</si>
  <si>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</si>
  <si>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</si>
  <si>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</si>
  <si>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</si>
  <si>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</si>
  <si>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</si>
  <si>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</si>
  <si>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</si>
  <si>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</si>
  <si>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</si>
  <si>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</si>
  <si>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</si>
  <si>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</si>
  <si>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</si>
  <si>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</si>
  <si>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</si>
  <si>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</si>
  <si>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</si>
  <si>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</si>
  <si>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</si>
  <si>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</si>
  <si>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</si>
  <si>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</si>
  <si>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</si>
  <si>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</si>
  <si>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</si>
  <si>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</si>
  <si>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</si>
  <si>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</si>
  <si>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</si>
  <si>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</si>
  <si>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</si>
  <si>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</si>
  <si>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</si>
  <si>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</si>
  <si>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</si>
  <si>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</si>
  <si>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</si>
  <si>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</si>
  <si>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</si>
  <si>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</si>
  <si>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</si>
  <si>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</si>
  <si>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</si>
  <si>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</si>
  <si>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</si>
  <si>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</si>
  <si>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</si>
  <si>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</si>
  <si>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</si>
  <si>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</si>
  <si>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</si>
  <si>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</si>
  <si>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</si>
  <si>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</si>
  <si>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</si>
  <si>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</si>
  <si>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</si>
  <si>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RO4-housgfcfstr-hous-str-adv-enb-mss</t>
  </si>
  <si>
    <t>RO4-housgfcfstr-hous-adv-mss</t>
  </si>
  <si>
    <t>RO4-housprvsecrnw-adm-rpr-imp-mss</t>
  </si>
  <si>
    <t>RO4-housprvsecrnw-oth-mss</t>
  </si>
  <si>
    <t>RO4-housgfcfhml-ngt-prv-mng-acc-mss</t>
  </si>
  <si>
    <t>RO4-housgfcfhml-prv-acc-lsd-mss</t>
  </si>
  <si>
    <t>RO4-housgfcfhml-hst-incl-rcpt-mss</t>
  </si>
  <si>
    <t>RO4-housgfcfhml-bb-htls-mss</t>
  </si>
  <si>
    <t>RO4-housgfcfhml-la-ha-stk-mss</t>
  </si>
  <si>
    <t>RO4-housgfcfhml-any-oth-temp-acc-mss</t>
  </si>
  <si>
    <t>RO4-housgfcfhml-tmp-acc-adm-mss</t>
  </si>
  <si>
    <t>RO4-housgfcfhml-hml-rdct-act-mss</t>
  </si>
  <si>
    <t>RO4-housgfcfhml-non-hml-rdct-act-mss</t>
  </si>
  <si>
    <t>RO4-housgfcfhml-hml-tot-mss</t>
  </si>
  <si>
    <t>RO4-housgfcfbnf-rnt-all-dsp-mss</t>
  </si>
  <si>
    <t>RO4-housgfcfbnf-non-hra-rbt-dsp-mss</t>
  </si>
  <si>
    <t>RO4-housgfcfbnf-rnt-rbt-hra-dsp-mss</t>
  </si>
  <si>
    <t>RO4-housgfcfbnfadm-mss</t>
  </si>
  <si>
    <t>RO4-housgfcfcnc-mss</t>
  </si>
  <si>
    <t>RO4-housgfcfwlfspp-mss</t>
  </si>
  <si>
    <t>RO4-housgfcfwlfoth-mss</t>
  </si>
  <si>
    <t>RO4-housgfcftot-mss</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</si>
  <si>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</si>
  <si>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</si>
  <si>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</si>
  <si>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</si>
  <si>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</si>
  <si>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</si>
  <si>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</si>
  <si>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</si>
  <si>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</si>
  <si>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</si>
  <si>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</si>
  <si>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</si>
  <si>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</si>
  <si>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</si>
  <si>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</si>
  <si>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</si>
  <si>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</si>
  <si>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</si>
  <si>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</si>
  <si>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</si>
  <si>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</si>
  <si>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</si>
  <si>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</si>
  <si>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</si>
  <si>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</si>
  <si>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</si>
  <si>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</si>
  <si>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</si>
  <si>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</si>
  <si>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</si>
  <si>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</si>
  <si>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</si>
  <si>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</si>
  <si>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</si>
  <si>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</si>
  <si>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</si>
  <si>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</si>
  <si>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</si>
  <si>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</si>
  <si>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</si>
  <si>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</si>
  <si>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</si>
  <si>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</si>
  <si>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</si>
  <si>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RO4-housgsvmemrec-oth-inc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</si>
  <si>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</si>
  <si>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</si>
  <si>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</si>
  <si>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</si>
  <si>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</si>
  <si>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</si>
  <si>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</si>
  <si>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</si>
  <si>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</si>
  <si>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</si>
  <si>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</si>
  <si>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</si>
  <si>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</si>
  <si>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</si>
  <si>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</si>
  <si>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</si>
  <si>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</si>
  <si>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</si>
  <si>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</si>
  <si>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</si>
  <si>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</si>
  <si>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</si>
  <si>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</si>
  <si>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</si>
  <si>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</si>
  <si>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RO4-hraexpdepr-net-tot-cst</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</si>
  <si>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</si>
  <si>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</si>
  <si>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</si>
  <si>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</si>
  <si>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</si>
  <si>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</si>
  <si>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</si>
  <si>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</si>
  <si>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</si>
  <si>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</si>
  <si>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</si>
  <si>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</si>
  <si>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</si>
  <si>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</si>
  <si>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</si>
  <si>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</si>
  <si>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</si>
  <si>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</si>
  <si>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</si>
  <si>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</si>
  <si>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</si>
  <si>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</si>
  <si>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</si>
  <si>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</si>
  <si>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</si>
  <si>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</si>
  <si>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</si>
  <si>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</si>
  <si>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</si>
  <si>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</si>
  <si>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</si>
  <si>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</si>
  <si>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</si>
  <si>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</si>
  <si>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</si>
  <si>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</si>
  <si>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</si>
  <si>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</si>
  <si>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</si>
  <si>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</si>
  <si>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</si>
  <si>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</si>
  <si>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</si>
  <si>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</si>
  <si>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</si>
  <si>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</si>
  <si>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</si>
  <si>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</si>
  <si>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</si>
  <si>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</si>
  <si>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</si>
  <si>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</si>
  <si>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</si>
  <si>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</si>
  <si>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</si>
  <si>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</si>
  <si>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</si>
  <si>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</si>
  <si>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</si>
  <si>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</si>
  <si>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</si>
  <si>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</si>
  <si>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</si>
  <si>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</si>
  <si>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</si>
  <si>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</si>
  <si>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</si>
  <si>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</si>
  <si>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</si>
  <si>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</si>
  <si>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</si>
  <si>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</si>
  <si>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</si>
  <si>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</si>
  <si>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</si>
  <si>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</si>
  <si>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</si>
  <si>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</si>
  <si>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</si>
  <si>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</si>
  <si>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</si>
  <si>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</si>
  <si>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</si>
  <si>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</si>
  <si>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</si>
  <si>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</si>
  <si>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</si>
  <si>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</si>
  <si>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</si>
  <si>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</si>
  <si>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</si>
  <si>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</si>
  <si>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</si>
  <si>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</si>
  <si>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</si>
  <si>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</si>
  <si>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</si>
  <si>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</si>
  <si>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</si>
  <si>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</si>
  <si>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</si>
  <si>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</si>
  <si>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</si>
  <si>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</si>
  <si>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</si>
  <si>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</si>
  <si>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</si>
  <si>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</si>
  <si>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</si>
  <si>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</si>
  <si>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</si>
  <si>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</si>
  <si>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</si>
  <si>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RO5-culhrtarc-mss</t>
  </si>
  <si>
    <t>RO5-culhrt-art-dvl-spp-mss</t>
  </si>
  <si>
    <t>RO5-culhrt-hrt-mss</t>
  </si>
  <si>
    <t>RO5-culhrt-msm-gll-mss</t>
  </si>
  <si>
    <t>RO5-culhrt-tht-pbl-ent-mss</t>
  </si>
  <si>
    <t>RO5-culspr-cmm-cen-pub-hll-mss</t>
  </si>
  <si>
    <t>RO5-culspr-frs-mss</t>
  </si>
  <si>
    <t>RO5-culspr-spr-dvl-cmm-rec-mss</t>
  </si>
  <si>
    <t>RO5-culspr-spr-lsr-fcl-mss</t>
  </si>
  <si>
    <t>RO5-culprk-opn-mss</t>
  </si>
  <si>
    <t>RO5-culall-mss</t>
  </si>
  <si>
    <t>RO5-cultrs-mss</t>
  </si>
  <si>
    <t>RO5-cullib-mss</t>
  </si>
  <si>
    <t>RO5-cultot-mss</t>
  </si>
  <si>
    <t>RO5-envcmt-mss</t>
  </si>
  <si>
    <t>RO5-envrgltrd-mss</t>
  </si>
  <si>
    <t>RO5-envrglenvwtr-mss</t>
  </si>
  <si>
    <t>RO5-envrglenvfd-mss</t>
  </si>
  <si>
    <t>RO5-envrglenvenv-mss</t>
  </si>
  <si>
    <t>RO5-envrglenvhsn-mss</t>
  </si>
  <si>
    <t>RO5-envrglenvhs-mss</t>
  </si>
  <si>
    <t>RO5-envrglenvprtxlvs-mss</t>
  </si>
  <si>
    <t>RO5-envrglenvprtlvs-mss</t>
  </si>
  <si>
    <t>RO5-envrglenvpst-mss</t>
  </si>
  <si>
    <t>RO5-envrglenvtlt-mss</t>
  </si>
  <si>
    <t>RO5-envrglenvanm-mss</t>
  </si>
  <si>
    <t>RO5-envrglenvlcn-mss</t>
  </si>
  <si>
    <t>RO5-envcmmcrm-mss</t>
  </si>
  <si>
    <t>RO5-envcmmsft-mss</t>
  </si>
  <si>
    <t>RO5-envcmmcct-mss</t>
  </si>
  <si>
    <t>RO5-envfldfld-mss</t>
  </si>
  <si>
    <t>RO5-envflddrn-mss</t>
  </si>
  <si>
    <t>RO5-envflddrnlev-mss</t>
  </si>
  <si>
    <t>RO5-envcst-mss</t>
  </si>
  <si>
    <t>RO5-envagr-mss</t>
  </si>
  <si>
    <t>RO5-envstr-mss</t>
  </si>
  <si>
    <t>RO5-envcll-mss</t>
  </si>
  <si>
    <t>RO5-envdsp-mss</t>
  </si>
  <si>
    <t>RO5-envtrd-mss</t>
  </si>
  <si>
    <t>RO5-envrcy-mss</t>
  </si>
  <si>
    <t>RO5-envmin-mss</t>
  </si>
  <si>
    <t>RO5-envclm-mss</t>
  </si>
  <si>
    <t>RO5-envtot-mss</t>
  </si>
  <si>
    <t>RO5-planbld-mss</t>
  </si>
  <si>
    <t>RO5-plandvl-mss</t>
  </si>
  <si>
    <t>RO5-planplc-cns-lst-bld-mss</t>
  </si>
  <si>
    <t>RO5-planplc-oth-mss</t>
  </si>
  <si>
    <t>RO5-planenv-mss</t>
  </si>
  <si>
    <t>RO5-planecndev-mss</t>
  </si>
  <si>
    <t>RO5-planecnrsr-mss</t>
  </si>
  <si>
    <t>RO5-planbsn-mss</t>
  </si>
  <si>
    <t>RO5-plancmm-mss</t>
  </si>
  <si>
    <t>RO5-plantot-mss</t>
  </si>
  <si>
    <t>RO5-plansvmem-mss</t>
  </si>
  <si>
    <t>RO5-culenvplantot-mss</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</si>
  <si>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</si>
  <si>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</si>
  <si>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</si>
  <si>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</si>
  <si>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</si>
  <si>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</si>
  <si>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</si>
  <si>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</si>
  <si>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</si>
  <si>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</si>
  <si>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</si>
  <si>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</si>
  <si>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</si>
  <si>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</si>
  <si>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</si>
  <si>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</si>
  <si>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</si>
  <si>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</si>
  <si>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</si>
  <si>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</si>
  <si>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</si>
  <si>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</si>
  <si>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</si>
  <si>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</si>
  <si>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</si>
  <si>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</si>
  <si>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</si>
  <si>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</si>
  <si>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</si>
  <si>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</si>
  <si>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</si>
  <si>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</si>
  <si>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</si>
  <si>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</si>
  <si>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</si>
  <si>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</si>
  <si>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</si>
  <si>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</si>
  <si>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</si>
  <si>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</si>
  <si>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</si>
  <si>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</si>
  <si>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</si>
  <si>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</si>
  <si>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</si>
  <si>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</si>
  <si>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</si>
  <si>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</si>
  <si>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</si>
  <si>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</si>
  <si>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</si>
  <si>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</si>
  <si>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</si>
  <si>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</si>
  <si>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</si>
  <si>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</si>
  <si>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</si>
  <si>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</si>
  <si>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</si>
  <si>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</si>
  <si>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</si>
  <si>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</si>
  <si>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</si>
  <si>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</si>
  <si>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</si>
  <si>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</si>
  <si>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</si>
  <si>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</si>
  <si>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RO5-culsvmemrec-oth-inc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</si>
  <si>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</si>
  <si>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</si>
  <si>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</si>
  <si>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</si>
  <si>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</si>
  <si>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</si>
  <si>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</si>
  <si>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</si>
  <si>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</si>
  <si>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</si>
  <si>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</si>
  <si>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</si>
  <si>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</si>
  <si>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</si>
  <si>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</si>
  <si>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</si>
  <si>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</si>
  <si>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</si>
  <si>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</si>
  <si>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</si>
  <si>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</si>
  <si>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</si>
  <si>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</si>
  <si>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</si>
  <si>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</si>
  <si>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</si>
  <si>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</si>
  <si>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</si>
  <si>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</si>
  <si>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RO5-envsvmemrec-oth-inc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</si>
  <si>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</si>
  <si>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</si>
  <si>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</si>
  <si>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</si>
  <si>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</si>
  <si>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</si>
  <si>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</si>
  <si>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</si>
  <si>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</si>
  <si>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</si>
  <si>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RO5-plansvmemrec-oth-inc</t>
  </si>
  <si>
    <t>RO5-culenvplantot-oth-inc</t>
  </si>
  <si>
    <t>RO5-culenvplantotmemrec-oth-inc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</si>
  <si>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</si>
  <si>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</si>
  <si>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</si>
  <si>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</si>
  <si>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</si>
  <si>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</si>
  <si>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</si>
  <si>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</si>
  <si>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</si>
  <si>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</si>
  <si>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</si>
  <si>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</si>
  <si>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</si>
  <si>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</si>
  <si>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</si>
  <si>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</si>
  <si>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</si>
  <si>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</si>
  <si>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</si>
  <si>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</si>
  <si>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</si>
  <si>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</si>
  <si>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</si>
  <si>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</si>
  <si>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</si>
  <si>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</si>
  <si>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</si>
  <si>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</si>
  <si>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</si>
  <si>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</si>
  <si>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</si>
  <si>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</si>
  <si>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</si>
  <si>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</si>
  <si>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</si>
  <si>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</si>
  <si>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</si>
  <si>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</si>
  <si>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</si>
  <si>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</si>
  <si>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</si>
  <si>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</si>
  <si>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</si>
  <si>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</si>
  <si>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</si>
  <si>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</si>
  <si>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</si>
  <si>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</si>
  <si>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</si>
  <si>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</si>
  <si>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</si>
  <si>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</si>
  <si>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</si>
  <si>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</si>
  <si>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</si>
  <si>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</si>
  <si>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</si>
  <si>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</si>
  <si>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</si>
  <si>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</si>
  <si>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</si>
  <si>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</si>
  <si>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</si>
  <si>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</si>
  <si>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</si>
  <si>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</si>
  <si>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</si>
  <si>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</si>
  <si>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</si>
  <si>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</si>
  <si>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</si>
  <si>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</si>
  <si>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</si>
  <si>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</si>
  <si>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</si>
  <si>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</si>
  <si>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</si>
  <si>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</si>
  <si>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</si>
  <si>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</si>
  <si>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</si>
  <si>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</si>
  <si>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</si>
  <si>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</si>
  <si>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</si>
  <si>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</si>
  <si>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</si>
  <si>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</si>
  <si>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</si>
  <si>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</si>
  <si>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</si>
  <si>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</si>
  <si>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</si>
  <si>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</si>
  <si>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</si>
  <si>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</si>
  <si>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</si>
  <si>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</si>
  <si>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</si>
  <si>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</si>
  <si>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</si>
  <si>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</si>
  <si>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</si>
  <si>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</si>
  <si>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</si>
  <si>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</si>
  <si>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</si>
  <si>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</si>
  <si>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</si>
  <si>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</si>
  <si>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RO6-cennd-rch-conf-error</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</si>
  <si>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</si>
  <si>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</si>
  <si>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</si>
  <si>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</si>
  <si>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</si>
  <si>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</si>
  <si>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</si>
  <si>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</si>
  <si>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</si>
  <si>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</si>
  <si>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</si>
  <si>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</si>
  <si>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</si>
  <si>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</si>
  <si>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</si>
  <si>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</si>
  <si>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</si>
  <si>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</si>
  <si>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</si>
  <si>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</si>
  <si>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</si>
  <si>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</si>
  <si>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</si>
  <si>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</si>
  <si>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</si>
  <si>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</si>
  <si>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</si>
  <si>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</si>
  <si>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</si>
  <si>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</si>
  <si>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</si>
  <si>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</si>
  <si>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</si>
  <si>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</si>
  <si>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</si>
  <si>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</si>
  <si>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</si>
  <si>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</si>
  <si>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</si>
  <si>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</si>
  <si>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</si>
  <si>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</si>
  <si>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</si>
  <si>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</si>
  <si>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</si>
  <si>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</si>
  <si>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</si>
  <si>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</si>
  <si>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</si>
  <si>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</si>
  <si>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</si>
  <si>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</si>
  <si>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</si>
  <si>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</si>
  <si>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</si>
  <si>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</si>
  <si>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</si>
  <si>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</si>
  <si>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</si>
  <si>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</si>
  <si>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</si>
  <si>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</si>
  <si>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</si>
  <si>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</si>
  <si>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</si>
  <si>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</si>
  <si>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</si>
  <si>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</si>
  <si>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</si>
  <si>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</si>
  <si>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</si>
  <si>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</si>
  <si>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</si>
  <si>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</si>
  <si>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</si>
  <si>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</si>
  <si>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</si>
  <si>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</si>
  <si>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</si>
  <si>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</si>
  <si>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</si>
  <si>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</si>
  <si>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</si>
  <si>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</si>
  <si>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</si>
  <si>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</si>
  <si>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</si>
  <si>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</si>
  <si>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</si>
  <si>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</si>
  <si>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</si>
  <si>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</si>
  <si>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</si>
  <si>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</si>
  <si>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</si>
  <si>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</si>
  <si>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RO6-poltot-mss</t>
  </si>
  <si>
    <t>RO6-frs-cmm-fs-mss</t>
  </si>
  <si>
    <t>RO6-frs-ffr-opr-mss</t>
  </si>
  <si>
    <t>RO6-frs-frs-emr-pln-mss</t>
  </si>
  <si>
    <t>RO6-frstot-mss</t>
  </si>
  <si>
    <t>RO6-cencrp-mss</t>
  </si>
  <si>
    <t>RO6-centax-cll-mss</t>
  </si>
  <si>
    <t>RO6-centaxdsc-prm-pym-mss</t>
  </si>
  <si>
    <t>RO6-centaxdsc-mss</t>
  </si>
  <si>
    <t>RO6-centaxadm-mss</t>
  </si>
  <si>
    <t>RO6-centaxoth-non-dms-cll-mss</t>
  </si>
  <si>
    <t>RO6-centaxoth-bid-bll-mss</t>
  </si>
  <si>
    <t>RO6-cencntbrt-dth-mrr-mss</t>
  </si>
  <si>
    <t>RO6-cencnt-rgs-elc-mss</t>
  </si>
  <si>
    <t>RO6-cencnt-cnd-elc-mss</t>
  </si>
  <si>
    <t>RO6-cenemr-mss</t>
  </si>
  <si>
    <t>RO6-cencnt-lcl-lnd-chr-mss</t>
  </si>
  <si>
    <t>RO6-cencnt-lcl-wlf-mss</t>
  </si>
  <si>
    <t>RO6-cencnt-gnr-bqs-dnt-mss</t>
  </si>
  <si>
    <t>RO6-cencrn-mss</t>
  </si>
  <si>
    <t>RO6-cencrtoth-mss</t>
  </si>
  <si>
    <t>RO6-cenndcrtr-mss</t>
  </si>
  <si>
    <t>RO6-cenndcit-mss</t>
  </si>
  <si>
    <t>RO6-cenndcsrp-mss</t>
  </si>
  <si>
    <t>RO6-centot-mss</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</si>
  <si>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</si>
  <si>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</si>
  <si>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</si>
  <si>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</si>
  <si>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</si>
  <si>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</si>
  <si>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</si>
  <si>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</si>
  <si>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</si>
  <si>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</si>
  <si>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</si>
  <si>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</si>
  <si>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</si>
  <si>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</si>
  <si>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</si>
  <si>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</si>
  <si>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</si>
  <si>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</si>
  <si>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</si>
  <si>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</si>
  <si>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</si>
  <si>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</si>
  <si>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</si>
  <si>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</si>
  <si>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</si>
  <si>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</si>
  <si>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</si>
  <si>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</si>
  <si>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</si>
  <si>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</si>
  <si>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</si>
  <si>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</si>
  <si>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</si>
  <si>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</si>
  <si>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</si>
  <si>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</si>
  <si>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</si>
  <si>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</si>
  <si>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</si>
  <si>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</si>
  <si>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</si>
  <si>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</si>
  <si>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</si>
  <si>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</si>
  <si>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</si>
  <si>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</si>
  <si>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</si>
  <si>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</si>
  <si>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</si>
  <si>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RO6-polsvmemrec-oth-inc</t>
  </si>
  <si>
    <t>RO6-frs-cmm-fs-oth-inc</t>
  </si>
  <si>
    <t>RO6-frs-ffr-opr-oth-inc</t>
  </si>
  <si>
    <t>RO6-frs-frs-emr-pln-oth-inc</t>
  </si>
  <si>
    <t>RO6-frstot-oth-inc</t>
  </si>
  <si>
    <t>RO6-frssvmemrec-oth-inc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</si>
  <si>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</si>
  <si>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</si>
  <si>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</si>
  <si>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</si>
  <si>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</si>
  <si>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</si>
  <si>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</si>
  <si>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</si>
  <si>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</si>
  <si>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</si>
  <si>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</si>
  <si>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</si>
  <si>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</si>
  <si>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</si>
  <si>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</si>
  <si>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</si>
  <si>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</si>
  <si>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</si>
  <si>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</si>
  <si>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</si>
  <si>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</si>
  <si>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RO6-censvmemrec-oth-inc</t>
  </si>
  <si>
    <t>RO6-cenothtot-oth-inc</t>
  </si>
  <si>
    <t>RO6-cenothsvmemrec-oth-inc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</si>
  <si>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</si>
  <si>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</si>
  <si>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</si>
  <si>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</si>
  <si>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</si>
  <si>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</si>
  <si>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</si>
  <si>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</si>
  <si>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</si>
  <si>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</si>
  <si>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</si>
  <si>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</si>
  <si>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</si>
  <si>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</si>
  <si>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</si>
  <si>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</si>
  <si>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</si>
  <si>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</si>
  <si>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</si>
  <si>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</si>
  <si>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</si>
  <si>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</si>
  <si>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</si>
  <si>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</si>
  <si>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</si>
  <si>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</si>
  <si>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</si>
  <si>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</si>
  <si>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</si>
  <si>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</si>
  <si>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</si>
  <si>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</si>
  <si>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</si>
  <si>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</si>
  <si>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</si>
  <si>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</si>
  <si>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</si>
  <si>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</si>
  <si>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</si>
  <si>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</si>
  <si>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</si>
  <si>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</si>
  <si>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</si>
  <si>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</si>
  <si>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</si>
  <si>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</si>
  <si>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</si>
  <si>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</si>
  <si>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</si>
  <si>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</si>
  <si>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</si>
  <si>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</si>
  <si>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</si>
  <si>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</si>
  <si>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</si>
  <si>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</si>
  <si>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</si>
  <si>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</si>
  <si>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</si>
  <si>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</si>
  <si>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</si>
  <si>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</si>
  <si>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</si>
  <si>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</si>
  <si>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</si>
  <si>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</si>
  <si>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</si>
  <si>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</si>
  <si>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</si>
  <si>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</si>
  <si>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</si>
  <si>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</si>
  <si>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</si>
  <si>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</si>
  <si>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</si>
  <si>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</si>
  <si>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</si>
  <si>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</si>
  <si>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</si>
  <si>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</si>
  <si>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</si>
  <si>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</si>
  <si>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</si>
  <si>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</si>
  <si>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</si>
  <si>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</si>
  <si>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</si>
  <si>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</si>
  <si>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</si>
  <si>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</si>
  <si>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</si>
  <si>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</si>
  <si>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</si>
  <si>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</si>
  <si>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</si>
  <si>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</si>
  <si>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</si>
  <si>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</si>
  <si>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</si>
  <si>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</si>
  <si>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</si>
  <si>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</si>
  <si>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</si>
  <si>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</si>
  <si>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</si>
  <si>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</si>
  <si>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</si>
  <si>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</si>
  <si>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</si>
  <si>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</si>
  <si>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</si>
  <si>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</si>
  <si>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</si>
  <si>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</si>
  <si>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</si>
  <si>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</si>
  <si>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</si>
  <si>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</si>
  <si>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</si>
  <si>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</si>
  <si>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</si>
  <si>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</si>
  <si>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</si>
  <si>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</si>
  <si>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</si>
  <si>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</si>
  <si>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</si>
  <si>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</si>
  <si>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</si>
  <si>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</si>
  <si>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</si>
  <si>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</si>
  <si>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</si>
  <si>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</si>
  <si>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</si>
  <si>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</si>
  <si>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</si>
  <si>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</si>
  <si>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</si>
  <si>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</si>
  <si>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</si>
  <si>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</si>
  <si>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</si>
  <si>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</si>
  <si>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</si>
  <si>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</si>
  <si>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</si>
  <si>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</si>
  <si>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</si>
  <si>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</si>
  <si>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</si>
  <si>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</si>
  <si>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</si>
  <si>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</si>
  <si>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</si>
  <si>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</si>
  <si>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</si>
  <si>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</si>
  <si>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</si>
  <si>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</si>
  <si>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</si>
  <si>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</si>
  <si>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</si>
  <si>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</si>
  <si>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</si>
  <si>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</si>
  <si>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</si>
  <si>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</si>
  <si>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</si>
  <si>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</si>
  <si>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</si>
  <si>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</si>
  <si>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</si>
  <si>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</si>
  <si>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</si>
  <si>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</si>
  <si>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</si>
  <si>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</si>
  <si>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</si>
  <si>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</si>
  <si>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</si>
  <si>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</si>
  <si>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</si>
  <si>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</si>
  <si>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</si>
  <si>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</si>
  <si>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</si>
  <si>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</si>
  <si>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</si>
  <si>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</si>
  <si>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</si>
  <si>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</si>
  <si>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</si>
  <si>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</si>
  <si>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</si>
  <si>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</si>
  <si>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</si>
  <si>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</si>
  <si>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</si>
  <si>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</si>
  <si>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</si>
  <si>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</si>
  <si>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</si>
  <si>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</si>
  <si>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</si>
  <si>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</si>
  <si>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</si>
  <si>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</si>
  <si>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</si>
  <si>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</si>
  <si>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</si>
  <si>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</si>
  <si>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</si>
  <si>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</si>
  <si>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</si>
  <si>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</si>
  <si>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</si>
  <si>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</si>
  <si>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</si>
  <si>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</si>
  <si>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</si>
  <si>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</si>
  <si>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</si>
  <si>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</si>
  <si>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</si>
  <si>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</si>
  <si>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</si>
  <si>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</si>
  <si>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</si>
  <si>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</si>
  <si>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</si>
  <si>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</si>
  <si>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</si>
  <si>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</si>
  <si>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</si>
  <si>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</si>
  <si>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</si>
  <si>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</si>
  <si>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</si>
  <si>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</si>
  <si>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</si>
  <si>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</si>
  <si>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</si>
  <si>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</si>
  <si>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</si>
  <si>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</si>
  <si>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</si>
  <si>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</si>
  <si>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</si>
  <si>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</si>
  <si>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</si>
  <si>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</si>
  <si>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</si>
  <si>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</si>
  <si>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</si>
  <si>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</si>
  <si>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</si>
  <si>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</si>
  <si>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</si>
  <si>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</si>
  <si>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</si>
  <si>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</si>
  <si>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</si>
  <si>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</si>
  <si>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</si>
  <si>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</si>
  <si>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</si>
  <si>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</si>
  <si>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</si>
  <si>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</si>
  <si>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</si>
  <si>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</si>
  <si>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</si>
  <si>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</si>
  <si>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</si>
  <si>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</si>
  <si>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</si>
  <si>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</si>
  <si>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</si>
  <si>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</si>
  <si>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</si>
  <si>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</si>
  <si>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</si>
  <si>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</si>
  <si>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</si>
  <si>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</si>
  <si>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</si>
  <si>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</si>
  <si>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</si>
  <si>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</si>
  <si>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</si>
  <si>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</si>
  <si>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</si>
  <si>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</si>
  <si>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</si>
  <si>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</si>
  <si>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</si>
  <si>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</si>
  <si>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</si>
  <si>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</si>
  <si>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</si>
  <si>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</si>
  <si>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</si>
  <si>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</si>
  <si>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</si>
  <si>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</si>
  <si>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</si>
  <si>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</si>
  <si>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</si>
  <si>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</si>
  <si>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</si>
  <si>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</si>
  <si>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</si>
  <si>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</si>
  <si>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</si>
  <si>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</si>
  <si>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</si>
  <si>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</si>
  <si>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</si>
  <si>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</si>
  <si>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</si>
  <si>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</si>
  <si>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</si>
  <si>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</si>
  <si>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</si>
  <si>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</si>
  <si>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</si>
  <si>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</si>
  <si>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</si>
  <si>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</si>
  <si>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</si>
  <si>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</si>
  <si>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</si>
  <si>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</si>
  <si>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</si>
  <si>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</si>
  <si>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</si>
  <si>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</si>
  <si>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</si>
  <si>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</si>
  <si>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</si>
  <si>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</si>
  <si>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</si>
  <si>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</si>
  <si>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</si>
  <si>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</si>
  <si>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</si>
  <si>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</si>
  <si>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</si>
  <si>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</si>
  <si>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</si>
  <si>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</si>
  <si>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</si>
  <si>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</si>
  <si>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</si>
  <si>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</si>
  <si>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</si>
  <si>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</si>
  <si>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</si>
  <si>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</si>
  <si>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</si>
  <si>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</si>
  <si>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</si>
  <si>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</si>
  <si>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</si>
  <si>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</si>
  <si>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</si>
  <si>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</si>
  <si>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</si>
  <si>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</si>
  <si>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</si>
  <si>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</si>
  <si>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</si>
  <si>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</si>
  <si>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</si>
  <si>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</si>
  <si>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</si>
  <si>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</si>
  <si>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</si>
  <si>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</si>
  <si>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</si>
  <si>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</si>
  <si>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</si>
  <si>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</si>
  <si>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</si>
  <si>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</si>
  <si>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</si>
  <si>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</si>
  <si>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</si>
  <si>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</si>
  <si>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</si>
  <si>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</si>
  <si>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</si>
  <si>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</si>
  <si>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</si>
  <si>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</si>
  <si>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</si>
  <si>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</si>
  <si>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</si>
  <si>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</si>
  <si>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</si>
  <si>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</si>
  <si>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</si>
  <si>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</si>
  <si>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</si>
  <si>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</si>
  <si>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</si>
  <si>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</si>
  <si>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</si>
  <si>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</si>
  <si>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</si>
  <si>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</si>
  <si>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</si>
  <si>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</si>
  <si>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</si>
  <si>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</si>
  <si>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</si>
  <si>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</si>
  <si>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</si>
  <si>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</si>
  <si>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</si>
  <si>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</si>
  <si>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</si>
  <si>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</si>
  <si>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</si>
  <si>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</si>
  <si>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</si>
  <si>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</si>
  <si>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</si>
  <si>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</si>
  <si>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</si>
  <si>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</si>
  <si>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</si>
  <si>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</si>
  <si>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</si>
  <si>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</si>
  <si>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</si>
  <si>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</si>
  <si>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</si>
  <si>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</si>
  <si>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</si>
  <si>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</si>
  <si>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</si>
  <si>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</si>
  <si>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</si>
  <si>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</si>
  <si>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</si>
  <si>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</si>
  <si>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</si>
  <si>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</si>
  <si>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</si>
  <si>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</si>
  <si>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</si>
  <si>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</si>
  <si>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</si>
  <si>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</si>
  <si>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</si>
  <si>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</si>
  <si>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</si>
  <si>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</si>
  <si>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</si>
  <si>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</si>
  <si>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</si>
  <si>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</si>
  <si>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</si>
  <si>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</si>
  <si>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</si>
  <si>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</si>
  <si>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</si>
  <si>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</si>
  <si>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</si>
  <si>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</si>
  <si>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</si>
  <si>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</si>
  <si>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</si>
  <si>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</si>
  <si>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</si>
  <si>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</si>
  <si>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</si>
  <si>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</si>
  <si>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</si>
  <si>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</si>
  <si>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</si>
  <si>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</si>
  <si>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</si>
  <si>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</si>
  <si>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</si>
  <si>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</si>
  <si>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</si>
  <si>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</si>
  <si>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</si>
  <si>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</si>
  <si>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</si>
  <si>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</si>
  <si>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</si>
  <si>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</si>
  <si>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</si>
  <si>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</si>
  <si>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</si>
  <si>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</si>
  <si>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</si>
  <si>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</si>
  <si>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</si>
  <si>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</si>
  <si>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</si>
  <si>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</si>
  <si>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</si>
  <si>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</si>
  <si>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</si>
  <si>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</si>
  <si>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</si>
  <si>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</si>
  <si>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</si>
  <si>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</si>
  <si>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</si>
  <si>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</si>
  <si>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</si>
  <si>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</si>
  <si>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</si>
  <si>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</si>
  <si>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</si>
  <si>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</si>
  <si>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</si>
  <si>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</si>
  <si>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</si>
  <si>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</si>
  <si>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</si>
  <si>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</si>
  <si>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</si>
  <si>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</si>
  <si>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</si>
  <si>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</si>
  <si>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</si>
  <si>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</si>
  <si>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</si>
  <si>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</si>
  <si>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</si>
  <si>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</si>
  <si>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</si>
  <si>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</si>
  <si>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</si>
  <si>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</si>
  <si>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</si>
  <si>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</si>
  <si>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</si>
  <si>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</si>
  <si>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</si>
  <si>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</si>
  <si>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</si>
  <si>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</si>
  <si>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</si>
  <si>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</si>
  <si>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</si>
  <si>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</si>
  <si>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</si>
  <si>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</si>
  <si>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</si>
  <si>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</si>
  <si>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</si>
  <si>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</si>
  <si>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</si>
  <si>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</si>
  <si>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</si>
  <si>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</si>
  <si>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</si>
  <si>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</si>
  <si>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</si>
  <si>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</si>
  <si>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</si>
  <si>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</si>
  <si>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</si>
  <si>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</si>
  <si>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</si>
  <si>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</si>
  <si>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</si>
  <si>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</si>
  <si>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</si>
  <si>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</si>
  <si>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</si>
  <si>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</si>
  <si>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</si>
  <si>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</si>
  <si>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</si>
  <si>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</si>
  <si>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</si>
  <si>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</si>
  <si>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</si>
  <si>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</si>
  <si>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</si>
  <si>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</si>
  <si>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</si>
  <si>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</si>
  <si>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</si>
  <si>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</si>
  <si>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</si>
  <si>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</si>
  <si>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</si>
  <si>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</si>
  <si>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</si>
  <si>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</si>
  <si>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</si>
  <si>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</si>
  <si>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</si>
  <si>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</si>
  <si>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</si>
  <si>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</si>
  <si>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</si>
  <si>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</si>
  <si>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2025-26</t>
  </si>
  <si>
    <t>Friday 24 July 2026</t>
  </si>
  <si>
    <t>Friday 9 October 2026</t>
  </si>
  <si>
    <t>2024-25</t>
  </si>
  <si>
    <t>Year_Form</t>
  </si>
  <si>
    <t>deadline_provisional</t>
  </si>
  <si>
    <t>deadline_certify</t>
  </si>
  <si>
    <t>prev_year</t>
  </si>
  <si>
    <t>prev_periodcode</t>
  </si>
  <si>
    <t>current_year</t>
  </si>
  <si>
    <t>code</t>
  </si>
  <si>
    <t>Row_No_Live</t>
  </si>
  <si>
    <t>Col_No_Live</t>
  </si>
  <si>
    <t>Val_No</t>
  </si>
  <si>
    <t>Table_Name</t>
  </si>
  <si>
    <t>Description</t>
  </si>
  <si>
    <t>Percentage_higher</t>
  </si>
  <si>
    <t>Row_No_Validation</t>
  </si>
  <si>
    <t>Col_No_Validation</t>
  </si>
  <si>
    <t>Year-on-year - Early years</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</si>
  <si>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</si>
  <si>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</si>
  <si>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</si>
  <si>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</si>
  <si>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</si>
  <si>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</si>
  <si>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</si>
  <si>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</si>
  <si>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</si>
  <si>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</si>
  <si>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</si>
  <si>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</si>
  <si>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</si>
  <si>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</si>
  <si>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</si>
  <si>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</si>
  <si>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Bus lane enforcement</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</si>
  <si>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</si>
  <si>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</si>
  <si>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</si>
  <si>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</si>
  <si>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</si>
  <si>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</si>
  <si>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</si>
  <si>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</si>
  <si>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</si>
  <si>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</si>
  <si>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</si>
  <si>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</si>
  <si>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</si>
  <si>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</si>
  <si>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</si>
  <si>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</si>
  <si>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</si>
  <si>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</si>
  <si>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</si>
  <si>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</si>
  <si>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</si>
  <si>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</si>
  <si>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</si>
  <si>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</si>
  <si>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</si>
  <si>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</si>
  <si>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</si>
  <si>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</si>
  <si>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</si>
  <si>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</si>
  <si>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</si>
  <si>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</si>
  <si>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</si>
  <si>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</si>
  <si>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</si>
  <si>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</si>
  <si>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</si>
  <si>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</si>
  <si>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</si>
  <si>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</si>
  <si>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</si>
  <si>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</si>
  <si>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</si>
  <si>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</si>
  <si>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</si>
  <si>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</si>
  <si>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</si>
  <si>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</si>
  <si>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</si>
  <si>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</si>
  <si>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</si>
  <si>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</si>
  <si>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</si>
  <si>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</si>
  <si>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</si>
  <si>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</si>
  <si>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</si>
  <si>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</si>
  <si>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</si>
  <si>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</si>
  <si>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</si>
  <si>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</si>
  <si>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</si>
  <si>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 xml:space="preserve">Year-on-year - Substance misuse - Adult drug and alcohol treatment and recovery services and commissioning </t>
  </si>
  <si>
    <t>Year-on-year - Substance misuse - Adult drug and alcohol prevention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</si>
  <si>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</si>
  <si>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</si>
  <si>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</si>
  <si>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</si>
  <si>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 - Children's 0–5 services (prescribed functions)</t>
  </si>
  <si>
    <t>Year-on-year - Miscellaneous public health services - Children's 0–5 services - (non-prescribed functions)</t>
  </si>
  <si>
    <t>Year-on-year - Health at work</t>
  </si>
  <si>
    <t>Year-on-year - Public mental health</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</si>
  <si>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</si>
  <si>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</si>
  <si>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</si>
  <si>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</si>
  <si>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</si>
  <si>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</si>
  <si>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</si>
  <si>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</si>
  <si>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</si>
  <si>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</si>
  <si>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</si>
  <si>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</si>
  <si>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</si>
  <si>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</si>
  <si>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</si>
  <si>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</si>
  <si>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</si>
  <si>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</si>
  <si>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</si>
  <si>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</si>
  <si>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</si>
  <si>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</si>
  <si>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</si>
  <si>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</si>
  <si>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</si>
  <si>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</si>
  <si>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</si>
  <si>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</si>
  <si>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</si>
  <si>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</si>
  <si>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</si>
  <si>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</si>
  <si>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</si>
  <si>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</si>
  <si>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</si>
  <si>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</si>
  <si>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</si>
  <si>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</si>
  <si>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</si>
  <si>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</si>
  <si>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</si>
  <si>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</si>
  <si>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</si>
  <si>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</si>
  <si>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</si>
  <si>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</si>
  <si>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</si>
  <si>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depreciation</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</si>
  <si>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</si>
  <si>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</si>
  <si>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</si>
  <si>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</si>
  <si>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</si>
  <si>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</si>
  <si>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</si>
  <si>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</si>
  <si>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</si>
  <si>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</si>
  <si>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</si>
  <si>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</si>
  <si>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</si>
  <si>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</si>
  <si>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</si>
  <si>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</si>
  <si>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</si>
  <si>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</si>
  <si>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</si>
  <si>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</si>
  <si>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</si>
  <si>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</si>
  <si>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</si>
  <si>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</si>
  <si>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</si>
  <si>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</si>
  <si>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</si>
  <si>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</si>
  <si>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</si>
  <si>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</si>
  <si>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</si>
  <si>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</si>
  <si>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</si>
  <si>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</si>
  <si>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</si>
  <si>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</si>
  <si>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</si>
  <si>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</si>
  <si>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</si>
  <si>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</si>
  <si>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</si>
  <si>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</si>
  <si>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</si>
  <si>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</si>
  <si>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</si>
  <si>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</si>
  <si>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</si>
  <si>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</si>
  <si>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</si>
  <si>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</si>
  <si>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</si>
  <si>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</si>
  <si>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</si>
  <si>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</si>
  <si>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</si>
  <si>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</si>
  <si>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</si>
  <si>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</si>
  <si>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</si>
  <si>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</si>
  <si>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</si>
  <si>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</si>
  <si>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</si>
  <si>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</si>
  <si>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</si>
  <si>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</si>
  <si>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</si>
  <si>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</si>
  <si>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</si>
  <si>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</si>
  <si>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</si>
  <si>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</si>
  <si>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</si>
  <si>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</si>
  <si>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</si>
  <si>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</si>
  <si>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</si>
  <si>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</si>
  <si>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</si>
  <si>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</si>
  <si>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</si>
  <si>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</si>
  <si>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</si>
  <si>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</si>
  <si>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</si>
  <si>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</si>
  <si>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</si>
  <si>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</si>
  <si>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</si>
  <si>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</si>
  <si>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</si>
  <si>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</si>
  <si>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</si>
  <si>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</si>
  <si>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</si>
  <si>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</si>
  <si>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</si>
  <si>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</si>
  <si>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</si>
  <si>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</si>
  <si>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</si>
  <si>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</si>
  <si>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</si>
  <si>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</si>
  <si>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</si>
  <si>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</si>
  <si>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</si>
  <si>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</si>
  <si>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</si>
  <si>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</si>
  <si>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</si>
  <si>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</si>
  <si>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</si>
  <si>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</si>
  <si>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</si>
  <si>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</si>
  <si>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</si>
  <si>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</si>
  <si>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</si>
  <si>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</si>
  <si>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</si>
  <si>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</si>
  <si>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</si>
  <si>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</si>
  <si>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</si>
  <si>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</si>
  <si>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</si>
  <si>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</si>
  <si>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</si>
  <si>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</si>
  <si>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</si>
  <si>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</si>
  <si>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</si>
  <si>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</si>
  <si>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</si>
  <si>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</si>
  <si>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</si>
  <si>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</si>
  <si>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</si>
  <si>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</si>
  <si>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</si>
  <si>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</si>
  <si>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</si>
  <si>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</si>
  <si>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</si>
  <si>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</si>
  <si>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</si>
  <si>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Appropriations from(-) dedicated schools grant adjustment account</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</si>
  <si>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</si>
  <si>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</si>
  <si>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</si>
  <si>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</si>
  <si>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</si>
  <si>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</si>
  <si>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</si>
  <si>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</si>
  <si>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</si>
  <si>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</si>
  <si>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</si>
  <si>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</si>
  <si>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</si>
  <si>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</si>
  <si>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</si>
  <si>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</si>
  <si>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</si>
  <si>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Dedicated Schools Grant Adjustment Account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</si>
  <si>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</si>
  <si>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</si>
  <si>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</si>
  <si>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</si>
  <si>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</si>
  <si>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</si>
  <si>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</si>
  <si>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</si>
  <si>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</si>
  <si>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</si>
  <si>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</si>
  <si>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</si>
  <si>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</si>
  <si>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</si>
  <si>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</si>
  <si>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</si>
  <si>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</si>
  <si>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</si>
  <si>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</si>
  <si>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</si>
  <si>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</si>
  <si>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</si>
  <si>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</si>
  <si>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</si>
  <si>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</si>
  <si>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</si>
  <si>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</si>
  <si>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</si>
  <si>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</si>
  <si>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</si>
  <si>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</si>
  <si>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</si>
  <si>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</si>
  <si>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</si>
  <si>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</si>
  <si>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</si>
  <si>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</si>
  <si>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</si>
  <si>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</si>
  <si>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</si>
  <si>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</si>
  <si>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</si>
  <si>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</si>
  <si>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</si>
  <si>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</si>
  <si>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</si>
  <si>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</si>
  <si>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</si>
  <si>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</si>
  <si>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</si>
  <si>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</si>
  <si>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</si>
  <si>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</si>
  <si>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</si>
  <si>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</si>
  <si>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</si>
  <si>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</si>
  <si>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</si>
  <si>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</si>
  <si>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</si>
  <si>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</si>
  <si>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</si>
  <si>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</si>
  <si>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</si>
  <si>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</si>
  <si>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</si>
  <si>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</si>
  <si>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</si>
  <si>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</si>
  <si>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</si>
  <si>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</si>
  <si>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</si>
  <si>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</si>
  <si>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</si>
  <si>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</si>
  <si>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</si>
  <si>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</si>
  <si>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</si>
  <si>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</si>
  <si>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</si>
  <si>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</si>
  <si>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</si>
  <si>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</si>
  <si>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</si>
  <si>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</si>
  <si>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</si>
  <si>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</si>
  <si>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</si>
  <si>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Council Tax CTR -  CTR  check</t>
  </si>
  <si>
    <t>Business Rates -  Calc Comparison</t>
  </si>
  <si>
    <t>Special Condition - Non-IAS19 balance check</t>
  </si>
  <si>
    <t>Settlement Check - Revenue Support Grant</t>
  </si>
  <si>
    <t>Settlement Check - Police Grant</t>
  </si>
  <si>
    <t>Positive Check - Schools reserves level start</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</si>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</sst>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00"/>
    <numFmt numFmtId="176" formatCode="&quot; &quot;* #,##0.00&quot; &quot;;&quot; &quot;* &quot;(&quot;#,##0.00&quot;)&quot;;&quot; &quot;* &quot;-&quot;#&quot; &quot;;&quot; &quot;@&quot; &quot;"/>
    <numFmt numFmtId="177" formatCode="&quot; &quot;* #,##0.00&quot; &quot;;&quot;-&quot;* #,##0.00&quot; &quot;;&quot; &quot;* &quot;-&quot;#&quot; &quot;;&quot; &quot;@&quot; &quot;"/>
  </numFmts>
  <fonts count="2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sz val="8"/>
      <color rgb="FFFF0000"/>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u/>
      <sz val="8"/>
      <color theme="4"/>
      <name val="Arial"/>
      <family val="2"/>
    </font>
    <font>
      <sz val="14"/>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u/>
      <sz val="12"/>
      <color theme="10"/>
      <name val="Arial"/>
      <family val="2"/>
    </font>
    <font>
      <sz val="8"/>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sz val="11"/>
      <color theme="5"/>
      <name val="Arial"/>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
      <b/>
      <sz val="12"/>
      <color theme="1"/>
      <name val="Helv"/>
    </font>
    <font>
      <b/>
      <sz val="16"/>
      <color rgb="FFFF0000"/>
      <name val="Helv"/>
    </font>
    <font>
      <b/>
      <u/>
      <sz val="12"/>
      <color rgb="FFC00000"/>
      <name val="Arial"/>
      <family val="2"/>
    </font>
    <font>
      <i/>
      <sz val="10"/>
      <color theme="1"/>
      <name val="Arial"/>
      <family val="2"/>
    </font>
    <font>
      <sz val="8"/>
      <color theme="1"/>
      <name val="Arial"/>
      <family val="2"/>
    </font>
    <font>
      <sz val="11"/>
      <name val="Calibri"/>
      <family val="2"/>
    </font>
    <font>
      <b/>
      <sz val="15"/>
      <color rgb="FF1F497D"/>
      <name val="Calibri"/>
      <family val="2"/>
    </font>
    <font>
      <b/>
      <sz val="13"/>
      <color rgb="FF1F497D"/>
      <name val="Calibri"/>
      <family val="2"/>
    </font>
    <font>
      <b/>
      <sz val="16"/>
      <color rgb="FFFF0000"/>
      <name val="Arial"/>
      <family val="2"/>
    </font>
    <font>
      <b/>
      <sz val="12"/>
      <color indexed="52"/>
      <name val="Arial"/>
      <family val="2"/>
    </font>
    <font>
      <b/>
      <sz val="14"/>
      <color indexed="53"/>
      <name val="Arial"/>
      <family val="2"/>
    </font>
    <font>
      <b/>
      <sz val="14"/>
      <color rgb="FFC00000"/>
      <name val="Arial"/>
      <family val="2"/>
    </font>
    <font>
      <b/>
      <u/>
      <sz val="10"/>
      <color theme="3" tint="0.39997558519241921"/>
      <name val="Arial"/>
      <family val="2"/>
    </font>
    <font>
      <b/>
      <sz val="10"/>
      <color theme="4"/>
      <name val="Arial"/>
      <family val="2"/>
    </font>
    <font>
      <b/>
      <u/>
      <sz val="10"/>
      <color indexed="12"/>
      <name val="Arial"/>
      <family val="2"/>
    </font>
    <font>
      <sz val="12"/>
      <color theme="3" tint="0.39997558519241921"/>
      <name val="Arial"/>
      <family val="2"/>
    </font>
    <font>
      <sz val="11"/>
      <color rgb="FFFF0000"/>
      <name val="Arial"/>
      <family val="2"/>
    </font>
    <font>
      <i/>
      <u/>
      <sz val="12"/>
      <color indexed="12"/>
      <name val="Arial"/>
      <family val="2"/>
    </font>
    <font>
      <sz val="11"/>
      <name val="Calibri"/>
      <family val="2"/>
    </font>
    <font>
      <i/>
      <sz val="10"/>
      <color rgb="FFFF0000"/>
      <name val="Arial"/>
      <family val="2"/>
    </font>
    <font>
      <sz val="8"/>
      <name val="Arial"/>
      <family val="2"/>
    </font>
    <font>
      <i/>
      <sz val="11"/>
      <color theme="0"/>
      <name val="Arial"/>
      <family val="2"/>
    </font>
    <font>
      <u/>
      <sz val="7.5"/>
      <color theme="0"/>
      <name val="Arial"/>
      <family val="2"/>
    </font>
    <font>
      <sz val="8"/>
      <name val="Arial"/>
      <family val="2"/>
    </font>
    <font>
      <sz val="11"/>
      <color rgb="FF000000"/>
      <name val="Aptos Narrow"/>
      <family val="2"/>
    </font>
    <font>
      <u/>
      <sz val="11"/>
      <color theme="10"/>
      <name val="Aptos Narrow"/>
      <family val="2"/>
    </font>
  </fonts>
  <fills count="3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theme="8"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tint="4.9989318521683403E-2"/>
        <bgColor indexed="64"/>
      </patternFill>
    </fill>
    <fill>
      <patternFill patternType="solid">
        <fgColor rgb="FFFDE9D9"/>
        <bgColor indexed="64"/>
      </patternFill>
    </fill>
  </fills>
  <borders count="8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top/>
      <bottom style="thick">
        <color rgb="FF4F81BD"/>
      </bottom>
      <diagonal/>
    </border>
    <border>
      <left/>
      <right/>
      <top/>
      <bottom style="thick">
        <color rgb="FFA7BFDE"/>
      </bottom>
      <diagonal/>
    </border>
    <border>
      <left style="medium">
        <color indexed="64"/>
      </left>
      <right style="thin">
        <color indexed="64"/>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s>
  <cellStyleXfs count="153">
    <xf numFmtId="0" fontId="0" fillId="0" borderId="0"/>
    <xf numFmtId="0" fontId="32" fillId="0" borderId="0"/>
    <xf numFmtId="0" fontId="52" fillId="0" borderId="0" applyNumberFormat="0" applyFill="0" applyBorder="0" applyAlignment="0" applyProtection="0">
      <alignment vertical="top"/>
      <protection locked="0"/>
    </xf>
    <xf numFmtId="167" fontId="62" fillId="0" borderId="0"/>
    <xf numFmtId="167" fontId="62" fillId="0" borderId="0"/>
    <xf numFmtId="0" fontId="15" fillId="0" borderId="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15" fillId="0" borderId="0"/>
    <xf numFmtId="0" fontId="14" fillId="0" borderId="0"/>
    <xf numFmtId="0" fontId="15" fillId="0" borderId="0"/>
    <xf numFmtId="0" fontId="15" fillId="0" borderId="0"/>
    <xf numFmtId="9" fontId="15" fillId="0" borderId="0" applyFont="0" applyFill="0" applyBorder="0" applyAlignment="0" applyProtection="0"/>
    <xf numFmtId="0" fontId="135" fillId="20" borderId="34" applyNumberFormat="0" applyFont="0" applyAlignment="0" applyProtection="0"/>
    <xf numFmtId="0" fontId="12" fillId="0" borderId="0"/>
    <xf numFmtId="0" fontId="142" fillId="0" borderId="0" applyNumberFormat="0" applyFill="0" applyBorder="0" applyAlignment="0" applyProtection="0"/>
    <xf numFmtId="0" fontId="13" fillId="0" borderId="0"/>
    <xf numFmtId="43" fontId="15" fillId="0" borderId="0" applyFont="0" applyFill="0" applyBorder="0" applyAlignment="0" applyProtection="0"/>
    <xf numFmtId="44" fontId="15" fillId="0" borderId="0" applyFont="0" applyFill="0" applyBorder="0" applyAlignment="0" applyProtection="0"/>
    <xf numFmtId="0" fontId="13" fillId="0" borderId="0"/>
    <xf numFmtId="0" fontId="15" fillId="20" borderId="34" applyNumberFormat="0" applyFont="0" applyAlignment="0" applyProtection="0"/>
    <xf numFmtId="0" fontId="11"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1" fillId="0" borderId="0"/>
    <xf numFmtId="43" fontId="15" fillId="0" borderId="0" applyFont="0" applyFill="0" applyBorder="0" applyAlignment="0" applyProtection="0"/>
    <xf numFmtId="44" fontId="15" fillId="0" borderId="0" applyFont="0" applyFill="0" applyBorder="0" applyAlignment="0" applyProtection="0"/>
    <xf numFmtId="0" fontId="148" fillId="0" borderId="0"/>
    <xf numFmtId="43" fontId="149" fillId="0" borderId="0" applyFont="0" applyFill="0" applyBorder="0" applyAlignment="0" applyProtection="0"/>
    <xf numFmtId="0" fontId="10"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0" fontId="9" fillId="0" borderId="0"/>
    <xf numFmtId="0" fontId="13" fillId="0" borderId="0"/>
    <xf numFmtId="0" fontId="157" fillId="0" borderId="0">
      <alignment vertical="center"/>
    </xf>
    <xf numFmtId="0" fontId="143" fillId="0" borderId="0"/>
    <xf numFmtId="171" fontId="143" fillId="0" borderId="0" applyFont="0" applyFill="0" applyBorder="0" applyAlignment="0" applyProtection="0"/>
    <xf numFmtId="0" fontId="15" fillId="0" borderId="0"/>
    <xf numFmtId="164" fontId="8" fillId="0" borderId="0" applyFont="0" applyFill="0" applyBorder="0" applyAlignment="0" applyProtection="0"/>
    <xf numFmtId="0" fontId="158" fillId="27" borderId="0" applyNumberFormat="0" applyBorder="0" applyAlignment="0" applyProtection="0"/>
    <xf numFmtId="0" fontId="8" fillId="0" borderId="0"/>
    <xf numFmtId="0" fontId="158" fillId="28" borderId="0" applyNumberFormat="0" applyBorder="0" applyAlignment="0" applyProtection="0"/>
    <xf numFmtId="0" fontId="159" fillId="0" borderId="0"/>
    <xf numFmtId="0" fontId="8" fillId="0" borderId="0"/>
    <xf numFmtId="0" fontId="161" fillId="0" borderId="0"/>
    <xf numFmtId="0" fontId="162" fillId="0" borderId="0" applyNumberFormat="0" applyFill="0" applyBorder="0" applyAlignment="0" applyProtection="0"/>
    <xf numFmtId="0" fontId="164" fillId="0" borderId="0" applyNumberFormat="0" applyFill="0" applyBorder="0" applyAlignment="0" applyProtection="0">
      <alignment vertical="top"/>
      <protection locked="0"/>
    </xf>
    <xf numFmtId="0" fontId="7" fillId="0" borderId="0"/>
    <xf numFmtId="0" fontId="142" fillId="0" borderId="0" applyNumberFormat="0" applyFill="0" applyBorder="0" applyAlignment="0" applyProtection="0"/>
    <xf numFmtId="0" fontId="183" fillId="0" borderId="0" applyNumberFormat="0" applyFill="0" applyBorder="0" applyAlignment="0" applyProtection="0"/>
    <xf numFmtId="43" fontId="7" fillId="0" borderId="0" applyFont="0" applyFill="0" applyBorder="0" applyAlignment="0" applyProtection="0"/>
    <xf numFmtId="0" fontId="157" fillId="0" borderId="0" applyNumberFormat="0" applyFont="0" applyBorder="0" applyProtection="0"/>
    <xf numFmtId="0" fontId="6" fillId="0" borderId="0"/>
    <xf numFmtId="0" fontId="157" fillId="0" borderId="0">
      <alignment vertical="center"/>
    </xf>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57" fillId="0" borderId="0" applyNumberFormat="0" applyFont="0" applyBorder="0" applyProtection="0"/>
    <xf numFmtId="43" fontId="13" fillId="0" borderId="0" applyFont="0" applyFill="0" applyBorder="0" applyAlignment="0" applyProtection="0"/>
    <xf numFmtId="0" fontId="4" fillId="0" borderId="0"/>
    <xf numFmtId="0" fontId="157" fillId="0" borderId="0"/>
    <xf numFmtId="176" fontId="157" fillId="0" borderId="0" applyFont="0" applyFill="0" applyBorder="0" applyAlignment="0" applyProtection="0"/>
    <xf numFmtId="9" fontId="157" fillId="0" borderId="0" applyFont="0" applyFill="0" applyBorder="0" applyAlignment="0" applyProtection="0"/>
    <xf numFmtId="0" fontId="157" fillId="0" borderId="0"/>
    <xf numFmtId="0" fontId="157" fillId="0" borderId="0"/>
    <xf numFmtId="177" fontId="157" fillId="0" borderId="0" applyFont="0" applyFill="0" applyBorder="0" applyAlignment="0" applyProtection="0"/>
    <xf numFmtId="0" fontId="209" fillId="0" borderId="0"/>
    <xf numFmtId="0" fontId="3" fillId="0" borderId="0"/>
    <xf numFmtId="0" fontId="157" fillId="0" borderId="0"/>
    <xf numFmtId="176" fontId="157" fillId="0" borderId="0" applyFont="0" applyFill="0" applyBorder="0" applyAlignment="0" applyProtection="0"/>
    <xf numFmtId="177" fontId="157" fillId="0" borderId="0" applyFont="0" applyFill="0" applyBorder="0" applyAlignment="0" applyProtection="0"/>
    <xf numFmtId="0" fontId="210" fillId="0" borderId="42" applyNumberFormat="0" applyFill="0" applyAlignment="0" applyProtection="0"/>
    <xf numFmtId="0" fontId="157" fillId="0" borderId="0"/>
    <xf numFmtId="0" fontId="211" fillId="0" borderId="43" applyNumberFormat="0" applyFill="0" applyAlignment="0" applyProtection="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lignment vertical="center"/>
    </xf>
    <xf numFmtId="0" fontId="22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8" fillId="0" borderId="0"/>
    <xf numFmtId="0" fontId="229"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3" fillId="0" borderId="0"/>
    <xf numFmtId="43" fontId="75" fillId="0" borderId="0" applyFont="0" applyFill="0" applyBorder="0" applyAlignment="0" applyProtection="0"/>
    <xf numFmtId="0" fontId="15" fillId="0" borderId="0"/>
    <xf numFmtId="0" fontId="157" fillId="0" borderId="0"/>
    <xf numFmtId="9" fontId="157" fillId="0" borderId="0" applyFont="0" applyFill="0" applyBorder="0" applyAlignment="0" applyProtection="0"/>
    <xf numFmtId="0" fontId="157" fillId="0" borderId="0"/>
    <xf numFmtId="0" fontId="161" fillId="0" borderId="0"/>
    <xf numFmtId="0" fontId="1" fillId="0" borderId="0"/>
  </cellStyleXfs>
  <cellXfs count="1547">
    <xf numFmtId="0" fontId="0" fillId="0" borderId="0" xfId="0"/>
    <xf numFmtId="0" fontId="0" fillId="0" borderId="0" xfId="1" applyFont="1"/>
    <xf numFmtId="0" fontId="0" fillId="0" borderId="0" xfId="1" applyFont="1" applyProtection="1">
      <protection hidden="1"/>
    </xf>
    <xf numFmtId="0" fontId="25" fillId="0" borderId="0" xfId="1" applyFont="1"/>
    <xf numFmtId="0" fontId="0" fillId="0" borderId="0" xfId="1" quotePrefix="1" applyFont="1" applyAlignment="1">
      <alignment horizontal="left"/>
    </xf>
    <xf numFmtId="0" fontId="27" fillId="2" borderId="0" xfId="1" applyFont="1" applyFill="1" applyProtection="1">
      <protection hidden="1"/>
    </xf>
    <xf numFmtId="0" fontId="25" fillId="0" borderId="0" xfId="1" applyFont="1" applyProtection="1">
      <protection hidden="1"/>
    </xf>
    <xf numFmtId="0" fontId="0" fillId="0" borderId="0" xfId="1" applyFont="1" applyAlignment="1" applyProtection="1">
      <alignment horizontal="left"/>
      <protection hidden="1"/>
    </xf>
    <xf numFmtId="0" fontId="45" fillId="0" borderId="0" xfId="1" applyFont="1" applyAlignment="1" applyProtection="1">
      <alignment horizontal="left"/>
      <protection hidden="1"/>
    </xf>
    <xf numFmtId="0" fontId="46" fillId="0" borderId="1" xfId="1" applyFont="1" applyBorder="1" applyAlignment="1" applyProtection="1">
      <alignment horizontal="center"/>
      <protection hidden="1"/>
    </xf>
    <xf numFmtId="0" fontId="19" fillId="0" borderId="5" xfId="1" applyFont="1" applyBorder="1" applyAlignment="1" applyProtection="1">
      <alignment horizontal="left" wrapText="1"/>
      <protection locked="0"/>
    </xf>
    <xf numFmtId="0" fontId="26" fillId="0" borderId="0" xfId="1" applyFont="1" applyAlignment="1" applyProtection="1">
      <alignment horizontal="center"/>
      <protection hidden="1"/>
    </xf>
    <xf numFmtId="0" fontId="51" fillId="0" borderId="0" xfId="1" applyFont="1"/>
    <xf numFmtId="0" fontId="56" fillId="0" borderId="0" xfId="1" applyFont="1" applyAlignment="1">
      <alignment horizontal="left"/>
    </xf>
    <xf numFmtId="0" fontId="0" fillId="0" borderId="0" xfId="1" applyFont="1" applyProtection="1">
      <protection locked="0"/>
    </xf>
    <xf numFmtId="167" fontId="40" fillId="0" borderId="0" xfId="1" applyNumberFormat="1" applyFont="1" applyAlignment="1" applyProtection="1">
      <alignment horizontal="left"/>
      <protection locked="0"/>
    </xf>
    <xf numFmtId="0" fontId="0" fillId="0" borderId="7" xfId="1" applyFont="1" applyBorder="1" applyProtection="1">
      <protection locked="0"/>
    </xf>
    <xf numFmtId="0" fontId="57" fillId="0" borderId="0" xfId="1" applyFont="1" applyProtection="1">
      <protection locked="0"/>
    </xf>
    <xf numFmtId="0" fontId="30" fillId="0" borderId="0" xfId="1" quotePrefix="1" applyFont="1" applyAlignment="1">
      <alignment horizontal="left"/>
    </xf>
    <xf numFmtId="167" fontId="21" fillId="6" borderId="10" xfId="1" quotePrefix="1" applyNumberFormat="1" applyFont="1" applyFill="1" applyBorder="1" applyAlignment="1" applyProtection="1">
      <alignment horizontal="left"/>
      <protection hidden="1"/>
    </xf>
    <xf numFmtId="167" fontId="21" fillId="6" borderId="6" xfId="1" quotePrefix="1" applyNumberFormat="1" applyFont="1" applyFill="1" applyBorder="1" applyAlignment="1" applyProtection="1">
      <alignment horizontal="left"/>
      <protection hidden="1"/>
    </xf>
    <xf numFmtId="0" fontId="30"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5" fillId="0" borderId="0" xfId="1" applyNumberFormat="1" applyFont="1" applyProtection="1">
      <protection hidden="1"/>
    </xf>
    <xf numFmtId="1" fontId="36" fillId="0" borderId="0" xfId="1" applyNumberFormat="1" applyFont="1" applyAlignment="1" applyProtection="1">
      <alignment horizontal="center"/>
      <protection hidden="1"/>
    </xf>
    <xf numFmtId="167" fontId="26" fillId="0" borderId="0" xfId="1" applyNumberFormat="1" applyFont="1" applyProtection="1">
      <protection hidden="1"/>
    </xf>
    <xf numFmtId="167" fontId="30" fillId="0" borderId="0" xfId="1" applyNumberFormat="1" applyFont="1" applyProtection="1">
      <protection hidden="1"/>
    </xf>
    <xf numFmtId="167" fontId="63" fillId="2" borderId="0" xfId="1" applyNumberFormat="1" applyFont="1" applyFill="1" applyProtection="1">
      <protection hidden="1"/>
    </xf>
    <xf numFmtId="167" fontId="46" fillId="0" borderId="0" xfId="1" applyNumberFormat="1" applyFont="1" applyProtection="1">
      <protection hidden="1"/>
    </xf>
    <xf numFmtId="0" fontId="64" fillId="0" borderId="0" xfId="1" applyFont="1"/>
    <xf numFmtId="0" fontId="47" fillId="0" borderId="0" xfId="1" applyFont="1"/>
    <xf numFmtId="0" fontId="30" fillId="0" borderId="0" xfId="1" applyFont="1" applyProtection="1">
      <protection hidden="1"/>
    </xf>
    <xf numFmtId="0" fontId="65" fillId="0" borderId="0" xfId="1" applyFont="1"/>
    <xf numFmtId="0" fontId="41" fillId="0" borderId="0" xfId="1" applyFont="1"/>
    <xf numFmtId="0" fontId="30" fillId="0" borderId="0" xfId="1" applyFont="1"/>
    <xf numFmtId="167" fontId="37" fillId="0" borderId="0" xfId="1" applyNumberFormat="1" applyFont="1" applyProtection="1">
      <protection hidden="1"/>
    </xf>
    <xf numFmtId="167" fontId="37" fillId="2" borderId="0" xfId="1" applyNumberFormat="1" applyFont="1" applyFill="1" applyProtection="1">
      <protection hidden="1"/>
    </xf>
    <xf numFmtId="0" fontId="15" fillId="0" borderId="0" xfId="1" applyFont="1" applyProtection="1">
      <protection locked="0"/>
    </xf>
    <xf numFmtId="14" fontId="56" fillId="0" borderId="0" xfId="1" applyNumberFormat="1" applyFont="1" applyAlignment="1">
      <alignment horizontal="left"/>
    </xf>
    <xf numFmtId="0" fontId="0" fillId="2" borderId="0" xfId="1" applyFont="1" applyFill="1" applyProtection="1">
      <protection hidden="1"/>
    </xf>
    <xf numFmtId="167" fontId="21" fillId="0" borderId="0" xfId="1" applyNumberFormat="1" applyFont="1" applyProtection="1">
      <protection hidden="1"/>
    </xf>
    <xf numFmtId="167" fontId="21" fillId="6" borderId="3" xfId="1" quotePrefix="1" applyNumberFormat="1" applyFont="1" applyFill="1" applyBorder="1" applyAlignment="1" applyProtection="1">
      <alignment horizontal="left"/>
      <protection hidden="1"/>
    </xf>
    <xf numFmtId="167" fontId="17" fillId="0" borderId="0" xfId="1" applyNumberFormat="1" applyFont="1" applyProtection="1">
      <protection hidden="1"/>
    </xf>
    <xf numFmtId="0" fontId="60" fillId="2" borderId="0" xfId="1" applyFont="1" applyFill="1" applyAlignment="1" applyProtection="1">
      <alignment horizontal="left"/>
      <protection hidden="1"/>
    </xf>
    <xf numFmtId="0" fontId="30" fillId="2" borderId="0" xfId="1" applyFont="1" applyFill="1" applyAlignment="1" applyProtection="1">
      <alignment horizontal="left"/>
      <protection hidden="1"/>
    </xf>
    <xf numFmtId="0" fontId="19" fillId="0" borderId="0" xfId="1" applyFont="1" applyProtection="1">
      <protection hidden="1"/>
    </xf>
    <xf numFmtId="167" fontId="25" fillId="0" borderId="13" xfId="1" applyNumberFormat="1" applyFont="1" applyBorder="1" applyProtection="1">
      <protection locked="0"/>
    </xf>
    <xf numFmtId="0" fontId="0" fillId="9" borderId="0" xfId="1" applyFont="1" applyFill="1"/>
    <xf numFmtId="167" fontId="21" fillId="2" borderId="0" xfId="1" applyNumberFormat="1" applyFont="1" applyFill="1" applyProtection="1">
      <protection hidden="1"/>
    </xf>
    <xf numFmtId="167" fontId="36" fillId="0" borderId="0" xfId="1" applyNumberFormat="1" applyFont="1" applyProtection="1">
      <protection hidden="1"/>
    </xf>
    <xf numFmtId="167" fontId="20" fillId="0" borderId="0" xfId="1" applyNumberFormat="1" applyFont="1" applyAlignment="1" applyProtection="1">
      <alignment horizontal="center"/>
      <protection hidden="1"/>
    </xf>
    <xf numFmtId="0" fontId="20" fillId="0" borderId="0" xfId="1" applyFont="1" applyProtection="1">
      <protection hidden="1"/>
    </xf>
    <xf numFmtId="0" fontId="39" fillId="0" borderId="0" xfId="1" applyFont="1" applyAlignment="1" applyProtection="1">
      <alignment horizontal="center"/>
      <protection hidden="1"/>
    </xf>
    <xf numFmtId="0" fontId="74" fillId="0" borderId="0" xfId="1" applyFont="1"/>
    <xf numFmtId="167" fontId="18" fillId="0" borderId="15" xfId="1" applyNumberFormat="1" applyFont="1" applyBorder="1" applyProtection="1">
      <protection locked="0"/>
    </xf>
    <xf numFmtId="0" fontId="17" fillId="0" borderId="19" xfId="1" applyFont="1" applyBorder="1"/>
    <xf numFmtId="167" fontId="21" fillId="0" borderId="22" xfId="1" applyNumberFormat="1" applyFont="1" applyBorder="1" applyProtection="1">
      <protection hidden="1"/>
    </xf>
    <xf numFmtId="167" fontId="21" fillId="0" borderId="23" xfId="1" applyNumberFormat="1" applyFont="1" applyBorder="1" applyProtection="1">
      <protection hidden="1"/>
    </xf>
    <xf numFmtId="167" fontId="21" fillId="8" borderId="23" xfId="1" quotePrefix="1" applyNumberFormat="1" applyFont="1" applyFill="1" applyBorder="1" applyAlignment="1" applyProtection="1">
      <alignment horizontal="left"/>
      <protection hidden="1"/>
    </xf>
    <xf numFmtId="167" fontId="21" fillId="0" borderId="24" xfId="1" applyNumberFormat="1" applyFont="1" applyBorder="1" applyProtection="1">
      <protection hidden="1"/>
    </xf>
    <xf numFmtId="167" fontId="21" fillId="0" borderId="17" xfId="1" applyNumberFormat="1" applyFont="1" applyBorder="1" applyProtection="1">
      <protection hidden="1"/>
    </xf>
    <xf numFmtId="167" fontId="21" fillId="8" borderId="25" xfId="1" quotePrefix="1" applyNumberFormat="1" applyFont="1" applyFill="1" applyBorder="1" applyAlignment="1" applyProtection="1">
      <alignment horizontal="left"/>
      <protection hidden="1"/>
    </xf>
    <xf numFmtId="167" fontId="16" fillId="0" borderId="23" xfId="1" applyNumberFormat="1" applyFont="1" applyBorder="1" applyProtection="1">
      <protection hidden="1"/>
    </xf>
    <xf numFmtId="167" fontId="16" fillId="0" borderId="24" xfId="1" applyNumberFormat="1" applyFont="1" applyBorder="1" applyProtection="1">
      <protection hidden="1"/>
    </xf>
    <xf numFmtId="167" fontId="21" fillId="0" borderId="27" xfId="1" applyNumberFormat="1" applyFont="1" applyBorder="1" applyProtection="1">
      <protection hidden="1"/>
    </xf>
    <xf numFmtId="167" fontId="21" fillId="0" borderId="27" xfId="1" quotePrefix="1" applyNumberFormat="1" applyFont="1" applyBorder="1" applyAlignment="1" applyProtection="1">
      <alignment horizontal="left"/>
      <protection hidden="1"/>
    </xf>
    <xf numFmtId="1" fontId="37" fillId="0" borderId="0" xfId="1" applyNumberFormat="1" applyFont="1" applyProtection="1">
      <protection hidden="1"/>
    </xf>
    <xf numFmtId="0" fontId="27" fillId="0" borderId="0" xfId="1" applyFont="1" applyProtection="1">
      <protection hidden="1"/>
    </xf>
    <xf numFmtId="167" fontId="37" fillId="0" borderId="14" xfId="1" applyNumberFormat="1" applyFont="1" applyBorder="1" applyProtection="1">
      <protection hidden="1"/>
    </xf>
    <xf numFmtId="167" fontId="42" fillId="0" borderId="0" xfId="1" quotePrefix="1" applyNumberFormat="1" applyFont="1" applyAlignment="1" applyProtection="1">
      <alignment horizontal="right"/>
      <protection hidden="1"/>
    </xf>
    <xf numFmtId="167" fontId="16" fillId="0" borderId="0" xfId="1" applyNumberFormat="1" applyFont="1" applyProtection="1">
      <protection hidden="1"/>
    </xf>
    <xf numFmtId="167" fontId="73" fillId="0" borderId="0" xfId="1" applyNumberFormat="1" applyFont="1" applyAlignment="1" applyProtection="1">
      <alignment horizontal="left"/>
      <protection hidden="1"/>
    </xf>
    <xf numFmtId="167" fontId="73" fillId="0" borderId="0" xfId="1" quotePrefix="1" applyNumberFormat="1" applyFont="1" applyAlignment="1" applyProtection="1">
      <alignment horizontal="left"/>
      <protection hidden="1"/>
    </xf>
    <xf numFmtId="1" fontId="77" fillId="0" borderId="0" xfId="1" applyNumberFormat="1" applyFont="1"/>
    <xf numFmtId="166" fontId="27" fillId="0" borderId="0" xfId="1" quotePrefix="1" applyNumberFormat="1" applyFont="1" applyAlignment="1" applyProtection="1">
      <alignment horizontal="right"/>
      <protection hidden="1"/>
    </xf>
    <xf numFmtId="0" fontId="27" fillId="0" borderId="0" xfId="1" applyFont="1" applyAlignment="1" applyProtection="1">
      <alignment horizontal="right"/>
      <protection hidden="1"/>
    </xf>
    <xf numFmtId="0" fontId="27" fillId="0" borderId="0" xfId="1" applyFont="1" applyAlignment="1">
      <alignment horizontal="right"/>
    </xf>
    <xf numFmtId="0" fontId="86" fillId="0" borderId="0" xfId="1" applyFont="1" applyProtection="1">
      <protection hidden="1"/>
    </xf>
    <xf numFmtId="0" fontId="0" fillId="10" borderId="0" xfId="0" applyFill="1"/>
    <xf numFmtId="0" fontId="81" fillId="0" borderId="0" xfId="1" applyFont="1" applyProtection="1">
      <protection hidden="1"/>
    </xf>
    <xf numFmtId="1" fontId="27" fillId="0" borderId="0" xfId="1" applyNumberFormat="1" applyFont="1" applyProtection="1">
      <protection hidden="1"/>
    </xf>
    <xf numFmtId="167" fontId="27" fillId="0" borderId="0" xfId="1" applyNumberFormat="1" applyFont="1" applyProtection="1">
      <protection hidden="1"/>
    </xf>
    <xf numFmtId="0" fontId="27" fillId="0" borderId="0" xfId="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30" fillId="0" borderId="0" xfId="1" quotePrefix="1" applyNumberFormat="1" applyFont="1" applyAlignment="1" applyProtection="1">
      <alignment horizontal="left"/>
      <protection hidden="1"/>
    </xf>
    <xf numFmtId="167" fontId="25" fillId="2" borderId="0" xfId="1" quotePrefix="1" applyNumberFormat="1" applyFont="1" applyFill="1" applyAlignment="1" applyProtection="1">
      <alignment horizontal="left"/>
      <protection hidden="1"/>
    </xf>
    <xf numFmtId="0" fontId="0" fillId="0" borderId="0" xfId="0" applyProtection="1">
      <protection hidden="1"/>
    </xf>
    <xf numFmtId="0" fontId="25" fillId="0" borderId="0" xfId="1" quotePrefix="1" applyFont="1" applyAlignment="1" applyProtection="1">
      <alignment horizontal="left" vertical="center"/>
      <protection hidden="1"/>
    </xf>
    <xf numFmtId="167" fontId="27" fillId="0" borderId="0" xfId="1" quotePrefix="1" applyNumberFormat="1" applyFont="1" applyAlignment="1" applyProtection="1">
      <alignment horizontal="left"/>
      <protection hidden="1"/>
    </xf>
    <xf numFmtId="0" fontId="41" fillId="2" borderId="0" xfId="1" applyFont="1" applyFill="1" applyProtection="1">
      <protection hidden="1"/>
    </xf>
    <xf numFmtId="0" fontId="25" fillId="0" borderId="0" xfId="1" applyFont="1" applyAlignment="1" applyProtection="1">
      <alignment horizontal="left"/>
      <protection hidden="1"/>
    </xf>
    <xf numFmtId="167" fontId="25" fillId="0" borderId="0" xfId="1" applyNumberFormat="1" applyFont="1" applyAlignment="1" applyProtection="1">
      <alignment horizontal="left"/>
      <protection hidden="1"/>
    </xf>
    <xf numFmtId="0" fontId="81" fillId="0" borderId="0" xfId="0" applyFont="1"/>
    <xf numFmtId="0" fontId="15" fillId="0" borderId="0" xfId="1" applyFont="1" applyProtection="1">
      <protection hidden="1"/>
    </xf>
    <xf numFmtId="0" fontId="84" fillId="0" borderId="0" xfId="1" applyFont="1" applyProtection="1">
      <protection hidden="1"/>
    </xf>
    <xf numFmtId="0" fontId="24" fillId="0" borderId="0" xfId="1" applyFont="1" applyProtection="1">
      <protection hidden="1"/>
    </xf>
    <xf numFmtId="0" fontId="48" fillId="0" borderId="0" xfId="1" applyFont="1" applyAlignment="1" applyProtection="1">
      <alignment horizontal="center" vertical="center"/>
      <protection hidden="1"/>
    </xf>
    <xf numFmtId="167" fontId="99" fillId="0" borderId="0" xfId="1" applyNumberFormat="1" applyFont="1" applyProtection="1">
      <protection hidden="1"/>
    </xf>
    <xf numFmtId="0" fontId="0" fillId="0" borderId="0" xfId="0" applyAlignment="1">
      <alignment vertical="center"/>
    </xf>
    <xf numFmtId="0" fontId="105" fillId="2" borderId="0" xfId="1" applyFont="1" applyFill="1" applyAlignment="1" applyProtection="1">
      <alignment horizontal="left"/>
      <protection hidden="1"/>
    </xf>
    <xf numFmtId="0" fontId="105" fillId="0" borderId="0" xfId="1" applyFont="1" applyProtection="1">
      <protection hidden="1"/>
    </xf>
    <xf numFmtId="0" fontId="106" fillId="2" borderId="0" xfId="1" applyFont="1" applyFill="1" applyAlignment="1" applyProtection="1">
      <alignment horizontal="left"/>
      <protection hidden="1"/>
    </xf>
    <xf numFmtId="0" fontId="106" fillId="0" borderId="0" xfId="1" applyFont="1" applyAlignment="1" applyProtection="1">
      <alignment horizontal="left"/>
      <protection hidden="1"/>
    </xf>
    <xf numFmtId="167" fontId="112" fillId="2" borderId="0" xfId="1" quotePrefix="1" applyNumberFormat="1" applyFont="1" applyFill="1" applyAlignment="1">
      <alignment horizontal="right"/>
    </xf>
    <xf numFmtId="0" fontId="114" fillId="13" borderId="0" xfId="1" applyFont="1" applyFill="1" applyAlignment="1" applyProtection="1">
      <alignment horizontal="center" vertical="center"/>
      <protection hidden="1"/>
    </xf>
    <xf numFmtId="167" fontId="114" fillId="13" borderId="0" xfId="1" applyNumberFormat="1" applyFont="1" applyFill="1" applyProtection="1">
      <protection hidden="1"/>
    </xf>
    <xf numFmtId="1" fontId="94" fillId="13" borderId="0" xfId="1" applyNumberFormat="1" applyFont="1" applyFill="1" applyAlignment="1" applyProtection="1">
      <alignment horizontal="left"/>
      <protection hidden="1"/>
    </xf>
    <xf numFmtId="167" fontId="35"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80" fillId="0" borderId="0" xfId="1" applyFont="1" applyAlignment="1" applyProtection="1">
      <alignment horizontal="left"/>
      <protection hidden="1"/>
    </xf>
    <xf numFmtId="167" fontId="114" fillId="13" borderId="0" xfId="1" applyNumberFormat="1" applyFont="1" applyFill="1" applyAlignment="1" applyProtection="1">
      <alignment horizontal="center" vertical="center"/>
      <protection hidden="1"/>
    </xf>
    <xf numFmtId="0" fontId="114" fillId="13" borderId="0" xfId="1" applyFont="1" applyFill="1" applyAlignment="1" applyProtection="1">
      <alignment horizontal="left" vertical="center"/>
      <protection hidden="1"/>
    </xf>
    <xf numFmtId="167" fontId="118" fillId="0" borderId="0" xfId="1" quotePrefix="1" applyNumberFormat="1" applyFont="1" applyAlignment="1" applyProtection="1">
      <alignment horizontal="left"/>
      <protection locked="0"/>
    </xf>
    <xf numFmtId="0" fontId="30" fillId="0" borderId="0" xfId="1" quotePrefix="1" applyFont="1" applyAlignment="1" applyProtection="1">
      <alignment horizontal="left"/>
      <protection locked="0"/>
    </xf>
    <xf numFmtId="0" fontId="87" fillId="0" borderId="0" xfId="0" applyFont="1" applyProtection="1">
      <protection hidden="1"/>
    </xf>
    <xf numFmtId="0" fontId="33" fillId="0" borderId="0" xfId="1" applyFont="1" applyAlignment="1" applyProtection="1">
      <alignment horizontal="right"/>
      <protection hidden="1"/>
    </xf>
    <xf numFmtId="0" fontId="0" fillId="0" borderId="0" xfId="1" applyFont="1" applyAlignment="1" applyProtection="1">
      <alignment horizontal="center"/>
      <protection hidden="1"/>
    </xf>
    <xf numFmtId="0" fontId="108" fillId="0" borderId="0" xfId="1" quotePrefix="1" applyFont="1" applyAlignment="1" applyProtection="1">
      <alignment horizontal="left" vertical="center"/>
      <protection hidden="1"/>
    </xf>
    <xf numFmtId="167" fontId="30" fillId="0" borderId="0" xfId="1" quotePrefix="1" applyNumberFormat="1" applyFont="1" applyAlignment="1" applyProtection="1">
      <alignment horizontal="left" vertical="top"/>
      <protection hidden="1"/>
    </xf>
    <xf numFmtId="0" fontId="43" fillId="0" borderId="0" xfId="1" quotePrefix="1" applyFont="1" applyAlignment="1" applyProtection="1">
      <alignment horizontal="center"/>
      <protection hidden="1"/>
    </xf>
    <xf numFmtId="167" fontId="39" fillId="0" borderId="0" xfId="1" quotePrefix="1" applyNumberFormat="1" applyFont="1" applyAlignment="1" applyProtection="1">
      <alignment horizontal="center"/>
      <protection hidden="1"/>
    </xf>
    <xf numFmtId="0" fontId="30" fillId="0" borderId="0" xfId="1" quotePrefix="1" applyFont="1" applyAlignment="1" applyProtection="1">
      <alignment horizontal="left"/>
      <protection hidden="1"/>
    </xf>
    <xf numFmtId="0" fontId="96"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6" fillId="0" borderId="0" xfId="1" quotePrefix="1" applyFont="1" applyAlignment="1" applyProtection="1">
      <alignment horizontal="right"/>
      <protection hidden="1"/>
    </xf>
    <xf numFmtId="0" fontId="37" fillId="0" borderId="0" xfId="1" quotePrefix="1" applyFont="1" applyAlignment="1" applyProtection="1">
      <alignment horizontal="center"/>
      <protection hidden="1"/>
    </xf>
    <xf numFmtId="167" fontId="26" fillId="0" borderId="0" xfId="1" quotePrefix="1" applyNumberFormat="1" applyFont="1" applyAlignment="1" applyProtection="1">
      <alignment horizontal="left"/>
      <protection hidden="1"/>
    </xf>
    <xf numFmtId="0" fontId="111" fillId="0" borderId="0" xfId="1" applyFont="1" applyAlignment="1" applyProtection="1">
      <alignment horizontal="left"/>
      <protection locked="0" hidden="1"/>
    </xf>
    <xf numFmtId="0" fontId="17" fillId="0" borderId="0" xfId="1" applyFont="1" applyProtection="1">
      <protection hidden="1"/>
    </xf>
    <xf numFmtId="0" fontId="18" fillId="0" borderId="0" xfId="1" quotePrefix="1" applyFont="1" applyAlignment="1" applyProtection="1">
      <alignment horizontal="left"/>
      <protection hidden="1"/>
    </xf>
    <xf numFmtId="0" fontId="16" fillId="0" borderId="0" xfId="1" applyFont="1" applyProtection="1">
      <protection hidden="1"/>
    </xf>
    <xf numFmtId="14" fontId="0" fillId="2" borderId="0" xfId="1" applyNumberFormat="1" applyFont="1" applyFill="1" applyProtection="1">
      <protection hidden="1"/>
    </xf>
    <xf numFmtId="0" fontId="33" fillId="2" borderId="0" xfId="1" applyFont="1" applyFill="1" applyAlignment="1" applyProtection="1">
      <alignment horizontal="right"/>
      <protection hidden="1"/>
    </xf>
    <xf numFmtId="0" fontId="0" fillId="0" borderId="0" xfId="0" applyAlignment="1" applyProtection="1">
      <alignment vertical="center"/>
      <protection hidden="1"/>
    </xf>
    <xf numFmtId="167" fontId="29"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4" fillId="2" borderId="0" xfId="1" applyFont="1" applyFill="1" applyAlignment="1" applyProtection="1">
      <alignment horizontal="left" vertical="center" indent="1"/>
      <protection hidden="1"/>
    </xf>
    <xf numFmtId="0" fontId="55" fillId="2" borderId="0" xfId="1" applyFont="1" applyFill="1" applyAlignment="1" applyProtection="1">
      <alignment horizontal="center"/>
      <protection hidden="1"/>
    </xf>
    <xf numFmtId="0" fontId="25" fillId="2" borderId="0" xfId="1" applyFont="1" applyFill="1" applyProtection="1">
      <protection hidden="1"/>
    </xf>
    <xf numFmtId="0" fontId="25" fillId="2" borderId="0" xfId="1" applyFont="1" applyFill="1" applyAlignment="1" applyProtection="1">
      <alignment wrapText="1"/>
      <protection hidden="1"/>
    </xf>
    <xf numFmtId="0" fontId="95" fillId="0" borderId="0" xfId="1" quotePrefix="1" applyFont="1" applyAlignment="1" applyProtection="1">
      <alignment horizontal="left" vertical="center" indent="1"/>
      <protection hidden="1"/>
    </xf>
    <xf numFmtId="0" fontId="43" fillId="2" borderId="0" xfId="1" applyFont="1" applyFill="1" applyAlignment="1" applyProtection="1">
      <alignment horizontal="left"/>
      <protection hidden="1"/>
    </xf>
    <xf numFmtId="0" fontId="36" fillId="0" borderId="0" xfId="1" applyFont="1" applyProtection="1">
      <protection hidden="1"/>
    </xf>
    <xf numFmtId="0" fontId="36" fillId="0" borderId="0" xfId="1" quotePrefix="1" applyFont="1" applyAlignment="1" applyProtection="1">
      <alignment horizontal="center"/>
      <protection hidden="1"/>
    </xf>
    <xf numFmtId="0" fontId="27" fillId="0" borderId="0" xfId="1" quotePrefix="1" applyFont="1" applyAlignment="1" applyProtection="1">
      <alignment horizontal="left"/>
      <protection hidden="1"/>
    </xf>
    <xf numFmtId="167" fontId="30" fillId="0" borderId="0" xfId="1" applyNumberFormat="1" applyFont="1" applyAlignment="1" applyProtection="1">
      <alignment horizontal="left"/>
      <protection hidden="1"/>
    </xf>
    <xf numFmtId="0" fontId="113" fillId="0" borderId="0" xfId="1" applyFont="1" applyProtection="1">
      <protection hidden="1"/>
    </xf>
    <xf numFmtId="167" fontId="42" fillId="0" borderId="0" xfId="1" applyNumberFormat="1" applyFont="1" applyAlignment="1" applyProtection="1">
      <alignment horizontal="right"/>
      <protection hidden="1"/>
    </xf>
    <xf numFmtId="167" fontId="59" fillId="0" borderId="0" xfId="1" applyNumberFormat="1" applyFont="1" applyAlignment="1" applyProtection="1">
      <alignment horizontal="right"/>
      <protection hidden="1"/>
    </xf>
    <xf numFmtId="167" fontId="59" fillId="0" borderId="0" xfId="1" quotePrefix="1" applyNumberFormat="1" applyFont="1" applyAlignment="1" applyProtection="1">
      <alignment horizontal="right"/>
      <protection hidden="1"/>
    </xf>
    <xf numFmtId="167" fontId="27" fillId="0" borderId="0" xfId="1" applyNumberFormat="1" applyFont="1" applyAlignment="1" applyProtection="1">
      <alignment horizontal="left"/>
      <protection hidden="1"/>
    </xf>
    <xf numFmtId="0" fontId="20" fillId="0" borderId="0" xfId="1" applyFont="1" applyAlignment="1" applyProtection="1">
      <alignment horizontal="left"/>
      <protection hidden="1"/>
    </xf>
    <xf numFmtId="0" fontId="25" fillId="0" borderId="7" xfId="1" applyFont="1" applyBorder="1" applyAlignment="1" applyProtection="1">
      <alignment horizontal="left"/>
      <protection hidden="1"/>
    </xf>
    <xf numFmtId="167" fontId="19" fillId="0" borderId="7" xfId="1" applyNumberFormat="1" applyFont="1" applyBorder="1" applyAlignment="1" applyProtection="1">
      <alignment horizontal="left"/>
      <protection hidden="1"/>
    </xf>
    <xf numFmtId="0" fontId="0" fillId="0" borderId="7" xfId="0" applyBorder="1" applyProtection="1">
      <protection hidden="1"/>
    </xf>
    <xf numFmtId="0" fontId="80" fillId="13" borderId="7" xfId="1" applyFont="1" applyFill="1" applyBorder="1" applyProtection="1">
      <protection hidden="1"/>
    </xf>
    <xf numFmtId="167" fontId="87" fillId="13" borderId="0" xfId="1" applyNumberFormat="1" applyFont="1" applyFill="1" applyProtection="1">
      <protection hidden="1"/>
    </xf>
    <xf numFmtId="167" fontId="19" fillId="0" borderId="0" xfId="1" applyNumberFormat="1" applyFont="1" applyAlignment="1" applyProtection="1">
      <alignment horizontal="left"/>
      <protection hidden="1"/>
    </xf>
    <xf numFmtId="0" fontId="80" fillId="13" borderId="0" xfId="1" applyFont="1" applyFill="1" applyProtection="1">
      <protection hidden="1"/>
    </xf>
    <xf numFmtId="167" fontId="19" fillId="0" borderId="0" xfId="1" applyNumberFormat="1" applyFont="1" applyAlignment="1" applyProtection="1">
      <alignment horizontal="center"/>
      <protection hidden="1"/>
    </xf>
    <xf numFmtId="0" fontId="87" fillId="13" borderId="0" xfId="0" applyFont="1" applyFill="1" applyProtection="1">
      <protection hidden="1"/>
    </xf>
    <xf numFmtId="167" fontId="80" fillId="13" borderId="0" xfId="1" applyNumberFormat="1" applyFont="1" applyFill="1" applyProtection="1">
      <protection hidden="1"/>
    </xf>
    <xf numFmtId="0" fontId="116" fillId="0" borderId="0" xfId="1" quotePrefix="1" applyFont="1" applyAlignment="1" applyProtection="1">
      <alignment horizontal="left"/>
      <protection hidden="1"/>
    </xf>
    <xf numFmtId="0" fontId="42" fillId="0" borderId="0" xfId="1" applyFont="1" applyProtection="1">
      <protection hidden="1"/>
    </xf>
    <xf numFmtId="167" fontId="42" fillId="0" borderId="0" xfId="1" quotePrefix="1" applyNumberFormat="1" applyFont="1" applyAlignment="1" applyProtection="1">
      <alignment horizontal="left"/>
      <protection hidden="1"/>
    </xf>
    <xf numFmtId="167" fontId="75" fillId="0" borderId="0" xfId="1" applyNumberFormat="1" applyFont="1" applyAlignment="1" applyProtection="1">
      <alignment horizontal="left"/>
      <protection hidden="1"/>
    </xf>
    <xf numFmtId="167" fontId="75" fillId="0" borderId="0" xfId="1" quotePrefix="1" applyNumberFormat="1" applyFont="1" applyAlignment="1" applyProtection="1">
      <alignment horizontal="left"/>
      <protection hidden="1"/>
    </xf>
    <xf numFmtId="167" fontId="75" fillId="0" borderId="0" xfId="1" applyNumberFormat="1" applyFont="1" applyProtection="1">
      <protection hidden="1"/>
    </xf>
    <xf numFmtId="167" fontId="42" fillId="0" borderId="0" xfId="1" quotePrefix="1" applyNumberFormat="1" applyFont="1" applyAlignment="1" applyProtection="1">
      <alignment horizontal="left" vertical="center"/>
      <protection hidden="1"/>
    </xf>
    <xf numFmtId="0" fontId="41" fillId="0" borderId="0" xfId="1" applyFont="1" applyProtection="1">
      <protection hidden="1"/>
    </xf>
    <xf numFmtId="167" fontId="67" fillId="0" borderId="0" xfId="1" quotePrefix="1" applyNumberFormat="1" applyFont="1" applyAlignment="1" applyProtection="1">
      <alignment horizontal="left"/>
      <protection hidden="1"/>
    </xf>
    <xf numFmtId="167" fontId="66" fillId="0" borderId="0" xfId="1" quotePrefix="1" applyNumberFormat="1" applyFont="1" applyAlignment="1" applyProtection="1">
      <alignment horizontal="left"/>
      <protection hidden="1"/>
    </xf>
    <xf numFmtId="167" fontId="44" fillId="0" borderId="0" xfId="1" quotePrefix="1" applyNumberFormat="1" applyFont="1" applyAlignment="1" applyProtection="1">
      <alignment horizontal="left"/>
      <protection hidden="1"/>
    </xf>
    <xf numFmtId="0" fontId="75" fillId="0" borderId="0" xfId="1" applyFont="1" applyAlignment="1" applyProtection="1">
      <alignment horizontal="left"/>
      <protection hidden="1"/>
    </xf>
    <xf numFmtId="0" fontId="115" fillId="0" borderId="0" xfId="1" applyFont="1" applyProtection="1">
      <protection hidden="1"/>
    </xf>
    <xf numFmtId="0" fontId="114" fillId="13" borderId="0" xfId="1" applyFont="1" applyFill="1" applyProtection="1">
      <protection hidden="1"/>
    </xf>
    <xf numFmtId="0" fontId="75" fillId="0" borderId="0" xfId="1" applyFont="1" applyProtection="1">
      <protection hidden="1"/>
    </xf>
    <xf numFmtId="0" fontId="25" fillId="0" borderId="0" xfId="1" applyFont="1" applyAlignment="1" applyProtection="1">
      <alignment horizontal="left" wrapText="1"/>
      <protection hidden="1"/>
    </xf>
    <xf numFmtId="0" fontId="117" fillId="0" borderId="0" xfId="1" applyFont="1" applyAlignment="1" applyProtection="1">
      <alignment horizontal="left" vertical="top"/>
      <protection hidden="1"/>
    </xf>
    <xf numFmtId="0" fontId="34"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7" fillId="2" borderId="0" xfId="4" applyFont="1" applyFill="1" applyAlignment="1" applyProtection="1">
      <alignment horizontal="right"/>
      <protection hidden="1"/>
    </xf>
    <xf numFmtId="0" fontId="15" fillId="0" borderId="0" xfId="0" quotePrefix="1" applyFont="1" applyProtection="1">
      <protection hidden="1"/>
    </xf>
    <xf numFmtId="167" fontId="41" fillId="2" borderId="0" xfId="1" quotePrefix="1" applyNumberFormat="1" applyFont="1" applyFill="1" applyAlignment="1" applyProtection="1">
      <alignment horizontal="right"/>
      <protection hidden="1"/>
    </xf>
    <xf numFmtId="167" fontId="43" fillId="2" borderId="0" xfId="1" applyNumberFormat="1" applyFont="1" applyFill="1" applyAlignment="1" applyProtection="1">
      <alignment horizontal="center"/>
      <protection hidden="1"/>
    </xf>
    <xf numFmtId="167" fontId="41" fillId="2" borderId="0" xfId="1" quotePrefix="1" applyNumberFormat="1" applyFont="1" applyFill="1" applyAlignment="1" applyProtection="1">
      <alignment horizontal="center"/>
      <protection hidden="1"/>
    </xf>
    <xf numFmtId="1" fontId="27" fillId="0" borderId="0" xfId="3" applyNumberFormat="1" applyFont="1" applyAlignment="1" applyProtection="1">
      <alignment horizontal="left" wrapText="1"/>
      <protection hidden="1"/>
    </xf>
    <xf numFmtId="0" fontId="61" fillId="0" borderId="0" xfId="0" quotePrefix="1" applyFont="1" applyProtection="1">
      <protection hidden="1"/>
    </xf>
    <xf numFmtId="0" fontId="102" fillId="13" borderId="0" xfId="1" applyFont="1" applyFill="1" applyAlignment="1" applyProtection="1">
      <alignment horizontal="center" vertical="center"/>
      <protection hidden="1"/>
    </xf>
    <xf numFmtId="0" fontId="0" fillId="13" borderId="0" xfId="1" applyFont="1" applyFill="1" applyProtection="1">
      <protection hidden="1"/>
    </xf>
    <xf numFmtId="1" fontId="27" fillId="0" borderId="0" xfId="3" applyNumberFormat="1" applyFont="1" applyAlignment="1" applyProtection="1">
      <alignment horizontal="left"/>
      <protection hidden="1"/>
    </xf>
    <xf numFmtId="1" fontId="30" fillId="0" borderId="0" xfId="3" applyNumberFormat="1" applyFont="1" applyAlignment="1" applyProtection="1">
      <alignment horizontal="left" wrapText="1"/>
      <protection hidden="1"/>
    </xf>
    <xf numFmtId="0" fontId="30" fillId="0" borderId="0" xfId="0" quotePrefix="1" applyFont="1" applyProtection="1">
      <protection hidden="1"/>
    </xf>
    <xf numFmtId="0" fontId="55" fillId="0" borderId="0" xfId="1" applyFont="1" applyAlignment="1" applyProtection="1">
      <alignment horizontal="center"/>
      <protection hidden="1"/>
    </xf>
    <xf numFmtId="0" fontId="36" fillId="0" borderId="0" xfId="1" applyFont="1" applyAlignment="1" applyProtection="1">
      <alignment horizontal="center"/>
      <protection hidden="1"/>
    </xf>
    <xf numFmtId="0" fontId="37" fillId="0" borderId="0" xfId="1" quotePrefix="1" applyFont="1" applyAlignment="1" applyProtection="1">
      <alignment horizontal="left"/>
      <protection hidden="1"/>
    </xf>
    <xf numFmtId="0" fontId="53" fillId="0" borderId="0" xfId="1" applyFont="1" applyAlignment="1" applyProtection="1">
      <alignment horizontal="center"/>
      <protection hidden="1"/>
    </xf>
    <xf numFmtId="0" fontId="19" fillId="2" borderId="0" xfId="1" applyFont="1" applyFill="1" applyProtection="1">
      <protection hidden="1"/>
    </xf>
    <xf numFmtId="0" fontId="15" fillId="2" borderId="0" xfId="1" applyFont="1" applyFill="1" applyProtection="1">
      <protection hidden="1"/>
    </xf>
    <xf numFmtId="0" fontId="19" fillId="2" borderId="0" xfId="1" applyFont="1" applyFill="1" applyAlignment="1" applyProtection="1">
      <alignment horizontal="center"/>
      <protection hidden="1"/>
    </xf>
    <xf numFmtId="0" fontId="92" fillId="0" borderId="0" xfId="1" applyFont="1" applyAlignment="1" applyProtection="1">
      <alignment horizontal="center"/>
      <protection hidden="1"/>
    </xf>
    <xf numFmtId="0" fontId="34" fillId="0" borderId="0" xfId="1" applyFont="1" applyAlignment="1" applyProtection="1">
      <alignment horizontal="left"/>
      <protection hidden="1"/>
    </xf>
    <xf numFmtId="0" fontId="39" fillId="0" borderId="0" xfId="1" applyFont="1" applyProtection="1">
      <protection hidden="1"/>
    </xf>
    <xf numFmtId="0" fontId="36" fillId="2" borderId="0" xfId="1" applyFont="1" applyFill="1" applyProtection="1">
      <protection hidden="1"/>
    </xf>
    <xf numFmtId="0" fontId="24" fillId="4" borderId="0" xfId="1" applyFont="1" applyFill="1" applyProtection="1">
      <protection hidden="1"/>
    </xf>
    <xf numFmtId="0" fontId="15" fillId="3" borderId="0" xfId="1" applyFont="1" applyFill="1" applyProtection="1">
      <protection hidden="1"/>
    </xf>
    <xf numFmtId="0" fontId="19" fillId="0" borderId="0" xfId="1" applyFont="1" applyAlignment="1" applyProtection="1">
      <alignment horizontal="center"/>
      <protection hidden="1"/>
    </xf>
    <xf numFmtId="0" fontId="24" fillId="2" borderId="0" xfId="1" applyFont="1" applyFill="1" applyProtection="1">
      <protection hidden="1"/>
    </xf>
    <xf numFmtId="0" fontId="69" fillId="0" borderId="0" xfId="1" applyFont="1" applyAlignment="1" applyProtection="1">
      <alignment horizontal="center"/>
      <protection hidden="1"/>
    </xf>
    <xf numFmtId="0" fontId="34" fillId="0" borderId="0" xfId="1" applyFont="1" applyAlignment="1" applyProtection="1">
      <alignment horizontal="center"/>
      <protection hidden="1"/>
    </xf>
    <xf numFmtId="0" fontId="31" fillId="0" borderId="0" xfId="1" quotePrefix="1" applyFont="1" applyAlignment="1" applyProtection="1">
      <alignment horizontal="left"/>
      <protection hidden="1"/>
    </xf>
    <xf numFmtId="0" fontId="68" fillId="2" borderId="0" xfId="1" quotePrefix="1" applyFont="1" applyFill="1" applyAlignment="1" applyProtection="1">
      <alignment horizontal="left" vertical="center"/>
      <protection hidden="1"/>
    </xf>
    <xf numFmtId="0" fontId="15" fillId="5" borderId="0" xfId="1" applyFont="1" applyFill="1" applyProtection="1">
      <protection hidden="1"/>
    </xf>
    <xf numFmtId="167" fontId="70" fillId="0" borderId="0" xfId="1" quotePrefix="1" applyNumberFormat="1" applyFont="1" applyAlignment="1" applyProtection="1">
      <alignment horizontal="left"/>
      <protection hidden="1"/>
    </xf>
    <xf numFmtId="0" fontId="23" fillId="0" borderId="0" xfId="1" applyFont="1" applyAlignment="1" applyProtection="1">
      <alignment horizontal="left"/>
      <protection hidden="1"/>
    </xf>
    <xf numFmtId="0" fontId="23" fillId="0" borderId="0" xfId="1" quotePrefix="1" applyFont="1" applyAlignment="1" applyProtection="1">
      <alignment horizontal="right"/>
      <protection hidden="1"/>
    </xf>
    <xf numFmtId="0" fontId="25" fillId="0" borderId="0" xfId="1" applyFont="1" applyAlignment="1" applyProtection="1">
      <alignment horizontal="left" vertical="center"/>
      <protection hidden="1"/>
    </xf>
    <xf numFmtId="0" fontId="25" fillId="0" borderId="0" xfId="1" applyFont="1" applyAlignment="1" applyProtection="1">
      <alignment vertical="center"/>
      <protection hidden="1"/>
    </xf>
    <xf numFmtId="0" fontId="25" fillId="7" borderId="0" xfId="1" applyFont="1" applyFill="1" applyAlignment="1" applyProtection="1">
      <alignment horizontal="left" vertical="center"/>
      <protection hidden="1"/>
    </xf>
    <xf numFmtId="0" fontId="69" fillId="2" borderId="0" xfId="1" applyFont="1" applyFill="1" applyAlignment="1" applyProtection="1">
      <alignment horizontal="center" vertical="center"/>
      <protection hidden="1"/>
    </xf>
    <xf numFmtId="0" fontId="69" fillId="0" borderId="0" xfId="1" applyFont="1" applyAlignment="1" applyProtection="1">
      <alignment horizontal="center" vertical="center"/>
      <protection hidden="1"/>
    </xf>
    <xf numFmtId="0" fontId="27" fillId="0" borderId="0" xfId="1" applyFont="1" applyAlignment="1" applyProtection="1">
      <alignment horizontal="left" vertical="center"/>
      <protection hidden="1"/>
    </xf>
    <xf numFmtId="1" fontId="25" fillId="0" borderId="0" xfId="1" applyNumberFormat="1" applyFont="1" applyAlignment="1" applyProtection="1">
      <alignment vertical="center"/>
      <protection hidden="1"/>
    </xf>
    <xf numFmtId="0" fontId="25" fillId="0" borderId="0" xfId="1" quotePrefix="1" applyFont="1" applyAlignment="1" applyProtection="1">
      <alignment horizontal="center" vertical="center"/>
      <protection hidden="1"/>
    </xf>
    <xf numFmtId="0" fontId="30" fillId="0" borderId="0" xfId="1" applyFont="1" applyAlignment="1" applyProtection="1">
      <alignment horizontal="left" vertical="center"/>
      <protection hidden="1"/>
    </xf>
    <xf numFmtId="0" fontId="25" fillId="0" borderId="0" xfId="1" applyFont="1" applyAlignment="1" applyProtection="1">
      <alignment horizontal="center" vertical="center"/>
      <protection hidden="1"/>
    </xf>
    <xf numFmtId="0" fontId="24" fillId="0" borderId="0" xfId="1" applyFont="1" applyAlignment="1" applyProtection="1">
      <alignment vertical="center"/>
      <protection hidden="1"/>
    </xf>
    <xf numFmtId="0" fontId="27" fillId="0" borderId="0" xfId="1" quotePrefix="1" applyFont="1" applyAlignment="1" applyProtection="1">
      <alignment horizontal="left" vertical="center"/>
      <protection hidden="1"/>
    </xf>
    <xf numFmtId="0" fontId="27" fillId="0" borderId="0" xfId="1" applyFont="1" applyAlignment="1" applyProtection="1">
      <alignment vertical="center"/>
      <protection hidden="1"/>
    </xf>
    <xf numFmtId="0" fontId="67" fillId="2" borderId="0" xfId="1" quotePrefix="1" applyFont="1" applyFill="1" applyAlignment="1" applyProtection="1">
      <alignment horizontal="left" vertical="center"/>
      <protection hidden="1"/>
    </xf>
    <xf numFmtId="0" fontId="39" fillId="2" borderId="0" xfId="1" applyFont="1" applyFill="1" applyAlignment="1" applyProtection="1">
      <alignment horizontal="center" vertical="center"/>
      <protection hidden="1"/>
    </xf>
    <xf numFmtId="0" fontId="25" fillId="2" borderId="0" xfId="1" applyFont="1" applyFill="1" applyAlignment="1" applyProtection="1">
      <alignment vertical="center"/>
      <protection hidden="1"/>
    </xf>
    <xf numFmtId="0" fontId="39"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4" fillId="0" borderId="0" xfId="1" applyFont="1" applyAlignment="1" applyProtection="1">
      <alignment horizontal="center" vertical="center"/>
      <protection hidden="1"/>
    </xf>
    <xf numFmtId="0" fontId="24" fillId="4" borderId="0" xfId="1" applyFont="1" applyFill="1" applyAlignment="1" applyProtection="1">
      <alignment vertical="center"/>
      <protection hidden="1"/>
    </xf>
    <xf numFmtId="1" fontId="27" fillId="0" borderId="0" xfId="1" applyNumberFormat="1" applyFont="1" applyAlignment="1" applyProtection="1">
      <alignment vertical="center"/>
      <protection hidden="1"/>
    </xf>
    <xf numFmtId="0" fontId="25" fillId="0" borderId="0" xfId="0" quotePrefix="1" applyFont="1" applyProtection="1">
      <protection hidden="1"/>
    </xf>
    <xf numFmtId="167" fontId="25" fillId="0" borderId="0" xfId="1" quotePrefix="1" applyNumberFormat="1" applyFont="1" applyAlignment="1" applyProtection="1">
      <alignment horizontal="left" vertical="center"/>
      <protection hidden="1"/>
    </xf>
    <xf numFmtId="0" fontId="27" fillId="0" borderId="0" xfId="0" quotePrefix="1" applyFont="1" applyProtection="1">
      <protection hidden="1"/>
    </xf>
    <xf numFmtId="167" fontId="112" fillId="2" borderId="0" xfId="1" quotePrefix="1" applyNumberFormat="1" applyFont="1" applyFill="1" applyAlignment="1" applyProtection="1">
      <alignment horizontal="right"/>
      <protection hidden="1"/>
    </xf>
    <xf numFmtId="0" fontId="44" fillId="0" borderId="0" xfId="1" quotePrefix="1" applyFont="1" applyAlignment="1" applyProtection="1">
      <alignment horizontal="left"/>
      <protection hidden="1"/>
    </xf>
    <xf numFmtId="167" fontId="70" fillId="2" borderId="0" xfId="1" applyNumberFormat="1" applyFont="1" applyFill="1" applyAlignment="1" applyProtection="1">
      <alignment horizontal="left"/>
      <protection hidden="1"/>
    </xf>
    <xf numFmtId="167" fontId="19" fillId="2" borderId="0" xfId="1" applyNumberFormat="1" applyFont="1" applyFill="1" applyProtection="1">
      <protection hidden="1"/>
    </xf>
    <xf numFmtId="0" fontId="68" fillId="2" borderId="0" xfId="1" applyFont="1" applyFill="1" applyAlignment="1" applyProtection="1">
      <alignment horizontal="left" vertical="center"/>
      <protection hidden="1"/>
    </xf>
    <xf numFmtId="167" fontId="25" fillId="2" borderId="0" xfId="1" applyNumberFormat="1" applyFont="1" applyFill="1" applyProtection="1">
      <protection hidden="1"/>
    </xf>
    <xf numFmtId="167" fontId="25" fillId="0" borderId="14" xfId="1" applyNumberFormat="1" applyFont="1" applyBorder="1" applyProtection="1">
      <protection hidden="1"/>
    </xf>
    <xf numFmtId="0" fontId="15" fillId="0" borderId="0" xfId="0" applyFont="1" applyProtection="1">
      <protection hidden="1"/>
    </xf>
    <xf numFmtId="167" fontId="25" fillId="0" borderId="0" xfId="0" applyNumberFormat="1" applyFont="1" applyAlignment="1" applyProtection="1">
      <alignment horizontal="left"/>
      <protection hidden="1"/>
    </xf>
    <xf numFmtId="167" fontId="58" fillId="0" borderId="0" xfId="1" applyNumberFormat="1" applyFont="1" applyAlignment="1" applyProtection="1">
      <alignment horizontal="left"/>
      <protection hidden="1"/>
    </xf>
    <xf numFmtId="0" fontId="25"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4" fillId="0" borderId="0" xfId="1" applyFont="1" applyAlignment="1" applyProtection="1">
      <alignment horizontal="center" vertical="center"/>
      <protection hidden="1"/>
    </xf>
    <xf numFmtId="0" fontId="118" fillId="0" borderId="0" xfId="1" applyFont="1" applyProtection="1">
      <protection locked="0"/>
    </xf>
    <xf numFmtId="167" fontId="27" fillId="2" borderId="0" xfId="4" quotePrefix="1" applyFont="1" applyFill="1" applyAlignment="1" applyProtection="1">
      <alignment horizontal="right"/>
      <protection hidden="1"/>
    </xf>
    <xf numFmtId="167" fontId="27" fillId="0" borderId="0" xfId="1" quotePrefix="1" applyNumberFormat="1" applyFont="1" applyAlignment="1" applyProtection="1">
      <alignment horizontal="left" vertical="center"/>
      <protection hidden="1"/>
    </xf>
    <xf numFmtId="0" fontId="0" fillId="13" borderId="0" xfId="0" applyFill="1"/>
    <xf numFmtId="0" fontId="46" fillId="12" borderId="1" xfId="1" applyFont="1" applyFill="1" applyBorder="1" applyAlignment="1" applyProtection="1">
      <alignment horizontal="center"/>
      <protection hidden="1"/>
    </xf>
    <xf numFmtId="167" fontId="16" fillId="12" borderId="25" xfId="1" applyNumberFormat="1" applyFont="1" applyFill="1" applyBorder="1" applyProtection="1">
      <protection hidden="1"/>
    </xf>
    <xf numFmtId="167" fontId="21" fillId="12" borderId="23" xfId="1" applyNumberFormat="1" applyFont="1" applyFill="1" applyBorder="1" applyProtection="1">
      <protection hidden="1"/>
    </xf>
    <xf numFmtId="167" fontId="21" fillId="12" borderId="26" xfId="1" applyNumberFormat="1" applyFont="1" applyFill="1" applyBorder="1" applyProtection="1">
      <protection hidden="1"/>
    </xf>
    <xf numFmtId="0" fontId="46" fillId="13" borderId="1" xfId="1" applyFont="1" applyFill="1" applyBorder="1" applyAlignment="1" applyProtection="1">
      <alignment horizontal="center"/>
      <protection hidden="1"/>
    </xf>
    <xf numFmtId="167" fontId="21" fillId="13" borderId="23" xfId="1" applyNumberFormat="1" applyFont="1" applyFill="1" applyBorder="1" applyProtection="1">
      <protection hidden="1"/>
    </xf>
    <xf numFmtId="167" fontId="25" fillId="0" borderId="0" xfId="5" applyNumberFormat="1" applyFont="1" applyProtection="1">
      <protection locked="0"/>
    </xf>
    <xf numFmtId="167" fontId="21" fillId="0" borderId="0" xfId="5" applyNumberFormat="1" applyFont="1" applyProtection="1">
      <protection locked="0"/>
    </xf>
    <xf numFmtId="167" fontId="27" fillId="0" borderId="0" xfId="1" applyNumberFormat="1" applyFont="1" applyAlignment="1" applyProtection="1">
      <alignment horizontal="right"/>
      <protection hidden="1"/>
    </xf>
    <xf numFmtId="0" fontId="27" fillId="0" borderId="0" xfId="1" quotePrefix="1" applyFont="1" applyAlignment="1" applyProtection="1">
      <alignment horizontal="right"/>
      <protection hidden="1"/>
    </xf>
    <xf numFmtId="167" fontId="27" fillId="0" borderId="0" xfId="1" quotePrefix="1" applyNumberFormat="1" applyFont="1" applyAlignment="1" applyProtection="1">
      <alignment horizontal="right"/>
      <protection hidden="1"/>
    </xf>
    <xf numFmtId="0" fontId="125" fillId="0" borderId="0" xfId="1" applyFont="1" applyProtection="1">
      <protection hidden="1"/>
    </xf>
    <xf numFmtId="0" fontId="124" fillId="0" borderId="0" xfId="1" applyFont="1" applyAlignment="1" applyProtection="1">
      <alignment vertical="center"/>
      <protection hidden="1"/>
    </xf>
    <xf numFmtId="0" fontId="99" fillId="0" borderId="0" xfId="1" applyFont="1" applyAlignment="1" applyProtection="1">
      <alignment horizontal="left" vertical="center"/>
      <protection hidden="1"/>
    </xf>
    <xf numFmtId="167" fontId="126" fillId="13" borderId="0" xfId="1" applyNumberFormat="1" applyFont="1" applyFill="1" applyAlignment="1" applyProtection="1">
      <alignment horizontal="left"/>
      <protection hidden="1"/>
    </xf>
    <xf numFmtId="49" fontId="25" fillId="13" borderId="33" xfId="5" applyNumberFormat="1" applyFont="1" applyFill="1" applyBorder="1" applyAlignment="1" applyProtection="1">
      <alignment horizontal="left" vertical="center"/>
      <protection locked="0"/>
    </xf>
    <xf numFmtId="49" fontId="25" fillId="13" borderId="20" xfId="5" applyNumberFormat="1" applyFont="1" applyFill="1" applyBorder="1" applyAlignment="1" applyProtection="1">
      <alignment horizontal="left" vertical="center"/>
      <protection locked="0"/>
    </xf>
    <xf numFmtId="3" fontId="25" fillId="13" borderId="30" xfId="5" applyNumberFormat="1" applyFont="1" applyFill="1" applyBorder="1" applyAlignment="1" applyProtection="1">
      <alignment vertical="top"/>
      <protection locked="0"/>
    </xf>
    <xf numFmtId="3" fontId="25" fillId="13" borderId="30" xfId="5" applyNumberFormat="1" applyFont="1" applyFill="1" applyBorder="1" applyAlignment="1" applyProtection="1">
      <alignment vertical="center"/>
      <protection locked="0"/>
    </xf>
    <xf numFmtId="0" fontId="15" fillId="0" borderId="0" xfId="0" applyFont="1"/>
    <xf numFmtId="0" fontId="35" fillId="0" borderId="0" xfId="1" applyFont="1" applyAlignment="1" applyProtection="1">
      <alignment horizontal="left" vertical="center"/>
      <protection hidden="1"/>
    </xf>
    <xf numFmtId="167" fontId="27" fillId="0" borderId="0" xfId="1" applyNumberFormat="1" applyFont="1" applyAlignment="1" applyProtection="1">
      <alignment horizontal="left" vertical="center"/>
      <protection hidden="1"/>
    </xf>
    <xf numFmtId="0" fontId="27" fillId="0" borderId="0" xfId="1" quotePrefix="1" applyFont="1" applyAlignment="1" applyProtection="1">
      <alignment horizontal="left"/>
      <protection locked="0" hidden="1"/>
    </xf>
    <xf numFmtId="0" fontId="0" fillId="0" borderId="0" xfId="0" applyAlignment="1">
      <alignment horizontal="right"/>
    </xf>
    <xf numFmtId="1" fontId="129" fillId="0" borderId="0" xfId="1" applyNumberFormat="1" applyFont="1" applyAlignment="1" applyProtection="1">
      <alignment horizontal="center" vertical="center"/>
      <protection hidden="1"/>
    </xf>
    <xf numFmtId="1" fontId="129" fillId="0" borderId="7" xfId="1" applyNumberFormat="1" applyFont="1" applyBorder="1" applyAlignment="1" applyProtection="1">
      <alignment horizontal="center" vertical="center"/>
      <protection hidden="1"/>
    </xf>
    <xf numFmtId="0" fontId="129" fillId="0" borderId="0" xfId="1" applyFont="1" applyAlignment="1" applyProtection="1">
      <alignment horizontal="center" vertical="center"/>
      <protection hidden="1"/>
    </xf>
    <xf numFmtId="0" fontId="132" fillId="11" borderId="0" xfId="0" applyFont="1" applyFill="1" applyAlignment="1">
      <alignment horizontal="right" vertical="center"/>
    </xf>
    <xf numFmtId="0" fontId="132" fillId="11" borderId="0" xfId="0" applyFont="1" applyFill="1" applyAlignment="1">
      <alignment vertical="center"/>
    </xf>
    <xf numFmtId="0" fontId="132" fillId="11" borderId="0" xfId="0" applyFont="1" applyFill="1" applyAlignment="1">
      <alignment vertical="top"/>
    </xf>
    <xf numFmtId="0" fontId="126" fillId="11" borderId="0" xfId="0" applyFont="1" applyFill="1"/>
    <xf numFmtId="1" fontId="126" fillId="11" borderId="0" xfId="0" applyNumberFormat="1" applyFont="1" applyFill="1"/>
    <xf numFmtId="0" fontId="132" fillId="16" borderId="0" xfId="0" applyFont="1" applyFill="1" applyAlignment="1">
      <alignment horizontal="right" vertical="center"/>
    </xf>
    <xf numFmtId="0" fontId="132" fillId="16" borderId="0" xfId="0" applyFont="1" applyFill="1" applyAlignment="1">
      <alignment vertical="center"/>
    </xf>
    <xf numFmtId="0" fontId="132" fillId="16" borderId="0" xfId="0" applyFont="1" applyFill="1" applyAlignment="1">
      <alignment vertical="top"/>
    </xf>
    <xf numFmtId="0" fontId="126" fillId="16" borderId="0" xfId="0" applyFont="1" applyFill="1"/>
    <xf numFmtId="1" fontId="126" fillId="16" borderId="0" xfId="0" applyNumberFormat="1" applyFont="1" applyFill="1"/>
    <xf numFmtId="0" fontId="132" fillId="17" borderId="0" xfId="0" applyFont="1" applyFill="1" applyAlignment="1">
      <alignment horizontal="right" vertical="center"/>
    </xf>
    <xf numFmtId="0" fontId="132" fillId="17" borderId="0" xfId="0" applyFont="1" applyFill="1" applyAlignment="1">
      <alignment vertical="center"/>
    </xf>
    <xf numFmtId="0" fontId="132" fillId="17" borderId="0" xfId="0" applyFont="1" applyFill="1" applyAlignment="1">
      <alignment vertical="top"/>
    </xf>
    <xf numFmtId="0" fontId="126" fillId="17" borderId="0" xfId="0" applyFont="1" applyFill="1"/>
    <xf numFmtId="1" fontId="126" fillId="17" borderId="0" xfId="0" applyNumberFormat="1" applyFont="1" applyFill="1"/>
    <xf numFmtId="0" fontId="132" fillId="12" borderId="0" xfId="0" applyFont="1" applyFill="1" applyAlignment="1">
      <alignment horizontal="right" vertical="center"/>
    </xf>
    <xf numFmtId="0" fontId="132" fillId="12" borderId="0" xfId="0" applyFont="1" applyFill="1" applyAlignment="1">
      <alignment vertical="center"/>
    </xf>
    <xf numFmtId="0" fontId="132" fillId="12" borderId="0" xfId="0" applyFont="1" applyFill="1" applyAlignment="1">
      <alignment vertical="top"/>
    </xf>
    <xf numFmtId="0" fontId="126" fillId="12" borderId="0" xfId="0" applyFont="1" applyFill="1"/>
    <xf numFmtId="0" fontId="132" fillId="14" borderId="0" xfId="0" applyFont="1" applyFill="1" applyAlignment="1">
      <alignment horizontal="right" vertical="center"/>
    </xf>
    <xf numFmtId="0" fontId="132" fillId="14" borderId="0" xfId="0" applyFont="1" applyFill="1" applyAlignment="1">
      <alignment vertical="center"/>
    </xf>
    <xf numFmtId="0" fontId="132" fillId="14" borderId="0" xfId="0" applyFont="1" applyFill="1" applyAlignment="1">
      <alignment vertical="top"/>
    </xf>
    <xf numFmtId="0" fontId="126" fillId="14" borderId="0" xfId="0" applyFont="1" applyFill="1"/>
    <xf numFmtId="0" fontId="132" fillId="18" borderId="0" xfId="0" applyFont="1" applyFill="1" applyAlignment="1">
      <alignment horizontal="right" vertical="center"/>
    </xf>
    <xf numFmtId="0" fontId="132" fillId="18" borderId="0" xfId="0" applyFont="1" applyFill="1" applyAlignment="1">
      <alignment vertical="center"/>
    </xf>
    <xf numFmtId="0" fontId="132" fillId="18" borderId="0" xfId="0" applyFont="1" applyFill="1" applyAlignment="1">
      <alignment vertical="top"/>
    </xf>
    <xf numFmtId="0" fontId="126" fillId="18" borderId="0" xfId="0" applyFont="1" applyFill="1"/>
    <xf numFmtId="0" fontId="41" fillId="0" borderId="0" xfId="0" applyFont="1"/>
    <xf numFmtId="0" fontId="0" fillId="0" borderId="0" xfId="0" applyAlignment="1">
      <alignment horizontal="right" vertical="center"/>
    </xf>
    <xf numFmtId="0" fontId="87" fillId="0" borderId="0" xfId="0" applyFont="1"/>
    <xf numFmtId="0" fontId="87" fillId="0" borderId="0" xfId="1" applyFont="1" applyProtection="1">
      <protection hidden="1"/>
    </xf>
    <xf numFmtId="0" fontId="94" fillId="0" borderId="0" xfId="1" applyFont="1" applyProtection="1">
      <protection hidden="1"/>
    </xf>
    <xf numFmtId="0" fontId="130" fillId="0" borderId="0" xfId="0" applyFont="1"/>
    <xf numFmtId="167" fontId="102" fillId="0" borderId="0" xfId="1" applyNumberFormat="1" applyFont="1" applyAlignment="1" applyProtection="1">
      <alignment horizontal="left"/>
      <protection hidden="1"/>
    </xf>
    <xf numFmtId="167" fontId="27" fillId="13" borderId="0" xfId="1" applyNumberFormat="1" applyFont="1" applyFill="1" applyAlignment="1" applyProtection="1">
      <alignment horizontal="left"/>
      <protection hidden="1"/>
    </xf>
    <xf numFmtId="167" fontId="27" fillId="13" borderId="0" xfId="1" quotePrefix="1" applyNumberFormat="1" applyFont="1" applyFill="1" applyAlignment="1" applyProtection="1">
      <alignment horizontal="left"/>
      <protection hidden="1"/>
    </xf>
    <xf numFmtId="0" fontId="20" fillId="13" borderId="0" xfId="1" applyFont="1" applyFill="1" applyAlignment="1" applyProtection="1">
      <alignment horizontal="left"/>
      <protection hidden="1"/>
    </xf>
    <xf numFmtId="0" fontId="19" fillId="13" borderId="0" xfId="1" applyFont="1" applyFill="1" applyProtection="1">
      <protection hidden="1"/>
    </xf>
    <xf numFmtId="0" fontId="114" fillId="13" borderId="0" xfId="5" applyFont="1" applyFill="1" applyAlignment="1" applyProtection="1">
      <alignment horizontal="center" vertical="center"/>
      <protection hidden="1"/>
    </xf>
    <xf numFmtId="0" fontId="129" fillId="0" borderId="0" xfId="2" applyFont="1" applyAlignment="1" applyProtection="1">
      <alignment horizontal="center" vertical="center"/>
      <protection locked="0" hidden="1"/>
    </xf>
    <xf numFmtId="167" fontId="26" fillId="0" borderId="0" xfId="1" applyNumberFormat="1" applyFont="1" applyProtection="1">
      <protection locked="0" hidden="1"/>
    </xf>
    <xf numFmtId="167" fontId="25" fillId="0" borderId="0" xfId="1" applyNumberFormat="1" applyFont="1" applyProtection="1">
      <protection locked="0" hidden="1"/>
    </xf>
    <xf numFmtId="0" fontId="25" fillId="0" borderId="0" xfId="1" applyFont="1" applyProtection="1">
      <protection locked="0" hidden="1"/>
    </xf>
    <xf numFmtId="0" fontId="124" fillId="0" borderId="0" xfId="1" applyFont="1" applyAlignment="1">
      <alignment vertical="center"/>
    </xf>
    <xf numFmtId="0" fontId="27" fillId="13" borderId="0" xfId="1" applyFont="1" applyFill="1" applyAlignment="1" applyProtection="1">
      <alignment horizontal="left" vertical="center"/>
      <protection hidden="1"/>
    </xf>
    <xf numFmtId="0" fontId="27" fillId="13" borderId="0" xfId="1" quotePrefix="1" applyFont="1" applyFill="1" applyAlignment="1" applyProtection="1">
      <alignment horizontal="left" vertical="center"/>
      <protection hidden="1"/>
    </xf>
    <xf numFmtId="0" fontId="27" fillId="13" borderId="0" xfId="1" quotePrefix="1" applyFont="1" applyFill="1" applyAlignment="1" applyProtection="1">
      <alignment horizontal="left"/>
      <protection hidden="1"/>
    </xf>
    <xf numFmtId="0" fontId="27" fillId="13" borderId="0" xfId="1" applyFont="1" applyFill="1" applyAlignment="1" applyProtection="1">
      <alignment horizontal="center"/>
      <protection hidden="1"/>
    </xf>
    <xf numFmtId="0" fontId="25" fillId="13" borderId="0" xfId="1" applyFont="1" applyFill="1" applyAlignment="1" applyProtection="1">
      <alignment horizontal="center"/>
      <protection hidden="1"/>
    </xf>
    <xf numFmtId="0" fontId="134" fillId="0" borderId="0" xfId="1" applyFont="1" applyAlignment="1" applyProtection="1">
      <alignment horizontal="left" vertical="top"/>
      <protection hidden="1"/>
    </xf>
    <xf numFmtId="0" fontId="134" fillId="13" borderId="0" xfId="1" applyFont="1" applyFill="1" applyAlignment="1" applyProtection="1">
      <alignment horizontal="left" vertical="center"/>
      <protection hidden="1"/>
    </xf>
    <xf numFmtId="0" fontId="109" fillId="2" borderId="0" xfId="5" applyFont="1" applyFill="1" applyAlignment="1" applyProtection="1">
      <alignment horizontal="left" vertical="center" indent="1"/>
      <protection hidden="1"/>
    </xf>
    <xf numFmtId="0" fontId="25" fillId="2" borderId="0" xfId="5" quotePrefix="1" applyFont="1" applyFill="1" applyAlignment="1" applyProtection="1">
      <alignment wrapText="1"/>
      <protection hidden="1"/>
    </xf>
    <xf numFmtId="0" fontId="13" fillId="13" borderId="0" xfId="1" quotePrefix="1" applyFont="1" applyFill="1" applyAlignment="1" applyProtection="1">
      <alignment horizontal="left" vertical="center"/>
      <protection hidden="1"/>
    </xf>
    <xf numFmtId="167" fontId="114" fillId="0" borderId="0" xfId="1" applyNumberFormat="1" applyFont="1" applyAlignment="1" applyProtection="1">
      <alignment horizontal="center" vertical="center"/>
      <protection hidden="1"/>
    </xf>
    <xf numFmtId="0" fontId="27" fillId="0" borderId="0" xfId="1" quotePrefix="1" applyFont="1" applyAlignment="1" applyProtection="1">
      <alignment horizontal="center"/>
      <protection hidden="1"/>
    </xf>
    <xf numFmtId="167" fontId="27" fillId="0" borderId="0" xfId="1" quotePrefix="1" applyNumberFormat="1" applyFont="1" applyAlignment="1" applyProtection="1">
      <alignment horizontal="center"/>
      <protection hidden="1"/>
    </xf>
    <xf numFmtId="0" fontId="15" fillId="0" borderId="0" xfId="1" applyFont="1"/>
    <xf numFmtId="0" fontId="53" fillId="2" borderId="0" xfId="1" applyFont="1" applyFill="1" applyAlignment="1" applyProtection="1">
      <alignment horizontal="center"/>
      <protection hidden="1"/>
    </xf>
    <xf numFmtId="167" fontId="27" fillId="0" borderId="0" xfId="1" applyNumberFormat="1" applyFont="1" applyAlignment="1" applyProtection="1">
      <alignment horizontal="center"/>
      <protection hidden="1"/>
    </xf>
    <xf numFmtId="166" fontId="27" fillId="2" borderId="0" xfId="1" quotePrefix="1" applyNumberFormat="1" applyFont="1" applyFill="1" applyAlignment="1" applyProtection="1">
      <alignment horizontal="right"/>
      <protection hidden="1"/>
    </xf>
    <xf numFmtId="0" fontId="41" fillId="0" borderId="0" xfId="1" applyFont="1" applyAlignment="1" applyProtection="1">
      <alignment horizontal="right"/>
      <protection hidden="1"/>
    </xf>
    <xf numFmtId="167" fontId="27" fillId="2" borderId="0" xfId="1" applyNumberFormat="1" applyFont="1" applyFill="1" applyAlignment="1" applyProtection="1">
      <alignment horizontal="right"/>
      <protection hidden="1"/>
    </xf>
    <xf numFmtId="167" fontId="15" fillId="0" borderId="0" xfId="1" quotePrefix="1" applyNumberFormat="1" applyFont="1" applyAlignment="1" applyProtection="1">
      <alignment horizontal="left"/>
      <protection hidden="1"/>
    </xf>
    <xf numFmtId="0" fontId="61" fillId="0" borderId="0" xfId="1" applyFont="1"/>
    <xf numFmtId="0" fontId="41" fillId="0" borderId="2" xfId="1" applyFont="1" applyBorder="1"/>
    <xf numFmtId="167" fontId="41" fillId="0" borderId="3" xfId="1" applyNumberFormat="1" applyFont="1" applyBorder="1"/>
    <xf numFmtId="0" fontId="41" fillId="0" borderId="3" xfId="1" applyFont="1" applyBorder="1"/>
    <xf numFmtId="0" fontId="41" fillId="0" borderId="8" xfId="1" applyFont="1" applyBorder="1"/>
    <xf numFmtId="167" fontId="41" fillId="0" borderId="1" xfId="1" applyNumberFormat="1" applyFont="1" applyBorder="1"/>
    <xf numFmtId="0" fontId="41" fillId="0" borderId="9" xfId="1" applyFont="1" applyBorder="1"/>
    <xf numFmtId="167" fontId="41" fillId="12" borderId="3" xfId="1" applyNumberFormat="1" applyFont="1" applyFill="1" applyBorder="1"/>
    <xf numFmtId="0" fontId="41" fillId="13" borderId="3" xfId="1" applyFont="1" applyFill="1" applyBorder="1"/>
    <xf numFmtId="0" fontId="41" fillId="12" borderId="3" xfId="1" applyFont="1" applyFill="1" applyBorder="1"/>
    <xf numFmtId="167" fontId="41" fillId="12" borderId="4" xfId="1" applyNumberFormat="1" applyFont="1" applyFill="1" applyBorder="1"/>
    <xf numFmtId="0" fontId="27" fillId="0" borderId="6" xfId="1" quotePrefix="1" applyFont="1" applyBorder="1" applyAlignment="1">
      <alignment horizontal="left" wrapText="1"/>
    </xf>
    <xf numFmtId="0" fontId="27" fillId="0" borderId="6" xfId="1" applyFont="1" applyBorder="1" applyAlignment="1">
      <alignment horizontal="left" wrapText="1"/>
    </xf>
    <xf numFmtId="167" fontId="27" fillId="0" borderId="6" xfId="1" quotePrefix="1" applyNumberFormat="1" applyFont="1" applyBorder="1" applyAlignment="1">
      <alignment horizontal="left" wrapText="1"/>
    </xf>
    <xf numFmtId="167" fontId="27" fillId="0" borderId="6" xfId="1" applyNumberFormat="1" applyFont="1" applyBorder="1" applyAlignment="1">
      <alignment horizontal="left" wrapText="1"/>
    </xf>
    <xf numFmtId="167" fontId="27" fillId="12" borderId="6" xfId="1" quotePrefix="1" applyNumberFormat="1" applyFont="1" applyFill="1" applyBorder="1" applyAlignment="1">
      <alignment horizontal="left" wrapText="1"/>
    </xf>
    <xf numFmtId="167" fontId="27" fillId="12" borderId="6" xfId="1" applyNumberFormat="1" applyFont="1" applyFill="1" applyBorder="1" applyAlignment="1">
      <alignment horizontal="left" wrapText="1"/>
    </xf>
    <xf numFmtId="167" fontId="27" fillId="13" borderId="6" xfId="1" quotePrefix="1" applyNumberFormat="1" applyFont="1" applyFill="1" applyBorder="1" applyAlignment="1">
      <alignment horizontal="left" wrapText="1"/>
    </xf>
    <xf numFmtId="167" fontId="41" fillId="0" borderId="20" xfId="1" quotePrefix="1" applyNumberFormat="1" applyFont="1" applyBorder="1" applyAlignment="1">
      <alignment horizontal="left"/>
    </xf>
    <xf numFmtId="167" fontId="41" fillId="0" borderId="10" xfId="1" quotePrefix="1" applyNumberFormat="1" applyFont="1" applyBorder="1" applyAlignment="1">
      <alignment horizontal="left"/>
    </xf>
    <xf numFmtId="167" fontId="41" fillId="0" borderId="11" xfId="1" quotePrefix="1" applyNumberFormat="1" applyFont="1" applyBorder="1" applyAlignment="1">
      <alignment horizontal="left"/>
    </xf>
    <xf numFmtId="167" fontId="41" fillId="0" borderId="12" xfId="1" quotePrefix="1" applyNumberFormat="1" applyFont="1" applyBorder="1" applyAlignment="1">
      <alignment horizontal="left"/>
    </xf>
    <xf numFmtId="167" fontId="41" fillId="12" borderId="10" xfId="1" quotePrefix="1" applyNumberFormat="1" applyFont="1" applyFill="1" applyBorder="1" applyAlignment="1">
      <alignment horizontal="left"/>
    </xf>
    <xf numFmtId="167" fontId="41" fillId="13" borderId="10" xfId="1" quotePrefix="1" applyNumberFormat="1" applyFont="1" applyFill="1" applyBorder="1" applyAlignment="1">
      <alignment horizontal="left"/>
    </xf>
    <xf numFmtId="167" fontId="41" fillId="12" borderId="21" xfId="1" quotePrefix="1" applyNumberFormat="1" applyFont="1" applyFill="1" applyBorder="1" applyAlignment="1">
      <alignment horizontal="left"/>
    </xf>
    <xf numFmtId="0" fontId="34" fillId="0" borderId="0" xfId="1" quotePrefix="1" applyFont="1" applyAlignment="1">
      <alignment horizontal="left"/>
    </xf>
    <xf numFmtId="167" fontId="25" fillId="2" borderId="0" xfId="4" applyFont="1" applyFill="1" applyAlignment="1" applyProtection="1">
      <alignment horizontal="right"/>
      <protection hidden="1"/>
    </xf>
    <xf numFmtId="0" fontId="15" fillId="2" borderId="0" xfId="1" applyFont="1" applyFill="1" applyAlignment="1" applyProtection="1">
      <alignment horizontal="left"/>
      <protection hidden="1"/>
    </xf>
    <xf numFmtId="0" fontId="27" fillId="0" borderId="0" xfId="1" applyFont="1" applyAlignment="1" applyProtection="1">
      <alignment horizontal="center"/>
      <protection hidden="1"/>
    </xf>
    <xf numFmtId="0" fontId="15" fillId="0" borderId="0" xfId="1" applyFont="1" applyAlignment="1" applyProtection="1">
      <alignment vertical="center"/>
      <protection hidden="1"/>
    </xf>
    <xf numFmtId="0" fontId="13" fillId="0" borderId="0" xfId="1" applyFont="1" applyAlignment="1" applyProtection="1">
      <alignment horizontal="left" vertical="center"/>
      <protection hidden="1"/>
    </xf>
    <xf numFmtId="0" fontId="13" fillId="0" borderId="0" xfId="1" quotePrefix="1" applyFont="1" applyAlignment="1" applyProtection="1">
      <alignment horizontal="left" vertical="center"/>
      <protection hidden="1"/>
    </xf>
    <xf numFmtId="0" fontId="13" fillId="13" borderId="0" xfId="1" applyFont="1" applyFill="1" applyAlignment="1" applyProtection="1">
      <alignment horizontal="left" vertical="center"/>
      <protection hidden="1"/>
    </xf>
    <xf numFmtId="0" fontId="15" fillId="0" borderId="0" xfId="1" applyFont="1" applyAlignment="1" applyProtection="1">
      <alignment horizontal="left" vertical="center"/>
      <protection hidden="1"/>
    </xf>
    <xf numFmtId="0" fontId="15" fillId="0" borderId="0" xfId="1" applyFont="1" applyAlignment="1" applyProtection="1">
      <alignment horizontal="left"/>
      <protection hidden="1"/>
    </xf>
    <xf numFmtId="0" fontId="53" fillId="0" borderId="0" xfId="1" applyFont="1" applyAlignment="1" applyProtection="1">
      <alignment horizontal="center" vertical="center"/>
      <protection hidden="1"/>
    </xf>
    <xf numFmtId="0" fontId="27" fillId="2" borderId="0" xfId="1" applyFont="1" applyFill="1" applyAlignment="1" applyProtection="1">
      <alignment horizontal="center" vertical="center"/>
      <protection hidden="1"/>
    </xf>
    <xf numFmtId="0" fontId="27" fillId="7" borderId="0" xfId="1" quotePrefix="1" applyFont="1" applyFill="1" applyAlignment="1" applyProtection="1">
      <alignment horizontal="left" vertical="center"/>
      <protection hidden="1"/>
    </xf>
    <xf numFmtId="0" fontId="27" fillId="0" borderId="0" xfId="1" quotePrefix="1" applyFont="1" applyAlignment="1" applyProtection="1">
      <alignment horizontal="right" vertical="center"/>
      <protection hidden="1"/>
    </xf>
    <xf numFmtId="1" fontId="13" fillId="0" borderId="0" xfId="1" applyNumberFormat="1" applyFont="1" applyAlignment="1" applyProtection="1">
      <alignment vertical="center"/>
      <protection hidden="1"/>
    </xf>
    <xf numFmtId="0" fontId="13" fillId="0" borderId="0" xfId="1" quotePrefix="1" applyFont="1" applyAlignment="1" applyProtection="1">
      <alignment horizontal="center" vertical="center"/>
      <protection hidden="1"/>
    </xf>
    <xf numFmtId="0" fontId="13" fillId="0" borderId="0" xfId="1" applyFont="1" applyAlignment="1" applyProtection="1">
      <alignment vertical="center"/>
      <protection hidden="1"/>
    </xf>
    <xf numFmtId="0" fontId="13" fillId="0" borderId="0" xfId="1" quotePrefix="1" applyFont="1" applyAlignment="1">
      <alignment horizontal="center" vertical="center"/>
    </xf>
    <xf numFmtId="1" fontId="13" fillId="0" borderId="0" xfId="1" applyNumberFormat="1" applyFont="1" applyAlignment="1">
      <alignment vertical="center"/>
    </xf>
    <xf numFmtId="0" fontId="13" fillId="0" borderId="0" xfId="1" applyFont="1" applyAlignment="1">
      <alignment horizontal="left" vertical="center"/>
    </xf>
    <xf numFmtId="0" fontId="53" fillId="0" borderId="0" xfId="1" applyFont="1" applyAlignment="1" applyProtection="1">
      <alignment horizontal="left" vertical="center"/>
      <protection hidden="1"/>
    </xf>
    <xf numFmtId="0" fontId="53" fillId="0" borderId="0" xfId="1" applyFont="1" applyAlignment="1" applyProtection="1">
      <alignment horizontal="left"/>
      <protection hidden="1"/>
    </xf>
    <xf numFmtId="167" fontId="13" fillId="0" borderId="0" xfId="1" quotePrefix="1" applyNumberFormat="1" applyFont="1" applyAlignment="1" applyProtection="1">
      <alignment horizontal="left"/>
      <protection hidden="1"/>
    </xf>
    <xf numFmtId="0" fontId="13" fillId="0" borderId="0" xfId="0" quotePrefix="1" applyFont="1" applyProtection="1">
      <protection hidden="1"/>
    </xf>
    <xf numFmtId="167" fontId="27" fillId="2" borderId="0" xfId="1" applyNumberFormat="1" applyFont="1" applyFill="1" applyProtection="1">
      <protection hidden="1"/>
    </xf>
    <xf numFmtId="0" fontId="25" fillId="2" borderId="0" xfId="1" applyFont="1" applyFill="1" applyAlignment="1" applyProtection="1">
      <alignment horizontal="left"/>
      <protection hidden="1"/>
    </xf>
    <xf numFmtId="167" fontId="13" fillId="13" borderId="0" xfId="0" applyNumberFormat="1" applyFont="1" applyFill="1" applyAlignment="1" applyProtection="1">
      <alignment horizontal="left"/>
      <protection hidden="1"/>
    </xf>
    <xf numFmtId="167" fontId="13" fillId="13" borderId="0" xfId="1" applyNumberFormat="1" applyFont="1" applyFill="1" applyAlignment="1" applyProtection="1">
      <alignment horizontal="left"/>
      <protection hidden="1"/>
    </xf>
    <xf numFmtId="0" fontId="27" fillId="0" borderId="0" xfId="1" applyFont="1" applyAlignment="1" applyProtection="1">
      <alignment horizontal="left"/>
      <protection locked="0"/>
    </xf>
    <xf numFmtId="0" fontId="45" fillId="0" borderId="0" xfId="1" applyFont="1" applyProtection="1">
      <protection locked="0"/>
    </xf>
    <xf numFmtId="0" fontId="87" fillId="13" borderId="0" xfId="0" applyFont="1" applyFill="1"/>
    <xf numFmtId="0" fontId="27" fillId="0" borderId="0" xfId="0" applyFont="1" applyProtection="1">
      <protection hidden="1"/>
    </xf>
    <xf numFmtId="0" fontId="25" fillId="23" borderId="0" xfId="1" applyFont="1" applyFill="1" applyProtection="1">
      <protection hidden="1"/>
    </xf>
    <xf numFmtId="0" fontId="41" fillId="0" borderId="0" xfId="0" applyFont="1" applyAlignment="1" applyProtection="1">
      <alignment horizontal="right"/>
      <protection hidden="1"/>
    </xf>
    <xf numFmtId="0" fontId="137" fillId="2" borderId="0" xfId="5" applyFont="1" applyFill="1" applyAlignment="1" applyProtection="1">
      <alignment horizontal="left"/>
      <protection hidden="1"/>
    </xf>
    <xf numFmtId="0" fontId="117" fillId="0" borderId="0" xfId="5" applyFont="1" applyAlignment="1" applyProtection="1">
      <alignment horizontal="left" vertical="center"/>
      <protection hidden="1"/>
    </xf>
    <xf numFmtId="0" fontId="25" fillId="0" borderId="0" xfId="5" applyFont="1" applyProtection="1">
      <protection hidden="1"/>
    </xf>
    <xf numFmtId="167" fontId="102" fillId="0" borderId="0" xfId="1" applyNumberFormat="1" applyFont="1" applyAlignment="1" applyProtection="1">
      <alignment wrapText="1"/>
      <protection hidden="1"/>
    </xf>
    <xf numFmtId="0" fontId="139" fillId="0" borderId="0" xfId="0" applyFont="1" applyProtection="1">
      <protection hidden="1"/>
    </xf>
    <xf numFmtId="0" fontId="75" fillId="0" borderId="0" xfId="0" applyFont="1"/>
    <xf numFmtId="0" fontId="140" fillId="13" borderId="0" xfId="1" applyFont="1" applyFill="1" applyAlignment="1" applyProtection="1">
      <alignment horizontal="left"/>
      <protection hidden="1"/>
    </xf>
    <xf numFmtId="167" fontId="25" fillId="0" borderId="0" xfId="1" applyNumberFormat="1" applyFont="1" applyAlignment="1" applyProtection="1">
      <alignment horizontal="left" indent="1"/>
      <protection hidden="1"/>
    </xf>
    <xf numFmtId="167" fontId="13" fillId="0" borderId="14" xfId="1" applyNumberFormat="1" applyFont="1" applyBorder="1" applyAlignment="1" applyProtection="1">
      <alignment horizontal="left"/>
      <protection hidden="1"/>
    </xf>
    <xf numFmtId="167" fontId="141" fillId="13" borderId="0" xfId="1" applyNumberFormat="1" applyFont="1" applyFill="1" applyAlignment="1" applyProtection="1">
      <alignment horizontal="left" indent="1"/>
      <protection hidden="1"/>
    </xf>
    <xf numFmtId="167" fontId="37" fillId="13" borderId="0" xfId="1" applyNumberFormat="1" applyFont="1" applyFill="1" applyProtection="1">
      <protection hidden="1"/>
    </xf>
    <xf numFmtId="0" fontId="124" fillId="0" borderId="0" xfId="15" applyFont="1"/>
    <xf numFmtId="0" fontId="91" fillId="0" borderId="0" xfId="5" applyFont="1" applyProtection="1">
      <protection locked="0"/>
    </xf>
    <xf numFmtId="0" fontId="35" fillId="0" borderId="0" xfId="0" applyFont="1"/>
    <xf numFmtId="1" fontId="0" fillId="0" borderId="0" xfId="0" applyNumberFormat="1"/>
    <xf numFmtId="0" fontId="46" fillId="0" borderId="18" xfId="1" applyFont="1" applyBorder="1" applyAlignment="1" applyProtection="1">
      <alignment horizontal="left"/>
      <protection hidden="1"/>
    </xf>
    <xf numFmtId="167" fontId="25" fillId="0" borderId="0" xfId="5" applyNumberFormat="1" applyFont="1" applyAlignment="1" applyProtection="1">
      <alignment horizontal="left" indent="1"/>
      <protection hidden="1"/>
    </xf>
    <xf numFmtId="167" fontId="25" fillId="0" borderId="0" xfId="5" applyNumberFormat="1" applyFont="1" applyAlignment="1" applyProtection="1">
      <alignment horizontal="left"/>
      <protection hidden="1"/>
    </xf>
    <xf numFmtId="0" fontId="140" fillId="0" borderId="0" xfId="0" applyFont="1" applyAlignment="1">
      <alignment horizontal="right" wrapText="1"/>
    </xf>
    <xf numFmtId="167" fontId="99" fillId="0" borderId="0" xfId="5" applyNumberFormat="1" applyFont="1" applyProtection="1">
      <protection hidden="1"/>
    </xf>
    <xf numFmtId="167" fontId="121" fillId="0" borderId="0" xfId="5" applyNumberFormat="1" applyFont="1" applyAlignment="1" applyProtection="1">
      <alignment horizontal="left"/>
      <protection hidden="1"/>
    </xf>
    <xf numFmtId="0" fontId="39" fillId="0" borderId="0" xfId="1" applyFont="1"/>
    <xf numFmtId="168" fontId="46" fillId="0" borderId="0" xfId="1" applyNumberFormat="1" applyFont="1" applyProtection="1">
      <protection hidden="1"/>
    </xf>
    <xf numFmtId="0" fontId="129" fillId="0" borderId="0" xfId="0" applyFont="1" applyAlignment="1">
      <alignment horizontal="center" vertical="center"/>
    </xf>
    <xf numFmtId="0" fontId="129" fillId="0" borderId="0" xfId="2" applyFont="1" applyAlignment="1" applyProtection="1">
      <alignment horizontal="center" vertical="center"/>
      <protection hidden="1"/>
    </xf>
    <xf numFmtId="0" fontId="129" fillId="0" borderId="0" xfId="0" applyFont="1"/>
    <xf numFmtId="0" fontId="25" fillId="0" borderId="0" xfId="0" applyFont="1"/>
    <xf numFmtId="0" fontId="25" fillId="0" borderId="0" xfId="0" applyFont="1" applyAlignment="1" applyProtection="1">
      <alignment horizontal="center" vertical="center"/>
      <protection hidden="1"/>
    </xf>
    <xf numFmtId="0" fontId="114" fillId="0" borderId="0" xfId="1" applyFont="1" applyAlignment="1" applyProtection="1">
      <alignment horizontal="left" vertical="center"/>
      <protection hidden="1"/>
    </xf>
    <xf numFmtId="167" fontId="114" fillId="0" borderId="0" xfId="1" applyNumberFormat="1" applyFont="1" applyAlignment="1" applyProtection="1">
      <alignment horizontal="right"/>
      <protection hidden="1"/>
    </xf>
    <xf numFmtId="167" fontId="13"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7" fillId="0" borderId="0" xfId="1" applyNumberFormat="1" applyFont="1" applyAlignment="1" applyProtection="1">
      <alignment horizontal="right" wrapText="1"/>
      <protection hidden="1"/>
    </xf>
    <xf numFmtId="0" fontId="27" fillId="2" borderId="0" xfId="1" quotePrefix="1" applyFont="1" applyFill="1" applyAlignment="1" applyProtection="1">
      <alignment horizontal="left" vertical="center"/>
      <protection hidden="1"/>
    </xf>
    <xf numFmtId="0" fontId="27" fillId="0" borderId="0" xfId="0" applyFont="1"/>
    <xf numFmtId="167" fontId="147" fillId="0" borderId="0" xfId="1" quotePrefix="1" applyNumberFormat="1" applyFont="1" applyAlignment="1" applyProtection="1">
      <alignment horizontal="left"/>
      <protection hidden="1"/>
    </xf>
    <xf numFmtId="167" fontId="81" fillId="0" borderId="0" xfId="1" quotePrefix="1" applyNumberFormat="1" applyFont="1" applyAlignment="1" applyProtection="1">
      <alignment horizontal="left"/>
      <protection hidden="1"/>
    </xf>
    <xf numFmtId="0" fontId="81" fillId="0" borderId="0" xfId="0" applyFont="1" applyAlignment="1">
      <alignment horizontal="left"/>
    </xf>
    <xf numFmtId="0" fontId="154" fillId="0" borderId="0" xfId="15" applyFont="1"/>
    <xf numFmtId="0" fontId="92" fillId="0" borderId="0" xfId="0" applyFont="1" applyAlignment="1">
      <alignment horizontal="left"/>
    </xf>
    <xf numFmtId="0" fontId="147" fillId="0" borderId="0" xfId="0" applyFont="1" applyAlignment="1">
      <alignment horizontal="left"/>
    </xf>
    <xf numFmtId="0" fontId="155" fillId="0" borderId="0" xfId="0" applyFont="1" applyAlignment="1">
      <alignment horizontal="center" vertical="center"/>
    </xf>
    <xf numFmtId="0" fontId="147" fillId="25" borderId="0" xfId="0" applyFont="1" applyFill="1"/>
    <xf numFmtId="0" fontId="81" fillId="25" borderId="0" xfId="0" applyFont="1" applyFill="1"/>
    <xf numFmtId="0" fontId="0" fillId="0" borderId="12" xfId="0" applyBorder="1"/>
    <xf numFmtId="167" fontId="160" fillId="0" borderId="0" xfId="2" applyNumberFormat="1" applyFont="1" applyAlignment="1" applyProtection="1">
      <alignment horizontal="left"/>
      <protection hidden="1"/>
    </xf>
    <xf numFmtId="0" fontId="30" fillId="0" borderId="0" xfId="0" applyFont="1" applyProtection="1">
      <protection hidden="1"/>
    </xf>
    <xf numFmtId="0" fontId="30" fillId="0" borderId="0" xfId="0" applyFont="1"/>
    <xf numFmtId="167" fontId="153" fillId="13" borderId="0" xfId="1" applyNumberFormat="1" applyFont="1" applyFill="1" applyAlignment="1" applyProtection="1">
      <alignment horizontal="right" vertical="center" wrapText="1"/>
      <protection hidden="1"/>
    </xf>
    <xf numFmtId="167" fontId="156" fillId="0" borderId="0" xfId="1" applyNumberFormat="1" applyFont="1" applyProtection="1">
      <protection hidden="1"/>
    </xf>
    <xf numFmtId="0" fontId="0" fillId="0" borderId="0" xfId="0" quotePrefix="1"/>
    <xf numFmtId="0" fontId="163" fillId="0" borderId="0" xfId="0" applyFont="1" applyProtection="1">
      <protection hidden="1"/>
    </xf>
    <xf numFmtId="0" fontId="128" fillId="0" borderId="0" xfId="2" applyFont="1" applyAlignment="1" applyProtection="1">
      <alignment horizontal="center" vertical="center"/>
      <protection locked="0" hidden="1"/>
    </xf>
    <xf numFmtId="0" fontId="86" fillId="0" borderId="0" xfId="2" applyFont="1" applyAlignment="1" applyProtection="1">
      <alignment horizontal="center" vertical="center"/>
      <protection locked="0" hidden="1"/>
    </xf>
    <xf numFmtId="0" fontId="80" fillId="0" borderId="0" xfId="0" applyFont="1" applyAlignment="1">
      <alignment horizontal="center"/>
    </xf>
    <xf numFmtId="0" fontId="166" fillId="22" borderId="0" xfId="0" applyFont="1" applyFill="1" applyAlignment="1">
      <alignment horizontal="right"/>
    </xf>
    <xf numFmtId="0" fontId="166" fillId="22" borderId="7" xfId="0" applyFont="1" applyFill="1" applyBorder="1" applyAlignment="1">
      <alignment horizontal="right"/>
    </xf>
    <xf numFmtId="0" fontId="167" fillId="0" borderId="0" xfId="2" applyFont="1" applyAlignment="1" applyProtection="1">
      <alignment horizontal="center" vertical="center"/>
      <protection hidden="1"/>
    </xf>
    <xf numFmtId="0" fontId="42" fillId="0" borderId="0" xfId="0" applyFont="1" applyAlignment="1">
      <alignment horizontal="right" vertical="center"/>
    </xf>
    <xf numFmtId="0" fontId="19" fillId="0" borderId="0" xfId="0" applyFont="1" applyAlignment="1">
      <alignment horizontal="left"/>
    </xf>
    <xf numFmtId="0" fontId="124" fillId="0" borderId="0" xfId="0" applyFont="1"/>
    <xf numFmtId="1" fontId="124" fillId="0" borderId="0" xfId="0" applyNumberFormat="1" applyFont="1" applyAlignment="1">
      <alignment vertical="center"/>
    </xf>
    <xf numFmtId="0" fontId="124" fillId="0" borderId="0" xfId="0" quotePrefix="1" applyFont="1" applyAlignment="1">
      <alignment horizontal="right" vertical="center"/>
    </xf>
    <xf numFmtId="0" fontId="124" fillId="0" borderId="0" xfId="0" applyFont="1" applyAlignment="1">
      <alignment horizontal="right" vertical="center"/>
    </xf>
    <xf numFmtId="1" fontId="124" fillId="0" borderId="0" xfId="0" applyNumberFormat="1" applyFont="1"/>
    <xf numFmtId="0" fontId="124" fillId="0" borderId="0" xfId="33" applyFont="1"/>
    <xf numFmtId="0" fontId="124" fillId="0" borderId="0" xfId="6" applyFont="1"/>
    <xf numFmtId="49" fontId="124" fillId="0" borderId="0" xfId="0" applyNumberFormat="1" applyFont="1" applyAlignment="1">
      <alignment horizontal="right" vertical="center"/>
    </xf>
    <xf numFmtId="0" fontId="99" fillId="0" borderId="0" xfId="1" quotePrefix="1" applyFont="1" applyAlignment="1" applyProtection="1">
      <alignment horizontal="left"/>
      <protection hidden="1"/>
    </xf>
    <xf numFmtId="0" fontId="99" fillId="0" borderId="0" xfId="1" applyFont="1" applyAlignment="1" applyProtection="1">
      <alignment horizontal="left"/>
      <protection hidden="1"/>
    </xf>
    <xf numFmtId="167" fontId="119" fillId="0" borderId="0" xfId="1" applyNumberFormat="1" applyFont="1" applyAlignment="1" applyProtection="1">
      <alignment horizontal="left"/>
      <protection hidden="1"/>
    </xf>
    <xf numFmtId="167" fontId="119" fillId="0" borderId="0" xfId="1" quotePrefix="1" applyNumberFormat="1" applyFont="1" applyAlignment="1" applyProtection="1">
      <alignment horizontal="left"/>
      <protection hidden="1"/>
    </xf>
    <xf numFmtId="167" fontId="99" fillId="0" borderId="0" xfId="1" quotePrefix="1" applyNumberFormat="1" applyFont="1" applyAlignment="1" applyProtection="1">
      <alignment horizontal="left"/>
      <protection hidden="1"/>
    </xf>
    <xf numFmtId="0" fontId="119" fillId="0" borderId="0" xfId="1" applyFont="1" applyAlignment="1" applyProtection="1">
      <alignment horizontal="left"/>
      <protection hidden="1"/>
    </xf>
    <xf numFmtId="0" fontId="13" fillId="0" borderId="0" xfId="1" applyFont="1" applyProtection="1">
      <protection hidden="1"/>
    </xf>
    <xf numFmtId="167" fontId="13" fillId="13" borderId="0" xfId="1" quotePrefix="1" applyNumberFormat="1" applyFont="1" applyFill="1" applyAlignment="1" applyProtection="1">
      <alignment horizontal="left"/>
      <protection hidden="1"/>
    </xf>
    <xf numFmtId="167" fontId="99" fillId="13" borderId="0" xfId="1" applyNumberFormat="1" applyFont="1" applyFill="1" applyAlignment="1" applyProtection="1">
      <alignment horizontal="left"/>
      <protection hidden="1"/>
    </xf>
    <xf numFmtId="167" fontId="99" fillId="13" borderId="0" xfId="1" quotePrefix="1" applyNumberFormat="1" applyFont="1" applyFill="1" applyAlignment="1" applyProtection="1">
      <alignment horizontal="left"/>
      <protection hidden="1"/>
    </xf>
    <xf numFmtId="167" fontId="99" fillId="0" borderId="0" xfId="1" applyNumberFormat="1" applyFont="1" applyAlignment="1" applyProtection="1">
      <alignment horizontal="left"/>
      <protection hidden="1"/>
    </xf>
    <xf numFmtId="3" fontId="165" fillId="13" borderId="0" xfId="5" applyNumberFormat="1" applyFont="1" applyFill="1" applyProtection="1">
      <protection hidden="1"/>
    </xf>
    <xf numFmtId="167" fontId="124" fillId="0" borderId="0" xfId="1" applyNumberFormat="1" applyFont="1" applyAlignment="1" applyProtection="1">
      <alignment horizontal="left"/>
      <protection hidden="1"/>
    </xf>
    <xf numFmtId="167" fontId="124" fillId="0" borderId="0" xfId="1" quotePrefix="1" applyNumberFormat="1" applyFont="1" applyAlignment="1" applyProtection="1">
      <alignment horizontal="left"/>
      <protection hidden="1"/>
    </xf>
    <xf numFmtId="0" fontId="13" fillId="13" borderId="0" xfId="1" applyFont="1" applyFill="1" applyAlignment="1" applyProtection="1">
      <alignment vertical="center"/>
      <protection hidden="1"/>
    </xf>
    <xf numFmtId="167" fontId="112" fillId="2" borderId="0" xfId="1" quotePrefix="1" applyNumberFormat="1" applyFont="1" applyFill="1" applyAlignment="1" applyProtection="1">
      <alignment horizontal="right" vertical="top"/>
      <protection hidden="1"/>
    </xf>
    <xf numFmtId="0" fontId="147" fillId="11" borderId="0" xfId="5" quotePrefix="1" applyFont="1" applyFill="1" applyAlignment="1" applyProtection="1">
      <alignment wrapText="1"/>
      <protection hidden="1"/>
    </xf>
    <xf numFmtId="0" fontId="147" fillId="25" borderId="0" xfId="0" applyFont="1" applyFill="1" applyAlignment="1">
      <alignment horizontal="left"/>
    </xf>
    <xf numFmtId="0" fontId="81" fillId="25" borderId="0" xfId="0" applyFont="1" applyFill="1" applyAlignment="1">
      <alignment horizontal="left"/>
    </xf>
    <xf numFmtId="0" fontId="92" fillId="0" borderId="0" xfId="0" applyFont="1" applyAlignment="1">
      <alignment horizontal="left" vertical="center"/>
    </xf>
    <xf numFmtId="0" fontId="27" fillId="0" borderId="0" xfId="0" applyFont="1" applyAlignment="1">
      <alignment horizontal="left"/>
    </xf>
    <xf numFmtId="0" fontId="30" fillId="21" borderId="0" xfId="0" applyFont="1" applyFill="1" applyAlignment="1">
      <alignment horizontal="left" vertical="top"/>
    </xf>
    <xf numFmtId="0" fontId="0" fillId="21" borderId="0" xfId="0" applyFill="1" applyProtection="1">
      <protection hidden="1"/>
    </xf>
    <xf numFmtId="0" fontId="172" fillId="21" borderId="0" xfId="0" applyFont="1" applyFill="1" applyProtection="1">
      <protection hidden="1"/>
    </xf>
    <xf numFmtId="0" fontId="30" fillId="21" borderId="0" xfId="1" applyFont="1" applyFill="1" applyProtection="1">
      <protection hidden="1"/>
    </xf>
    <xf numFmtId="0" fontId="61" fillId="21" borderId="0" xfId="0" applyFont="1" applyFill="1" applyAlignment="1">
      <alignment horizontal="right" vertical="top"/>
    </xf>
    <xf numFmtId="167" fontId="27" fillId="2" borderId="0" xfId="1" quotePrefix="1" applyNumberFormat="1" applyFont="1" applyFill="1" applyAlignment="1" applyProtection="1">
      <alignment horizontal="right" vertical="center" wrapText="1"/>
      <protection hidden="1"/>
    </xf>
    <xf numFmtId="0" fontId="0" fillId="0" borderId="0" xfId="0" applyAlignment="1">
      <alignment wrapText="1"/>
    </xf>
    <xf numFmtId="0" fontId="0" fillId="0" borderId="0" xfId="0" quotePrefix="1" applyProtection="1">
      <protection hidden="1"/>
    </xf>
    <xf numFmtId="0" fontId="84" fillId="0" borderId="0" xfId="0" applyFont="1"/>
    <xf numFmtId="0" fontId="121" fillId="0" borderId="0" xfId="0" applyFont="1"/>
    <xf numFmtId="0" fontId="121" fillId="2" borderId="0" xfId="1" applyFont="1" applyFill="1" applyProtection="1">
      <protection hidden="1"/>
    </xf>
    <xf numFmtId="0" fontId="121" fillId="0" borderId="0" xfId="0" applyFont="1" applyProtection="1">
      <protection hidden="1"/>
    </xf>
    <xf numFmtId="0" fontId="121" fillId="0" borderId="0" xfId="0" applyFont="1" applyAlignment="1" applyProtection="1">
      <alignment vertical="center"/>
      <protection hidden="1"/>
    </xf>
    <xf numFmtId="0" fontId="174" fillId="2" borderId="0" xfId="1" applyFont="1" applyFill="1" applyProtection="1">
      <protection hidden="1"/>
    </xf>
    <xf numFmtId="0" fontId="121" fillId="0" borderId="0" xfId="1" applyFont="1" applyProtection="1">
      <protection hidden="1"/>
    </xf>
    <xf numFmtId="0" fontId="174" fillId="0" borderId="0" xfId="1" applyFont="1" applyProtection="1">
      <protection hidden="1"/>
    </xf>
    <xf numFmtId="0" fontId="175" fillId="0" borderId="0" xfId="2" applyFont="1" applyAlignment="1" applyProtection="1">
      <protection hidden="1"/>
    </xf>
    <xf numFmtId="0" fontId="174" fillId="0" borderId="0" xfId="0" applyFont="1"/>
    <xf numFmtId="0" fontId="173" fillId="0" borderId="0" xfId="0" applyFont="1" applyProtection="1">
      <protection hidden="1"/>
    </xf>
    <xf numFmtId="0" fontId="121" fillId="13" borderId="0" xfId="0" applyFont="1" applyFill="1" applyProtection="1">
      <protection hidden="1"/>
    </xf>
    <xf numFmtId="0" fontId="176" fillId="0" borderId="0" xfId="0" applyFont="1" applyProtection="1">
      <protection hidden="1"/>
    </xf>
    <xf numFmtId="0" fontId="153" fillId="11" borderId="0" xfId="5" quotePrefix="1" applyFont="1" applyFill="1" applyAlignment="1" applyProtection="1">
      <alignment vertical="top" wrapText="1"/>
      <protection hidden="1"/>
    </xf>
    <xf numFmtId="0" fontId="146" fillId="0" borderId="0" xfId="0" applyFont="1" applyAlignment="1" applyProtection="1">
      <alignment vertical="top" wrapText="1"/>
      <protection hidden="1"/>
    </xf>
    <xf numFmtId="0" fontId="146" fillId="0" borderId="0" xfId="1" applyFont="1" applyAlignment="1" applyProtection="1">
      <alignment horizontal="center" vertical="top" wrapText="1"/>
      <protection hidden="1"/>
    </xf>
    <xf numFmtId="0" fontId="146" fillId="2" borderId="0" xfId="1" applyFont="1" applyFill="1" applyAlignment="1" applyProtection="1">
      <alignment vertical="top" wrapText="1"/>
      <protection hidden="1"/>
    </xf>
    <xf numFmtId="0" fontId="178" fillId="2" borderId="0" xfId="1" applyFont="1" applyFill="1" applyAlignment="1" applyProtection="1">
      <alignment horizontal="center" vertical="top" wrapText="1"/>
      <protection hidden="1"/>
    </xf>
    <xf numFmtId="0" fontId="151" fillId="0" borderId="0" xfId="1" applyFont="1" applyAlignment="1" applyProtection="1">
      <alignment vertical="top" wrapText="1"/>
      <protection hidden="1"/>
    </xf>
    <xf numFmtId="0" fontId="146" fillId="0" borderId="0" xfId="1" applyFont="1" applyAlignment="1" applyProtection="1">
      <alignment vertical="top" wrapText="1"/>
      <protection hidden="1"/>
    </xf>
    <xf numFmtId="167" fontId="179" fillId="13" borderId="0" xfId="1" applyNumberFormat="1" applyFont="1" applyFill="1" applyAlignment="1" applyProtection="1">
      <alignment vertical="top" wrapText="1"/>
      <protection hidden="1"/>
    </xf>
    <xf numFmtId="0" fontId="151" fillId="0" borderId="0" xfId="0" applyFont="1" applyAlignment="1" applyProtection="1">
      <alignment vertical="top" wrapText="1"/>
      <protection hidden="1"/>
    </xf>
    <xf numFmtId="0" fontId="151" fillId="13" borderId="0" xfId="0" applyFont="1" applyFill="1" applyAlignment="1">
      <alignment vertical="top" wrapText="1"/>
    </xf>
    <xf numFmtId="0" fontId="146" fillId="0" borderId="0" xfId="0" applyFont="1" applyAlignment="1">
      <alignment vertical="top" wrapText="1"/>
    </xf>
    <xf numFmtId="0" fontId="155" fillId="13" borderId="0" xfId="0" applyFont="1" applyFill="1" applyAlignment="1" applyProtection="1">
      <alignment vertical="top" wrapText="1"/>
      <protection hidden="1"/>
    </xf>
    <xf numFmtId="167" fontId="151" fillId="13" borderId="0" xfId="5" applyNumberFormat="1" applyFont="1" applyFill="1" applyAlignment="1" applyProtection="1">
      <alignment vertical="top" wrapText="1"/>
      <protection hidden="1"/>
    </xf>
    <xf numFmtId="0" fontId="151" fillId="0" borderId="0" xfId="0" applyFont="1" applyAlignment="1">
      <alignment vertical="top" wrapText="1"/>
    </xf>
    <xf numFmtId="0" fontId="153" fillId="0" borderId="0" xfId="0" applyFont="1" applyAlignment="1" applyProtection="1">
      <alignment vertical="top" wrapText="1"/>
      <protection hidden="1"/>
    </xf>
    <xf numFmtId="0" fontId="179" fillId="13" borderId="0" xfId="1" applyFont="1" applyFill="1" applyAlignment="1" applyProtection="1">
      <alignment horizontal="left" vertical="top" wrapText="1"/>
      <protection hidden="1"/>
    </xf>
    <xf numFmtId="0" fontId="151" fillId="13" borderId="0" xfId="1" applyFont="1" applyFill="1" applyAlignment="1" applyProtection="1">
      <alignment horizontal="left" vertical="top" wrapText="1"/>
      <protection hidden="1"/>
    </xf>
    <xf numFmtId="167" fontId="150" fillId="13" borderId="0" xfId="1" applyNumberFormat="1" applyFont="1" applyFill="1" applyAlignment="1" applyProtection="1">
      <alignment vertical="top" wrapText="1"/>
      <protection hidden="1"/>
    </xf>
    <xf numFmtId="167" fontId="150" fillId="0" borderId="0" xfId="1" applyNumberFormat="1" applyFont="1" applyAlignment="1" applyProtection="1">
      <alignment vertical="top" wrapText="1"/>
      <protection hidden="1"/>
    </xf>
    <xf numFmtId="0" fontId="150" fillId="0" borderId="0" xfId="0" applyFont="1" applyAlignment="1" applyProtection="1">
      <alignment vertical="top" wrapText="1"/>
      <protection hidden="1"/>
    </xf>
    <xf numFmtId="0" fontId="150" fillId="13" borderId="0" xfId="0" applyFont="1" applyFill="1" applyAlignment="1" applyProtection="1">
      <alignment vertical="top" wrapText="1"/>
      <protection hidden="1"/>
    </xf>
    <xf numFmtId="167" fontId="146" fillId="0" borderId="0" xfId="1" applyNumberFormat="1" applyFont="1" applyAlignment="1" applyProtection="1">
      <alignment vertical="top" wrapText="1"/>
      <protection hidden="1"/>
    </xf>
    <xf numFmtId="0" fontId="179" fillId="13" borderId="0" xfId="1" applyFont="1" applyFill="1" applyAlignment="1" applyProtection="1">
      <alignment vertical="top" wrapText="1"/>
      <protection hidden="1"/>
    </xf>
    <xf numFmtId="0" fontId="150" fillId="13" borderId="0" xfId="1" applyFont="1" applyFill="1" applyAlignment="1" applyProtection="1">
      <alignment vertical="top" wrapText="1"/>
      <protection hidden="1"/>
    </xf>
    <xf numFmtId="167" fontId="179" fillId="13" borderId="0" xfId="1" applyNumberFormat="1" applyFont="1" applyFill="1" applyAlignment="1" applyProtection="1">
      <alignment horizontal="center" vertical="top" wrapText="1"/>
      <protection hidden="1"/>
    </xf>
    <xf numFmtId="167" fontId="155" fillId="0" borderId="0" xfId="1" applyNumberFormat="1" applyFont="1" applyAlignment="1" applyProtection="1">
      <alignment horizontal="right"/>
      <protection hidden="1"/>
    </xf>
    <xf numFmtId="0" fontId="179" fillId="0" borderId="0" xfId="1" applyFont="1" applyAlignment="1" applyProtection="1">
      <alignment horizontal="left" vertical="top" wrapText="1"/>
      <protection hidden="1"/>
    </xf>
    <xf numFmtId="167" fontId="25" fillId="0" borderId="0" xfId="1" quotePrefix="1" applyNumberFormat="1" applyFont="1" applyProtection="1">
      <protection locked="0" hidden="1"/>
    </xf>
    <xf numFmtId="0" fontId="25" fillId="0" borderId="0" xfId="1" quotePrefix="1" applyFont="1" applyProtection="1">
      <protection locked="0" hidden="1"/>
    </xf>
    <xf numFmtId="0" fontId="181" fillId="2" borderId="0" xfId="5" quotePrefix="1" applyFont="1" applyFill="1" applyAlignment="1" applyProtection="1">
      <alignment horizontal="left" vertical="center" indent="1"/>
      <protection hidden="1"/>
    </xf>
    <xf numFmtId="0" fontId="99" fillId="0" borderId="0" xfId="0" applyFont="1" applyAlignment="1">
      <alignment horizontal="center"/>
    </xf>
    <xf numFmtId="0" fontId="27" fillId="0" borderId="0" xfId="0" applyFont="1" applyAlignment="1">
      <alignment horizontal="center"/>
    </xf>
    <xf numFmtId="0" fontId="27" fillId="0" borderId="0" xfId="0" applyFont="1" applyAlignment="1">
      <alignment horizontal="right"/>
    </xf>
    <xf numFmtId="0" fontId="25" fillId="0" borderId="0" xfId="0" applyFont="1" applyAlignment="1">
      <alignment horizontal="right"/>
    </xf>
    <xf numFmtId="0" fontId="147" fillId="0" borderId="0" xfId="0" applyFont="1" applyAlignment="1">
      <alignment horizontal="right" vertical="center" indent="1"/>
    </xf>
    <xf numFmtId="0" fontId="86" fillId="0" borderId="0" xfId="0" applyFont="1" applyAlignment="1">
      <alignment horizontal="left"/>
    </xf>
    <xf numFmtId="0" fontId="155" fillId="0" borderId="0" xfId="1" applyFont="1" applyAlignment="1" applyProtection="1">
      <alignment horizontal="right" wrapText="1"/>
      <protection hidden="1"/>
    </xf>
    <xf numFmtId="0" fontId="180" fillId="0" borderId="0" xfId="1" applyFont="1" applyAlignment="1" applyProtection="1">
      <alignment horizontal="right" wrapText="1"/>
      <protection hidden="1"/>
    </xf>
    <xf numFmtId="0" fontId="180" fillId="0" borderId="0" xfId="1" applyFont="1" applyAlignment="1" applyProtection="1">
      <alignment wrapText="1"/>
      <protection hidden="1"/>
    </xf>
    <xf numFmtId="0" fontId="15" fillId="0" borderId="0" xfId="0" applyFont="1" applyAlignment="1">
      <alignment wrapText="1"/>
    </xf>
    <xf numFmtId="0" fontId="126" fillId="0" borderId="0" xfId="15" applyFont="1"/>
    <xf numFmtId="0" fontId="126" fillId="0" borderId="0" xfId="15" applyFont="1" applyAlignment="1">
      <alignment wrapText="1"/>
    </xf>
    <xf numFmtId="167" fontId="15" fillId="0" borderId="0" xfId="1" quotePrefix="1" applyNumberFormat="1" applyFont="1" applyAlignment="1" applyProtection="1">
      <alignment horizontal="right"/>
      <protection hidden="1"/>
    </xf>
    <xf numFmtId="167" fontId="15" fillId="0" borderId="0" xfId="1" applyNumberFormat="1" applyFont="1" applyAlignment="1" applyProtection="1">
      <alignment horizontal="right"/>
      <protection hidden="1"/>
    </xf>
    <xf numFmtId="0" fontId="91" fillId="0" borderId="0" xfId="1" applyFont="1" applyProtection="1">
      <protection locked="0"/>
    </xf>
    <xf numFmtId="0" fontId="81" fillId="0" borderId="0" xfId="5" applyFont="1" applyProtection="1">
      <protection locked="0"/>
    </xf>
    <xf numFmtId="0" fontId="30" fillId="21" borderId="0" xfId="0" applyFont="1" applyFill="1" applyAlignment="1">
      <alignment horizontal="left" vertical="top" wrapText="1"/>
    </xf>
    <xf numFmtId="0" fontId="30" fillId="21" borderId="0" xfId="0" applyFont="1" applyFill="1" applyAlignment="1">
      <alignment horizontal="left" vertical="top" indent="1"/>
    </xf>
    <xf numFmtId="0" fontId="185" fillId="0" borderId="0" xfId="0" applyFont="1"/>
    <xf numFmtId="0" fontId="137" fillId="2" borderId="0" xfId="5" applyFont="1" applyFill="1" applyAlignment="1" applyProtection="1">
      <alignment horizontal="left" vertical="center" indent="1"/>
      <protection hidden="1"/>
    </xf>
    <xf numFmtId="0" fontId="30" fillId="0" borderId="0" xfId="1" applyFont="1" applyAlignment="1" applyProtection="1">
      <alignment horizontal="right"/>
      <protection hidden="1"/>
    </xf>
    <xf numFmtId="167" fontId="145" fillId="11" borderId="32" xfId="5" applyNumberFormat="1" applyFont="1" applyFill="1" applyBorder="1" applyProtection="1">
      <protection locked="0" hidden="1"/>
    </xf>
    <xf numFmtId="0" fontId="140" fillId="0" borderId="0" xfId="0" applyFont="1" applyAlignment="1" applyProtection="1">
      <alignment horizontal="right" wrapText="1"/>
      <protection locked="0"/>
    </xf>
    <xf numFmtId="0" fontId="0" fillId="11" borderId="14" xfId="0" applyFill="1" applyBorder="1" applyProtection="1">
      <protection locked="0"/>
    </xf>
    <xf numFmtId="0" fontId="0" fillId="11" borderId="35" xfId="0" applyFill="1" applyBorder="1" applyProtection="1">
      <protection locked="0"/>
    </xf>
    <xf numFmtId="0" fontId="25" fillId="0" borderId="0" xfId="0" applyFont="1" applyAlignment="1" applyProtection="1">
      <alignment horizontal="center" vertical="center"/>
      <protection locked="0" hidden="1"/>
    </xf>
    <xf numFmtId="167" fontId="99" fillId="0" borderId="0" xfId="5" applyNumberFormat="1" applyFont="1" applyProtection="1">
      <protection locked="0" hidden="1"/>
    </xf>
    <xf numFmtId="0" fontId="114" fillId="0" borderId="0" xfId="5" applyFont="1" applyAlignment="1" applyProtection="1">
      <alignment horizontal="center" vertical="center"/>
      <protection locked="0" hidden="1"/>
    </xf>
    <xf numFmtId="0" fontId="27" fillId="0" borderId="0" xfId="0" applyFont="1" applyProtection="1">
      <protection locked="0" hidden="1"/>
    </xf>
    <xf numFmtId="0" fontId="84" fillId="0" borderId="0" xfId="5" applyFont="1" applyAlignment="1" applyProtection="1">
      <alignment horizontal="left" vertical="center" indent="1"/>
      <protection locked="0"/>
    </xf>
    <xf numFmtId="0" fontId="0" fillId="0" borderId="0" xfId="0" applyProtection="1">
      <protection locked="0"/>
    </xf>
    <xf numFmtId="0" fontId="84" fillId="0" borderId="32" xfId="5" applyFont="1" applyBorder="1" applyAlignment="1" applyProtection="1">
      <alignment horizontal="left" vertical="center" indent="1"/>
      <protection locked="0"/>
    </xf>
    <xf numFmtId="0" fontId="0" fillId="0" borderId="14" xfId="0" applyBorder="1" applyProtection="1">
      <protection locked="0"/>
    </xf>
    <xf numFmtId="0" fontId="186" fillId="0" borderId="0" xfId="0" applyFont="1"/>
    <xf numFmtId="0" fontId="137" fillId="0" borderId="0" xfId="0" applyFont="1"/>
    <xf numFmtId="0" fontId="187" fillId="0" borderId="0" xfId="0" applyFont="1"/>
    <xf numFmtId="0" fontId="188" fillId="0" borderId="0" xfId="0" applyFont="1"/>
    <xf numFmtId="0" fontId="189" fillId="0" borderId="0" xfId="0" applyFont="1"/>
    <xf numFmtId="0" fontId="87" fillId="0" borderId="0" xfId="0" applyFont="1" applyAlignment="1" applyProtection="1">
      <alignment vertical="top"/>
      <protection hidden="1"/>
    </xf>
    <xf numFmtId="0" fontId="137" fillId="0" borderId="0" xfId="0" applyFont="1" applyAlignment="1">
      <alignment vertical="center"/>
    </xf>
    <xf numFmtId="0" fontId="137" fillId="0" borderId="0" xfId="1" applyFont="1"/>
    <xf numFmtId="0" fontId="137" fillId="2" borderId="0" xfId="1" applyFont="1" applyFill="1"/>
    <xf numFmtId="0" fontId="190" fillId="0" borderId="0" xfId="0" applyFont="1"/>
    <xf numFmtId="167" fontId="41" fillId="2" borderId="0" xfId="1" applyNumberFormat="1" applyFont="1" applyFill="1" applyAlignment="1" applyProtection="1">
      <alignment horizontal="right" wrapText="1"/>
      <protection hidden="1"/>
    </xf>
    <xf numFmtId="167" fontId="41" fillId="0" borderId="0" xfId="1" applyNumberFormat="1" applyFont="1" applyAlignment="1" applyProtection="1">
      <alignment horizontal="right" wrapText="1"/>
      <protection hidden="1"/>
    </xf>
    <xf numFmtId="0" fontId="180" fillId="0" borderId="0" xfId="1" applyFont="1" applyProtection="1">
      <protection hidden="1"/>
    </xf>
    <xf numFmtId="0" fontId="191" fillId="0" borderId="0" xfId="0" applyFont="1"/>
    <xf numFmtId="0" fontId="192" fillId="2" borderId="0" xfId="1" applyFont="1" applyFill="1" applyProtection="1">
      <protection hidden="1"/>
    </xf>
    <xf numFmtId="0" fontId="124" fillId="14" borderId="0" xfId="0" applyFont="1" applyFill="1"/>
    <xf numFmtId="0" fontId="124" fillId="0" borderId="0" xfId="0" applyFont="1" applyAlignment="1">
      <alignment horizontal="right"/>
    </xf>
    <xf numFmtId="0" fontId="124" fillId="30" borderId="0" xfId="0" applyFont="1" applyFill="1"/>
    <xf numFmtId="1" fontId="124" fillId="0" borderId="0" xfId="0" applyNumberFormat="1" applyFont="1" applyAlignment="1">
      <alignment horizontal="left"/>
    </xf>
    <xf numFmtId="0" fontId="0" fillId="14" borderId="0" xfId="0" applyFill="1"/>
    <xf numFmtId="0" fontId="81" fillId="0" borderId="0" xfId="1" applyFont="1" applyAlignment="1" applyProtection="1">
      <alignment vertical="center"/>
      <protection hidden="1"/>
    </xf>
    <xf numFmtId="0" fontId="147" fillId="0" borderId="0" xfId="1" quotePrefix="1" applyFont="1" applyAlignment="1" applyProtection="1">
      <alignment horizontal="center" vertical="center"/>
      <protection hidden="1"/>
    </xf>
    <xf numFmtId="1" fontId="147" fillId="0" borderId="0" xfId="1" applyNumberFormat="1" applyFont="1" applyAlignment="1" applyProtection="1">
      <alignment vertical="center"/>
      <protection hidden="1"/>
    </xf>
    <xf numFmtId="167" fontId="86" fillId="13" borderId="0" xfId="1" applyNumberFormat="1" applyFont="1" applyFill="1" applyAlignment="1" applyProtection="1">
      <alignment horizontal="center" vertical="center"/>
      <protection hidden="1"/>
    </xf>
    <xf numFmtId="0" fontId="121" fillId="33" borderId="0" xfId="0" applyFont="1" applyFill="1"/>
    <xf numFmtId="0" fontId="0" fillId="33" borderId="0" xfId="0" applyFill="1"/>
    <xf numFmtId="0" fontId="121" fillId="33" borderId="0" xfId="1" applyFont="1" applyFill="1"/>
    <xf numFmtId="0" fontId="87" fillId="33" borderId="0" xfId="0" applyFont="1" applyFill="1"/>
    <xf numFmtId="0" fontId="121" fillId="33" borderId="0" xfId="0" applyFont="1" applyFill="1" applyAlignment="1">
      <alignment vertical="center"/>
    </xf>
    <xf numFmtId="0" fontId="0" fillId="33" borderId="0" xfId="0" applyFill="1" applyAlignment="1">
      <alignment vertical="center"/>
    </xf>
    <xf numFmtId="0" fontId="41" fillId="33" borderId="0" xfId="0" applyFont="1" applyFill="1"/>
    <xf numFmtId="0" fontId="61" fillId="33" borderId="0" xfId="1" applyFont="1" applyFill="1"/>
    <xf numFmtId="0" fontId="48" fillId="33" borderId="0" xfId="1" applyFont="1" applyFill="1" applyAlignment="1" applyProtection="1">
      <alignment horizontal="left" vertical="center"/>
      <protection hidden="1"/>
    </xf>
    <xf numFmtId="0" fontId="25" fillId="33" borderId="0" xfId="1" applyFont="1" applyFill="1"/>
    <xf numFmtId="0" fontId="25" fillId="33" borderId="0" xfId="1" applyFont="1" applyFill="1" applyAlignment="1">
      <alignment horizontal="left"/>
    </xf>
    <xf numFmtId="0" fontId="0" fillId="33" borderId="0" xfId="1" applyFont="1" applyFill="1"/>
    <xf numFmtId="0" fontId="0" fillId="33" borderId="0" xfId="1" applyFont="1" applyFill="1" applyAlignment="1">
      <alignment horizontal="left"/>
    </xf>
    <xf numFmtId="0" fontId="61" fillId="33" borderId="0" xfId="1" applyFont="1" applyFill="1" applyAlignment="1">
      <alignment horizontal="left"/>
    </xf>
    <xf numFmtId="0" fontId="174" fillId="33" borderId="0" xfId="1" applyFont="1" applyFill="1"/>
    <xf numFmtId="0" fontId="41" fillId="33" borderId="0" xfId="1" applyFont="1" applyFill="1"/>
    <xf numFmtId="0" fontId="41" fillId="33" borderId="0" xfId="1" applyFont="1" applyFill="1" applyAlignment="1">
      <alignment horizontal="left"/>
    </xf>
    <xf numFmtId="0" fontId="81" fillId="33" borderId="0" xfId="0" applyFont="1" applyFill="1"/>
    <xf numFmtId="0" fontId="173" fillId="33" borderId="0" xfId="0" applyFont="1" applyFill="1"/>
    <xf numFmtId="0" fontId="81" fillId="33" borderId="0" xfId="0" applyFont="1" applyFill="1" applyAlignment="1">
      <alignment horizontal="left"/>
    </xf>
    <xf numFmtId="0" fontId="30" fillId="33" borderId="0" xfId="1" applyFont="1" applyFill="1"/>
    <xf numFmtId="0" fontId="30" fillId="33" borderId="0" xfId="1" applyFont="1" applyFill="1" applyAlignment="1">
      <alignment horizontal="left"/>
    </xf>
    <xf numFmtId="0" fontId="85" fillId="33" borderId="0" xfId="0" applyFont="1" applyFill="1"/>
    <xf numFmtId="0" fontId="15" fillId="33" borderId="0" xfId="0" applyFont="1" applyFill="1"/>
    <xf numFmtId="0" fontId="176" fillId="33" borderId="0" xfId="0" applyFont="1" applyFill="1"/>
    <xf numFmtId="0" fontId="87" fillId="33" borderId="0" xfId="0" applyFont="1" applyFill="1" applyAlignment="1">
      <alignment horizontal="left"/>
    </xf>
    <xf numFmtId="0" fontId="177" fillId="33" borderId="0" xfId="0" quotePrefix="1" applyFont="1" applyFill="1"/>
    <xf numFmtId="0" fontId="15" fillId="33" borderId="0" xfId="1" applyFont="1" applyFill="1" applyAlignment="1">
      <alignment horizontal="left"/>
    </xf>
    <xf numFmtId="1" fontId="0" fillId="33" borderId="0" xfId="0" applyNumberFormat="1" applyFill="1"/>
    <xf numFmtId="0" fontId="76" fillId="33" borderId="0" xfId="1" applyFont="1" applyFill="1" applyAlignment="1">
      <alignment horizontal="left"/>
    </xf>
    <xf numFmtId="0" fontId="76" fillId="33" borderId="0" xfId="1" applyFont="1" applyFill="1" applyProtection="1">
      <protection hidden="1"/>
    </xf>
    <xf numFmtId="0" fontId="193" fillId="14" borderId="0" xfId="0" applyFont="1" applyFill="1" applyAlignment="1">
      <alignment horizontal="left" vertical="center"/>
    </xf>
    <xf numFmtId="0" fontId="26" fillId="33" borderId="0" xfId="1" applyFont="1" applyFill="1" applyAlignment="1" applyProtection="1">
      <alignment horizontal="center"/>
      <protection hidden="1"/>
    </xf>
    <xf numFmtId="0" fontId="30" fillId="33" borderId="0" xfId="1" quotePrefix="1" applyFont="1" applyFill="1" applyAlignment="1">
      <alignment horizontal="left"/>
    </xf>
    <xf numFmtId="0" fontId="41" fillId="33" borderId="2" xfId="1" applyFont="1" applyFill="1" applyBorder="1"/>
    <xf numFmtId="167" fontId="41" fillId="33" borderId="3" xfId="1" applyNumberFormat="1" applyFont="1" applyFill="1" applyBorder="1"/>
    <xf numFmtId="0" fontId="41" fillId="33" borderId="3" xfId="1" applyFont="1" applyFill="1" applyBorder="1"/>
    <xf numFmtId="0" fontId="41" fillId="33" borderId="8" xfId="1" applyFont="1" applyFill="1" applyBorder="1"/>
    <xf numFmtId="167" fontId="41" fillId="33" borderId="1" xfId="1" applyNumberFormat="1" applyFont="1" applyFill="1" applyBorder="1"/>
    <xf numFmtId="0" fontId="41" fillId="33" borderId="9" xfId="1" applyFont="1" applyFill="1" applyBorder="1"/>
    <xf numFmtId="167" fontId="41" fillId="33" borderId="4" xfId="1" applyNumberFormat="1" applyFont="1" applyFill="1" applyBorder="1"/>
    <xf numFmtId="0" fontId="19" fillId="33" borderId="5" xfId="1" applyFont="1" applyFill="1" applyBorder="1" applyAlignment="1" applyProtection="1">
      <alignment horizontal="left" wrapText="1"/>
      <protection locked="0"/>
    </xf>
    <xf numFmtId="0" fontId="27" fillId="33" borderId="6" xfId="1" quotePrefix="1" applyFont="1" applyFill="1" applyBorder="1" applyAlignment="1">
      <alignment horizontal="left" wrapText="1"/>
    </xf>
    <xf numFmtId="0" fontId="27" fillId="33" borderId="6" xfId="1" applyFont="1" applyFill="1" applyBorder="1" applyAlignment="1">
      <alignment horizontal="left" wrapText="1"/>
    </xf>
    <xf numFmtId="167" fontId="21" fillId="33" borderId="10" xfId="1" quotePrefix="1" applyNumberFormat="1" applyFont="1" applyFill="1" applyBorder="1" applyAlignment="1" applyProtection="1">
      <alignment horizontal="left"/>
      <protection hidden="1"/>
    </xf>
    <xf numFmtId="167" fontId="27" fillId="33" borderId="6" xfId="1" quotePrefix="1" applyNumberFormat="1" applyFont="1" applyFill="1" applyBorder="1" applyAlignment="1">
      <alignment horizontal="left" wrapText="1"/>
    </xf>
    <xf numFmtId="167" fontId="27" fillId="33" borderId="6" xfId="1" applyNumberFormat="1" applyFont="1" applyFill="1" applyBorder="1" applyAlignment="1">
      <alignment horizontal="left" wrapText="1"/>
    </xf>
    <xf numFmtId="0" fontId="46" fillId="33" borderId="18" xfId="1" applyFont="1" applyFill="1" applyBorder="1" applyAlignment="1" applyProtection="1">
      <alignment horizontal="left"/>
      <protection hidden="1"/>
    </xf>
    <xf numFmtId="0" fontId="46" fillId="33" borderId="1" xfId="1" applyFont="1" applyFill="1" applyBorder="1" applyAlignment="1" applyProtection="1">
      <alignment horizontal="center"/>
      <protection hidden="1"/>
    </xf>
    <xf numFmtId="167" fontId="21" fillId="33" borderId="6" xfId="1" quotePrefix="1" applyNumberFormat="1" applyFont="1" applyFill="1" applyBorder="1" applyAlignment="1" applyProtection="1">
      <alignment horizontal="left"/>
      <protection hidden="1"/>
    </xf>
    <xf numFmtId="0" fontId="0" fillId="33" borderId="0" xfId="1" quotePrefix="1" applyFont="1" applyFill="1" applyAlignment="1">
      <alignment horizontal="left"/>
    </xf>
    <xf numFmtId="167" fontId="18" fillId="33" borderId="15" xfId="1" applyNumberFormat="1" applyFont="1" applyFill="1" applyBorder="1" applyProtection="1">
      <protection locked="0"/>
    </xf>
    <xf numFmtId="167" fontId="41" fillId="33" borderId="20" xfId="1" quotePrefix="1" applyNumberFormat="1" applyFont="1" applyFill="1" applyBorder="1" applyAlignment="1">
      <alignment horizontal="left"/>
    </xf>
    <xf numFmtId="167" fontId="41" fillId="33" borderId="10" xfId="1" quotePrefix="1" applyNumberFormat="1" applyFont="1" applyFill="1" applyBorder="1" applyAlignment="1">
      <alignment horizontal="left"/>
    </xf>
    <xf numFmtId="167" fontId="21" fillId="33" borderId="3" xfId="1" quotePrefix="1" applyNumberFormat="1" applyFont="1" applyFill="1" applyBorder="1" applyAlignment="1" applyProtection="1">
      <alignment horizontal="left"/>
      <protection hidden="1"/>
    </xf>
    <xf numFmtId="167" fontId="41" fillId="33" borderId="11" xfId="1" quotePrefix="1" applyNumberFormat="1" applyFont="1" applyFill="1" applyBorder="1" applyAlignment="1">
      <alignment horizontal="left"/>
    </xf>
    <xf numFmtId="167" fontId="41" fillId="33" borderId="12" xfId="1" quotePrefix="1" applyNumberFormat="1" applyFont="1" applyFill="1" applyBorder="1" applyAlignment="1">
      <alignment horizontal="left"/>
    </xf>
    <xf numFmtId="167" fontId="41" fillId="33" borderId="21" xfId="1" quotePrefix="1" applyNumberFormat="1" applyFont="1" applyFill="1" applyBorder="1" applyAlignment="1">
      <alignment horizontal="left"/>
    </xf>
    <xf numFmtId="0" fontId="17" fillId="33" borderId="19" xfId="1" applyFont="1" applyFill="1" applyBorder="1"/>
    <xf numFmtId="167" fontId="21" fillId="33" borderId="22" xfId="1" applyNumberFormat="1" applyFont="1" applyFill="1" applyBorder="1" applyProtection="1">
      <protection hidden="1"/>
    </xf>
    <xf numFmtId="167" fontId="21" fillId="33" borderId="23" xfId="1" applyNumberFormat="1" applyFont="1" applyFill="1" applyBorder="1" applyProtection="1">
      <protection hidden="1"/>
    </xf>
    <xf numFmtId="167" fontId="21" fillId="33" borderId="23" xfId="1" quotePrefix="1" applyNumberFormat="1" applyFont="1" applyFill="1" applyBorder="1" applyAlignment="1" applyProtection="1">
      <alignment horizontal="left"/>
      <protection hidden="1"/>
    </xf>
    <xf numFmtId="167" fontId="21" fillId="33" borderId="24" xfId="1" applyNumberFormat="1" applyFont="1" applyFill="1" applyBorder="1" applyProtection="1">
      <protection hidden="1"/>
    </xf>
    <xf numFmtId="167" fontId="21" fillId="33" borderId="17" xfId="1" applyNumberFormat="1" applyFont="1" applyFill="1" applyBorder="1" applyProtection="1">
      <protection hidden="1"/>
    </xf>
    <xf numFmtId="167" fontId="21" fillId="33" borderId="25" xfId="1" quotePrefix="1" applyNumberFormat="1" applyFont="1" applyFill="1" applyBorder="1" applyAlignment="1" applyProtection="1">
      <alignment horizontal="left"/>
      <protection hidden="1"/>
    </xf>
    <xf numFmtId="167" fontId="16" fillId="33" borderId="23" xfId="1" applyNumberFormat="1" applyFont="1" applyFill="1" applyBorder="1" applyProtection="1">
      <protection hidden="1"/>
    </xf>
    <xf numFmtId="167" fontId="16" fillId="33" borderId="24" xfId="1" applyNumberFormat="1" applyFont="1" applyFill="1" applyBorder="1" applyProtection="1">
      <protection hidden="1"/>
    </xf>
    <xf numFmtId="167" fontId="16" fillId="33" borderId="25" xfId="1" applyNumberFormat="1" applyFont="1" applyFill="1" applyBorder="1" applyProtection="1">
      <protection hidden="1"/>
    </xf>
    <xf numFmtId="167" fontId="21" fillId="33" borderId="26" xfId="1" applyNumberFormat="1" applyFont="1" applyFill="1" applyBorder="1" applyProtection="1">
      <protection hidden="1"/>
    </xf>
    <xf numFmtId="0" fontId="34" fillId="33" borderId="0" xfId="1" quotePrefix="1" applyFont="1" applyFill="1" applyAlignment="1">
      <alignment horizontal="left"/>
    </xf>
    <xf numFmtId="167" fontId="21" fillId="33" borderId="27" xfId="1" quotePrefix="1" applyNumberFormat="1" applyFont="1" applyFill="1" applyBorder="1" applyAlignment="1" applyProtection="1">
      <alignment horizontal="left"/>
      <protection hidden="1"/>
    </xf>
    <xf numFmtId="167" fontId="21" fillId="33" borderId="27" xfId="1" applyNumberFormat="1" applyFont="1" applyFill="1" applyBorder="1" applyProtection="1">
      <protection hidden="1"/>
    </xf>
    <xf numFmtId="0" fontId="27" fillId="33" borderId="0" xfId="1" applyFont="1" applyFill="1"/>
    <xf numFmtId="0" fontId="91" fillId="33" borderId="0" xfId="0" applyFont="1" applyFill="1"/>
    <xf numFmtId="0" fontId="15" fillId="33" borderId="0" xfId="0" applyFont="1" applyFill="1" applyAlignment="1">
      <alignment vertical="center"/>
    </xf>
    <xf numFmtId="0" fontId="91" fillId="33" borderId="0" xfId="0" applyFont="1" applyFill="1" applyAlignment="1">
      <alignment vertical="center"/>
    </xf>
    <xf numFmtId="0" fontId="81" fillId="33" borderId="0" xfId="0" applyFont="1" applyFill="1" applyAlignment="1">
      <alignment vertical="center"/>
    </xf>
    <xf numFmtId="0" fontId="83" fillId="33" borderId="0" xfId="0" applyFont="1" applyFill="1"/>
    <xf numFmtId="0" fontId="193" fillId="0" borderId="0" xfId="0" applyFont="1" applyAlignment="1">
      <alignment horizontal="left" vertical="center"/>
    </xf>
    <xf numFmtId="0" fontId="0" fillId="0" borderId="0" xfId="1" applyFont="1" applyAlignment="1">
      <alignment vertical="center"/>
    </xf>
    <xf numFmtId="0" fontId="103" fillId="0" borderId="0" xfId="1" applyFont="1"/>
    <xf numFmtId="0" fontId="81" fillId="0" borderId="0" xfId="1" applyFont="1"/>
    <xf numFmtId="0" fontId="27" fillId="0" borderId="0" xfId="1" applyFont="1"/>
    <xf numFmtId="167" fontId="29"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101" fillId="2" borderId="0" xfId="1" quotePrefix="1" applyFont="1" applyFill="1" applyAlignment="1" applyProtection="1">
      <alignment horizontal="center" wrapText="1"/>
      <protection hidden="1"/>
    </xf>
    <xf numFmtId="0" fontId="0" fillId="0" borderId="0" xfId="0" applyAlignment="1">
      <alignment horizontal="center" wrapText="1"/>
    </xf>
    <xf numFmtId="0" fontId="99" fillId="2" borderId="0" xfId="1" applyFont="1" applyFill="1" applyAlignment="1" applyProtection="1">
      <alignment horizontal="center" vertical="center" wrapText="1"/>
      <protection hidden="1"/>
    </xf>
    <xf numFmtId="0" fontId="99" fillId="0" borderId="0" xfId="1" applyFont="1" applyAlignment="1" applyProtection="1">
      <alignment horizontal="center" vertical="center" wrapText="1"/>
      <protection hidden="1"/>
    </xf>
    <xf numFmtId="0" fontId="124" fillId="34" borderId="0" xfId="0" applyFont="1" applyFill="1"/>
    <xf numFmtId="1" fontId="124" fillId="14" borderId="0" xfId="0" applyNumberFormat="1" applyFont="1" applyFill="1" applyAlignment="1">
      <alignment vertical="center"/>
    </xf>
    <xf numFmtId="49" fontId="124" fillId="14" borderId="0" xfId="0" applyNumberFormat="1" applyFont="1" applyFill="1" applyAlignment="1">
      <alignment horizontal="right" vertical="center"/>
    </xf>
    <xf numFmtId="0" fontId="0" fillId="12" borderId="0" xfId="0" applyFill="1"/>
    <xf numFmtId="0" fontId="124" fillId="35" borderId="0" xfId="0" applyFont="1" applyFill="1"/>
    <xf numFmtId="1" fontId="124" fillId="35" borderId="0" xfId="0" applyNumberFormat="1" applyFont="1" applyFill="1" applyAlignment="1">
      <alignment vertical="center"/>
    </xf>
    <xf numFmtId="49" fontId="124" fillId="35" borderId="0" xfId="0" applyNumberFormat="1" applyFont="1" applyFill="1" applyAlignment="1">
      <alignment horizontal="right" vertical="center"/>
    </xf>
    <xf numFmtId="0" fontId="124" fillId="35" borderId="0" xfId="0" quotePrefix="1" applyFont="1" applyFill="1" applyAlignment="1">
      <alignment horizontal="right" vertical="center"/>
    </xf>
    <xf numFmtId="0" fontId="25" fillId="0" borderId="0" xfId="0" applyFont="1" applyAlignment="1">
      <alignment horizontal="left"/>
    </xf>
    <xf numFmtId="173" fontId="0" fillId="0" borderId="0" xfId="106" applyNumberFormat="1" applyFont="1"/>
    <xf numFmtId="9" fontId="0" fillId="0" borderId="0" xfId="106" applyFont="1"/>
    <xf numFmtId="1" fontId="124" fillId="0" borderId="0" xfId="0" quotePrefix="1" applyNumberFormat="1" applyFont="1"/>
    <xf numFmtId="0" fontId="153" fillId="0" borderId="0" xfId="0" applyFont="1" applyAlignment="1">
      <alignment horizontal="center" vertical="center" wrapText="1"/>
    </xf>
    <xf numFmtId="168" fontId="37" fillId="16" borderId="13" xfId="1" applyNumberFormat="1" applyFont="1" applyFill="1" applyBorder="1" applyAlignment="1">
      <alignment vertical="center"/>
    </xf>
    <xf numFmtId="3" fontId="37" fillId="16" borderId="31" xfId="1" applyNumberFormat="1" applyFont="1" applyFill="1" applyBorder="1"/>
    <xf numFmtId="167" fontId="37" fillId="16" borderId="31" xfId="1" applyNumberFormat="1" applyFont="1" applyFill="1" applyBorder="1"/>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4" fillId="31" borderId="0" xfId="0" applyFont="1" applyFill="1"/>
    <xf numFmtId="0" fontId="15" fillId="0" borderId="0" xfId="0" quotePrefix="1" applyFont="1" applyAlignment="1">
      <alignment horizontal="right" vertical="center"/>
    </xf>
    <xf numFmtId="0" fontId="17" fillId="0" borderId="0" xfId="1" applyFont="1"/>
    <xf numFmtId="0" fontId="18" fillId="0" borderId="0" xfId="1" quotePrefix="1" applyFont="1" applyAlignment="1">
      <alignment horizontal="left"/>
    </xf>
    <xf numFmtId="0" fontId="16" fillId="0" borderId="0" xfId="1" applyFont="1"/>
    <xf numFmtId="14" fontId="0" fillId="2" borderId="0" xfId="1" applyNumberFormat="1" applyFont="1" applyFill="1"/>
    <xf numFmtId="0" fontId="33" fillId="0" borderId="0" xfId="1" applyFont="1" applyAlignment="1">
      <alignment horizontal="right"/>
    </xf>
    <xf numFmtId="0" fontId="41" fillId="2" borderId="0" xfId="1" applyFont="1" applyFill="1"/>
    <xf numFmtId="0" fontId="104" fillId="2" borderId="0" xfId="1" applyFont="1" applyFill="1" applyAlignment="1">
      <alignment horizontal="left" vertical="center" indent="1"/>
    </xf>
    <xf numFmtId="0" fontId="55" fillId="2" borderId="0" xfId="1" applyFont="1" applyFill="1" applyAlignment="1">
      <alignment horizontal="center"/>
    </xf>
    <xf numFmtId="0" fontId="25" fillId="2" borderId="0" xfId="1" applyFont="1" applyFill="1"/>
    <xf numFmtId="0" fontId="53" fillId="2" borderId="0" xfId="1" applyFont="1" applyFill="1" applyAlignment="1">
      <alignment horizontal="center"/>
    </xf>
    <xf numFmtId="0" fontId="15" fillId="2" borderId="0" xfId="1" applyFont="1" applyFill="1"/>
    <xf numFmtId="0" fontId="109" fillId="2" borderId="0" xfId="5" applyFont="1" applyFill="1" applyAlignment="1">
      <alignment horizontal="left" vertical="center" indent="1"/>
    </xf>
    <xf numFmtId="0" fontId="25" fillId="2" borderId="0" xfId="5" quotePrefix="1" applyFont="1" applyFill="1" applyAlignment="1">
      <alignment wrapText="1"/>
    </xf>
    <xf numFmtId="0" fontId="95" fillId="0" borderId="0" xfId="1" quotePrefix="1" applyFont="1" applyAlignment="1">
      <alignment horizontal="left" vertical="center" indent="1"/>
    </xf>
    <xf numFmtId="0" fontId="43" fillId="2" borderId="0" xfId="1" applyFont="1" applyFill="1" applyAlignment="1">
      <alignment horizontal="left"/>
    </xf>
    <xf numFmtId="0" fontId="25" fillId="2" borderId="0" xfId="1" applyFont="1" applyFill="1" applyAlignment="1">
      <alignment wrapText="1"/>
    </xf>
    <xf numFmtId="0" fontId="105" fillId="2" borderId="0" xfId="1" applyFont="1" applyFill="1" applyAlignment="1">
      <alignment horizontal="left"/>
    </xf>
    <xf numFmtId="0" fontId="60" fillId="2" borderId="0" xfId="1" applyFont="1" applyFill="1" applyAlignment="1">
      <alignment horizontal="left"/>
    </xf>
    <xf numFmtId="167" fontId="20" fillId="0" borderId="0" xfId="1" applyNumberFormat="1" applyFont="1" applyAlignment="1">
      <alignment horizontal="center"/>
    </xf>
    <xf numFmtId="0" fontId="106" fillId="2" borderId="0" xfId="1" applyFont="1" applyFill="1" applyAlignment="1">
      <alignment horizontal="left"/>
    </xf>
    <xf numFmtId="0" fontId="30" fillId="2" borderId="0" xfId="1" applyFont="1" applyFill="1" applyAlignment="1">
      <alignment horizontal="left"/>
    </xf>
    <xf numFmtId="0" fontId="20" fillId="0" borderId="0" xfId="1" applyFont="1"/>
    <xf numFmtId="167" fontId="25" fillId="2" borderId="0" xfId="4" applyFont="1" applyFill="1" applyAlignment="1">
      <alignment horizontal="right"/>
    </xf>
    <xf numFmtId="167" fontId="27" fillId="2" borderId="0" xfId="4" applyFont="1" applyFill="1" applyAlignment="1">
      <alignment horizontal="right"/>
    </xf>
    <xf numFmtId="0" fontId="36" fillId="0" borderId="0" xfId="1" applyFont="1"/>
    <xf numFmtId="0" fontId="36" fillId="0" borderId="0" xfId="1" quotePrefix="1" applyFont="1" applyAlignment="1">
      <alignment horizontal="center"/>
    </xf>
    <xf numFmtId="167" fontId="16" fillId="0" borderId="0" xfId="1" applyNumberFormat="1" applyFont="1"/>
    <xf numFmtId="0" fontId="36" fillId="2" borderId="0" xfId="1" applyFont="1" applyFill="1"/>
    <xf numFmtId="167" fontId="27" fillId="2" borderId="0" xfId="4" quotePrefix="1" applyFont="1" applyFill="1" applyAlignment="1">
      <alignment horizontal="right"/>
    </xf>
    <xf numFmtId="167" fontId="41" fillId="2" borderId="0" xfId="1" quotePrefix="1" applyNumberFormat="1" applyFont="1" applyFill="1" applyAlignment="1">
      <alignment horizontal="right"/>
    </xf>
    <xf numFmtId="0" fontId="25" fillId="0" borderId="0" xfId="1" quotePrefix="1" applyFont="1" applyAlignment="1">
      <alignment horizontal="left"/>
    </xf>
    <xf numFmtId="0" fontId="25" fillId="0" borderId="0" xfId="0" quotePrefix="1" applyFont="1"/>
    <xf numFmtId="0" fontId="129" fillId="0" borderId="0" xfId="2" applyFont="1" applyAlignment="1" applyProtection="1">
      <alignment horizontal="center" vertical="center"/>
    </xf>
    <xf numFmtId="0" fontId="114" fillId="0" borderId="0" xfId="1" applyFont="1" applyAlignment="1">
      <alignment horizontal="center" vertical="center"/>
    </xf>
    <xf numFmtId="167" fontId="99" fillId="0" borderId="0" xfId="1" applyNumberFormat="1" applyFont="1"/>
    <xf numFmtId="0" fontId="15" fillId="0" borderId="0" xfId="0" quotePrefix="1" applyFont="1"/>
    <xf numFmtId="167" fontId="25" fillId="0" borderId="0" xfId="1" applyNumberFormat="1" applyFont="1"/>
    <xf numFmtId="167" fontId="37" fillId="0" borderId="0" xfId="1" applyNumberFormat="1" applyFont="1"/>
    <xf numFmtId="0" fontId="30" fillId="0" borderId="0" xfId="1" applyFont="1" applyAlignment="1">
      <alignment horizontal="left"/>
    </xf>
    <xf numFmtId="167" fontId="25" fillId="0" borderId="0" xfId="1" quotePrefix="1" applyNumberFormat="1" applyFont="1" applyAlignment="1">
      <alignment horizontal="left"/>
    </xf>
    <xf numFmtId="167" fontId="25" fillId="2" borderId="0" xfId="1" applyNumberFormat="1" applyFont="1" applyFill="1"/>
    <xf numFmtId="0" fontId="0" fillId="0" borderId="0" xfId="1" applyFont="1" applyAlignment="1">
      <alignment horizontal="right"/>
    </xf>
    <xf numFmtId="167" fontId="25" fillId="0" borderId="0" xfId="1" applyNumberFormat="1" applyFont="1" applyAlignment="1">
      <alignment horizontal="left"/>
    </xf>
    <xf numFmtId="0" fontId="27" fillId="0" borderId="0" xfId="0" quotePrefix="1" applyFont="1"/>
    <xf numFmtId="0" fontId="19" fillId="0" borderId="0" xfId="1" applyFont="1"/>
    <xf numFmtId="0" fontId="94" fillId="0" borderId="0" xfId="1" applyFont="1"/>
    <xf numFmtId="0" fontId="116" fillId="0" borderId="0" xfId="1" quotePrefix="1" applyFont="1" applyAlignment="1">
      <alignment horizontal="left"/>
    </xf>
    <xf numFmtId="167" fontId="27" fillId="0" borderId="0" xfId="1" quotePrefix="1" applyNumberFormat="1" applyFont="1" applyAlignment="1">
      <alignment horizontal="left"/>
    </xf>
    <xf numFmtId="167" fontId="112" fillId="2" borderId="0" xfId="1" quotePrefix="1" applyNumberFormat="1" applyFont="1" applyFill="1" applyAlignment="1">
      <alignment horizontal="right" vertical="top"/>
    </xf>
    <xf numFmtId="167" fontId="27" fillId="0" borderId="0" xfId="1" applyNumberFormat="1" applyFont="1" applyAlignment="1">
      <alignment horizontal="right" wrapText="1"/>
    </xf>
    <xf numFmtId="167" fontId="27" fillId="0" borderId="0" xfId="1" quotePrefix="1" applyNumberFormat="1" applyFont="1" applyAlignment="1">
      <alignment horizontal="right"/>
    </xf>
    <xf numFmtId="0" fontId="0" fillId="0" borderId="16" xfId="1" applyFont="1" applyBorder="1"/>
    <xf numFmtId="167" fontId="25" fillId="0" borderId="16" xfId="1" applyNumberFormat="1" applyFont="1" applyBorder="1"/>
    <xf numFmtId="167" fontId="37" fillId="0" borderId="16" xfId="1" applyNumberFormat="1" applyFont="1" applyBorder="1"/>
    <xf numFmtId="0" fontId="72" fillId="0" borderId="0" xfId="1" applyFont="1"/>
    <xf numFmtId="167" fontId="95" fillId="0" borderId="0" xfId="1" applyNumberFormat="1" applyFont="1" applyAlignment="1">
      <alignment vertical="center"/>
    </xf>
    <xf numFmtId="167" fontId="25" fillId="0" borderId="0" xfId="1" applyNumberFormat="1" applyFont="1" applyAlignment="1">
      <alignment vertical="center"/>
    </xf>
    <xf numFmtId="167" fontId="27" fillId="0" borderId="0" xfId="1" applyNumberFormat="1" applyFont="1"/>
    <xf numFmtId="166" fontId="27" fillId="0" borderId="0" xfId="1" quotePrefix="1" applyNumberFormat="1" applyFont="1" applyAlignment="1">
      <alignment horizontal="right"/>
    </xf>
    <xf numFmtId="0" fontId="27" fillId="0" borderId="0" xfId="0" applyFont="1" applyAlignment="1">
      <alignment horizontal="center" vertical="center"/>
    </xf>
    <xf numFmtId="0" fontId="25" fillId="0" borderId="0" xfId="1" applyFont="1" applyAlignment="1">
      <alignment vertical="center" wrapText="1"/>
    </xf>
    <xf numFmtId="0" fontId="25" fillId="0" borderId="0" xfId="0" quotePrefix="1" applyFont="1" applyAlignment="1">
      <alignment vertical="center"/>
    </xf>
    <xf numFmtId="0" fontId="27" fillId="0" borderId="0" xfId="1" applyFont="1" applyAlignment="1">
      <alignment vertical="center" wrapText="1"/>
    </xf>
    <xf numFmtId="0" fontId="27" fillId="0" borderId="0" xfId="0" quotePrefix="1" applyFont="1" applyAlignment="1">
      <alignment vertical="center"/>
    </xf>
    <xf numFmtId="0" fontId="25" fillId="0" borderId="0" xfId="1" applyFont="1" applyAlignment="1">
      <alignment vertical="center"/>
    </xf>
    <xf numFmtId="0" fontId="15" fillId="0" borderId="0" xfId="0" quotePrefix="1" applyFont="1" applyAlignment="1">
      <alignment vertical="center"/>
    </xf>
    <xf numFmtId="0" fontId="27" fillId="0" borderId="0" xfId="5" applyFont="1" applyAlignment="1">
      <alignment vertical="center"/>
    </xf>
    <xf numFmtId="167" fontId="44" fillId="2" borderId="0" xfId="1" quotePrefix="1" applyNumberFormat="1" applyFont="1" applyFill="1" applyAlignment="1">
      <alignment horizontal="left"/>
    </xf>
    <xf numFmtId="0" fontId="27" fillId="0" borderId="0" xfId="1" applyFont="1" applyAlignment="1">
      <alignment wrapText="1"/>
    </xf>
    <xf numFmtId="167" fontId="122" fillId="0" borderId="0" xfId="1" applyNumberFormat="1" applyFont="1" applyAlignment="1">
      <alignment horizontal="left" vertical="top" indent="5"/>
    </xf>
    <xf numFmtId="0" fontId="121" fillId="0" borderId="0" xfId="0" quotePrefix="1" applyFont="1"/>
    <xf numFmtId="0" fontId="27" fillId="0" borderId="0" xfId="0" applyFont="1" applyAlignment="1">
      <alignment vertical="center"/>
    </xf>
    <xf numFmtId="167" fontId="30" fillId="0" borderId="0" xfId="1" quotePrefix="1" applyNumberFormat="1" applyFont="1" applyAlignment="1">
      <alignment horizontal="left"/>
    </xf>
    <xf numFmtId="0" fontId="27" fillId="0" borderId="0" xfId="1" applyFont="1" applyAlignment="1">
      <alignment horizontal="left"/>
    </xf>
    <xf numFmtId="167" fontId="21" fillId="0" borderId="0" xfId="1" applyNumberFormat="1" applyFont="1"/>
    <xf numFmtId="0" fontId="31" fillId="0" borderId="0" xfId="1" quotePrefix="1" applyFont="1" applyAlignment="1">
      <alignment horizontal="left"/>
    </xf>
    <xf numFmtId="0" fontId="27" fillId="0" borderId="0" xfId="1" quotePrefix="1" applyFont="1" applyAlignment="1">
      <alignment horizontal="left"/>
    </xf>
    <xf numFmtId="167" fontId="15" fillId="0" borderId="0" xfId="1" quotePrefix="1" applyNumberFormat="1" applyFont="1" applyAlignment="1">
      <alignment horizontal="left"/>
    </xf>
    <xf numFmtId="0" fontId="25" fillId="0" borderId="0" xfId="1" applyFont="1" applyAlignment="1">
      <alignment horizontal="left"/>
    </xf>
    <xf numFmtId="167" fontId="25" fillId="0" borderId="0" xfId="1" quotePrefix="1" applyNumberFormat="1" applyFont="1" applyAlignment="1">
      <alignment horizontal="left" vertical="center"/>
    </xf>
    <xf numFmtId="167" fontId="30" fillId="2" borderId="0" xfId="1" quotePrefix="1" applyNumberFormat="1" applyFont="1" applyFill="1" applyAlignment="1">
      <alignment horizontal="left"/>
    </xf>
    <xf numFmtId="167" fontId="21" fillId="2" borderId="0" xfId="1" applyNumberFormat="1" applyFont="1" applyFill="1"/>
    <xf numFmtId="167" fontId="34" fillId="0" borderId="0" xfId="4" applyFont="1" applyAlignment="1">
      <alignment horizontal="right"/>
    </xf>
    <xf numFmtId="0" fontId="31" fillId="0" borderId="0" xfId="1" applyFont="1" applyAlignment="1">
      <alignment horizontal="left"/>
    </xf>
    <xf numFmtId="0" fontId="147" fillId="0" borderId="0" xfId="1" applyFont="1" applyAlignment="1">
      <alignment horizontal="left"/>
    </xf>
    <xf numFmtId="0" fontId="147" fillId="0" borderId="0" xfId="0" quotePrefix="1" applyFont="1" applyAlignment="1">
      <alignment horizontal="left"/>
    </xf>
    <xf numFmtId="167" fontId="61" fillId="0" borderId="0" xfId="1" applyNumberFormat="1" applyFont="1"/>
    <xf numFmtId="167" fontId="46" fillId="0" borderId="0" xfId="1" applyNumberFormat="1" applyFont="1"/>
    <xf numFmtId="0" fontId="25" fillId="2" borderId="0" xfId="1" quotePrefix="1" applyFont="1" applyFill="1" applyAlignment="1">
      <alignment horizontal="left"/>
    </xf>
    <xf numFmtId="167" fontId="37" fillId="0" borderId="14" xfId="1" applyNumberFormat="1" applyFont="1" applyBorder="1"/>
    <xf numFmtId="167" fontId="24" fillId="0" borderId="0" xfId="1" applyNumberFormat="1" applyFont="1"/>
    <xf numFmtId="0" fontId="117" fillId="2" borderId="0" xfId="1" quotePrefix="1" applyFont="1" applyFill="1"/>
    <xf numFmtId="167" fontId="27" fillId="2" borderId="0" xfId="1" applyNumberFormat="1" applyFont="1" applyFill="1"/>
    <xf numFmtId="0" fontId="27" fillId="2" borderId="0" xfId="1" quotePrefix="1" applyFont="1" applyFill="1" applyAlignment="1">
      <alignment horizontal="left"/>
    </xf>
    <xf numFmtId="167" fontId="27" fillId="2" borderId="0" xfId="1" quotePrefix="1" applyNumberFormat="1" applyFont="1" applyFill="1" applyAlignment="1">
      <alignment horizontal="left"/>
    </xf>
    <xf numFmtId="0" fontId="87" fillId="2" borderId="0" xfId="1" applyFont="1" applyFill="1"/>
    <xf numFmtId="167" fontId="67" fillId="0" borderId="0" xfId="1" quotePrefix="1" applyNumberFormat="1" applyFont="1" applyAlignment="1">
      <alignment horizontal="left"/>
    </xf>
    <xf numFmtId="0" fontId="117" fillId="0" borderId="0" xfId="1" applyFont="1"/>
    <xf numFmtId="0" fontId="34" fillId="0" borderId="0" xfId="1" applyFont="1"/>
    <xf numFmtId="167" fontId="27" fillId="2" borderId="0" xfId="1" applyNumberFormat="1" applyFont="1" applyFill="1" applyAlignment="1">
      <alignment horizontal="left"/>
    </xf>
    <xf numFmtId="167" fontId="21" fillId="2" borderId="0" xfId="1" quotePrefix="1" applyNumberFormat="1" applyFont="1" applyFill="1" applyAlignment="1">
      <alignment horizontal="left"/>
    </xf>
    <xf numFmtId="167" fontId="27" fillId="0" borderId="0" xfId="4" applyFont="1" applyAlignment="1">
      <alignment horizontal="right"/>
    </xf>
    <xf numFmtId="167" fontId="41" fillId="0" borderId="0" xfId="4" applyFont="1" applyAlignment="1">
      <alignment horizontal="right"/>
    </xf>
    <xf numFmtId="167" fontId="20" fillId="33" borderId="0" xfId="1" quotePrefix="1" applyNumberFormat="1" applyFont="1" applyFill="1" applyAlignment="1">
      <alignment horizontal="center"/>
    </xf>
    <xf numFmtId="167" fontId="27" fillId="0" borderId="0" xfId="4" quotePrefix="1" applyFont="1" applyAlignment="1">
      <alignment horizontal="right"/>
    </xf>
    <xf numFmtId="167" fontId="41" fillId="0" borderId="0" xfId="1" quotePrefix="1" applyNumberFormat="1" applyFont="1" applyAlignment="1">
      <alignment horizontal="right"/>
    </xf>
    <xf numFmtId="167" fontId="20" fillId="33" borderId="0" xfId="1" applyNumberFormat="1" applyFont="1" applyFill="1" applyAlignment="1">
      <alignment horizontal="center"/>
    </xf>
    <xf numFmtId="167" fontId="150" fillId="0" borderId="0" xfId="1" applyNumberFormat="1" applyFont="1"/>
    <xf numFmtId="167" fontId="30" fillId="0" borderId="0" xfId="1" quotePrefix="1" applyNumberFormat="1" applyFont="1" applyAlignment="1">
      <alignment horizontal="left" vertical="center"/>
    </xf>
    <xf numFmtId="0" fontId="25" fillId="0" borderId="0" xfId="1" quotePrefix="1" applyFont="1" applyAlignment="1">
      <alignment horizontal="left" vertical="center"/>
    </xf>
    <xf numFmtId="0" fontId="25" fillId="0" borderId="0" xfId="1" applyFont="1" applyAlignment="1">
      <alignment horizontal="left" vertical="center"/>
    </xf>
    <xf numFmtId="167" fontId="25" fillId="2" borderId="0" xfId="1" quotePrefix="1" applyNumberFormat="1" applyFont="1" applyFill="1" applyAlignment="1">
      <alignment horizontal="left" vertical="center"/>
    </xf>
    <xf numFmtId="167" fontId="25" fillId="2" borderId="0" xfId="1" quotePrefix="1" applyNumberFormat="1" applyFont="1" applyFill="1" applyAlignment="1">
      <alignment horizontal="left"/>
    </xf>
    <xf numFmtId="167" fontId="30" fillId="0" borderId="0" xfId="1" applyNumberFormat="1" applyFont="1"/>
    <xf numFmtId="0" fontId="71" fillId="0" borderId="0" xfId="1" quotePrefix="1" applyFont="1" applyAlignment="1">
      <alignment horizontal="left"/>
    </xf>
    <xf numFmtId="167" fontId="25" fillId="0" borderId="0" xfId="1" applyNumberFormat="1" applyFont="1" applyAlignment="1">
      <alignment horizontal="left" vertical="center"/>
    </xf>
    <xf numFmtId="0" fontId="15" fillId="30" borderId="0" xfId="0" applyFont="1" applyFill="1"/>
    <xf numFmtId="0" fontId="27" fillId="0" borderId="0" xfId="1" applyFont="1" applyAlignment="1">
      <alignment horizontal="left" vertical="center"/>
    </xf>
    <xf numFmtId="167" fontId="37" fillId="16" borderId="31" xfId="1" applyNumberFormat="1" applyFont="1" applyFill="1" applyBorder="1" applyAlignment="1">
      <alignment vertical="center"/>
    </xf>
    <xf numFmtId="167" fontId="37" fillId="0" borderId="0" xfId="1" applyNumberFormat="1" applyFont="1" applyAlignment="1">
      <alignment vertical="center"/>
    </xf>
    <xf numFmtId="167" fontId="36" fillId="0" borderId="0" xfId="1" applyNumberFormat="1" applyFont="1"/>
    <xf numFmtId="0" fontId="25" fillId="2" borderId="0" xfId="1" quotePrefix="1" applyFont="1" applyFill="1" applyAlignment="1">
      <alignment horizontal="left" vertical="center"/>
    </xf>
    <xf numFmtId="167" fontId="68" fillId="0" borderId="0" xfId="1" quotePrefix="1" applyNumberFormat="1" applyFont="1" applyAlignment="1">
      <alignment horizontal="left"/>
    </xf>
    <xf numFmtId="167" fontId="19" fillId="0" borderId="0" xfId="1" applyNumberFormat="1" applyFont="1"/>
    <xf numFmtId="0" fontId="68" fillId="0" borderId="0" xfId="1" quotePrefix="1" applyFont="1" applyAlignment="1">
      <alignment horizontal="left" vertical="center"/>
    </xf>
    <xf numFmtId="167" fontId="26" fillId="0" borderId="0" xfId="1" quotePrefix="1" applyNumberFormat="1" applyFont="1" applyAlignment="1">
      <alignment horizontal="left"/>
    </xf>
    <xf numFmtId="0" fontId="15" fillId="32" borderId="0" xfId="0" applyFont="1" applyFill="1"/>
    <xf numFmtId="0" fontId="27" fillId="0" borderId="0" xfId="1" quotePrefix="1" applyFont="1" applyAlignment="1">
      <alignment horizontal="left" vertical="center"/>
    </xf>
    <xf numFmtId="167" fontId="27" fillId="0" borderId="0" xfId="1" quotePrefix="1" applyNumberFormat="1" applyFont="1" applyAlignment="1">
      <alignment horizontal="left" vertical="center"/>
    </xf>
    <xf numFmtId="0" fontId="27" fillId="2" borderId="0" xfId="1" applyFont="1" applyFill="1" applyAlignment="1">
      <alignment horizontal="left"/>
    </xf>
    <xf numFmtId="167" fontId="37" fillId="0" borderId="36" xfId="1" applyNumberFormat="1" applyFont="1" applyBorder="1" applyAlignment="1">
      <alignment vertical="center"/>
    </xf>
    <xf numFmtId="167" fontId="37" fillId="16" borderId="37" xfId="1" applyNumberFormat="1" applyFont="1" applyFill="1" applyBorder="1" applyAlignment="1">
      <alignment vertical="center"/>
    </xf>
    <xf numFmtId="0" fontId="0" fillId="0" borderId="14" xfId="1" applyFont="1" applyBorder="1" applyAlignment="1">
      <alignment horizontal="left"/>
    </xf>
    <xf numFmtId="0" fontId="0" fillId="0" borderId="14" xfId="1" applyFont="1" applyBorder="1"/>
    <xf numFmtId="167" fontId="21" fillId="0" borderId="14" xfId="1" applyNumberFormat="1" applyFont="1" applyBorder="1"/>
    <xf numFmtId="167" fontId="27" fillId="0" borderId="0" xfId="1" applyNumberFormat="1" applyFont="1" applyAlignment="1">
      <alignment horizontal="right"/>
    </xf>
    <xf numFmtId="0" fontId="41" fillId="0" borderId="0" xfId="1" applyFont="1" applyAlignment="1">
      <alignment horizontal="left"/>
    </xf>
    <xf numFmtId="167" fontId="120" fillId="0" borderId="0" xfId="1" quotePrefix="1" applyNumberFormat="1" applyFont="1" applyAlignment="1">
      <alignment horizontal="left"/>
    </xf>
    <xf numFmtId="167" fontId="92" fillId="0" borderId="0" xfId="1" applyNumberFormat="1" applyFont="1"/>
    <xf numFmtId="167" fontId="44" fillId="0" borderId="0" xfId="1" quotePrefix="1" applyNumberFormat="1" applyFont="1" applyAlignment="1">
      <alignment horizontal="left"/>
    </xf>
    <xf numFmtId="0" fontId="109" fillId="13" borderId="0" xfId="1" applyFont="1" applyFill="1" applyAlignment="1">
      <alignment horizontal="left" vertical="center" indent="1"/>
    </xf>
    <xf numFmtId="0" fontId="25" fillId="2" borderId="0" xfId="1" quotePrefix="1" applyFont="1" applyFill="1" applyAlignment="1">
      <alignment wrapText="1"/>
    </xf>
    <xf numFmtId="0" fontId="15" fillId="0" borderId="0" xfId="1" applyFont="1" applyAlignment="1">
      <alignment horizontal="right"/>
    </xf>
    <xf numFmtId="167" fontId="19" fillId="0" borderId="0" xfId="1" applyNumberFormat="1" applyFont="1" applyAlignment="1">
      <alignment horizontal="right"/>
    </xf>
    <xf numFmtId="0" fontId="27" fillId="0" borderId="0" xfId="1" quotePrefix="1" applyFont="1" applyAlignment="1">
      <alignment horizontal="center"/>
    </xf>
    <xf numFmtId="0" fontId="27" fillId="0" borderId="7" xfId="1" applyFont="1" applyBorder="1"/>
    <xf numFmtId="167" fontId="19" fillId="0" borderId="7" xfId="1" applyNumberFormat="1" applyFont="1" applyBorder="1" applyAlignment="1">
      <alignment horizontal="right"/>
    </xf>
    <xf numFmtId="0" fontId="15" fillId="0" borderId="7" xfId="1" applyFont="1" applyBorder="1"/>
    <xf numFmtId="0" fontId="15" fillId="0" borderId="16" xfId="1" applyFont="1" applyBorder="1"/>
    <xf numFmtId="0" fontId="27" fillId="0" borderId="0" xfId="1" quotePrefix="1" applyFont="1" applyAlignment="1">
      <alignment horizontal="right"/>
    </xf>
    <xf numFmtId="0" fontId="25" fillId="0" borderId="0" xfId="1" quotePrefix="1" applyFont="1" applyAlignment="1">
      <alignment horizontal="right"/>
    </xf>
    <xf numFmtId="0" fontId="25" fillId="0" borderId="0" xfId="1" applyFont="1" applyAlignment="1">
      <alignment horizontal="right"/>
    </xf>
    <xf numFmtId="167" fontId="41" fillId="0" borderId="0" xfId="1" applyNumberFormat="1" applyFont="1" applyAlignment="1">
      <alignment horizontal="right"/>
    </xf>
    <xf numFmtId="167" fontId="30" fillId="0" borderId="0" xfId="1" applyNumberFormat="1" applyFont="1" applyAlignment="1">
      <alignment horizontal="left"/>
    </xf>
    <xf numFmtId="167" fontId="0" fillId="0" borderId="0" xfId="1" applyNumberFormat="1" applyFont="1" applyAlignment="1">
      <alignment horizontal="left"/>
    </xf>
    <xf numFmtId="167" fontId="41" fillId="0" borderId="0" xfId="1" applyNumberFormat="1" applyFont="1" applyAlignment="1">
      <alignment horizontal="left"/>
    </xf>
    <xf numFmtId="167" fontId="19" fillId="0" borderId="0" xfId="1" quotePrefix="1" applyNumberFormat="1" applyFont="1" applyAlignment="1">
      <alignment horizontal="left"/>
    </xf>
    <xf numFmtId="0" fontId="27" fillId="2" borderId="0" xfId="1" applyFont="1" applyFill="1"/>
    <xf numFmtId="167" fontId="0" fillId="2" borderId="0" xfId="1" applyNumberFormat="1" applyFont="1" applyFill="1" applyAlignment="1">
      <alignment horizontal="left"/>
    </xf>
    <xf numFmtId="167" fontId="22" fillId="0" borderId="0" xfId="1" applyNumberFormat="1" applyFont="1" applyAlignment="1">
      <alignment horizontal="left"/>
    </xf>
    <xf numFmtId="167" fontId="133" fillId="0" borderId="0" xfId="1" applyNumberFormat="1" applyFont="1" applyAlignment="1">
      <alignment horizontal="right" vertical="center"/>
    </xf>
    <xf numFmtId="167" fontId="100" fillId="0" borderId="0" xfId="1" applyNumberFormat="1" applyFont="1"/>
    <xf numFmtId="167" fontId="102" fillId="0" borderId="0" xfId="1" applyNumberFormat="1" applyFont="1"/>
    <xf numFmtId="0" fontId="30" fillId="2" borderId="0" xfId="1" applyFont="1" applyFill="1"/>
    <xf numFmtId="167" fontId="46" fillId="2" borderId="0" xfId="1" applyNumberFormat="1" applyFont="1" applyFill="1"/>
    <xf numFmtId="167" fontId="30" fillId="0" borderId="0" xfId="5" applyNumberFormat="1" applyFont="1" applyAlignment="1">
      <alignment horizontal="left"/>
    </xf>
    <xf numFmtId="167" fontId="22" fillId="0" borderId="0" xfId="5" applyNumberFormat="1" applyFont="1" applyAlignment="1">
      <alignment horizontal="left"/>
    </xf>
    <xf numFmtId="167" fontId="27" fillId="0" borderId="0" xfId="5" quotePrefix="1" applyNumberFormat="1" applyFont="1" applyAlignment="1">
      <alignment horizontal="right"/>
    </xf>
    <xf numFmtId="167" fontId="30" fillId="0" borderId="0" xfId="5" applyNumberFormat="1" applyFont="1"/>
    <xf numFmtId="167" fontId="27" fillId="0" borderId="0" xfId="5" applyNumberFormat="1" applyFont="1" applyAlignment="1">
      <alignment horizontal="right"/>
    </xf>
    <xf numFmtId="167" fontId="68" fillId="0" borderId="0" xfId="5" quotePrefix="1" applyNumberFormat="1" applyFont="1" applyAlignment="1">
      <alignment horizontal="left"/>
    </xf>
    <xf numFmtId="0" fontId="15" fillId="0" borderId="0" xfId="5"/>
    <xf numFmtId="0" fontId="0" fillId="0" borderId="0" xfId="5" applyFont="1"/>
    <xf numFmtId="0" fontId="19" fillId="0" borderId="0" xfId="5" applyFont="1"/>
    <xf numFmtId="167" fontId="27" fillId="0" borderId="0" xfId="5" applyNumberFormat="1" applyFont="1" applyAlignment="1">
      <alignment horizontal="left"/>
    </xf>
    <xf numFmtId="167" fontId="37" fillId="0" borderId="0" xfId="5" applyNumberFormat="1" applyFont="1"/>
    <xf numFmtId="167" fontId="25" fillId="0" borderId="0" xfId="5" applyNumberFormat="1" applyFont="1"/>
    <xf numFmtId="0" fontId="15" fillId="0" borderId="0" xfId="5" quotePrefix="1" applyAlignment="1">
      <alignment horizontal="left"/>
    </xf>
    <xf numFmtId="167" fontId="15" fillId="0" borderId="0" xfId="5" quotePrefix="1" applyNumberFormat="1" applyAlignment="1">
      <alignment horizontal="left"/>
    </xf>
    <xf numFmtId="167" fontId="15" fillId="0" borderId="0" xfId="5" applyNumberFormat="1" applyAlignment="1">
      <alignment horizontal="left"/>
    </xf>
    <xf numFmtId="167" fontId="27" fillId="0" borderId="0" xfId="5" applyNumberFormat="1" applyFont="1"/>
    <xf numFmtId="167" fontId="19" fillId="0" borderId="0" xfId="5" quotePrefix="1" applyNumberFormat="1" applyFont="1" applyAlignment="1">
      <alignment horizontal="left"/>
    </xf>
    <xf numFmtId="0" fontId="25" fillId="0" borderId="0" xfId="5" applyFont="1"/>
    <xf numFmtId="167" fontId="27" fillId="0" borderId="0" xfId="5" quotePrefix="1" applyNumberFormat="1" applyFont="1" applyAlignment="1">
      <alignment horizontal="left"/>
    </xf>
    <xf numFmtId="1" fontId="17" fillId="0" borderId="0" xfId="5" applyNumberFormat="1" applyFont="1"/>
    <xf numFmtId="167" fontId="22" fillId="0" borderId="0" xfId="5" quotePrefix="1" applyNumberFormat="1" applyFont="1" applyAlignment="1">
      <alignment horizontal="left"/>
    </xf>
    <xf numFmtId="167" fontId="46" fillId="0" borderId="0" xfId="5" applyNumberFormat="1" applyFont="1"/>
    <xf numFmtId="167" fontId="25" fillId="0" borderId="0" xfId="5" applyNumberFormat="1" applyFont="1" applyAlignment="1">
      <alignment horizontal="left"/>
    </xf>
    <xf numFmtId="167" fontId="38" fillId="0" borderId="0" xfId="5" applyNumberFormat="1" applyFont="1"/>
    <xf numFmtId="167" fontId="97" fillId="13" borderId="0" xfId="5" applyNumberFormat="1" applyFont="1" applyFill="1"/>
    <xf numFmtId="0" fontId="117" fillId="13" borderId="0" xfId="0" applyFont="1" applyFill="1"/>
    <xf numFmtId="167" fontId="0" fillId="0" borderId="0" xfId="5" applyNumberFormat="1" applyFont="1" applyAlignment="1">
      <alignment horizontal="left"/>
    </xf>
    <xf numFmtId="167" fontId="100" fillId="13" borderId="0" xfId="5" applyNumberFormat="1" applyFont="1" applyFill="1" applyAlignment="1">
      <alignment horizontal="left"/>
    </xf>
    <xf numFmtId="0" fontId="98" fillId="13" borderId="0" xfId="1" applyFont="1" applyFill="1" applyAlignment="1">
      <alignment vertical="center" wrapText="1"/>
    </xf>
    <xf numFmtId="167" fontId="119" fillId="13" borderId="0" xfId="5" applyNumberFormat="1" applyFont="1" applyFill="1" applyAlignment="1">
      <alignment horizontal="left"/>
    </xf>
    <xf numFmtId="167" fontId="95" fillId="13" borderId="0" xfId="5" applyNumberFormat="1" applyFont="1" applyFill="1" applyAlignment="1">
      <alignment horizontal="left"/>
    </xf>
    <xf numFmtId="0" fontId="30" fillId="13" borderId="0" xfId="5" applyFont="1" applyFill="1"/>
    <xf numFmtId="0" fontId="15" fillId="13" borderId="0" xfId="0" applyFont="1" applyFill="1"/>
    <xf numFmtId="0" fontId="30" fillId="13" borderId="1" xfId="5" applyFont="1" applyFill="1" applyBorder="1" applyAlignment="1">
      <alignment horizontal="center" vertical="center"/>
    </xf>
    <xf numFmtId="0" fontId="30" fillId="13" borderId="1" xfId="5" applyFont="1" applyFill="1" applyBorder="1" applyAlignment="1">
      <alignment horizontal="center" vertical="center" wrapText="1"/>
    </xf>
    <xf numFmtId="0" fontId="84" fillId="13" borderId="0" xfId="0" applyFont="1" applyFill="1" applyAlignment="1">
      <alignment horizontal="right"/>
    </xf>
    <xf numFmtId="167" fontId="48" fillId="13" borderId="0" xfId="5" applyNumberFormat="1" applyFont="1" applyFill="1" applyAlignment="1">
      <alignment horizontal="left"/>
    </xf>
    <xf numFmtId="0" fontId="31" fillId="13" borderId="1" xfId="5" applyFont="1" applyFill="1" applyBorder="1" applyAlignment="1">
      <alignment horizontal="center" vertical="center"/>
    </xf>
    <xf numFmtId="0" fontId="31" fillId="13" borderId="1" xfId="5" applyFont="1" applyFill="1" applyBorder="1" applyAlignment="1">
      <alignment horizontal="center" wrapText="1"/>
    </xf>
    <xf numFmtId="49" fontId="124" fillId="0" borderId="0" xfId="0" applyNumberFormat="1" applyFont="1" applyAlignment="1">
      <alignment horizontal="left" vertical="center"/>
    </xf>
    <xf numFmtId="0" fontId="91" fillId="0" borderId="0" xfId="0" applyFont="1"/>
    <xf numFmtId="167" fontId="29" fillId="0" borderId="0" xfId="1" quotePrefix="1" applyNumberFormat="1" applyFont="1" applyAlignment="1">
      <alignment vertical="center"/>
    </xf>
    <xf numFmtId="167" fontId="29" fillId="0" borderId="0" xfId="1" quotePrefix="1" applyNumberFormat="1" applyFont="1"/>
    <xf numFmtId="0" fontId="25" fillId="0" borderId="10" xfId="0" applyFont="1" applyBorder="1" applyAlignment="1">
      <alignment horizontal="left"/>
    </xf>
    <xf numFmtId="0" fontId="25" fillId="0" borderId="13" xfId="0" applyFont="1" applyBorder="1" applyAlignment="1">
      <alignment horizontal="left"/>
    </xf>
    <xf numFmtId="167" fontId="100" fillId="0" borderId="0" xfId="5" applyNumberFormat="1" applyFont="1" applyAlignment="1">
      <alignment horizontal="right"/>
    </xf>
    <xf numFmtId="167" fontId="97" fillId="13" borderId="0" xfId="5" applyNumberFormat="1" applyFont="1" applyFill="1" applyAlignment="1">
      <alignment horizontal="right"/>
    </xf>
    <xf numFmtId="0" fontId="117" fillId="13" borderId="0" xfId="0" applyFont="1" applyFill="1" applyAlignment="1">
      <alignment horizontal="right"/>
    </xf>
    <xf numFmtId="167" fontId="100" fillId="0" borderId="0" xfId="5" applyNumberFormat="1" applyFont="1" applyAlignment="1">
      <alignment horizontal="left"/>
    </xf>
    <xf numFmtId="167" fontId="194" fillId="0" borderId="0" xfId="5" applyNumberFormat="1" applyFont="1" applyAlignment="1">
      <alignment horizontal="left"/>
    </xf>
    <xf numFmtId="167" fontId="0" fillId="0" borderId="0" xfId="5" applyNumberFormat="1" applyFont="1"/>
    <xf numFmtId="1" fontId="0" fillId="0" borderId="0" xfId="5" applyNumberFormat="1" applyFont="1"/>
    <xf numFmtId="0" fontId="15" fillId="12" borderId="0" xfId="0" applyFont="1" applyFill="1"/>
    <xf numFmtId="0" fontId="195" fillId="0" borderId="0" xfId="0" applyFont="1" applyAlignment="1">
      <alignment vertical="center"/>
    </xf>
    <xf numFmtId="2" fontId="0" fillId="0" borderId="0" xfId="0" applyNumberFormat="1"/>
    <xf numFmtId="0" fontId="97" fillId="0" borderId="1" xfId="1" applyFont="1" applyBorder="1" applyAlignment="1" applyProtection="1">
      <alignment horizontal="center" vertical="center"/>
      <protection locked="0"/>
    </xf>
    <xf numFmtId="0" fontId="196" fillId="13" borderId="0" xfId="1" applyFont="1" applyFill="1" applyAlignment="1" applyProtection="1">
      <alignment horizontal="left" vertical="center"/>
      <protection hidden="1"/>
    </xf>
    <xf numFmtId="0" fontId="107" fillId="13" borderId="0" xfId="1" quotePrefix="1" applyFont="1" applyFill="1" applyAlignment="1">
      <alignment horizontal="left" vertical="top"/>
    </xf>
    <xf numFmtId="0" fontId="0" fillId="11" borderId="0" xfId="0" applyFill="1"/>
    <xf numFmtId="167" fontId="99" fillId="0" borderId="0" xfId="1" quotePrefix="1" applyNumberFormat="1" applyFont="1"/>
    <xf numFmtId="0" fontId="31" fillId="0" borderId="0" xfId="5" applyFont="1" applyAlignment="1" applyProtection="1">
      <alignment horizontal="left" vertical="center" indent="1"/>
      <protection hidden="1"/>
    </xf>
    <xf numFmtId="0" fontId="0" fillId="0" borderId="0" xfId="67" applyFont="1" applyAlignment="1">
      <alignment horizontal="right"/>
    </xf>
    <xf numFmtId="0" fontId="72" fillId="11" borderId="38" xfId="14" quotePrefix="1" applyFont="1" applyFill="1" applyBorder="1" applyAlignment="1" applyProtection="1">
      <alignment horizontal="center" vertical="center" wrapText="1"/>
      <protection hidden="1"/>
    </xf>
    <xf numFmtId="0" fontId="198" fillId="2" borderId="0" xfId="1" quotePrefix="1" applyFont="1" applyFill="1" applyProtection="1">
      <protection hidden="1"/>
    </xf>
    <xf numFmtId="0" fontId="199" fillId="2" borderId="0" xfId="1" applyFont="1" applyFill="1" applyProtection="1">
      <protection hidden="1"/>
    </xf>
    <xf numFmtId="0" fontId="147" fillId="0" borderId="0" xfId="0" applyFont="1"/>
    <xf numFmtId="0" fontId="81" fillId="0" borderId="0" xfId="1" applyFont="1" applyAlignment="1">
      <alignment horizontal="left"/>
    </xf>
    <xf numFmtId="0" fontId="198" fillId="2" borderId="0" xfId="1" quotePrefix="1" applyFont="1" applyFill="1" applyAlignment="1" applyProtection="1">
      <alignment horizontal="center"/>
      <protection hidden="1"/>
    </xf>
    <xf numFmtId="0" fontId="99" fillId="0" borderId="0" xfId="1" applyFont="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30" fillId="11" borderId="38" xfId="14" quotePrefix="1" applyFont="1" applyFill="1" applyBorder="1" applyAlignment="1" applyProtection="1">
      <alignment horizontal="center" vertical="center" wrapText="1"/>
      <protection hidden="1"/>
    </xf>
    <xf numFmtId="0" fontId="200" fillId="0" borderId="0" xfId="2" quotePrefix="1" applyFont="1" applyAlignment="1" applyProtection="1">
      <alignment horizontal="left"/>
      <protection hidden="1"/>
    </xf>
    <xf numFmtId="0" fontId="146" fillId="2" borderId="0" xfId="1" applyFont="1" applyFill="1" applyAlignment="1" applyProtection="1">
      <alignment vertical="top"/>
      <protection hidden="1"/>
    </xf>
    <xf numFmtId="0" fontId="0" fillId="0" borderId="0" xfId="0" applyAlignment="1">
      <alignment horizontal="center" vertical="center"/>
    </xf>
    <xf numFmtId="167" fontId="29" fillId="0" borderId="0" xfId="1" quotePrefix="1" applyNumberFormat="1" applyFont="1" applyAlignment="1" applyProtection="1">
      <alignment vertical="center" wrapText="1"/>
      <protection hidden="1"/>
    </xf>
    <xf numFmtId="0" fontId="0" fillId="0" borderId="0" xfId="0" applyAlignment="1">
      <alignment vertical="center" wrapText="1"/>
    </xf>
    <xf numFmtId="0" fontId="72" fillId="11" borderId="39" xfId="14" quotePrefix="1" applyFont="1" applyFill="1" applyBorder="1" applyAlignment="1" applyProtection="1">
      <alignment vertical="center" wrapText="1"/>
      <protection hidden="1"/>
    </xf>
    <xf numFmtId="0" fontId="72" fillId="11" borderId="40"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3" fillId="0" borderId="0" xfId="5" quotePrefix="1" applyFont="1" applyAlignment="1" applyProtection="1">
      <alignment wrapText="1"/>
      <protection hidden="1"/>
    </xf>
    <xf numFmtId="0" fontId="146" fillId="14" borderId="0" xfId="5" applyFont="1" applyFill="1" applyProtection="1">
      <protection hidden="1"/>
    </xf>
    <xf numFmtId="167" fontId="25" fillId="14" borderId="0" xfId="5" quotePrefix="1" applyNumberFormat="1" applyFont="1" applyFill="1" applyAlignment="1" applyProtection="1">
      <alignment horizontal="left"/>
      <protection hidden="1"/>
    </xf>
    <xf numFmtId="0" fontId="146" fillId="14" borderId="0" xfId="0" applyFont="1" applyFill="1" applyAlignment="1">
      <alignment horizontal="right" vertical="center"/>
    </xf>
    <xf numFmtId="167" fontId="153" fillId="0" borderId="0" xfId="1" applyNumberFormat="1" applyFont="1"/>
    <xf numFmtId="167" fontId="52" fillId="0" borderId="0" xfId="2" applyNumberFormat="1" applyAlignment="1" applyProtection="1"/>
    <xf numFmtId="0" fontId="72" fillId="0" borderId="38" xfId="14" quotePrefix="1" applyFont="1" applyFill="1" applyBorder="1" applyAlignment="1" applyProtection="1">
      <alignment horizontal="center" vertical="center" wrapText="1"/>
      <protection hidden="1"/>
    </xf>
    <xf numFmtId="0" fontId="118" fillId="0" borderId="0" xfId="5" applyFont="1" applyAlignment="1" applyProtection="1">
      <alignment vertical="center"/>
      <protection locked="0"/>
    </xf>
    <xf numFmtId="0" fontId="118" fillId="0" borderId="0" xfId="5" quotePrefix="1" applyFont="1" applyAlignment="1" applyProtection="1">
      <alignment horizontal="center" vertical="center"/>
      <protection locked="0"/>
    </xf>
    <xf numFmtId="1" fontId="118" fillId="0" borderId="0" xfId="5" applyNumberFormat="1" applyFont="1" applyAlignment="1" applyProtection="1">
      <alignment vertical="center"/>
      <protection locked="0"/>
    </xf>
    <xf numFmtId="0" fontId="25" fillId="0" borderId="0" xfId="5" applyFont="1" applyAlignment="1" applyProtection="1">
      <alignment horizontal="left" vertical="center"/>
      <protection locked="0"/>
    </xf>
    <xf numFmtId="0" fontId="118" fillId="0" borderId="0" xfId="5" applyFont="1" applyAlignment="1" applyProtection="1">
      <alignment horizontal="left" vertical="center"/>
      <protection locked="0"/>
    </xf>
    <xf numFmtId="167" fontId="59" fillId="33" borderId="0" xfId="5" quotePrefix="1" applyNumberFormat="1" applyFont="1" applyFill="1" applyAlignment="1">
      <alignment horizontal="left"/>
    </xf>
    <xf numFmtId="167" fontId="22" fillId="33" borderId="0" xfId="5" applyNumberFormat="1" applyFont="1" applyFill="1" applyAlignment="1">
      <alignment horizontal="left"/>
    </xf>
    <xf numFmtId="0" fontId="27" fillId="0" borderId="0" xfId="5" applyFont="1" applyAlignment="1">
      <alignment horizontal="right"/>
    </xf>
    <xf numFmtId="0" fontId="201" fillId="0" borderId="0" xfId="1" applyFont="1"/>
    <xf numFmtId="0" fontId="15" fillId="19" borderId="0" xfId="1" applyFont="1" applyFill="1"/>
    <xf numFmtId="0" fontId="99" fillId="19" borderId="0" xfId="1" applyFont="1" applyFill="1" applyAlignment="1">
      <alignment horizontal="center" vertical="center"/>
    </xf>
    <xf numFmtId="0" fontId="25" fillId="10" borderId="0" xfId="1" applyFont="1" applyFill="1" applyAlignment="1" applyProtection="1">
      <alignment horizontal="left"/>
      <protection hidden="1"/>
    </xf>
    <xf numFmtId="167" fontId="92" fillId="10" borderId="0" xfId="1" applyNumberFormat="1" applyFont="1" applyFill="1" applyAlignment="1" applyProtection="1">
      <alignment horizontal="left"/>
      <protection hidden="1"/>
    </xf>
    <xf numFmtId="167" fontId="19" fillId="10" borderId="0" xfId="1" applyNumberFormat="1" applyFont="1" applyFill="1" applyAlignment="1" applyProtection="1">
      <alignment horizontal="left"/>
      <protection hidden="1"/>
    </xf>
    <xf numFmtId="0" fontId="19" fillId="10" borderId="0" xfId="1" applyFont="1" applyFill="1" applyProtection="1">
      <protection hidden="1"/>
    </xf>
    <xf numFmtId="0" fontId="80" fillId="10" borderId="0" xfId="1" applyFont="1" applyFill="1" applyProtection="1">
      <protection hidden="1"/>
    </xf>
    <xf numFmtId="167" fontId="150" fillId="10" borderId="0" xfId="1" applyNumberFormat="1" applyFont="1" applyFill="1" applyAlignment="1" applyProtection="1">
      <alignment vertical="top" wrapText="1"/>
      <protection hidden="1"/>
    </xf>
    <xf numFmtId="0" fontId="146" fillId="10" borderId="0" xfId="0" applyFont="1" applyFill="1" applyAlignment="1" applyProtection="1">
      <alignment vertical="top" wrapText="1"/>
      <protection hidden="1"/>
    </xf>
    <xf numFmtId="0" fontId="121" fillId="10" borderId="0" xfId="0" applyFont="1" applyFill="1" applyProtection="1">
      <protection hidden="1"/>
    </xf>
    <xf numFmtId="0" fontId="121" fillId="10" borderId="0" xfId="0" applyFont="1" applyFill="1"/>
    <xf numFmtId="167" fontId="25" fillId="10" borderId="0" xfId="1" quotePrefix="1" applyNumberFormat="1" applyFont="1" applyFill="1" applyAlignment="1" applyProtection="1">
      <alignment horizontal="left"/>
      <protection hidden="1"/>
    </xf>
    <xf numFmtId="167" fontId="147" fillId="10" borderId="0" xfId="1" applyNumberFormat="1" applyFont="1" applyFill="1" applyProtection="1">
      <protection hidden="1"/>
    </xf>
    <xf numFmtId="0" fontId="25" fillId="10" borderId="0" xfId="1" applyFont="1" applyFill="1" applyProtection="1">
      <protection hidden="1"/>
    </xf>
    <xf numFmtId="167" fontId="36" fillId="10" borderId="0" xfId="1" applyNumberFormat="1" applyFont="1" applyFill="1" applyProtection="1">
      <protection hidden="1"/>
    </xf>
    <xf numFmtId="0" fontId="146" fillId="10" borderId="0" xfId="1" applyFont="1" applyFill="1" applyAlignment="1" applyProtection="1">
      <alignment vertical="top" wrapText="1"/>
      <protection hidden="1"/>
    </xf>
    <xf numFmtId="0" fontId="121" fillId="10" borderId="0" xfId="1" applyFont="1" applyFill="1" applyProtection="1">
      <protection hidden="1"/>
    </xf>
    <xf numFmtId="0" fontId="0" fillId="10" borderId="0" xfId="1" applyFont="1" applyFill="1"/>
    <xf numFmtId="0" fontId="121" fillId="10" borderId="0" xfId="1" applyFont="1" applyFill="1"/>
    <xf numFmtId="0" fontId="38" fillId="10" borderId="0" xfId="1" applyFont="1" applyFill="1" applyProtection="1">
      <protection hidden="1"/>
    </xf>
    <xf numFmtId="0" fontId="15" fillId="10" borderId="0" xfId="0" applyFont="1" applyFill="1"/>
    <xf numFmtId="0" fontId="147" fillId="10" borderId="0" xfId="1" applyFont="1" applyFill="1" applyAlignment="1" applyProtection="1">
      <alignment horizontal="left" vertical="center"/>
      <protection hidden="1"/>
    </xf>
    <xf numFmtId="167" fontId="19" fillId="10" borderId="0" xfId="1" applyNumberFormat="1" applyFont="1" applyFill="1" applyAlignment="1" applyProtection="1">
      <alignment horizontal="center"/>
      <protection hidden="1"/>
    </xf>
    <xf numFmtId="167" fontId="86" fillId="10" borderId="0" xfId="1" applyNumberFormat="1" applyFont="1" applyFill="1" applyAlignment="1" applyProtection="1">
      <alignment horizontal="right"/>
      <protection hidden="1"/>
    </xf>
    <xf numFmtId="0" fontId="15" fillId="10" borderId="0" xfId="0" applyFont="1" applyFill="1" applyProtection="1">
      <protection hidden="1"/>
    </xf>
    <xf numFmtId="167" fontId="146" fillId="10" borderId="0" xfId="1" applyNumberFormat="1" applyFont="1" applyFill="1" applyAlignment="1" applyProtection="1">
      <alignment vertical="top" wrapText="1"/>
      <protection hidden="1"/>
    </xf>
    <xf numFmtId="0" fontId="15" fillId="10" borderId="0" xfId="0" applyFont="1" applyFill="1" applyAlignment="1">
      <alignment horizontal="left"/>
    </xf>
    <xf numFmtId="0" fontId="28" fillId="0" borderId="0" xfId="1" applyFont="1"/>
    <xf numFmtId="0" fontId="86" fillId="14" borderId="0" xfId="0" applyFont="1" applyFill="1" applyAlignment="1">
      <alignment horizontal="left" vertical="center"/>
    </xf>
    <xf numFmtId="0" fontId="86" fillId="0" borderId="0" xfId="0" applyFont="1" applyAlignment="1">
      <alignment horizontal="left" vertical="center"/>
    </xf>
    <xf numFmtId="0" fontId="136" fillId="11" borderId="0" xfId="0" applyFont="1" applyFill="1" applyAlignment="1" applyProtection="1">
      <alignment horizontal="right"/>
      <protection hidden="1"/>
    </xf>
    <xf numFmtId="0" fontId="202" fillId="11" borderId="0" xfId="0" applyFont="1" applyFill="1" applyAlignment="1" applyProtection="1">
      <alignment horizontal="right"/>
      <protection hidden="1"/>
    </xf>
    <xf numFmtId="0" fontId="203" fillId="0" borderId="0" xfId="0" applyFont="1"/>
    <xf numFmtId="0" fontId="97" fillId="10" borderId="0" xfId="1" quotePrefix="1" applyFont="1" applyFill="1" applyAlignment="1">
      <alignment horizontal="left" vertical="center" wrapText="1"/>
    </xf>
    <xf numFmtId="0" fontId="15" fillId="10" borderId="0" xfId="1" applyFont="1" applyFill="1" applyAlignment="1">
      <alignment vertical="center" wrapText="1"/>
    </xf>
    <xf numFmtId="0" fontId="98" fillId="10" borderId="0" xfId="1" applyFont="1" applyFill="1" applyAlignment="1">
      <alignment vertical="center" wrapText="1"/>
    </xf>
    <xf numFmtId="0" fontId="151" fillId="0" borderId="0" xfId="0" applyFont="1" applyAlignment="1" applyProtection="1">
      <alignment vertical="center"/>
      <protection hidden="1"/>
    </xf>
    <xf numFmtId="3" fontId="166" fillId="22" borderId="11" xfId="1" applyNumberFormat="1" applyFont="1" applyFill="1" applyBorder="1" applyAlignment="1">
      <alignment horizontal="right"/>
    </xf>
    <xf numFmtId="0" fontId="39" fillId="19" borderId="0" xfId="1" applyFont="1" applyFill="1"/>
    <xf numFmtId="0" fontId="39" fillId="14" borderId="0" xfId="1" applyFont="1" applyFill="1"/>
    <xf numFmtId="0" fontId="61" fillId="0" borderId="0" xfId="0" applyFont="1"/>
    <xf numFmtId="0" fontId="15" fillId="0" borderId="0" xfId="0" applyFont="1" applyAlignment="1">
      <alignment horizontal="right"/>
    </xf>
    <xf numFmtId="0" fontId="25" fillId="0" borderId="0" xfId="0" applyFont="1" applyAlignment="1" applyProtection="1">
      <alignment horizontal="left"/>
      <protection hidden="1"/>
    </xf>
    <xf numFmtId="0" fontId="25" fillId="0" borderId="0" xfId="0" applyFont="1" applyProtection="1">
      <protection hidden="1"/>
    </xf>
    <xf numFmtId="170" fontId="126" fillId="0" borderId="0" xfId="31" applyNumberFormat="1" applyFont="1" applyFill="1"/>
    <xf numFmtId="1" fontId="126" fillId="0" borderId="0" xfId="15" applyNumberFormat="1" applyFont="1"/>
    <xf numFmtId="0" fontId="0" fillId="0" borderId="0" xfId="67" applyFont="1"/>
    <xf numFmtId="0" fontId="197" fillId="0" borderId="0" xfId="67" applyFont="1" applyAlignment="1">
      <alignment horizontal="right" vertical="top" wrapText="1"/>
    </xf>
    <xf numFmtId="0" fontId="86" fillId="2" borderId="0" xfId="1" applyFont="1" applyFill="1" applyAlignment="1" applyProtection="1">
      <alignment horizontal="center"/>
      <protection hidden="1"/>
    </xf>
    <xf numFmtId="0" fontId="13" fillId="0" borderId="0" xfId="0" applyFont="1" applyAlignment="1">
      <alignment horizontal="left"/>
    </xf>
    <xf numFmtId="0" fontId="99" fillId="0" borderId="0" xfId="1" applyFont="1" applyAlignment="1">
      <alignment horizontal="right"/>
    </xf>
    <xf numFmtId="167" fontId="99" fillId="0" borderId="0" xfId="1" applyNumberFormat="1" applyFont="1" applyAlignment="1">
      <alignment horizontal="right"/>
    </xf>
    <xf numFmtId="0" fontId="204" fillId="0" borderId="0" xfId="1" applyFont="1"/>
    <xf numFmtId="167" fontId="99" fillId="0" borderId="0" xfId="4" quotePrefix="1" applyFont="1" applyAlignment="1">
      <alignment horizontal="right"/>
    </xf>
    <xf numFmtId="167" fontId="165" fillId="0" borderId="0" xfId="1" quotePrefix="1" applyNumberFormat="1" applyFont="1" applyAlignment="1">
      <alignment horizontal="right"/>
    </xf>
    <xf numFmtId="0" fontId="13" fillId="0" borderId="0" xfId="1" applyFont="1"/>
    <xf numFmtId="0" fontId="13" fillId="0" borderId="0" xfId="0" quotePrefix="1" applyFont="1"/>
    <xf numFmtId="0" fontId="27" fillId="0" borderId="0" xfId="0" applyFont="1" applyAlignment="1">
      <alignment wrapText="1"/>
    </xf>
    <xf numFmtId="0" fontId="41" fillId="0" borderId="0" xfId="0" applyFont="1" applyAlignment="1">
      <alignment horizontal="right" vertical="center"/>
    </xf>
    <xf numFmtId="169" fontId="0" fillId="0" borderId="0" xfId="0" applyNumberFormat="1"/>
    <xf numFmtId="11" fontId="0" fillId="0" borderId="0" xfId="0" applyNumberFormat="1"/>
    <xf numFmtId="3" fontId="0" fillId="0" borderId="0" xfId="0" applyNumberFormat="1"/>
    <xf numFmtId="10" fontId="124" fillId="0" borderId="0" xfId="106" applyNumberFormat="1" applyFont="1" applyFill="1"/>
    <xf numFmtId="10" fontId="0" fillId="0" borderId="0" xfId="106" applyNumberFormat="1" applyFont="1" applyFill="1"/>
    <xf numFmtId="9" fontId="0" fillId="0" borderId="0" xfId="106" applyFont="1" applyFill="1"/>
    <xf numFmtId="172" fontId="0" fillId="0" borderId="0" xfId="0" applyNumberFormat="1"/>
    <xf numFmtId="167" fontId="25" fillId="14" borderId="0" xfId="1" quotePrefix="1" applyNumberFormat="1" applyFont="1" applyFill="1" applyAlignment="1" applyProtection="1">
      <alignment horizontal="left"/>
      <protection hidden="1"/>
    </xf>
    <xf numFmtId="0" fontId="146" fillId="14" borderId="0" xfId="1" quotePrefix="1" applyFont="1" applyFill="1" applyAlignment="1" applyProtection="1">
      <alignment horizontal="right"/>
      <protection hidden="1"/>
    </xf>
    <xf numFmtId="0" fontId="171" fillId="21" borderId="0" xfId="1" applyFont="1" applyFill="1" applyProtection="1">
      <protection hidden="1"/>
    </xf>
    <xf numFmtId="167" fontId="205" fillId="21" borderId="0" xfId="1" applyNumberFormat="1" applyFont="1" applyFill="1" applyAlignment="1" applyProtection="1">
      <alignment horizontal="center"/>
      <protection hidden="1"/>
    </xf>
    <xf numFmtId="167" fontId="19" fillId="21" borderId="0" xfId="1" applyNumberFormat="1" applyFont="1" applyFill="1" applyAlignment="1" applyProtection="1">
      <alignment horizontal="center"/>
      <protection hidden="1"/>
    </xf>
    <xf numFmtId="0" fontId="206" fillId="0" borderId="0" xfId="2" applyFont="1" applyAlignment="1" applyProtection="1">
      <protection hidden="1"/>
    </xf>
    <xf numFmtId="167" fontId="208" fillId="0" borderId="0" xfId="5" applyNumberFormat="1" applyFont="1" applyAlignment="1" applyProtection="1">
      <alignment horizontal="left" vertical="top"/>
      <protection hidden="1"/>
    </xf>
    <xf numFmtId="0" fontId="212" fillId="0" borderId="0" xfId="0" applyFont="1" applyAlignment="1">
      <alignment horizontal="left"/>
    </xf>
    <xf numFmtId="0" fontId="79" fillId="0" borderId="0" xfId="5" applyFont="1" applyAlignment="1">
      <alignment horizontal="center"/>
    </xf>
    <xf numFmtId="0" fontId="124" fillId="0" borderId="0" xfId="5" applyFont="1"/>
    <xf numFmtId="167" fontId="78" fillId="0" borderId="0" xfId="5" applyNumberFormat="1" applyFont="1" applyProtection="1">
      <protection locked="0" hidden="1"/>
    </xf>
    <xf numFmtId="167" fontId="78" fillId="0" borderId="0" xfId="5" applyNumberFormat="1" applyFont="1" applyAlignment="1" applyProtection="1">
      <alignment horizontal="left"/>
      <protection locked="0" hidden="1"/>
    </xf>
    <xf numFmtId="167" fontId="78" fillId="0" borderId="0" xfId="5" quotePrefix="1" applyNumberFormat="1" applyFont="1" applyAlignment="1" applyProtection="1">
      <alignment horizontal="left"/>
      <protection locked="0" hidden="1"/>
    </xf>
    <xf numFmtId="167" fontId="78" fillId="0" borderId="0" xfId="5" applyNumberFormat="1" applyFont="1" applyAlignment="1" applyProtection="1">
      <alignment horizontal="left"/>
      <protection hidden="1"/>
    </xf>
    <xf numFmtId="167" fontId="78" fillId="0" borderId="0" xfId="5" applyNumberFormat="1" applyFont="1" applyProtection="1">
      <protection hidden="1"/>
    </xf>
    <xf numFmtId="167" fontId="155" fillId="13" borderId="0" xfId="1" applyNumberFormat="1" applyFont="1" applyFill="1" applyAlignment="1" applyProtection="1">
      <alignment vertical="top" wrapText="1"/>
      <protection hidden="1"/>
    </xf>
    <xf numFmtId="0" fontId="41" fillId="0" borderId="0" xfId="0" applyFont="1" applyAlignment="1">
      <alignment wrapText="1"/>
    </xf>
    <xf numFmtId="167" fontId="39" fillId="0" borderId="0" xfId="1" applyNumberFormat="1" applyFont="1" applyAlignment="1" applyProtection="1">
      <alignment horizontal="center"/>
      <protection hidden="1"/>
    </xf>
    <xf numFmtId="167" fontId="39" fillId="0" borderId="0" xfId="1" applyNumberFormat="1" applyFont="1" applyProtection="1">
      <protection hidden="1"/>
    </xf>
    <xf numFmtId="0" fontId="79" fillId="0" borderId="0" xfId="5" applyFont="1"/>
    <xf numFmtId="0" fontId="39" fillId="0" borderId="0" xfId="1" quotePrefix="1" applyFont="1" applyAlignment="1" applyProtection="1">
      <alignment horizontal="left"/>
      <protection hidden="1"/>
    </xf>
    <xf numFmtId="167" fontId="81" fillId="0" borderId="0" xfId="5" applyNumberFormat="1" applyFont="1" applyProtection="1">
      <protection locked="0" hidden="1"/>
    </xf>
    <xf numFmtId="167" fontId="81" fillId="0" borderId="0" xfId="5" applyNumberFormat="1" applyFont="1" applyProtection="1">
      <protection hidden="1"/>
    </xf>
    <xf numFmtId="1" fontId="81" fillId="0" borderId="0" xfId="5" applyNumberFormat="1" applyFont="1" applyAlignment="1" applyProtection="1">
      <alignment horizontal="right"/>
      <protection locked="0" hidden="1"/>
    </xf>
    <xf numFmtId="167" fontId="81" fillId="0" borderId="0" xfId="5" quotePrefix="1" applyNumberFormat="1" applyFont="1" applyAlignment="1" applyProtection="1">
      <alignment horizontal="left"/>
      <protection hidden="1"/>
    </xf>
    <xf numFmtId="0" fontId="143" fillId="0" borderId="0" xfId="0" applyFont="1"/>
    <xf numFmtId="167" fontId="81" fillId="0" borderId="0" xfId="5" applyNumberFormat="1" applyFont="1" applyAlignment="1" applyProtection="1">
      <alignment horizontal="left"/>
      <protection locked="0" hidden="1"/>
    </xf>
    <xf numFmtId="167" fontId="81" fillId="0" borderId="0" xfId="5" applyNumberFormat="1" applyFont="1" applyAlignment="1" applyProtection="1">
      <alignment horizontal="left"/>
      <protection hidden="1"/>
    </xf>
    <xf numFmtId="167" fontId="82" fillId="0" borderId="0" xfId="5" applyNumberFormat="1" applyFont="1" applyProtection="1">
      <protection locked="0" hidden="1"/>
    </xf>
    <xf numFmtId="0" fontId="81" fillId="0" borderId="0" xfId="5" applyFont="1"/>
    <xf numFmtId="167" fontId="82" fillId="0" borderId="0" xfId="5" applyNumberFormat="1" applyFont="1" applyProtection="1">
      <protection hidden="1"/>
    </xf>
    <xf numFmtId="167" fontId="83" fillId="0" borderId="0" xfId="5" applyNumberFormat="1" applyFont="1" applyProtection="1">
      <protection hidden="1"/>
    </xf>
    <xf numFmtId="167" fontId="81" fillId="0" borderId="0" xfId="5" quotePrefix="1" applyNumberFormat="1" applyFont="1" applyAlignment="1" applyProtection="1">
      <alignment horizontal="left"/>
      <protection locked="0" hidden="1"/>
    </xf>
    <xf numFmtId="167" fontId="83" fillId="0" borderId="0" xfId="5" applyNumberFormat="1" applyFont="1" applyProtection="1">
      <protection locked="0" hidden="1"/>
    </xf>
    <xf numFmtId="167" fontId="39" fillId="0" borderId="0" xfId="1" quotePrefix="1" applyNumberFormat="1" applyFont="1" applyAlignment="1" applyProtection="1">
      <alignment horizontal="left"/>
      <protection hidden="1"/>
    </xf>
    <xf numFmtId="167" fontId="78" fillId="0" borderId="0" xfId="5" quotePrefix="1" applyNumberFormat="1" applyFont="1" applyAlignment="1" applyProtection="1">
      <alignment horizontal="left"/>
      <protection hidden="1"/>
    </xf>
    <xf numFmtId="0" fontId="15" fillId="0" borderId="0" xfId="0" applyFont="1" applyAlignment="1">
      <alignment horizontal="left"/>
    </xf>
    <xf numFmtId="0" fontId="41" fillId="33" borderId="0" xfId="0" applyFont="1" applyFill="1" applyAlignment="1">
      <alignment wrapText="1"/>
    </xf>
    <xf numFmtId="0" fontId="84" fillId="0" borderId="0" xfId="0" applyFont="1" applyAlignment="1">
      <alignment wrapText="1"/>
    </xf>
    <xf numFmtId="0" fontId="86" fillId="33" borderId="0" xfId="1" applyFont="1" applyFill="1" applyAlignment="1" applyProtection="1">
      <alignment horizontal="left"/>
      <protection hidden="1"/>
    </xf>
    <xf numFmtId="167" fontId="86" fillId="33" borderId="0" xfId="1" applyNumberFormat="1" applyFont="1" applyFill="1" applyAlignment="1" applyProtection="1">
      <alignment horizontal="left"/>
      <protection hidden="1"/>
    </xf>
    <xf numFmtId="0" fontId="15" fillId="33" borderId="0" xfId="0" applyFont="1" applyFill="1" applyAlignment="1">
      <alignment horizontal="left"/>
    </xf>
    <xf numFmtId="0" fontId="41" fillId="33" borderId="0" xfId="0" applyFont="1" applyFill="1" applyAlignment="1">
      <alignment horizontal="left"/>
    </xf>
    <xf numFmtId="0" fontId="15" fillId="14" borderId="0" xfId="0" applyFont="1" applyFill="1" applyAlignment="1">
      <alignment horizontal="left"/>
    </xf>
    <xf numFmtId="0" fontId="15" fillId="14" borderId="0" xfId="0" applyFont="1" applyFill="1"/>
    <xf numFmtId="0" fontId="15" fillId="33" borderId="0" xfId="0" applyFont="1" applyFill="1" applyAlignment="1">
      <alignment horizontal="left" vertical="center"/>
    </xf>
    <xf numFmtId="167" fontId="213" fillId="33" borderId="0" xfId="1" applyNumberFormat="1" applyFont="1" applyFill="1" applyAlignment="1" applyProtection="1">
      <alignment horizontal="left"/>
      <protection hidden="1"/>
    </xf>
    <xf numFmtId="167" fontId="214" fillId="33" borderId="0" xfId="1" applyNumberFormat="1" applyFont="1" applyFill="1" applyAlignment="1" applyProtection="1">
      <alignment horizontal="left"/>
      <protection hidden="1"/>
    </xf>
    <xf numFmtId="0" fontId="15" fillId="33" borderId="0" xfId="1" applyFont="1" applyFill="1"/>
    <xf numFmtId="0" fontId="15" fillId="33" borderId="0" xfId="0" applyFont="1" applyFill="1" applyAlignment="1">
      <alignment horizontal="right"/>
    </xf>
    <xf numFmtId="0" fontId="15" fillId="10" borderId="0" xfId="1" applyFont="1" applyFill="1" applyAlignment="1">
      <alignment horizontal="left"/>
    </xf>
    <xf numFmtId="0" fontId="15" fillId="10" borderId="0" xfId="1" applyFont="1" applyFill="1"/>
    <xf numFmtId="0" fontId="109" fillId="0" borderId="0" xfId="5" applyFont="1" applyAlignment="1" applyProtection="1">
      <alignment horizontal="left" vertical="center" indent="1"/>
      <protection hidden="1"/>
    </xf>
    <xf numFmtId="0" fontId="25" fillId="0" borderId="0" xfId="5" quotePrefix="1" applyFont="1" applyAlignment="1" applyProtection="1">
      <alignment wrapText="1"/>
      <protection hidden="1"/>
    </xf>
    <xf numFmtId="0" fontId="25" fillId="21" borderId="0" xfId="1" applyFont="1" applyFill="1" applyProtection="1">
      <protection hidden="1"/>
    </xf>
    <xf numFmtId="167" fontId="150" fillId="13" borderId="0" xfId="1" applyNumberFormat="1" applyFont="1" applyFill="1" applyAlignment="1" applyProtection="1">
      <alignment vertical="top"/>
      <protection hidden="1"/>
    </xf>
    <xf numFmtId="0" fontId="146" fillId="0" borderId="0" xfId="0" applyFont="1" applyAlignment="1">
      <alignment vertical="top"/>
    </xf>
    <xf numFmtId="0" fontId="215" fillId="21" borderId="0" xfId="1" applyFont="1" applyFill="1" applyAlignment="1" applyProtection="1">
      <alignment horizontal="left" vertical="center"/>
      <protection hidden="1"/>
    </xf>
    <xf numFmtId="0" fontId="215" fillId="21" borderId="0" xfId="1" applyFont="1" applyFill="1" applyAlignment="1" applyProtection="1">
      <alignment horizontal="left" vertical="top"/>
      <protection hidden="1"/>
    </xf>
    <xf numFmtId="0" fontId="212" fillId="21" borderId="0" xfId="1" applyFont="1" applyFill="1" applyAlignment="1" applyProtection="1">
      <alignment horizontal="left" vertical="center"/>
      <protection hidden="1"/>
    </xf>
    <xf numFmtId="0" fontId="124" fillId="33" borderId="0" xfId="0" applyFont="1" applyFill="1"/>
    <xf numFmtId="1" fontId="124" fillId="33" borderId="0" xfId="0" applyNumberFormat="1" applyFont="1" applyFill="1"/>
    <xf numFmtId="0" fontId="81" fillId="14" borderId="0" xfId="0" applyFont="1" applyFill="1" applyAlignment="1">
      <alignment horizontal="left" vertical="center"/>
    </xf>
    <xf numFmtId="6" fontId="27" fillId="0" borderId="0" xfId="0" applyNumberFormat="1" applyFont="1" applyAlignment="1">
      <alignment horizontal="center"/>
    </xf>
    <xf numFmtId="0" fontId="15" fillId="35" borderId="0" xfId="0" applyFont="1" applyFill="1"/>
    <xf numFmtId="0" fontId="15" fillId="35" borderId="0" xfId="0" quotePrefix="1" applyFont="1" applyFill="1" applyAlignment="1">
      <alignment horizontal="right" vertical="center"/>
    </xf>
    <xf numFmtId="0" fontId="124" fillId="35" borderId="0" xfId="6" applyFont="1" applyFill="1"/>
    <xf numFmtId="49" fontId="124" fillId="35" borderId="0" xfId="0" applyNumberFormat="1" applyFont="1" applyFill="1" applyAlignment="1">
      <alignment horizontal="left" vertical="center"/>
    </xf>
    <xf numFmtId="0" fontId="15" fillId="0" borderId="0" xfId="0" applyFont="1" applyAlignment="1">
      <alignment horizontal="right" vertical="center"/>
    </xf>
    <xf numFmtId="0" fontId="15" fillId="0" borderId="0" xfId="0" applyFont="1" applyAlignment="1">
      <alignment horizontal="left" wrapText="1"/>
    </xf>
    <xf numFmtId="0" fontId="15" fillId="0" borderId="0" xfId="67" applyFont="1"/>
    <xf numFmtId="0" fontId="157" fillId="0" borderId="0" xfId="67" applyFont="1" applyAlignment="1">
      <alignment horizontal="right" wrapText="1"/>
    </xf>
    <xf numFmtId="0" fontId="15" fillId="0" borderId="0" xfId="67" applyFont="1" applyAlignment="1">
      <alignment horizontal="right"/>
    </xf>
    <xf numFmtId="0" fontId="124" fillId="10" borderId="0" xfId="0" applyFont="1" applyFill="1"/>
    <xf numFmtId="0" fontId="15" fillId="33" borderId="0" xfId="0" applyFont="1" applyFill="1" applyAlignment="1">
      <alignment wrapText="1"/>
    </xf>
    <xf numFmtId="0" fontId="86" fillId="0" borderId="0" xfId="1" applyFont="1" applyAlignment="1">
      <alignment horizontal="center" vertical="center"/>
    </xf>
    <xf numFmtId="0" fontId="151" fillId="0" borderId="0" xfId="0" applyFont="1" applyAlignment="1">
      <alignment wrapText="1"/>
    </xf>
    <xf numFmtId="0" fontId="179" fillId="0" borderId="0" xfId="0" quotePrefix="1" applyFont="1" applyAlignment="1" applyProtection="1">
      <alignment vertical="top" wrapText="1"/>
      <protection hidden="1"/>
    </xf>
    <xf numFmtId="0" fontId="92" fillId="0" borderId="0" xfId="1" applyFont="1" applyProtection="1">
      <protection hidden="1"/>
    </xf>
    <xf numFmtId="0" fontId="216" fillId="13" borderId="10" xfId="2" applyFont="1" applyFill="1" applyBorder="1" applyAlignment="1" applyProtection="1">
      <alignment horizontal="center" vertical="center"/>
      <protection locked="0"/>
    </xf>
    <xf numFmtId="0" fontId="216" fillId="13" borderId="13" xfId="2" applyFont="1" applyFill="1" applyBorder="1" applyAlignment="1" applyProtection="1">
      <alignment horizontal="center" vertical="center"/>
      <protection locked="0"/>
    </xf>
    <xf numFmtId="2" fontId="124" fillId="0" borderId="0" xfId="0" applyNumberFormat="1" applyFont="1"/>
    <xf numFmtId="0" fontId="102" fillId="0" borderId="0" xfId="0" applyFont="1"/>
    <xf numFmtId="1" fontId="126" fillId="0" borderId="0" xfId="17" applyNumberFormat="1" applyFont="1"/>
    <xf numFmtId="2" fontId="126" fillId="0" borderId="0" xfId="15" applyNumberFormat="1" applyFont="1"/>
    <xf numFmtId="1" fontId="126" fillId="0" borderId="0" xfId="17" applyNumberFormat="1" applyFont="1" applyAlignment="1">
      <alignment horizontal="right"/>
    </xf>
    <xf numFmtId="2" fontId="126" fillId="0" borderId="0" xfId="15" applyNumberFormat="1" applyFont="1" applyAlignment="1">
      <alignment horizontal="right"/>
    </xf>
    <xf numFmtId="0" fontId="126" fillId="0" borderId="0" xfId="15" applyFont="1" applyAlignment="1">
      <alignment horizontal="right"/>
    </xf>
    <xf numFmtId="1" fontId="15" fillId="33" borderId="0" xfId="0" applyNumberFormat="1" applyFont="1" applyFill="1"/>
    <xf numFmtId="0" fontId="76" fillId="33" borderId="0" xfId="1" applyFont="1" applyFill="1"/>
    <xf numFmtId="0" fontId="25" fillId="13" borderId="0" xfId="5" quotePrefix="1" applyFont="1" applyFill="1" applyAlignment="1" applyProtection="1">
      <alignment wrapText="1"/>
      <protection hidden="1"/>
    </xf>
    <xf numFmtId="0" fontId="25" fillId="13" borderId="0" xfId="5" quotePrefix="1" applyFont="1" applyFill="1" applyAlignment="1">
      <alignment wrapText="1"/>
    </xf>
    <xf numFmtId="2" fontId="124" fillId="0" borderId="0" xfId="0" applyNumberFormat="1" applyFont="1" applyAlignment="1">
      <alignment vertical="center"/>
    </xf>
    <xf numFmtId="2" fontId="124" fillId="35" borderId="0" xfId="0" applyNumberFormat="1" applyFont="1" applyFill="1"/>
    <xf numFmtId="2" fontId="124" fillId="35" borderId="0" xfId="0" applyNumberFormat="1" applyFont="1" applyFill="1" applyAlignment="1">
      <alignment vertical="center"/>
    </xf>
    <xf numFmtId="2" fontId="124" fillId="31" borderId="0" xfId="0" applyNumberFormat="1" applyFont="1" applyFill="1" applyAlignment="1">
      <alignment vertical="center"/>
    </xf>
    <xf numFmtId="2" fontId="15" fillId="35" borderId="0" xfId="0" applyNumberFormat="1" applyFont="1" applyFill="1" applyAlignment="1">
      <alignment vertical="center"/>
    </xf>
    <xf numFmtId="2" fontId="15" fillId="0" borderId="0" xfId="0" applyNumberFormat="1" applyFont="1" applyAlignment="1">
      <alignment vertical="center"/>
    </xf>
    <xf numFmtId="0" fontId="85" fillId="33" borderId="0" xfId="0" applyFont="1" applyFill="1" applyAlignment="1">
      <alignment horizontal="right"/>
    </xf>
    <xf numFmtId="0" fontId="85" fillId="33" borderId="0" xfId="0" applyFont="1" applyFill="1" applyAlignment="1">
      <alignment horizontal="left"/>
    </xf>
    <xf numFmtId="1" fontId="36" fillId="33" borderId="0" xfId="1" applyNumberFormat="1" applyFont="1" applyFill="1" applyAlignment="1" applyProtection="1">
      <alignment horizontal="center"/>
      <protection hidden="1"/>
    </xf>
    <xf numFmtId="0" fontId="84" fillId="33" borderId="0" xfId="0" applyFont="1" applyFill="1"/>
    <xf numFmtId="169" fontId="84" fillId="33" borderId="0" xfId="0" applyNumberFormat="1" applyFont="1" applyFill="1"/>
    <xf numFmtId="0" fontId="27" fillId="13" borderId="1" xfId="5" applyFont="1" applyFill="1" applyBorder="1"/>
    <xf numFmtId="0" fontId="27" fillId="13" borderId="1" xfId="5" applyFont="1" applyFill="1" applyBorder="1" applyAlignment="1">
      <alignment vertical="top"/>
    </xf>
    <xf numFmtId="49" fontId="25" fillId="13" borderId="44" xfId="5" applyNumberFormat="1" applyFont="1" applyFill="1" applyBorder="1" applyAlignment="1" applyProtection="1">
      <alignment horizontal="left" vertical="center"/>
      <protection locked="0"/>
    </xf>
    <xf numFmtId="49" fontId="26" fillId="13" borderId="44" xfId="5" applyNumberFormat="1" applyFont="1" applyFill="1" applyBorder="1" applyAlignment="1" applyProtection="1">
      <alignment horizontal="left" vertical="center"/>
      <protection locked="0"/>
    </xf>
    <xf numFmtId="49" fontId="25" fillId="13" borderId="45" xfId="5" applyNumberFormat="1" applyFont="1" applyFill="1" applyBorder="1" applyAlignment="1" applyProtection="1">
      <alignment horizontal="left" vertical="center"/>
      <protection locked="0"/>
    </xf>
    <xf numFmtId="3" fontId="25" fillId="13" borderId="46" xfId="5" applyNumberFormat="1" applyFont="1" applyFill="1" applyBorder="1" applyAlignment="1" applyProtection="1">
      <alignment vertical="top"/>
      <protection locked="0"/>
    </xf>
    <xf numFmtId="49" fontId="26" fillId="13" borderId="45" xfId="5" applyNumberFormat="1" applyFont="1" applyFill="1" applyBorder="1" applyAlignment="1" applyProtection="1">
      <alignment horizontal="left" vertical="center"/>
      <protection locked="0"/>
    </xf>
    <xf numFmtId="49" fontId="26" fillId="13" borderId="47" xfId="5" applyNumberFormat="1" applyFont="1" applyFill="1" applyBorder="1" applyAlignment="1" applyProtection="1">
      <alignment horizontal="left" vertical="center"/>
      <protection locked="0"/>
    </xf>
    <xf numFmtId="3" fontId="25" fillId="13" borderId="48" xfId="5" applyNumberFormat="1" applyFont="1" applyFill="1" applyBorder="1" applyAlignment="1" applyProtection="1">
      <alignment vertical="top"/>
      <protection locked="0"/>
    </xf>
    <xf numFmtId="0" fontId="27" fillId="13" borderId="49" xfId="5" applyFont="1" applyFill="1" applyBorder="1"/>
    <xf numFmtId="0" fontId="27" fillId="13" borderId="50" xfId="5" applyFont="1" applyFill="1" applyBorder="1" applyAlignment="1">
      <alignment vertical="top"/>
    </xf>
    <xf numFmtId="0" fontId="114" fillId="10" borderId="0" xfId="1" quotePrefix="1" applyFont="1" applyFill="1" applyAlignment="1">
      <alignment horizontal="left" vertical="center" wrapText="1"/>
    </xf>
    <xf numFmtId="0" fontId="114" fillId="13" borderId="0" xfId="1" quotePrefix="1" applyFont="1" applyFill="1" applyAlignment="1">
      <alignment horizontal="left" vertical="center" wrapText="1"/>
    </xf>
    <xf numFmtId="0" fontId="87" fillId="10" borderId="0" xfId="0" applyFont="1" applyFill="1"/>
    <xf numFmtId="167" fontId="165" fillId="0" borderId="0" xfId="1" applyNumberFormat="1" applyFont="1" applyProtection="1">
      <protection hidden="1"/>
    </xf>
    <xf numFmtId="167" fontId="25" fillId="0" borderId="0" xfId="1" quotePrefix="1" applyNumberFormat="1" applyFont="1" applyAlignment="1" applyProtection="1">
      <alignment horizontal="right"/>
      <protection hidden="1"/>
    </xf>
    <xf numFmtId="0" fontId="206" fillId="0" borderId="0" xfId="1" applyFont="1" applyAlignment="1" applyProtection="1">
      <alignment horizontal="left" vertical="center"/>
      <protection hidden="1"/>
    </xf>
    <xf numFmtId="0" fontId="206" fillId="0" borderId="0" xfId="1" applyFont="1" applyAlignment="1" applyProtection="1">
      <alignment horizontal="left" vertical="top"/>
      <protection hidden="1"/>
    </xf>
    <xf numFmtId="0" fontId="25" fillId="0" borderId="10" xfId="0" applyFont="1" applyBorder="1"/>
    <xf numFmtId="0" fontId="25" fillId="0" borderId="32" xfId="0" applyFont="1" applyBorder="1"/>
    <xf numFmtId="0" fontId="216" fillId="0" borderId="0" xfId="2" applyFont="1" applyAlignment="1" applyProtection="1">
      <alignment horizontal="center" vertical="center"/>
      <protection locked="0" hidden="1"/>
    </xf>
    <xf numFmtId="0" fontId="216" fillId="0" borderId="0" xfId="2" applyFont="1" applyFill="1" applyAlignment="1" applyProtection="1">
      <alignment horizontal="center" vertical="center"/>
      <protection locked="0" hidden="1"/>
    </xf>
    <xf numFmtId="0" fontId="216" fillId="0" borderId="0" xfId="2" applyFont="1" applyAlignment="1" applyProtection="1">
      <alignment horizontal="center" vertical="center"/>
      <protection locked="0"/>
    </xf>
    <xf numFmtId="0" fontId="216" fillId="0" borderId="0" xfId="2" applyFont="1" applyAlignment="1" applyProtection="1">
      <alignment horizontal="center"/>
    </xf>
    <xf numFmtId="0" fontId="216" fillId="0" borderId="0" xfId="2" applyFont="1" applyFill="1" applyAlignment="1" applyProtection="1">
      <alignment horizontal="center" vertical="center" wrapText="1"/>
      <protection locked="0" hidden="1"/>
    </xf>
    <xf numFmtId="0" fontId="216" fillId="13" borderId="0" xfId="2" applyFont="1" applyFill="1" applyAlignment="1" applyProtection="1">
      <alignment horizontal="center" vertical="center"/>
      <protection locked="0" hidden="1"/>
    </xf>
    <xf numFmtId="0" fontId="216" fillId="10" borderId="0" xfId="2" applyFont="1" applyFill="1" applyAlignment="1" applyProtection="1">
      <alignment horizontal="center" vertical="center"/>
      <protection hidden="1"/>
    </xf>
    <xf numFmtId="0" fontId="216" fillId="2" borderId="0" xfId="2" applyFont="1" applyFill="1" applyAlignment="1" applyProtection="1">
      <alignment horizontal="center" vertical="center"/>
      <protection locked="0" hidden="1"/>
    </xf>
    <xf numFmtId="0" fontId="216" fillId="0" borderId="0" xfId="2" applyFont="1" applyFill="1" applyAlignment="1" applyProtection="1">
      <alignment horizontal="center" vertical="center"/>
      <protection hidden="1"/>
    </xf>
    <xf numFmtId="0" fontId="216" fillId="0" borderId="0" xfId="2" applyFont="1" applyAlignment="1" applyProtection="1">
      <alignment horizontal="center" vertical="center"/>
      <protection hidden="1"/>
    </xf>
    <xf numFmtId="0" fontId="217" fillId="0" borderId="0" xfId="1" applyFont="1" applyAlignment="1" applyProtection="1">
      <alignment horizontal="center" vertical="center"/>
      <protection hidden="1"/>
    </xf>
    <xf numFmtId="0" fontId="216" fillId="0" borderId="0" xfId="2" applyFont="1" applyAlignment="1" applyProtection="1">
      <alignment horizontal="center" vertical="center"/>
    </xf>
    <xf numFmtId="0" fontId="216" fillId="0" borderId="0" xfId="2" applyFont="1" applyAlignment="1" applyProtection="1"/>
    <xf numFmtId="0" fontId="216" fillId="0" borderId="0" xfId="2" applyFont="1" applyAlignment="1" applyProtection="1">
      <alignment horizontal="left" vertical="top"/>
      <protection hidden="1"/>
    </xf>
    <xf numFmtId="0" fontId="218" fillId="0" borderId="0" xfId="2" applyFont="1" applyAlignment="1" applyProtection="1">
      <alignment horizontal="center" vertical="center"/>
      <protection hidden="1"/>
    </xf>
    <xf numFmtId="0" fontId="218" fillId="0" borderId="0" xfId="2" applyFont="1" applyAlignment="1" applyProtection="1">
      <alignment horizontal="center" vertical="center"/>
    </xf>
    <xf numFmtId="0" fontId="218" fillId="0" borderId="0" xfId="2" applyFont="1" applyAlignment="1" applyProtection="1"/>
    <xf numFmtId="0" fontId="216" fillId="0" borderId="0" xfId="2" applyFont="1" applyFill="1" applyAlignment="1" applyProtection="1">
      <alignment horizontal="center" vertical="center"/>
    </xf>
    <xf numFmtId="167" fontId="201" fillId="0" borderId="0" xfId="1" applyNumberFormat="1" applyFont="1"/>
    <xf numFmtId="167" fontId="216" fillId="0" borderId="0" xfId="2" applyNumberFormat="1" applyFont="1" applyAlignment="1" applyProtection="1"/>
    <xf numFmtId="0" fontId="201" fillId="0" borderId="14" xfId="1" applyFont="1" applyBorder="1"/>
    <xf numFmtId="0" fontId="121" fillId="21" borderId="0" xfId="1" applyFont="1" applyFill="1" applyProtection="1">
      <protection hidden="1"/>
    </xf>
    <xf numFmtId="0" fontId="171" fillId="21" borderId="0" xfId="5" applyFont="1" applyFill="1" applyAlignment="1" applyProtection="1">
      <alignment horizontal="left" vertical="center" indent="1"/>
      <protection hidden="1"/>
    </xf>
    <xf numFmtId="3" fontId="35" fillId="0" borderId="0" xfId="0" applyNumberFormat="1" applyFont="1"/>
    <xf numFmtId="2" fontId="126" fillId="0" borderId="0" xfId="0" applyNumberFormat="1" applyFont="1"/>
    <xf numFmtId="0" fontId="126" fillId="0" borderId="0" xfId="0" applyFont="1"/>
    <xf numFmtId="0" fontId="102" fillId="10" borderId="0" xfId="0" applyFont="1" applyFill="1"/>
    <xf numFmtId="3" fontId="220" fillId="0" borderId="0" xfId="0" applyNumberFormat="1" applyFont="1" applyAlignment="1">
      <alignment vertical="center"/>
    </xf>
    <xf numFmtId="167" fontId="25" fillId="0" borderId="0" xfId="1" applyNumberFormat="1" applyFont="1" applyProtection="1">
      <protection locked="0"/>
    </xf>
    <xf numFmtId="167" fontId="27" fillId="0" borderId="0" xfId="1" applyNumberFormat="1" applyFont="1" applyAlignment="1" applyProtection="1">
      <alignment horizontal="center" vertical="center"/>
      <protection hidden="1"/>
    </xf>
    <xf numFmtId="0" fontId="25" fillId="0" borderId="0" xfId="0" applyFont="1" applyProtection="1">
      <protection locked="0"/>
    </xf>
    <xf numFmtId="0" fontId="83" fillId="0" borderId="0" xfId="0" applyFont="1"/>
    <xf numFmtId="2" fontId="83" fillId="0" borderId="0" xfId="0" applyNumberFormat="1" applyFont="1" applyAlignment="1">
      <alignment vertical="center"/>
    </xf>
    <xf numFmtId="0" fontId="83" fillId="0" borderId="0" xfId="0" quotePrefix="1" applyFont="1" applyAlignment="1">
      <alignment horizontal="right" vertical="center"/>
    </xf>
    <xf numFmtId="0" fontId="83" fillId="14" borderId="0" xfId="0" applyFont="1" applyFill="1"/>
    <xf numFmtId="0" fontId="83" fillId="10" borderId="0" xfId="0" applyFont="1" applyFill="1"/>
    <xf numFmtId="0" fontId="25" fillId="0" borderId="0" xfId="0" applyFont="1" applyProtection="1">
      <protection locked="0" hidden="1"/>
    </xf>
    <xf numFmtId="167" fontId="112" fillId="2" borderId="0" xfId="1" quotePrefix="1" applyNumberFormat="1" applyFont="1" applyFill="1" applyAlignment="1">
      <alignment horizontal="center"/>
    </xf>
    <xf numFmtId="0" fontId="15" fillId="0" borderId="0" xfId="1" applyFont="1" applyAlignment="1" applyProtection="1">
      <alignment wrapText="1"/>
      <protection hidden="1"/>
    </xf>
    <xf numFmtId="0" fontId="102" fillId="31" borderId="0" xfId="0" applyFont="1" applyFill="1"/>
    <xf numFmtId="167" fontId="223" fillId="2" borderId="0" xfId="4" applyFont="1" applyFill="1" applyAlignment="1" applyProtection="1">
      <alignment horizontal="right"/>
      <protection hidden="1"/>
    </xf>
    <xf numFmtId="167" fontId="27" fillId="0" borderId="0" xfId="1" applyNumberFormat="1" applyFont="1" applyAlignment="1" applyProtection="1">
      <alignment wrapText="1"/>
      <protection hidden="1"/>
    </xf>
    <xf numFmtId="167" fontId="112" fillId="2" borderId="0" xfId="1" quotePrefix="1" applyNumberFormat="1" applyFont="1" applyFill="1" applyAlignment="1" applyProtection="1">
      <alignment horizontal="right" vertical="top" wrapText="1"/>
      <protection hidden="1"/>
    </xf>
    <xf numFmtId="167" fontId="223" fillId="2" borderId="0" xfId="4" applyFont="1" applyFill="1" applyAlignment="1" applyProtection="1">
      <alignment horizontal="left"/>
      <protection hidden="1"/>
    </xf>
    <xf numFmtId="0" fontId="126" fillId="34" borderId="0" xfId="15" applyFont="1" applyFill="1" applyAlignment="1">
      <alignment wrapText="1"/>
    </xf>
    <xf numFmtId="0" fontId="126" fillId="34" borderId="0" xfId="15" applyFont="1" applyFill="1" applyAlignment="1">
      <alignment horizontal="right" wrapText="1"/>
    </xf>
    <xf numFmtId="0" fontId="126" fillId="34" borderId="0" xfId="2" applyFont="1" applyFill="1" applyAlignment="1" applyProtection="1">
      <alignment horizontal="left" wrapText="1"/>
    </xf>
    <xf numFmtId="0" fontId="126" fillId="34" borderId="0" xfId="15" applyFont="1" applyFill="1"/>
    <xf numFmtId="0" fontId="39" fillId="0" borderId="0" xfId="5" applyFont="1"/>
    <xf numFmtId="167" fontId="225" fillId="0" borderId="0" xfId="1" quotePrefix="1" applyNumberFormat="1" applyFont="1" applyAlignment="1" applyProtection="1">
      <alignment horizontal="left"/>
      <protection hidden="1"/>
    </xf>
    <xf numFmtId="167" fontId="25" fillId="0" borderId="51" xfId="1" applyNumberFormat="1" applyFont="1" applyBorder="1" applyProtection="1">
      <protection hidden="1"/>
    </xf>
    <xf numFmtId="0" fontId="226" fillId="0" borderId="0" xfId="2" applyFont="1" applyAlignment="1" applyProtection="1">
      <alignment horizontal="center" vertical="center"/>
    </xf>
    <xf numFmtId="167" fontId="25" fillId="0" borderId="52" xfId="1" applyNumberFormat="1" applyFont="1" applyBorder="1" applyProtection="1">
      <protection locked="0"/>
    </xf>
    <xf numFmtId="167" fontId="37" fillId="16" borderId="52" xfId="1" applyNumberFormat="1" applyFont="1" applyFill="1" applyBorder="1"/>
    <xf numFmtId="167" fontId="25" fillId="0" borderId="52" xfId="1" applyNumberFormat="1" applyFont="1" applyBorder="1" applyAlignment="1" applyProtection="1">
      <alignment vertical="center"/>
      <protection locked="0"/>
    </xf>
    <xf numFmtId="167" fontId="37" fillId="16" borderId="52" xfId="1" applyNumberFormat="1" applyFont="1" applyFill="1" applyBorder="1" applyAlignment="1">
      <alignment vertical="center"/>
    </xf>
    <xf numFmtId="167" fontId="26" fillId="16" borderId="52" xfId="1" applyNumberFormat="1" applyFont="1" applyFill="1" applyBorder="1"/>
    <xf numFmtId="167" fontId="46" fillId="16" borderId="52" xfId="1" applyNumberFormat="1" applyFont="1" applyFill="1" applyBorder="1"/>
    <xf numFmtId="167" fontId="25" fillId="0" borderId="52" xfId="5" applyNumberFormat="1" applyFont="1" applyBorder="1" applyProtection="1">
      <protection locked="0"/>
    </xf>
    <xf numFmtId="167" fontId="26" fillId="24" borderId="52" xfId="5" applyNumberFormat="1" applyFont="1" applyFill="1" applyBorder="1"/>
    <xf numFmtId="167" fontId="37" fillId="24" borderId="52" xfId="5" applyNumberFormat="1" applyFont="1" applyFill="1" applyBorder="1"/>
    <xf numFmtId="168" fontId="26" fillId="16" borderId="52" xfId="1" applyNumberFormat="1" applyFont="1" applyFill="1" applyBorder="1"/>
    <xf numFmtId="167" fontId="46" fillId="24" borderId="52" xfId="5" applyNumberFormat="1" applyFont="1" applyFill="1" applyBorder="1"/>
    <xf numFmtId="0" fontId="27" fillId="0" borderId="52" xfId="0" applyFont="1" applyBorder="1"/>
    <xf numFmtId="0" fontId="27" fillId="0" borderId="52" xfId="0" applyFont="1" applyBorder="1" applyAlignment="1">
      <alignment horizontal="center" vertical="center" wrapText="1"/>
    </xf>
    <xf numFmtId="0" fontId="30" fillId="0" borderId="52" xfId="0" applyFont="1" applyBorder="1" applyAlignment="1">
      <alignment vertical="top"/>
    </xf>
    <xf numFmtId="0" fontId="30" fillId="0" borderId="52" xfId="0" applyFont="1" applyBorder="1"/>
    <xf numFmtId="0" fontId="25" fillId="0" borderId="52" xfId="0" quotePrefix="1" applyFont="1" applyBorder="1" applyAlignment="1">
      <alignment vertical="top"/>
    </xf>
    <xf numFmtId="0" fontId="25" fillId="0" borderId="52" xfId="0" applyFont="1" applyBorder="1" applyAlignment="1">
      <alignment wrapText="1"/>
    </xf>
    <xf numFmtId="14" fontId="25" fillId="0" borderId="52" xfId="0" applyNumberFormat="1" applyFont="1" applyBorder="1" applyAlignment="1">
      <alignment horizontal="left"/>
    </xf>
    <xf numFmtId="0" fontId="61" fillId="0" borderId="52" xfId="0" quotePrefix="1" applyFont="1" applyBorder="1" applyAlignment="1" applyProtection="1">
      <alignment vertical="top"/>
      <protection locked="0"/>
    </xf>
    <xf numFmtId="0" fontId="61" fillId="0" borderId="52" xfId="0" applyFont="1" applyBorder="1" applyAlignment="1" applyProtection="1">
      <alignment wrapText="1"/>
      <protection locked="0"/>
    </xf>
    <xf numFmtId="14" fontId="25" fillId="0" borderId="52" xfId="0" applyNumberFormat="1" applyFont="1" applyBorder="1" applyAlignment="1" applyProtection="1">
      <alignment horizontal="left"/>
      <protection locked="0"/>
    </xf>
    <xf numFmtId="0" fontId="61" fillId="0" borderId="52" xfId="0" applyFont="1" applyBorder="1" applyAlignment="1" applyProtection="1">
      <alignment vertical="top"/>
      <protection locked="0"/>
    </xf>
    <xf numFmtId="14" fontId="61" fillId="0" borderId="52" xfId="0" applyNumberFormat="1" applyFont="1" applyBorder="1" applyProtection="1">
      <protection locked="0"/>
    </xf>
    <xf numFmtId="168" fontId="46" fillId="16" borderId="52" xfId="1" applyNumberFormat="1" applyFont="1" applyFill="1" applyBorder="1"/>
    <xf numFmtId="168" fontId="25" fillId="0" borderId="52" xfId="1" applyNumberFormat="1" applyFont="1" applyBorder="1" applyProtection="1">
      <protection locked="0"/>
    </xf>
    <xf numFmtId="168" fontId="88" fillId="14" borderId="52" xfId="1" applyNumberFormat="1" applyFont="1" applyFill="1" applyBorder="1" applyProtection="1">
      <protection locked="0"/>
    </xf>
    <xf numFmtId="168" fontId="25" fillId="14" borderId="52" xfId="1" applyNumberFormat="1" applyFont="1" applyFill="1" applyBorder="1" applyProtection="1">
      <protection locked="0"/>
    </xf>
    <xf numFmtId="168" fontId="37" fillId="16" borderId="52" xfId="1" applyNumberFormat="1" applyFont="1" applyFill="1" applyBorder="1"/>
    <xf numFmtId="168" fontId="25" fillId="16" borderId="52" xfId="1" applyNumberFormat="1" applyFont="1" applyFill="1" applyBorder="1"/>
    <xf numFmtId="168" fontId="13" fillId="16" borderId="52" xfId="1" applyNumberFormat="1" applyFont="1" applyFill="1" applyBorder="1"/>
    <xf numFmtId="168" fontId="88" fillId="0" borderId="52" xfId="1" applyNumberFormat="1" applyFont="1" applyBorder="1" applyProtection="1">
      <protection locked="0"/>
    </xf>
    <xf numFmtId="168" fontId="127" fillId="13" borderId="52" xfId="1" applyNumberFormat="1" applyFont="1" applyFill="1" applyBorder="1" applyProtection="1">
      <protection locked="0"/>
    </xf>
    <xf numFmtId="168" fontId="89" fillId="16" borderId="52" xfId="1" applyNumberFormat="1" applyFont="1" applyFill="1" applyBorder="1"/>
    <xf numFmtId="167" fontId="25" fillId="14" borderId="52" xfId="1" applyNumberFormat="1" applyFont="1" applyFill="1" applyBorder="1" applyProtection="1">
      <protection locked="0"/>
    </xf>
    <xf numFmtId="167" fontId="25" fillId="0" borderId="52" xfId="1" applyNumberFormat="1" applyFont="1" applyBorder="1" applyProtection="1">
      <protection locked="0" hidden="1"/>
    </xf>
    <xf numFmtId="167" fontId="25" fillId="16" borderId="52" xfId="1" applyNumberFormat="1" applyFont="1" applyFill="1" applyBorder="1"/>
    <xf numFmtId="167" fontId="25" fillId="13" borderId="52" xfId="1" applyNumberFormat="1" applyFont="1" applyFill="1" applyBorder="1" applyProtection="1">
      <protection locked="0"/>
    </xf>
    <xf numFmtId="167" fontId="25" fillId="0" borderId="52" xfId="1" applyNumberFormat="1" applyFont="1" applyBorder="1"/>
    <xf numFmtId="167" fontId="207" fillId="12" borderId="52" xfId="5" quotePrefix="1" applyNumberFormat="1" applyFont="1" applyFill="1" applyBorder="1" applyAlignment="1" applyProtection="1">
      <alignment horizontal="left" vertical="top"/>
      <protection locked="0"/>
    </xf>
    <xf numFmtId="3" fontId="25" fillId="13" borderId="53" xfId="5" applyNumberFormat="1" applyFont="1" applyFill="1" applyBorder="1" applyAlignment="1" applyProtection="1">
      <alignment vertical="center"/>
      <protection locked="0"/>
    </xf>
    <xf numFmtId="49" fontId="26" fillId="13" borderId="54" xfId="5" applyNumberFormat="1" applyFont="1" applyFill="1" applyBorder="1" applyAlignment="1" applyProtection="1">
      <alignment horizontal="left" vertical="center"/>
      <protection locked="0"/>
    </xf>
    <xf numFmtId="3" fontId="25" fillId="13" borderId="53" xfId="5" applyNumberFormat="1" applyFont="1" applyFill="1" applyBorder="1" applyAlignment="1" applyProtection="1">
      <alignment vertical="top"/>
      <protection locked="0"/>
    </xf>
    <xf numFmtId="167" fontId="99" fillId="0" borderId="0" xfId="5" applyNumberFormat="1" applyFont="1"/>
    <xf numFmtId="175" fontId="126" fillId="0" borderId="0" xfId="0" applyNumberFormat="1" applyFont="1"/>
    <xf numFmtId="0" fontId="132" fillId="0" borderId="0" xfId="15" applyFont="1" applyAlignment="1">
      <alignment wrapText="1"/>
    </xf>
    <xf numFmtId="0" fontId="126" fillId="0" borderId="0" xfId="15" quotePrefix="1" applyFont="1" applyAlignment="1">
      <alignment wrapText="1"/>
    </xf>
    <xf numFmtId="0" fontId="102" fillId="0" borderId="0" xfId="16" applyFont="1" applyFill="1" applyAlignment="1">
      <alignment wrapText="1"/>
    </xf>
    <xf numFmtId="167" fontId="41" fillId="10" borderId="55" xfId="1" applyNumberFormat="1" applyFont="1" applyFill="1" applyBorder="1" applyAlignment="1" applyProtection="1">
      <alignment horizontal="right" wrapText="1"/>
      <protection hidden="1"/>
    </xf>
    <xf numFmtId="0" fontId="25" fillId="0" borderId="52" xfId="0" applyFont="1" applyBorder="1" applyProtection="1">
      <protection locked="0" hidden="1"/>
    </xf>
    <xf numFmtId="167" fontId="25" fillId="22" borderId="52" xfId="1" applyNumberFormat="1" applyFont="1" applyFill="1" applyBorder="1" applyProtection="1">
      <protection locked="0"/>
    </xf>
    <xf numFmtId="167" fontId="25" fillId="24" borderId="52" xfId="1" applyNumberFormat="1" applyFont="1" applyFill="1" applyBorder="1"/>
    <xf numFmtId="3" fontId="37" fillId="16" borderId="52" xfId="1" applyNumberFormat="1" applyFont="1" applyFill="1" applyBorder="1"/>
    <xf numFmtId="174" fontId="25" fillId="24" borderId="52" xfId="5" applyNumberFormat="1" applyFont="1" applyFill="1" applyBorder="1"/>
    <xf numFmtId="9" fontId="130" fillId="10" borderId="52" xfId="106" applyFont="1" applyFill="1" applyBorder="1" applyAlignment="1" applyProtection="1">
      <alignment horizontal="center" vertical="center"/>
      <protection locked="0"/>
    </xf>
    <xf numFmtId="174" fontId="25" fillId="16" borderId="52" xfId="5" applyNumberFormat="1" applyFont="1" applyFill="1" applyBorder="1"/>
    <xf numFmtId="9" fontId="130" fillId="10" borderId="52" xfId="13" applyFont="1" applyFill="1" applyBorder="1" applyAlignment="1" applyProtection="1">
      <alignment horizontal="center" vertical="center"/>
      <protection locked="0"/>
    </xf>
    <xf numFmtId="167" fontId="93" fillId="16" borderId="52" xfId="1" applyNumberFormat="1" applyFont="1" applyFill="1" applyBorder="1" applyProtection="1">
      <protection locked="0"/>
    </xf>
    <xf numFmtId="167" fontId="144" fillId="16" borderId="52" xfId="1" applyNumberFormat="1" applyFont="1" applyFill="1" applyBorder="1"/>
    <xf numFmtId="0" fontId="25" fillId="0" borderId="52" xfId="0" applyFont="1" applyBorder="1" applyProtection="1">
      <protection locked="0"/>
    </xf>
    <xf numFmtId="0" fontId="144" fillId="16" borderId="52" xfId="0" applyFont="1" applyFill="1" applyBorder="1" applyProtection="1">
      <protection locked="0" hidden="1"/>
    </xf>
    <xf numFmtId="167" fontId="37" fillId="19" borderId="52" xfId="1" applyNumberFormat="1" applyFont="1" applyFill="1" applyBorder="1"/>
    <xf numFmtId="0" fontId="41" fillId="11" borderId="52" xfId="0" applyFont="1" applyFill="1" applyBorder="1" applyAlignment="1">
      <alignment wrapText="1"/>
    </xf>
    <xf numFmtId="0" fontId="0" fillId="0" borderId="52" xfId="0" applyBorder="1" applyProtection="1">
      <protection locked="0"/>
    </xf>
    <xf numFmtId="0" fontId="15" fillId="0" borderId="52" xfId="0" applyFont="1" applyBorder="1" applyAlignment="1" applyProtection="1">
      <alignment horizontal="right"/>
      <protection locked="0"/>
    </xf>
    <xf numFmtId="0" fontId="15" fillId="11" borderId="52" xfId="0" applyFont="1" applyFill="1" applyBorder="1"/>
    <xf numFmtId="0" fontId="15" fillId="16" borderId="52" xfId="0" applyFont="1" applyFill="1" applyBorder="1"/>
    <xf numFmtId="0" fontId="0" fillId="16" borderId="52" xfId="0" applyFill="1" applyBorder="1"/>
    <xf numFmtId="0" fontId="0" fillId="11" borderId="52" xfId="0" applyFill="1" applyBorder="1"/>
    <xf numFmtId="167" fontId="37" fillId="16" borderId="56" xfId="1" applyNumberFormat="1" applyFont="1" applyFill="1" applyBorder="1"/>
    <xf numFmtId="167" fontId="25" fillId="0" borderId="58" xfId="1" applyNumberFormat="1" applyFont="1" applyBorder="1" applyProtection="1">
      <protection locked="0"/>
    </xf>
    <xf numFmtId="167" fontId="37" fillId="16" borderId="58" xfId="1" applyNumberFormat="1" applyFont="1" applyFill="1" applyBorder="1"/>
    <xf numFmtId="0" fontId="52" fillId="0" borderId="0" xfId="2" applyFill="1" applyAlignment="1" applyProtection="1"/>
    <xf numFmtId="167" fontId="25" fillId="36" borderId="52" xfId="1" applyNumberFormat="1" applyFont="1" applyFill="1" applyBorder="1"/>
    <xf numFmtId="167" fontId="37" fillId="16" borderId="59" xfId="1" applyNumberFormat="1" applyFont="1" applyFill="1" applyBorder="1"/>
    <xf numFmtId="167" fontId="37" fillId="16" borderId="61" xfId="1" applyNumberFormat="1" applyFont="1" applyFill="1" applyBorder="1"/>
    <xf numFmtId="167" fontId="26" fillId="16" borderId="63" xfId="1" applyNumberFormat="1" applyFont="1" applyFill="1" applyBorder="1"/>
    <xf numFmtId="167" fontId="25" fillId="0" borderId="63" xfId="1" applyNumberFormat="1" applyFont="1" applyBorder="1" applyProtection="1">
      <protection locked="0"/>
    </xf>
    <xf numFmtId="0" fontId="25" fillId="0" borderId="52" xfId="1" applyFont="1" applyBorder="1" applyProtection="1">
      <protection locked="0"/>
    </xf>
    <xf numFmtId="0" fontId="27" fillId="0" borderId="52" xfId="1" applyFont="1" applyBorder="1" applyProtection="1">
      <protection locked="0"/>
    </xf>
    <xf numFmtId="0" fontId="25" fillId="22" borderId="52" xfId="1" applyFont="1" applyFill="1" applyBorder="1" applyProtection="1">
      <protection locked="0"/>
    </xf>
    <xf numFmtId="0" fontId="27" fillId="22" borderId="31" xfId="1" applyFont="1" applyFill="1" applyBorder="1" applyProtection="1">
      <protection locked="0"/>
    </xf>
    <xf numFmtId="0" fontId="27" fillId="0" borderId="58" xfId="1" applyFont="1" applyBorder="1" applyProtection="1">
      <protection locked="0"/>
    </xf>
    <xf numFmtId="167" fontId="180" fillId="0" borderId="60" xfId="1" applyNumberFormat="1" applyFont="1" applyBorder="1" applyProtection="1">
      <protection locked="0"/>
    </xf>
    <xf numFmtId="167" fontId="16" fillId="33" borderId="64" xfId="1" applyNumberFormat="1" applyFont="1" applyFill="1" applyBorder="1" applyProtection="1">
      <protection hidden="1"/>
    </xf>
    <xf numFmtId="0" fontId="17" fillId="33" borderId="65" xfId="1" applyFont="1" applyFill="1" applyBorder="1"/>
    <xf numFmtId="167" fontId="16" fillId="33" borderId="66" xfId="1" applyNumberFormat="1" applyFont="1" applyFill="1" applyBorder="1" applyProtection="1">
      <protection hidden="1"/>
    </xf>
    <xf numFmtId="167" fontId="21" fillId="33" borderId="67" xfId="1" quotePrefix="1" applyNumberFormat="1" applyFont="1" applyFill="1" applyBorder="1" applyAlignment="1" applyProtection="1">
      <alignment horizontal="left"/>
      <protection hidden="1"/>
    </xf>
    <xf numFmtId="167" fontId="21" fillId="33" borderId="68" xfId="1" quotePrefix="1" applyNumberFormat="1" applyFont="1" applyFill="1" applyBorder="1" applyAlignment="1" applyProtection="1">
      <alignment horizontal="left"/>
      <protection hidden="1"/>
    </xf>
    <xf numFmtId="167" fontId="16" fillId="33" borderId="69" xfId="1" applyNumberFormat="1" applyFont="1" applyFill="1" applyBorder="1" applyProtection="1">
      <protection hidden="1"/>
    </xf>
    <xf numFmtId="167" fontId="21" fillId="33" borderId="64" xfId="1" applyNumberFormat="1" applyFont="1" applyFill="1" applyBorder="1" applyProtection="1">
      <protection hidden="1"/>
    </xf>
    <xf numFmtId="167" fontId="21" fillId="33" borderId="64" xfId="1" quotePrefix="1" applyNumberFormat="1" applyFont="1" applyFill="1" applyBorder="1" applyAlignment="1" applyProtection="1">
      <alignment horizontal="left"/>
      <protection hidden="1"/>
    </xf>
    <xf numFmtId="167" fontId="16" fillId="33" borderId="67" xfId="1" applyNumberFormat="1" applyFont="1" applyFill="1" applyBorder="1" applyProtection="1">
      <protection hidden="1"/>
    </xf>
    <xf numFmtId="167" fontId="21" fillId="33" borderId="68" xfId="1" applyNumberFormat="1" applyFont="1" applyFill="1" applyBorder="1" applyProtection="1">
      <protection hidden="1"/>
    </xf>
    <xf numFmtId="167" fontId="50" fillId="33" borderId="64" xfId="1" applyNumberFormat="1" applyFont="1" applyFill="1" applyBorder="1" applyProtection="1">
      <protection hidden="1"/>
    </xf>
    <xf numFmtId="167" fontId="50" fillId="33" borderId="70" xfId="1" applyNumberFormat="1" applyFont="1" applyFill="1" applyBorder="1" applyProtection="1">
      <protection hidden="1"/>
    </xf>
    <xf numFmtId="167" fontId="21" fillId="33" borderId="66" xfId="1" applyNumberFormat="1" applyFont="1" applyFill="1" applyBorder="1" applyProtection="1">
      <protection hidden="1"/>
    </xf>
    <xf numFmtId="167" fontId="21" fillId="33" borderId="69" xfId="1" applyNumberFormat="1" applyFont="1" applyFill="1" applyBorder="1" applyProtection="1">
      <protection hidden="1"/>
    </xf>
    <xf numFmtId="167" fontId="21" fillId="33" borderId="69" xfId="1" quotePrefix="1" applyNumberFormat="1" applyFont="1" applyFill="1" applyBorder="1" applyProtection="1">
      <protection hidden="1"/>
    </xf>
    <xf numFmtId="167" fontId="21" fillId="33" borderId="70" xfId="1" applyNumberFormat="1" applyFont="1" applyFill="1" applyBorder="1" applyProtection="1">
      <protection hidden="1"/>
    </xf>
    <xf numFmtId="0" fontId="17" fillId="33" borderId="65" xfId="1" quotePrefix="1" applyFont="1" applyFill="1" applyBorder="1" applyAlignment="1">
      <alignment horizontal="left"/>
    </xf>
    <xf numFmtId="167" fontId="16" fillId="33" borderId="68" xfId="1" quotePrefix="1" applyNumberFormat="1" applyFont="1" applyFill="1" applyBorder="1" applyAlignment="1" applyProtection="1">
      <alignment horizontal="left"/>
      <protection hidden="1"/>
    </xf>
    <xf numFmtId="167" fontId="21" fillId="33" borderId="67" xfId="1" applyNumberFormat="1" applyFont="1" applyFill="1" applyBorder="1" applyProtection="1">
      <protection hidden="1"/>
    </xf>
    <xf numFmtId="167" fontId="21" fillId="33" borderId="66" xfId="1" quotePrefix="1" applyNumberFormat="1" applyFont="1" applyFill="1" applyBorder="1" applyAlignment="1" applyProtection="1">
      <alignment horizontal="left"/>
      <protection hidden="1"/>
    </xf>
    <xf numFmtId="167" fontId="21" fillId="33" borderId="69" xfId="1" quotePrefix="1" applyNumberFormat="1" applyFont="1" applyFill="1" applyBorder="1" applyAlignment="1" applyProtection="1">
      <alignment horizontal="left"/>
      <protection hidden="1"/>
    </xf>
    <xf numFmtId="167" fontId="21" fillId="33" borderId="68" xfId="1" quotePrefix="1" applyNumberFormat="1" applyFont="1" applyFill="1" applyBorder="1" applyProtection="1">
      <protection hidden="1"/>
    </xf>
    <xf numFmtId="167" fontId="21" fillId="33" borderId="70" xfId="1" quotePrefix="1" applyNumberFormat="1" applyFont="1" applyFill="1" applyBorder="1" applyAlignment="1" applyProtection="1">
      <alignment horizontal="left"/>
      <protection hidden="1"/>
    </xf>
    <xf numFmtId="167" fontId="50" fillId="33" borderId="67" xfId="1" applyNumberFormat="1" applyFont="1" applyFill="1" applyBorder="1" applyProtection="1">
      <protection hidden="1"/>
    </xf>
    <xf numFmtId="167" fontId="49" fillId="33" borderId="64" xfId="1" applyNumberFormat="1" applyFont="1" applyFill="1" applyBorder="1" applyProtection="1">
      <protection hidden="1"/>
    </xf>
    <xf numFmtId="0" fontId="17" fillId="33" borderId="71" xfId="1" applyFont="1" applyFill="1" applyBorder="1"/>
    <xf numFmtId="167" fontId="16" fillId="33" borderId="72" xfId="1" applyNumberFormat="1" applyFont="1" applyFill="1" applyBorder="1" applyProtection="1">
      <protection hidden="1"/>
    </xf>
    <xf numFmtId="167" fontId="16" fillId="33" borderId="73" xfId="1" applyNumberFormat="1" applyFont="1" applyFill="1" applyBorder="1" applyProtection="1">
      <protection hidden="1"/>
    </xf>
    <xf numFmtId="167" fontId="21" fillId="33" borderId="74" xfId="1" applyNumberFormat="1" applyFont="1" applyFill="1" applyBorder="1" applyProtection="1">
      <protection hidden="1"/>
    </xf>
    <xf numFmtId="167" fontId="16" fillId="33" borderId="75" xfId="1" applyNumberFormat="1" applyFont="1" applyFill="1" applyBorder="1" applyProtection="1">
      <protection hidden="1"/>
    </xf>
    <xf numFmtId="167" fontId="49" fillId="33" borderId="73" xfId="1" applyNumberFormat="1" applyFont="1" applyFill="1" applyBorder="1" applyProtection="1">
      <protection hidden="1"/>
    </xf>
    <xf numFmtId="167" fontId="21" fillId="33" borderId="73" xfId="1" quotePrefix="1" applyNumberFormat="1" applyFont="1" applyFill="1" applyBorder="1" applyAlignment="1" applyProtection="1">
      <alignment horizontal="left"/>
      <protection hidden="1"/>
    </xf>
    <xf numFmtId="167" fontId="16" fillId="33" borderId="74" xfId="1" applyNumberFormat="1" applyFont="1" applyFill="1" applyBorder="1" applyProtection="1">
      <protection hidden="1"/>
    </xf>
    <xf numFmtId="167" fontId="50" fillId="33" borderId="73" xfId="1" applyNumberFormat="1" applyFont="1" applyFill="1" applyBorder="1" applyProtection="1">
      <protection hidden="1"/>
    </xf>
    <xf numFmtId="167" fontId="50" fillId="33" borderId="76" xfId="1" applyNumberFormat="1" applyFont="1" applyFill="1" applyBorder="1" applyProtection="1">
      <protection hidden="1"/>
    </xf>
    <xf numFmtId="167" fontId="16" fillId="12" borderId="64" xfId="1" applyNumberFormat="1" applyFont="1" applyFill="1" applyBorder="1" applyProtection="1">
      <protection hidden="1"/>
    </xf>
    <xf numFmtId="0" fontId="17" fillId="0" borderId="65" xfId="1" applyFont="1" applyBorder="1"/>
    <xf numFmtId="167" fontId="16" fillId="0" borderId="66" xfId="1" applyNumberFormat="1" applyFont="1" applyBorder="1" applyProtection="1">
      <protection hidden="1"/>
    </xf>
    <xf numFmtId="167" fontId="16" fillId="0" borderId="64" xfId="1" applyNumberFormat="1" applyFont="1" applyBorder="1" applyProtection="1">
      <protection hidden="1"/>
    </xf>
    <xf numFmtId="167" fontId="21" fillId="8" borderId="67" xfId="1" quotePrefix="1" applyNumberFormat="1" applyFont="1" applyFill="1" applyBorder="1" applyAlignment="1" applyProtection="1">
      <alignment horizontal="left"/>
      <protection hidden="1"/>
    </xf>
    <xf numFmtId="167" fontId="21" fillId="0" borderId="68" xfId="1" quotePrefix="1" applyNumberFormat="1" applyFont="1" applyBorder="1" applyAlignment="1" applyProtection="1">
      <alignment horizontal="left"/>
      <protection hidden="1"/>
    </xf>
    <xf numFmtId="167" fontId="16" fillId="0" borderId="69" xfId="1" applyNumberFormat="1" applyFont="1" applyBorder="1" applyProtection="1">
      <protection hidden="1"/>
    </xf>
    <xf numFmtId="167" fontId="21" fillId="0" borderId="64" xfId="1" applyNumberFormat="1" applyFont="1" applyBorder="1" applyProtection="1">
      <protection hidden="1"/>
    </xf>
    <xf numFmtId="167" fontId="21" fillId="8" borderId="64" xfId="1" quotePrefix="1" applyNumberFormat="1" applyFont="1" applyFill="1" applyBorder="1" applyAlignment="1" applyProtection="1">
      <alignment horizontal="left"/>
      <protection hidden="1"/>
    </xf>
    <xf numFmtId="167" fontId="16" fillId="0" borderId="67" xfId="1" applyNumberFormat="1" applyFont="1" applyBorder="1" applyProtection="1">
      <protection hidden="1"/>
    </xf>
    <xf numFmtId="167" fontId="21" fillId="0" borderId="68" xfId="1" applyNumberFormat="1" applyFont="1" applyBorder="1" applyProtection="1">
      <protection hidden="1"/>
    </xf>
    <xf numFmtId="167" fontId="16" fillId="12" borderId="69" xfId="1" applyNumberFormat="1" applyFont="1" applyFill="1" applyBorder="1" applyProtection="1">
      <protection hidden="1"/>
    </xf>
    <xf numFmtId="167" fontId="16" fillId="13" borderId="64" xfId="1" applyNumberFormat="1" applyFont="1" applyFill="1" applyBorder="1" applyProtection="1">
      <protection hidden="1"/>
    </xf>
    <xf numFmtId="167" fontId="50" fillId="12" borderId="64" xfId="1" applyNumberFormat="1" applyFont="1" applyFill="1" applyBorder="1" applyProtection="1">
      <protection hidden="1"/>
    </xf>
    <xf numFmtId="167" fontId="50" fillId="12" borderId="70" xfId="1" applyNumberFormat="1" applyFont="1" applyFill="1" applyBorder="1" applyProtection="1">
      <protection hidden="1"/>
    </xf>
    <xf numFmtId="167" fontId="21" fillId="0" borderId="66" xfId="1" applyNumberFormat="1" applyFont="1" applyBorder="1" applyProtection="1">
      <protection hidden="1"/>
    </xf>
    <xf numFmtId="167" fontId="21" fillId="0" borderId="69" xfId="1" applyNumberFormat="1" applyFont="1" applyBorder="1" applyProtection="1">
      <protection hidden="1"/>
    </xf>
    <xf numFmtId="167" fontId="21" fillId="12" borderId="69" xfId="1" applyNumberFormat="1" applyFont="1" applyFill="1" applyBorder="1" applyProtection="1">
      <protection hidden="1"/>
    </xf>
    <xf numFmtId="167" fontId="21" fillId="12" borderId="69" xfId="1" quotePrefix="1" applyNumberFormat="1" applyFont="1" applyFill="1" applyBorder="1" applyProtection="1">
      <protection hidden="1"/>
    </xf>
    <xf numFmtId="167" fontId="21" fillId="13" borderId="64" xfId="1" applyNumberFormat="1" applyFont="1" applyFill="1" applyBorder="1" applyProtection="1">
      <protection hidden="1"/>
    </xf>
    <xf numFmtId="167" fontId="21" fillId="12" borderId="64" xfId="1" applyNumberFormat="1" applyFont="1" applyFill="1" applyBorder="1" applyProtection="1">
      <protection hidden="1"/>
    </xf>
    <xf numFmtId="167" fontId="21" fillId="12" borderId="70" xfId="1" applyNumberFormat="1" applyFont="1" applyFill="1" applyBorder="1" applyProtection="1">
      <protection hidden="1"/>
    </xf>
    <xf numFmtId="0" fontId="17" fillId="0" borderId="65" xfId="1" quotePrefix="1" applyFont="1" applyBorder="1" applyAlignment="1">
      <alignment horizontal="left"/>
    </xf>
    <xf numFmtId="167" fontId="16" fillId="0" borderId="68" xfId="1" quotePrefix="1" applyNumberFormat="1" applyFont="1" applyBorder="1" applyAlignment="1" applyProtection="1">
      <alignment horizontal="left"/>
      <protection hidden="1"/>
    </xf>
    <xf numFmtId="167" fontId="21" fillId="0" borderId="67" xfId="1" applyNumberFormat="1" applyFont="1" applyBorder="1" applyProtection="1">
      <protection hidden="1"/>
    </xf>
    <xf numFmtId="167" fontId="21" fillId="8" borderId="66" xfId="1" quotePrefix="1" applyNumberFormat="1" applyFont="1" applyFill="1" applyBorder="1" applyAlignment="1" applyProtection="1">
      <alignment horizontal="left"/>
      <protection hidden="1"/>
    </xf>
    <xf numFmtId="167" fontId="21" fillId="8" borderId="69" xfId="1" quotePrefix="1" applyNumberFormat="1" applyFont="1" applyFill="1" applyBorder="1" applyAlignment="1" applyProtection="1">
      <alignment horizontal="left"/>
      <protection hidden="1"/>
    </xf>
    <xf numFmtId="167" fontId="21" fillId="8" borderId="68" xfId="1" quotePrefix="1" applyNumberFormat="1" applyFont="1" applyFill="1" applyBorder="1" applyProtection="1">
      <protection hidden="1"/>
    </xf>
    <xf numFmtId="167" fontId="21" fillId="12" borderId="69" xfId="1" quotePrefix="1" applyNumberFormat="1" applyFont="1" applyFill="1" applyBorder="1" applyAlignment="1" applyProtection="1">
      <alignment horizontal="left"/>
      <protection hidden="1"/>
    </xf>
    <xf numFmtId="167" fontId="21" fillId="13" borderId="64" xfId="1" quotePrefix="1" applyNumberFormat="1" applyFont="1" applyFill="1" applyBorder="1" applyAlignment="1" applyProtection="1">
      <alignment horizontal="left"/>
      <protection hidden="1"/>
    </xf>
    <xf numFmtId="167" fontId="21" fillId="12" borderId="64" xfId="1" quotePrefix="1" applyNumberFormat="1" applyFont="1" applyFill="1" applyBorder="1" applyAlignment="1" applyProtection="1">
      <alignment horizontal="left"/>
      <protection hidden="1"/>
    </xf>
    <xf numFmtId="167" fontId="21" fillId="12" borderId="70" xfId="1" quotePrefix="1" applyNumberFormat="1" applyFont="1" applyFill="1" applyBorder="1" applyAlignment="1" applyProtection="1">
      <alignment horizontal="left"/>
      <protection hidden="1"/>
    </xf>
    <xf numFmtId="167" fontId="50" fillId="0" borderId="67" xfId="1" applyNumberFormat="1" applyFont="1" applyBorder="1" applyProtection="1">
      <protection hidden="1"/>
    </xf>
    <xf numFmtId="167" fontId="49" fillId="0" borderId="64" xfId="1" applyNumberFormat="1" applyFont="1" applyBorder="1" applyProtection="1">
      <protection hidden="1"/>
    </xf>
    <xf numFmtId="0" fontId="17" fillId="0" borderId="71" xfId="1" applyFont="1" applyBorder="1"/>
    <xf numFmtId="167" fontId="16" fillId="0" borderId="72" xfId="1" applyNumberFormat="1" applyFont="1" applyBorder="1" applyProtection="1">
      <protection hidden="1"/>
    </xf>
    <xf numFmtId="167" fontId="16" fillId="0" borderId="73" xfId="1" applyNumberFormat="1" applyFont="1" applyBorder="1" applyProtection="1">
      <protection hidden="1"/>
    </xf>
    <xf numFmtId="167" fontId="21" fillId="0" borderId="74" xfId="1" applyNumberFormat="1" applyFont="1" applyBorder="1" applyProtection="1">
      <protection hidden="1"/>
    </xf>
    <xf numFmtId="167" fontId="16" fillId="0" borderId="75" xfId="1" applyNumberFormat="1" applyFont="1" applyBorder="1" applyProtection="1">
      <protection hidden="1"/>
    </xf>
    <xf numFmtId="167" fontId="21" fillId="8" borderId="73" xfId="1" quotePrefix="1" applyNumberFormat="1" applyFont="1" applyFill="1" applyBorder="1" applyAlignment="1" applyProtection="1">
      <alignment horizontal="left"/>
      <protection hidden="1"/>
    </xf>
    <xf numFmtId="167" fontId="49" fillId="0" borderId="73" xfId="1" applyNumberFormat="1" applyFont="1" applyBorder="1" applyProtection="1">
      <protection hidden="1"/>
    </xf>
    <xf numFmtId="167" fontId="16" fillId="0" borderId="74" xfId="1" applyNumberFormat="1" applyFont="1" applyBorder="1" applyProtection="1">
      <protection hidden="1"/>
    </xf>
    <xf numFmtId="167" fontId="16" fillId="12" borderId="75" xfId="1" applyNumberFormat="1" applyFont="1" applyFill="1" applyBorder="1" applyProtection="1">
      <protection hidden="1"/>
    </xf>
    <xf numFmtId="167" fontId="16" fillId="12" borderId="73" xfId="1" applyNumberFormat="1" applyFont="1" applyFill="1" applyBorder="1" applyProtection="1">
      <protection hidden="1"/>
    </xf>
    <xf numFmtId="167" fontId="16" fillId="13" borderId="73" xfId="1" applyNumberFormat="1" applyFont="1" applyFill="1" applyBorder="1" applyProtection="1">
      <protection hidden="1"/>
    </xf>
    <xf numFmtId="167" fontId="50" fillId="12" borderId="73" xfId="1" applyNumberFormat="1" applyFont="1" applyFill="1" applyBorder="1" applyProtection="1">
      <protection hidden="1"/>
    </xf>
    <xf numFmtId="167" fontId="50" fillId="12" borderId="76" xfId="1" applyNumberFormat="1" applyFont="1" applyFill="1" applyBorder="1" applyProtection="1">
      <protection hidden="1"/>
    </xf>
    <xf numFmtId="1" fontId="95" fillId="11" borderId="68" xfId="1" applyNumberFormat="1" applyFont="1" applyFill="1" applyBorder="1" applyAlignment="1">
      <alignment horizontal="right"/>
    </xf>
    <xf numFmtId="1" fontId="96" fillId="11" borderId="68" xfId="1" applyNumberFormat="1" applyFont="1" applyFill="1" applyBorder="1"/>
    <xf numFmtId="168" fontId="88" fillId="14" borderId="68" xfId="1" applyNumberFormat="1" applyFont="1" applyFill="1" applyBorder="1" applyAlignment="1" applyProtection="1">
      <alignment vertical="center"/>
      <protection locked="0"/>
    </xf>
    <xf numFmtId="168" fontId="88" fillId="0" borderId="68" xfId="1" applyNumberFormat="1" applyFont="1" applyBorder="1" applyAlignment="1" applyProtection="1">
      <alignment vertical="center"/>
      <protection locked="0"/>
    </xf>
    <xf numFmtId="168" fontId="93" fillId="16" borderId="77" xfId="1" applyNumberFormat="1" applyFont="1" applyFill="1" applyBorder="1" applyAlignment="1">
      <alignment vertical="center"/>
    </xf>
    <xf numFmtId="168" fontId="37" fillId="16" borderId="59" xfId="1" applyNumberFormat="1" applyFont="1" applyFill="1" applyBorder="1" applyAlignment="1">
      <alignment vertical="center"/>
    </xf>
    <xf numFmtId="168" fontId="25" fillId="0" borderId="68" xfId="1" applyNumberFormat="1" applyFont="1" applyBorder="1" applyAlignment="1" applyProtection="1">
      <alignment vertical="center"/>
      <protection locked="0"/>
    </xf>
    <xf numFmtId="0" fontId="219" fillId="12" borderId="68" xfId="5" applyFont="1" applyFill="1" applyBorder="1" applyAlignment="1" applyProtection="1">
      <alignment vertical="center"/>
      <protection locked="0"/>
    </xf>
    <xf numFmtId="0" fontId="118" fillId="12" borderId="68" xfId="5" applyFont="1" applyFill="1" applyBorder="1" applyAlignment="1" applyProtection="1">
      <alignment vertical="center"/>
      <protection locked="0"/>
    </xf>
    <xf numFmtId="168" fontId="37" fillId="16" borderId="68" xfId="1" applyNumberFormat="1" applyFont="1" applyFill="1" applyBorder="1" applyAlignment="1">
      <alignment vertical="center"/>
    </xf>
    <xf numFmtId="0" fontId="118" fillId="12" borderId="68" xfId="5" quotePrefix="1" applyFont="1" applyFill="1" applyBorder="1" applyAlignment="1" applyProtection="1">
      <alignment horizontal="right" vertical="center"/>
      <protection locked="0"/>
    </xf>
    <xf numFmtId="167" fontId="25" fillId="0" borderId="68" xfId="1" applyNumberFormat="1" applyFont="1" applyBorder="1" applyProtection="1">
      <protection locked="0"/>
    </xf>
    <xf numFmtId="167" fontId="37" fillId="16" borderId="68" xfId="1" applyNumberFormat="1" applyFont="1" applyFill="1" applyBorder="1"/>
    <xf numFmtId="167" fontId="25" fillId="22" borderId="68" xfId="1" applyNumberFormat="1" applyFont="1" applyFill="1" applyBorder="1" applyProtection="1">
      <protection locked="0"/>
    </xf>
    <xf numFmtId="167" fontId="37" fillId="16" borderId="68" xfId="1" applyNumberFormat="1" applyFont="1" applyFill="1" applyBorder="1" applyProtection="1">
      <protection hidden="1"/>
    </xf>
    <xf numFmtId="167" fontId="37" fillId="16" borderId="77" xfId="1" applyNumberFormat="1" applyFont="1" applyFill="1" applyBorder="1"/>
    <xf numFmtId="167" fontId="25" fillId="0" borderId="60" xfId="1" applyNumberFormat="1" applyFont="1" applyBorder="1" applyAlignment="1" applyProtection="1">
      <alignment horizontal="right" wrapText="1"/>
      <protection hidden="1"/>
    </xf>
    <xf numFmtId="167" fontId="170" fillId="0" borderId="60" xfId="1" applyNumberFormat="1" applyFont="1" applyBorder="1" applyProtection="1">
      <protection hidden="1"/>
    </xf>
    <xf numFmtId="167" fontId="25" fillId="0" borderId="60" xfId="1" applyNumberFormat="1" applyFont="1" applyBorder="1" applyProtection="1">
      <protection hidden="1"/>
    </xf>
    <xf numFmtId="167" fontId="37" fillId="0" borderId="60" xfId="1" applyNumberFormat="1" applyFont="1" applyBorder="1" applyProtection="1">
      <protection hidden="1"/>
    </xf>
    <xf numFmtId="3" fontId="37" fillId="16" borderId="61" xfId="1" applyNumberFormat="1" applyFont="1" applyFill="1" applyBorder="1"/>
    <xf numFmtId="167" fontId="25" fillId="0" borderId="60" xfId="1" applyNumberFormat="1" applyFont="1" applyBorder="1" applyAlignment="1" applyProtection="1">
      <alignment horizontal="left"/>
      <protection hidden="1"/>
    </xf>
    <xf numFmtId="167" fontId="145" fillId="11" borderId="62" xfId="5" applyNumberFormat="1" applyFont="1" applyFill="1" applyBorder="1" applyProtection="1">
      <protection locked="0" hidden="1"/>
    </xf>
    <xf numFmtId="0" fontId="0" fillId="11" borderId="60" xfId="0" applyFill="1" applyBorder="1" applyProtection="1">
      <protection locked="0"/>
    </xf>
    <xf numFmtId="0" fontId="0" fillId="11" borderId="78" xfId="0" applyFill="1" applyBorder="1" applyProtection="1">
      <protection locked="0"/>
    </xf>
    <xf numFmtId="167" fontId="25" fillId="0" borderId="60" xfId="5" applyNumberFormat="1" applyFont="1" applyBorder="1" applyAlignment="1" applyProtection="1">
      <alignment horizontal="left"/>
      <protection hidden="1"/>
    </xf>
    <xf numFmtId="167" fontId="37" fillId="16" borderId="79" xfId="1" applyNumberFormat="1" applyFont="1" applyFill="1" applyBorder="1"/>
    <xf numFmtId="167" fontId="25" fillId="0" borderId="80" xfId="1" applyNumberFormat="1" applyFont="1" applyBorder="1" applyAlignment="1">
      <alignment horizontal="right" wrapText="1"/>
    </xf>
    <xf numFmtId="167" fontId="25" fillId="0" borderId="81" xfId="1" applyNumberFormat="1" applyFont="1" applyBorder="1" applyAlignment="1" applyProtection="1">
      <alignment vertical="center"/>
      <protection locked="0"/>
    </xf>
    <xf numFmtId="167" fontId="37" fillId="16" borderId="82" xfId="1" applyNumberFormat="1" applyFont="1" applyFill="1" applyBorder="1" applyAlignment="1">
      <alignment vertical="center"/>
    </xf>
    <xf numFmtId="167" fontId="25" fillId="16" borderId="82" xfId="1" applyNumberFormat="1" applyFont="1" applyFill="1" applyBorder="1" applyProtection="1">
      <protection locked="0"/>
    </xf>
    <xf numFmtId="167" fontId="26" fillId="16" borderId="82" xfId="1" applyNumberFormat="1" applyFont="1" applyFill="1" applyBorder="1"/>
    <xf numFmtId="167" fontId="37" fillId="16" borderId="81" xfId="1" applyNumberFormat="1" applyFont="1" applyFill="1" applyBorder="1"/>
    <xf numFmtId="167" fontId="37" fillId="16" borderId="82" xfId="1" applyNumberFormat="1" applyFont="1" applyFill="1" applyBorder="1"/>
    <xf numFmtId="167" fontId="25" fillId="0" borderId="83" xfId="1" applyNumberFormat="1" applyFont="1" applyBorder="1" applyAlignment="1">
      <alignment horizontal="right" wrapText="1"/>
    </xf>
    <xf numFmtId="167" fontId="37" fillId="16" borderId="84" xfId="1" applyNumberFormat="1" applyFont="1" applyFill="1" applyBorder="1"/>
    <xf numFmtId="167" fontId="37" fillId="16" borderId="85" xfId="1" applyNumberFormat="1" applyFont="1" applyFill="1" applyBorder="1"/>
    <xf numFmtId="167" fontId="112" fillId="2" borderId="83" xfId="1" quotePrefix="1" applyNumberFormat="1" applyFont="1" applyFill="1" applyBorder="1" applyAlignment="1">
      <alignment horizontal="right"/>
    </xf>
    <xf numFmtId="167" fontId="26" fillId="16" borderId="86" xfId="1" applyNumberFormat="1" applyFont="1" applyFill="1" applyBorder="1"/>
    <xf numFmtId="167" fontId="144" fillId="16" borderId="86" xfId="1" applyNumberFormat="1" applyFont="1" applyFill="1" applyBorder="1" applyProtection="1">
      <protection locked="0"/>
    </xf>
    <xf numFmtId="0" fontId="25" fillId="0" borderId="86" xfId="1" applyFont="1" applyBorder="1" applyProtection="1">
      <protection locked="0"/>
    </xf>
    <xf numFmtId="167" fontId="37" fillId="16" borderId="81" xfId="1" applyNumberFormat="1" applyFont="1" applyFill="1" applyBorder="1" applyAlignment="1">
      <alignment vertical="center"/>
    </xf>
    <xf numFmtId="0" fontId="25" fillId="0" borderId="81" xfId="0" applyFont="1" applyBorder="1" applyAlignment="1">
      <alignment horizontal="left"/>
    </xf>
    <xf numFmtId="0" fontId="25" fillId="0" borderId="81" xfId="0" applyFont="1" applyBorder="1"/>
    <xf numFmtId="0" fontId="131" fillId="15" borderId="81" xfId="0" applyFont="1" applyFill="1" applyBorder="1" applyAlignment="1">
      <alignment horizontal="center" vertical="center"/>
    </xf>
    <xf numFmtId="0" fontId="30" fillId="21" borderId="52" xfId="0" applyFont="1" applyFill="1" applyBorder="1" applyAlignment="1" applyProtection="1">
      <alignment horizontal="left"/>
      <protection locked="0" hidden="1"/>
    </xf>
    <xf numFmtId="14" fontId="30" fillId="21" borderId="52" xfId="0" applyNumberFormat="1" applyFont="1" applyFill="1" applyBorder="1" applyAlignment="1" applyProtection="1">
      <alignment horizontal="left"/>
      <protection locked="0" hidden="1"/>
    </xf>
    <xf numFmtId="0" fontId="61" fillId="0" borderId="56" xfId="0" applyFont="1" applyBorder="1" applyProtection="1">
      <protection locked="0" hidden="1"/>
    </xf>
    <xf numFmtId="0" fontId="61" fillId="0" borderId="52" xfId="0" applyFont="1" applyBorder="1" applyProtection="1">
      <protection locked="0" hidden="1"/>
    </xf>
    <xf numFmtId="49" fontId="30" fillId="0" borderId="56" xfId="1" applyNumberFormat="1" applyFont="1" applyBorder="1" applyProtection="1">
      <protection locked="0"/>
    </xf>
    <xf numFmtId="49" fontId="30" fillId="0" borderId="52" xfId="1" applyNumberFormat="1" applyFont="1" applyBorder="1" applyProtection="1">
      <protection locked="0"/>
    </xf>
    <xf numFmtId="0" fontId="30" fillId="21" borderId="13" xfId="0" applyFont="1" applyFill="1" applyBorder="1" applyAlignment="1" applyProtection="1">
      <alignment horizontal="left"/>
      <protection locked="0" hidden="1"/>
    </xf>
    <xf numFmtId="0" fontId="68" fillId="21" borderId="18" xfId="1" applyFont="1" applyFill="1" applyBorder="1" applyAlignment="1" applyProtection="1">
      <alignment horizontal="left" vertical="center" wrapText="1"/>
      <protection hidden="1"/>
    </xf>
    <xf numFmtId="0" fontId="68" fillId="21" borderId="28" xfId="1" applyFont="1" applyFill="1" applyBorder="1" applyAlignment="1" applyProtection="1">
      <alignment horizontal="left" vertical="center" wrapText="1"/>
      <protection hidden="1"/>
    </xf>
    <xf numFmtId="0" fontId="68" fillId="21" borderId="29" xfId="1" applyFont="1" applyFill="1" applyBorder="1" applyAlignment="1" applyProtection="1">
      <alignment horizontal="left" vertical="center" wrapText="1"/>
      <protection hidden="1"/>
    </xf>
    <xf numFmtId="0" fontId="110" fillId="21" borderId="0" xfId="1" applyFont="1" applyFill="1" applyAlignment="1" applyProtection="1">
      <alignment horizontal="left" wrapText="1"/>
      <protection hidden="1"/>
    </xf>
    <xf numFmtId="0" fontId="110" fillId="21" borderId="0" xfId="1" applyFont="1" applyFill="1" applyAlignment="1" applyProtection="1">
      <alignment horizontal="left" vertical="top" wrapText="1"/>
      <protection hidden="1"/>
    </xf>
    <xf numFmtId="0" fontId="30" fillId="0" borderId="56" xfId="0" applyFont="1" applyBorder="1" applyProtection="1">
      <protection locked="0" hidden="1"/>
    </xf>
    <xf numFmtId="0" fontId="30" fillId="0" borderId="52" xfId="0" applyFont="1" applyBorder="1" applyProtection="1">
      <protection locked="0" hidden="1"/>
    </xf>
    <xf numFmtId="0" fontId="30" fillId="0" borderId="56" xfId="0" applyFont="1" applyBorder="1" applyAlignment="1" applyProtection="1">
      <alignment horizontal="left"/>
      <protection locked="0" hidden="1"/>
    </xf>
    <xf numFmtId="0" fontId="30" fillId="0" borderId="52" xfId="0" applyFont="1" applyBorder="1" applyAlignment="1" applyProtection="1">
      <alignment horizontal="left"/>
      <protection locked="0" hidden="1"/>
    </xf>
    <xf numFmtId="0" fontId="119" fillId="0" borderId="56" xfId="2" applyFont="1" applyBorder="1" applyAlignment="1" applyProtection="1">
      <protection locked="0" hidden="1"/>
    </xf>
    <xf numFmtId="0" fontId="119" fillId="0" borderId="52" xfId="2" applyFont="1" applyBorder="1" applyAlignment="1" applyProtection="1">
      <protection locked="0" hidden="1"/>
    </xf>
    <xf numFmtId="0" fontId="30" fillId="21" borderId="56" xfId="0" applyFont="1" applyFill="1" applyBorder="1" applyAlignment="1" applyProtection="1">
      <alignment horizontal="left"/>
      <protection locked="0" hidden="1"/>
    </xf>
    <xf numFmtId="0" fontId="30" fillId="21" borderId="57" xfId="0" applyFont="1" applyFill="1" applyBorder="1" applyAlignment="1" applyProtection="1">
      <alignment horizontal="left"/>
      <protection locked="0" hidden="1"/>
    </xf>
    <xf numFmtId="0" fontId="30" fillId="21" borderId="58" xfId="0" applyFont="1" applyFill="1" applyBorder="1" applyAlignment="1" applyProtection="1">
      <alignment horizontal="left"/>
      <protection locked="0" hidden="1"/>
    </xf>
    <xf numFmtId="0" fontId="27" fillId="19" borderId="34" xfId="14" quotePrefix="1" applyFont="1" applyFill="1" applyAlignment="1" applyProtection="1">
      <alignment horizontal="center" vertical="center" wrapText="1"/>
      <protection hidden="1"/>
    </xf>
    <xf numFmtId="0" fontId="107" fillId="0" borderId="0" xfId="1" quotePrefix="1" applyFont="1" applyAlignment="1" applyProtection="1">
      <alignment horizontal="center" vertical="center" wrapText="1"/>
      <protection hidden="1"/>
    </xf>
    <xf numFmtId="0" fontId="104" fillId="13" borderId="18" xfId="1" quotePrefix="1" applyFont="1" applyFill="1" applyBorder="1" applyAlignment="1" applyProtection="1">
      <alignment horizontal="left" vertical="center" wrapText="1"/>
      <protection locked="0"/>
    </xf>
    <xf numFmtId="0" fontId="104" fillId="13" borderId="5" xfId="1" quotePrefix="1" applyFont="1" applyFill="1" applyBorder="1" applyAlignment="1" applyProtection="1">
      <alignment horizontal="left" vertical="center" wrapText="1"/>
      <protection locked="0"/>
    </xf>
    <xf numFmtId="49" fontId="30" fillId="0" borderId="56" xfId="1" quotePrefix="1" applyNumberFormat="1" applyFont="1" applyBorder="1" applyProtection="1">
      <protection locked="0"/>
    </xf>
    <xf numFmtId="49" fontId="30" fillId="0" borderId="52" xfId="1" quotePrefix="1" applyNumberFormat="1" applyFont="1" applyBorder="1" applyProtection="1">
      <protection locked="0"/>
    </xf>
    <xf numFmtId="167" fontId="29" fillId="0" borderId="0" xfId="1" applyNumberFormat="1" applyFont="1" applyAlignment="1" applyProtection="1">
      <alignment horizontal="center" vertical="center"/>
      <protection hidden="1"/>
    </xf>
    <xf numFmtId="167" fontId="29" fillId="0" borderId="0" xfId="1" quotePrefix="1" applyNumberFormat="1" applyFont="1" applyAlignment="1" applyProtection="1">
      <alignment horizontal="center" vertical="center"/>
      <protection hidden="1"/>
    </xf>
    <xf numFmtId="0" fontId="198" fillId="2" borderId="0" xfId="1" applyFont="1" applyFill="1" applyAlignment="1" applyProtection="1">
      <alignment horizontal="center"/>
      <protection hidden="1"/>
    </xf>
    <xf numFmtId="0" fontId="198" fillId="2" borderId="0" xfId="1" quotePrefix="1" applyFont="1" applyFill="1" applyAlignment="1" applyProtection="1">
      <alignment horizontal="center"/>
      <protection hidden="1"/>
    </xf>
    <xf numFmtId="0" fontId="0" fillId="0" borderId="0" xfId="0" applyAlignment="1">
      <alignment horizontal="center"/>
    </xf>
    <xf numFmtId="0" fontId="61" fillId="12" borderId="0" xfId="1" applyFont="1" applyFill="1" applyAlignment="1" applyProtection="1">
      <alignment horizontal="center" vertical="center" wrapText="1"/>
      <protection hidden="1"/>
    </xf>
    <xf numFmtId="0" fontId="30" fillId="0" borderId="0" xfId="1" quotePrefix="1" applyFont="1" applyAlignment="1" applyProtection="1">
      <alignment horizontal="center" vertical="center" wrapText="1"/>
      <protection hidden="1"/>
    </xf>
    <xf numFmtId="167" fontId="110" fillId="0" borderId="0" xfId="1" quotePrefix="1" applyNumberFormat="1" applyFont="1" applyAlignment="1" applyProtection="1">
      <alignment horizontal="center" vertical="center" wrapText="1"/>
      <protection hidden="1"/>
    </xf>
    <xf numFmtId="0" fontId="200" fillId="0" borderId="0" xfId="2" applyFont="1" applyBorder="1" applyAlignment="1" applyProtection="1">
      <alignment horizontal="left" vertical="center" wrapText="1"/>
      <protection locked="0" hidden="1"/>
    </xf>
    <xf numFmtId="167" fontId="29" fillId="0" borderId="0" xfId="1" quotePrefix="1" applyNumberFormat="1" applyFont="1" applyAlignment="1" applyProtection="1">
      <alignment horizontal="center" vertical="center" wrapText="1"/>
      <protection hidden="1"/>
    </xf>
    <xf numFmtId="167" fontId="29" fillId="0" borderId="0" xfId="1" applyNumberFormat="1" applyFont="1" applyAlignment="1" applyProtection="1">
      <alignment horizontal="center" vertical="center" wrapText="1"/>
      <protection hidden="1"/>
    </xf>
    <xf numFmtId="0" fontId="198" fillId="2" borderId="0" xfId="1" applyFont="1" applyFill="1" applyAlignment="1" applyProtection="1">
      <alignment horizontal="center" vertical="top"/>
      <protection hidden="1"/>
    </xf>
    <xf numFmtId="0" fontId="27" fillId="19" borderId="0" xfId="5" applyFont="1" applyFill="1" applyAlignment="1" applyProtection="1">
      <alignment horizontal="center" vertical="center"/>
      <protection hidden="1"/>
    </xf>
    <xf numFmtId="0" fontId="41" fillId="14" borderId="0" xfId="0" applyFont="1" applyFill="1" applyAlignment="1">
      <alignment horizontal="center" vertical="center"/>
    </xf>
    <xf numFmtId="0" fontId="0" fillId="14" borderId="0" xfId="0" applyFill="1" applyAlignment="1">
      <alignment horizontal="center" vertical="center"/>
    </xf>
    <xf numFmtId="0" fontId="99" fillId="0" borderId="0" xfId="5" applyFont="1" applyAlignment="1" applyProtection="1">
      <alignment horizontal="center" vertical="center"/>
      <protection hidden="1"/>
    </xf>
    <xf numFmtId="0" fontId="72" fillId="11" borderId="38" xfId="14" quotePrefix="1" applyFont="1" applyFill="1" applyBorder="1" applyAlignment="1" applyProtection="1">
      <alignment horizontal="center" vertical="center" wrapText="1"/>
      <protection hidden="1"/>
    </xf>
    <xf numFmtId="0" fontId="72" fillId="11" borderId="39" xfId="14" quotePrefix="1" applyFont="1" applyFill="1" applyBorder="1" applyAlignment="1" applyProtection="1">
      <alignment horizontal="center" vertical="center" wrapText="1"/>
      <protection hidden="1"/>
    </xf>
    <xf numFmtId="167" fontId="90" fillId="0" borderId="11" xfId="1" applyNumberFormat="1" applyFont="1" applyBorder="1" applyAlignment="1" applyProtection="1">
      <alignment horizontal="left"/>
      <protection hidden="1"/>
    </xf>
    <xf numFmtId="167" fontId="27" fillId="2" borderId="0" xfId="1" quotePrefix="1" applyNumberFormat="1" applyFont="1" applyFill="1" applyAlignment="1" applyProtection="1">
      <alignment horizontal="right" vertical="center" wrapText="1"/>
      <protection hidden="1"/>
    </xf>
    <xf numFmtId="0" fontId="15" fillId="0" borderId="0" xfId="1" applyFont="1" applyAlignment="1" applyProtection="1">
      <alignment wrapText="1"/>
      <protection hidden="1"/>
    </xf>
    <xf numFmtId="0" fontId="15" fillId="0" borderId="0" xfId="0" applyFont="1" applyAlignment="1">
      <alignment horizontal="left"/>
    </xf>
    <xf numFmtId="0" fontId="81" fillId="29" borderId="56" xfId="0" applyFont="1" applyFill="1" applyBorder="1" applyAlignment="1" applyProtection="1">
      <alignment horizontal="left" vertical="center" wrapText="1"/>
      <protection locked="0"/>
    </xf>
    <xf numFmtId="0" fontId="81" fillId="29" borderId="57" xfId="0" applyFont="1" applyFill="1" applyBorder="1" applyAlignment="1" applyProtection="1">
      <alignment horizontal="left" vertical="center" wrapText="1"/>
      <protection locked="0"/>
    </xf>
    <xf numFmtId="0" fontId="81" fillId="29" borderId="58" xfId="0" applyFont="1" applyFill="1" applyBorder="1" applyAlignment="1" applyProtection="1">
      <alignment horizontal="left" vertical="center" wrapText="1"/>
      <protection locked="0"/>
    </xf>
    <xf numFmtId="0" fontId="0" fillId="0" borderId="0" xfId="0"/>
    <xf numFmtId="0" fontId="15" fillId="0" borderId="0" xfId="0" applyFont="1"/>
    <xf numFmtId="0" fontId="41" fillId="14" borderId="41" xfId="0" applyFont="1" applyFill="1" applyBorder="1" applyAlignment="1" applyProtection="1">
      <alignment horizontal="left"/>
      <protection locked="0"/>
    </xf>
    <xf numFmtId="0" fontId="41" fillId="14" borderId="28" xfId="0" applyFont="1" applyFill="1" applyBorder="1" applyAlignment="1" applyProtection="1">
      <alignment horizontal="left"/>
      <protection locked="0"/>
    </xf>
    <xf numFmtId="0" fontId="41" fillId="14" borderId="29" xfId="0" applyFont="1" applyFill="1" applyBorder="1" applyAlignment="1" applyProtection="1">
      <alignment horizontal="left"/>
      <protection locked="0"/>
    </xf>
    <xf numFmtId="0" fontId="86" fillId="0" borderId="0" xfId="0" applyFont="1"/>
    <xf numFmtId="0" fontId="81" fillId="26" borderId="56" xfId="0" applyFont="1" applyFill="1" applyBorder="1" applyAlignment="1" applyProtection="1">
      <alignment horizontal="left" vertical="center" wrapText="1"/>
      <protection locked="0"/>
    </xf>
    <xf numFmtId="0" fontId="81" fillId="26" borderId="57" xfId="0" applyFont="1" applyFill="1" applyBorder="1" applyAlignment="1" applyProtection="1">
      <alignment horizontal="left" vertical="center" wrapText="1"/>
      <protection locked="0"/>
    </xf>
    <xf numFmtId="0" fontId="81" fillId="26" borderId="58" xfId="0" applyFont="1" applyFill="1" applyBorder="1" applyAlignment="1" applyProtection="1">
      <alignment horizontal="left" vertical="center" wrapText="1"/>
      <protection locked="0"/>
    </xf>
    <xf numFmtId="0" fontId="31" fillId="11" borderId="38" xfId="14" quotePrefix="1" applyFont="1" applyFill="1" applyBorder="1" applyAlignment="1" applyProtection="1">
      <alignment horizontal="center" vertical="center" wrapText="1"/>
      <protection hidden="1"/>
    </xf>
    <xf numFmtId="0" fontId="31" fillId="11" borderId="39" xfId="14" quotePrefix="1" applyFont="1" applyFill="1" applyBorder="1" applyAlignment="1" applyProtection="1">
      <alignment horizontal="center" vertical="center" wrapText="1"/>
      <protection hidden="1"/>
    </xf>
    <xf numFmtId="0" fontId="31" fillId="11" borderId="40"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9" fillId="0" borderId="0" xfId="1" applyFont="1" applyAlignment="1" applyProtection="1">
      <alignment horizontal="center" vertical="center" wrapText="1"/>
      <protection hidden="1"/>
    </xf>
    <xf numFmtId="0" fontId="72" fillId="11" borderId="40" xfId="14" quotePrefix="1" applyFont="1" applyFill="1" applyBorder="1" applyAlignment="1" applyProtection="1">
      <alignment horizontal="center" vertical="center" wrapText="1"/>
      <protection hidden="1"/>
    </xf>
    <xf numFmtId="0" fontId="99" fillId="0" borderId="0" xfId="1" applyFont="1" applyAlignment="1" applyProtection="1">
      <alignment horizontal="center" vertical="center"/>
      <protection hidden="1"/>
    </xf>
    <xf numFmtId="167" fontId="29" fillId="2" borderId="0" xfId="1" applyNumberFormat="1" applyFont="1" applyFill="1" applyAlignment="1" applyProtection="1">
      <alignment horizontal="center" vertical="center"/>
      <protection hidden="1"/>
    </xf>
    <xf numFmtId="167" fontId="29" fillId="2" borderId="0" xfId="1" quotePrefix="1" applyNumberFormat="1" applyFont="1" applyFill="1" applyAlignment="1" applyProtection="1">
      <alignment horizontal="center" vertical="center"/>
      <protection hidden="1"/>
    </xf>
    <xf numFmtId="0" fontId="99" fillId="19" borderId="0" xfId="5" applyFont="1" applyFill="1" applyAlignment="1" applyProtection="1">
      <alignment horizontal="center" vertical="center"/>
      <protection hidden="1"/>
    </xf>
    <xf numFmtId="0" fontId="198" fillId="2" borderId="0" xfId="1" quotePrefix="1" applyFont="1" applyFill="1" applyAlignment="1" applyProtection="1">
      <alignment horizontal="center" vertical="top"/>
      <protection hidden="1"/>
    </xf>
    <xf numFmtId="0" fontId="25" fillId="0" borderId="0" xfId="1" applyFont="1" applyAlignment="1" applyProtection="1">
      <alignment vertical="center"/>
      <protection hidden="1"/>
    </xf>
    <xf numFmtId="0" fontId="15" fillId="0" borderId="0" xfId="1" applyFont="1" applyAlignment="1" applyProtection="1">
      <alignment vertical="center"/>
      <protection hidden="1"/>
    </xf>
    <xf numFmtId="0" fontId="99" fillId="14" borderId="0" xfId="5" applyFont="1" applyFill="1" applyAlignment="1" applyProtection="1">
      <alignment horizontal="center" vertical="center"/>
      <protection hidden="1"/>
    </xf>
    <xf numFmtId="0" fontId="27"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0" fillId="0" borderId="0" xfId="1" applyFont="1" applyAlignment="1" applyProtection="1">
      <alignment vertical="center"/>
      <protection hidden="1"/>
    </xf>
    <xf numFmtId="0" fontId="99" fillId="12" borderId="0" xfId="1" applyFont="1" applyFill="1" applyAlignment="1" applyProtection="1">
      <alignment horizontal="center" vertical="center"/>
      <protection hidden="1"/>
    </xf>
    <xf numFmtId="0" fontId="84" fillId="0" borderId="60" xfId="0" applyFont="1" applyBorder="1" applyAlignment="1">
      <alignment horizontal="center"/>
    </xf>
    <xf numFmtId="0" fontId="15" fillId="0" borderId="0" xfId="0" applyFont="1" applyAlignment="1">
      <alignment horizontal="center" wrapText="1"/>
    </xf>
    <xf numFmtId="0" fontId="15" fillId="0" borderId="0" xfId="0" applyFont="1" applyAlignment="1" applyProtection="1">
      <alignment horizontal="center" wrapText="1"/>
      <protection locked="0"/>
    </xf>
    <xf numFmtId="0" fontId="25" fillId="0" borderId="0" xfId="0" quotePrefix="1" applyFont="1" applyAlignment="1">
      <alignment horizontal="left" vertical="center" wrapText="1"/>
    </xf>
    <xf numFmtId="0" fontId="25" fillId="0" borderId="11" xfId="0" applyFont="1" applyBorder="1" applyAlignment="1">
      <alignment horizontal="left" vertical="center" wrapText="1"/>
    </xf>
    <xf numFmtId="0" fontId="99" fillId="0" borderId="0" xfId="1" applyFont="1" applyAlignment="1">
      <alignment horizontal="center" vertical="center"/>
    </xf>
    <xf numFmtId="167" fontId="29" fillId="0" borderId="0" xfId="1" quotePrefix="1" applyNumberFormat="1" applyFont="1" applyAlignment="1">
      <alignment horizontal="center" vertical="center" wrapText="1"/>
    </xf>
    <xf numFmtId="167" fontId="29" fillId="2" borderId="0" xfId="1" applyNumberFormat="1" applyFont="1" applyFill="1" applyAlignment="1">
      <alignment horizontal="center" vertical="center"/>
    </xf>
    <xf numFmtId="167" fontId="29" fillId="2" borderId="0" xfId="1" quotePrefix="1" applyNumberFormat="1" applyFont="1" applyFill="1" applyAlignment="1">
      <alignment horizontal="center" vertical="center"/>
    </xf>
    <xf numFmtId="167" fontId="33" fillId="0" borderId="0" xfId="1" applyNumberFormat="1" applyFont="1" applyAlignment="1">
      <alignment horizontal="center" vertical="center"/>
    </xf>
    <xf numFmtId="167" fontId="33" fillId="0" borderId="0" xfId="1" quotePrefix="1" applyNumberFormat="1" applyFont="1" applyAlignment="1">
      <alignment horizontal="center" vertical="center"/>
    </xf>
    <xf numFmtId="167" fontId="221" fillId="37" borderId="0" xfId="2" quotePrefix="1" applyNumberFormat="1" applyFont="1" applyFill="1" applyAlignment="1" applyProtection="1">
      <alignment horizontal="center" vertical="center"/>
    </xf>
    <xf numFmtId="0" fontId="0" fillId="0" borderId="0" xfId="0" applyAlignment="1">
      <alignment horizontal="center" vertical="center"/>
    </xf>
    <xf numFmtId="0" fontId="99" fillId="19" borderId="0" xfId="5" applyFont="1" applyFill="1" applyAlignment="1">
      <alignment horizontal="center" vertical="center"/>
    </xf>
    <xf numFmtId="0" fontId="0" fillId="0" borderId="7" xfId="1" applyFont="1" applyBorder="1" applyAlignment="1">
      <alignment horizontal="center" wrapText="1"/>
    </xf>
    <xf numFmtId="0" fontId="15" fillId="2" borderId="0" xfId="1" applyFont="1" applyFill="1" applyAlignment="1">
      <alignment horizontal="center" wrapText="1"/>
    </xf>
    <xf numFmtId="0" fontId="123" fillId="13" borderId="32" xfId="1" applyFont="1" applyFill="1" applyBorder="1" applyAlignment="1" applyProtection="1">
      <alignment horizontal="left" vertical="center"/>
      <protection locked="0"/>
    </xf>
    <xf numFmtId="0" fontId="123" fillId="13" borderId="14" xfId="1" applyFont="1" applyFill="1" applyBorder="1" applyAlignment="1" applyProtection="1">
      <alignment horizontal="left" vertical="center"/>
      <protection locked="0"/>
    </xf>
    <xf numFmtId="0" fontId="123" fillId="13" borderId="35" xfId="1" applyFont="1" applyFill="1" applyBorder="1" applyAlignment="1" applyProtection="1">
      <alignment horizontal="left" vertical="center"/>
      <protection locked="0"/>
    </xf>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30" fillId="11" borderId="38" xfId="14" quotePrefix="1" applyFont="1" applyFill="1" applyBorder="1" applyAlignment="1" applyProtection="1">
      <alignment horizontal="center" vertical="center" wrapText="1"/>
      <protection hidden="1"/>
    </xf>
    <xf numFmtId="0" fontId="30" fillId="11" borderId="39" xfId="14" quotePrefix="1" applyFont="1" applyFill="1" applyBorder="1" applyAlignment="1" applyProtection="1">
      <alignment horizontal="center" vertical="center" wrapText="1"/>
      <protection hidden="1"/>
    </xf>
    <xf numFmtId="167" fontId="29" fillId="0" borderId="0" xfId="1" applyNumberFormat="1" applyFont="1" applyAlignment="1">
      <alignment horizontal="center" vertical="center"/>
    </xf>
    <xf numFmtId="167" fontId="29" fillId="0" borderId="0" xfId="1" quotePrefix="1" applyNumberFormat="1" applyFont="1" applyAlignment="1">
      <alignment horizontal="center" vertical="center"/>
    </xf>
    <xf numFmtId="0" fontId="101" fillId="2" borderId="0" xfId="1" quotePrefix="1" applyFont="1" applyFill="1" applyAlignment="1">
      <alignment horizontal="center"/>
    </xf>
    <xf numFmtId="0" fontId="27" fillId="0" borderId="56"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8" xfId="0" applyFont="1" applyBorder="1" applyAlignment="1">
      <alignment horizontal="center" vertical="center" wrapText="1"/>
    </xf>
    <xf numFmtId="0" fontId="30" fillId="0" borderId="0" xfId="1" quotePrefix="1" applyFont="1" applyAlignment="1" applyProtection="1">
      <alignment horizontal="left" wrapText="1"/>
      <protection locked="0"/>
    </xf>
    <xf numFmtId="0" fontId="0" fillId="0" borderId="0" xfId="0" applyAlignment="1">
      <alignment wrapText="1"/>
    </xf>
    <xf numFmtId="0" fontId="66" fillId="37" borderId="0" xfId="1" quotePrefix="1" applyFont="1" applyFill="1" applyAlignment="1" applyProtection="1">
      <alignment horizontal="left" vertical="center"/>
      <protection locked="0"/>
    </xf>
  </cellXfs>
  <cellStyles count="153">
    <cellStyle name="%" xfId="1" xr:uid="{00000000-0005-0000-0000-000000000000}"/>
    <cellStyle name="% 2" xfId="5" xr:uid="{00000000-0005-0000-0000-000001000000}"/>
    <cellStyle name="% 2 3" xfId="101" xr:uid="{BB730B74-1EFB-4F97-9334-702C313A8A57}"/>
    <cellStyle name="% 3" xfId="67"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2 2 2" xfId="90" xr:uid="{EF60777B-C7EE-497D-8F45-819DA446963C}"/>
    <cellStyle name="Comma 2 2 2 3" xfId="77" xr:uid="{05381331-5593-46AB-968B-155F1BDA19A9}"/>
    <cellStyle name="Comma 2 2 2 4" xfId="114" xr:uid="{E6A47067-867B-4EAD-8A39-71E4F64A405A}"/>
    <cellStyle name="Comma 2 2 3" xfId="38" xr:uid="{5D43A0E3-E555-44A0-BD81-5E8E328D75DD}"/>
    <cellStyle name="Comma 2 2 3 2" xfId="84" xr:uid="{EE873417-80D8-40BE-A0AB-ABE64FECF308}"/>
    <cellStyle name="Comma 2 2 4" xfId="71" xr:uid="{8899B729-800D-4936-9C88-D8E04285DB5C}"/>
    <cellStyle name="Comma 2 3" xfId="24" xr:uid="{079B71CB-ED21-4D6D-9027-F7E4E8A04A96}"/>
    <cellStyle name="Comma 2 3 2" xfId="41" xr:uid="{82593A84-1F23-4055-9063-34368125BF61}"/>
    <cellStyle name="Comma 2 3 2 2" xfId="87" xr:uid="{36AA1EC4-82A4-4AAD-86FB-986ED9418676}"/>
    <cellStyle name="Comma 2 3 3" xfId="74" xr:uid="{BE276E94-4C4C-4071-BCDA-ED4C106A0B6A}"/>
    <cellStyle name="Comma 2 4" xfId="34" xr:uid="{DD659D70-71A4-4E8A-A9DE-EA37A42B8E56}"/>
    <cellStyle name="Comma 2 4 2" xfId="81" xr:uid="{1E267552-2807-4862-A57F-920FB835C3FA}"/>
    <cellStyle name="Comma 2 5" xfId="54" xr:uid="{6D4D6CB4-5526-447F-AF6A-E3ECE13F8C56}"/>
    <cellStyle name="Comma 2 5 2" xfId="94" xr:uid="{88330137-1AF0-40B7-8FE0-E21AEE7A76E5}"/>
    <cellStyle name="Comma 2 6" xfId="113" xr:uid="{489C1A8B-6039-4F3B-AC5E-1553C8AD8263}"/>
    <cellStyle name="Comma 2 7" xfId="142" xr:uid="{4D6FAB15-327C-44A4-8901-6B74731DF7C0}"/>
    <cellStyle name="Comma 3" xfId="47" xr:uid="{8AC90152-B6A8-44BE-BD88-73E6BF95742B}"/>
    <cellStyle name="Comma 3 2" xfId="92" xr:uid="{CCAACFF4-B245-40D1-9BA8-3C118EF1ACE0}"/>
    <cellStyle name="Comma 4" xfId="52" xr:uid="{44AB098E-F0F3-4657-B9A4-252AE197FB6E}"/>
    <cellStyle name="Comma 5" xfId="66" xr:uid="{E2F09588-1F56-4B6A-AB92-54262ACBEB91}"/>
    <cellStyle name="Comma 5 2" xfId="99" xr:uid="{999210DB-5A94-4A22-A88A-0ADE6B2316B0}"/>
    <cellStyle name="Comma 5 3" xfId="146" xr:uid="{2BAF3776-E67F-4F72-88A4-81CB2C971AD1}"/>
    <cellStyle name="Comma 6" xfId="79" xr:uid="{C8B3AAC8-2B9B-4C2E-A03D-A059E2F0C80A}"/>
    <cellStyle name="Comma 7" xfId="102" xr:uid="{AF7849B9-1188-444F-9B5E-F3705549D580}"/>
    <cellStyle name="Comma 8" xfId="105" xr:uid="{2849955C-7991-491F-A443-E793796776B4}"/>
    <cellStyle name="Comma 9" xfId="109" xr:uid="{88E4BA1F-4497-4727-960D-A092BA9DA1C3}"/>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2 2 2" xfId="91" xr:uid="{FD2BFBCE-BB90-430F-9E92-E0E33F3413AF}"/>
    <cellStyle name="Currency 2 2 2 3" xfId="78" xr:uid="{E7737592-4773-43EA-8E17-3FB5A1BEE2CA}"/>
    <cellStyle name="Currency 2 2 3" xfId="39" xr:uid="{AEAD19C3-803A-4DE8-9820-A898819D21CF}"/>
    <cellStyle name="Currency 2 2 3 2" xfId="85" xr:uid="{66B33700-51C9-483D-A1DC-9479153B21FA}"/>
    <cellStyle name="Currency 2 2 4" xfId="72" xr:uid="{4C3E6A01-35B7-44BB-8C31-4BD0200F3B40}"/>
    <cellStyle name="Currency 2 3" xfId="25" xr:uid="{214744C1-D0C1-459E-B954-434C2484B3BA}"/>
    <cellStyle name="Currency 2 3 2" xfId="42" xr:uid="{9680BCAD-7FEE-44D6-B22E-AE0D5FCA93DE}"/>
    <cellStyle name="Currency 2 3 2 2" xfId="88" xr:uid="{73DFA248-17BD-47B8-88FF-CFD5FBAE28C3}"/>
    <cellStyle name="Currency 2 3 3" xfId="75" xr:uid="{EDD83ABE-FEDC-40FA-9BFB-073059299A12}"/>
    <cellStyle name="Currency 2 4" xfId="35" xr:uid="{8802F45A-D511-43B3-B076-42318FDE8B32}"/>
    <cellStyle name="Currency 2 4 2" xfId="82" xr:uid="{75AF27C0-E257-4184-A833-E6F8D36A26B8}"/>
    <cellStyle name="Heading 1 2" xfId="115" xr:uid="{3090D24F-C76E-41F1-B3ED-95C6B712F03A}"/>
    <cellStyle name="Heading 2 2" xfId="117" xr:uid="{C624E43C-9FF0-4245-9FE2-73C57F3FD2A4}"/>
    <cellStyle name="Hyperlink" xfId="2" builtinId="8"/>
    <cellStyle name="Hyperlink 2" xfId="16" xr:uid="{5249D6A6-D759-4843-B250-375BCD87889F}"/>
    <cellStyle name="Hyperlink 3" xfId="61" xr:uid="{C17E8B0D-FBCD-466D-BA9B-C014C097AB67}"/>
    <cellStyle name="Hyperlink 4" xfId="62" xr:uid="{DEB41090-0A7F-4D05-90B7-6C811E5A0175}"/>
    <cellStyle name="Hyperlink 5" xfId="65" xr:uid="{C3005F0B-336B-48DC-B903-F5657E1C2329}"/>
    <cellStyle name="Hyperlink 6" xfId="141" xr:uid="{C5388E32-4C19-4E46-91DB-BE6E149C6AE9}"/>
    <cellStyle name="Hyperlink 7" xfId="64" xr:uid="{E289D7B7-81F0-42A5-B0FC-49869D2E9649}"/>
    <cellStyle name="Normal" xfId="0" builtinId="0"/>
    <cellStyle name="Normal 10" xfId="32" xr:uid="{F94CA7B9-2CB1-45C1-92B7-F1C85B79EC89}"/>
    <cellStyle name="Normal 10 2" xfId="80" xr:uid="{5493AD1C-B2CD-46E8-B9D8-CC0A1E098713}"/>
    <cellStyle name="Normal 10 2 2" xfId="147" xr:uid="{24A508E4-7884-44CC-AACC-2BDD7745D63E}"/>
    <cellStyle name="Normal 11" xfId="48" xr:uid="{47BE99BF-094C-4F2F-A7D0-DB299D4119CC}"/>
    <cellStyle name="Normal 11 2" xfId="59" xr:uid="{7E166A0F-27F5-43D4-B33D-127D55D65374}"/>
    <cellStyle name="Normal 11 2 2" xfId="96" xr:uid="{0C5034EB-A41F-45D7-9B0F-3F2E47A9613B}"/>
    <cellStyle name="Normal 11 3" xfId="93" xr:uid="{94D23006-AEC4-408C-ABA9-DB2AA33AB826}"/>
    <cellStyle name="Normal 12" xfId="50" xr:uid="{3D3CA44F-55A8-4298-896E-E231A48DA977}"/>
    <cellStyle name="Normal 13" xfId="51" xr:uid="{F53136A6-88CC-4801-A693-F70B18685D36}"/>
    <cellStyle name="Normal 14" xfId="56" xr:uid="{B0E991CC-BE32-4E77-9295-444E9652479C}"/>
    <cellStyle name="Normal 14 2" xfId="95" xr:uid="{C401C034-3BE8-44C5-9722-7E8239A09EFB}"/>
    <cellStyle name="Normal 15" xfId="60" xr:uid="{237AD11C-D054-43C0-9EE3-10F4D88A92F6}"/>
    <cellStyle name="Normal 16" xfId="63" xr:uid="{C7869CFE-A6A7-42E5-B10E-9285AEB66DC2}"/>
    <cellStyle name="Normal 16 2" xfId="98" xr:uid="{330A2E5C-E472-499B-B38C-274776F1D7D9}"/>
    <cellStyle name="Normal 17" xfId="68" xr:uid="{85581DE8-81B2-44F5-8915-9C79B39CCC42}"/>
    <cellStyle name="Normal 17 2" xfId="100" xr:uid="{1CBA926E-D425-4778-9C91-9A044B8989C1}"/>
    <cellStyle name="Normal 18" xfId="69" xr:uid="{859092FB-7CC7-4046-B1DB-3D70878FC8FE}"/>
    <cellStyle name="Normal 19" xfId="103" xr:uid="{FA621586-082E-4EDD-A4BD-E272A0DB6502}"/>
    <cellStyle name="Normal 2" xfId="6" xr:uid="{00000000-0005-0000-0000-000007000000}"/>
    <cellStyle name="Normal 2 2" xfId="120" xr:uid="{89CE8D30-D2A0-4E0A-A754-A0A18FC543A1}"/>
    <cellStyle name="Normal 2 2 2" xfId="53" xr:uid="{CE22176E-E357-4F55-80CC-778B32D06EE4}"/>
    <cellStyle name="Normal 20" xfId="104" xr:uid="{F256E445-836A-435F-9688-07D2BB23C47D}"/>
    <cellStyle name="Normal 21" xfId="107" xr:uid="{8A2B3F31-8725-4841-980D-F45204BC2FD8}"/>
    <cellStyle name="Normal 22" xfId="108" xr:uid="{429C0644-6098-4AE0-B299-8DF197C28C19}"/>
    <cellStyle name="Normal 23" xfId="110" xr:uid="{A2E1710F-4CFC-4F17-8981-FA1C3BDDA793}"/>
    <cellStyle name="Normal 24" xfId="111" xr:uid="{B7AB99EE-464C-437D-8CD3-5CBC3A1F4C9A}"/>
    <cellStyle name="Normal 25" xfId="112" xr:uid="{0228D0F4-B784-4479-A9AD-EFC05C3365ED}"/>
    <cellStyle name="Normal 26" xfId="116" xr:uid="{D9C322C3-0687-4A8D-AB09-FD68C63C0CF9}"/>
    <cellStyle name="Normal 26 2" xfId="145" xr:uid="{2B45881F-A183-4441-83EE-8075FDC777C8}"/>
    <cellStyle name="Normal 27" xfId="118" xr:uid="{E8543162-6BFF-40AD-BA8C-CDCDD54FF063}"/>
    <cellStyle name="Normal 28" xfId="119" xr:uid="{FB451D9D-C2DB-4E92-9346-34B6E2F74884}"/>
    <cellStyle name="Normal 29" xfId="121" xr:uid="{4718C173-0888-450C-B0E7-B978BB4B7AF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30" xfId="122" xr:uid="{536D9AC8-9F5A-4C96-999E-719F545EC0D8}"/>
    <cellStyle name="Normal 31" xfId="123" xr:uid="{59AEDFF4-6ACE-414E-B7C9-2D81DA01B1BC}"/>
    <cellStyle name="Normal 32" xfId="125" xr:uid="{2686EEBF-BB84-4046-A881-CAAF1CD76A42}"/>
    <cellStyle name="Normal 33" xfId="126" xr:uid="{5D43CE74-4CB0-4F3B-BB25-FCF905893AF3}"/>
    <cellStyle name="Normal 34" xfId="127" xr:uid="{E356C321-8269-41FF-A9D8-6A4C12607667}"/>
    <cellStyle name="Normal 35" xfId="128" xr:uid="{BE2AD143-D6F0-4E6F-8828-F843A6665919}"/>
    <cellStyle name="Normal 36" xfId="129" xr:uid="{C7B15048-ADD6-415D-9924-4FE821DF4A0B}"/>
    <cellStyle name="Normal 37" xfId="130" xr:uid="{4C619F37-BF81-4F00-92A0-562463EDB03D}"/>
    <cellStyle name="Normal 38" xfId="131" xr:uid="{0EB0EC54-5830-42F4-B26B-E9944143923A}"/>
    <cellStyle name="Normal 39" xfId="132" xr:uid="{4962E728-D34A-45C7-AE1E-9FD2F0F83287}"/>
    <cellStyle name="Normal 4" xfId="15" xr:uid="{5B39A5FB-A9E0-4878-9536-B08087AD3B39}"/>
    <cellStyle name="Normal 4 2" xfId="27" xr:uid="{05A47457-4BA7-46F1-A52C-22049087CDAE}"/>
    <cellStyle name="Normal 4 2 2" xfId="43" xr:uid="{B98A6477-88FD-4260-919D-1825D259B5F9}"/>
    <cellStyle name="Normal 4 2 2 2" xfId="89" xr:uid="{E98ECCEF-7E2A-4FC9-B6BE-FAC1AD409226}"/>
    <cellStyle name="Normal 4 2 3" xfId="76" xr:uid="{B0BAE234-42F3-4F3E-AC01-4B8D9CCA67B9}"/>
    <cellStyle name="Normal 4 3" xfId="37" xr:uid="{91950074-F720-4C60-9995-37D3335F59B3}"/>
    <cellStyle name="Normal 4 3 2" xfId="83" xr:uid="{ABDE30B8-7BE7-4D2F-AC12-021A5842A2E1}"/>
    <cellStyle name="Normal 4 4" xfId="70" xr:uid="{A5356FF4-E5A4-45FE-B215-43E4046C7B31}"/>
    <cellStyle name="Normal 4 5" xfId="124" xr:uid="{30B9622C-4C8F-46BC-94D1-FB2534FFE47F}"/>
    <cellStyle name="Normal 40" xfId="133" xr:uid="{A1F4DBF1-A731-4A35-8116-15D53C697608}"/>
    <cellStyle name="Normal 41" xfId="134" xr:uid="{0F271331-FDD5-4EE8-9044-057A3F99B03C}"/>
    <cellStyle name="Normal 42" xfId="135" xr:uid="{F64966F2-557D-437D-A8E7-C92F0B9ED9D5}"/>
    <cellStyle name="Normal 43" xfId="136" xr:uid="{B8B0440C-0136-4712-B2F7-3EB781F70EEA}"/>
    <cellStyle name="Normal 44" xfId="137" xr:uid="{22F5A9BB-67EF-46C3-90C7-16C410745CCB}"/>
    <cellStyle name="Normal 45" xfId="138" xr:uid="{E7FEAAC0-87C7-4B68-9416-8EA3980444F7}"/>
    <cellStyle name="Normal 46" xfId="139" xr:uid="{CBED5AE2-6E74-4299-99FE-EC38B64D4AFD}"/>
    <cellStyle name="Normal 47" xfId="140" xr:uid="{2A812E81-6BFC-445D-B4C9-B4B9B99EE50D}"/>
    <cellStyle name="Normal 48" xfId="143" xr:uid="{5A10E4BB-2FC7-48CB-B3AD-B5DE820F5A50}"/>
    <cellStyle name="Normal 49" xfId="148" xr:uid="{E943969C-2CE9-4431-96E6-82E750B27CD2}"/>
    <cellStyle name="Normal 5" xfId="23" xr:uid="{ACAA594F-8FFE-4C59-9E1A-A65A97B01ACD}"/>
    <cellStyle name="Normal 50" xfId="150" xr:uid="{EF02AAF4-837B-469E-85C1-09E7574E9D1B}"/>
    <cellStyle name="Normal 51" xfId="151" xr:uid="{FB45888E-CEE2-4D50-9FC6-DC8EAAB24F8E}"/>
    <cellStyle name="Normal 52" xfId="152" xr:uid="{90C2C523-0AE3-4A6E-A752-9BCDE3FD4FB0}"/>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7 2 2" xfId="86" xr:uid="{38F980A0-4727-42DE-9443-F0475A12C5EC}"/>
    <cellStyle name="Normal 7 3" xfId="73" xr:uid="{4E8C29B8-16C9-4C4A-9E98-12AC76FEC7AE}"/>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xfId="106" builtinId="5"/>
    <cellStyle name="Per cent 2" xfId="97" xr:uid="{0CB0AF54-FAF9-4A1C-9FCC-3464758FC2BC}"/>
    <cellStyle name="Per cent 3" xfId="144" xr:uid="{47B49F12-9D5A-4264-A3AE-411203052507}"/>
    <cellStyle name="Percent" xfId="149" xr:uid="{2DB070E6-2712-4C5E-980F-9E2EF27B31BE}"/>
    <cellStyle name="Percent 2" xfId="13" xr:uid="{00000000-0005-0000-0000-00000E000000}"/>
  </cellStyles>
  <dxfs count="215">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0000"/>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0000FF"/>
      <color rgb="FFFDE9D9"/>
      <color rgb="FFFFFFCC"/>
      <color rgb="FFF0F0F0"/>
      <color rgb="FFB8CCE4"/>
      <color rgb="FFF020EB"/>
      <color rgb="FFF23AD8"/>
      <color rgb="FFFF7C8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2</xdr:row>
      <xdr:rowOff>103187</xdr:rowOff>
    </xdr:from>
    <xdr:to>
      <xdr:col>1</xdr:col>
      <xdr:colOff>1891824</xdr:colOff>
      <xdr:row>8</xdr:row>
      <xdr:rowOff>253033</xdr:rowOff>
    </xdr:to>
    <xdr:pic>
      <xdr:nvPicPr>
        <xdr:cNvPr id="3" name="Picture 2">
          <a:extLst>
            <a:ext uri="{FF2B5EF4-FFF2-40B4-BE49-F238E27FC236}">
              <a16:creationId xmlns:a16="http://schemas.microsoft.com/office/drawing/2014/main" id="{2B73E5BA-4390-C82F-13E1-0D5FFD79997C}"/>
            </a:ext>
          </a:extLst>
        </xdr:cNvPr>
        <xdr:cNvPicPr>
          <a:picLocks noChangeAspect="1"/>
        </xdr:cNvPicPr>
      </xdr:nvPicPr>
      <xdr:blipFill>
        <a:blip xmlns:r="http://schemas.openxmlformats.org/officeDocument/2006/relationships" r:embed="rId1"/>
        <a:stretch>
          <a:fillRect/>
        </a:stretch>
      </xdr:blipFill>
      <xdr:spPr>
        <a:xfrm>
          <a:off x="285751" y="722312"/>
          <a:ext cx="2453481" cy="1290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174172</xdr:colOff>
      <xdr:row>3</xdr:row>
      <xdr:rowOff>54428</xdr:rowOff>
    </xdr:from>
    <xdr:to>
      <xdr:col>2</xdr:col>
      <xdr:colOff>1625063</xdr:colOff>
      <xdr:row>9</xdr:row>
      <xdr:rowOff>96770</xdr:rowOff>
    </xdr:to>
    <xdr:pic>
      <xdr:nvPicPr>
        <xdr:cNvPr id="2" name="Picture 1">
          <a:extLst>
            <a:ext uri="{FF2B5EF4-FFF2-40B4-BE49-F238E27FC236}">
              <a16:creationId xmlns:a16="http://schemas.microsoft.com/office/drawing/2014/main" id="{257203AC-C5E8-9402-3300-D8EF5582EB42}"/>
            </a:ext>
          </a:extLst>
        </xdr:cNvPr>
        <xdr:cNvPicPr>
          <a:picLocks noChangeAspect="1"/>
        </xdr:cNvPicPr>
      </xdr:nvPicPr>
      <xdr:blipFill>
        <a:blip xmlns:r="http://schemas.openxmlformats.org/officeDocument/2006/relationships" r:embed="rId1"/>
        <a:stretch>
          <a:fillRect/>
        </a:stretch>
      </xdr:blipFill>
      <xdr:spPr>
        <a:xfrm>
          <a:off x="174172" y="979714"/>
          <a:ext cx="2162998" cy="12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3</xdr:row>
      <xdr:rowOff>54428</xdr:rowOff>
    </xdr:from>
    <xdr:to>
      <xdr:col>2</xdr:col>
      <xdr:colOff>1716685</xdr:colOff>
      <xdr:row>9</xdr:row>
      <xdr:rowOff>101215</xdr:rowOff>
    </xdr:to>
    <xdr:pic>
      <xdr:nvPicPr>
        <xdr:cNvPr id="2" name="Picture 1">
          <a:extLst>
            <a:ext uri="{FF2B5EF4-FFF2-40B4-BE49-F238E27FC236}">
              <a16:creationId xmlns:a16="http://schemas.microsoft.com/office/drawing/2014/main" id="{9D8EA87F-E57B-F102-5C1F-7BEA7157CCC4}"/>
            </a:ext>
          </a:extLst>
        </xdr:cNvPr>
        <xdr:cNvPicPr>
          <a:picLocks noChangeAspect="1"/>
        </xdr:cNvPicPr>
      </xdr:nvPicPr>
      <xdr:blipFill>
        <a:blip xmlns:r="http://schemas.openxmlformats.org/officeDocument/2006/relationships" r:embed="rId1"/>
        <a:stretch>
          <a:fillRect/>
        </a:stretch>
      </xdr:blipFill>
      <xdr:spPr>
        <a:xfrm>
          <a:off x="163286" y="979714"/>
          <a:ext cx="2162998" cy="12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195943</xdr:colOff>
      <xdr:row>3</xdr:row>
      <xdr:rowOff>108857</xdr:rowOff>
    </xdr:from>
    <xdr:to>
      <xdr:col>3</xdr:col>
      <xdr:colOff>1279985</xdr:colOff>
      <xdr:row>9</xdr:row>
      <xdr:rowOff>139769</xdr:rowOff>
    </xdr:to>
    <xdr:pic>
      <xdr:nvPicPr>
        <xdr:cNvPr id="2" name="Picture 1">
          <a:extLst>
            <a:ext uri="{FF2B5EF4-FFF2-40B4-BE49-F238E27FC236}">
              <a16:creationId xmlns:a16="http://schemas.microsoft.com/office/drawing/2014/main" id="{1AD25D54-FC42-554A-E4FB-13B05F5AF0DC}"/>
            </a:ext>
          </a:extLst>
        </xdr:cNvPr>
        <xdr:cNvPicPr>
          <a:picLocks noChangeAspect="1"/>
        </xdr:cNvPicPr>
      </xdr:nvPicPr>
      <xdr:blipFill>
        <a:blip xmlns:r="http://schemas.openxmlformats.org/officeDocument/2006/relationships" r:embed="rId1"/>
        <a:stretch>
          <a:fillRect/>
        </a:stretch>
      </xdr:blipFill>
      <xdr:spPr>
        <a:xfrm>
          <a:off x="195943" y="1034143"/>
          <a:ext cx="2162998" cy="12045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219075</xdr:colOff>
      <xdr:row>3</xdr:row>
      <xdr:rowOff>104775</xdr:rowOff>
    </xdr:from>
    <xdr:to>
      <xdr:col>2</xdr:col>
      <xdr:colOff>1773743</xdr:colOff>
      <xdr:row>9</xdr:row>
      <xdr:rowOff>149838</xdr:rowOff>
    </xdr:to>
    <xdr:pic>
      <xdr:nvPicPr>
        <xdr:cNvPr id="2" name="Picture 1">
          <a:extLst>
            <a:ext uri="{FF2B5EF4-FFF2-40B4-BE49-F238E27FC236}">
              <a16:creationId xmlns:a16="http://schemas.microsoft.com/office/drawing/2014/main" id="{EA8B73A2-4ABE-55CF-27A6-567F63BE46B7}"/>
            </a:ext>
          </a:extLst>
        </xdr:cNvPr>
        <xdr:cNvPicPr>
          <a:picLocks noChangeAspect="1"/>
        </xdr:cNvPicPr>
      </xdr:nvPicPr>
      <xdr:blipFill>
        <a:blip xmlns:r="http://schemas.openxmlformats.org/officeDocument/2006/relationships" r:embed="rId1"/>
        <a:stretch>
          <a:fillRect/>
        </a:stretch>
      </xdr:blipFill>
      <xdr:spPr>
        <a:xfrm>
          <a:off x="219075" y="1028700"/>
          <a:ext cx="2162998" cy="12071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219075</xdr:colOff>
      <xdr:row>2</xdr:row>
      <xdr:rowOff>171450</xdr:rowOff>
    </xdr:from>
    <xdr:to>
      <xdr:col>3</xdr:col>
      <xdr:colOff>823148</xdr:colOff>
      <xdr:row>8</xdr:row>
      <xdr:rowOff>218418</xdr:rowOff>
    </xdr:to>
    <xdr:pic>
      <xdr:nvPicPr>
        <xdr:cNvPr id="2" name="Picture 1">
          <a:extLst>
            <a:ext uri="{FF2B5EF4-FFF2-40B4-BE49-F238E27FC236}">
              <a16:creationId xmlns:a16="http://schemas.microsoft.com/office/drawing/2014/main" id="{2BED1912-4F57-D38F-0564-6A883A3BC18A}"/>
            </a:ext>
          </a:extLst>
        </xdr:cNvPr>
        <xdr:cNvPicPr>
          <a:picLocks noChangeAspect="1"/>
        </xdr:cNvPicPr>
      </xdr:nvPicPr>
      <xdr:blipFill>
        <a:blip xmlns:r="http://schemas.openxmlformats.org/officeDocument/2006/relationships" r:embed="rId1"/>
        <a:stretch>
          <a:fillRect/>
        </a:stretch>
      </xdr:blipFill>
      <xdr:spPr>
        <a:xfrm>
          <a:off x="219075" y="923925"/>
          <a:ext cx="2166808" cy="1204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105833</xdr:colOff>
      <xdr:row>4</xdr:row>
      <xdr:rowOff>95250</xdr:rowOff>
    </xdr:from>
    <xdr:to>
      <xdr:col>2</xdr:col>
      <xdr:colOff>1668334</xdr:colOff>
      <xdr:row>10</xdr:row>
      <xdr:rowOff>144755</xdr:rowOff>
    </xdr:to>
    <xdr:pic>
      <xdr:nvPicPr>
        <xdr:cNvPr id="2" name="Picture 1">
          <a:extLst>
            <a:ext uri="{FF2B5EF4-FFF2-40B4-BE49-F238E27FC236}">
              <a16:creationId xmlns:a16="http://schemas.microsoft.com/office/drawing/2014/main" id="{4D8EC01B-902E-11B0-E1CE-1FF492C591E4}"/>
            </a:ext>
          </a:extLst>
        </xdr:cNvPr>
        <xdr:cNvPicPr>
          <a:picLocks noChangeAspect="1"/>
        </xdr:cNvPicPr>
      </xdr:nvPicPr>
      <xdr:blipFill>
        <a:blip xmlns:r="http://schemas.openxmlformats.org/officeDocument/2006/relationships" r:embed="rId1"/>
        <a:stretch>
          <a:fillRect/>
        </a:stretch>
      </xdr:blipFill>
      <xdr:spPr>
        <a:xfrm>
          <a:off x="105833" y="1428750"/>
          <a:ext cx="2161093"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2</xdr:row>
      <xdr:rowOff>95250</xdr:rowOff>
    </xdr:from>
    <xdr:to>
      <xdr:col>1</xdr:col>
      <xdr:colOff>2239198</xdr:colOff>
      <xdr:row>8</xdr:row>
      <xdr:rowOff>136503</xdr:rowOff>
    </xdr:to>
    <xdr:pic>
      <xdr:nvPicPr>
        <xdr:cNvPr id="4" name="Picture 3">
          <a:extLst>
            <a:ext uri="{FF2B5EF4-FFF2-40B4-BE49-F238E27FC236}">
              <a16:creationId xmlns:a16="http://schemas.microsoft.com/office/drawing/2014/main" id="{CCCF00A3-F79D-2667-1CC7-DDAF6E52E0C4}"/>
            </a:ext>
          </a:extLst>
        </xdr:cNvPr>
        <xdr:cNvPicPr>
          <a:picLocks noChangeAspect="1"/>
        </xdr:cNvPicPr>
      </xdr:nvPicPr>
      <xdr:blipFill>
        <a:blip xmlns:r="http://schemas.openxmlformats.org/officeDocument/2006/relationships" r:embed="rId1"/>
        <a:stretch>
          <a:fillRect/>
        </a:stretch>
      </xdr:blipFill>
      <xdr:spPr>
        <a:xfrm>
          <a:off x="76200" y="857250"/>
          <a:ext cx="2162998" cy="1208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3</xdr:row>
      <xdr:rowOff>28575</xdr:rowOff>
    </xdr:from>
    <xdr:to>
      <xdr:col>2</xdr:col>
      <xdr:colOff>1815653</xdr:colOff>
      <xdr:row>9</xdr:row>
      <xdr:rowOff>63478</xdr:rowOff>
    </xdr:to>
    <xdr:pic>
      <xdr:nvPicPr>
        <xdr:cNvPr id="2" name="Picture 1">
          <a:extLst>
            <a:ext uri="{FF2B5EF4-FFF2-40B4-BE49-F238E27FC236}">
              <a16:creationId xmlns:a16="http://schemas.microsoft.com/office/drawing/2014/main" id="{9FC1F9FF-BBF3-7149-5D2D-32C5EF65B659}"/>
            </a:ext>
          </a:extLst>
        </xdr:cNvPr>
        <xdr:cNvPicPr>
          <a:picLocks noChangeAspect="1"/>
        </xdr:cNvPicPr>
      </xdr:nvPicPr>
      <xdr:blipFill>
        <a:blip xmlns:r="http://schemas.openxmlformats.org/officeDocument/2006/relationships" r:embed="rId1"/>
        <a:stretch>
          <a:fillRect/>
        </a:stretch>
      </xdr:blipFill>
      <xdr:spPr>
        <a:xfrm>
          <a:off x="114300" y="952500"/>
          <a:ext cx="2162998" cy="12109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141515</xdr:colOff>
      <xdr:row>3</xdr:row>
      <xdr:rowOff>54429</xdr:rowOff>
    </xdr:from>
    <xdr:to>
      <xdr:col>2</xdr:col>
      <xdr:colOff>1696183</xdr:colOff>
      <xdr:row>9</xdr:row>
      <xdr:rowOff>100581</xdr:rowOff>
    </xdr:to>
    <xdr:pic>
      <xdr:nvPicPr>
        <xdr:cNvPr id="2" name="Picture 1">
          <a:extLst>
            <a:ext uri="{FF2B5EF4-FFF2-40B4-BE49-F238E27FC236}">
              <a16:creationId xmlns:a16="http://schemas.microsoft.com/office/drawing/2014/main" id="{A4006C49-5AC5-2984-AA9E-3665CF12C678}"/>
            </a:ext>
          </a:extLst>
        </xdr:cNvPr>
        <xdr:cNvPicPr>
          <a:picLocks noChangeAspect="1"/>
        </xdr:cNvPicPr>
      </xdr:nvPicPr>
      <xdr:blipFill>
        <a:blip xmlns:r="http://schemas.openxmlformats.org/officeDocument/2006/relationships" r:embed="rId1"/>
        <a:stretch>
          <a:fillRect/>
        </a:stretch>
      </xdr:blipFill>
      <xdr:spPr>
        <a:xfrm>
          <a:off x="141515" y="979715"/>
          <a:ext cx="2162998" cy="12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3</xdr:row>
      <xdr:rowOff>43543</xdr:rowOff>
    </xdr:from>
    <xdr:to>
      <xdr:col>2</xdr:col>
      <xdr:colOff>1698180</xdr:colOff>
      <xdr:row>9</xdr:row>
      <xdr:rowOff>99220</xdr:rowOff>
    </xdr:to>
    <xdr:pic>
      <xdr:nvPicPr>
        <xdr:cNvPr id="2" name="Picture 1">
          <a:extLst>
            <a:ext uri="{FF2B5EF4-FFF2-40B4-BE49-F238E27FC236}">
              <a16:creationId xmlns:a16="http://schemas.microsoft.com/office/drawing/2014/main" id="{32A731B6-FB41-AC0E-DE9C-65C3F24D5B85}"/>
            </a:ext>
          </a:extLst>
        </xdr:cNvPr>
        <xdr:cNvPicPr>
          <a:picLocks noChangeAspect="1"/>
        </xdr:cNvPicPr>
      </xdr:nvPicPr>
      <xdr:blipFill>
        <a:blip xmlns:r="http://schemas.openxmlformats.org/officeDocument/2006/relationships" r:embed="rId1"/>
        <a:stretch>
          <a:fillRect/>
        </a:stretch>
      </xdr:blipFill>
      <xdr:spPr>
        <a:xfrm>
          <a:off x="152400" y="968829"/>
          <a:ext cx="2162998" cy="12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130629</xdr:colOff>
      <xdr:row>3</xdr:row>
      <xdr:rowOff>0</xdr:rowOff>
    </xdr:from>
    <xdr:to>
      <xdr:col>2</xdr:col>
      <xdr:colOff>1410614</xdr:colOff>
      <xdr:row>9</xdr:row>
      <xdr:rowOff>59487</xdr:rowOff>
    </xdr:to>
    <xdr:pic>
      <xdr:nvPicPr>
        <xdr:cNvPr id="2" name="Picture 1">
          <a:extLst>
            <a:ext uri="{FF2B5EF4-FFF2-40B4-BE49-F238E27FC236}">
              <a16:creationId xmlns:a16="http://schemas.microsoft.com/office/drawing/2014/main" id="{D1318138-AF05-7A02-E926-C702AA0E77D0}"/>
            </a:ext>
          </a:extLst>
        </xdr:cNvPr>
        <xdr:cNvPicPr>
          <a:picLocks noChangeAspect="1"/>
        </xdr:cNvPicPr>
      </xdr:nvPicPr>
      <xdr:blipFill>
        <a:blip xmlns:r="http://schemas.openxmlformats.org/officeDocument/2006/relationships" r:embed="rId1"/>
        <a:stretch>
          <a:fillRect/>
        </a:stretch>
      </xdr:blipFill>
      <xdr:spPr>
        <a:xfrm>
          <a:off x="130629" y="925286"/>
          <a:ext cx="2161728" cy="12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3</xdr:row>
      <xdr:rowOff>127000</xdr:rowOff>
    </xdr:from>
    <xdr:to>
      <xdr:col>2</xdr:col>
      <xdr:colOff>1740724</xdr:colOff>
      <xdr:row>9</xdr:row>
      <xdr:rowOff>150473</xdr:rowOff>
    </xdr:to>
    <xdr:pic>
      <xdr:nvPicPr>
        <xdr:cNvPr id="2" name="Picture 1">
          <a:extLst>
            <a:ext uri="{FF2B5EF4-FFF2-40B4-BE49-F238E27FC236}">
              <a16:creationId xmlns:a16="http://schemas.microsoft.com/office/drawing/2014/main" id="{E271D106-8FB8-23A5-9AC6-726698C9A8B5}"/>
            </a:ext>
          </a:extLst>
        </xdr:cNvPr>
        <xdr:cNvPicPr>
          <a:picLocks noChangeAspect="1"/>
        </xdr:cNvPicPr>
      </xdr:nvPicPr>
      <xdr:blipFill>
        <a:blip xmlns:r="http://schemas.openxmlformats.org/officeDocument/2006/relationships" r:embed="rId1"/>
        <a:stretch>
          <a:fillRect/>
        </a:stretch>
      </xdr:blipFill>
      <xdr:spPr>
        <a:xfrm>
          <a:off x="190500" y="1054100"/>
          <a:ext cx="2162998" cy="1204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3</xdr:row>
      <xdr:rowOff>152399</xdr:rowOff>
    </xdr:from>
    <xdr:to>
      <xdr:col>2</xdr:col>
      <xdr:colOff>1812189</xdr:colOff>
      <xdr:row>9</xdr:row>
      <xdr:rowOff>172986</xdr:rowOff>
    </xdr:to>
    <xdr:pic>
      <xdr:nvPicPr>
        <xdr:cNvPr id="3" name="Picture 2">
          <a:extLst>
            <a:ext uri="{FF2B5EF4-FFF2-40B4-BE49-F238E27FC236}">
              <a16:creationId xmlns:a16="http://schemas.microsoft.com/office/drawing/2014/main" id="{B26B35A4-DBB2-B6D7-10E2-F5DACD81B05F}"/>
            </a:ext>
          </a:extLst>
        </xdr:cNvPr>
        <xdr:cNvPicPr>
          <a:picLocks noChangeAspect="1"/>
        </xdr:cNvPicPr>
      </xdr:nvPicPr>
      <xdr:blipFill>
        <a:blip xmlns:r="http://schemas.openxmlformats.org/officeDocument/2006/relationships" r:embed="rId1"/>
        <a:stretch>
          <a:fillRect/>
        </a:stretch>
      </xdr:blipFill>
      <xdr:spPr>
        <a:xfrm>
          <a:off x="166255" y="1080654"/>
          <a:ext cx="2162998" cy="1205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CLARKE\Downloads\Table_10_2025-26.o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LGF3/LGF3Data/CTR/Stats%20Releases/2024-25/2024-25%20Tables/To%20publish/CTR1%20Form" TargetMode="External"/><Relationship Id="rId1" Type="http://schemas.openxmlformats.org/officeDocument/2006/relationships/externalLinkPath" Target="/LGF3/LGF3Data/CTR/Stats%20Releases/2024-25/2024-25%20Tables/To%20publish/CTR1%20For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MCLARKE\AppData\Local\Microsoft\Windows\INetCache\Content.Outlook\SRA5XS1I\GF%20Revenue%20Account%20Budget%202025-26%20data%20preparation%20template%20v1.0.xlsx" TargetMode="External"/><Relationship Id="rId1" Type="http://schemas.openxmlformats.org/officeDocument/2006/relationships/externalLinkPath" Target="file:///C:\Users\MCLARKE\AppData\Local\Microsoft\Windows\INetCache\Content.Outlook\SRA5XS1I\GF%20Revenue%20Account%20Budget%202025-26%20data%20preparation%20template%20v1.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GSAYER\Downloads\RA_2023-24_data_Part_2%20(5).ods" TargetMode="External"/><Relationship Id="rId1" Type="http://schemas.openxmlformats.org/officeDocument/2006/relationships/externalLinkPath" Target="file:///C:\Users\GSAYER\Downloads\RA_2023-24_data_Part_2%20(5).od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C:\Users\MCLARKE\Downloads\RO1_LA_Data_2024-25_data_by_LA.ods" TargetMode="External"/><Relationship Id="rId1" Type="http://schemas.openxmlformats.org/officeDocument/2006/relationships/externalLinkPath" Target="file:///C:\Users\MCLARKE\Downloads\RO1_LA_Data_2024-25_data_by_LA.od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Data_Variables2"/>
      <sheetName val="Savings_Uplifts2"/>
      <sheetName val="GDP_forecast"/>
      <sheetName val="Charts_BRC pr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 val="CASHFLOW_Gen_Income2"/>
      <sheetName val="model_inpu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 Data_Billing"/>
      <sheetName val="Precepting_Authorities"/>
      <sheetName val="Precepting_Bodi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1_Form6"/>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14"/>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R1_Form5"/>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pload"/>
      <sheetName val="Guidance"/>
      <sheetName val="Form"/>
      <sheetName val="LA Data RA"/>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A_LA_Data_2023-24"/>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week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 validation"/>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Rev Inc 20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O1_LA_Data_202425"/>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Data"/>
      <sheetName val="AuthDetails"/>
      <sheetName val="FormFrontPage"/>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ing_Table7"/>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 val="Annex_B_T37_Providers"/>
      <sheetName val="Annex_B_T37_Providers1"/>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 val="HIS19FIN(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 val="USG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communities.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rovisional-police-grant-report-2025-to-2026/provisional-police-grants-in-england-and-wales-2025-to-2026-accessible" TargetMode="External"/><Relationship Id="rId7" Type="http://schemas.openxmlformats.org/officeDocument/2006/relationships/comments" Target="../comments1.xml"/><Relationship Id="rId2" Type="http://schemas.openxmlformats.org/officeDocument/2006/relationships/hyperlink" Target="https://www.gov.uk/government/publications/council-tax-requirement-return" TargetMode="External"/><Relationship Id="rId1" Type="http://schemas.openxmlformats.org/officeDocument/2006/relationships/hyperlink" Target="https://www.gov.uk/government/publications/key-information-table-for-local-authorities-final-local-government-finance-settlement-2025-to-202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collections/section-251-materials" TargetMode="External"/><Relationship Id="rId1" Type="http://schemas.openxmlformats.org/officeDocument/2006/relationships/hyperlink" Target="https://digital.nhs.uk/data-and-information/data-collections-and-data-sets/data-collections/social-care-collection-materials-2025/adult-social-care-finance-return-asc-fr/ro3"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AW760"/>
  <sheetViews>
    <sheetView showGridLines="0" zoomScale="80" zoomScaleNormal="80" workbookViewId="0">
      <pane ySplit="1" topLeftCell="A2" activePane="bottomLeft" state="frozen"/>
      <selection pane="bottomLeft"/>
    </sheetView>
  </sheetViews>
  <sheetFormatPr defaultColWidth="0" defaultRowHeight="14.15" customHeight="1" x14ac:dyDescent="0.25"/>
  <cols>
    <col min="1" max="1" width="12.1796875" customWidth="1"/>
    <col min="2" max="2" width="91.7265625" customWidth="1"/>
    <col min="3" max="3" width="13" customWidth="1"/>
    <col min="4" max="6" width="16.7265625" customWidth="1"/>
    <col min="7" max="7" width="22.54296875" customWidth="1"/>
    <col min="8" max="8" width="13.453125" customWidth="1"/>
    <col min="9" max="10" width="16.7265625" customWidth="1"/>
    <col min="11" max="11" width="2.7265625" customWidth="1"/>
    <col min="12" max="13" width="16.7265625" customWidth="1"/>
    <col min="14" max="14" width="5.1796875" customWidth="1"/>
    <col min="15" max="22" width="10.54296875" hidden="1" customWidth="1"/>
    <col min="23" max="49" width="0" hidden="1" customWidth="1"/>
    <col min="50" max="16384" width="10.54296875" hidden="1"/>
  </cols>
  <sheetData>
    <row r="1" spans="1:14" ht="36" customHeight="1" x14ac:dyDescent="0.25">
      <c r="A1" s="145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453"/>
      <c r="C1" s="1453"/>
      <c r="D1" s="1453"/>
      <c r="E1" s="1453"/>
      <c r="F1" s="1453"/>
      <c r="G1" s="1453"/>
      <c r="H1" s="1453"/>
      <c r="I1" s="1453"/>
      <c r="J1" s="1453"/>
      <c r="K1" s="1453"/>
      <c r="L1" s="1453"/>
      <c r="M1" s="1453"/>
      <c r="N1" s="1453"/>
    </row>
    <row r="2" spans="1:14" ht="12.75" customHeight="1" x14ac:dyDescent="0.3">
      <c r="A2" s="117"/>
      <c r="B2" s="87"/>
      <c r="C2" s="87"/>
      <c r="D2" s="415"/>
      <c r="E2" s="410"/>
      <c r="F2" s="87"/>
      <c r="G2" s="87"/>
      <c r="H2" s="87"/>
      <c r="I2" s="87"/>
      <c r="J2" s="87"/>
      <c r="K2" s="87"/>
      <c r="L2" s="87"/>
      <c r="M2" s="87"/>
      <c r="N2" s="87"/>
    </row>
    <row r="3" spans="1:14" ht="27.75" customHeight="1" x14ac:dyDescent="0.6">
      <c r="A3" s="589" t="s">
        <v>0</v>
      </c>
      <c r="B3" s="87"/>
      <c r="C3" s="87"/>
      <c r="D3" s="1011"/>
      <c r="E3" s="1012" t="s">
        <v>1</v>
      </c>
      <c r="F3" s="1011"/>
      <c r="G3" s="87"/>
      <c r="H3" s="87"/>
      <c r="I3" s="87"/>
      <c r="J3" s="87"/>
      <c r="K3" s="87"/>
      <c r="L3" s="87"/>
      <c r="M3" s="118" t="str">
        <f>"Revenue Outturn "&amp;YearForm</f>
        <v>Revenue Outturn 2025-26</v>
      </c>
      <c r="N3" s="87"/>
    </row>
    <row r="4" spans="1:14" ht="12.75" customHeight="1" x14ac:dyDescent="0.3">
      <c r="A4" s="87"/>
      <c r="B4" s="87"/>
      <c r="C4" s="87"/>
      <c r="D4" s="415"/>
      <c r="F4" s="87"/>
      <c r="G4" s="87"/>
      <c r="H4" s="87"/>
      <c r="I4" s="87"/>
      <c r="J4" s="87"/>
      <c r="K4" s="87"/>
      <c r="L4" s="87"/>
      <c r="M4" s="87"/>
      <c r="N4" s="87"/>
    </row>
    <row r="5" spans="1:14" ht="12.75" customHeight="1" x14ac:dyDescent="0.25">
      <c r="A5" s="87"/>
      <c r="B5" s="87"/>
      <c r="C5" s="87"/>
      <c r="D5" s="87"/>
      <c r="E5" s="87"/>
      <c r="F5" s="87"/>
      <c r="G5" s="87"/>
      <c r="H5" s="87"/>
      <c r="I5" s="87"/>
      <c r="J5" s="87"/>
      <c r="K5" s="87"/>
      <c r="L5" s="87"/>
      <c r="M5" s="87"/>
      <c r="N5" s="87"/>
    </row>
    <row r="6" spans="1:14" ht="12.75" customHeight="1" x14ac:dyDescent="0.25">
      <c r="A6" s="87"/>
      <c r="B6" s="87"/>
      <c r="C6" s="87"/>
      <c r="D6" s="87"/>
      <c r="E6" s="87"/>
      <c r="F6" s="87"/>
      <c r="G6" s="87"/>
      <c r="H6" s="87"/>
      <c r="I6" s="87"/>
      <c r="J6" s="87"/>
      <c r="K6" s="87"/>
      <c r="L6" s="87"/>
      <c r="M6" s="87"/>
      <c r="N6" s="87"/>
    </row>
    <row r="7" spans="1:14" ht="12.75" customHeight="1" x14ac:dyDescent="0.25">
      <c r="A7" s="87"/>
      <c r="B7" s="87"/>
      <c r="C7" s="87"/>
      <c r="D7" s="87"/>
      <c r="E7" s="87"/>
      <c r="F7" s="87"/>
      <c r="G7" s="87"/>
      <c r="H7" s="87"/>
      <c r="I7" s="87"/>
      <c r="J7" s="87"/>
      <c r="K7" s="87"/>
      <c r="L7" s="87"/>
      <c r="M7" s="87"/>
      <c r="N7" s="87"/>
    </row>
    <row r="8" spans="1:14" ht="12.75" customHeight="1" x14ac:dyDescent="0.25">
      <c r="A8" s="87"/>
      <c r="B8" s="87"/>
      <c r="C8" s="87"/>
      <c r="D8" s="87"/>
      <c r="E8" s="87"/>
      <c r="F8" s="87"/>
      <c r="G8" s="87"/>
      <c r="H8" s="87"/>
      <c r="I8" s="87"/>
      <c r="J8" s="87"/>
      <c r="K8" s="87"/>
      <c r="L8" s="87"/>
      <c r="M8" s="87"/>
      <c r="N8" s="87"/>
    </row>
    <row r="9" spans="1:14" ht="33" customHeight="1" x14ac:dyDescent="0.25">
      <c r="A9" s="1459" t="str">
        <f>"General Fund Revenue Account "&amp;YearForm</f>
        <v>General Fund Revenue Account 2025-26</v>
      </c>
      <c r="B9" s="1459"/>
      <c r="C9" s="1459"/>
      <c r="D9" s="1459"/>
      <c r="E9" s="1459"/>
      <c r="F9" s="1459"/>
      <c r="G9" s="1459"/>
      <c r="H9" s="1459"/>
      <c r="I9" s="1459"/>
      <c r="J9" s="1459"/>
      <c r="K9" s="1459"/>
      <c r="L9" s="1459"/>
      <c r="M9" s="1459"/>
      <c r="N9" s="87"/>
    </row>
    <row r="10" spans="1:14" ht="33" customHeight="1" x14ac:dyDescent="0.25">
      <c r="A10" s="1460" t="s">
        <v>2</v>
      </c>
      <c r="B10" s="1460"/>
      <c r="C10" s="1460"/>
      <c r="D10" s="1460"/>
      <c r="E10" s="1460"/>
      <c r="F10" s="1460"/>
      <c r="G10" s="1460"/>
      <c r="H10" s="1460"/>
      <c r="I10" s="1460"/>
      <c r="J10" s="1460"/>
      <c r="K10" s="1460"/>
      <c r="L10" s="1460"/>
      <c r="M10" s="1460"/>
      <c r="N10" s="87"/>
    </row>
    <row r="11" spans="1:14" ht="15.65" customHeight="1" x14ac:dyDescent="0.25">
      <c r="A11" s="87"/>
      <c r="B11" s="119"/>
      <c r="C11" s="119"/>
      <c r="D11" s="119"/>
      <c r="E11" s="119"/>
      <c r="F11" s="119"/>
      <c r="G11" s="119"/>
      <c r="H11" s="87"/>
      <c r="I11" s="87"/>
      <c r="J11" s="87"/>
      <c r="K11" s="87"/>
      <c r="L11" s="87"/>
      <c r="M11" s="87"/>
      <c r="N11" s="87"/>
    </row>
    <row r="12" spans="1:14" ht="18.75" customHeight="1" x14ac:dyDescent="0.4">
      <c r="A12" s="1461" t="s">
        <v>3</v>
      </c>
      <c r="B12" s="1462"/>
      <c r="C12" s="1462"/>
      <c r="D12" s="1462"/>
      <c r="E12" s="1462"/>
      <c r="F12" s="1462"/>
      <c r="G12" s="1462"/>
      <c r="H12" s="1462"/>
      <c r="I12" s="1462"/>
      <c r="J12" s="1463"/>
      <c r="K12" s="1463"/>
      <c r="L12" s="1463"/>
      <c r="M12" s="1463"/>
      <c r="N12" s="87"/>
    </row>
    <row r="13" spans="1:14" ht="19" customHeight="1" x14ac:dyDescent="0.4">
      <c r="A13" s="87"/>
      <c r="B13" s="119"/>
      <c r="C13" s="119"/>
      <c r="D13" s="571" t="s">
        <v>4</v>
      </c>
      <c r="E13" s="950" t="str">
        <f>deadline_provisional</f>
        <v>Friday 24 July 2026</v>
      </c>
      <c r="F13" s="949"/>
      <c r="G13" s="949"/>
      <c r="H13" s="949"/>
      <c r="I13" s="949"/>
      <c r="J13" s="949"/>
      <c r="K13" s="949"/>
      <c r="L13" s="949"/>
      <c r="M13" s="949"/>
    </row>
    <row r="14" spans="1:14" ht="18" x14ac:dyDescent="0.4">
      <c r="A14" s="87"/>
      <c r="B14" s="2"/>
      <c r="C14" s="2"/>
      <c r="D14" s="571" t="s">
        <v>5</v>
      </c>
      <c r="E14" s="950" t="str">
        <f>deadline_certify</f>
        <v>Friday 9 October 2026</v>
      </c>
      <c r="F14" s="2"/>
      <c r="G14" s="2"/>
      <c r="H14" s="87"/>
      <c r="I14" s="87"/>
      <c r="J14" s="87"/>
      <c r="K14" s="87"/>
      <c r="L14" s="87"/>
      <c r="M14" s="87"/>
      <c r="N14" s="87"/>
    </row>
    <row r="15" spans="1:14" ht="12.5" x14ac:dyDescent="0.25">
      <c r="A15" s="87"/>
      <c r="B15" s="2"/>
      <c r="C15" s="2"/>
      <c r="D15" s="2"/>
      <c r="E15" s="2"/>
      <c r="F15" s="2"/>
      <c r="G15" s="119"/>
      <c r="H15" s="87"/>
      <c r="I15" s="87"/>
      <c r="J15" s="87"/>
      <c r="K15" s="87"/>
      <c r="L15" s="87"/>
      <c r="M15" s="87"/>
      <c r="N15" s="87"/>
    </row>
    <row r="16" spans="1:14" ht="60.75" customHeight="1" x14ac:dyDescent="0.25">
      <c r="A16" s="1454" t="s">
        <v>6</v>
      </c>
      <c r="B16" s="1454"/>
      <c r="C16" s="1454"/>
      <c r="D16" s="1454"/>
      <c r="E16" s="1454"/>
      <c r="F16" s="1454"/>
      <c r="G16" s="1454"/>
      <c r="H16" s="1454"/>
      <c r="I16" s="1454"/>
      <c r="J16" s="1454"/>
      <c r="K16" s="1454"/>
      <c r="L16" s="1454"/>
      <c r="M16" s="1454"/>
      <c r="N16" s="87"/>
    </row>
    <row r="17" spans="1:15" ht="12.5" x14ac:dyDescent="0.25">
      <c r="A17" s="87"/>
      <c r="B17" s="87"/>
      <c r="C17" s="87"/>
      <c r="D17" s="87"/>
      <c r="E17" s="87"/>
      <c r="F17" s="87"/>
      <c r="G17" s="119"/>
      <c r="H17" s="87"/>
      <c r="I17" s="87"/>
      <c r="J17" s="87"/>
      <c r="K17" s="87"/>
      <c r="L17" s="87"/>
      <c r="M17" s="87"/>
      <c r="N17" s="87"/>
    </row>
    <row r="18" spans="1:15" ht="12.5" x14ac:dyDescent="0.25">
      <c r="A18" s="87"/>
      <c r="B18" s="87"/>
      <c r="C18" s="87"/>
      <c r="D18" s="87"/>
      <c r="E18" s="87"/>
      <c r="F18" s="87"/>
      <c r="G18" s="119"/>
      <c r="H18" s="87"/>
      <c r="I18" s="87"/>
      <c r="J18" s="87"/>
      <c r="K18" s="87"/>
      <c r="L18" s="87"/>
      <c r="M18" s="87"/>
      <c r="N18" s="87"/>
    </row>
    <row r="19" spans="1:15" ht="12.5" x14ac:dyDescent="0.25">
      <c r="A19" s="87"/>
      <c r="B19" s="2"/>
      <c r="C19" s="2"/>
      <c r="D19" s="2"/>
      <c r="E19" s="2"/>
      <c r="F19" s="2"/>
      <c r="G19" s="2"/>
      <c r="H19" s="2"/>
      <c r="I19" s="2"/>
      <c r="J19" s="87"/>
      <c r="K19" s="87"/>
      <c r="L19" s="87"/>
      <c r="M19" s="87"/>
      <c r="N19" s="87"/>
    </row>
    <row r="20" spans="1:15" ht="16" thickBot="1" x14ac:dyDescent="0.3">
      <c r="A20" s="87"/>
      <c r="B20" s="94"/>
      <c r="C20" s="120" t="s">
        <v>7</v>
      </c>
      <c r="D20" s="87"/>
      <c r="E20" s="87"/>
      <c r="F20" s="87"/>
      <c r="G20" s="87"/>
      <c r="H20" s="94"/>
      <c r="I20" s="94"/>
      <c r="J20" s="94"/>
      <c r="K20" s="2"/>
      <c r="L20" s="2"/>
      <c r="M20" s="2"/>
      <c r="N20" s="2"/>
      <c r="O20" s="1"/>
    </row>
    <row r="21" spans="1:15" ht="47.25" customHeight="1" x14ac:dyDescent="0.25">
      <c r="A21" s="121" t="s">
        <v>8</v>
      </c>
      <c r="B21" s="87"/>
      <c r="C21" s="1455" t="s">
        <v>9</v>
      </c>
      <c r="D21" s="1455"/>
      <c r="E21" s="1455"/>
      <c r="F21" s="1455"/>
      <c r="G21" s="1455"/>
      <c r="H21" s="1455"/>
      <c r="I21" s="1456"/>
      <c r="J21" s="94"/>
      <c r="K21" s="2"/>
      <c r="L21" s="2"/>
      <c r="M21" s="2"/>
      <c r="N21" s="2"/>
      <c r="O21" s="1"/>
    </row>
    <row r="22" spans="1:15" ht="13" x14ac:dyDescent="0.3">
      <c r="A22" s="87"/>
      <c r="B22" s="94"/>
      <c r="C22" s="94"/>
      <c r="D22" s="94"/>
      <c r="E22" s="94"/>
      <c r="F22" s="94"/>
      <c r="G22" s="122"/>
      <c r="H22" s="94"/>
      <c r="I22" s="94"/>
      <c r="J22" s="94"/>
      <c r="K22" s="2"/>
      <c r="L22" s="2"/>
      <c r="M22" s="2"/>
      <c r="N22" s="2"/>
      <c r="O22" s="1"/>
    </row>
    <row r="23" spans="1:15" ht="12.5" x14ac:dyDescent="0.25">
      <c r="A23" s="87"/>
      <c r="B23" s="94"/>
      <c r="C23" s="94"/>
      <c r="D23" s="94"/>
      <c r="E23" s="94"/>
      <c r="F23" s="94"/>
      <c r="G23" s="94"/>
      <c r="H23" s="94"/>
      <c r="I23" s="94"/>
      <c r="J23" s="94"/>
      <c r="K23" s="2"/>
      <c r="L23" s="2"/>
      <c r="M23" s="2"/>
      <c r="N23" s="2"/>
      <c r="O23" s="1"/>
    </row>
    <row r="24" spans="1:15" ht="15.5" x14ac:dyDescent="0.35">
      <c r="A24" s="87"/>
      <c r="B24" s="94"/>
      <c r="C24" s="283" t="s">
        <v>10</v>
      </c>
      <c r="D24" s="87"/>
      <c r="E24" s="283" t="s">
        <v>11</v>
      </c>
      <c r="F24" s="87"/>
      <c r="G24" s="87"/>
      <c r="H24" s="94"/>
      <c r="I24" s="94"/>
      <c r="J24" s="94"/>
      <c r="K24" s="2"/>
      <c r="L24" s="2"/>
      <c r="M24" s="2"/>
      <c r="N24" s="2"/>
      <c r="O24" s="1"/>
    </row>
    <row r="25" spans="1:15" ht="18" x14ac:dyDescent="0.4">
      <c r="A25" s="87"/>
      <c r="B25" s="94"/>
      <c r="C25" s="103" t="str">
        <f>VLOOKUP(C21,'LA List'!A2:D416,3,0)</f>
        <v>E-code</v>
      </c>
      <c r="D25" s="87"/>
      <c r="E25" s="103" t="str">
        <f>VLOOKUP(C21,'LA List'!A2:D416,4,0)</f>
        <v>Your Authority ONS Code will appear here!</v>
      </c>
      <c r="F25" s="87"/>
      <c r="G25" s="87"/>
      <c r="H25" s="94"/>
      <c r="I25" s="94"/>
      <c r="J25" s="94"/>
      <c r="K25" s="2"/>
      <c r="L25" s="2"/>
      <c r="M25" s="2"/>
      <c r="N25" s="2"/>
      <c r="O25" s="1"/>
    </row>
    <row r="26" spans="1:15" ht="12.5" x14ac:dyDescent="0.25">
      <c r="A26" s="87"/>
      <c r="B26" s="94"/>
      <c r="C26" s="94"/>
      <c r="D26" s="94"/>
      <c r="E26" s="94"/>
      <c r="F26" s="94"/>
      <c r="G26" s="123"/>
      <c r="H26" s="94"/>
      <c r="I26" s="94"/>
      <c r="J26" s="94"/>
      <c r="K26" s="2"/>
      <c r="L26" s="2"/>
      <c r="M26" s="2"/>
      <c r="N26" s="2"/>
      <c r="O26" s="1"/>
    </row>
    <row r="27" spans="1:15" ht="12.5" x14ac:dyDescent="0.25">
      <c r="A27" s="87"/>
      <c r="B27" s="94"/>
      <c r="C27" s="94"/>
      <c r="D27" s="94"/>
      <c r="E27" s="94"/>
      <c r="F27" s="94"/>
      <c r="G27" s="123"/>
      <c r="H27" s="94"/>
      <c r="I27" s="94"/>
      <c r="J27" s="94"/>
      <c r="K27" s="2"/>
      <c r="L27" s="2"/>
      <c r="M27" s="2"/>
      <c r="N27" s="2"/>
      <c r="O27" s="1"/>
    </row>
    <row r="28" spans="1:15" ht="18" x14ac:dyDescent="0.4">
      <c r="A28" s="957" t="s">
        <v>12</v>
      </c>
      <c r="B28" s="87"/>
      <c r="C28" s="124"/>
      <c r="D28" s="124"/>
      <c r="E28" s="124"/>
      <c r="F28" s="124"/>
      <c r="G28" s="94"/>
      <c r="H28" s="94"/>
      <c r="I28" s="94"/>
      <c r="J28" s="94"/>
      <c r="K28" s="87"/>
      <c r="L28" s="87"/>
      <c r="M28" s="87"/>
      <c r="N28" s="87"/>
    </row>
    <row r="29" spans="1:15" ht="12.5" x14ac:dyDescent="0.25">
      <c r="A29" s="87"/>
      <c r="B29" s="94"/>
      <c r="C29" s="94"/>
      <c r="D29" s="94"/>
      <c r="E29" s="94"/>
      <c r="F29" s="94"/>
      <c r="G29" s="94"/>
      <c r="H29" s="94"/>
      <c r="I29" s="94"/>
      <c r="J29" s="94"/>
      <c r="K29" s="87"/>
      <c r="L29" s="87"/>
      <c r="M29" s="87"/>
      <c r="N29" s="87"/>
    </row>
    <row r="30" spans="1:15" ht="12.5" x14ac:dyDescent="0.25">
      <c r="A30" s="87"/>
      <c r="B30" s="94"/>
      <c r="C30" s="94"/>
      <c r="D30" s="94"/>
      <c r="E30" s="94"/>
      <c r="F30" s="94"/>
      <c r="G30" s="94"/>
      <c r="H30" s="94"/>
      <c r="I30" s="94"/>
      <c r="J30" s="94"/>
      <c r="K30" s="87"/>
      <c r="L30" s="87"/>
      <c r="M30" s="87"/>
      <c r="N30" s="87"/>
    </row>
    <row r="31" spans="1:15" ht="18" x14ac:dyDescent="0.4">
      <c r="A31" s="124" t="s">
        <v>13</v>
      </c>
      <c r="B31" s="87"/>
      <c r="C31" s="147"/>
      <c r="D31" s="147"/>
      <c r="E31" s="147"/>
      <c r="F31" s="147"/>
      <c r="G31" s="87"/>
      <c r="H31" s="94"/>
      <c r="I31" s="94"/>
      <c r="J31" s="94"/>
      <c r="K31" s="87"/>
      <c r="L31" s="87"/>
      <c r="M31" s="87"/>
      <c r="N31" s="87"/>
    </row>
    <row r="32" spans="1:15" ht="30" customHeight="1" x14ac:dyDescent="0.5">
      <c r="A32" s="87"/>
      <c r="B32" s="130" t="str">
        <f>VLOOKUP(LA_name,'LA List'!A2:H416,8,0)</f>
        <v>Forms to be completed will appear here !</v>
      </c>
      <c r="C32" s="87"/>
      <c r="D32" s="87"/>
      <c r="E32" s="87"/>
      <c r="F32" s="87"/>
      <c r="G32" s="87"/>
      <c r="H32" s="94"/>
      <c r="I32" s="94"/>
      <c r="J32" s="94"/>
      <c r="K32" s="87"/>
      <c r="L32" s="87"/>
      <c r="M32" s="87"/>
      <c r="N32" s="87"/>
    </row>
    <row r="33" spans="1:14" ht="12.5" x14ac:dyDescent="0.25">
      <c r="A33" s="87"/>
      <c r="B33" s="94"/>
      <c r="C33" s="94"/>
      <c r="D33" s="94"/>
      <c r="E33" s="94"/>
      <c r="F33" s="94"/>
      <c r="G33" s="123"/>
      <c r="H33" s="94"/>
      <c r="I33" s="94"/>
      <c r="J33" s="94"/>
      <c r="K33" s="87"/>
      <c r="L33" s="87"/>
      <c r="M33" s="87"/>
      <c r="N33" s="87"/>
    </row>
    <row r="34" spans="1:14" ht="40.4" customHeight="1" x14ac:dyDescent="0.25">
      <c r="A34" s="1464" t="s">
        <v>14</v>
      </c>
      <c r="B34" s="1464"/>
      <c r="C34" s="1464"/>
      <c r="D34" s="1464"/>
      <c r="E34" s="1464"/>
      <c r="F34" s="1464"/>
      <c r="G34" s="1464"/>
      <c r="H34" s="1464"/>
      <c r="I34" s="1464"/>
      <c r="J34" s="1464"/>
      <c r="K34" s="1464"/>
      <c r="L34" s="1464"/>
      <c r="M34" s="1464"/>
      <c r="N34" s="87"/>
    </row>
    <row r="35" spans="1:14" ht="5.15" customHeight="1" x14ac:dyDescent="0.25">
      <c r="A35" s="87"/>
      <c r="B35" s="2"/>
      <c r="C35" s="2"/>
      <c r="D35" s="2"/>
      <c r="E35" s="2"/>
      <c r="F35" s="2"/>
      <c r="G35" s="2"/>
      <c r="H35" s="2"/>
      <c r="I35" s="2"/>
      <c r="J35" s="87"/>
      <c r="K35" s="87"/>
      <c r="L35" s="87"/>
      <c r="M35" s="87"/>
      <c r="N35" s="87"/>
    </row>
    <row r="36" spans="1:14" ht="40.4" customHeight="1" x14ac:dyDescent="0.25">
      <c r="A36" s="1465" t="s">
        <v>15</v>
      </c>
      <c r="B36" s="1465"/>
      <c r="C36" s="1465"/>
      <c r="D36" s="1465"/>
      <c r="E36" s="1465"/>
      <c r="F36" s="1465"/>
      <c r="G36" s="1465"/>
      <c r="H36" s="1465"/>
      <c r="I36" s="1465"/>
      <c r="J36" s="1465"/>
      <c r="K36" s="1465"/>
      <c r="L36" s="1465"/>
      <c r="M36" s="1465"/>
      <c r="N36" s="87"/>
    </row>
    <row r="37" spans="1:14" ht="4.5" customHeight="1" x14ac:dyDescent="0.25">
      <c r="A37" s="87"/>
      <c r="B37" s="2"/>
      <c r="C37" s="2"/>
      <c r="D37" s="2"/>
      <c r="E37" s="2"/>
      <c r="F37" s="2"/>
      <c r="G37" s="2"/>
      <c r="H37" s="2"/>
      <c r="I37" s="2"/>
      <c r="J37" s="87"/>
      <c r="K37" s="87"/>
      <c r="L37" s="87"/>
      <c r="M37" s="87"/>
      <c r="N37" s="87"/>
    </row>
    <row r="38" spans="1:14" ht="18" x14ac:dyDescent="0.4">
      <c r="A38" s="87"/>
      <c r="B38" s="125" t="s">
        <v>16</v>
      </c>
      <c r="C38" s="1467" t="s">
        <v>17</v>
      </c>
      <c r="D38" s="1467"/>
      <c r="E38" s="1467"/>
      <c r="F38" s="1467"/>
      <c r="G38" s="87"/>
      <c r="H38" s="126"/>
      <c r="I38" s="2"/>
      <c r="J38" s="87"/>
      <c r="K38" s="87"/>
      <c r="L38" s="87"/>
      <c r="M38" s="87"/>
      <c r="N38" s="87"/>
    </row>
    <row r="39" spans="1:14" ht="6.65" customHeight="1" x14ac:dyDescent="0.35">
      <c r="A39" s="87"/>
      <c r="B39" s="127"/>
      <c r="C39" s="147"/>
      <c r="D39" s="147"/>
      <c r="E39" s="147"/>
      <c r="F39" s="147"/>
      <c r="G39" s="128"/>
      <c r="H39" s="2"/>
      <c r="I39" s="2"/>
      <c r="J39" s="87"/>
      <c r="K39" s="87"/>
      <c r="L39" s="87"/>
      <c r="M39" s="87"/>
      <c r="N39" s="87"/>
    </row>
    <row r="40" spans="1:14" ht="6.65" customHeight="1" x14ac:dyDescent="0.35">
      <c r="A40" s="147"/>
      <c r="B40" s="87"/>
      <c r="C40" s="147"/>
      <c r="D40" s="147"/>
      <c r="E40" s="147"/>
      <c r="F40" s="147"/>
      <c r="G40" s="128"/>
      <c r="H40" s="2"/>
      <c r="I40" s="2"/>
      <c r="J40" s="87"/>
      <c r="K40" s="87"/>
      <c r="L40" s="87"/>
      <c r="M40" s="87"/>
      <c r="N40" s="87"/>
    </row>
    <row r="41" spans="1:14" ht="20.5" customHeight="1" x14ac:dyDescent="0.25">
      <c r="A41" s="1466" t="s">
        <v>18</v>
      </c>
      <c r="B41" s="1466"/>
      <c r="C41" s="1466"/>
      <c r="D41" s="1466"/>
      <c r="E41" s="1466"/>
      <c r="F41" s="1466"/>
      <c r="G41" s="1466"/>
      <c r="H41" s="1466"/>
      <c r="I41" s="1466"/>
      <c r="J41" s="1466"/>
      <c r="K41" s="1466"/>
      <c r="L41" s="1466"/>
      <c r="M41" s="1466"/>
      <c r="N41" s="87"/>
    </row>
    <row r="42" spans="1:14" ht="6" customHeight="1" x14ac:dyDescent="0.25">
      <c r="A42" s="87"/>
      <c r="B42" s="2"/>
      <c r="C42" s="2"/>
      <c r="D42" s="2"/>
      <c r="E42" s="2"/>
      <c r="F42" s="2"/>
      <c r="G42" s="2"/>
      <c r="H42" s="2"/>
      <c r="I42" s="2"/>
      <c r="J42" s="87"/>
      <c r="K42" s="87"/>
      <c r="L42" s="87"/>
      <c r="M42" s="87"/>
      <c r="N42" s="87"/>
    </row>
    <row r="43" spans="1:14" ht="18" x14ac:dyDescent="0.4">
      <c r="A43" s="124" t="s">
        <v>19</v>
      </c>
      <c r="B43" s="87"/>
      <c r="C43" s="87"/>
      <c r="D43" s="2"/>
      <c r="E43" s="2"/>
      <c r="F43" s="2"/>
      <c r="G43" s="343"/>
      <c r="H43" s="2"/>
      <c r="I43" s="2"/>
      <c r="J43" s="87"/>
      <c r="K43" s="87"/>
      <c r="L43" s="87"/>
      <c r="M43" s="87"/>
      <c r="N43" s="87"/>
    </row>
    <row r="44" spans="1:14" ht="6" customHeight="1" x14ac:dyDescent="0.35">
      <c r="A44" s="87"/>
      <c r="B44" s="2"/>
      <c r="C44" s="2"/>
      <c r="D44" s="2"/>
      <c r="E44" s="2"/>
      <c r="F44" s="2"/>
      <c r="G44" s="344"/>
      <c r="H44" s="2"/>
      <c r="I44" s="2"/>
      <c r="J44" s="87"/>
      <c r="K44" s="87"/>
      <c r="L44" s="87"/>
      <c r="M44" s="87"/>
      <c r="N44" s="87"/>
    </row>
    <row r="45" spans="1:14" ht="18" x14ac:dyDescent="0.4">
      <c r="A45" s="32" t="s">
        <v>20</v>
      </c>
      <c r="B45" s="87"/>
      <c r="C45" s="1436"/>
      <c r="D45" s="1436"/>
      <c r="E45" s="1436"/>
      <c r="F45" s="1436"/>
      <c r="G45" s="1437"/>
      <c r="H45" s="2"/>
      <c r="I45" s="2"/>
      <c r="J45" s="87"/>
      <c r="K45" s="87"/>
      <c r="L45" s="87"/>
      <c r="M45" s="87"/>
      <c r="N45" s="87"/>
    </row>
    <row r="46" spans="1:14" ht="6" customHeight="1" x14ac:dyDescent="0.4">
      <c r="A46" s="87"/>
      <c r="B46" s="32"/>
      <c r="C46" s="32"/>
      <c r="D46" s="68"/>
      <c r="E46" s="68"/>
      <c r="F46" s="68"/>
      <c r="G46" s="129"/>
      <c r="H46" s="2"/>
      <c r="I46" s="2"/>
      <c r="J46" s="87"/>
      <c r="K46" s="87"/>
      <c r="L46" s="87"/>
      <c r="M46" s="87"/>
      <c r="N46" s="87"/>
    </row>
    <row r="47" spans="1:14" ht="18" x14ac:dyDescent="0.4">
      <c r="A47" s="32" t="s">
        <v>21</v>
      </c>
      <c r="B47" s="87"/>
      <c r="C47" s="1457"/>
      <c r="D47" s="1457"/>
      <c r="E47" s="1457"/>
      <c r="F47" s="1457"/>
      <c r="G47" s="1458"/>
      <c r="H47" s="2"/>
      <c r="I47" s="2"/>
      <c r="J47" s="87"/>
      <c r="K47" s="87"/>
      <c r="L47" s="87"/>
      <c r="M47" s="87"/>
      <c r="N47" s="87"/>
    </row>
    <row r="48" spans="1:14" ht="6" customHeight="1" x14ac:dyDescent="0.4">
      <c r="A48" s="87"/>
      <c r="B48" s="32"/>
      <c r="C48" s="32"/>
      <c r="D48" s="2"/>
      <c r="E48" s="2"/>
      <c r="F48" s="2"/>
      <c r="G48" s="2"/>
      <c r="H48" s="2"/>
      <c r="I48" s="2"/>
      <c r="J48" s="87"/>
      <c r="K48" s="87"/>
      <c r="L48" s="87"/>
      <c r="M48" s="87"/>
      <c r="N48" s="87"/>
    </row>
    <row r="49" spans="1:14" ht="18" x14ac:dyDescent="0.4">
      <c r="A49" s="32" t="s">
        <v>22</v>
      </c>
      <c r="B49" s="87"/>
      <c r="C49" s="1436"/>
      <c r="D49" s="1436"/>
      <c r="E49" s="1436"/>
      <c r="F49" s="1436"/>
      <c r="G49" s="1437"/>
      <c r="H49" s="2"/>
      <c r="I49" s="2"/>
      <c r="J49" s="87"/>
      <c r="K49" s="87"/>
      <c r="L49" s="87"/>
      <c r="M49" s="87"/>
      <c r="N49" s="87"/>
    </row>
    <row r="50" spans="1:14" ht="18" customHeight="1" x14ac:dyDescent="0.25">
      <c r="A50" s="87"/>
      <c r="B50" s="87"/>
      <c r="C50" s="87"/>
      <c r="D50" s="87"/>
      <c r="E50" s="87"/>
      <c r="F50" s="87"/>
      <c r="G50" s="87"/>
      <c r="H50" s="87"/>
      <c r="I50" s="87"/>
      <c r="J50" s="87"/>
      <c r="K50" s="87"/>
      <c r="L50" s="87"/>
      <c r="M50" s="87"/>
      <c r="N50" s="87"/>
    </row>
    <row r="51" spans="1:14" ht="18" x14ac:dyDescent="0.4">
      <c r="A51" s="124" t="s">
        <v>23</v>
      </c>
      <c r="B51" s="87"/>
      <c r="C51" s="87"/>
      <c r="D51" s="2"/>
      <c r="E51" s="2"/>
      <c r="F51" s="2"/>
      <c r="G51" s="343"/>
      <c r="H51" s="2"/>
      <c r="I51" s="2"/>
      <c r="J51" s="87"/>
      <c r="K51" s="87"/>
      <c r="L51" s="87"/>
      <c r="M51" s="87"/>
      <c r="N51" s="87"/>
    </row>
    <row r="52" spans="1:14" ht="6" customHeight="1" x14ac:dyDescent="0.35">
      <c r="A52" s="87"/>
      <c r="B52" s="2"/>
      <c r="C52" s="2"/>
      <c r="D52" s="2"/>
      <c r="E52" s="2"/>
      <c r="F52" s="2"/>
      <c r="G52" s="344"/>
      <c r="H52" s="2"/>
      <c r="I52" s="2"/>
      <c r="J52" s="87"/>
      <c r="K52" s="87"/>
      <c r="L52" s="87"/>
      <c r="M52" s="87"/>
      <c r="N52" s="87"/>
    </row>
    <row r="53" spans="1:14" ht="18" x14ac:dyDescent="0.4">
      <c r="A53" s="32" t="s">
        <v>20</v>
      </c>
      <c r="B53" s="87"/>
      <c r="C53" s="1436"/>
      <c r="D53" s="1436"/>
      <c r="E53" s="1436"/>
      <c r="F53" s="1436"/>
      <c r="G53" s="1437"/>
      <c r="H53" s="2"/>
      <c r="I53" s="2"/>
      <c r="J53" s="87"/>
      <c r="K53" s="87"/>
      <c r="L53" s="87"/>
      <c r="M53" s="87"/>
      <c r="N53" s="87"/>
    </row>
    <row r="54" spans="1:14" ht="6" customHeight="1" x14ac:dyDescent="0.4">
      <c r="A54" s="87"/>
      <c r="B54" s="32"/>
      <c r="C54" s="32"/>
      <c r="D54" s="68"/>
      <c r="E54" s="68"/>
      <c r="F54" s="68"/>
      <c r="G54" s="129"/>
      <c r="H54" s="2"/>
      <c r="I54" s="2"/>
      <c r="J54" s="87"/>
      <c r="K54" s="87"/>
      <c r="L54" s="87"/>
      <c r="M54" s="87"/>
      <c r="N54" s="87"/>
    </row>
    <row r="55" spans="1:14" ht="18" x14ac:dyDescent="0.4">
      <c r="A55" s="32" t="s">
        <v>21</v>
      </c>
      <c r="B55" s="87"/>
      <c r="C55" s="1436"/>
      <c r="D55" s="1436"/>
      <c r="E55" s="1436"/>
      <c r="F55" s="1436"/>
      <c r="G55" s="1437"/>
      <c r="H55" s="2"/>
      <c r="I55" s="2"/>
      <c r="J55" s="87"/>
      <c r="K55" s="87"/>
      <c r="L55" s="87"/>
      <c r="M55" s="87"/>
      <c r="N55" s="87"/>
    </row>
    <row r="56" spans="1:14" ht="6" customHeight="1" x14ac:dyDescent="0.4">
      <c r="A56" s="87"/>
      <c r="B56" s="32"/>
      <c r="C56" s="32"/>
      <c r="D56" s="2"/>
      <c r="E56" s="2"/>
      <c r="F56" s="2"/>
      <c r="G56" s="2"/>
      <c r="H56" s="2"/>
      <c r="I56" s="2"/>
      <c r="J56" s="87"/>
      <c r="K56" s="87"/>
      <c r="L56" s="87"/>
      <c r="M56" s="87"/>
      <c r="N56" s="87"/>
    </row>
    <row r="57" spans="1:14" ht="18" x14ac:dyDescent="0.4">
      <c r="A57" s="32" t="s">
        <v>22</v>
      </c>
      <c r="B57" s="87"/>
      <c r="C57" s="1436"/>
      <c r="D57" s="1436"/>
      <c r="E57" s="1436"/>
      <c r="F57" s="1436"/>
      <c r="G57" s="1437"/>
      <c r="H57" s="2"/>
      <c r="I57" s="2"/>
      <c r="J57" s="87"/>
      <c r="K57" s="87"/>
      <c r="L57" s="87"/>
      <c r="M57" s="87"/>
      <c r="N57" s="87"/>
    </row>
    <row r="58" spans="1:14" ht="6" customHeight="1" x14ac:dyDescent="0.25">
      <c r="A58" s="87"/>
      <c r="B58" s="87"/>
      <c r="C58" s="87"/>
      <c r="D58" s="87"/>
      <c r="E58" s="87"/>
      <c r="F58" s="87"/>
      <c r="G58" s="87"/>
      <c r="H58" s="87"/>
      <c r="I58" s="87"/>
      <c r="J58" s="87"/>
      <c r="K58" s="87"/>
      <c r="L58" s="87"/>
      <c r="M58" s="87"/>
      <c r="N58" s="87"/>
    </row>
    <row r="59" spans="1:14" ht="12.5" x14ac:dyDescent="0.25">
      <c r="A59" s="87"/>
      <c r="B59" s="87"/>
      <c r="C59" s="87"/>
      <c r="D59" s="87"/>
      <c r="E59" s="87"/>
      <c r="F59" s="87"/>
      <c r="G59" s="87"/>
      <c r="H59" s="87"/>
      <c r="I59" s="87"/>
      <c r="J59" s="87"/>
      <c r="K59" s="87"/>
      <c r="L59" s="87"/>
      <c r="M59" s="87"/>
      <c r="N59" s="87"/>
    </row>
    <row r="60" spans="1:14" ht="15.5" x14ac:dyDescent="0.35">
      <c r="A60" s="408" t="s">
        <v>24</v>
      </c>
      <c r="B60" s="87"/>
      <c r="C60" s="87"/>
      <c r="D60" s="87"/>
      <c r="E60" s="87"/>
      <c r="F60" s="87"/>
      <c r="G60" s="87"/>
      <c r="H60" s="87"/>
      <c r="I60" s="87"/>
      <c r="J60" s="87"/>
      <c r="K60" s="87"/>
      <c r="L60" s="87"/>
      <c r="M60" s="87"/>
      <c r="N60" s="87"/>
    </row>
    <row r="61" spans="1:14" ht="18" customHeight="1" x14ac:dyDescent="0.4">
      <c r="A61" s="457"/>
      <c r="B61" s="87"/>
      <c r="C61" s="1434" t="s">
        <v>25</v>
      </c>
      <c r="D61" s="1434"/>
      <c r="E61" s="1434"/>
      <c r="F61" s="1434"/>
      <c r="G61" s="1435"/>
      <c r="H61" s="280"/>
      <c r="I61" s="87"/>
      <c r="J61" s="87"/>
      <c r="K61" s="87"/>
      <c r="L61" s="87"/>
      <c r="M61" s="87"/>
      <c r="N61" s="87"/>
    </row>
    <row r="62" spans="1:14" ht="12.5" x14ac:dyDescent="0.25">
      <c r="A62" s="87"/>
      <c r="B62" s="87"/>
      <c r="C62" s="87"/>
      <c r="D62" s="87"/>
      <c r="E62" s="87"/>
      <c r="F62" s="87"/>
      <c r="G62" s="87"/>
      <c r="H62" s="87"/>
      <c r="I62" s="87"/>
      <c r="J62" s="87"/>
      <c r="K62" s="87"/>
      <c r="L62" s="87"/>
      <c r="M62" s="87"/>
      <c r="N62" s="87"/>
    </row>
    <row r="63" spans="1:14" ht="18" x14ac:dyDescent="0.4">
      <c r="A63" s="458" t="s">
        <v>26</v>
      </c>
      <c r="B63" s="457"/>
      <c r="C63" s="87"/>
      <c r="D63" s="87"/>
      <c r="E63" s="87"/>
      <c r="F63" s="87"/>
      <c r="G63" s="87"/>
      <c r="H63" s="87"/>
      <c r="I63" s="87"/>
      <c r="J63" s="87"/>
      <c r="K63" s="87"/>
      <c r="L63" s="87"/>
      <c r="M63" s="87"/>
      <c r="N63" s="87"/>
    </row>
    <row r="64" spans="1:14" ht="12.5" x14ac:dyDescent="0.25">
      <c r="A64" s="87"/>
      <c r="B64" s="87"/>
      <c r="C64" s="87"/>
      <c r="D64" s="87"/>
      <c r="E64" s="87"/>
      <c r="F64" s="87"/>
      <c r="G64" s="87"/>
      <c r="H64" s="87"/>
      <c r="I64" s="87"/>
      <c r="J64" s="87"/>
      <c r="K64" s="87"/>
      <c r="L64" s="87"/>
      <c r="M64" s="87"/>
      <c r="N64" s="87"/>
    </row>
    <row r="65" spans="1:14" ht="18" x14ac:dyDescent="0.4">
      <c r="A65" s="32" t="s">
        <v>20</v>
      </c>
      <c r="B65" s="87"/>
      <c r="C65" s="1444"/>
      <c r="D65" s="1444"/>
      <c r="E65" s="1444"/>
      <c r="F65" s="1444"/>
      <c r="G65" s="1445"/>
      <c r="H65" s="2"/>
      <c r="I65" s="87"/>
      <c r="J65" s="87"/>
      <c r="K65" s="87"/>
      <c r="L65" s="87"/>
      <c r="M65" s="87"/>
      <c r="N65" s="87"/>
    </row>
    <row r="66" spans="1:14" ht="6" customHeight="1" x14ac:dyDescent="0.4">
      <c r="A66" s="87"/>
      <c r="B66" s="87"/>
      <c r="C66" s="457"/>
      <c r="D66" s="457"/>
      <c r="E66" s="457"/>
      <c r="F66" s="457"/>
      <c r="G66" s="457"/>
      <c r="H66" s="87"/>
      <c r="I66" s="87"/>
      <c r="J66" s="87"/>
      <c r="K66" s="87"/>
      <c r="L66" s="87"/>
      <c r="M66" s="87"/>
      <c r="N66" s="87"/>
    </row>
    <row r="67" spans="1:14" ht="18" x14ac:dyDescent="0.4">
      <c r="A67" s="32" t="s">
        <v>21</v>
      </c>
      <c r="B67" s="87"/>
      <c r="C67" s="1446"/>
      <c r="D67" s="1446"/>
      <c r="E67" s="1446"/>
      <c r="F67" s="1446"/>
      <c r="G67" s="1447"/>
      <c r="H67" s="2"/>
      <c r="I67" s="87"/>
      <c r="J67" s="87"/>
      <c r="K67" s="87"/>
      <c r="L67" s="87"/>
      <c r="M67" s="87"/>
      <c r="N67" s="87"/>
    </row>
    <row r="68" spans="1:14" ht="6" customHeight="1" x14ac:dyDescent="0.4">
      <c r="A68" s="87"/>
      <c r="B68" s="87"/>
      <c r="C68" s="457"/>
      <c r="D68" s="457"/>
      <c r="E68" s="457"/>
      <c r="F68" s="457"/>
      <c r="G68" s="457"/>
      <c r="H68" s="87"/>
      <c r="I68" s="87"/>
      <c r="J68" s="87"/>
      <c r="K68" s="87"/>
      <c r="L68" s="87"/>
      <c r="M68" s="87"/>
      <c r="N68" s="87"/>
    </row>
    <row r="69" spans="1:14" ht="18" x14ac:dyDescent="0.4">
      <c r="A69" s="32" t="s">
        <v>22</v>
      </c>
      <c r="B69" s="87"/>
      <c r="C69" s="1448"/>
      <c r="D69" s="1448"/>
      <c r="E69" s="1448"/>
      <c r="F69" s="1448"/>
      <c r="G69" s="1449"/>
      <c r="H69" s="2"/>
      <c r="I69" s="87"/>
      <c r="J69" s="87"/>
      <c r="K69" s="87"/>
      <c r="L69" s="87"/>
      <c r="M69" s="87"/>
      <c r="N69" s="87"/>
    </row>
    <row r="70" spans="1:14" ht="18" x14ac:dyDescent="0.4">
      <c r="A70" s="32"/>
      <c r="B70" s="87"/>
      <c r="C70" s="87"/>
      <c r="D70" s="87"/>
      <c r="E70" s="87"/>
      <c r="F70" s="87"/>
      <c r="G70" s="87"/>
      <c r="H70" s="87"/>
      <c r="I70" s="87"/>
      <c r="J70" s="87"/>
      <c r="K70" s="87"/>
      <c r="L70" s="87"/>
      <c r="M70" s="87"/>
      <c r="N70" s="87"/>
    </row>
    <row r="71" spans="1:14" ht="18" x14ac:dyDescent="0.25">
      <c r="A71" s="500" t="str">
        <f>"CERTIFICATION  - Required by: " &amp;deadline_certify&amp;" (Certification not required for initial submission deadline of "&amp;deadline_provisional&amp;".)"</f>
        <v>CERTIFICATION  - Required by: Friday 9 October 2026 (Certification not required for initial submission deadline of Friday 24 July 2026.)</v>
      </c>
      <c r="B71" s="501"/>
      <c r="C71" s="501"/>
      <c r="D71" s="501"/>
      <c r="E71" s="501"/>
      <c r="F71" s="501"/>
      <c r="G71" s="501"/>
      <c r="H71" s="501"/>
      <c r="I71" s="87"/>
      <c r="J71" s="87"/>
      <c r="K71" s="87"/>
      <c r="L71" s="87"/>
      <c r="M71" s="87"/>
      <c r="N71" s="87"/>
    </row>
    <row r="72" spans="1:14" ht="82" customHeight="1" x14ac:dyDescent="0.4">
      <c r="A72" s="1442" t="s">
        <v>27</v>
      </c>
      <c r="B72" s="1442"/>
      <c r="C72" s="1442"/>
      <c r="D72" s="1442"/>
      <c r="E72" s="1442"/>
      <c r="F72" s="1442"/>
      <c r="G72" s="1442"/>
      <c r="H72" s="501"/>
      <c r="I72" s="87"/>
      <c r="J72" s="87"/>
      <c r="K72" s="87"/>
      <c r="L72" s="87"/>
      <c r="M72" s="87"/>
      <c r="N72" s="87"/>
    </row>
    <row r="73" spans="1:14" ht="39.65" customHeight="1" thickBot="1" x14ac:dyDescent="0.3">
      <c r="A73" s="1443" t="s">
        <v>28</v>
      </c>
      <c r="B73" s="1443"/>
      <c r="C73" s="1443"/>
      <c r="D73" s="1443"/>
      <c r="E73" s="1443"/>
      <c r="F73" s="1443"/>
      <c r="G73" s="1443"/>
      <c r="H73" s="501"/>
      <c r="I73" s="87"/>
      <c r="J73" s="87"/>
      <c r="K73" s="87"/>
      <c r="L73" s="87"/>
      <c r="M73" s="87"/>
      <c r="N73" s="87"/>
    </row>
    <row r="74" spans="1:14" ht="36.65" customHeight="1" thickBot="1" x14ac:dyDescent="0.3">
      <c r="A74" s="1439" t="s">
        <v>29</v>
      </c>
      <c r="B74" s="1440"/>
      <c r="C74" s="1440"/>
      <c r="D74" s="1440"/>
      <c r="E74" s="1440"/>
      <c r="F74" s="1440"/>
      <c r="G74" s="1441"/>
      <c r="H74" s="501"/>
      <c r="I74" s="87"/>
      <c r="J74" s="87"/>
      <c r="K74" s="87"/>
      <c r="L74" s="87"/>
      <c r="M74" s="87"/>
      <c r="N74" s="87"/>
    </row>
    <row r="75" spans="1:14" ht="18" x14ac:dyDescent="0.4">
      <c r="A75" s="567" t="s">
        <v>30</v>
      </c>
      <c r="B75" s="501"/>
      <c r="C75" s="1438"/>
      <c r="D75" s="1438"/>
      <c r="E75" s="1438"/>
      <c r="F75" s="1438"/>
      <c r="G75" s="1438"/>
      <c r="H75" s="502" t="s">
        <v>31</v>
      </c>
      <c r="I75" s="87"/>
      <c r="J75" s="87"/>
      <c r="K75" s="87"/>
      <c r="L75" s="87"/>
      <c r="M75" s="87"/>
      <c r="N75" s="87"/>
    </row>
    <row r="76" spans="1:14" ht="18" x14ac:dyDescent="0.4">
      <c r="A76" s="500" t="s">
        <v>32</v>
      </c>
      <c r="B76" s="501"/>
      <c r="C76" s="1432" t="s">
        <v>25</v>
      </c>
      <c r="D76" s="1432"/>
      <c r="E76" s="1432"/>
      <c r="F76" s="1432"/>
      <c r="G76" s="1432"/>
      <c r="H76" s="502" t="s">
        <v>31</v>
      </c>
      <c r="I76" s="87"/>
      <c r="J76" s="87"/>
      <c r="K76" s="87"/>
      <c r="L76" s="87"/>
      <c r="M76" s="87"/>
      <c r="N76" s="87"/>
    </row>
    <row r="77" spans="1:14" ht="18" x14ac:dyDescent="0.4">
      <c r="A77" s="568" t="s">
        <v>33</v>
      </c>
      <c r="B77" s="501"/>
      <c r="C77" s="1432"/>
      <c r="D77" s="1432"/>
      <c r="E77" s="1432"/>
      <c r="F77" s="1432"/>
      <c r="G77" s="1432"/>
      <c r="H77" s="502" t="s">
        <v>31</v>
      </c>
      <c r="I77" s="87"/>
      <c r="J77" s="87"/>
      <c r="K77" s="87"/>
      <c r="L77" s="87"/>
      <c r="M77" s="87"/>
      <c r="N77" s="87"/>
    </row>
    <row r="78" spans="1:14" ht="18" x14ac:dyDescent="0.4">
      <c r="A78" s="500" t="s">
        <v>34</v>
      </c>
      <c r="B78" s="501"/>
      <c r="C78" s="1450"/>
      <c r="D78" s="1451"/>
      <c r="E78" s="1451"/>
      <c r="F78" s="1451"/>
      <c r="G78" s="1452"/>
      <c r="H78" s="502" t="s">
        <v>31</v>
      </c>
      <c r="I78" s="87"/>
      <c r="J78" s="87"/>
      <c r="K78" s="87"/>
      <c r="L78" s="87"/>
      <c r="M78" s="87"/>
      <c r="N78" s="87"/>
    </row>
    <row r="79" spans="1:14" ht="18" x14ac:dyDescent="0.4">
      <c r="A79" s="500" t="s">
        <v>35</v>
      </c>
      <c r="B79" s="501"/>
      <c r="C79" s="1433"/>
      <c r="D79" s="1433"/>
      <c r="E79" s="1433"/>
      <c r="F79" s="1433"/>
      <c r="G79" s="1433"/>
      <c r="H79" s="502" t="s">
        <v>31</v>
      </c>
      <c r="I79" s="87"/>
      <c r="J79" s="87"/>
      <c r="K79" s="87"/>
      <c r="L79" s="87"/>
      <c r="M79" s="87"/>
      <c r="N79" s="87"/>
    </row>
    <row r="80" spans="1:14" ht="18" x14ac:dyDescent="0.4">
      <c r="A80" s="503"/>
      <c r="B80" s="501"/>
      <c r="C80" s="501"/>
      <c r="D80" s="501"/>
      <c r="E80" s="501"/>
      <c r="F80" s="501"/>
      <c r="G80" s="501"/>
      <c r="H80" s="504" t="s">
        <v>36</v>
      </c>
      <c r="I80" s="87"/>
      <c r="J80" s="87"/>
      <c r="K80" s="87"/>
      <c r="L80" s="87"/>
      <c r="M80" s="87"/>
      <c r="N80" s="87"/>
    </row>
    <row r="81" spans="1:14" ht="18" x14ac:dyDescent="0.4">
      <c r="A81" s="32"/>
      <c r="B81" s="87"/>
      <c r="C81" s="87"/>
      <c r="D81" s="87"/>
      <c r="E81" s="87"/>
      <c r="F81" s="87"/>
      <c r="G81" s="87"/>
      <c r="H81" s="87"/>
      <c r="I81" s="87"/>
      <c r="J81" s="87"/>
      <c r="K81" s="87"/>
      <c r="L81" s="87"/>
      <c r="M81" s="87"/>
      <c r="N81" s="87"/>
    </row>
    <row r="82" spans="1:14" ht="18" x14ac:dyDescent="0.4">
      <c r="A82" s="569" t="s">
        <v>37</v>
      </c>
    </row>
    <row r="83" spans="1:14" ht="12.5" x14ac:dyDescent="0.25"/>
    <row r="84" spans="1:14" ht="18" x14ac:dyDescent="0.4">
      <c r="A84" s="1235" t="s">
        <v>38</v>
      </c>
      <c r="B84" s="1236" t="s">
        <v>39</v>
      </c>
      <c r="C84" s="1236" t="s">
        <v>35</v>
      </c>
    </row>
    <row r="85" spans="1:14" ht="15.5" x14ac:dyDescent="0.35">
      <c r="A85" s="1237" t="s">
        <v>40</v>
      </c>
      <c r="B85" s="1238" t="s">
        <v>41</v>
      </c>
      <c r="C85" s="1239">
        <v>46136</v>
      </c>
    </row>
    <row r="86" spans="1:14" ht="17.5" x14ac:dyDescent="0.35">
      <c r="A86" s="1240"/>
      <c r="B86" s="1241"/>
      <c r="C86" s="1242"/>
    </row>
    <row r="87" spans="1:14" s="508" customFormat="1" ht="14.5" customHeight="1" x14ac:dyDescent="0.35">
      <c r="A87" s="1243"/>
      <c r="B87" s="1241"/>
      <c r="C87" s="1244"/>
    </row>
    <row r="88" spans="1:14" s="508" customFormat="1" ht="17.5" x14ac:dyDescent="0.35">
      <c r="A88" s="1243"/>
      <c r="B88" s="1241"/>
      <c r="C88" s="1244"/>
    </row>
    <row r="89" spans="1:14" ht="17.5" x14ac:dyDescent="0.35">
      <c r="A89" s="1243"/>
      <c r="B89" s="1241"/>
      <c r="C89" s="1244"/>
    </row>
    <row r="90" spans="1:14" ht="14.15" customHeight="1" x14ac:dyDescent="0.25">
      <c r="L90" s="317"/>
    </row>
    <row r="91" spans="1:14" ht="14.15" customHeight="1" x14ac:dyDescent="0.25">
      <c r="L91" s="939"/>
    </row>
    <row r="92" spans="1:14" ht="14.15" customHeight="1" x14ac:dyDescent="0.25">
      <c r="L92" s="939"/>
    </row>
    <row r="93" spans="1:14" ht="14.15" customHeight="1" x14ac:dyDescent="0.25">
      <c r="L93" s="939"/>
    </row>
    <row r="309" spans="24:49" ht="14.15" customHeight="1" x14ac:dyDescent="0.3">
      <c r="AC309" s="1064"/>
      <c r="AD309" s="1064"/>
      <c r="AE309" s="1064"/>
      <c r="AF309" s="1065"/>
      <c r="AG309" s="1065"/>
      <c r="AH309" s="1065"/>
      <c r="AI309" s="1064"/>
      <c r="AJ309" s="123"/>
      <c r="AK309" s="1064"/>
      <c r="AM309" s="1066"/>
      <c r="AN309" s="1066"/>
      <c r="AO309" s="1055"/>
      <c r="AP309" s="1056"/>
      <c r="AQ309" s="1056"/>
      <c r="AS309" s="1066"/>
      <c r="AT309" s="1066"/>
      <c r="AU309" s="1055"/>
      <c r="AV309" s="1056"/>
      <c r="AW309" s="1056"/>
    </row>
    <row r="310" spans="24:49" ht="14.15" customHeight="1" x14ac:dyDescent="0.25">
      <c r="AB310" s="54"/>
      <c r="AC310" s="1067"/>
      <c r="AD310" s="1067"/>
      <c r="AE310" s="1067"/>
      <c r="AF310" s="1067"/>
      <c r="AG310" s="1065"/>
      <c r="AH310" s="1065"/>
      <c r="AI310" s="1064"/>
      <c r="AJ310" s="123"/>
      <c r="AK310" s="123"/>
      <c r="AM310" s="1056"/>
      <c r="AN310" s="1056"/>
      <c r="AO310" s="1056"/>
      <c r="AP310" s="1056"/>
      <c r="AQ310" s="1056"/>
      <c r="AS310" s="1056"/>
      <c r="AT310" s="1056"/>
      <c r="AU310" s="1056"/>
      <c r="AV310" s="1056"/>
      <c r="AW310" s="1056"/>
    </row>
    <row r="311" spans="24:49" ht="14.15" customHeight="1" x14ac:dyDescent="0.35">
      <c r="X311" s="416"/>
      <c r="Y311" s="416"/>
      <c r="Z311" s="422"/>
      <c r="AA311" s="422"/>
      <c r="AB311" s="422"/>
      <c r="AC311" s="1068"/>
      <c r="AD311" s="1068"/>
      <c r="AE311" s="1069"/>
      <c r="AF311" s="1069"/>
      <c r="AG311" s="1068"/>
      <c r="AH311" s="1068"/>
      <c r="AI311" s="1068"/>
      <c r="AJ311" s="1070"/>
      <c r="AK311" s="1071"/>
      <c r="AM311" s="1072"/>
      <c r="AP311" s="1056"/>
      <c r="AQ311" s="1056"/>
      <c r="AS311" s="1056"/>
      <c r="AT311" s="1056"/>
      <c r="AU311" s="1056"/>
      <c r="AV311" s="1056"/>
      <c r="AW311" s="1056"/>
    </row>
    <row r="312" spans="24:49" ht="14.15" customHeight="1" x14ac:dyDescent="0.35">
      <c r="X312" s="416"/>
      <c r="Y312" s="416"/>
      <c r="Z312" s="422"/>
      <c r="AA312" s="422"/>
      <c r="AB312" s="422"/>
      <c r="AC312" s="1068"/>
      <c r="AD312" s="1068"/>
      <c r="AE312" s="1073"/>
      <c r="AF312" s="1073"/>
      <c r="AG312" s="1068"/>
      <c r="AH312" s="1068"/>
      <c r="AI312" s="1068"/>
      <c r="AJ312" s="1070"/>
      <c r="AK312" s="1071"/>
      <c r="AM312" s="1072"/>
      <c r="AP312" s="1056"/>
      <c r="AQ312" s="1056"/>
      <c r="AS312" s="1056"/>
      <c r="AT312" s="1056"/>
      <c r="AU312" s="1056"/>
      <c r="AV312" s="1056"/>
      <c r="AW312" s="1056"/>
    </row>
    <row r="313" spans="24:49" ht="14.15" customHeight="1" x14ac:dyDescent="0.35">
      <c r="X313" s="416"/>
      <c r="Y313" s="416"/>
      <c r="Z313" s="422"/>
      <c r="AA313" s="422"/>
      <c r="AB313" s="422"/>
      <c r="AC313" s="1068"/>
      <c r="AD313" s="1068"/>
      <c r="AE313" s="1073"/>
      <c r="AF313" s="1073"/>
      <c r="AG313" s="1068"/>
      <c r="AH313" s="1068"/>
      <c r="AI313" s="1068"/>
      <c r="AJ313" s="1070"/>
      <c r="AK313" s="1071"/>
      <c r="AM313" s="1072"/>
      <c r="AP313" s="1056"/>
      <c r="AQ313" s="1056"/>
      <c r="AS313" s="1056"/>
      <c r="AT313" s="1056"/>
      <c r="AU313" s="1056"/>
      <c r="AV313" s="1056"/>
      <c r="AW313" s="1056"/>
    </row>
    <row r="314" spans="24:49" ht="14.15" customHeight="1" x14ac:dyDescent="0.35">
      <c r="X314" s="416"/>
      <c r="Y314" s="416"/>
      <c r="Z314" s="422"/>
      <c r="AA314" s="422"/>
      <c r="AB314" s="422"/>
      <c r="AC314" s="1068"/>
      <c r="AD314" s="1068"/>
      <c r="AE314" s="1073"/>
      <c r="AF314" s="1073"/>
      <c r="AG314" s="1068"/>
      <c r="AH314" s="1068"/>
      <c r="AI314" s="1068"/>
      <c r="AJ314" s="1070"/>
      <c r="AK314" s="1071"/>
      <c r="AM314" s="1072"/>
      <c r="AP314" s="1056"/>
      <c r="AQ314" s="1056"/>
      <c r="AS314" s="1056"/>
      <c r="AT314" s="1056"/>
      <c r="AU314" s="1056"/>
      <c r="AV314" s="1056"/>
      <c r="AW314" s="1056"/>
    </row>
    <row r="315" spans="24:49" ht="14.15" customHeight="1" x14ac:dyDescent="0.35">
      <c r="X315" s="416"/>
      <c r="Y315" s="416"/>
      <c r="Z315" s="422"/>
      <c r="AA315" s="422"/>
      <c r="AB315" s="422"/>
      <c r="AC315" s="1069"/>
      <c r="AD315" s="1069"/>
      <c r="AE315" s="1074"/>
      <c r="AF315" s="1074"/>
      <c r="AG315" s="1069"/>
      <c r="AH315" s="1068"/>
      <c r="AI315" s="1075"/>
      <c r="AJ315" s="1070"/>
      <c r="AK315" s="1071"/>
      <c r="AM315" s="1072"/>
      <c r="AP315" s="1056"/>
      <c r="AQ315" s="1056"/>
      <c r="AS315" s="1056"/>
      <c r="AT315" s="1056"/>
      <c r="AU315" s="1056"/>
      <c r="AV315" s="1056"/>
      <c r="AW315" s="1056"/>
    </row>
    <row r="316" spans="24:49" ht="14.15" customHeight="1" x14ac:dyDescent="0.35">
      <c r="X316" s="416"/>
      <c r="Y316" s="416"/>
      <c r="Z316" s="422"/>
      <c r="AA316" s="422"/>
      <c r="AB316" s="422"/>
      <c r="AC316" s="1076"/>
      <c r="AD316" s="1076"/>
      <c r="AE316" s="1076"/>
      <c r="AF316" s="1076"/>
      <c r="AG316" s="1076"/>
      <c r="AH316" s="1068"/>
      <c r="AI316" s="1075"/>
      <c r="AJ316" s="1070"/>
      <c r="AK316" s="1071"/>
      <c r="AM316" s="1072"/>
      <c r="AP316" s="1058"/>
      <c r="AQ316" s="1057"/>
      <c r="AS316" s="1057"/>
      <c r="AT316" s="1058"/>
      <c r="AU316" s="1058"/>
      <c r="AV316" s="1058"/>
      <c r="AW316" s="1057"/>
    </row>
    <row r="317" spans="24:49" ht="14.15" customHeight="1" x14ac:dyDescent="0.35">
      <c r="X317" s="416"/>
      <c r="Y317" s="416"/>
      <c r="Z317" s="422"/>
      <c r="AA317" s="422"/>
      <c r="AB317" s="422"/>
      <c r="AC317" s="1076"/>
      <c r="AD317" s="1076"/>
      <c r="AE317" s="1076"/>
      <c r="AF317" s="1076"/>
      <c r="AG317" s="1068"/>
      <c r="AH317" s="1068"/>
      <c r="AI317" s="1068"/>
      <c r="AJ317" s="1070"/>
      <c r="AK317" s="1071"/>
      <c r="AM317" s="1072"/>
      <c r="AP317" s="1056"/>
      <c r="AQ317" s="1056"/>
      <c r="AS317" s="1056"/>
      <c r="AT317" s="1056"/>
      <c r="AU317" s="1056"/>
      <c r="AV317" s="1056"/>
      <c r="AW317" s="1056"/>
    </row>
    <row r="318" spans="24:49" ht="14.15" customHeight="1" x14ac:dyDescent="0.35">
      <c r="X318" s="416"/>
      <c r="Y318" s="416"/>
      <c r="Z318" s="422"/>
      <c r="AA318" s="422"/>
      <c r="AB318" s="422"/>
      <c r="AC318" s="1069"/>
      <c r="AD318" s="1069"/>
      <c r="AE318" s="1074"/>
      <c r="AF318" s="1074"/>
      <c r="AG318" s="1069"/>
      <c r="AH318" s="1068"/>
      <c r="AI318" s="1068"/>
      <c r="AJ318" s="1070"/>
      <c r="AK318" s="1071"/>
      <c r="AM318" s="1072"/>
      <c r="AP318" s="1056"/>
      <c r="AQ318" s="1056"/>
      <c r="AS318" s="1056"/>
      <c r="AT318" s="1056"/>
      <c r="AU318" s="1056"/>
      <c r="AV318" s="1056"/>
      <c r="AW318" s="1056"/>
    </row>
    <row r="319" spans="24:49" ht="14.15" customHeight="1" x14ac:dyDescent="0.35">
      <c r="X319" s="416"/>
      <c r="Y319" s="416"/>
      <c r="Z319" s="422"/>
      <c r="AA319" s="422"/>
      <c r="AB319" s="422"/>
      <c r="AC319" s="1069"/>
      <c r="AD319" s="1069"/>
      <c r="AE319" s="1074"/>
      <c r="AF319" s="1074"/>
      <c r="AG319" s="1069"/>
      <c r="AH319" s="1069"/>
      <c r="AI319" s="1069"/>
      <c r="AJ319" s="1070"/>
      <c r="AK319" s="1071"/>
      <c r="AM319" s="1072"/>
      <c r="AP319" s="1056"/>
      <c r="AQ319" s="1056"/>
      <c r="AS319" s="1056"/>
      <c r="AT319" s="1056"/>
      <c r="AU319" s="1056"/>
      <c r="AV319" s="1056"/>
      <c r="AW319" s="1056"/>
    </row>
    <row r="320" spans="24:49" ht="14.15" customHeight="1" x14ac:dyDescent="0.35">
      <c r="X320" s="416"/>
      <c r="Y320" s="416"/>
      <c r="Z320" s="422"/>
      <c r="AA320" s="422"/>
      <c r="AB320" s="422"/>
      <c r="AC320" s="1068"/>
      <c r="AD320" s="1068"/>
      <c r="AE320" s="1073"/>
      <c r="AF320" s="1073"/>
      <c r="AG320" s="1068"/>
      <c r="AH320" s="1068"/>
      <c r="AI320" s="1069"/>
      <c r="AJ320" s="1070"/>
      <c r="AK320" s="1071"/>
      <c r="AM320" s="1072"/>
      <c r="AP320" s="1056"/>
      <c r="AQ320" s="1056"/>
      <c r="AS320" s="1056"/>
      <c r="AT320" s="1056"/>
      <c r="AU320" s="1056"/>
      <c r="AV320" s="1056"/>
      <c r="AW320" s="1056"/>
    </row>
    <row r="321" spans="24:49" ht="14.15" customHeight="1" x14ac:dyDescent="0.35">
      <c r="X321" s="416"/>
      <c r="Y321" s="416"/>
      <c r="Z321" s="422"/>
      <c r="AA321" s="422"/>
      <c r="AB321" s="422"/>
      <c r="AC321" s="1068"/>
      <c r="AD321" s="1068"/>
      <c r="AE321" s="1073"/>
      <c r="AF321" s="1073"/>
      <c r="AG321" s="1068"/>
      <c r="AH321" s="1068"/>
      <c r="AI321" s="1075"/>
      <c r="AJ321" s="1070"/>
      <c r="AK321" s="1071"/>
      <c r="AM321" s="1072"/>
      <c r="AP321" s="1056"/>
      <c r="AQ321" s="1056"/>
      <c r="AS321" s="1056"/>
      <c r="AT321" s="1056"/>
      <c r="AU321" s="1056"/>
      <c r="AV321" s="1056"/>
      <c r="AW321" s="1056"/>
    </row>
    <row r="322" spans="24:49" ht="14.15" customHeight="1" x14ac:dyDescent="0.35">
      <c r="X322" s="416"/>
      <c r="Y322" s="416"/>
      <c r="Z322" s="422"/>
      <c r="AA322" s="422"/>
      <c r="AB322" s="422"/>
      <c r="AC322" s="1069"/>
      <c r="AD322" s="1069"/>
      <c r="AE322" s="1074"/>
      <c r="AF322" s="1074"/>
      <c r="AG322" s="1069"/>
      <c r="AH322" s="1069"/>
      <c r="AI322" s="1068"/>
      <c r="AJ322" s="1070"/>
      <c r="AK322" s="1071"/>
      <c r="AM322" s="1072"/>
      <c r="AP322" s="1056"/>
      <c r="AQ322" s="1056"/>
      <c r="AS322" s="1056"/>
      <c r="AT322" s="1056"/>
      <c r="AU322" s="1056"/>
      <c r="AV322" s="1056"/>
      <c r="AW322" s="1056"/>
    </row>
    <row r="323" spans="24:49" ht="14.15" customHeight="1" x14ac:dyDescent="0.35">
      <c r="X323" s="416"/>
      <c r="Y323" s="416"/>
      <c r="Z323" s="422"/>
      <c r="AA323" s="422"/>
      <c r="AB323" s="422"/>
      <c r="AC323" s="1068"/>
      <c r="AD323" s="1068"/>
      <c r="AE323" s="1073"/>
      <c r="AF323" s="1073"/>
      <c r="AG323" s="1068"/>
      <c r="AH323" s="1068"/>
      <c r="AI323" s="1068"/>
      <c r="AJ323" s="1070"/>
      <c r="AK323" s="1071"/>
      <c r="AM323" s="1072"/>
      <c r="AP323" s="1056"/>
      <c r="AQ323" s="1056"/>
      <c r="AS323" s="1056"/>
      <c r="AT323" s="1056"/>
      <c r="AU323" s="1056"/>
      <c r="AV323" s="1056"/>
      <c r="AW323" s="1056"/>
    </row>
    <row r="324" spans="24:49" ht="14.15" customHeight="1" x14ac:dyDescent="0.35">
      <c r="X324" s="416"/>
      <c r="Y324" s="416"/>
      <c r="Z324" s="422"/>
      <c r="AA324" s="422"/>
      <c r="AB324" s="422"/>
      <c r="AC324" s="1069"/>
      <c r="AD324" s="1069"/>
      <c r="AE324" s="1074"/>
      <c r="AF324" s="1074"/>
      <c r="AG324" s="1069"/>
      <c r="AH324" s="1068"/>
      <c r="AI324" s="1068"/>
      <c r="AJ324" s="1070"/>
      <c r="AK324" s="1071"/>
      <c r="AM324" s="1072"/>
      <c r="AP324" s="1056"/>
      <c r="AQ324" s="1056"/>
      <c r="AS324" s="1056"/>
      <c r="AT324" s="1056"/>
      <c r="AU324" s="1056"/>
      <c r="AV324" s="1056"/>
      <c r="AW324" s="1056"/>
    </row>
    <row r="325" spans="24:49" ht="14.15" customHeight="1" x14ac:dyDescent="0.35">
      <c r="X325" s="416"/>
      <c r="Y325" s="416"/>
      <c r="Z325" s="422"/>
      <c r="AA325" s="422"/>
      <c r="AB325" s="422"/>
      <c r="AC325" s="1071"/>
      <c r="AD325" s="1071"/>
      <c r="AE325" s="1074"/>
      <c r="AF325" s="1074"/>
      <c r="AG325" s="1069"/>
      <c r="AH325" s="1069"/>
      <c r="AI325" s="1069"/>
      <c r="AJ325" s="1070"/>
      <c r="AK325" s="1071"/>
      <c r="AM325" s="1072"/>
      <c r="AP325" s="1056"/>
      <c r="AQ325" s="1056"/>
      <c r="AS325" s="1056"/>
      <c r="AT325" s="1056"/>
      <c r="AU325" s="1056"/>
      <c r="AV325" s="1056"/>
      <c r="AW325" s="1056"/>
    </row>
    <row r="326" spans="24:49" ht="14.15" customHeight="1" x14ac:dyDescent="0.35">
      <c r="X326" s="416"/>
      <c r="Y326" s="416"/>
      <c r="Z326" s="422"/>
      <c r="AA326" s="422"/>
      <c r="AB326" s="422"/>
      <c r="AC326" s="1076"/>
      <c r="AD326" s="1076"/>
      <c r="AE326" s="1076"/>
      <c r="AF326" s="1076"/>
      <c r="AG326" s="1068"/>
      <c r="AH326" s="1068"/>
      <c r="AI326" s="1077"/>
      <c r="AJ326" s="1070"/>
      <c r="AK326" s="1071"/>
      <c r="AM326" s="1072"/>
      <c r="AP326" s="1056"/>
      <c r="AQ326" s="1056"/>
      <c r="AS326" s="1056"/>
      <c r="AT326" s="1056"/>
      <c r="AU326" s="1056"/>
      <c r="AV326" s="1056"/>
      <c r="AW326" s="1056"/>
    </row>
    <row r="327" spans="24:49" ht="14.15" customHeight="1" x14ac:dyDescent="0.35">
      <c r="X327" s="416"/>
      <c r="Y327" s="416"/>
      <c r="Z327" s="422"/>
      <c r="AA327" s="422"/>
      <c r="AB327" s="422"/>
      <c r="AC327" s="1076"/>
      <c r="AD327" s="1076"/>
      <c r="AE327" s="1076"/>
      <c r="AF327" s="1076"/>
      <c r="AG327" s="1068"/>
      <c r="AH327" s="1068"/>
      <c r="AI327" s="1068"/>
      <c r="AJ327" s="1070"/>
      <c r="AK327" s="1071"/>
      <c r="AM327" s="1072"/>
      <c r="AP327" s="1056"/>
      <c r="AQ327" s="1056"/>
      <c r="AS327" s="1056"/>
      <c r="AT327" s="1056"/>
      <c r="AU327" s="1056"/>
      <c r="AV327" s="1056"/>
      <c r="AW327" s="1056"/>
    </row>
    <row r="328" spans="24:49" ht="14.15" customHeight="1" x14ac:dyDescent="0.35">
      <c r="X328" s="416"/>
      <c r="Y328" s="416"/>
      <c r="Z328" s="422"/>
      <c r="AA328" s="422"/>
      <c r="AB328" s="422"/>
      <c r="AC328" s="1076"/>
      <c r="AD328" s="1076"/>
      <c r="AE328" s="1076"/>
      <c r="AF328" s="1076"/>
      <c r="AG328" s="1076"/>
      <c r="AH328" s="1068"/>
      <c r="AI328" s="1075"/>
      <c r="AJ328" s="1070"/>
      <c r="AK328" s="1071"/>
      <c r="AM328" s="1072"/>
      <c r="AP328" s="1058"/>
      <c r="AQ328" s="1057"/>
      <c r="AS328" s="1059"/>
      <c r="AT328" s="1058"/>
      <c r="AU328" s="1058"/>
      <c r="AV328" s="1058"/>
      <c r="AW328" s="1057"/>
    </row>
    <row r="329" spans="24:49" ht="14.15" customHeight="1" x14ac:dyDescent="0.35">
      <c r="X329" s="416"/>
      <c r="Y329" s="416"/>
      <c r="Z329" s="422"/>
      <c r="AA329" s="422"/>
      <c r="AB329" s="422"/>
      <c r="AC329" s="1076"/>
      <c r="AD329" s="1076"/>
      <c r="AE329" s="1076"/>
      <c r="AF329" s="1076"/>
      <c r="AG329" s="1068"/>
      <c r="AH329" s="1068"/>
      <c r="AI329" s="1068"/>
      <c r="AJ329" s="1070"/>
      <c r="AK329" s="1071"/>
      <c r="AM329" s="1072"/>
      <c r="AP329" s="1056"/>
      <c r="AQ329" s="1056"/>
      <c r="AS329" s="1056"/>
      <c r="AT329" s="1056"/>
      <c r="AU329" s="1056"/>
      <c r="AV329" s="1056"/>
      <c r="AW329" s="1056"/>
    </row>
    <row r="330" spans="24:49" ht="14.15" customHeight="1" x14ac:dyDescent="0.35">
      <c r="X330" s="416"/>
      <c r="Y330" s="416"/>
      <c r="Z330" s="422"/>
      <c r="AA330" s="422"/>
      <c r="AB330" s="422"/>
      <c r="AC330" s="1068"/>
      <c r="AD330" s="1068"/>
      <c r="AE330" s="1073"/>
      <c r="AF330" s="1073"/>
      <c r="AG330" s="1068"/>
      <c r="AH330" s="1068"/>
      <c r="AI330" s="1069"/>
      <c r="AJ330" s="1070"/>
      <c r="AK330" s="1071"/>
      <c r="AM330" s="1072"/>
      <c r="AP330" s="1056"/>
      <c r="AQ330" s="1056"/>
      <c r="AS330" s="1056"/>
      <c r="AT330" s="1056"/>
      <c r="AU330" s="1056"/>
      <c r="AV330" s="1056"/>
      <c r="AW330" s="1056"/>
    </row>
    <row r="331" spans="24:49" ht="14.15" customHeight="1" x14ac:dyDescent="0.35">
      <c r="X331" s="416"/>
      <c r="Y331" s="416"/>
      <c r="Z331" s="422"/>
      <c r="AA331" s="422"/>
      <c r="AB331" s="422"/>
      <c r="AC331" s="1069"/>
      <c r="AD331" s="1069"/>
      <c r="AE331" s="1074"/>
      <c r="AF331" s="1074"/>
      <c r="AG331" s="1069"/>
      <c r="AH331" s="1069"/>
      <c r="AI331" s="1075"/>
      <c r="AJ331" s="1070"/>
      <c r="AK331" s="1071"/>
      <c r="AM331" s="1072"/>
      <c r="AP331" s="1056"/>
      <c r="AQ331" s="1056"/>
      <c r="AS331" s="1056"/>
      <c r="AT331" s="1056"/>
      <c r="AU331" s="1056"/>
      <c r="AV331" s="1056"/>
      <c r="AW331" s="1056"/>
    </row>
    <row r="332" spans="24:49" ht="14.15" customHeight="1" x14ac:dyDescent="0.35">
      <c r="X332" s="416"/>
      <c r="Y332" s="416"/>
      <c r="Z332" s="422"/>
      <c r="AA332" s="422"/>
      <c r="AB332" s="422"/>
      <c r="AC332" s="1069"/>
      <c r="AD332" s="1069"/>
      <c r="AE332" s="1074"/>
      <c r="AF332" s="1074"/>
      <c r="AG332" s="1069"/>
      <c r="AH332" s="1068"/>
      <c r="AI332" s="1068"/>
      <c r="AJ332" s="1070"/>
      <c r="AK332" s="1071"/>
      <c r="AM332" s="1072"/>
      <c r="AP332" s="1056"/>
      <c r="AQ332" s="1056"/>
      <c r="AS332" s="1056"/>
      <c r="AT332" s="1056"/>
      <c r="AU332" s="1056"/>
      <c r="AV332" s="1056"/>
      <c r="AW332" s="1056"/>
    </row>
    <row r="333" spans="24:49" ht="14.15" customHeight="1" x14ac:dyDescent="0.35">
      <c r="X333" s="416"/>
      <c r="Y333" s="416"/>
      <c r="Z333" s="422"/>
      <c r="AA333" s="422"/>
      <c r="AB333" s="422"/>
      <c r="AC333" s="1068"/>
      <c r="AD333" s="1068"/>
      <c r="AE333" s="1073"/>
      <c r="AF333" s="1073"/>
      <c r="AG333" s="1068"/>
      <c r="AH333" s="1068"/>
      <c r="AI333" s="1069"/>
      <c r="AJ333" s="1070"/>
      <c r="AK333" s="1071"/>
      <c r="AM333" s="1072"/>
      <c r="AP333" s="1056"/>
      <c r="AQ333" s="1056"/>
      <c r="AS333" s="1056"/>
      <c r="AT333" s="1056"/>
      <c r="AU333" s="1056"/>
      <c r="AV333" s="1056"/>
      <c r="AW333" s="1056"/>
    </row>
    <row r="334" spans="24:49" ht="14.15" customHeight="1" x14ac:dyDescent="0.35">
      <c r="X334" s="416"/>
      <c r="Y334" s="416"/>
      <c r="Z334" s="422"/>
      <c r="AA334" s="422"/>
      <c r="AB334" s="422"/>
      <c r="AC334" s="1068"/>
      <c r="AD334" s="1068"/>
      <c r="AE334" s="1073"/>
      <c r="AF334" s="1073"/>
      <c r="AG334" s="1068"/>
      <c r="AH334" s="1068"/>
      <c r="AI334" s="1078"/>
      <c r="AJ334" s="1070"/>
      <c r="AK334" s="1071"/>
      <c r="AM334" s="1072"/>
      <c r="AP334" s="1056"/>
      <c r="AQ334" s="1056"/>
      <c r="AS334" s="1056"/>
      <c r="AT334" s="1056"/>
      <c r="AU334" s="1056"/>
      <c r="AV334" s="1056"/>
      <c r="AW334" s="1056"/>
    </row>
    <row r="335" spans="24:49" ht="14.15" customHeight="1" x14ac:dyDescent="0.35">
      <c r="X335" s="416"/>
      <c r="Y335" s="416"/>
      <c r="Z335" s="422"/>
      <c r="AA335" s="422"/>
      <c r="AB335" s="422"/>
      <c r="AC335" s="1068"/>
      <c r="AD335" s="1068"/>
      <c r="AE335" s="1073"/>
      <c r="AF335" s="1073"/>
      <c r="AG335" s="1068"/>
      <c r="AH335" s="1068"/>
      <c r="AI335" s="1075"/>
      <c r="AJ335" s="1070"/>
      <c r="AK335" s="1071"/>
      <c r="AM335" s="1072"/>
      <c r="AP335" s="1056"/>
      <c r="AQ335" s="1056"/>
      <c r="AS335" s="1056"/>
      <c r="AT335" s="1056"/>
      <c r="AU335" s="1056"/>
      <c r="AV335" s="1056"/>
      <c r="AW335" s="1056"/>
    </row>
    <row r="336" spans="24:49" ht="14.15" customHeight="1" x14ac:dyDescent="0.35">
      <c r="X336" s="416"/>
      <c r="Y336" s="416"/>
      <c r="Z336" s="422"/>
      <c r="AA336" s="422"/>
      <c r="AB336" s="422"/>
      <c r="AC336" s="1069"/>
      <c r="AD336" s="1069"/>
      <c r="AE336" s="1074"/>
      <c r="AF336" s="1074"/>
      <c r="AG336" s="1069"/>
      <c r="AH336" s="1069"/>
      <c r="AI336" s="1068"/>
      <c r="AJ336" s="1070"/>
      <c r="AK336" s="1071"/>
      <c r="AM336" s="1072"/>
      <c r="AP336" s="1056"/>
      <c r="AQ336" s="1056"/>
      <c r="AS336" s="1056"/>
      <c r="AT336" s="1056"/>
      <c r="AU336" s="1056"/>
      <c r="AV336" s="1056"/>
      <c r="AW336" s="1056"/>
    </row>
    <row r="337" spans="24:49" ht="14.15" customHeight="1" x14ac:dyDescent="0.35">
      <c r="X337" s="416"/>
      <c r="Y337" s="416"/>
      <c r="Z337" s="422"/>
      <c r="AA337" s="422"/>
      <c r="AB337" s="422"/>
      <c r="AC337" s="1069"/>
      <c r="AD337" s="1069"/>
      <c r="AE337" s="1074"/>
      <c r="AF337" s="1074"/>
      <c r="AG337" s="1069"/>
      <c r="AH337" s="1068"/>
      <c r="AI337" s="1068"/>
      <c r="AJ337" s="1070"/>
      <c r="AK337" s="1071"/>
      <c r="AM337" s="1072"/>
      <c r="AP337" s="1056"/>
      <c r="AQ337" s="1056"/>
      <c r="AS337" s="1056"/>
      <c r="AT337" s="1056"/>
      <c r="AU337" s="1056"/>
      <c r="AV337" s="1056"/>
      <c r="AW337" s="1056"/>
    </row>
    <row r="338" spans="24:49" ht="14.15" customHeight="1" x14ac:dyDescent="0.35">
      <c r="X338" s="416"/>
      <c r="Y338" s="416"/>
      <c r="Z338" s="422"/>
      <c r="AA338" s="422"/>
      <c r="AB338" s="422"/>
      <c r="AC338" s="1079"/>
      <c r="AD338" s="1079"/>
      <c r="AE338" s="1073"/>
      <c r="AF338" s="1073"/>
      <c r="AG338" s="1068"/>
      <c r="AH338" s="1068"/>
      <c r="AI338" s="1069"/>
      <c r="AJ338" s="1070"/>
      <c r="AK338" s="1071"/>
      <c r="AM338" s="1072"/>
      <c r="AP338" s="1056"/>
      <c r="AQ338" s="1056"/>
      <c r="AS338" s="1056"/>
      <c r="AT338" s="1056"/>
      <c r="AU338" s="1056"/>
      <c r="AV338" s="1056"/>
      <c r="AW338" s="1056"/>
    </row>
    <row r="339" spans="24:49" ht="14.15" customHeight="1" x14ac:dyDescent="0.35">
      <c r="X339" s="416"/>
      <c r="Y339" s="416"/>
      <c r="Z339" s="422"/>
      <c r="AA339" s="422"/>
      <c r="AB339" s="422"/>
      <c r="AC339" s="1079"/>
      <c r="AD339" s="1079"/>
      <c r="AE339" s="1073"/>
      <c r="AF339" s="1073"/>
      <c r="AG339" s="1068"/>
      <c r="AH339" s="1068"/>
      <c r="AI339" s="1077"/>
      <c r="AJ339" s="1070"/>
      <c r="AK339" s="1071"/>
      <c r="AM339" s="1072"/>
      <c r="AP339" s="1056"/>
      <c r="AQ339" s="1056"/>
      <c r="AS339" s="1056"/>
      <c r="AT339" s="1056"/>
      <c r="AU339" s="1056"/>
      <c r="AV339" s="1056"/>
      <c r="AW339" s="1056"/>
    </row>
    <row r="340" spans="24:49" ht="14.15" customHeight="1" x14ac:dyDescent="0.35">
      <c r="X340" s="416"/>
      <c r="Y340" s="416"/>
      <c r="Z340" s="422"/>
      <c r="AA340" s="422"/>
      <c r="AB340" s="422"/>
      <c r="AC340" s="1068"/>
      <c r="AD340" s="1068"/>
      <c r="AE340" s="1073"/>
      <c r="AF340" s="1073"/>
      <c r="AG340" s="1068"/>
      <c r="AH340" s="1068"/>
      <c r="AI340" s="1075"/>
      <c r="AJ340" s="1070"/>
      <c r="AK340" s="1071"/>
      <c r="AM340" s="1072"/>
      <c r="AP340" s="1056"/>
      <c r="AQ340" s="1056"/>
      <c r="AS340" s="1056"/>
      <c r="AT340" s="1056"/>
      <c r="AU340" s="1056"/>
      <c r="AV340" s="1056"/>
      <c r="AW340" s="1056"/>
    </row>
    <row r="341" spans="24:49" ht="14.15" customHeight="1" x14ac:dyDescent="0.35">
      <c r="X341" s="416"/>
      <c r="Y341" s="416"/>
      <c r="Z341" s="422"/>
      <c r="AA341" s="422"/>
      <c r="AB341" s="422"/>
      <c r="AC341" s="1068"/>
      <c r="AD341" s="1068"/>
      <c r="AE341" s="1073"/>
      <c r="AF341" s="1073"/>
      <c r="AG341" s="1068"/>
      <c r="AH341" s="1068"/>
      <c r="AI341" s="1068"/>
      <c r="AJ341" s="1070"/>
      <c r="AK341" s="1071"/>
      <c r="AM341" s="1072"/>
      <c r="AP341" s="1056"/>
      <c r="AQ341" s="1056"/>
      <c r="AS341" s="1056"/>
      <c r="AT341" s="1056"/>
      <c r="AU341" s="1056"/>
      <c r="AV341" s="1056"/>
      <c r="AW341" s="1056"/>
    </row>
    <row r="342" spans="24:49" ht="14.15" customHeight="1" x14ac:dyDescent="0.35">
      <c r="X342" s="416"/>
      <c r="Y342" s="416"/>
      <c r="Z342" s="422"/>
      <c r="AA342" s="422"/>
      <c r="AB342" s="422"/>
      <c r="AC342" s="1068"/>
      <c r="AD342" s="1068"/>
      <c r="AE342" s="1073"/>
      <c r="AF342" s="1073"/>
      <c r="AG342" s="1068"/>
      <c r="AH342" s="1068"/>
      <c r="AI342" s="1068"/>
      <c r="AJ342" s="1070"/>
      <c r="AK342" s="1071"/>
      <c r="AM342" s="1072"/>
      <c r="AP342" s="1056"/>
      <c r="AQ342" s="1056"/>
      <c r="AS342" s="1056"/>
      <c r="AT342" s="1056"/>
      <c r="AU342" s="1056"/>
      <c r="AV342" s="1056"/>
      <c r="AW342" s="1056"/>
    </row>
    <row r="343" spans="24:49" ht="14.15" customHeight="1" x14ac:dyDescent="0.35">
      <c r="X343" s="416"/>
      <c r="Y343" s="416"/>
      <c r="Z343" s="422"/>
      <c r="AA343" s="422"/>
      <c r="AB343" s="422"/>
      <c r="AC343" s="1069"/>
      <c r="AD343" s="1069"/>
      <c r="AE343" s="1074"/>
      <c r="AF343" s="1074"/>
      <c r="AG343" s="1069"/>
      <c r="AH343" s="1069"/>
      <c r="AI343" s="1069"/>
      <c r="AJ343" s="1070"/>
      <c r="AK343" s="1071"/>
      <c r="AM343" s="1072"/>
      <c r="AP343" s="1056"/>
      <c r="AQ343" s="1056"/>
      <c r="AS343" s="1056"/>
      <c r="AT343" s="1056"/>
      <c r="AU343" s="1056"/>
      <c r="AV343" s="1056"/>
      <c r="AW343" s="1056"/>
    </row>
    <row r="344" spans="24:49" ht="14.15" customHeight="1" x14ac:dyDescent="0.35">
      <c r="X344" s="416"/>
      <c r="Y344" s="416"/>
      <c r="Z344" s="422"/>
      <c r="AA344" s="422"/>
      <c r="AB344" s="422"/>
      <c r="AC344" s="1068"/>
      <c r="AD344" s="1068"/>
      <c r="AE344" s="1073"/>
      <c r="AF344" s="1073"/>
      <c r="AG344" s="1068"/>
      <c r="AH344" s="1068"/>
      <c r="AI344" s="1075"/>
      <c r="AJ344" s="1070"/>
      <c r="AK344" s="1071"/>
      <c r="AM344" s="1072"/>
      <c r="AP344" s="1056"/>
      <c r="AQ344" s="1056"/>
      <c r="AS344" s="1056"/>
      <c r="AT344" s="1056"/>
      <c r="AU344" s="1056"/>
      <c r="AV344" s="1056"/>
      <c r="AW344" s="1056"/>
    </row>
    <row r="345" spans="24:49" ht="14.15" customHeight="1" x14ac:dyDescent="0.35">
      <c r="X345" s="416"/>
      <c r="Y345" s="416"/>
      <c r="Z345" s="422"/>
      <c r="AA345" s="422"/>
      <c r="AB345" s="422"/>
      <c r="AC345" s="1068"/>
      <c r="AD345" s="1068"/>
      <c r="AE345" s="1073"/>
      <c r="AF345" s="1073"/>
      <c r="AG345" s="1068"/>
      <c r="AH345" s="1068"/>
      <c r="AI345" s="1069"/>
      <c r="AJ345" s="1070"/>
      <c r="AK345" s="1071"/>
      <c r="AM345" s="1072"/>
      <c r="AP345" s="1056"/>
      <c r="AQ345" s="1056"/>
      <c r="AS345" s="1056"/>
      <c r="AT345" s="1056"/>
      <c r="AU345" s="1056"/>
      <c r="AV345" s="1056"/>
      <c r="AW345" s="1056"/>
    </row>
    <row r="346" spans="24:49" ht="14.15" customHeight="1" x14ac:dyDescent="0.35">
      <c r="X346" s="416"/>
      <c r="Y346" s="416"/>
      <c r="Z346" s="422"/>
      <c r="AA346" s="422"/>
      <c r="AB346" s="422"/>
      <c r="AC346" s="1068"/>
      <c r="AD346" s="1068"/>
      <c r="AE346" s="1073"/>
      <c r="AF346" s="1073"/>
      <c r="AG346" s="1068"/>
      <c r="AH346" s="1068"/>
      <c r="AI346" s="1077"/>
      <c r="AJ346" s="1070"/>
      <c r="AK346" s="1071"/>
      <c r="AM346" s="1072"/>
      <c r="AP346" s="1056"/>
      <c r="AQ346" s="1056"/>
      <c r="AS346" s="1056"/>
      <c r="AT346" s="1056"/>
      <c r="AU346" s="1056"/>
      <c r="AV346" s="1056"/>
      <c r="AW346" s="1056"/>
    </row>
    <row r="347" spans="24:49" ht="14.15" customHeight="1" x14ac:dyDescent="0.35">
      <c r="X347" s="416"/>
      <c r="Y347" s="416"/>
      <c r="Z347" s="422"/>
      <c r="AA347" s="422"/>
      <c r="AB347" s="422"/>
      <c r="AC347" s="1068"/>
      <c r="AD347" s="1068"/>
      <c r="AE347" s="1073"/>
      <c r="AF347" s="1073"/>
      <c r="AG347" s="1068"/>
      <c r="AH347" s="1068"/>
      <c r="AI347" s="1068"/>
      <c r="AJ347" s="1070"/>
      <c r="AK347" s="1071"/>
      <c r="AM347" s="1072"/>
      <c r="AP347" s="1056"/>
      <c r="AQ347" s="1056"/>
      <c r="AS347" s="1056"/>
      <c r="AT347" s="1056"/>
      <c r="AU347" s="1056"/>
      <c r="AV347" s="1056"/>
      <c r="AW347" s="1056"/>
    </row>
    <row r="348" spans="24:49" ht="14.15" customHeight="1" x14ac:dyDescent="0.35">
      <c r="X348" s="416"/>
      <c r="Y348" s="416"/>
      <c r="Z348" s="422"/>
      <c r="AA348" s="422"/>
      <c r="AB348" s="422"/>
      <c r="AC348" s="1068"/>
      <c r="AD348" s="1068"/>
      <c r="AE348" s="1073"/>
      <c r="AF348" s="1073"/>
      <c r="AG348" s="1068"/>
      <c r="AH348" s="1068"/>
      <c r="AI348" s="1068"/>
      <c r="AJ348" s="1070"/>
      <c r="AK348" s="1071"/>
      <c r="AM348" s="1072"/>
      <c r="AP348" s="1056"/>
      <c r="AQ348" s="1056"/>
      <c r="AS348" s="1056"/>
      <c r="AT348" s="1056"/>
      <c r="AU348" s="1056"/>
      <c r="AV348" s="1056"/>
      <c r="AW348" s="1056"/>
    </row>
    <row r="349" spans="24:49" ht="14.15" customHeight="1" x14ac:dyDescent="0.35">
      <c r="X349" s="416"/>
      <c r="Y349" s="416"/>
      <c r="Z349" s="422"/>
      <c r="AA349" s="422"/>
      <c r="AB349" s="422"/>
      <c r="AC349" s="1068"/>
      <c r="AD349" s="1068"/>
      <c r="AE349" s="1073"/>
      <c r="AF349" s="1073"/>
      <c r="AG349" s="1068"/>
      <c r="AH349" s="1068"/>
      <c r="AI349" s="1078"/>
      <c r="AJ349" s="1070"/>
      <c r="AK349" s="1071"/>
      <c r="AM349" s="1072"/>
      <c r="AP349" s="1056"/>
      <c r="AQ349" s="1056"/>
      <c r="AS349" s="1056"/>
      <c r="AT349" s="1056"/>
      <c r="AU349" s="1056"/>
      <c r="AV349" s="1056"/>
      <c r="AW349" s="1056"/>
    </row>
    <row r="350" spans="24:49" ht="14.15" customHeight="1" x14ac:dyDescent="0.35">
      <c r="X350" s="416"/>
      <c r="Y350" s="416"/>
      <c r="Z350" s="422"/>
      <c r="AA350" s="422"/>
      <c r="AB350" s="422"/>
      <c r="AC350" s="1068"/>
      <c r="AD350" s="1068"/>
      <c r="AE350" s="1073"/>
      <c r="AF350" s="1073"/>
      <c r="AG350" s="1068"/>
      <c r="AH350" s="1068"/>
      <c r="AI350" s="1068"/>
      <c r="AJ350" s="1070"/>
      <c r="AK350" s="1071"/>
      <c r="AM350" s="1072"/>
      <c r="AP350" s="1056"/>
      <c r="AQ350" s="1056"/>
      <c r="AS350" s="1056"/>
      <c r="AT350" s="1056"/>
      <c r="AU350" s="1056"/>
      <c r="AV350" s="1056"/>
      <c r="AW350" s="1056"/>
    </row>
    <row r="351" spans="24:49" ht="14.15" customHeight="1" x14ac:dyDescent="0.35">
      <c r="X351" s="416"/>
      <c r="Y351" s="416"/>
      <c r="Z351" s="422"/>
      <c r="AA351" s="422"/>
      <c r="AB351" s="422"/>
      <c r="AC351" s="1068"/>
      <c r="AD351" s="1068"/>
      <c r="AE351" s="1073"/>
      <c r="AF351" s="1073"/>
      <c r="AG351" s="1068"/>
      <c r="AH351" s="1068"/>
      <c r="AI351" s="1068"/>
      <c r="AJ351" s="1070"/>
      <c r="AK351" s="1071"/>
      <c r="AM351" s="1072"/>
      <c r="AP351" s="1056"/>
      <c r="AQ351" s="1056"/>
      <c r="AS351" s="1056"/>
      <c r="AT351" s="1056"/>
      <c r="AU351" s="1056"/>
      <c r="AV351" s="1056"/>
      <c r="AW351" s="1056"/>
    </row>
    <row r="352" spans="24:49" ht="14.15" customHeight="1" x14ac:dyDescent="0.35">
      <c r="X352" s="416"/>
      <c r="Y352" s="416"/>
      <c r="Z352" s="422"/>
      <c r="AA352" s="422"/>
      <c r="AB352" s="422"/>
      <c r="AC352" s="1068"/>
      <c r="AD352" s="1068"/>
      <c r="AE352" s="1073"/>
      <c r="AF352" s="1073"/>
      <c r="AG352" s="1068"/>
      <c r="AH352" s="1068"/>
      <c r="AI352" s="1068"/>
      <c r="AJ352" s="1070"/>
      <c r="AK352" s="1071"/>
      <c r="AM352" s="1072"/>
      <c r="AP352" s="1056"/>
      <c r="AQ352" s="1056"/>
      <c r="AS352" s="1056"/>
      <c r="AT352" s="1056"/>
      <c r="AU352" s="1056"/>
      <c r="AV352" s="1056"/>
      <c r="AW352" s="1056"/>
    </row>
    <row r="353" spans="24:49" ht="14.15" customHeight="1" x14ac:dyDescent="0.35">
      <c r="X353" s="416"/>
      <c r="Y353" s="416"/>
      <c r="Z353" s="422"/>
      <c r="AA353" s="422"/>
      <c r="AB353" s="422"/>
      <c r="AC353" s="1079"/>
      <c r="AD353" s="1079"/>
      <c r="AE353" s="1073"/>
      <c r="AF353" s="1073"/>
      <c r="AG353" s="1068"/>
      <c r="AH353" s="1068"/>
      <c r="AI353" s="1068"/>
      <c r="AJ353" s="1070"/>
      <c r="AK353" s="1071"/>
      <c r="AM353" s="1072"/>
      <c r="AP353" s="1056"/>
      <c r="AQ353" s="1056"/>
      <c r="AS353" s="1056"/>
      <c r="AT353" s="1056"/>
      <c r="AU353" s="1056"/>
      <c r="AV353" s="1056"/>
      <c r="AW353" s="1056"/>
    </row>
    <row r="354" spans="24:49" ht="14.15" customHeight="1" x14ac:dyDescent="0.35">
      <c r="X354" s="416"/>
      <c r="Y354" s="416"/>
      <c r="AB354" s="449"/>
      <c r="AC354" s="1076"/>
      <c r="AD354" s="1076"/>
      <c r="AE354" s="1076"/>
      <c r="AF354" s="1076"/>
      <c r="AG354" s="1068"/>
      <c r="AH354" s="1068"/>
      <c r="AI354" s="1068"/>
      <c r="AJ354" s="1070"/>
      <c r="AK354" s="1071"/>
      <c r="AM354" s="1072"/>
      <c r="AP354" s="1056"/>
      <c r="AQ354" s="1056"/>
      <c r="AS354" s="1056"/>
      <c r="AT354" s="1056"/>
      <c r="AU354" s="1056"/>
      <c r="AV354" s="1056"/>
      <c r="AW354" s="1056"/>
    </row>
    <row r="355" spans="24:49" ht="14.15" customHeight="1" x14ac:dyDescent="0.35">
      <c r="X355" s="416"/>
      <c r="Y355" s="416"/>
      <c r="Z355" s="422"/>
      <c r="AA355" s="422"/>
      <c r="AB355" s="422"/>
      <c r="AC355" s="1068"/>
      <c r="AD355" s="1068"/>
      <c r="AE355" s="1073"/>
      <c r="AF355" s="1073"/>
      <c r="AG355" s="1068"/>
      <c r="AH355" s="1068"/>
      <c r="AI355" s="1068"/>
      <c r="AJ355" s="1070"/>
      <c r="AK355" s="1071"/>
      <c r="AM355" s="1072"/>
      <c r="AP355" s="1056"/>
      <c r="AQ355" s="1056"/>
      <c r="AS355" s="1056"/>
      <c r="AT355" s="1056"/>
      <c r="AU355" s="1056"/>
      <c r="AV355" s="1056"/>
      <c r="AW355" s="1056"/>
    </row>
    <row r="356" spans="24:49" ht="14.15" customHeight="1" x14ac:dyDescent="0.35">
      <c r="X356" s="416"/>
      <c r="Y356" s="416"/>
      <c r="Z356" s="422"/>
      <c r="AA356" s="422"/>
      <c r="AB356" s="422"/>
      <c r="AC356" s="1069"/>
      <c r="AD356" s="1069"/>
      <c r="AE356" s="1074"/>
      <c r="AF356" s="1074"/>
      <c r="AG356" s="1069"/>
      <c r="AH356" s="1069"/>
      <c r="AI356" s="1080"/>
      <c r="AJ356" s="1070"/>
      <c r="AK356" s="1071"/>
      <c r="AM356" s="1072"/>
      <c r="AP356" s="1056"/>
      <c r="AQ356" s="1056"/>
      <c r="AS356" s="1056"/>
      <c r="AT356" s="1056"/>
      <c r="AU356" s="1056"/>
      <c r="AV356" s="1056"/>
      <c r="AW356" s="1056"/>
    </row>
    <row r="357" spans="24:49" ht="14.15" customHeight="1" x14ac:dyDescent="0.35">
      <c r="X357" s="416"/>
      <c r="Y357" s="416"/>
      <c r="Z357" s="422"/>
      <c r="AA357" s="422"/>
      <c r="AB357" s="422"/>
      <c r="AC357" s="1068"/>
      <c r="AD357" s="1068"/>
      <c r="AE357" s="1073"/>
      <c r="AF357" s="1073"/>
      <c r="AG357" s="1068"/>
      <c r="AH357" s="1068"/>
      <c r="AI357" s="1075"/>
      <c r="AJ357" s="1070"/>
      <c r="AK357" s="1071"/>
      <c r="AM357" s="1072"/>
      <c r="AP357" s="1056"/>
      <c r="AQ357" s="1056"/>
      <c r="AS357" s="1056"/>
      <c r="AT357" s="1056"/>
      <c r="AU357" s="1056"/>
      <c r="AV357" s="1056"/>
      <c r="AW357" s="1056"/>
    </row>
    <row r="358" spans="24:49" ht="14.15" customHeight="1" x14ac:dyDescent="0.35">
      <c r="X358" s="416"/>
      <c r="Y358" s="416"/>
      <c r="Z358" s="422"/>
      <c r="AA358" s="422"/>
      <c r="AB358" s="422"/>
      <c r="AC358" s="1068"/>
      <c r="AD358" s="1068"/>
      <c r="AE358" s="1073"/>
      <c r="AF358" s="1073"/>
      <c r="AG358" s="1068"/>
      <c r="AH358" s="1068"/>
      <c r="AI358" s="1075"/>
      <c r="AJ358" s="1070"/>
      <c r="AK358" s="1071"/>
      <c r="AM358" s="1072"/>
      <c r="AP358" s="1056"/>
      <c r="AQ358" s="1056"/>
      <c r="AS358" s="1056"/>
      <c r="AT358" s="1056"/>
      <c r="AU358" s="1056"/>
      <c r="AV358" s="1056"/>
      <c r="AW358" s="1056"/>
    </row>
    <row r="359" spans="24:49" ht="14.15" customHeight="1" x14ac:dyDescent="0.35">
      <c r="X359" s="416"/>
      <c r="Y359" s="416"/>
      <c r="Z359" s="422"/>
      <c r="AA359" s="422"/>
      <c r="AB359" s="422"/>
      <c r="AC359" s="1068"/>
      <c r="AD359" s="1068"/>
      <c r="AE359" s="1073"/>
      <c r="AF359" s="1073"/>
      <c r="AG359" s="1068"/>
      <c r="AH359" s="1068"/>
      <c r="AI359" s="1068"/>
      <c r="AJ359" s="1070"/>
      <c r="AK359" s="1071"/>
      <c r="AM359" s="1072"/>
      <c r="AP359" s="1056"/>
      <c r="AQ359" s="1056"/>
      <c r="AR359" s="1081"/>
      <c r="AS359" s="1056"/>
      <c r="AT359" s="1056"/>
      <c r="AU359" s="1056"/>
      <c r="AV359" s="1056"/>
      <c r="AW359" s="1056"/>
    </row>
    <row r="360" spans="24:49" ht="14.15" customHeight="1" x14ac:dyDescent="0.35">
      <c r="X360" s="416"/>
      <c r="Y360" s="416"/>
      <c r="Z360" s="422"/>
      <c r="AA360" s="422"/>
      <c r="AB360" s="422"/>
      <c r="AC360" s="1079"/>
      <c r="AD360" s="1079"/>
      <c r="AE360" s="1073"/>
      <c r="AF360" s="1073"/>
      <c r="AG360" s="1068"/>
      <c r="AH360" s="1068"/>
      <c r="AI360" s="1075"/>
      <c r="AJ360" s="1070"/>
      <c r="AK360" s="1071"/>
      <c r="AM360" s="1072"/>
      <c r="AP360" s="1056"/>
      <c r="AQ360" s="1056"/>
      <c r="AS360" s="1056"/>
      <c r="AT360" s="1056"/>
      <c r="AU360" s="1056"/>
      <c r="AV360" s="1056"/>
      <c r="AW360" s="1056"/>
    </row>
    <row r="361" spans="24:49" ht="14.15" customHeight="1" x14ac:dyDescent="0.35">
      <c r="X361" s="416"/>
      <c r="Y361" s="416"/>
      <c r="Z361" s="422"/>
      <c r="AA361" s="422"/>
      <c r="AB361" s="422"/>
      <c r="AC361" s="1076"/>
      <c r="AD361" s="1076"/>
      <c r="AE361" s="1076"/>
      <c r="AF361" s="1076"/>
      <c r="AG361" s="1068"/>
      <c r="AH361" s="1068"/>
      <c r="AI361" s="1075"/>
      <c r="AJ361" s="1070"/>
      <c r="AK361" s="1071"/>
      <c r="AM361" s="1072"/>
      <c r="AP361" s="1056"/>
      <c r="AQ361" s="1056"/>
      <c r="AS361" s="1056"/>
      <c r="AT361" s="1056"/>
      <c r="AU361" s="1056"/>
      <c r="AV361" s="1056"/>
      <c r="AW361" s="1056"/>
    </row>
    <row r="362" spans="24:49" ht="14.15" customHeight="1" x14ac:dyDescent="0.35">
      <c r="X362" s="416"/>
      <c r="Y362" s="416"/>
      <c r="Z362" s="422"/>
      <c r="AA362" s="422"/>
      <c r="AB362" s="422"/>
      <c r="AC362" s="1076"/>
      <c r="AD362" s="1076"/>
      <c r="AE362" s="1076"/>
      <c r="AF362" s="1076"/>
      <c r="AG362" s="1076"/>
      <c r="AH362" s="1069"/>
      <c r="AI362" s="1068"/>
      <c r="AJ362" s="1070"/>
      <c r="AK362" s="1071"/>
      <c r="AM362" s="1072"/>
      <c r="AP362" s="1060"/>
      <c r="AQ362" s="1061"/>
      <c r="AS362" s="1082"/>
      <c r="AT362" s="1060"/>
      <c r="AU362" s="1060"/>
      <c r="AV362" s="1060"/>
      <c r="AW362" s="1061"/>
    </row>
    <row r="363" spans="24:49" ht="14.15" customHeight="1" x14ac:dyDescent="0.35">
      <c r="X363" s="416"/>
      <c r="Y363" s="416"/>
      <c r="Z363" s="422"/>
      <c r="AA363" s="422"/>
      <c r="AB363" s="422"/>
      <c r="AC363" s="1068"/>
      <c r="AD363" s="1068"/>
      <c r="AE363" s="1073"/>
      <c r="AF363" s="1073"/>
      <c r="AG363" s="1068"/>
      <c r="AH363" s="1068"/>
      <c r="AI363" s="1075"/>
      <c r="AJ363" s="1070"/>
      <c r="AK363" s="1071"/>
      <c r="AM363" s="1072"/>
      <c r="AP363" s="1056"/>
      <c r="AQ363" s="1056"/>
      <c r="AS363" s="1056"/>
      <c r="AT363" s="1056"/>
      <c r="AU363" s="1056"/>
      <c r="AV363" s="1056"/>
      <c r="AW363" s="1056"/>
    </row>
    <row r="364" spans="24:49" ht="14.15" customHeight="1" x14ac:dyDescent="0.35">
      <c r="X364" s="416"/>
      <c r="Y364" s="416"/>
      <c r="Z364" s="422"/>
      <c r="AA364" s="422"/>
      <c r="AB364" s="422"/>
      <c r="AC364" s="1068"/>
      <c r="AD364" s="1068"/>
      <c r="AE364" s="1073"/>
      <c r="AF364" s="1073"/>
      <c r="AG364" s="1068"/>
      <c r="AH364" s="1068"/>
      <c r="AI364" s="1075"/>
      <c r="AJ364" s="1070"/>
      <c r="AK364" s="1071"/>
      <c r="AM364" s="1072"/>
      <c r="AP364" s="1056"/>
      <c r="AQ364" s="1056"/>
      <c r="AS364" s="1056"/>
      <c r="AT364" s="1056"/>
      <c r="AU364" s="1056"/>
      <c r="AV364" s="1056"/>
      <c r="AW364" s="1056"/>
    </row>
    <row r="365" spans="24:49" ht="14.15" customHeight="1" x14ac:dyDescent="0.35">
      <c r="X365" s="416"/>
      <c r="Y365" s="416"/>
      <c r="Z365" s="422"/>
      <c r="AA365" s="422"/>
      <c r="AB365" s="422"/>
      <c r="AC365" s="1068"/>
      <c r="AD365" s="1068"/>
      <c r="AE365" s="1073"/>
      <c r="AF365" s="1073"/>
      <c r="AG365" s="1068"/>
      <c r="AH365" s="1068"/>
      <c r="AI365" s="1068"/>
      <c r="AJ365" s="1070"/>
      <c r="AK365" s="1071"/>
      <c r="AM365" s="1072"/>
      <c r="AP365" s="1056"/>
      <c r="AQ365" s="1056"/>
      <c r="AS365" s="1056"/>
      <c r="AT365" s="1056"/>
      <c r="AU365" s="1056"/>
      <c r="AV365" s="1056"/>
      <c r="AW365" s="1056"/>
    </row>
    <row r="366" spans="24:49" ht="14.15" customHeight="1" x14ac:dyDescent="0.35">
      <c r="X366" s="416"/>
      <c r="Y366" s="416"/>
      <c r="Z366" s="422"/>
      <c r="AA366" s="422"/>
      <c r="AB366" s="422"/>
      <c r="AC366" s="1068"/>
      <c r="AD366" s="1068"/>
      <c r="AE366" s="1073"/>
      <c r="AF366" s="1073"/>
      <c r="AG366" s="1068"/>
      <c r="AH366" s="1068"/>
      <c r="AI366" s="1068"/>
      <c r="AJ366" s="1070"/>
      <c r="AK366" s="1071"/>
      <c r="AM366" s="1072"/>
      <c r="AP366" s="1056"/>
      <c r="AQ366" s="1056"/>
      <c r="AS366" s="1056"/>
      <c r="AT366" s="1056"/>
      <c r="AU366" s="1056"/>
      <c r="AV366" s="1056"/>
      <c r="AW366" s="1056"/>
    </row>
    <row r="367" spans="24:49" ht="14.15" customHeight="1" x14ac:dyDescent="0.35">
      <c r="X367" s="416"/>
      <c r="Y367" s="416"/>
      <c r="Z367" s="422"/>
      <c r="AA367" s="422"/>
      <c r="AB367" s="422"/>
      <c r="AC367" s="1076"/>
      <c r="AD367" s="1076"/>
      <c r="AE367" s="1076"/>
      <c r="AF367" s="1076"/>
      <c r="AG367" s="1068"/>
      <c r="AH367" s="1068"/>
      <c r="AI367" s="1077"/>
      <c r="AJ367" s="1070"/>
      <c r="AK367" s="1071"/>
      <c r="AM367" s="1072"/>
      <c r="AP367" s="1056"/>
      <c r="AQ367" s="1056"/>
      <c r="AS367" s="1056"/>
      <c r="AT367" s="1056"/>
      <c r="AU367" s="1056"/>
      <c r="AV367" s="1056"/>
      <c r="AW367" s="1056"/>
    </row>
    <row r="368" spans="24:49" ht="14.15" customHeight="1" x14ac:dyDescent="0.35">
      <c r="X368" s="416"/>
      <c r="Y368" s="416"/>
      <c r="Z368" s="422"/>
      <c r="AA368" s="422"/>
      <c r="AB368" s="422"/>
      <c r="AC368" s="1068"/>
      <c r="AD368" s="1068"/>
      <c r="AE368" s="1073"/>
      <c r="AF368" s="1073"/>
      <c r="AG368" s="1068"/>
      <c r="AH368" s="1068"/>
      <c r="AI368" s="1068"/>
      <c r="AJ368" s="1070"/>
      <c r="AK368" s="1071"/>
      <c r="AM368" s="1072"/>
      <c r="AP368" s="1056"/>
      <c r="AQ368" s="1056"/>
      <c r="AS368" s="1056"/>
      <c r="AT368" s="1056"/>
      <c r="AU368" s="1056"/>
      <c r="AV368" s="1056"/>
      <c r="AW368" s="1056"/>
    </row>
    <row r="369" spans="24:49" ht="14.15" customHeight="1" x14ac:dyDescent="0.35">
      <c r="X369" s="416"/>
      <c r="Y369" s="416"/>
      <c r="Z369" s="422"/>
      <c r="AA369" s="422"/>
      <c r="AB369" s="422"/>
      <c r="AC369" s="1068"/>
      <c r="AD369" s="1068"/>
      <c r="AE369" s="1073"/>
      <c r="AF369" s="1073"/>
      <c r="AG369" s="1068"/>
      <c r="AH369" s="1068"/>
      <c r="AI369" s="1068"/>
      <c r="AJ369" s="1070"/>
      <c r="AK369" s="1071"/>
      <c r="AM369" s="1072"/>
      <c r="AP369" s="1056"/>
      <c r="AQ369" s="1056"/>
      <c r="AS369" s="1056"/>
      <c r="AT369" s="1056"/>
      <c r="AU369" s="1056"/>
      <c r="AV369" s="1056"/>
      <c r="AW369" s="1056"/>
    </row>
    <row r="370" spans="24:49" ht="14.15" customHeight="1" x14ac:dyDescent="0.35">
      <c r="X370" s="416"/>
      <c r="Y370" s="416"/>
      <c r="Z370" s="422"/>
      <c r="AA370" s="422"/>
      <c r="AB370" s="422"/>
      <c r="AC370" s="1068"/>
      <c r="AD370" s="1068"/>
      <c r="AE370" s="1073"/>
      <c r="AF370" s="1073"/>
      <c r="AG370" s="1068"/>
      <c r="AH370" s="1068"/>
      <c r="AI370" s="1068"/>
      <c r="AJ370" s="1070"/>
      <c r="AK370" s="1071"/>
      <c r="AM370" s="1072"/>
      <c r="AP370" s="1056"/>
      <c r="AQ370" s="1056"/>
      <c r="AS370" s="1056"/>
      <c r="AT370" s="1056"/>
      <c r="AU370" s="1056"/>
      <c r="AV370" s="1056"/>
      <c r="AW370" s="1056"/>
    </row>
    <row r="371" spans="24:49" ht="14.15" customHeight="1" x14ac:dyDescent="0.35">
      <c r="X371" s="416"/>
      <c r="Y371" s="416"/>
      <c r="Z371" s="422"/>
      <c r="AA371" s="422"/>
      <c r="AB371" s="422"/>
      <c r="AC371" s="1069"/>
      <c r="AD371" s="1069"/>
      <c r="AE371" s="1074"/>
      <c r="AF371" s="1074"/>
      <c r="AG371" s="1069"/>
      <c r="AH371" s="1068"/>
      <c r="AI371" s="1075"/>
      <c r="AJ371" s="1070"/>
      <c r="AK371" s="1071"/>
      <c r="AM371" s="1072"/>
      <c r="AP371" s="1056"/>
      <c r="AQ371" s="1056"/>
      <c r="AS371" s="1056"/>
      <c r="AT371" s="1056"/>
      <c r="AU371" s="1056"/>
      <c r="AV371" s="1056"/>
      <c r="AW371" s="1056"/>
    </row>
    <row r="372" spans="24:49" ht="14.15" customHeight="1" x14ac:dyDescent="0.35">
      <c r="X372" s="416"/>
      <c r="Y372" s="416"/>
      <c r="Z372" s="422"/>
      <c r="AA372" s="422"/>
      <c r="AB372" s="422"/>
      <c r="AC372" s="1076"/>
      <c r="AD372" s="1076"/>
      <c r="AE372" s="1076"/>
      <c r="AF372" s="1076"/>
      <c r="AG372" s="1068"/>
      <c r="AH372" s="1068"/>
      <c r="AI372" s="1068"/>
      <c r="AJ372" s="1070"/>
      <c r="AK372" s="1071"/>
      <c r="AM372" s="1072"/>
      <c r="AP372" s="1056"/>
      <c r="AQ372" s="1056"/>
      <c r="AS372" s="1056"/>
      <c r="AT372" s="1056"/>
      <c r="AU372" s="1056"/>
      <c r="AV372" s="1056"/>
      <c r="AW372" s="1056"/>
    </row>
    <row r="373" spans="24:49" ht="14.15" customHeight="1" x14ac:dyDescent="0.35">
      <c r="X373" s="416"/>
      <c r="Y373" s="416"/>
      <c r="Z373" s="422"/>
      <c r="AA373" s="422"/>
      <c r="AB373" s="422"/>
      <c r="AC373" s="1076"/>
      <c r="AD373" s="1076"/>
      <c r="AE373" s="1076"/>
      <c r="AF373" s="1076"/>
      <c r="AG373" s="1068"/>
      <c r="AH373" s="1068"/>
      <c r="AI373" s="1077"/>
      <c r="AJ373" s="1070"/>
      <c r="AK373" s="1071"/>
      <c r="AM373" s="1072"/>
      <c r="AP373" s="1056"/>
      <c r="AQ373" s="1056"/>
      <c r="AS373" s="1056"/>
      <c r="AT373" s="1056"/>
      <c r="AU373" s="1056"/>
      <c r="AV373" s="1056"/>
      <c r="AW373" s="1056"/>
    </row>
    <row r="374" spans="24:49" ht="14.15" customHeight="1" x14ac:dyDescent="0.35">
      <c r="X374" s="416"/>
      <c r="Y374" s="416"/>
      <c r="Z374" s="422"/>
      <c r="AA374" s="422"/>
      <c r="AB374" s="422"/>
      <c r="AC374" s="1076"/>
      <c r="AD374" s="1076"/>
      <c r="AE374" s="1076"/>
      <c r="AF374" s="1076"/>
      <c r="AG374" s="1076"/>
      <c r="AH374" s="1068"/>
      <c r="AI374" s="1068"/>
      <c r="AJ374" s="1070"/>
      <c r="AK374" s="1071"/>
      <c r="AM374" s="1072"/>
      <c r="AP374" s="1058"/>
      <c r="AQ374" s="1057"/>
      <c r="AS374" s="1059"/>
      <c r="AT374" s="1058"/>
      <c r="AU374" s="1058"/>
      <c r="AV374" s="1058"/>
      <c r="AW374" s="1057"/>
    </row>
    <row r="375" spans="24:49" ht="14.15" customHeight="1" x14ac:dyDescent="0.35">
      <c r="X375" s="416"/>
      <c r="Y375" s="416"/>
      <c r="Z375" s="422"/>
      <c r="AA375" s="422"/>
      <c r="AB375" s="422"/>
      <c r="AC375" s="1076"/>
      <c r="AD375" s="1076"/>
      <c r="AE375" s="1076"/>
      <c r="AF375" s="1076"/>
      <c r="AG375" s="1068"/>
      <c r="AH375" s="1068"/>
      <c r="AI375" s="1077"/>
      <c r="AJ375" s="1070"/>
      <c r="AK375" s="1071"/>
      <c r="AM375" s="1072"/>
      <c r="AP375" s="1056"/>
      <c r="AQ375" s="1056"/>
      <c r="AS375" s="1056"/>
      <c r="AT375" s="1056"/>
      <c r="AU375" s="1056"/>
      <c r="AV375" s="1056"/>
      <c r="AW375" s="1056"/>
    </row>
    <row r="376" spans="24:49" ht="14.15" customHeight="1" x14ac:dyDescent="0.35">
      <c r="X376" s="416"/>
      <c r="Y376" s="416"/>
      <c r="Z376" s="422"/>
      <c r="AA376" s="422"/>
      <c r="AB376" s="422"/>
      <c r="AC376" s="1068"/>
      <c r="AD376" s="1068"/>
      <c r="AE376" s="1073"/>
      <c r="AF376" s="1073"/>
      <c r="AG376" s="1069"/>
      <c r="AH376" s="1068"/>
      <c r="AI376" s="1068"/>
      <c r="AJ376" s="1070"/>
      <c r="AK376" s="1071"/>
      <c r="AM376" s="1072"/>
      <c r="AP376" s="1056"/>
      <c r="AQ376" s="1056"/>
      <c r="AS376" s="1056"/>
      <c r="AT376" s="1056"/>
      <c r="AU376" s="1056"/>
      <c r="AV376" s="1056"/>
      <c r="AW376" s="1056"/>
    </row>
    <row r="377" spans="24:49" ht="14.15" customHeight="1" x14ac:dyDescent="0.35">
      <c r="X377" s="416"/>
      <c r="Y377" s="416"/>
      <c r="Z377" s="422"/>
      <c r="AA377" s="422"/>
      <c r="AB377" s="422"/>
      <c r="AC377" s="1068"/>
      <c r="AD377" s="1068"/>
      <c r="AE377" s="1073"/>
      <c r="AF377" s="1073"/>
      <c r="AG377" s="1068"/>
      <c r="AH377" s="1068"/>
      <c r="AI377" s="1068"/>
      <c r="AJ377" s="1070"/>
      <c r="AK377" s="1071"/>
      <c r="AM377" s="1072"/>
      <c r="AP377" s="1056"/>
      <c r="AQ377" s="1056"/>
      <c r="AS377" s="1056"/>
      <c r="AT377" s="1056"/>
      <c r="AU377" s="1056"/>
      <c r="AV377" s="1056"/>
      <c r="AW377" s="1056"/>
    </row>
    <row r="378" spans="24:49" ht="14.15" customHeight="1" x14ac:dyDescent="0.35">
      <c r="X378" s="416"/>
      <c r="Y378" s="416"/>
      <c r="Z378" s="422"/>
      <c r="AA378" s="422"/>
      <c r="AB378" s="422"/>
      <c r="AC378" s="1069"/>
      <c r="AD378" s="1069"/>
      <c r="AE378" s="1074"/>
      <c r="AF378" s="1074"/>
      <c r="AG378" s="1069"/>
      <c r="AH378" s="1068"/>
      <c r="AI378" s="1068"/>
      <c r="AJ378" s="1070"/>
      <c r="AK378" s="1071"/>
      <c r="AM378" s="1072"/>
      <c r="AP378" s="1056"/>
      <c r="AQ378" s="1056"/>
      <c r="AS378" s="1056"/>
      <c r="AT378" s="1056"/>
      <c r="AU378" s="1056"/>
      <c r="AV378" s="1056"/>
      <c r="AW378" s="1056"/>
    </row>
    <row r="379" spans="24:49" ht="14.15" customHeight="1" x14ac:dyDescent="0.35">
      <c r="X379" s="416"/>
      <c r="Y379" s="416"/>
      <c r="Z379" s="422"/>
      <c r="AA379" s="422"/>
      <c r="AB379" s="422"/>
      <c r="AC379" s="1069"/>
      <c r="AD379" s="1069"/>
      <c r="AE379" s="1074"/>
      <c r="AF379" s="1074"/>
      <c r="AG379" s="1069"/>
      <c r="AH379" s="1068"/>
      <c r="AI379" s="1068"/>
      <c r="AJ379" s="1070"/>
      <c r="AK379" s="1071"/>
      <c r="AM379" s="1072"/>
      <c r="AP379" s="1056"/>
      <c r="AQ379" s="1056"/>
      <c r="AS379" s="1056"/>
      <c r="AT379" s="1056"/>
      <c r="AU379" s="1056"/>
      <c r="AV379" s="1056"/>
      <c r="AW379" s="1056"/>
    </row>
    <row r="380" spans="24:49" ht="14.15" customHeight="1" x14ac:dyDescent="0.35">
      <c r="X380" s="416"/>
      <c r="Y380" s="416"/>
      <c r="Z380" s="422"/>
      <c r="AA380" s="422"/>
      <c r="AB380" s="422"/>
      <c r="AC380" s="1068"/>
      <c r="AD380" s="1068"/>
      <c r="AE380" s="1073"/>
      <c r="AF380" s="1073"/>
      <c r="AG380" s="1068"/>
      <c r="AH380" s="1068"/>
      <c r="AI380" s="1080"/>
      <c r="AJ380" s="1070"/>
      <c r="AK380" s="1071"/>
      <c r="AM380" s="1072"/>
      <c r="AP380" s="1056"/>
      <c r="AQ380" s="1056"/>
      <c r="AS380" s="1056"/>
      <c r="AT380" s="1056"/>
      <c r="AU380" s="1056"/>
      <c r="AV380" s="1056"/>
      <c r="AW380" s="1056"/>
    </row>
    <row r="381" spans="24:49" ht="14.15" customHeight="1" x14ac:dyDescent="0.35">
      <c r="X381" s="416"/>
      <c r="Y381" s="416"/>
      <c r="Z381" s="422"/>
      <c r="AA381" s="422"/>
      <c r="AB381" s="422"/>
      <c r="AC381" s="1076"/>
      <c r="AD381" s="1076"/>
      <c r="AE381" s="1076"/>
      <c r="AF381" s="1076"/>
      <c r="AG381" s="1068"/>
      <c r="AH381" s="1068"/>
      <c r="AI381" s="1075"/>
      <c r="AJ381" s="1070"/>
      <c r="AK381" s="1071"/>
      <c r="AM381" s="1072"/>
      <c r="AP381" s="1056"/>
      <c r="AQ381" s="1056"/>
      <c r="AS381" s="1056"/>
      <c r="AT381" s="1056"/>
      <c r="AU381" s="1056"/>
      <c r="AV381" s="1056"/>
      <c r="AW381" s="1056"/>
    </row>
    <row r="382" spans="24:49" ht="14.15" customHeight="1" x14ac:dyDescent="0.35">
      <c r="X382" s="416"/>
      <c r="Y382" s="416"/>
      <c r="Z382" s="422"/>
      <c r="AA382" s="422"/>
      <c r="AB382" s="422"/>
      <c r="AC382" s="1068"/>
      <c r="AD382" s="1068"/>
      <c r="AE382" s="1073"/>
      <c r="AF382" s="1073"/>
      <c r="AG382" s="1068"/>
      <c r="AH382" s="1068"/>
      <c r="AI382" s="1068"/>
      <c r="AJ382" s="1070"/>
      <c r="AK382" s="1071"/>
      <c r="AM382" s="1072"/>
      <c r="AP382" s="1056"/>
      <c r="AQ382" s="1056"/>
      <c r="AS382" s="1056"/>
      <c r="AT382" s="1056"/>
      <c r="AU382" s="1056"/>
      <c r="AV382" s="1056"/>
      <c r="AW382" s="1056"/>
    </row>
    <row r="383" spans="24:49" ht="14.15" customHeight="1" x14ac:dyDescent="0.35">
      <c r="X383" s="416"/>
      <c r="Y383" s="416"/>
      <c r="Z383" s="422"/>
      <c r="AA383" s="422"/>
      <c r="AB383" s="422"/>
      <c r="AC383" s="1068"/>
      <c r="AD383" s="1068"/>
      <c r="AE383" s="1073"/>
      <c r="AF383" s="1073"/>
      <c r="AG383" s="1068"/>
      <c r="AH383" s="1068"/>
      <c r="AI383" s="1068"/>
      <c r="AJ383" s="1070"/>
      <c r="AK383" s="1071"/>
      <c r="AM383" s="1072"/>
      <c r="AP383" s="1056"/>
      <c r="AQ383" s="1056"/>
      <c r="AS383" s="1056"/>
      <c r="AT383" s="1056"/>
      <c r="AU383" s="1056"/>
      <c r="AV383" s="1056"/>
      <c r="AW383" s="1056"/>
    </row>
    <row r="384" spans="24:49" ht="14.15" customHeight="1" x14ac:dyDescent="0.35">
      <c r="X384" s="416"/>
      <c r="Y384" s="416"/>
      <c r="Z384" s="422"/>
      <c r="AA384" s="422"/>
      <c r="AB384" s="422"/>
      <c r="AC384" s="1076"/>
      <c r="AD384" s="1076"/>
      <c r="AE384" s="1076"/>
      <c r="AF384" s="1076"/>
      <c r="AG384" s="1068"/>
      <c r="AH384" s="1068"/>
      <c r="AI384" s="1078"/>
      <c r="AJ384" s="1070"/>
      <c r="AK384" s="1071"/>
      <c r="AM384" s="1072"/>
      <c r="AP384" s="1056"/>
      <c r="AQ384" s="1056"/>
      <c r="AS384" s="1056"/>
      <c r="AT384" s="1056"/>
      <c r="AU384" s="1056"/>
      <c r="AV384" s="1056"/>
      <c r="AW384" s="1056"/>
    </row>
    <row r="385" spans="24:49" ht="14.15" customHeight="1" x14ac:dyDescent="0.35">
      <c r="X385" s="416"/>
      <c r="Y385" s="416"/>
      <c r="Z385" s="422"/>
      <c r="AA385" s="422"/>
      <c r="AB385" s="422"/>
      <c r="AC385" s="1068"/>
      <c r="AD385" s="1068"/>
      <c r="AE385" s="1073"/>
      <c r="AF385" s="1073"/>
      <c r="AG385" s="1068"/>
      <c r="AH385" s="1068"/>
      <c r="AI385" s="1068"/>
      <c r="AJ385" s="1070"/>
      <c r="AK385" s="1071"/>
      <c r="AM385" s="1072"/>
      <c r="AP385" s="1056"/>
      <c r="AQ385" s="1056"/>
      <c r="AS385" s="1056"/>
      <c r="AT385" s="1056"/>
      <c r="AU385" s="1056"/>
      <c r="AV385" s="1056"/>
      <c r="AW385" s="1056"/>
    </row>
    <row r="386" spans="24:49" ht="14.15" customHeight="1" x14ac:dyDescent="0.35">
      <c r="X386" s="416"/>
      <c r="Y386" s="416"/>
      <c r="Z386" s="422"/>
      <c r="AA386" s="422"/>
      <c r="AB386" s="422"/>
      <c r="AC386" s="1068"/>
      <c r="AD386" s="1068"/>
      <c r="AE386" s="1073"/>
      <c r="AF386" s="1073"/>
      <c r="AG386" s="1068"/>
      <c r="AH386" s="1068"/>
      <c r="AI386" s="1068"/>
      <c r="AJ386" s="1070"/>
      <c r="AK386" s="1071"/>
      <c r="AM386" s="1072"/>
      <c r="AP386" s="1056"/>
      <c r="AQ386" s="1056"/>
      <c r="AS386" s="1056"/>
      <c r="AT386" s="1056"/>
      <c r="AU386" s="1056"/>
      <c r="AV386" s="1056"/>
      <c r="AW386" s="1056"/>
    </row>
    <row r="387" spans="24:49" ht="14.15" customHeight="1" x14ac:dyDescent="0.35">
      <c r="X387" s="416"/>
      <c r="Y387" s="416"/>
      <c r="Z387" s="422"/>
      <c r="AA387" s="422"/>
      <c r="AB387" s="422"/>
      <c r="AC387" s="1068"/>
      <c r="AD387" s="1068"/>
      <c r="AE387" s="1073"/>
      <c r="AF387" s="1073"/>
      <c r="AG387" s="1068"/>
      <c r="AH387" s="1068"/>
      <c r="AI387" s="1068"/>
      <c r="AJ387" s="1070"/>
      <c r="AK387" s="1071"/>
      <c r="AM387" s="1072"/>
      <c r="AP387" s="1056"/>
      <c r="AQ387" s="1056"/>
      <c r="AS387" s="1056"/>
      <c r="AT387" s="1056"/>
      <c r="AU387" s="1056"/>
      <c r="AV387" s="1056"/>
      <c r="AW387" s="1056"/>
    </row>
    <row r="388" spans="24:49" ht="14.15" customHeight="1" x14ac:dyDescent="0.35">
      <c r="X388" s="416"/>
      <c r="Y388" s="416"/>
      <c r="Z388" s="422"/>
      <c r="AA388" s="422"/>
      <c r="AB388" s="422"/>
      <c r="AC388" s="1069"/>
      <c r="AD388" s="1069"/>
      <c r="AE388" s="1074"/>
      <c r="AF388" s="1074"/>
      <c r="AG388" s="1069"/>
      <c r="AH388" s="1069"/>
      <c r="AI388" s="1077"/>
      <c r="AJ388" s="1070"/>
      <c r="AK388" s="1071"/>
      <c r="AM388" s="1072"/>
      <c r="AP388" s="1056"/>
      <c r="AQ388" s="1056"/>
      <c r="AS388" s="1056"/>
      <c r="AT388" s="1056"/>
      <c r="AU388" s="1056"/>
      <c r="AV388" s="1056"/>
      <c r="AW388" s="1056"/>
    </row>
    <row r="389" spans="24:49" ht="14.15" customHeight="1" x14ac:dyDescent="0.35">
      <c r="X389" s="416"/>
      <c r="Y389" s="416"/>
      <c r="Z389" s="422"/>
      <c r="AA389" s="422"/>
      <c r="AB389" s="422"/>
      <c r="AC389" s="1069"/>
      <c r="AD389" s="1069"/>
      <c r="AE389" s="471"/>
      <c r="AF389" s="471"/>
      <c r="AG389" s="1068"/>
      <c r="AH389" s="1068"/>
      <c r="AI389" s="1077"/>
      <c r="AJ389" s="1070"/>
      <c r="AK389" s="1071"/>
      <c r="AM389" s="1072"/>
      <c r="AP389" s="1056"/>
      <c r="AQ389" s="1056"/>
      <c r="AS389" s="1056"/>
      <c r="AT389" s="1056"/>
      <c r="AU389" s="1056"/>
      <c r="AV389" s="1056"/>
      <c r="AW389" s="1056"/>
    </row>
    <row r="390" spans="24:49" ht="14.15" customHeight="1" x14ac:dyDescent="0.35">
      <c r="X390" s="416"/>
      <c r="Y390" s="416"/>
      <c r="Z390" s="422"/>
      <c r="AA390" s="422"/>
      <c r="AB390" s="422"/>
      <c r="AC390" s="1079"/>
      <c r="AD390" s="1079"/>
      <c r="AE390" s="1073"/>
      <c r="AF390" s="1073"/>
      <c r="AG390" s="1068"/>
      <c r="AH390" s="1068"/>
      <c r="AI390" s="1068"/>
      <c r="AJ390" s="1070"/>
      <c r="AK390" s="1071"/>
      <c r="AM390" s="1072"/>
      <c r="AP390" s="1056"/>
      <c r="AQ390" s="1056"/>
      <c r="AS390" s="1056"/>
      <c r="AT390" s="1056"/>
      <c r="AU390" s="1056"/>
      <c r="AV390" s="1056"/>
      <c r="AW390" s="1056"/>
    </row>
    <row r="391" spans="24:49" ht="14.15" customHeight="1" x14ac:dyDescent="0.35">
      <c r="X391" s="416"/>
      <c r="Y391" s="416"/>
      <c r="Z391" s="422"/>
      <c r="AA391" s="422"/>
      <c r="AB391" s="422"/>
      <c r="AC391" s="1076"/>
      <c r="AD391" s="1076"/>
      <c r="AE391" s="1076"/>
      <c r="AF391" s="1076"/>
      <c r="AG391" s="1076"/>
      <c r="AH391" s="1068"/>
      <c r="AI391" s="1068"/>
      <c r="AJ391" s="1070"/>
      <c r="AK391" s="1071"/>
      <c r="AM391" s="1072"/>
      <c r="AP391" s="1058"/>
      <c r="AQ391" s="1057"/>
      <c r="AS391" s="1059"/>
      <c r="AT391" s="1058"/>
      <c r="AU391" s="1058"/>
      <c r="AV391" s="1058"/>
      <c r="AW391" s="1057"/>
    </row>
    <row r="392" spans="24:49" ht="14.15" customHeight="1" x14ac:dyDescent="0.35">
      <c r="X392" s="416"/>
      <c r="Y392" s="416"/>
      <c r="Z392" s="422"/>
      <c r="AA392" s="422"/>
      <c r="AB392" s="422"/>
      <c r="AC392" s="1068"/>
      <c r="AD392" s="1068"/>
      <c r="AE392" s="1073"/>
      <c r="AF392" s="1073"/>
      <c r="AG392" s="1068"/>
      <c r="AH392" s="1068"/>
      <c r="AI392" s="1068"/>
      <c r="AJ392" s="1070"/>
      <c r="AK392" s="1071"/>
      <c r="AM392" s="1072"/>
      <c r="AP392" s="1056"/>
      <c r="AQ392" s="1056"/>
      <c r="AS392" s="1056"/>
      <c r="AT392" s="1056"/>
      <c r="AU392" s="1056"/>
      <c r="AV392" s="1056"/>
      <c r="AW392" s="1056"/>
    </row>
    <row r="393" spans="24:49" ht="14.15" customHeight="1" x14ac:dyDescent="0.35">
      <c r="X393" s="416"/>
      <c r="Y393" s="416"/>
      <c r="Z393" s="422"/>
      <c r="AA393" s="422"/>
      <c r="AB393" s="422"/>
      <c r="AC393" s="1071"/>
      <c r="AD393" s="1071"/>
      <c r="AE393" s="1074"/>
      <c r="AF393" s="1074"/>
      <c r="AG393" s="1069"/>
      <c r="AH393" s="1069"/>
      <c r="AI393" s="1069"/>
      <c r="AJ393" s="1070"/>
      <c r="AK393" s="1071"/>
      <c r="AM393" s="1072"/>
      <c r="AP393" s="1056"/>
      <c r="AQ393" s="1056"/>
      <c r="AS393" s="1056"/>
      <c r="AT393" s="1056"/>
      <c r="AU393" s="1056"/>
      <c r="AV393" s="1056"/>
      <c r="AW393" s="1056"/>
    </row>
    <row r="394" spans="24:49" ht="14.15" customHeight="1" x14ac:dyDescent="0.35">
      <c r="X394" s="416"/>
      <c r="Y394" s="416"/>
      <c r="Z394" s="422"/>
      <c r="AA394" s="422"/>
      <c r="AB394" s="422"/>
      <c r="AC394" s="1076"/>
      <c r="AD394" s="1076"/>
      <c r="AE394" s="1073"/>
      <c r="AF394" s="1073"/>
      <c r="AG394" s="1068"/>
      <c r="AH394" s="1068"/>
      <c r="AI394" s="1080"/>
      <c r="AJ394" s="1070"/>
      <c r="AK394" s="1071"/>
      <c r="AM394" s="1072"/>
      <c r="AP394" s="1056"/>
      <c r="AQ394" s="1056"/>
      <c r="AS394" s="1056"/>
      <c r="AT394" s="1056"/>
      <c r="AU394" s="1056"/>
      <c r="AV394" s="1056"/>
      <c r="AW394" s="1056"/>
    </row>
    <row r="395" spans="24:49" ht="14.15" customHeight="1" x14ac:dyDescent="0.35">
      <c r="X395" s="416"/>
      <c r="Y395" s="416"/>
      <c r="Z395" s="422"/>
      <c r="AA395" s="422"/>
      <c r="AB395" s="422"/>
      <c r="AC395" s="1068"/>
      <c r="AD395" s="1068"/>
      <c r="AE395" s="1073"/>
      <c r="AF395" s="1073"/>
      <c r="AG395" s="1068"/>
      <c r="AH395" s="1068"/>
      <c r="AI395" s="1068"/>
      <c r="AJ395" s="1070"/>
      <c r="AK395" s="1071"/>
      <c r="AM395" s="1072"/>
      <c r="AP395" s="1056"/>
      <c r="AQ395" s="1056"/>
      <c r="AS395" s="1056"/>
      <c r="AT395" s="1056"/>
      <c r="AU395" s="1056"/>
      <c r="AV395" s="1056"/>
      <c r="AW395" s="1056"/>
    </row>
    <row r="396" spans="24:49" ht="14.15" customHeight="1" x14ac:dyDescent="0.35">
      <c r="X396" s="416"/>
      <c r="Y396" s="416"/>
      <c r="Z396" s="422"/>
      <c r="AA396" s="422"/>
      <c r="AB396" s="422"/>
      <c r="AC396" s="1068"/>
      <c r="AD396" s="1068"/>
      <c r="AE396" s="1073"/>
      <c r="AF396" s="1073"/>
      <c r="AG396" s="1068"/>
      <c r="AH396" s="1068"/>
      <c r="AI396" s="1069"/>
      <c r="AJ396" s="1070"/>
      <c r="AK396" s="1071"/>
      <c r="AM396" s="1072"/>
      <c r="AP396" s="1056"/>
      <c r="AQ396" s="1056"/>
      <c r="AS396" s="1056"/>
      <c r="AT396" s="1056"/>
      <c r="AU396" s="1056"/>
      <c r="AV396" s="1056"/>
      <c r="AW396" s="1056"/>
    </row>
    <row r="397" spans="24:49" ht="14.15" customHeight="1" x14ac:dyDescent="0.35">
      <c r="X397" s="416"/>
      <c r="Y397" s="416"/>
      <c r="Z397" s="422"/>
      <c r="AA397" s="422"/>
      <c r="AB397" s="422"/>
      <c r="AC397" s="1071"/>
      <c r="AD397" s="1071"/>
      <c r="AE397" s="1074"/>
      <c r="AF397" s="1074"/>
      <c r="AG397" s="1069"/>
      <c r="AH397" s="1068"/>
      <c r="AI397" s="1068"/>
      <c r="AJ397" s="1070"/>
      <c r="AK397" s="1071"/>
      <c r="AM397" s="1072"/>
      <c r="AP397" s="1056"/>
      <c r="AQ397" s="1056"/>
      <c r="AS397" s="1056"/>
      <c r="AT397" s="1056"/>
      <c r="AU397" s="1056"/>
      <c r="AV397" s="1056"/>
      <c r="AW397" s="1056"/>
    </row>
    <row r="398" spans="24:49" ht="14.15" customHeight="1" x14ac:dyDescent="0.35">
      <c r="X398" s="416"/>
      <c r="Y398" s="416"/>
      <c r="Z398" s="422"/>
      <c r="AA398" s="422"/>
      <c r="AB398" s="422"/>
      <c r="AC398" s="1076"/>
      <c r="AD398" s="1076"/>
      <c r="AE398" s="1076"/>
      <c r="AF398" s="1076"/>
      <c r="AG398" s="1069"/>
      <c r="AH398" s="1069"/>
      <c r="AI398" s="1080"/>
      <c r="AJ398" s="1070"/>
      <c r="AK398" s="1071"/>
      <c r="AM398" s="1072"/>
      <c r="AP398" s="1056"/>
      <c r="AQ398" s="1056"/>
      <c r="AS398" s="1056"/>
      <c r="AT398" s="1056"/>
      <c r="AU398" s="1056"/>
      <c r="AV398" s="1056"/>
      <c r="AW398" s="1056"/>
    </row>
    <row r="399" spans="24:49" ht="14.15" customHeight="1" x14ac:dyDescent="0.35">
      <c r="X399" s="416"/>
      <c r="Y399" s="416"/>
      <c r="Z399" s="422"/>
      <c r="AA399" s="422"/>
      <c r="AB399" s="422"/>
      <c r="AC399" s="1068"/>
      <c r="AD399" s="1068"/>
      <c r="AE399" s="1073"/>
      <c r="AF399" s="1073"/>
      <c r="AG399" s="1069"/>
      <c r="AH399" s="1068"/>
      <c r="AI399" s="1068"/>
      <c r="AJ399" s="1070"/>
      <c r="AK399" s="1071"/>
      <c r="AM399" s="1072"/>
      <c r="AP399" s="1056"/>
      <c r="AQ399" s="1056"/>
      <c r="AS399" s="1056"/>
      <c r="AT399" s="1056"/>
      <c r="AU399" s="1056"/>
      <c r="AV399" s="1056"/>
      <c r="AW399" s="1056"/>
    </row>
    <row r="400" spans="24:49" ht="14.15" customHeight="1" x14ac:dyDescent="0.35">
      <c r="X400" s="416"/>
      <c r="Y400" s="416"/>
      <c r="Z400" s="422"/>
      <c r="AA400" s="422"/>
      <c r="AB400" s="422"/>
      <c r="AC400" s="1076"/>
      <c r="AD400" s="1076"/>
      <c r="AE400" s="1076"/>
      <c r="AF400" s="1076"/>
      <c r="AG400" s="1076"/>
      <c r="AH400" s="1069"/>
      <c r="AI400" s="1068"/>
      <c r="AJ400" s="1070"/>
      <c r="AK400" s="1071"/>
      <c r="AM400" s="1072"/>
      <c r="AP400" s="1060"/>
      <c r="AQ400" s="1061"/>
      <c r="AS400" s="1082"/>
      <c r="AT400" s="1060"/>
      <c r="AU400" s="1060"/>
      <c r="AV400" s="1060"/>
      <c r="AW400" s="1061"/>
    </row>
    <row r="401" spans="24:49" ht="14.15" customHeight="1" x14ac:dyDescent="0.35">
      <c r="X401" s="416"/>
      <c r="Y401" s="416"/>
      <c r="Z401" s="422"/>
      <c r="AA401" s="422"/>
      <c r="AB401" s="422"/>
      <c r="AC401" s="1076"/>
      <c r="AD401" s="1076"/>
      <c r="AE401" s="1076"/>
      <c r="AF401" s="1076"/>
      <c r="AG401" s="1076"/>
      <c r="AH401" s="1068"/>
      <c r="AI401" s="1080"/>
      <c r="AJ401" s="1070"/>
      <c r="AK401" s="1071"/>
      <c r="AM401" s="1072"/>
      <c r="AP401" s="1058"/>
      <c r="AQ401" s="1057"/>
      <c r="AS401" s="1057"/>
      <c r="AT401" s="1058"/>
      <c r="AU401" s="1058"/>
      <c r="AV401" s="1058"/>
      <c r="AW401" s="1057"/>
    </row>
    <row r="402" spans="24:49" ht="14.15" customHeight="1" x14ac:dyDescent="0.35">
      <c r="X402" s="416"/>
      <c r="Y402" s="416"/>
      <c r="Z402" s="422"/>
      <c r="AA402" s="422"/>
      <c r="AB402" s="422"/>
      <c r="AC402" s="1076"/>
      <c r="AD402" s="1076"/>
      <c r="AE402" s="1076"/>
      <c r="AF402" s="1076"/>
      <c r="AG402" s="1068"/>
      <c r="AH402" s="1068"/>
      <c r="AI402" s="1068"/>
      <c r="AJ402" s="1070"/>
      <c r="AK402" s="1071"/>
      <c r="AM402" s="1072"/>
      <c r="AP402" s="1056"/>
      <c r="AQ402" s="1056"/>
      <c r="AS402" s="1056"/>
      <c r="AT402" s="1056"/>
      <c r="AU402" s="1056"/>
      <c r="AV402" s="1056"/>
      <c r="AW402" s="1056"/>
    </row>
    <row r="403" spans="24:49" ht="14.15" customHeight="1" x14ac:dyDescent="0.35">
      <c r="X403" s="416"/>
      <c r="Y403" s="416"/>
      <c r="Z403" s="422"/>
      <c r="AA403" s="422"/>
      <c r="AB403" s="422"/>
      <c r="AC403" s="1069"/>
      <c r="AD403" s="1069"/>
      <c r="AE403" s="1074"/>
      <c r="AF403" s="1074"/>
      <c r="AG403" s="1069"/>
      <c r="AH403" s="1068"/>
      <c r="AI403" s="1075"/>
      <c r="AJ403" s="1070"/>
      <c r="AK403" s="1071"/>
      <c r="AM403" s="1072"/>
      <c r="AP403" s="1056"/>
      <c r="AQ403" s="1056"/>
      <c r="AS403" s="1056"/>
      <c r="AT403" s="1056"/>
      <c r="AU403" s="1056"/>
      <c r="AV403" s="1056"/>
      <c r="AW403" s="1056"/>
    </row>
    <row r="404" spans="24:49" ht="14.15" customHeight="1" x14ac:dyDescent="0.35">
      <c r="X404" s="416"/>
      <c r="Y404" s="416"/>
      <c r="Z404" s="422"/>
      <c r="AA404" s="422"/>
      <c r="AB404" s="422"/>
      <c r="AC404" s="1068"/>
      <c r="AD404" s="1068"/>
      <c r="AE404" s="1073"/>
      <c r="AF404" s="1073"/>
      <c r="AG404" s="1068"/>
      <c r="AH404" s="1068"/>
      <c r="AI404" s="1080"/>
      <c r="AJ404" s="1070"/>
      <c r="AK404" s="1071"/>
      <c r="AM404" s="1072"/>
      <c r="AP404" s="1056"/>
      <c r="AQ404" s="1056"/>
      <c r="AS404" s="1056"/>
      <c r="AT404" s="1056"/>
      <c r="AU404" s="1056"/>
      <c r="AV404" s="1056"/>
      <c r="AW404" s="1056"/>
    </row>
    <row r="405" spans="24:49" ht="14.15" customHeight="1" x14ac:dyDescent="0.35">
      <c r="X405" s="416"/>
      <c r="Y405" s="416"/>
      <c r="Z405" s="422"/>
      <c r="AA405" s="422"/>
      <c r="AB405" s="422"/>
      <c r="AC405" s="1076"/>
      <c r="AD405" s="1076"/>
      <c r="AE405" s="1076"/>
      <c r="AF405" s="1076"/>
      <c r="AG405" s="1068"/>
      <c r="AH405" s="1068"/>
      <c r="AI405" s="1068"/>
      <c r="AJ405" s="1070"/>
      <c r="AK405" s="1071"/>
      <c r="AM405" s="1072"/>
      <c r="AP405" s="1056"/>
      <c r="AQ405" s="1056"/>
      <c r="AS405" s="1056"/>
      <c r="AT405" s="1056"/>
      <c r="AU405" s="1056"/>
      <c r="AV405" s="1056"/>
      <c r="AW405" s="1056"/>
    </row>
    <row r="406" spans="24:49" ht="14.15" customHeight="1" x14ac:dyDescent="0.35">
      <c r="X406" s="416"/>
      <c r="Y406" s="416"/>
      <c r="Z406" s="422"/>
      <c r="AA406" s="422"/>
      <c r="AB406" s="422"/>
      <c r="AC406" s="1068"/>
      <c r="AD406" s="1068"/>
      <c r="AE406" s="1073"/>
      <c r="AF406" s="1073"/>
      <c r="AG406" s="1068"/>
      <c r="AH406" s="1068"/>
      <c r="AI406" s="1080"/>
      <c r="AJ406" s="1070"/>
      <c r="AK406" s="1071"/>
      <c r="AM406" s="1072"/>
      <c r="AP406" s="1056"/>
      <c r="AQ406" s="1056"/>
      <c r="AS406" s="1056"/>
      <c r="AT406" s="1056"/>
      <c r="AU406" s="1056"/>
      <c r="AV406" s="1056"/>
      <c r="AW406" s="1056"/>
    </row>
    <row r="407" spans="24:49" ht="14.15" customHeight="1" x14ac:dyDescent="0.35">
      <c r="X407" s="416"/>
      <c r="Y407" s="416"/>
      <c r="Z407" s="422"/>
      <c r="AA407" s="422"/>
      <c r="AB407" s="422"/>
      <c r="AC407" s="1076"/>
      <c r="AD407" s="1076"/>
      <c r="AE407" s="1076"/>
      <c r="AF407" s="1076"/>
      <c r="AG407" s="1076"/>
      <c r="AH407" s="1068"/>
      <c r="AI407" s="1068"/>
      <c r="AJ407" s="1070"/>
      <c r="AK407" s="1071"/>
      <c r="AM407" s="1072"/>
      <c r="AP407" s="1058"/>
      <c r="AQ407" s="1057"/>
      <c r="AS407" s="1059"/>
      <c r="AT407" s="1058"/>
      <c r="AU407" s="1058"/>
      <c r="AV407" s="1058"/>
      <c r="AW407" s="1057"/>
    </row>
    <row r="408" spans="24:49" ht="14.15" customHeight="1" x14ac:dyDescent="0.35">
      <c r="X408" s="416"/>
      <c r="Y408" s="416"/>
      <c r="Z408" s="422"/>
      <c r="AA408" s="422"/>
      <c r="AB408" s="422"/>
      <c r="AC408" s="1069"/>
      <c r="AD408" s="1069"/>
      <c r="AE408" s="1074"/>
      <c r="AF408" s="1074"/>
      <c r="AG408" s="1069"/>
      <c r="AH408" s="1068"/>
      <c r="AI408" s="1068"/>
      <c r="AJ408" s="1070"/>
      <c r="AK408" s="1071"/>
      <c r="AM408" s="1072"/>
      <c r="AP408" s="1056"/>
      <c r="AQ408" s="1056"/>
      <c r="AS408" s="1056"/>
      <c r="AT408" s="1056"/>
      <c r="AU408" s="1056"/>
      <c r="AV408" s="1056"/>
      <c r="AW408" s="1056"/>
    </row>
    <row r="409" spans="24:49" ht="14.15" customHeight="1" x14ac:dyDescent="0.35">
      <c r="X409" s="416"/>
      <c r="Y409" s="416"/>
      <c r="Z409" s="422"/>
      <c r="AA409" s="422"/>
      <c r="AB409" s="422"/>
      <c r="AC409" s="1068"/>
      <c r="AD409" s="1068"/>
      <c r="AE409" s="1073"/>
      <c r="AF409" s="1073"/>
      <c r="AG409" s="1068"/>
      <c r="AH409" s="1068"/>
      <c r="AI409" s="1080"/>
      <c r="AJ409" s="1070"/>
      <c r="AK409" s="1071"/>
      <c r="AM409" s="1072"/>
      <c r="AP409" s="1056"/>
      <c r="AQ409" s="1056"/>
      <c r="AS409" s="1056"/>
      <c r="AT409" s="1056"/>
      <c r="AU409" s="1056"/>
      <c r="AV409" s="1056"/>
      <c r="AW409" s="1056"/>
    </row>
    <row r="410" spans="24:49" ht="14.15" customHeight="1" x14ac:dyDescent="0.35">
      <c r="X410" s="416"/>
      <c r="Y410" s="416"/>
      <c r="Z410" s="422"/>
      <c r="AA410" s="422"/>
      <c r="AB410" s="422"/>
      <c r="AC410" s="1076"/>
      <c r="AD410" s="1076"/>
      <c r="AE410" s="1076"/>
      <c r="AF410" s="1076"/>
      <c r="AG410" s="1068"/>
      <c r="AH410" s="1068"/>
      <c r="AI410" s="1080"/>
      <c r="AJ410" s="1070"/>
      <c r="AK410" s="1071"/>
      <c r="AM410" s="1072"/>
      <c r="AP410" s="1056"/>
      <c r="AQ410" s="1056"/>
      <c r="AS410" s="1056"/>
      <c r="AT410" s="1056"/>
      <c r="AU410" s="1056"/>
      <c r="AV410" s="1056"/>
      <c r="AW410" s="1056"/>
    </row>
    <row r="411" spans="24:49" ht="14.15" customHeight="1" x14ac:dyDescent="0.35">
      <c r="X411" s="416"/>
      <c r="Y411" s="416"/>
      <c r="Z411" s="422"/>
      <c r="AA411" s="422"/>
      <c r="AB411" s="422"/>
      <c r="AC411" s="1076"/>
      <c r="AD411" s="1076"/>
      <c r="AE411" s="1076"/>
      <c r="AF411" s="1076"/>
      <c r="AG411" s="1076"/>
      <c r="AH411" s="1069"/>
      <c r="AI411" s="1080"/>
      <c r="AJ411" s="1070"/>
      <c r="AK411" s="1071"/>
      <c r="AM411" s="1072"/>
      <c r="AP411" s="1060"/>
      <c r="AQ411" s="1061"/>
      <c r="AS411" s="1082"/>
      <c r="AT411" s="1060"/>
      <c r="AU411" s="1060"/>
      <c r="AV411" s="1060"/>
      <c r="AW411" s="1061"/>
    </row>
    <row r="412" spans="24:49" ht="14.15" customHeight="1" x14ac:dyDescent="0.35">
      <c r="X412" s="416"/>
      <c r="Y412" s="416"/>
      <c r="Z412" s="422"/>
      <c r="AA412" s="422"/>
      <c r="AB412" s="422"/>
      <c r="AC412" s="1076"/>
      <c r="AD412" s="1076"/>
      <c r="AE412" s="1076"/>
      <c r="AF412" s="1076"/>
      <c r="AG412" s="1068"/>
      <c r="AH412" s="1068"/>
      <c r="AI412" s="1078"/>
      <c r="AJ412" s="1070"/>
      <c r="AK412" s="1071"/>
      <c r="AM412" s="1072"/>
      <c r="AP412" s="1056"/>
      <c r="AQ412" s="1056"/>
      <c r="AS412" s="1056"/>
      <c r="AT412" s="1056"/>
      <c r="AU412" s="1056"/>
      <c r="AV412" s="1056"/>
      <c r="AW412" s="1056"/>
    </row>
    <row r="413" spans="24:49" ht="14.15" customHeight="1" x14ac:dyDescent="0.35">
      <c r="X413" s="416"/>
      <c r="Y413" s="416"/>
      <c r="Z413" s="422"/>
      <c r="AA413" s="422"/>
      <c r="AB413" s="422"/>
      <c r="AC413" s="1068"/>
      <c r="AD413" s="1068"/>
      <c r="AE413" s="1073"/>
      <c r="AF413" s="1073"/>
      <c r="AG413" s="1068"/>
      <c r="AH413" s="1068"/>
      <c r="AI413" s="1069"/>
      <c r="AJ413" s="1070"/>
      <c r="AK413" s="1071"/>
      <c r="AM413" s="1072"/>
      <c r="AP413" s="1056"/>
      <c r="AQ413" s="1056"/>
      <c r="AS413" s="1056"/>
      <c r="AT413" s="1056"/>
      <c r="AU413" s="1056"/>
      <c r="AV413" s="1056"/>
      <c r="AW413" s="1056"/>
    </row>
    <row r="414" spans="24:49" ht="14.15" customHeight="1" x14ac:dyDescent="0.35">
      <c r="X414" s="416"/>
      <c r="Y414" s="416"/>
      <c r="Z414" s="422"/>
      <c r="AA414" s="422"/>
      <c r="AB414" s="422"/>
      <c r="AC414" s="1068"/>
      <c r="AD414" s="1068"/>
      <c r="AE414" s="1073"/>
      <c r="AF414" s="1073"/>
      <c r="AG414" s="1068"/>
      <c r="AH414" s="1068"/>
      <c r="AI414" s="1068"/>
      <c r="AJ414" s="1070"/>
      <c r="AK414" s="1071"/>
      <c r="AM414" s="1072"/>
      <c r="AP414" s="1056"/>
      <c r="AQ414" s="1056"/>
      <c r="AS414" s="1056"/>
      <c r="AT414" s="1056"/>
      <c r="AU414" s="1056"/>
      <c r="AV414" s="1056"/>
      <c r="AW414" s="1056"/>
    </row>
    <row r="415" spans="24:49" ht="14.15" customHeight="1" x14ac:dyDescent="0.35">
      <c r="X415" s="416"/>
      <c r="Y415" s="416"/>
      <c r="Z415" s="422"/>
      <c r="AA415" s="422"/>
      <c r="AB415" s="422"/>
      <c r="AC415" s="1068"/>
      <c r="AD415" s="1068"/>
      <c r="AE415" s="1073"/>
      <c r="AF415" s="1073"/>
      <c r="AG415" s="1068"/>
      <c r="AH415" s="1068"/>
      <c r="AI415" s="1075"/>
      <c r="AJ415" s="1070"/>
      <c r="AK415" s="1071"/>
      <c r="AM415" s="1072"/>
      <c r="AP415" s="1056"/>
      <c r="AQ415" s="1056"/>
      <c r="AS415" s="1056"/>
      <c r="AT415" s="1056"/>
      <c r="AU415" s="1056"/>
      <c r="AV415" s="1056"/>
      <c r="AW415" s="1056"/>
    </row>
    <row r="416" spans="24:49" ht="14.15" customHeight="1" x14ac:dyDescent="0.35">
      <c r="X416" s="416"/>
      <c r="Y416" s="416"/>
      <c r="Z416" s="422"/>
      <c r="AA416" s="422"/>
      <c r="AB416" s="422"/>
      <c r="AC416" s="1068"/>
      <c r="AD416" s="1068"/>
      <c r="AE416" s="1073"/>
      <c r="AF416" s="1073"/>
      <c r="AG416" s="1068"/>
      <c r="AH416" s="1068"/>
      <c r="AI416" s="1068"/>
      <c r="AJ416" s="1070"/>
      <c r="AK416" s="1071"/>
      <c r="AM416" s="1072"/>
      <c r="AP416" s="1056"/>
      <c r="AQ416" s="1056"/>
      <c r="AS416" s="1056"/>
      <c r="AT416" s="1056"/>
      <c r="AU416" s="1056"/>
      <c r="AV416" s="1056"/>
      <c r="AW416" s="1056"/>
    </row>
    <row r="417" spans="24:49" ht="14.15" customHeight="1" x14ac:dyDescent="0.35">
      <c r="X417" s="416"/>
      <c r="Y417" s="416"/>
      <c r="Z417" s="422"/>
      <c r="AA417" s="422"/>
      <c r="AB417" s="422"/>
      <c r="AC417" s="1068"/>
      <c r="AD417" s="1068"/>
      <c r="AE417" s="1073"/>
      <c r="AF417" s="1073"/>
      <c r="AG417" s="1068"/>
      <c r="AH417" s="1068"/>
      <c r="AI417" s="1068"/>
      <c r="AJ417" s="1070"/>
      <c r="AK417" s="1071"/>
      <c r="AM417" s="1072"/>
      <c r="AP417" s="1056"/>
      <c r="AQ417" s="1056"/>
      <c r="AS417" s="1056"/>
      <c r="AT417" s="1056"/>
      <c r="AU417" s="1056"/>
      <c r="AV417" s="1056"/>
      <c r="AW417" s="1056"/>
    </row>
    <row r="418" spans="24:49" ht="14.15" customHeight="1" x14ac:dyDescent="0.35">
      <c r="X418" s="416"/>
      <c r="Y418" s="416"/>
      <c r="Z418" s="422"/>
      <c r="AA418" s="422"/>
      <c r="AB418" s="422"/>
      <c r="AC418" s="1068"/>
      <c r="AD418" s="1068"/>
      <c r="AE418" s="1073"/>
      <c r="AF418" s="1073"/>
      <c r="AG418" s="1068"/>
      <c r="AH418" s="1068"/>
      <c r="AI418" s="1068"/>
      <c r="AJ418" s="1070"/>
      <c r="AK418" s="1071"/>
      <c r="AM418" s="1072"/>
      <c r="AP418" s="1056"/>
      <c r="AQ418" s="1056"/>
      <c r="AS418" s="1056"/>
      <c r="AT418" s="1056"/>
      <c r="AU418" s="1056"/>
      <c r="AV418" s="1056"/>
      <c r="AW418" s="1056"/>
    </row>
    <row r="419" spans="24:49" ht="14.15" customHeight="1" x14ac:dyDescent="0.35">
      <c r="X419" s="416"/>
      <c r="Y419" s="416"/>
      <c r="Z419" s="422"/>
      <c r="AA419" s="422"/>
      <c r="AB419" s="422"/>
      <c r="AC419" s="1068"/>
      <c r="AD419" s="1068"/>
      <c r="AE419" s="1073"/>
      <c r="AF419" s="1073"/>
      <c r="AG419" s="1068"/>
      <c r="AH419" s="1068"/>
      <c r="AI419" s="1068"/>
      <c r="AJ419" s="1070"/>
      <c r="AK419" s="1071"/>
      <c r="AM419" s="1072"/>
      <c r="AP419" s="1056"/>
      <c r="AQ419" s="1056"/>
      <c r="AS419" s="1056"/>
      <c r="AT419" s="1056"/>
      <c r="AU419" s="1056"/>
      <c r="AV419" s="1056"/>
      <c r="AW419" s="1056"/>
    </row>
    <row r="420" spans="24:49" ht="14.15" customHeight="1" x14ac:dyDescent="0.35">
      <c r="X420" s="416"/>
      <c r="Y420" s="416"/>
      <c r="Z420" s="422"/>
      <c r="AA420" s="422"/>
      <c r="AB420" s="422"/>
      <c r="AC420" s="1068"/>
      <c r="AD420" s="1068"/>
      <c r="AE420" s="1073"/>
      <c r="AF420" s="1073"/>
      <c r="AG420" s="1068"/>
      <c r="AH420" s="1068"/>
      <c r="AI420" s="1080"/>
      <c r="AJ420" s="1070"/>
      <c r="AK420" s="1071"/>
      <c r="AM420" s="1072"/>
      <c r="AP420" s="1056"/>
      <c r="AQ420" s="1056"/>
      <c r="AS420" s="1056"/>
      <c r="AT420" s="1056"/>
      <c r="AU420" s="1056"/>
      <c r="AV420" s="1056"/>
      <c r="AW420" s="1056"/>
    </row>
    <row r="421" spans="24:49" ht="14.15" customHeight="1" x14ac:dyDescent="0.35">
      <c r="X421" s="416"/>
      <c r="Y421" s="416"/>
      <c r="Z421" s="422"/>
      <c r="AA421" s="422"/>
      <c r="AB421" s="422"/>
      <c r="AC421" s="1068"/>
      <c r="AD421" s="1068"/>
      <c r="AE421" s="1073"/>
      <c r="AF421" s="1073"/>
      <c r="AG421" s="1068"/>
      <c r="AH421" s="1068"/>
      <c r="AI421" s="1068"/>
      <c r="AJ421" s="1070"/>
      <c r="AK421" s="1071"/>
      <c r="AM421" s="1072"/>
      <c r="AP421" s="1056"/>
      <c r="AQ421" s="1056"/>
      <c r="AS421" s="1056"/>
      <c r="AT421" s="1056"/>
      <c r="AU421" s="1056"/>
      <c r="AV421" s="1056"/>
      <c r="AW421" s="1056"/>
    </row>
    <row r="422" spans="24:49" ht="14.15" customHeight="1" x14ac:dyDescent="0.35">
      <c r="X422" s="416"/>
      <c r="Y422" s="416"/>
      <c r="Z422" s="422"/>
      <c r="AA422" s="422"/>
      <c r="AB422" s="422"/>
      <c r="AC422" s="1079"/>
      <c r="AD422" s="1079"/>
      <c r="AE422" s="1073"/>
      <c r="AF422" s="1073"/>
      <c r="AG422" s="1068"/>
      <c r="AH422" s="1068"/>
      <c r="AI422" s="1077"/>
      <c r="AJ422" s="1070"/>
      <c r="AK422" s="1071"/>
      <c r="AM422" s="1072"/>
      <c r="AP422" s="1056"/>
      <c r="AQ422" s="1056"/>
      <c r="AS422" s="1056"/>
      <c r="AT422" s="1056"/>
      <c r="AU422" s="1056"/>
      <c r="AV422" s="1056"/>
      <c r="AW422" s="1056"/>
    </row>
    <row r="423" spans="24:49" ht="14.15" customHeight="1" x14ac:dyDescent="0.35">
      <c r="X423" s="416"/>
      <c r="Y423" s="416"/>
      <c r="Z423" s="422"/>
      <c r="AA423" s="422"/>
      <c r="AB423" s="422"/>
      <c r="AC423" s="1068"/>
      <c r="AD423" s="1068"/>
      <c r="AE423" s="1073"/>
      <c r="AF423" s="1073"/>
      <c r="AG423" s="1068"/>
      <c r="AH423" s="1068"/>
      <c r="AI423" s="1068"/>
      <c r="AJ423" s="1070"/>
      <c r="AK423" s="1071"/>
      <c r="AM423" s="1072"/>
      <c r="AP423" s="1056"/>
      <c r="AQ423" s="1056"/>
      <c r="AS423" s="1056"/>
      <c r="AT423" s="1056"/>
      <c r="AU423" s="1056"/>
      <c r="AV423" s="1056"/>
      <c r="AW423" s="1056"/>
    </row>
    <row r="424" spans="24:49" ht="14.15" customHeight="1" x14ac:dyDescent="0.35">
      <c r="X424" s="416"/>
      <c r="Y424" s="416"/>
      <c r="Z424" s="422"/>
      <c r="AA424" s="422"/>
      <c r="AB424" s="422"/>
      <c r="AC424" s="1069"/>
      <c r="AD424" s="1069"/>
      <c r="AE424" s="1074"/>
      <c r="AF424" s="1074"/>
      <c r="AG424" s="1069"/>
      <c r="AH424" s="1068"/>
      <c r="AI424" s="1080"/>
      <c r="AJ424" s="1070"/>
      <c r="AK424" s="1071"/>
      <c r="AM424" s="1072"/>
      <c r="AP424" s="1056"/>
      <c r="AQ424" s="1056"/>
      <c r="AS424" s="1056"/>
      <c r="AT424" s="1056"/>
      <c r="AU424" s="1056"/>
      <c r="AV424" s="1056"/>
      <c r="AW424" s="1056"/>
    </row>
    <row r="425" spans="24:49" ht="14.15" customHeight="1" x14ac:dyDescent="0.35">
      <c r="X425" s="416"/>
      <c r="Y425" s="416"/>
      <c r="Z425" s="422"/>
      <c r="AA425" s="422"/>
      <c r="AB425" s="422"/>
      <c r="AC425" s="1076"/>
      <c r="AD425" s="1076"/>
      <c r="AE425" s="1076"/>
      <c r="AF425" s="1076"/>
      <c r="AG425" s="1068"/>
      <c r="AH425" s="1068"/>
      <c r="AI425" s="1068"/>
      <c r="AJ425" s="1070"/>
      <c r="AK425" s="1071"/>
      <c r="AM425" s="1072"/>
      <c r="AP425" s="1056"/>
      <c r="AQ425" s="1056"/>
      <c r="AS425" s="1056"/>
      <c r="AT425" s="1056"/>
      <c r="AU425" s="1056"/>
      <c r="AV425" s="1056"/>
      <c r="AW425" s="1056"/>
    </row>
    <row r="426" spans="24:49" ht="14.15" customHeight="1" x14ac:dyDescent="0.35">
      <c r="X426" s="416"/>
      <c r="Y426" s="416"/>
      <c r="Z426" s="422"/>
      <c r="AA426" s="422"/>
      <c r="AB426" s="422"/>
      <c r="AC426" s="1068"/>
      <c r="AD426" s="1068"/>
      <c r="AE426" s="1068"/>
      <c r="AF426" s="1068"/>
      <c r="AG426" s="1068"/>
      <c r="AH426" s="1068"/>
      <c r="AI426" s="1068"/>
      <c r="AJ426" s="1070"/>
      <c r="AK426" s="1071"/>
      <c r="AM426" s="1072"/>
      <c r="AP426" s="1056"/>
      <c r="AQ426" s="1056"/>
      <c r="AS426" s="1056"/>
      <c r="AT426" s="1056"/>
      <c r="AU426" s="1056"/>
      <c r="AV426" s="1056"/>
      <c r="AW426" s="1056"/>
    </row>
    <row r="427" spans="24:49" ht="14.15" customHeight="1" x14ac:dyDescent="0.35">
      <c r="X427" s="416"/>
      <c r="Y427" s="416"/>
      <c r="Z427" s="422"/>
      <c r="AA427" s="422"/>
      <c r="AB427" s="422"/>
      <c r="AC427" s="1068"/>
      <c r="AD427" s="1068"/>
      <c r="AE427" s="1073"/>
      <c r="AF427" s="1073"/>
      <c r="AG427" s="1068"/>
      <c r="AH427" s="1068"/>
      <c r="AI427" s="1075"/>
      <c r="AJ427" s="1070"/>
      <c r="AK427" s="1071"/>
      <c r="AM427" s="1072"/>
      <c r="AP427" s="1056"/>
      <c r="AQ427" s="1056"/>
      <c r="AS427" s="1056"/>
      <c r="AT427" s="1056"/>
      <c r="AU427" s="1056"/>
      <c r="AV427" s="1056"/>
      <c r="AW427" s="1056"/>
    </row>
    <row r="428" spans="24:49" ht="14.15" customHeight="1" x14ac:dyDescent="0.35">
      <c r="X428" s="416"/>
      <c r="Y428" s="416"/>
      <c r="Z428" s="422"/>
      <c r="AA428" s="422"/>
      <c r="AB428" s="422"/>
      <c r="AC428" s="1068"/>
      <c r="AD428" s="1068"/>
      <c r="AE428" s="1073"/>
      <c r="AF428" s="1073"/>
      <c r="AG428" s="1068"/>
      <c r="AH428" s="1068"/>
      <c r="AI428" s="1068"/>
      <c r="AJ428" s="1070"/>
      <c r="AK428" s="1071"/>
      <c r="AM428" s="1072"/>
      <c r="AP428" s="1056"/>
      <c r="AQ428" s="1056"/>
      <c r="AS428" s="1056"/>
      <c r="AT428" s="1056"/>
      <c r="AU428" s="1056"/>
      <c r="AV428" s="1056"/>
      <c r="AW428" s="1056"/>
    </row>
    <row r="429" spans="24:49" ht="14.15" customHeight="1" x14ac:dyDescent="0.35">
      <c r="X429" s="416"/>
      <c r="Y429" s="416"/>
      <c r="Z429" s="422"/>
      <c r="AA429" s="422"/>
      <c r="AB429" s="422"/>
      <c r="AC429" s="1068"/>
      <c r="AD429" s="1068"/>
      <c r="AE429" s="1073"/>
      <c r="AF429" s="1073"/>
      <c r="AG429" s="1068"/>
      <c r="AH429" s="1068"/>
      <c r="AI429" s="1069"/>
      <c r="AJ429" s="1070"/>
      <c r="AK429" s="1071"/>
      <c r="AM429" s="1072"/>
      <c r="AP429" s="1056"/>
      <c r="AQ429" s="1056"/>
      <c r="AS429" s="1056"/>
      <c r="AT429" s="1056"/>
      <c r="AU429" s="1056"/>
      <c r="AV429" s="1056"/>
      <c r="AW429" s="1056"/>
    </row>
    <row r="430" spans="24:49" ht="14.15" customHeight="1" x14ac:dyDescent="0.35">
      <c r="X430" s="416"/>
      <c r="Y430" s="416"/>
      <c r="Z430" s="422"/>
      <c r="AA430" s="422"/>
      <c r="AB430" s="422"/>
      <c r="AC430" s="1068"/>
      <c r="AD430" s="1068"/>
      <c r="AE430" s="1073"/>
      <c r="AF430" s="1073"/>
      <c r="AG430" s="1068"/>
      <c r="AH430" s="1068"/>
      <c r="AI430" s="1075"/>
      <c r="AJ430" s="1070"/>
      <c r="AK430" s="1071"/>
      <c r="AM430" s="1072"/>
      <c r="AP430" s="1056"/>
      <c r="AQ430" s="1056"/>
      <c r="AS430" s="1056"/>
      <c r="AT430" s="1056"/>
      <c r="AU430" s="1056"/>
      <c r="AV430" s="1056"/>
      <c r="AW430" s="1056"/>
    </row>
    <row r="431" spans="24:49" ht="14.15" customHeight="1" x14ac:dyDescent="0.35">
      <c r="X431" s="416"/>
      <c r="Y431" s="416"/>
      <c r="Z431" s="422"/>
      <c r="AA431" s="422"/>
      <c r="AB431" s="422"/>
      <c r="AC431" s="1068"/>
      <c r="AD431" s="1068"/>
      <c r="AE431" s="1073"/>
      <c r="AF431" s="1073"/>
      <c r="AG431" s="1068"/>
      <c r="AH431" s="1068"/>
      <c r="AI431" s="1068"/>
      <c r="AJ431" s="1070"/>
      <c r="AK431" s="1071"/>
      <c r="AM431" s="1072"/>
      <c r="AP431" s="1056"/>
      <c r="AQ431" s="1056"/>
      <c r="AS431" s="1056"/>
      <c r="AT431" s="1056"/>
      <c r="AU431" s="1056"/>
      <c r="AV431" s="1056"/>
      <c r="AW431" s="1056"/>
    </row>
    <row r="432" spans="24:49" ht="14.15" customHeight="1" x14ac:dyDescent="0.35">
      <c r="X432" s="416"/>
      <c r="Y432" s="416"/>
      <c r="Z432" s="422"/>
      <c r="AA432" s="422"/>
      <c r="AB432" s="422"/>
      <c r="AC432" s="1068"/>
      <c r="AD432" s="1068"/>
      <c r="AE432" s="1073"/>
      <c r="AF432" s="1073"/>
      <c r="AG432" s="1068"/>
      <c r="AH432" s="1068"/>
      <c r="AI432" s="1080"/>
      <c r="AJ432" s="1070"/>
      <c r="AK432" s="1071"/>
      <c r="AM432" s="1072"/>
      <c r="AP432" s="1056"/>
      <c r="AQ432" s="1056"/>
      <c r="AS432" s="1056"/>
      <c r="AT432" s="1056"/>
      <c r="AU432" s="1056"/>
      <c r="AV432" s="1056"/>
      <c r="AW432" s="1056"/>
    </row>
    <row r="433" spans="24:49" ht="14.15" customHeight="1" x14ac:dyDescent="0.35">
      <c r="X433" s="416"/>
      <c r="Y433" s="416"/>
      <c r="Z433" s="422"/>
      <c r="AA433" s="422"/>
      <c r="AB433" s="422"/>
      <c r="AC433" s="1079"/>
      <c r="AD433" s="1079"/>
      <c r="AE433" s="1073"/>
      <c r="AF433" s="1073"/>
      <c r="AG433" s="1068"/>
      <c r="AH433" s="1068"/>
      <c r="AI433" s="1075"/>
      <c r="AJ433" s="1070"/>
      <c r="AK433" s="1071"/>
      <c r="AM433" s="1072"/>
      <c r="AP433" s="1056"/>
      <c r="AQ433" s="1056"/>
      <c r="AS433" s="1056"/>
      <c r="AT433" s="1056"/>
      <c r="AU433" s="1056"/>
      <c r="AV433" s="1056"/>
      <c r="AW433" s="1056"/>
    </row>
    <row r="434" spans="24:49" ht="14.15" customHeight="1" x14ac:dyDescent="0.35">
      <c r="X434" s="416"/>
      <c r="Y434" s="416"/>
      <c r="Z434" s="422"/>
      <c r="AA434" s="422"/>
      <c r="AB434" s="422"/>
      <c r="AC434" s="1076"/>
      <c r="AD434" s="1076"/>
      <c r="AE434" s="1076"/>
      <c r="AF434" s="1076"/>
      <c r="AG434" s="1068"/>
      <c r="AH434" s="1068"/>
      <c r="AI434" s="1068"/>
      <c r="AJ434" s="1070"/>
      <c r="AK434" s="1071"/>
      <c r="AM434" s="1072"/>
      <c r="AP434" s="1056"/>
      <c r="AQ434" s="1056"/>
      <c r="AS434" s="1056"/>
      <c r="AT434" s="1056"/>
      <c r="AU434" s="1056"/>
      <c r="AV434" s="1056"/>
      <c r="AW434" s="1056"/>
    </row>
    <row r="435" spans="24:49" ht="14.15" customHeight="1" x14ac:dyDescent="0.35">
      <c r="X435" s="416"/>
      <c r="Y435" s="416"/>
      <c r="Z435" s="422"/>
      <c r="AA435" s="422"/>
      <c r="AB435" s="422"/>
      <c r="AC435" s="1076"/>
      <c r="AD435" s="1076"/>
      <c r="AE435" s="1076"/>
      <c r="AF435" s="1076"/>
      <c r="AG435" s="1076"/>
      <c r="AH435" s="1068"/>
      <c r="AI435" s="1068"/>
      <c r="AJ435" s="1070"/>
      <c r="AK435" s="1071"/>
      <c r="AM435" s="1072"/>
      <c r="AP435" s="1058"/>
      <c r="AQ435" s="1057"/>
      <c r="AS435" s="1059"/>
      <c r="AT435" s="1058"/>
      <c r="AU435" s="1058"/>
      <c r="AV435" s="1058"/>
      <c r="AW435" s="1057"/>
    </row>
    <row r="436" spans="24:49" ht="14.15" customHeight="1" x14ac:dyDescent="0.35">
      <c r="X436" s="416"/>
      <c r="Y436" s="416"/>
      <c r="Z436" s="422"/>
      <c r="AA436" s="422"/>
      <c r="AB436" s="422"/>
      <c r="AC436" s="1068"/>
      <c r="AD436" s="1068"/>
      <c r="AE436" s="1073"/>
      <c r="AF436" s="1073"/>
      <c r="AG436" s="1068"/>
      <c r="AH436" s="1068"/>
      <c r="AI436" s="1068"/>
      <c r="AJ436" s="1070"/>
      <c r="AK436" s="1071"/>
      <c r="AM436" s="1072"/>
      <c r="AP436" s="1056"/>
      <c r="AQ436" s="1056"/>
      <c r="AS436" s="1056"/>
      <c r="AT436" s="1056"/>
      <c r="AU436" s="1056"/>
      <c r="AV436" s="1056"/>
      <c r="AW436" s="1056"/>
    </row>
    <row r="437" spans="24:49" ht="14.15" customHeight="1" x14ac:dyDescent="0.35">
      <c r="X437" s="416"/>
      <c r="Y437" s="416"/>
      <c r="Z437" s="422"/>
      <c r="AA437" s="422"/>
      <c r="AB437" s="422"/>
      <c r="AC437" s="1068"/>
      <c r="AD437" s="1068"/>
      <c r="AE437" s="1073"/>
      <c r="AF437" s="1073"/>
      <c r="AG437" s="1068"/>
      <c r="AH437" s="1068"/>
      <c r="AI437" s="1075"/>
      <c r="AJ437" s="1070"/>
      <c r="AK437" s="1071"/>
      <c r="AM437" s="1072"/>
      <c r="AP437" s="1056"/>
      <c r="AQ437" s="1056"/>
      <c r="AS437" s="1056"/>
      <c r="AT437" s="1056"/>
      <c r="AU437" s="1056"/>
      <c r="AV437" s="1056"/>
      <c r="AW437" s="1056"/>
    </row>
    <row r="438" spans="24:49" ht="14.15" customHeight="1" x14ac:dyDescent="0.35">
      <c r="X438" s="416"/>
      <c r="Y438" s="416"/>
      <c r="Z438" s="422"/>
      <c r="AA438" s="422"/>
      <c r="AB438" s="422"/>
      <c r="AC438" s="1069"/>
      <c r="AD438" s="1069"/>
      <c r="AE438" s="1074"/>
      <c r="AF438" s="1074"/>
      <c r="AG438" s="1069"/>
      <c r="AH438" s="1068"/>
      <c r="AI438" s="1068"/>
      <c r="AJ438" s="1070"/>
      <c r="AK438" s="1071"/>
      <c r="AM438" s="1072"/>
      <c r="AP438" s="1056"/>
      <c r="AQ438" s="1056"/>
      <c r="AS438" s="1056"/>
      <c r="AT438" s="1056"/>
      <c r="AU438" s="1056"/>
      <c r="AV438" s="1056"/>
      <c r="AW438" s="1056"/>
    </row>
    <row r="439" spans="24:49" ht="14.15" customHeight="1" x14ac:dyDescent="0.35">
      <c r="X439" s="416"/>
      <c r="Y439" s="416"/>
      <c r="Z439" s="422"/>
      <c r="AA439" s="422"/>
      <c r="AB439" s="422"/>
      <c r="AC439" s="1069"/>
      <c r="AD439" s="1069"/>
      <c r="AE439" s="1074"/>
      <c r="AF439" s="1074"/>
      <c r="AG439" s="1069"/>
      <c r="AH439" s="1068"/>
      <c r="AI439" s="1068"/>
      <c r="AJ439" s="1070"/>
      <c r="AK439" s="1071"/>
      <c r="AM439" s="1072"/>
      <c r="AP439" s="1056"/>
      <c r="AQ439" s="1056"/>
      <c r="AS439" s="1056"/>
      <c r="AT439" s="1056"/>
      <c r="AU439" s="1056"/>
      <c r="AV439" s="1056"/>
      <c r="AW439" s="1056"/>
    </row>
    <row r="440" spans="24:49" ht="14.15" customHeight="1" x14ac:dyDescent="0.35">
      <c r="X440" s="416"/>
      <c r="Y440" s="416"/>
      <c r="Z440" s="422"/>
      <c r="AA440" s="422"/>
      <c r="AB440" s="422"/>
      <c r="AC440" s="1068"/>
      <c r="AD440" s="1068"/>
      <c r="AE440" s="1073"/>
      <c r="AF440" s="1073"/>
      <c r="AG440" s="1068"/>
      <c r="AH440" s="1068"/>
      <c r="AI440" s="1068"/>
      <c r="AJ440" s="1070"/>
      <c r="AK440" s="1071"/>
      <c r="AM440" s="1072"/>
      <c r="AP440" s="1056"/>
      <c r="AQ440" s="1056"/>
      <c r="AS440" s="1056"/>
      <c r="AT440" s="1056"/>
      <c r="AU440" s="1056"/>
      <c r="AV440" s="1056"/>
      <c r="AW440" s="1056"/>
    </row>
    <row r="441" spans="24:49" ht="14.15" customHeight="1" x14ac:dyDescent="0.35">
      <c r="X441" s="416"/>
      <c r="Y441" s="416"/>
      <c r="Z441" s="422"/>
      <c r="AA441" s="422"/>
      <c r="AB441" s="422"/>
      <c r="AC441" s="1068"/>
      <c r="AD441" s="1068"/>
      <c r="AE441" s="1073"/>
      <c r="AF441" s="1073"/>
      <c r="AG441" s="1068"/>
      <c r="AH441" s="1068"/>
      <c r="AI441" s="1068"/>
      <c r="AJ441" s="1070"/>
      <c r="AK441" s="1071"/>
      <c r="AM441" s="1072"/>
      <c r="AP441" s="1056"/>
      <c r="AQ441" s="1056"/>
      <c r="AS441" s="1056"/>
      <c r="AT441" s="1056"/>
      <c r="AU441" s="1056"/>
      <c r="AV441" s="1056"/>
      <c r="AW441" s="1056"/>
    </row>
    <row r="442" spans="24:49" ht="14.15" customHeight="1" x14ac:dyDescent="0.35">
      <c r="X442" s="416"/>
      <c r="Y442" s="416"/>
      <c r="Z442" s="422"/>
      <c r="AA442" s="422"/>
      <c r="AB442" s="422"/>
      <c r="AC442" s="1068"/>
      <c r="AD442" s="1068"/>
      <c r="AE442" s="1073"/>
      <c r="AF442" s="1073"/>
      <c r="AG442" s="1068"/>
      <c r="AH442" s="1068"/>
      <c r="AI442" s="1068"/>
      <c r="AJ442" s="1070"/>
      <c r="AK442" s="1071"/>
      <c r="AM442" s="1072"/>
      <c r="AP442" s="1056"/>
      <c r="AQ442" s="1056"/>
      <c r="AS442" s="1056"/>
      <c r="AT442" s="1056"/>
      <c r="AU442" s="1056"/>
      <c r="AV442" s="1056"/>
      <c r="AW442" s="1056"/>
    </row>
    <row r="443" spans="24:49" ht="14.15" customHeight="1" x14ac:dyDescent="0.35">
      <c r="X443" s="416"/>
      <c r="Z443" s="422"/>
      <c r="AA443" s="422"/>
      <c r="AB443" s="422"/>
      <c r="AC443" s="1068"/>
      <c r="AD443" s="1068"/>
      <c r="AE443" s="1073"/>
      <c r="AF443" s="1073"/>
      <c r="AG443" s="1068"/>
      <c r="AH443" s="1068"/>
      <c r="AI443" s="1068"/>
      <c r="AJ443" s="1070"/>
      <c r="AK443" s="1071"/>
      <c r="AM443" s="1072"/>
      <c r="AP443" s="1056"/>
      <c r="AQ443" s="1056"/>
      <c r="AS443" s="1056"/>
      <c r="AT443" s="1056"/>
      <c r="AU443" s="1056"/>
      <c r="AV443" s="1056"/>
      <c r="AW443" s="1056"/>
    </row>
    <row r="444" spans="24:49" ht="14.15" customHeight="1" x14ac:dyDescent="0.35">
      <c r="X444" s="416"/>
      <c r="Z444" s="422"/>
      <c r="AA444" s="422"/>
      <c r="AB444" s="422"/>
      <c r="AC444" s="1068"/>
      <c r="AD444" s="1068"/>
      <c r="AE444" s="1073"/>
      <c r="AF444" s="1073"/>
      <c r="AG444" s="1068"/>
      <c r="AH444" s="1068"/>
      <c r="AI444" s="1068"/>
      <c r="AJ444" s="1070"/>
      <c r="AK444" s="1071"/>
      <c r="AM444" s="1072"/>
      <c r="AP444" s="1056"/>
      <c r="AQ444" s="1056"/>
      <c r="AS444" s="1056"/>
      <c r="AT444" s="1056"/>
      <c r="AU444" s="1056"/>
      <c r="AV444" s="1056"/>
      <c r="AW444" s="1056"/>
    </row>
    <row r="445" spans="24:49" ht="14.15" customHeight="1" x14ac:dyDescent="0.35">
      <c r="X445" s="416"/>
      <c r="Z445" s="422"/>
      <c r="AA445" s="422"/>
      <c r="AB445" s="422"/>
      <c r="AC445" s="1068"/>
      <c r="AD445" s="1068"/>
      <c r="AE445" s="1073"/>
      <c r="AF445" s="1073"/>
      <c r="AG445" s="1068"/>
      <c r="AH445" s="1068"/>
      <c r="AI445" s="1068"/>
      <c r="AJ445" s="1070"/>
      <c r="AK445" s="1071"/>
      <c r="AM445" s="1072"/>
      <c r="AP445" s="1056"/>
      <c r="AQ445" s="1056"/>
      <c r="AS445" s="1056"/>
      <c r="AT445" s="1056"/>
      <c r="AU445" s="1056"/>
      <c r="AV445" s="1056"/>
      <c r="AW445" s="1056"/>
    </row>
    <row r="446" spans="24:49" ht="14.15" customHeight="1" x14ac:dyDescent="0.35">
      <c r="Z446" s="422"/>
      <c r="AA446" s="422"/>
      <c r="AB446" s="422"/>
      <c r="AC446" s="1079"/>
      <c r="AD446" s="1079"/>
      <c r="AE446" s="1073"/>
      <c r="AF446" s="1073"/>
      <c r="AG446" s="1068"/>
      <c r="AH446" s="1068"/>
      <c r="AI446" s="1075"/>
      <c r="AJ446" s="1070"/>
      <c r="AK446" s="1071"/>
      <c r="AM446" s="1072"/>
      <c r="AP446" s="1056"/>
      <c r="AQ446" s="1056"/>
      <c r="AS446" s="1056"/>
      <c r="AT446" s="1056"/>
      <c r="AU446" s="1056"/>
      <c r="AV446" s="1056"/>
      <c r="AW446" s="1056"/>
    </row>
    <row r="447" spans="24:49" ht="14.15" customHeight="1" x14ac:dyDescent="0.35">
      <c r="Z447" s="422"/>
      <c r="AA447" s="422"/>
      <c r="AB447" s="422"/>
      <c r="AC447" s="1076"/>
      <c r="AD447" s="1076"/>
      <c r="AE447" s="1076"/>
      <c r="AF447" s="1076"/>
      <c r="AG447" s="1076"/>
      <c r="AH447" s="1068"/>
      <c r="AI447" s="1068"/>
      <c r="AJ447" s="1070"/>
      <c r="AK447" s="1071"/>
      <c r="AM447" s="1072"/>
      <c r="AP447" s="1058"/>
      <c r="AQ447" s="1057"/>
      <c r="AS447" s="1059"/>
      <c r="AT447" s="1058"/>
      <c r="AU447" s="1058"/>
      <c r="AV447" s="1058"/>
      <c r="AW447" s="1057"/>
    </row>
    <row r="448" spans="24:49" ht="14.15" customHeight="1" x14ac:dyDescent="0.35">
      <c r="Z448" s="422"/>
      <c r="AA448" s="422"/>
      <c r="AB448" s="422"/>
      <c r="AC448" s="1068"/>
      <c r="AD448" s="1068"/>
      <c r="AE448" s="1073"/>
      <c r="AF448" s="1073"/>
      <c r="AG448" s="1068"/>
      <c r="AH448" s="1068"/>
      <c r="AI448" s="1068"/>
      <c r="AJ448" s="1070"/>
      <c r="AK448" s="1071"/>
      <c r="AM448" s="1072"/>
      <c r="AP448" s="1056"/>
      <c r="AQ448" s="1056"/>
      <c r="AS448" s="1056"/>
      <c r="AT448" s="1056"/>
      <c r="AU448" s="1056"/>
      <c r="AV448" s="1056"/>
      <c r="AW448" s="1056"/>
    </row>
    <row r="449" spans="26:49" ht="14.15" customHeight="1" x14ac:dyDescent="0.35">
      <c r="Z449" s="422"/>
      <c r="AA449" s="422"/>
      <c r="AB449" s="422"/>
      <c r="AC449" s="1068"/>
      <c r="AD449" s="1068"/>
      <c r="AE449" s="1073"/>
      <c r="AF449" s="1073"/>
      <c r="AG449" s="1068"/>
      <c r="AH449" s="1068"/>
      <c r="AI449" s="1075"/>
      <c r="AJ449" s="1070"/>
      <c r="AK449" s="1071"/>
      <c r="AM449" s="1072"/>
      <c r="AP449" s="1056"/>
      <c r="AQ449" s="1056"/>
      <c r="AS449" s="1056"/>
      <c r="AT449" s="1056"/>
      <c r="AU449" s="1056"/>
      <c r="AV449" s="1056"/>
      <c r="AW449" s="1056"/>
    </row>
    <row r="450" spans="26:49" ht="14.15" customHeight="1" x14ac:dyDescent="0.35">
      <c r="Z450" s="422"/>
      <c r="AA450" s="422"/>
      <c r="AB450" s="422"/>
      <c r="AC450" s="1068"/>
      <c r="AD450" s="1068"/>
      <c r="AE450" s="1073"/>
      <c r="AF450" s="1073"/>
      <c r="AG450" s="1068"/>
      <c r="AH450" s="1068"/>
      <c r="AI450" s="1068"/>
      <c r="AJ450" s="1070"/>
      <c r="AK450" s="1071"/>
      <c r="AM450" s="1072"/>
      <c r="AP450" s="1056"/>
      <c r="AQ450" s="1056"/>
      <c r="AS450" s="1056"/>
      <c r="AT450" s="1056"/>
      <c r="AU450" s="1056"/>
      <c r="AV450" s="1056"/>
      <c r="AW450" s="1056"/>
    </row>
    <row r="451" spans="26:49" ht="14.15" customHeight="1" x14ac:dyDescent="0.35">
      <c r="Z451" s="422"/>
      <c r="AA451" s="422"/>
      <c r="AB451" s="422"/>
      <c r="AC451" s="1068"/>
      <c r="AD451" s="1068"/>
      <c r="AE451" s="1073"/>
      <c r="AF451" s="1073"/>
      <c r="AG451" s="1069"/>
      <c r="AH451" s="1069"/>
      <c r="AI451" s="1080"/>
      <c r="AJ451" s="1070"/>
      <c r="AK451" s="1071"/>
      <c r="AM451" s="1072"/>
      <c r="AP451" s="1056"/>
      <c r="AQ451" s="1056"/>
      <c r="AS451" s="1056"/>
      <c r="AT451" s="1056"/>
      <c r="AU451" s="1056"/>
      <c r="AV451" s="1056"/>
      <c r="AW451" s="1056"/>
    </row>
    <row r="452" spans="26:49" ht="14.15" customHeight="1" x14ac:dyDescent="0.35">
      <c r="Z452" s="422"/>
      <c r="AA452" s="422"/>
      <c r="AB452" s="422"/>
      <c r="AC452" s="1076"/>
      <c r="AD452" s="1076"/>
      <c r="AE452" s="1073"/>
      <c r="AF452" s="1073"/>
      <c r="AG452" s="1068"/>
      <c r="AH452" s="1068"/>
      <c r="AI452" s="1068"/>
      <c r="AJ452" s="1070"/>
      <c r="AK452" s="1071"/>
      <c r="AM452" s="1072"/>
      <c r="AP452" s="1056"/>
      <c r="AQ452" s="1056"/>
      <c r="AS452" s="1056"/>
      <c r="AT452" s="1056"/>
      <c r="AU452" s="1056"/>
      <c r="AV452" s="1056"/>
      <c r="AW452" s="1056"/>
    </row>
    <row r="453" spans="26:49" ht="14.15" customHeight="1" x14ac:dyDescent="0.35">
      <c r="Z453" s="422"/>
      <c r="AA453" s="422"/>
      <c r="AB453" s="422"/>
      <c r="AC453" s="1076"/>
      <c r="AD453" s="1076"/>
      <c r="AE453" s="1076"/>
      <c r="AF453" s="1076"/>
      <c r="AG453" s="1068"/>
      <c r="AH453" s="1068"/>
      <c r="AI453" s="1068"/>
      <c r="AJ453" s="1070"/>
      <c r="AK453" s="1071"/>
      <c r="AM453" s="1072"/>
      <c r="AP453" s="1056"/>
      <c r="AQ453" s="1056"/>
      <c r="AS453" s="1056"/>
      <c r="AT453" s="1056"/>
      <c r="AU453" s="1056"/>
      <c r="AV453" s="1056"/>
      <c r="AW453" s="1056"/>
    </row>
    <row r="454" spans="26:49" ht="14.15" customHeight="1" x14ac:dyDescent="0.35">
      <c r="Z454" s="422"/>
      <c r="AA454" s="422"/>
      <c r="AB454" s="422"/>
      <c r="AC454" s="1076"/>
      <c r="AD454" s="1076"/>
      <c r="AE454" s="1076"/>
      <c r="AF454" s="1076"/>
      <c r="AG454" s="1076"/>
      <c r="AH454" s="1068"/>
      <c r="AI454" s="1068"/>
      <c r="AJ454" s="1070"/>
      <c r="AK454" s="1071"/>
      <c r="AM454" s="1072"/>
      <c r="AP454" s="1058"/>
      <c r="AQ454" s="1057"/>
      <c r="AS454" s="1057"/>
      <c r="AT454" s="1058"/>
      <c r="AU454" s="1058"/>
      <c r="AV454" s="1058"/>
      <c r="AW454" s="1057"/>
    </row>
    <row r="455" spans="26:49" ht="14.15" customHeight="1" x14ac:dyDescent="0.35">
      <c r="Z455" s="422"/>
      <c r="AA455" s="422"/>
      <c r="AB455" s="422"/>
      <c r="AC455" s="1079"/>
      <c r="AD455" s="1079"/>
      <c r="AE455" s="1073"/>
      <c r="AF455" s="1073"/>
      <c r="AG455" s="1068"/>
      <c r="AH455" s="1068"/>
      <c r="AI455" s="1075"/>
      <c r="AJ455" s="1070"/>
      <c r="AK455" s="1071"/>
      <c r="AM455" s="1072"/>
      <c r="AP455" s="1056"/>
      <c r="AQ455" s="1056"/>
      <c r="AS455" s="1056"/>
      <c r="AT455" s="1056"/>
      <c r="AU455" s="1056"/>
      <c r="AV455" s="1056"/>
      <c r="AW455" s="1056"/>
    </row>
    <row r="456" spans="26:49" ht="14.15" customHeight="1" x14ac:dyDescent="0.35">
      <c r="Z456" s="422"/>
      <c r="AA456" s="422"/>
      <c r="AB456" s="422"/>
      <c r="AC456" s="1068"/>
      <c r="AD456" s="1068"/>
      <c r="AE456" s="1073"/>
      <c r="AF456" s="1073"/>
      <c r="AG456" s="1068"/>
      <c r="AH456" s="1068"/>
      <c r="AI456" s="1068"/>
      <c r="AJ456" s="1070"/>
      <c r="AK456" s="1071"/>
      <c r="AM456" s="1072"/>
      <c r="AP456" s="1056"/>
      <c r="AQ456" s="1056"/>
      <c r="AS456" s="1056"/>
      <c r="AT456" s="1056"/>
      <c r="AU456" s="1056"/>
      <c r="AV456" s="1056"/>
      <c r="AW456" s="1056"/>
    </row>
    <row r="457" spans="26:49" ht="14.15" customHeight="1" x14ac:dyDescent="0.35">
      <c r="Z457" s="422"/>
      <c r="AA457" s="422"/>
      <c r="AB457" s="422"/>
      <c r="AC457" s="1068"/>
      <c r="AD457" s="1068"/>
      <c r="AE457" s="1073"/>
      <c r="AF457" s="1073"/>
      <c r="AG457" s="1068"/>
      <c r="AH457" s="1068"/>
      <c r="AI457" s="1075"/>
      <c r="AJ457" s="1070"/>
      <c r="AK457" s="1071"/>
      <c r="AM457" s="1072"/>
      <c r="AP457" s="1056"/>
      <c r="AQ457" s="1056"/>
      <c r="AS457" s="1056"/>
      <c r="AT457" s="1056"/>
      <c r="AU457" s="1056"/>
      <c r="AV457" s="1056"/>
      <c r="AW457" s="1056"/>
    </row>
    <row r="458" spans="26:49" ht="14.15" customHeight="1" x14ac:dyDescent="0.35">
      <c r="Z458" s="422"/>
      <c r="AA458" s="422"/>
      <c r="AB458" s="422"/>
      <c r="AC458" s="1079"/>
      <c r="AD458" s="1079"/>
      <c r="AE458" s="1073"/>
      <c r="AF458" s="1073"/>
      <c r="AG458" s="1068"/>
      <c r="AH458" s="1068"/>
      <c r="AI458" s="1077"/>
      <c r="AJ458" s="1070"/>
      <c r="AK458" s="1071"/>
      <c r="AM458" s="1072"/>
      <c r="AP458" s="1056"/>
      <c r="AQ458" s="1056"/>
      <c r="AS458" s="1056"/>
      <c r="AT458" s="1056"/>
      <c r="AU458" s="1056"/>
      <c r="AV458" s="1056"/>
      <c r="AW458" s="1056"/>
    </row>
    <row r="459" spans="26:49" ht="14.15" customHeight="1" x14ac:dyDescent="0.35">
      <c r="Z459" s="422"/>
      <c r="AA459" s="422"/>
      <c r="AB459" s="422"/>
      <c r="AC459" s="1068"/>
      <c r="AD459" s="1068"/>
      <c r="AE459" s="1073"/>
      <c r="AF459" s="1073"/>
      <c r="AG459" s="1068"/>
      <c r="AH459" s="1068"/>
      <c r="AI459" s="1068"/>
      <c r="AJ459" s="1070"/>
      <c r="AK459" s="1071"/>
      <c r="AM459" s="1072"/>
      <c r="AP459" s="1056"/>
      <c r="AQ459" s="1056"/>
      <c r="AS459" s="1056"/>
      <c r="AT459" s="1056"/>
      <c r="AU459" s="1056"/>
      <c r="AV459" s="1056"/>
      <c r="AW459" s="1056"/>
    </row>
    <row r="460" spans="26:49" ht="14.15" customHeight="1" x14ac:dyDescent="0.35">
      <c r="Z460" s="422"/>
      <c r="AA460" s="422"/>
      <c r="AB460" s="422"/>
      <c r="AC460" s="1068"/>
      <c r="AD460" s="1068"/>
      <c r="AE460" s="1073"/>
      <c r="AF460" s="1073"/>
      <c r="AG460" s="1068"/>
      <c r="AH460" s="1068"/>
      <c r="AI460" s="1068"/>
      <c r="AJ460" s="1070"/>
      <c r="AK460" s="1071"/>
      <c r="AM460" s="1072"/>
      <c r="AP460" s="1056"/>
      <c r="AQ460" s="1056"/>
      <c r="AS460" s="1056"/>
      <c r="AT460" s="1056"/>
      <c r="AU460" s="1056"/>
      <c r="AV460" s="1056"/>
      <c r="AW460" s="1056"/>
    </row>
    <row r="461" spans="26:49" ht="14.15" customHeight="1" x14ac:dyDescent="0.35">
      <c r="Z461" s="422"/>
      <c r="AA461" s="422"/>
      <c r="AB461" s="422"/>
      <c r="AC461" s="1069"/>
      <c r="AD461" s="1069"/>
      <c r="AE461" s="1074"/>
      <c r="AF461" s="1074"/>
      <c r="AG461" s="1069"/>
      <c r="AH461" s="1068"/>
      <c r="AI461" s="1080"/>
      <c r="AJ461" s="1070"/>
      <c r="AK461" s="1071"/>
      <c r="AM461" s="1072"/>
      <c r="AP461" s="1056"/>
      <c r="AQ461" s="1056"/>
      <c r="AS461" s="1056"/>
      <c r="AT461" s="1056"/>
      <c r="AU461" s="1056"/>
      <c r="AV461" s="1056"/>
      <c r="AW461" s="1056"/>
    </row>
    <row r="462" spans="26:49" ht="14.15" customHeight="1" x14ac:dyDescent="0.35">
      <c r="Z462" s="422"/>
      <c r="AA462" s="422"/>
      <c r="AB462" s="422"/>
      <c r="AC462" s="1076"/>
      <c r="AD462" s="1076"/>
      <c r="AE462" s="1076"/>
      <c r="AF462" s="1076"/>
      <c r="AG462" s="1069"/>
      <c r="AH462" s="1068"/>
      <c r="AI462" s="1068"/>
      <c r="AJ462" s="1070"/>
      <c r="AK462" s="1071"/>
      <c r="AM462" s="1072"/>
      <c r="AP462" s="1056"/>
      <c r="AQ462" s="1056"/>
      <c r="AS462" s="1056"/>
      <c r="AT462" s="1056"/>
      <c r="AU462" s="1056"/>
      <c r="AV462" s="1056"/>
      <c r="AW462" s="1056"/>
    </row>
    <row r="463" spans="26:49" ht="14.15" customHeight="1" x14ac:dyDescent="0.35">
      <c r="Z463" s="422"/>
      <c r="AA463" s="422"/>
      <c r="AB463" s="422"/>
      <c r="AC463" s="1069"/>
      <c r="AD463" s="1069"/>
      <c r="AE463" s="1074"/>
      <c r="AF463" s="1074"/>
      <c r="AG463" s="1069"/>
      <c r="AH463" s="1068"/>
      <c r="AI463" s="1068"/>
      <c r="AJ463" s="1070"/>
      <c r="AK463" s="1071"/>
      <c r="AM463" s="1072"/>
      <c r="AP463" s="1056"/>
      <c r="AQ463" s="1056"/>
      <c r="AS463" s="1056"/>
      <c r="AT463" s="1056"/>
      <c r="AU463" s="1056"/>
      <c r="AV463" s="1056"/>
      <c r="AW463" s="1056"/>
    </row>
    <row r="464" spans="26:49" ht="14.15" customHeight="1" x14ac:dyDescent="0.35">
      <c r="AC464" s="1068"/>
      <c r="AD464" s="1068"/>
      <c r="AE464" s="1073"/>
      <c r="AF464" s="1073"/>
      <c r="AG464" s="1068"/>
      <c r="AH464" s="1068"/>
      <c r="AI464" s="1077"/>
      <c r="AJ464" s="1070"/>
      <c r="AK464" s="1071"/>
      <c r="AM464" s="1072"/>
      <c r="AP464" s="1056"/>
      <c r="AQ464" s="1056"/>
      <c r="AS464" s="1056"/>
      <c r="AT464" s="1056"/>
      <c r="AU464" s="1056"/>
      <c r="AV464" s="1056"/>
      <c r="AW464" s="1056"/>
    </row>
    <row r="465" spans="26:49" ht="14.15" customHeight="1" x14ac:dyDescent="0.35">
      <c r="Z465" s="422"/>
      <c r="AA465" s="422"/>
      <c r="AB465" s="422"/>
      <c r="AC465" s="1068"/>
      <c r="AD465" s="1068"/>
      <c r="AE465" s="1073"/>
      <c r="AF465" s="1073"/>
      <c r="AG465" s="1068"/>
      <c r="AH465" s="1068"/>
      <c r="AI465" s="1068"/>
      <c r="AJ465" s="1070"/>
      <c r="AK465" s="1071"/>
      <c r="AM465" s="1072"/>
      <c r="AP465" s="1056"/>
      <c r="AQ465" s="1056"/>
      <c r="AS465" s="1056"/>
      <c r="AT465" s="1056"/>
      <c r="AU465" s="1056"/>
      <c r="AV465" s="1056"/>
      <c r="AW465" s="1056"/>
    </row>
    <row r="466" spans="26:49" ht="14.15" customHeight="1" x14ac:dyDescent="0.35">
      <c r="Z466" s="422"/>
      <c r="AA466" s="422"/>
      <c r="AB466" s="422"/>
      <c r="AC466" s="1068"/>
      <c r="AD466" s="1068"/>
      <c r="AE466" s="1073"/>
      <c r="AF466" s="1073"/>
      <c r="AG466" s="1068"/>
      <c r="AH466" s="1068"/>
      <c r="AI466" s="1068"/>
      <c r="AJ466" s="1070"/>
      <c r="AK466" s="1071"/>
      <c r="AM466" s="1072"/>
      <c r="AP466" s="1056"/>
      <c r="AQ466" s="1056"/>
      <c r="AS466" s="1056"/>
      <c r="AT466" s="1056"/>
      <c r="AU466" s="1056"/>
      <c r="AV466" s="1056"/>
      <c r="AW466" s="1056"/>
    </row>
    <row r="467" spans="26:49" ht="14.15" customHeight="1" x14ac:dyDescent="0.35">
      <c r="Z467" s="422"/>
      <c r="AA467" s="422"/>
      <c r="AB467" s="422"/>
      <c r="AC467" s="1069"/>
      <c r="AD467" s="1069"/>
      <c r="AE467" s="1074"/>
      <c r="AF467" s="1074"/>
      <c r="AG467" s="1069"/>
      <c r="AH467" s="1069"/>
      <c r="AI467" s="1078"/>
      <c r="AJ467" s="1070"/>
      <c r="AK467" s="1071"/>
      <c r="AM467" s="1072"/>
      <c r="AP467" s="1056"/>
      <c r="AQ467" s="1056"/>
      <c r="AS467" s="1056"/>
      <c r="AT467" s="1056"/>
      <c r="AU467" s="1056"/>
      <c r="AV467" s="1056"/>
      <c r="AW467" s="1056"/>
    </row>
    <row r="468" spans="26:49" ht="14.15" customHeight="1" x14ac:dyDescent="0.35">
      <c r="Z468" s="422"/>
      <c r="AA468" s="422"/>
      <c r="AB468" s="422"/>
      <c r="AC468" s="1069"/>
      <c r="AD468" s="1069"/>
      <c r="AE468" s="1074"/>
      <c r="AF468" s="1074"/>
      <c r="AG468" s="1069"/>
      <c r="AH468" s="1068"/>
      <c r="AI468" s="1068"/>
      <c r="AJ468" s="1070"/>
      <c r="AK468" s="1071"/>
      <c r="AM468" s="1072"/>
      <c r="AP468" s="1056"/>
      <c r="AQ468" s="1056"/>
      <c r="AS468" s="1056"/>
      <c r="AT468" s="1056"/>
      <c r="AU468" s="1056"/>
      <c r="AV468" s="1056"/>
      <c r="AW468" s="1056"/>
    </row>
    <row r="469" spans="26:49" ht="14.15" customHeight="1" x14ac:dyDescent="0.35">
      <c r="Z469" s="422"/>
      <c r="AA469" s="422"/>
      <c r="AB469" s="422"/>
      <c r="AC469" s="1071"/>
      <c r="AD469" s="1071"/>
      <c r="AE469" s="1074"/>
      <c r="AF469" s="1074"/>
      <c r="AG469" s="1069"/>
      <c r="AH469" s="1069"/>
      <c r="AI469" s="1069"/>
      <c r="AJ469" s="1070"/>
      <c r="AK469" s="1071"/>
      <c r="AM469" s="1072"/>
      <c r="AP469" s="1056"/>
      <c r="AQ469" s="1056"/>
      <c r="AS469" s="1056"/>
      <c r="AT469" s="1056"/>
      <c r="AU469" s="1056"/>
      <c r="AV469" s="1056"/>
      <c r="AW469" s="1056"/>
    </row>
    <row r="470" spans="26:49" ht="14.15" customHeight="1" x14ac:dyDescent="0.35">
      <c r="Z470" s="422"/>
      <c r="AA470" s="422"/>
      <c r="AB470" s="422"/>
      <c r="AC470" s="1068"/>
      <c r="AD470" s="1068"/>
      <c r="AE470" s="1073"/>
      <c r="AF470" s="1073"/>
      <c r="AG470" s="1068"/>
      <c r="AH470" s="1068"/>
      <c r="AI470" s="1075"/>
      <c r="AJ470" s="1070"/>
      <c r="AK470" s="1071"/>
      <c r="AM470" s="1072"/>
      <c r="AP470" s="1056"/>
      <c r="AQ470" s="1056"/>
      <c r="AS470" s="1056"/>
      <c r="AT470" s="1056"/>
      <c r="AU470" s="1056"/>
      <c r="AV470" s="1056"/>
      <c r="AW470" s="1056"/>
    </row>
    <row r="471" spans="26:49" ht="14.15" customHeight="1" x14ac:dyDescent="0.35">
      <c r="Z471" s="422"/>
      <c r="AA471" s="422"/>
      <c r="AB471" s="422"/>
      <c r="AC471" s="1069"/>
      <c r="AD471" s="1069"/>
      <c r="AE471" s="1074"/>
      <c r="AF471" s="1074"/>
      <c r="AG471" s="1069"/>
      <c r="AH471" s="1068"/>
      <c r="AI471" s="1075"/>
      <c r="AJ471" s="1070"/>
      <c r="AK471" s="1071"/>
      <c r="AM471" s="1072"/>
      <c r="AP471" s="1056"/>
      <c r="AQ471" s="1056"/>
      <c r="AS471" s="1056"/>
      <c r="AT471" s="1056"/>
      <c r="AU471" s="1056"/>
      <c r="AV471" s="1056"/>
      <c r="AW471" s="1056"/>
    </row>
    <row r="472" spans="26:49" ht="14.15" customHeight="1" x14ac:dyDescent="0.35">
      <c r="Z472" s="422"/>
      <c r="AA472" s="422"/>
      <c r="AB472" s="422"/>
      <c r="AC472" s="1068"/>
      <c r="AD472" s="1068"/>
      <c r="AE472" s="1073"/>
      <c r="AF472" s="1073"/>
      <c r="AG472" s="1068"/>
      <c r="AH472" s="1068"/>
      <c r="AI472" s="1077"/>
      <c r="AJ472" s="1070"/>
      <c r="AK472" s="1071"/>
      <c r="AM472" s="1072"/>
      <c r="AP472" s="1056"/>
      <c r="AQ472" s="1056"/>
      <c r="AS472" s="1056"/>
      <c r="AT472" s="1056"/>
      <c r="AU472" s="1056"/>
      <c r="AV472" s="1056"/>
      <c r="AW472" s="1056"/>
    </row>
    <row r="473" spans="26:49" ht="14.15" customHeight="1" x14ac:dyDescent="0.35">
      <c r="Z473" s="422"/>
      <c r="AA473" s="422"/>
      <c r="AB473" s="422"/>
      <c r="AC473" s="1076"/>
      <c r="AD473" s="1076"/>
      <c r="AE473" s="1076"/>
      <c r="AF473" s="1076"/>
      <c r="AG473" s="1068"/>
      <c r="AH473" s="1068"/>
      <c r="AI473" s="1068"/>
      <c r="AJ473" s="1070"/>
      <c r="AK473" s="1071"/>
      <c r="AM473" s="1072"/>
      <c r="AP473" s="1056"/>
      <c r="AQ473" s="1056"/>
      <c r="AS473" s="1056"/>
      <c r="AT473" s="1056"/>
      <c r="AU473" s="1056"/>
      <c r="AV473" s="1056"/>
      <c r="AW473" s="1056"/>
    </row>
    <row r="474" spans="26:49" ht="14.15" customHeight="1" x14ac:dyDescent="0.35">
      <c r="Z474" s="422"/>
      <c r="AA474" s="422"/>
      <c r="AB474" s="422"/>
      <c r="AC474" s="1071"/>
      <c r="AD474" s="1071"/>
      <c r="AE474" s="1074"/>
      <c r="AF474" s="1074"/>
      <c r="AG474" s="1069"/>
      <c r="AH474" s="1069"/>
      <c r="AI474" s="1077"/>
      <c r="AJ474" s="1070"/>
      <c r="AK474" s="1071"/>
      <c r="AM474" s="1072"/>
      <c r="AP474" s="1056"/>
      <c r="AQ474" s="1056"/>
      <c r="AS474" s="1056"/>
      <c r="AT474" s="1056"/>
      <c r="AU474" s="1056"/>
      <c r="AV474" s="1056"/>
      <c r="AW474" s="1056"/>
    </row>
    <row r="475" spans="26:49" ht="14.15" customHeight="1" x14ac:dyDescent="0.35">
      <c r="Z475" s="422"/>
      <c r="AA475" s="422"/>
      <c r="AB475" s="422"/>
      <c r="AC475" s="1069"/>
      <c r="AD475" s="1069"/>
      <c r="AE475" s="1074"/>
      <c r="AF475" s="1074"/>
      <c r="AG475" s="1069"/>
      <c r="AH475" s="1068"/>
      <c r="AI475" s="1080"/>
      <c r="AJ475" s="1070"/>
      <c r="AK475" s="1071"/>
      <c r="AM475" s="1072"/>
      <c r="AP475" s="1056"/>
      <c r="AQ475" s="1056"/>
      <c r="AS475" s="1056"/>
      <c r="AT475" s="1056"/>
      <c r="AU475" s="1056"/>
      <c r="AV475" s="1056"/>
      <c r="AW475" s="1056"/>
    </row>
    <row r="476" spans="26:49" ht="14.15" customHeight="1" x14ac:dyDescent="0.35">
      <c r="Z476" s="422"/>
      <c r="AA476" s="422"/>
      <c r="AB476" s="422"/>
      <c r="AC476" s="1076"/>
      <c r="AD476" s="1076"/>
      <c r="AE476" s="1076"/>
      <c r="AF476" s="1076"/>
      <c r="AG476" s="1076"/>
      <c r="AH476" s="1068"/>
      <c r="AI476" s="1080"/>
      <c r="AJ476" s="1070"/>
      <c r="AK476" s="1071"/>
      <c r="AM476" s="1072"/>
      <c r="AP476" s="1058"/>
      <c r="AQ476" s="1057"/>
      <c r="AS476" s="1057"/>
      <c r="AT476" s="1058"/>
      <c r="AU476" s="1058"/>
      <c r="AV476" s="1058"/>
      <c r="AW476" s="1057"/>
    </row>
    <row r="477" spans="26:49" ht="14.15" customHeight="1" x14ac:dyDescent="0.35">
      <c r="Z477" s="422"/>
      <c r="AA477" s="422"/>
      <c r="AB477" s="422"/>
      <c r="AC477" s="1068"/>
      <c r="AD477" s="1068"/>
      <c r="AE477" s="1073"/>
      <c r="AF477" s="1073"/>
      <c r="AG477" s="1068"/>
      <c r="AH477" s="1068"/>
      <c r="AI477" s="1068"/>
      <c r="AJ477" s="1070"/>
      <c r="AK477" s="1071"/>
      <c r="AM477" s="1072"/>
      <c r="AP477" s="1056"/>
      <c r="AQ477" s="1056"/>
      <c r="AS477" s="1056"/>
      <c r="AT477" s="1056"/>
      <c r="AU477" s="1056"/>
      <c r="AV477" s="1056"/>
      <c r="AW477" s="1056"/>
    </row>
    <row r="478" spans="26:49" ht="14.15" customHeight="1" x14ac:dyDescent="0.35">
      <c r="Z478" s="422"/>
      <c r="AA478" s="422"/>
      <c r="AB478" s="422"/>
      <c r="AC478" s="1068"/>
      <c r="AD478" s="1068"/>
      <c r="AE478" s="1073"/>
      <c r="AF478" s="1073"/>
      <c r="AG478" s="1068"/>
      <c r="AH478" s="1068"/>
      <c r="AI478" s="1075"/>
      <c r="AJ478" s="1070"/>
      <c r="AK478" s="1071"/>
      <c r="AM478" s="1072"/>
      <c r="AP478" s="1056"/>
      <c r="AQ478" s="1056"/>
      <c r="AS478" s="1056"/>
      <c r="AT478" s="1056"/>
      <c r="AU478" s="1056"/>
      <c r="AV478" s="1056"/>
      <c r="AW478" s="1056"/>
    </row>
    <row r="479" spans="26:49" ht="14.15" customHeight="1" x14ac:dyDescent="0.35">
      <c r="Z479" s="422"/>
      <c r="AA479" s="422"/>
      <c r="AB479" s="422"/>
      <c r="AC479" s="1068"/>
      <c r="AD479" s="1068"/>
      <c r="AE479" s="1073"/>
      <c r="AF479" s="1073"/>
      <c r="AG479" s="1068"/>
      <c r="AH479" s="1068"/>
      <c r="AI479" s="1069"/>
      <c r="AJ479" s="1070"/>
      <c r="AK479" s="1071"/>
      <c r="AM479" s="1072"/>
      <c r="AP479" s="1056"/>
      <c r="AQ479" s="1056"/>
      <c r="AS479" s="1056"/>
      <c r="AT479" s="1056"/>
      <c r="AU479" s="1056"/>
      <c r="AV479" s="1056"/>
      <c r="AW479" s="1056"/>
    </row>
    <row r="480" spans="26:49" ht="14.15" customHeight="1" x14ac:dyDescent="0.35">
      <c r="Z480" s="422"/>
      <c r="AA480" s="422"/>
      <c r="AB480" s="422"/>
      <c r="AC480" s="1068"/>
      <c r="AD480" s="1068"/>
      <c r="AE480" s="1073"/>
      <c r="AF480" s="1073"/>
      <c r="AG480" s="1068"/>
      <c r="AH480" s="1068"/>
      <c r="AI480" s="1068"/>
      <c r="AJ480" s="1070"/>
      <c r="AK480" s="1071"/>
      <c r="AM480" s="1072"/>
      <c r="AP480" s="1056"/>
      <c r="AQ480" s="1056"/>
      <c r="AS480" s="1056"/>
      <c r="AT480" s="1056"/>
      <c r="AU480" s="1056"/>
      <c r="AV480" s="1056"/>
      <c r="AW480" s="1056"/>
    </row>
    <row r="481" spans="26:49" ht="14.15" customHeight="1" x14ac:dyDescent="0.35">
      <c r="Z481" s="422"/>
      <c r="AA481" s="422"/>
      <c r="AB481" s="422"/>
      <c r="AC481" s="1068"/>
      <c r="AD481" s="1068"/>
      <c r="AE481" s="1073"/>
      <c r="AF481" s="1073"/>
      <c r="AG481" s="1068"/>
      <c r="AH481" s="1068"/>
      <c r="AI481" s="1068"/>
      <c r="AJ481" s="1070"/>
      <c r="AK481" s="1071"/>
      <c r="AM481" s="1072"/>
      <c r="AP481" s="1056"/>
      <c r="AQ481" s="1056"/>
      <c r="AS481" s="1056"/>
      <c r="AT481" s="1056"/>
      <c r="AU481" s="1056"/>
      <c r="AV481" s="1056"/>
      <c r="AW481" s="1056"/>
    </row>
    <row r="482" spans="26:49" ht="14.15" customHeight="1" x14ac:dyDescent="0.35">
      <c r="Z482" s="422"/>
      <c r="AA482" s="422"/>
      <c r="AB482" s="422"/>
      <c r="AC482" s="1068"/>
      <c r="AD482" s="1068"/>
      <c r="AE482" s="1073"/>
      <c r="AF482" s="1073"/>
      <c r="AG482" s="1068"/>
      <c r="AH482" s="1068"/>
      <c r="AI482" s="1078"/>
      <c r="AJ482" s="1070"/>
      <c r="AK482" s="1071"/>
      <c r="AM482" s="1072"/>
      <c r="AP482" s="1056"/>
      <c r="AQ482" s="1056"/>
      <c r="AS482" s="1056"/>
      <c r="AT482" s="1056"/>
      <c r="AU482" s="1056"/>
      <c r="AV482" s="1056"/>
      <c r="AW482" s="1056"/>
    </row>
    <row r="483" spans="26:49" ht="14.15" customHeight="1" x14ac:dyDescent="0.35">
      <c r="Z483" s="422"/>
      <c r="AA483" s="422"/>
      <c r="AB483" s="422"/>
      <c r="AC483" s="1076"/>
      <c r="AD483" s="1076"/>
      <c r="AE483" s="1076"/>
      <c r="AF483" s="1076"/>
      <c r="AG483" s="1068"/>
      <c r="AH483" s="1068"/>
      <c r="AI483" s="1075"/>
      <c r="AJ483" s="1070"/>
      <c r="AK483" s="1071"/>
      <c r="AM483" s="1072"/>
      <c r="AP483" s="1056"/>
      <c r="AQ483" s="1056"/>
      <c r="AS483" s="1056"/>
      <c r="AT483" s="1056"/>
      <c r="AU483" s="1056"/>
      <c r="AV483" s="1056"/>
      <c r="AW483" s="1056"/>
    </row>
    <row r="484" spans="26:49" ht="14.15" customHeight="1" x14ac:dyDescent="0.35">
      <c r="Z484" s="422"/>
      <c r="AA484" s="422"/>
      <c r="AB484" s="422"/>
      <c r="AC484" s="1076"/>
      <c r="AD484" s="1076"/>
      <c r="AE484" s="1076"/>
      <c r="AF484" s="1076"/>
      <c r="AG484" s="1076"/>
      <c r="AH484" s="1068"/>
      <c r="AI484" s="1068"/>
      <c r="AJ484" s="1070"/>
      <c r="AK484" s="1071"/>
      <c r="AM484" s="1072"/>
      <c r="AP484" s="1058"/>
      <c r="AQ484" s="1057"/>
      <c r="AS484" s="1057"/>
      <c r="AT484" s="1058"/>
      <c r="AU484" s="1058"/>
      <c r="AV484" s="1058"/>
      <c r="AW484" s="1057"/>
    </row>
    <row r="485" spans="26:49" ht="14.15" customHeight="1" x14ac:dyDescent="0.35">
      <c r="Z485" s="422"/>
      <c r="AA485" s="422"/>
      <c r="AB485" s="422"/>
      <c r="AC485" s="1068"/>
      <c r="AD485" s="1068"/>
      <c r="AE485" s="1073"/>
      <c r="AF485" s="1073"/>
      <c r="AG485" s="1068"/>
      <c r="AH485" s="1068"/>
      <c r="AI485" s="1068"/>
      <c r="AJ485" s="1070"/>
      <c r="AK485" s="1071"/>
      <c r="AM485" s="1072"/>
      <c r="AP485" s="1056"/>
      <c r="AQ485" s="1056"/>
      <c r="AS485" s="1056"/>
      <c r="AT485" s="1056"/>
      <c r="AU485" s="1056"/>
      <c r="AV485" s="1056"/>
      <c r="AW485" s="1056"/>
    </row>
    <row r="486" spans="26:49" ht="14.15" customHeight="1" x14ac:dyDescent="0.35">
      <c r="Z486" s="422"/>
      <c r="AA486" s="422"/>
      <c r="AB486" s="422"/>
      <c r="AC486" s="1068"/>
      <c r="AD486" s="1068"/>
      <c r="AE486" s="1073"/>
      <c r="AF486" s="1073"/>
      <c r="AG486" s="1068"/>
      <c r="AH486" s="1068"/>
      <c r="AI486" s="1068"/>
      <c r="AJ486" s="1070"/>
      <c r="AK486" s="1071"/>
      <c r="AM486" s="1072"/>
      <c r="AP486" s="1056"/>
      <c r="AQ486" s="1056"/>
      <c r="AS486" s="1056"/>
      <c r="AT486" s="1056"/>
      <c r="AU486" s="1056"/>
      <c r="AV486" s="1056"/>
      <c r="AW486" s="1056"/>
    </row>
    <row r="487" spans="26:49" ht="14.15" customHeight="1" x14ac:dyDescent="0.35">
      <c r="Z487" s="422"/>
      <c r="AA487" s="422"/>
      <c r="AB487" s="422"/>
      <c r="AC487" s="1068"/>
      <c r="AD487" s="1068"/>
      <c r="AE487" s="1073"/>
      <c r="AF487" s="1073"/>
      <c r="AG487" s="1068"/>
      <c r="AH487" s="1068"/>
      <c r="AI487" s="1068"/>
      <c r="AJ487" s="1070"/>
      <c r="AK487" s="1071"/>
      <c r="AM487" s="1072"/>
      <c r="AP487" s="1056"/>
      <c r="AQ487" s="1056"/>
      <c r="AS487" s="1056"/>
      <c r="AT487" s="1056"/>
      <c r="AU487" s="1056"/>
      <c r="AV487" s="1056"/>
      <c r="AW487" s="1056"/>
    </row>
    <row r="488" spans="26:49" ht="14.15" customHeight="1" x14ac:dyDescent="0.35">
      <c r="Z488" s="422"/>
      <c r="AA488" s="422"/>
      <c r="AB488" s="422"/>
      <c r="AC488" s="1068"/>
      <c r="AD488" s="1068"/>
      <c r="AE488" s="1073"/>
      <c r="AF488" s="1073"/>
      <c r="AG488" s="1068"/>
      <c r="AH488" s="1068"/>
      <c r="AI488" s="1069"/>
      <c r="AJ488" s="1070"/>
      <c r="AK488" s="1071"/>
      <c r="AM488" s="1072"/>
      <c r="AP488" s="1056"/>
      <c r="AQ488" s="1056"/>
      <c r="AS488" s="1056"/>
      <c r="AT488" s="1056"/>
      <c r="AU488" s="1056"/>
      <c r="AV488" s="1056"/>
      <c r="AW488" s="1056"/>
    </row>
    <row r="489" spans="26:49" ht="14.15" customHeight="1" x14ac:dyDescent="0.35">
      <c r="Z489" s="422"/>
      <c r="AA489" s="422"/>
      <c r="AB489" s="422"/>
      <c r="AC489" s="1068"/>
      <c r="AD489" s="1068"/>
      <c r="AE489" s="1073"/>
      <c r="AF489" s="1073"/>
      <c r="AG489" s="1068"/>
      <c r="AH489" s="1068"/>
      <c r="AI489" s="1068"/>
      <c r="AJ489" s="1070"/>
      <c r="AK489" s="1071"/>
      <c r="AM489" s="1072"/>
      <c r="AP489" s="1056"/>
      <c r="AQ489" s="1056"/>
      <c r="AS489" s="1056"/>
      <c r="AT489" s="1056"/>
      <c r="AU489" s="1056"/>
      <c r="AV489" s="1056"/>
      <c r="AW489" s="1056"/>
    </row>
    <row r="490" spans="26:49" ht="14.15" customHeight="1" x14ac:dyDescent="0.35">
      <c r="Z490" s="422"/>
      <c r="AA490" s="422"/>
      <c r="AB490" s="422"/>
      <c r="AC490" s="1068"/>
      <c r="AD490" s="1068"/>
      <c r="AE490" s="1073"/>
      <c r="AF490" s="1073"/>
      <c r="AG490" s="1068"/>
      <c r="AH490" s="1068"/>
      <c r="AI490" s="1068"/>
      <c r="AJ490" s="1070"/>
      <c r="AK490" s="1071"/>
      <c r="AM490" s="1072"/>
      <c r="AP490" s="1056"/>
      <c r="AQ490" s="1056"/>
      <c r="AS490" s="1056"/>
      <c r="AT490" s="1056"/>
      <c r="AU490" s="1056"/>
      <c r="AV490" s="1056"/>
      <c r="AW490" s="1056"/>
    </row>
    <row r="491" spans="26:49" ht="14.15" customHeight="1" x14ac:dyDescent="0.35">
      <c r="Z491" s="422"/>
      <c r="AA491" s="422"/>
      <c r="AB491" s="422"/>
      <c r="AC491" s="1079"/>
      <c r="AD491" s="1079"/>
      <c r="AE491" s="1073"/>
      <c r="AF491" s="1073"/>
      <c r="AG491" s="1068"/>
      <c r="AH491" s="1068"/>
      <c r="AI491" s="1075"/>
      <c r="AJ491" s="1070"/>
      <c r="AK491" s="1071"/>
      <c r="AM491" s="1072"/>
      <c r="AP491" s="1056"/>
      <c r="AQ491" s="1056"/>
      <c r="AS491" s="1056"/>
      <c r="AT491" s="1056"/>
      <c r="AU491" s="1056"/>
      <c r="AV491" s="1056"/>
      <c r="AW491" s="1056"/>
    </row>
    <row r="492" spans="26:49" ht="14.15" customHeight="1" x14ac:dyDescent="0.35">
      <c r="Z492" s="422"/>
      <c r="AA492" s="422"/>
      <c r="AB492" s="422"/>
      <c r="AC492" s="1076"/>
      <c r="AD492" s="1076"/>
      <c r="AE492" s="1076"/>
      <c r="AF492" s="1076"/>
      <c r="AG492" s="1068"/>
      <c r="AH492" s="1068"/>
      <c r="AI492" s="1068"/>
      <c r="AJ492" s="1070"/>
      <c r="AK492" s="1071"/>
      <c r="AM492" s="1072"/>
      <c r="AP492" s="1056"/>
      <c r="AQ492" s="1056"/>
      <c r="AS492" s="1056"/>
      <c r="AT492" s="1056"/>
      <c r="AU492" s="1056"/>
      <c r="AV492" s="1056"/>
      <c r="AW492" s="1056"/>
    </row>
    <row r="493" spans="26:49" ht="14.15" customHeight="1" x14ac:dyDescent="0.35">
      <c r="Z493" s="422"/>
      <c r="AA493" s="422"/>
      <c r="AB493" s="422"/>
      <c r="AC493" s="1076"/>
      <c r="AD493" s="1076"/>
      <c r="AE493" s="1076"/>
      <c r="AF493" s="1076"/>
      <c r="AG493" s="1076"/>
      <c r="AH493" s="1069"/>
      <c r="AI493" s="1075"/>
      <c r="AJ493" s="1070"/>
      <c r="AK493" s="1071"/>
      <c r="AM493" s="1072"/>
      <c r="AP493" s="1060"/>
      <c r="AQ493" s="1061"/>
      <c r="AS493" s="1082"/>
      <c r="AT493" s="1060"/>
      <c r="AU493" s="1060"/>
      <c r="AV493" s="1060"/>
      <c r="AW493" s="1061"/>
    </row>
    <row r="494" spans="26:49" ht="14.15" customHeight="1" x14ac:dyDescent="0.35">
      <c r="Z494" s="422"/>
      <c r="AA494" s="422"/>
      <c r="AB494" s="422"/>
      <c r="AC494" s="1068"/>
      <c r="AD494" s="1068"/>
      <c r="AE494" s="1073"/>
      <c r="AF494" s="1073"/>
      <c r="AG494" s="1068"/>
      <c r="AH494" s="1068"/>
      <c r="AI494" s="1068"/>
      <c r="AJ494" s="1070"/>
      <c r="AK494" s="1071"/>
      <c r="AM494" s="1072"/>
      <c r="AP494" s="1056"/>
      <c r="AQ494" s="1056"/>
      <c r="AS494" s="1056"/>
      <c r="AT494" s="1056"/>
      <c r="AU494" s="1056"/>
      <c r="AV494" s="1056"/>
      <c r="AW494" s="1056"/>
    </row>
    <row r="495" spans="26:49" ht="14.15" customHeight="1" x14ac:dyDescent="0.35">
      <c r="Z495" s="422"/>
      <c r="AA495" s="422"/>
      <c r="AB495" s="422"/>
      <c r="AC495" s="1068"/>
      <c r="AD495" s="1068"/>
      <c r="AE495" s="1073"/>
      <c r="AF495" s="1073"/>
      <c r="AG495" s="1068"/>
      <c r="AH495" s="1068"/>
      <c r="AI495" s="1068"/>
      <c r="AJ495" s="1070"/>
      <c r="AK495" s="1071"/>
      <c r="AM495" s="1072"/>
      <c r="AP495" s="1056"/>
      <c r="AQ495" s="1056"/>
      <c r="AS495" s="1056"/>
      <c r="AT495" s="1056"/>
      <c r="AU495" s="1056"/>
      <c r="AV495" s="1056"/>
      <c r="AW495" s="1056"/>
    </row>
    <row r="496" spans="26:49" ht="14.15" customHeight="1" x14ac:dyDescent="0.35">
      <c r="Z496" s="422"/>
      <c r="AA496" s="422"/>
      <c r="AB496" s="422"/>
      <c r="AC496" s="1068"/>
      <c r="AD496" s="1068"/>
      <c r="AE496" s="1073"/>
      <c r="AF496" s="1073"/>
      <c r="AG496" s="1068"/>
      <c r="AH496" s="1068"/>
      <c r="AI496" s="1077"/>
      <c r="AJ496" s="1070"/>
      <c r="AK496" s="1071"/>
      <c r="AM496" s="1072"/>
      <c r="AP496" s="1056"/>
      <c r="AQ496" s="1056"/>
      <c r="AS496" s="1056"/>
      <c r="AT496" s="1056"/>
      <c r="AU496" s="1056"/>
      <c r="AV496" s="1056"/>
      <c r="AW496" s="1056"/>
    </row>
    <row r="497" spans="26:49" ht="14.15" customHeight="1" x14ac:dyDescent="0.35">
      <c r="Z497" s="422"/>
      <c r="AA497" s="422"/>
      <c r="AB497" s="422"/>
      <c r="AC497" s="1071"/>
      <c r="AD497" s="1071"/>
      <c r="AE497" s="1074"/>
      <c r="AF497" s="1074"/>
      <c r="AG497" s="1069"/>
      <c r="AH497" s="1069"/>
      <c r="AI497" s="1077"/>
      <c r="AJ497" s="1070"/>
      <c r="AK497" s="1071"/>
      <c r="AM497" s="1072"/>
      <c r="AP497" s="1056"/>
      <c r="AQ497" s="1056"/>
      <c r="AS497" s="1056"/>
      <c r="AT497" s="1056"/>
      <c r="AU497" s="1056"/>
      <c r="AV497" s="1056"/>
      <c r="AW497" s="1056"/>
    </row>
    <row r="498" spans="26:49" ht="14.15" customHeight="1" x14ac:dyDescent="0.35">
      <c r="Z498" s="422"/>
      <c r="AA498" s="422"/>
      <c r="AB498" s="422"/>
      <c r="AC498" s="1068"/>
      <c r="AD498" s="1068"/>
      <c r="AE498" s="1073"/>
      <c r="AF498" s="1073"/>
      <c r="AG498" s="1068"/>
      <c r="AH498" s="1068"/>
      <c r="AI498" s="1068"/>
      <c r="AJ498" s="1070"/>
      <c r="AK498" s="1071"/>
      <c r="AM498" s="1072"/>
      <c r="AP498" s="1056"/>
      <c r="AQ498" s="1056"/>
      <c r="AS498" s="1056"/>
      <c r="AT498" s="1056"/>
      <c r="AU498" s="1056"/>
      <c r="AV498" s="1056"/>
      <c r="AW498" s="1056"/>
    </row>
    <row r="499" spans="26:49" ht="14.15" customHeight="1" x14ac:dyDescent="0.35">
      <c r="Z499" s="422"/>
      <c r="AA499" s="422"/>
      <c r="AB499" s="422"/>
      <c r="AC499" s="1068"/>
      <c r="AD499" s="1068"/>
      <c r="AE499" s="1073"/>
      <c r="AF499" s="1073"/>
      <c r="AG499" s="1068"/>
      <c r="AH499" s="1068"/>
      <c r="AI499" s="1068"/>
      <c r="AJ499" s="1070"/>
      <c r="AK499" s="1071"/>
      <c r="AM499" s="1072"/>
      <c r="AP499" s="1056"/>
      <c r="AQ499" s="1056"/>
      <c r="AS499" s="1056"/>
      <c r="AT499" s="1056"/>
      <c r="AU499" s="1056"/>
      <c r="AV499" s="1056"/>
      <c r="AW499" s="1056"/>
    </row>
    <row r="500" spans="26:49" ht="14.15" customHeight="1" x14ac:dyDescent="0.35">
      <c r="Z500" s="422"/>
      <c r="AA500" s="422"/>
      <c r="AB500" s="422"/>
      <c r="AC500" s="1068"/>
      <c r="AD500" s="1068"/>
      <c r="AE500" s="1073"/>
      <c r="AF500" s="1073"/>
      <c r="AG500" s="1068"/>
      <c r="AH500" s="1068"/>
      <c r="AI500" s="1068"/>
      <c r="AJ500" s="1070"/>
      <c r="AK500" s="1071"/>
      <c r="AM500" s="1072"/>
      <c r="AP500" s="1056"/>
      <c r="AQ500" s="1056"/>
      <c r="AS500" s="1056"/>
      <c r="AT500" s="1056"/>
      <c r="AU500" s="1056"/>
      <c r="AV500" s="1056"/>
      <c r="AW500" s="1056"/>
    </row>
    <row r="501" spans="26:49" ht="14.15" customHeight="1" x14ac:dyDescent="0.35">
      <c r="Z501" s="422"/>
      <c r="AA501" s="422"/>
      <c r="AB501" s="422"/>
      <c r="AC501" s="1069"/>
      <c r="AD501" s="1069"/>
      <c r="AE501" s="1074"/>
      <c r="AF501" s="1074"/>
      <c r="AG501" s="1069"/>
      <c r="AH501" s="1069"/>
      <c r="AI501" s="1068"/>
      <c r="AJ501" s="1070"/>
      <c r="AK501" s="1071"/>
      <c r="AM501" s="1072"/>
      <c r="AP501" s="1056"/>
      <c r="AQ501" s="1056"/>
      <c r="AS501" s="1056"/>
      <c r="AT501" s="1056"/>
      <c r="AU501" s="1056"/>
      <c r="AV501" s="1056"/>
      <c r="AW501" s="1056"/>
    </row>
    <row r="502" spans="26:49" ht="14.15" customHeight="1" x14ac:dyDescent="0.35">
      <c r="Z502" s="422"/>
      <c r="AA502" s="422"/>
      <c r="AB502" s="422"/>
      <c r="AC502" s="1068"/>
      <c r="AD502" s="1068"/>
      <c r="AE502" s="1073"/>
      <c r="AF502" s="1073"/>
      <c r="AG502" s="1068"/>
      <c r="AH502" s="1068"/>
      <c r="AI502" s="1080"/>
      <c r="AJ502" s="1070"/>
      <c r="AK502" s="1071"/>
      <c r="AM502" s="1072"/>
      <c r="AP502" s="1056"/>
      <c r="AQ502" s="1056"/>
      <c r="AS502" s="1056"/>
      <c r="AT502" s="1056"/>
      <c r="AU502" s="1056"/>
      <c r="AV502" s="1056"/>
      <c r="AW502" s="1056"/>
    </row>
    <row r="503" spans="26:49" ht="14.15" customHeight="1" x14ac:dyDescent="0.35">
      <c r="Z503" s="422"/>
      <c r="AA503" s="422"/>
      <c r="AB503" s="422"/>
      <c r="AC503" s="1076"/>
      <c r="AD503" s="1076"/>
      <c r="AE503" s="1076"/>
      <c r="AF503" s="1076"/>
      <c r="AG503" s="1068"/>
      <c r="AH503" s="1068"/>
      <c r="AI503" s="1075"/>
      <c r="AJ503" s="1070"/>
      <c r="AK503" s="1071"/>
      <c r="AM503" s="1072"/>
      <c r="AP503" s="1056"/>
      <c r="AQ503" s="1056"/>
      <c r="AS503" s="1056"/>
      <c r="AT503" s="1056"/>
      <c r="AU503" s="1056"/>
      <c r="AV503" s="1056"/>
      <c r="AW503" s="1056"/>
    </row>
    <row r="504" spans="26:49" ht="14.15" customHeight="1" x14ac:dyDescent="0.35">
      <c r="Z504" s="422"/>
      <c r="AA504" s="422"/>
      <c r="AB504" s="422"/>
      <c r="AC504" s="1076"/>
      <c r="AD504" s="1076"/>
      <c r="AE504" s="1076"/>
      <c r="AF504" s="1076"/>
      <c r="AG504" s="1076"/>
      <c r="AH504" s="1068"/>
      <c r="AI504" s="1068"/>
      <c r="AJ504" s="1070"/>
      <c r="AK504" s="1071"/>
      <c r="AM504" s="1072"/>
      <c r="AP504" s="1058"/>
      <c r="AQ504" s="1057"/>
      <c r="AS504" s="1059"/>
      <c r="AT504" s="1058"/>
      <c r="AU504" s="1058"/>
      <c r="AV504" s="1058"/>
      <c r="AW504" s="1057"/>
    </row>
    <row r="505" spans="26:49" ht="14.15" customHeight="1" x14ac:dyDescent="0.35">
      <c r="Z505" s="422"/>
      <c r="AA505" s="422"/>
      <c r="AB505" s="422"/>
      <c r="AC505" s="1068"/>
      <c r="AD505" s="1068"/>
      <c r="AE505" s="1073"/>
      <c r="AF505" s="1073"/>
      <c r="AG505" s="1068"/>
      <c r="AH505" s="1068"/>
      <c r="AI505" s="1068"/>
      <c r="AJ505" s="1070"/>
      <c r="AK505" s="1071"/>
      <c r="AM505" s="1072"/>
      <c r="AP505" s="1056"/>
      <c r="AQ505" s="1056"/>
      <c r="AS505" s="1056"/>
      <c r="AT505" s="1056"/>
      <c r="AU505" s="1056"/>
      <c r="AV505" s="1056"/>
      <c r="AW505" s="1056"/>
    </row>
    <row r="506" spans="26:49" ht="14.15" customHeight="1" x14ac:dyDescent="0.35">
      <c r="Z506" s="422"/>
      <c r="AA506" s="422"/>
      <c r="AB506" s="422"/>
      <c r="AC506" s="1068"/>
      <c r="AD506" s="1068"/>
      <c r="AE506" s="1073"/>
      <c r="AF506" s="1073"/>
      <c r="AG506" s="1068"/>
      <c r="AH506" s="1068"/>
      <c r="AI506" s="1068"/>
      <c r="AJ506" s="1070"/>
      <c r="AK506" s="1071"/>
      <c r="AM506" s="1072"/>
      <c r="AP506" s="1056"/>
      <c r="AQ506" s="1056"/>
      <c r="AS506" s="1056"/>
      <c r="AT506" s="1056"/>
      <c r="AU506" s="1056"/>
      <c r="AV506" s="1056"/>
      <c r="AW506" s="1056"/>
    </row>
    <row r="507" spans="26:49" ht="14.15" customHeight="1" x14ac:dyDescent="0.35">
      <c r="Z507" s="422"/>
      <c r="AA507" s="422"/>
      <c r="AB507" s="422"/>
      <c r="AC507" s="1068"/>
      <c r="AD507" s="1068"/>
      <c r="AE507" s="1073"/>
      <c r="AF507" s="1073"/>
      <c r="AG507" s="1068"/>
      <c r="AH507" s="1068"/>
      <c r="AI507" s="1080"/>
      <c r="AJ507" s="1070"/>
      <c r="AK507" s="1071"/>
      <c r="AM507" s="1072"/>
      <c r="AP507" s="1056"/>
      <c r="AQ507" s="1056"/>
      <c r="AS507" s="1056"/>
      <c r="AT507" s="1056"/>
      <c r="AU507" s="1056"/>
      <c r="AV507" s="1056"/>
      <c r="AW507" s="1056"/>
    </row>
    <row r="508" spans="26:49" ht="14.15" customHeight="1" x14ac:dyDescent="0.35">
      <c r="Z508" s="422"/>
      <c r="AA508" s="422"/>
      <c r="AB508" s="422"/>
      <c r="AC508" s="1071"/>
      <c r="AD508" s="1071"/>
      <c r="AE508" s="1074"/>
      <c r="AF508" s="1074"/>
      <c r="AG508" s="1069"/>
      <c r="AH508" s="1069"/>
      <c r="AI508" s="1069"/>
      <c r="AJ508" s="1070"/>
      <c r="AK508" s="1071"/>
      <c r="AM508" s="1072"/>
      <c r="AP508" s="1056"/>
      <c r="AQ508" s="1056"/>
      <c r="AS508" s="1056"/>
      <c r="AT508" s="1056"/>
      <c r="AU508" s="1056"/>
      <c r="AV508" s="1056"/>
      <c r="AW508" s="1056"/>
    </row>
    <row r="509" spans="26:49" ht="14.15" customHeight="1" x14ac:dyDescent="0.35">
      <c r="Z509" s="422"/>
      <c r="AA509" s="422"/>
      <c r="AB509" s="422"/>
      <c r="AC509" s="1079"/>
      <c r="AD509" s="1079"/>
      <c r="AE509" s="1073"/>
      <c r="AF509" s="1073"/>
      <c r="AG509" s="1068"/>
      <c r="AH509" s="1068"/>
      <c r="AI509" s="1068"/>
      <c r="AJ509" s="1070"/>
      <c r="AK509" s="1071"/>
      <c r="AM509" s="1072"/>
      <c r="AP509" s="1056"/>
      <c r="AQ509" s="1056"/>
      <c r="AS509" s="1056"/>
      <c r="AT509" s="1056"/>
      <c r="AU509" s="1056"/>
      <c r="AV509" s="1056"/>
      <c r="AW509" s="1056"/>
    </row>
    <row r="510" spans="26:49" ht="14.15" customHeight="1" x14ac:dyDescent="0.35">
      <c r="Z510" s="422"/>
      <c r="AA510" s="422"/>
      <c r="AB510" s="422"/>
      <c r="AC510" s="1076"/>
      <c r="AD510" s="1076"/>
      <c r="AE510" s="1076"/>
      <c r="AF510" s="1076"/>
      <c r="AG510" s="1068"/>
      <c r="AH510" s="1068"/>
      <c r="AI510" s="1068"/>
      <c r="AJ510" s="1070"/>
      <c r="AK510" s="1071"/>
      <c r="AM510" s="1072"/>
      <c r="AP510" s="1056"/>
      <c r="AQ510" s="1056"/>
      <c r="AS510" s="1056"/>
      <c r="AT510" s="1056"/>
      <c r="AU510" s="1056"/>
      <c r="AV510" s="1056"/>
      <c r="AW510" s="1056"/>
    </row>
    <row r="511" spans="26:49" ht="14.15" customHeight="1" x14ac:dyDescent="0.35">
      <c r="Z511" s="422"/>
      <c r="AA511" s="422"/>
      <c r="AB511" s="422"/>
      <c r="AC511" s="1076"/>
      <c r="AD511" s="1076"/>
      <c r="AE511" s="1076"/>
      <c r="AF511" s="1076"/>
      <c r="AG511" s="1076"/>
      <c r="AH511" s="1068"/>
      <c r="AI511" s="1068"/>
      <c r="AJ511" s="1070"/>
      <c r="AK511" s="1071"/>
      <c r="AM511" s="1072"/>
      <c r="AP511" s="1058"/>
      <c r="AQ511" s="1057"/>
      <c r="AS511" s="1059"/>
      <c r="AT511" s="1058"/>
      <c r="AU511" s="1058"/>
      <c r="AV511" s="1058"/>
      <c r="AW511" s="1057"/>
    </row>
    <row r="512" spans="26:49" ht="14.15" customHeight="1" x14ac:dyDescent="0.35">
      <c r="Z512" s="422"/>
      <c r="AA512" s="422"/>
      <c r="AB512" s="422"/>
      <c r="AC512" s="1068"/>
      <c r="AD512" s="1068"/>
      <c r="AE512" s="1073"/>
      <c r="AF512" s="1073"/>
      <c r="AG512" s="1068"/>
      <c r="AH512" s="1068"/>
      <c r="AI512" s="1068"/>
      <c r="AJ512" s="1070"/>
      <c r="AK512" s="1071"/>
      <c r="AM512" s="1072"/>
      <c r="AP512" s="1056"/>
      <c r="AQ512" s="1056"/>
      <c r="AS512" s="1056"/>
      <c r="AT512" s="1056"/>
      <c r="AU512" s="1056"/>
      <c r="AV512" s="1056"/>
      <c r="AW512" s="1056"/>
    </row>
    <row r="513" spans="26:49" ht="14.15" customHeight="1" x14ac:dyDescent="0.35">
      <c r="Z513" s="422"/>
      <c r="AA513" s="422"/>
      <c r="AB513" s="422"/>
      <c r="AC513" s="1068"/>
      <c r="AD513" s="1068"/>
      <c r="AE513" s="1073"/>
      <c r="AF513" s="1073"/>
      <c r="AG513" s="1068"/>
      <c r="AH513" s="1068"/>
      <c r="AI513" s="1075"/>
      <c r="AJ513" s="1070"/>
      <c r="AK513" s="1071"/>
      <c r="AM513" s="1072"/>
      <c r="AP513" s="1056"/>
      <c r="AQ513" s="1056"/>
      <c r="AS513" s="1056"/>
      <c r="AT513" s="1056"/>
      <c r="AU513" s="1056"/>
      <c r="AV513" s="1056"/>
      <c r="AW513" s="1056"/>
    </row>
    <row r="514" spans="26:49" ht="14.15" customHeight="1" x14ac:dyDescent="0.35">
      <c r="Z514" s="422"/>
      <c r="AA514" s="422"/>
      <c r="AB514" s="422"/>
      <c r="AC514" s="1068"/>
      <c r="AD514" s="1068"/>
      <c r="AE514" s="1073"/>
      <c r="AF514" s="1073"/>
      <c r="AG514" s="1068"/>
      <c r="AH514" s="1068"/>
      <c r="AI514" s="1068"/>
      <c r="AJ514" s="1070"/>
      <c r="AK514" s="1071"/>
      <c r="AM514" s="1072"/>
      <c r="AP514" s="1056"/>
      <c r="AQ514" s="1056"/>
      <c r="AS514" s="1056"/>
      <c r="AT514" s="1056"/>
      <c r="AU514" s="1056"/>
      <c r="AV514" s="1056"/>
      <c r="AW514" s="1056"/>
    </row>
    <row r="515" spans="26:49" ht="14.15" customHeight="1" x14ac:dyDescent="0.35">
      <c r="Z515" s="422"/>
      <c r="AA515" s="422"/>
      <c r="AB515" s="422"/>
      <c r="AC515" s="1068"/>
      <c r="AD515" s="1068"/>
      <c r="AE515" s="1073"/>
      <c r="AF515" s="1073"/>
      <c r="AG515" s="1068"/>
      <c r="AH515" s="1068"/>
      <c r="AI515" s="1068"/>
      <c r="AJ515" s="1070"/>
      <c r="AK515" s="1071"/>
      <c r="AM515" s="1072"/>
      <c r="AP515" s="1056"/>
      <c r="AQ515" s="1056"/>
      <c r="AS515" s="1056"/>
      <c r="AT515" s="1056"/>
      <c r="AU515" s="1056"/>
      <c r="AV515" s="1056"/>
      <c r="AW515" s="1056"/>
    </row>
    <row r="516" spans="26:49" ht="14.15" customHeight="1" x14ac:dyDescent="0.35">
      <c r="Z516" s="422"/>
      <c r="AA516" s="422"/>
      <c r="AB516" s="422"/>
      <c r="AC516" s="1068"/>
      <c r="AD516" s="1068"/>
      <c r="AE516" s="1073"/>
      <c r="AF516" s="1073"/>
      <c r="AG516" s="1068"/>
      <c r="AH516" s="1068"/>
      <c r="AI516" s="1068"/>
      <c r="AJ516" s="1070"/>
      <c r="AK516" s="1071"/>
      <c r="AM516" s="1072"/>
      <c r="AP516" s="1056"/>
      <c r="AQ516" s="1056"/>
      <c r="AS516" s="1056"/>
      <c r="AT516" s="1056"/>
      <c r="AU516" s="1056"/>
      <c r="AV516" s="1056"/>
      <c r="AW516" s="1056"/>
    </row>
    <row r="517" spans="26:49" ht="14.15" customHeight="1" x14ac:dyDescent="0.35">
      <c r="Z517" s="422"/>
      <c r="AA517" s="422"/>
      <c r="AB517" s="422"/>
      <c r="AC517" s="1068"/>
      <c r="AD517" s="1068"/>
      <c r="AE517" s="1073"/>
      <c r="AF517" s="1073"/>
      <c r="AG517" s="1068"/>
      <c r="AH517" s="1068"/>
      <c r="AI517" s="1068"/>
      <c r="AJ517" s="1070"/>
      <c r="AK517" s="1071"/>
      <c r="AM517" s="1072"/>
      <c r="AP517" s="1056"/>
      <c r="AQ517" s="1056"/>
      <c r="AS517" s="1056"/>
      <c r="AT517" s="1056"/>
      <c r="AU517" s="1056"/>
      <c r="AV517" s="1056"/>
      <c r="AW517" s="1056"/>
    </row>
    <row r="518" spans="26:49" ht="14.15" customHeight="1" x14ac:dyDescent="0.35">
      <c r="Z518" s="422"/>
      <c r="AA518" s="422"/>
      <c r="AB518" s="422"/>
      <c r="AC518" s="1076"/>
      <c r="AD518" s="1076"/>
      <c r="AE518" s="1076"/>
      <c r="AF518" s="1076"/>
      <c r="AG518" s="1076"/>
      <c r="AH518" s="1068"/>
      <c r="AI518" s="1068"/>
      <c r="AJ518" s="1070"/>
      <c r="AK518" s="1071"/>
      <c r="AM518" s="1072"/>
      <c r="AP518" s="1058"/>
      <c r="AQ518" s="1057"/>
      <c r="AS518" s="1059"/>
      <c r="AT518" s="1058"/>
      <c r="AU518" s="1058"/>
      <c r="AV518" s="1058"/>
      <c r="AW518" s="1057"/>
    </row>
    <row r="519" spans="26:49" ht="14.15" customHeight="1" x14ac:dyDescent="0.35">
      <c r="Z519" s="422"/>
      <c r="AA519" s="422"/>
      <c r="AB519" s="422"/>
      <c r="AC519" s="1068"/>
      <c r="AD519" s="1068"/>
      <c r="AE519" s="1073"/>
      <c r="AF519" s="1073"/>
      <c r="AG519" s="1068"/>
      <c r="AH519" s="1068"/>
      <c r="AI519" s="1075"/>
      <c r="AJ519" s="1070"/>
      <c r="AK519" s="1071"/>
      <c r="AM519" s="1072"/>
      <c r="AP519" s="1056"/>
      <c r="AQ519" s="1056"/>
      <c r="AS519" s="1056"/>
      <c r="AT519" s="1056"/>
      <c r="AU519" s="1056"/>
      <c r="AV519" s="1056"/>
      <c r="AW519" s="1056"/>
    </row>
    <row r="520" spans="26:49" ht="14.15" customHeight="1" x14ac:dyDescent="0.35">
      <c r="Z520" s="422"/>
      <c r="AA520" s="422"/>
      <c r="AB520" s="422"/>
      <c r="AC520" s="1068"/>
      <c r="AD520" s="1068"/>
      <c r="AE520" s="1073"/>
      <c r="AF520" s="1073"/>
      <c r="AG520" s="1068"/>
      <c r="AH520" s="1068"/>
      <c r="AI520" s="1069"/>
      <c r="AJ520" s="1070"/>
      <c r="AK520" s="1071"/>
      <c r="AM520" s="1072"/>
      <c r="AP520" s="1056"/>
      <c r="AQ520" s="1056"/>
      <c r="AS520" s="1056"/>
      <c r="AT520" s="1056"/>
      <c r="AU520" s="1056"/>
      <c r="AV520" s="1056"/>
      <c r="AW520" s="1056"/>
    </row>
    <row r="521" spans="26:49" ht="14.15" customHeight="1" x14ac:dyDescent="0.35">
      <c r="Z521" s="422"/>
      <c r="AA521" s="422"/>
      <c r="AB521" s="422"/>
      <c r="AC521" s="1068"/>
      <c r="AD521" s="1068"/>
      <c r="AE521" s="1073"/>
      <c r="AF521" s="1073"/>
      <c r="AG521" s="1068"/>
      <c r="AH521" s="1068"/>
      <c r="AI521" s="1068"/>
      <c r="AJ521" s="1070"/>
      <c r="AK521" s="1071"/>
      <c r="AM521" s="1072"/>
      <c r="AP521" s="1056"/>
      <c r="AQ521" s="1056"/>
      <c r="AS521" s="1056"/>
      <c r="AT521" s="1056"/>
      <c r="AU521" s="1056"/>
      <c r="AV521" s="1056"/>
      <c r="AW521" s="1056"/>
    </row>
    <row r="522" spans="26:49" ht="14.15" customHeight="1" x14ac:dyDescent="0.35">
      <c r="Z522" s="422"/>
      <c r="AA522" s="422"/>
      <c r="AB522" s="422"/>
      <c r="AC522" s="1068"/>
      <c r="AD522" s="1068"/>
      <c r="AE522" s="1073"/>
      <c r="AF522" s="1073"/>
      <c r="AG522" s="1068"/>
      <c r="AH522" s="1068"/>
      <c r="AI522" s="1068"/>
      <c r="AJ522" s="1070"/>
      <c r="AK522" s="1071"/>
      <c r="AM522" s="1072"/>
      <c r="AP522" s="1056"/>
      <c r="AQ522" s="1056"/>
      <c r="AS522" s="1056"/>
      <c r="AT522" s="1056"/>
      <c r="AU522" s="1056"/>
      <c r="AV522" s="1056"/>
      <c r="AW522" s="1056"/>
    </row>
    <row r="523" spans="26:49" ht="14.15" customHeight="1" x14ac:dyDescent="0.35">
      <c r="Z523" s="422"/>
      <c r="AA523" s="422"/>
      <c r="AB523" s="422"/>
      <c r="AC523" s="1068"/>
      <c r="AD523" s="1068"/>
      <c r="AE523" s="1073"/>
      <c r="AF523" s="1073"/>
      <c r="AG523" s="1068"/>
      <c r="AH523" s="1068"/>
      <c r="AI523" s="1068"/>
      <c r="AJ523" s="1070"/>
      <c r="AK523" s="1071"/>
      <c r="AM523" s="1072"/>
      <c r="AP523" s="1056"/>
      <c r="AQ523" s="1056"/>
      <c r="AS523" s="1056"/>
      <c r="AT523" s="1056"/>
      <c r="AU523" s="1056"/>
      <c r="AV523" s="1056"/>
      <c r="AW523" s="1056"/>
    </row>
    <row r="524" spans="26:49" ht="14.15" customHeight="1" x14ac:dyDescent="0.35">
      <c r="Z524" s="422"/>
      <c r="AA524" s="422"/>
      <c r="AB524" s="422"/>
      <c r="AC524" s="1068"/>
      <c r="AD524" s="1068"/>
      <c r="AE524" s="1073"/>
      <c r="AF524" s="1073"/>
      <c r="AG524" s="1068"/>
      <c r="AH524" s="1068"/>
      <c r="AI524" s="1068"/>
      <c r="AJ524" s="1070"/>
      <c r="AK524" s="1071"/>
      <c r="AM524" s="1072"/>
      <c r="AP524" s="1056"/>
      <c r="AQ524" s="1056"/>
      <c r="AS524" s="1056"/>
      <c r="AT524" s="1056"/>
      <c r="AU524" s="1056"/>
      <c r="AV524" s="1056"/>
      <c r="AW524" s="1056"/>
    </row>
    <row r="525" spans="26:49" ht="14.15" customHeight="1" x14ac:dyDescent="0.35">
      <c r="Z525" s="422"/>
      <c r="AA525" s="422"/>
      <c r="AB525" s="422"/>
      <c r="AC525" s="1068"/>
      <c r="AD525" s="1068"/>
      <c r="AE525" s="1073"/>
      <c r="AF525" s="1073"/>
      <c r="AG525" s="1068"/>
      <c r="AH525" s="1068"/>
      <c r="AI525" s="1069"/>
      <c r="AJ525" s="1070"/>
      <c r="AK525" s="1071"/>
      <c r="AM525" s="1072"/>
      <c r="AP525" s="1056"/>
      <c r="AQ525" s="1056"/>
      <c r="AS525" s="1056"/>
      <c r="AT525" s="1056"/>
      <c r="AU525" s="1056"/>
      <c r="AV525" s="1056"/>
      <c r="AW525" s="1056"/>
    </row>
    <row r="526" spans="26:49" ht="14.15" customHeight="1" x14ac:dyDescent="0.35">
      <c r="Z526" s="422"/>
      <c r="AA526" s="422"/>
      <c r="AB526" s="422"/>
      <c r="AC526" s="1069"/>
      <c r="AD526" s="1069"/>
      <c r="AE526" s="1074"/>
      <c r="AF526" s="1074"/>
      <c r="AG526" s="1069"/>
      <c r="AH526" s="1068"/>
      <c r="AI526" s="1075"/>
      <c r="AJ526" s="1070"/>
      <c r="AK526" s="1071"/>
      <c r="AM526" s="1072"/>
      <c r="AP526" s="1056"/>
      <c r="AQ526" s="1056"/>
      <c r="AS526" s="1056"/>
      <c r="AT526" s="1056"/>
      <c r="AU526" s="1056"/>
      <c r="AV526" s="1056"/>
      <c r="AW526" s="1056"/>
    </row>
    <row r="527" spans="26:49" ht="14.15" customHeight="1" x14ac:dyDescent="0.35">
      <c r="Z527" s="422"/>
      <c r="AA527" s="422"/>
      <c r="AB527" s="422"/>
      <c r="AC527" s="1068"/>
      <c r="AD527" s="1068"/>
      <c r="AE527" s="1073"/>
      <c r="AF527" s="1073"/>
      <c r="AG527" s="1068"/>
      <c r="AH527" s="1068"/>
      <c r="AI527" s="1068"/>
      <c r="AJ527" s="1070"/>
      <c r="AK527" s="1071"/>
      <c r="AM527" s="1072"/>
      <c r="AP527" s="1056"/>
      <c r="AQ527" s="1056"/>
      <c r="AS527" s="1056"/>
      <c r="AT527" s="1056"/>
      <c r="AU527" s="1056"/>
      <c r="AV527" s="1056"/>
      <c r="AW527" s="1056"/>
    </row>
    <row r="528" spans="26:49" ht="14.15" customHeight="1" x14ac:dyDescent="0.35">
      <c r="Z528" s="422"/>
      <c r="AA528" s="422"/>
      <c r="AB528" s="422"/>
      <c r="AC528" s="1076"/>
      <c r="AD528" s="1076"/>
      <c r="AE528" s="1076"/>
      <c r="AF528" s="1076"/>
      <c r="AG528" s="1068"/>
      <c r="AH528" s="1068"/>
      <c r="AI528" s="1068"/>
      <c r="AJ528" s="1070"/>
      <c r="AK528" s="1071"/>
      <c r="AM528" s="1072"/>
      <c r="AP528" s="1056"/>
      <c r="AQ528" s="1056"/>
      <c r="AS528" s="1056"/>
      <c r="AT528" s="1056"/>
      <c r="AU528" s="1056"/>
      <c r="AV528" s="1056"/>
      <c r="AW528" s="1056"/>
    </row>
    <row r="529" spans="26:49" ht="14.15" customHeight="1" x14ac:dyDescent="0.35">
      <c r="Z529" s="422"/>
      <c r="AA529" s="422"/>
      <c r="AB529" s="422"/>
      <c r="AC529" s="1076"/>
      <c r="AD529" s="1076"/>
      <c r="AE529" s="1076"/>
      <c r="AF529" s="1076"/>
      <c r="AG529" s="1076"/>
      <c r="AH529" s="1068"/>
      <c r="AI529" s="1068"/>
      <c r="AJ529" s="1070"/>
      <c r="AK529" s="1071"/>
      <c r="AM529" s="1072"/>
      <c r="AP529" s="1056"/>
      <c r="AQ529" s="1056"/>
      <c r="AS529" s="1056"/>
      <c r="AT529" s="1056"/>
      <c r="AU529" s="1056"/>
      <c r="AV529" s="1056"/>
      <c r="AW529" s="1056"/>
    </row>
    <row r="530" spans="26:49" ht="14.15" customHeight="1" x14ac:dyDescent="0.35">
      <c r="Z530" s="422"/>
      <c r="AA530" s="422"/>
      <c r="AB530" s="422"/>
      <c r="AC530" s="1068"/>
      <c r="AD530" s="1068"/>
      <c r="AE530" s="1073"/>
      <c r="AF530" s="1073"/>
      <c r="AG530" s="1068"/>
      <c r="AH530" s="1068"/>
      <c r="AI530" s="1068"/>
      <c r="AJ530" s="1070"/>
      <c r="AK530" s="1071"/>
      <c r="AM530" s="1072"/>
      <c r="AP530" s="1058"/>
      <c r="AQ530" s="1057"/>
      <c r="AS530" s="1059"/>
      <c r="AT530" s="1058"/>
      <c r="AU530" s="1058"/>
      <c r="AV530" s="1058"/>
      <c r="AW530" s="1057"/>
    </row>
    <row r="531" spans="26:49" ht="14.15" customHeight="1" x14ac:dyDescent="0.35">
      <c r="Z531" s="422"/>
      <c r="AA531" s="422"/>
      <c r="AB531" s="422"/>
      <c r="AC531" s="1069"/>
      <c r="AD531" s="1069"/>
      <c r="AE531" s="1074"/>
      <c r="AF531" s="1074"/>
      <c r="AG531" s="1069"/>
      <c r="AH531" s="1069"/>
      <c r="AI531" s="1077"/>
      <c r="AJ531" s="1070"/>
      <c r="AK531" s="1071"/>
      <c r="AM531" s="1072"/>
      <c r="AP531" s="1056"/>
      <c r="AQ531" s="1056"/>
      <c r="AS531" s="1056"/>
      <c r="AT531" s="1056"/>
      <c r="AU531" s="1056"/>
      <c r="AV531" s="1056"/>
      <c r="AW531" s="1056"/>
    </row>
    <row r="532" spans="26:49" ht="14.15" customHeight="1" x14ac:dyDescent="0.35">
      <c r="Z532" s="422"/>
      <c r="AA532" s="422"/>
      <c r="AB532" s="422"/>
      <c r="AC532" s="1069"/>
      <c r="AD532" s="1069"/>
      <c r="AE532" s="1074"/>
      <c r="AF532" s="1074"/>
      <c r="AG532" s="1068"/>
      <c r="AH532" s="1068"/>
      <c r="AI532" s="1068"/>
      <c r="AJ532" s="1070"/>
      <c r="AK532" s="1071"/>
      <c r="AM532" s="1072"/>
      <c r="AP532" s="1056"/>
      <c r="AQ532" s="1056"/>
      <c r="AS532" s="1056"/>
      <c r="AT532" s="1056"/>
      <c r="AU532" s="1056"/>
      <c r="AV532" s="1056"/>
      <c r="AW532" s="1056"/>
    </row>
    <row r="533" spans="26:49" ht="14.15" customHeight="1" x14ac:dyDescent="0.35">
      <c r="Z533" s="422"/>
      <c r="AA533" s="422"/>
      <c r="AB533" s="422"/>
      <c r="AC533" s="1068"/>
      <c r="AD533" s="1068"/>
      <c r="AE533" s="1073"/>
      <c r="AF533" s="1073"/>
      <c r="AG533" s="1068"/>
      <c r="AH533" s="1068"/>
      <c r="AI533" s="1068"/>
      <c r="AJ533" s="1070"/>
      <c r="AK533" s="1071"/>
      <c r="AM533" s="1072"/>
      <c r="AP533" s="1056"/>
      <c r="AQ533" s="1056"/>
      <c r="AS533" s="1056"/>
      <c r="AT533" s="1056"/>
      <c r="AU533" s="1056"/>
      <c r="AV533" s="1056"/>
      <c r="AW533" s="1056"/>
    </row>
    <row r="534" spans="26:49" ht="14.15" customHeight="1" x14ac:dyDescent="0.35">
      <c r="Z534" s="422"/>
      <c r="AA534" s="422"/>
      <c r="AB534" s="422"/>
      <c r="AC534" s="1068"/>
      <c r="AD534" s="1068"/>
      <c r="AE534" s="1073"/>
      <c r="AF534" s="1073"/>
      <c r="AG534" s="1068"/>
      <c r="AH534" s="1068"/>
      <c r="AI534" s="1068"/>
      <c r="AJ534" s="1070"/>
      <c r="AK534" s="1071"/>
      <c r="AM534" s="1072"/>
      <c r="AP534" s="1056"/>
      <c r="AQ534" s="1056"/>
      <c r="AS534" s="1056"/>
      <c r="AT534" s="1056"/>
      <c r="AU534" s="1056"/>
      <c r="AV534" s="1056"/>
      <c r="AW534" s="1056"/>
    </row>
    <row r="535" spans="26:49" ht="14.15" customHeight="1" x14ac:dyDescent="0.35">
      <c r="Z535" s="422"/>
      <c r="AA535" s="422"/>
      <c r="AB535" s="422"/>
      <c r="AC535" s="1071"/>
      <c r="AD535" s="1071"/>
      <c r="AE535" s="1074"/>
      <c r="AF535" s="1074"/>
      <c r="AG535" s="1069"/>
      <c r="AH535" s="1069"/>
      <c r="AI535" s="1069"/>
      <c r="AJ535" s="1070"/>
      <c r="AK535" s="1071"/>
      <c r="AM535" s="1072"/>
      <c r="AP535" s="1056"/>
      <c r="AQ535" s="1056"/>
      <c r="AS535" s="1056"/>
      <c r="AT535" s="1056"/>
      <c r="AU535" s="1056"/>
      <c r="AV535" s="1056"/>
      <c r="AW535" s="1056"/>
    </row>
    <row r="536" spans="26:49" ht="14.15" customHeight="1" x14ac:dyDescent="0.35">
      <c r="Z536" s="422"/>
      <c r="AA536" s="422"/>
      <c r="AB536" s="422"/>
      <c r="AC536" s="1079"/>
      <c r="AD536" s="1079"/>
      <c r="AE536" s="1073"/>
      <c r="AF536" s="1073"/>
      <c r="AG536" s="1068"/>
      <c r="AH536" s="1068"/>
      <c r="AI536" s="1077"/>
      <c r="AJ536" s="1070"/>
      <c r="AK536" s="1071"/>
      <c r="AM536" s="1072"/>
      <c r="AP536" s="1056"/>
      <c r="AQ536" s="1056"/>
      <c r="AS536" s="1056"/>
      <c r="AT536" s="1056"/>
      <c r="AU536" s="1056"/>
      <c r="AV536" s="1056"/>
      <c r="AW536" s="1056"/>
    </row>
    <row r="537" spans="26:49" ht="14.15" customHeight="1" x14ac:dyDescent="0.35">
      <c r="Z537" s="422"/>
      <c r="AA537" s="422"/>
      <c r="AB537" s="422"/>
      <c r="AC537" s="1068"/>
      <c r="AD537" s="1068"/>
      <c r="AE537" s="1073"/>
      <c r="AF537" s="1073"/>
      <c r="AG537" s="1068"/>
      <c r="AH537" s="1068"/>
      <c r="AI537" s="1068"/>
      <c r="AJ537" s="1070"/>
      <c r="AK537" s="1071"/>
      <c r="AM537" s="1072"/>
      <c r="AP537" s="1056"/>
      <c r="AQ537" s="1056"/>
      <c r="AS537" s="1056"/>
      <c r="AT537" s="1056"/>
      <c r="AU537" s="1056"/>
      <c r="AV537" s="1056"/>
      <c r="AW537" s="1056"/>
    </row>
    <row r="538" spans="26:49" ht="14.15" customHeight="1" x14ac:dyDescent="0.35">
      <c r="Z538" s="422"/>
      <c r="AA538" s="422"/>
      <c r="AB538" s="422"/>
      <c r="AC538" s="1068"/>
      <c r="AD538" s="1068"/>
      <c r="AE538" s="1073"/>
      <c r="AF538" s="1073"/>
      <c r="AG538" s="1069"/>
      <c r="AH538" s="1068"/>
      <c r="AI538" s="1068"/>
      <c r="AJ538" s="1070"/>
      <c r="AK538" s="1071"/>
      <c r="AM538" s="1072"/>
      <c r="AP538" s="1056"/>
      <c r="AQ538" s="1056"/>
      <c r="AS538" s="1056"/>
      <c r="AT538" s="1056"/>
      <c r="AU538" s="1056"/>
      <c r="AV538" s="1056"/>
      <c r="AW538" s="1056"/>
    </row>
    <row r="539" spans="26:49" ht="14.15" customHeight="1" x14ac:dyDescent="0.35">
      <c r="Z539" s="422"/>
      <c r="AA539" s="422"/>
      <c r="AB539" s="422"/>
      <c r="AC539" s="1068"/>
      <c r="AD539" s="1068"/>
      <c r="AE539" s="1068"/>
      <c r="AF539" s="1068"/>
      <c r="AG539" s="1068"/>
      <c r="AH539" s="1068"/>
      <c r="AI539" s="1068"/>
      <c r="AJ539" s="1070"/>
      <c r="AK539" s="1071"/>
      <c r="AM539" s="1072"/>
      <c r="AP539" s="1056"/>
      <c r="AQ539" s="1056"/>
      <c r="AS539" s="1056"/>
      <c r="AT539" s="1056"/>
      <c r="AU539" s="1056"/>
      <c r="AV539" s="1056"/>
      <c r="AW539" s="1056"/>
    </row>
    <row r="540" spans="26:49" ht="14.15" customHeight="1" x14ac:dyDescent="0.35">
      <c r="Z540" s="422"/>
      <c r="AA540" s="422"/>
      <c r="AB540" s="422"/>
      <c r="AC540" s="1068"/>
      <c r="AD540" s="1068"/>
      <c r="AE540" s="1073"/>
      <c r="AF540" s="1073"/>
      <c r="AG540" s="1068"/>
      <c r="AH540" s="1068"/>
      <c r="AI540" s="1068"/>
      <c r="AJ540" s="1070"/>
      <c r="AK540" s="1071"/>
      <c r="AM540" s="1072"/>
      <c r="AP540" s="1056"/>
      <c r="AQ540" s="1056"/>
      <c r="AS540" s="1056"/>
      <c r="AT540" s="1056"/>
      <c r="AU540" s="1056"/>
      <c r="AV540" s="1056"/>
      <c r="AW540" s="1056"/>
    </row>
    <row r="541" spans="26:49" ht="14.15" customHeight="1" x14ac:dyDescent="0.35">
      <c r="Z541" s="422"/>
      <c r="AA541" s="422"/>
      <c r="AB541" s="422"/>
      <c r="AC541" s="1069"/>
      <c r="AD541" s="1069"/>
      <c r="AE541" s="1074"/>
      <c r="AF541" s="1074"/>
      <c r="AG541" s="1069"/>
      <c r="AH541" s="1069"/>
      <c r="AI541" s="1075"/>
      <c r="AJ541" s="1070"/>
      <c r="AK541" s="1071"/>
      <c r="AM541" s="1072"/>
      <c r="AP541" s="1056"/>
      <c r="AQ541" s="1056"/>
      <c r="AS541" s="1056"/>
      <c r="AT541" s="1056"/>
      <c r="AU541" s="1056"/>
      <c r="AV541" s="1056"/>
      <c r="AW541" s="1056"/>
    </row>
    <row r="542" spans="26:49" ht="14.15" customHeight="1" x14ac:dyDescent="0.35">
      <c r="Z542" s="422"/>
      <c r="AA542" s="422"/>
      <c r="AB542" s="422"/>
      <c r="AC542" s="1068"/>
      <c r="AD542" s="1068"/>
      <c r="AE542" s="1073"/>
      <c r="AF542" s="1073"/>
      <c r="AG542" s="1068"/>
      <c r="AH542" s="1068"/>
      <c r="AI542" s="1068"/>
      <c r="AJ542" s="1070"/>
      <c r="AK542" s="1071"/>
      <c r="AM542" s="1072"/>
      <c r="AP542" s="1056"/>
      <c r="AQ542" s="1056"/>
      <c r="AS542" s="1056"/>
      <c r="AT542" s="1056"/>
      <c r="AU542" s="1056"/>
      <c r="AV542" s="1056"/>
      <c r="AW542" s="1056"/>
    </row>
    <row r="543" spans="26:49" ht="14.15" customHeight="1" x14ac:dyDescent="0.35">
      <c r="Z543" s="422"/>
      <c r="AA543" s="422"/>
      <c r="AB543" s="422"/>
      <c r="AC543" s="1068"/>
      <c r="AD543" s="1068"/>
      <c r="AE543" s="1073"/>
      <c r="AF543" s="1073"/>
      <c r="AG543" s="1068"/>
      <c r="AH543" s="1068"/>
      <c r="AI543" s="1069"/>
      <c r="AJ543" s="1070"/>
      <c r="AK543" s="1071"/>
      <c r="AM543" s="1072"/>
      <c r="AP543" s="1056"/>
      <c r="AQ543" s="1056"/>
      <c r="AS543" s="1056"/>
      <c r="AT543" s="1056"/>
      <c r="AU543" s="1056"/>
      <c r="AV543" s="1056"/>
      <c r="AW543" s="1056"/>
    </row>
    <row r="544" spans="26:49" ht="14.15" customHeight="1" x14ac:dyDescent="0.35">
      <c r="Z544" s="422"/>
      <c r="AA544" s="422"/>
      <c r="AB544" s="422"/>
      <c r="AC544" s="1071"/>
      <c r="AD544" s="1071"/>
      <c r="AE544" s="1074"/>
      <c r="AF544" s="1074"/>
      <c r="AG544" s="1069"/>
      <c r="AH544" s="1068"/>
      <c r="AI544" s="1075"/>
      <c r="AJ544" s="1070"/>
      <c r="AK544" s="1071"/>
      <c r="AM544" s="1072"/>
      <c r="AP544" s="1056"/>
      <c r="AQ544" s="1056"/>
      <c r="AS544" s="1056"/>
      <c r="AT544" s="1056"/>
      <c r="AU544" s="1056"/>
      <c r="AV544" s="1056"/>
      <c r="AW544" s="1056"/>
    </row>
    <row r="545" spans="26:49" ht="14.15" customHeight="1" x14ac:dyDescent="0.35">
      <c r="Z545" s="422"/>
      <c r="AA545" s="422"/>
      <c r="AB545" s="422"/>
      <c r="AC545" s="1071"/>
      <c r="AD545" s="1071"/>
      <c r="AE545" s="1074"/>
      <c r="AF545" s="1074"/>
      <c r="AG545" s="1069"/>
      <c r="AH545" s="1068"/>
      <c r="AI545" s="1075"/>
      <c r="AJ545" s="1070"/>
      <c r="AK545" s="1071"/>
      <c r="AM545" s="1072"/>
      <c r="AP545" s="1056"/>
      <c r="AQ545" s="1056"/>
      <c r="AS545" s="1056"/>
      <c r="AT545" s="1056"/>
      <c r="AU545" s="1056"/>
      <c r="AV545" s="1056"/>
      <c r="AW545" s="1056"/>
    </row>
    <row r="546" spans="26:49" ht="14.15" customHeight="1" x14ac:dyDescent="0.35">
      <c r="Z546" s="422"/>
      <c r="AA546" s="422"/>
      <c r="AB546" s="422"/>
      <c r="AC546" s="1076"/>
      <c r="AD546" s="1076"/>
      <c r="AE546" s="1076"/>
      <c r="AF546" s="1076"/>
      <c r="AG546" s="1076"/>
      <c r="AH546" s="1068"/>
      <c r="AI546" s="1075"/>
      <c r="AJ546" s="1070"/>
      <c r="AK546" s="1071"/>
      <c r="AM546" s="1072"/>
      <c r="AP546" s="1056"/>
      <c r="AQ546" s="1056"/>
      <c r="AS546" s="1056"/>
      <c r="AT546" s="1056"/>
      <c r="AU546" s="1056"/>
      <c r="AV546" s="1056"/>
      <c r="AW546" s="1056"/>
    </row>
    <row r="547" spans="26:49" ht="14.15" customHeight="1" x14ac:dyDescent="0.35">
      <c r="Z547" s="422"/>
      <c r="AA547" s="422"/>
      <c r="AB547" s="422"/>
      <c r="AC547" s="1068"/>
      <c r="AD547" s="1068"/>
      <c r="AE547" s="1073"/>
      <c r="AF547" s="1073"/>
      <c r="AG547" s="1068"/>
      <c r="AH547" s="1068"/>
      <c r="AI547" s="1068"/>
      <c r="AJ547" s="1070"/>
      <c r="AK547" s="1071"/>
      <c r="AM547" s="1072"/>
      <c r="AP547" s="1058"/>
      <c r="AQ547" s="1057"/>
      <c r="AS547" s="1059"/>
      <c r="AT547" s="1058"/>
      <c r="AU547" s="1058"/>
      <c r="AV547" s="1058"/>
      <c r="AW547" s="1057"/>
    </row>
    <row r="548" spans="26:49" ht="14.15" customHeight="1" x14ac:dyDescent="0.35">
      <c r="Z548" s="422"/>
      <c r="AA548" s="422"/>
      <c r="AB548" s="422"/>
      <c r="AC548" s="1068"/>
      <c r="AD548" s="1068"/>
      <c r="AE548" s="1073"/>
      <c r="AF548" s="1073"/>
      <c r="AG548" s="1068"/>
      <c r="AH548" s="1068"/>
      <c r="AI548" s="1068"/>
      <c r="AJ548" s="1070"/>
      <c r="AK548" s="1071"/>
      <c r="AM548" s="1072"/>
      <c r="AP548" s="1056"/>
      <c r="AQ548" s="1056"/>
      <c r="AS548" s="1056"/>
      <c r="AT548" s="1056"/>
      <c r="AU548" s="1056"/>
      <c r="AV548" s="1056"/>
      <c r="AW548" s="1056"/>
    </row>
    <row r="549" spans="26:49" ht="14.15" customHeight="1" x14ac:dyDescent="0.35">
      <c r="Z549" s="422"/>
      <c r="AA549" s="422"/>
      <c r="AB549" s="422"/>
      <c r="AC549" s="1068"/>
      <c r="AD549" s="1068"/>
      <c r="AE549" s="1073"/>
      <c r="AF549" s="1073"/>
      <c r="AG549" s="1068"/>
      <c r="AH549" s="1068"/>
      <c r="AI549" s="1075"/>
      <c r="AJ549" s="1070"/>
      <c r="AK549" s="1071"/>
      <c r="AM549" s="1072"/>
      <c r="AP549" s="1056"/>
      <c r="AQ549" s="1056"/>
      <c r="AS549" s="1056"/>
      <c r="AT549" s="1056"/>
      <c r="AU549" s="1056"/>
      <c r="AV549" s="1056"/>
      <c r="AW549" s="1056"/>
    </row>
    <row r="550" spans="26:49" ht="14.15" customHeight="1" x14ac:dyDescent="0.35">
      <c r="Z550" s="422"/>
      <c r="AA550" s="422"/>
      <c r="AB550" s="422"/>
      <c r="AC550" s="1068"/>
      <c r="AD550" s="1068"/>
      <c r="AE550" s="1073"/>
      <c r="AF550" s="1073"/>
      <c r="AG550" s="1068"/>
      <c r="AH550" s="1068"/>
      <c r="AI550" s="1069"/>
      <c r="AJ550" s="1070"/>
      <c r="AK550" s="1071"/>
      <c r="AM550" s="1072"/>
      <c r="AP550" s="1056"/>
      <c r="AQ550" s="1056"/>
      <c r="AS550" s="1056"/>
      <c r="AT550" s="1056"/>
      <c r="AU550" s="1056"/>
      <c r="AV550" s="1056"/>
      <c r="AW550" s="1056"/>
    </row>
    <row r="551" spans="26:49" ht="14.15" customHeight="1" x14ac:dyDescent="0.35">
      <c r="Z551" s="422"/>
      <c r="AA551" s="422"/>
      <c r="AB551" s="422"/>
      <c r="AC551" s="1068"/>
      <c r="AD551" s="1068"/>
      <c r="AE551" s="1073"/>
      <c r="AF551" s="1073"/>
      <c r="AG551" s="1068"/>
      <c r="AH551" s="1068"/>
      <c r="AI551" s="1069"/>
      <c r="AJ551" s="1070"/>
      <c r="AK551" s="1071"/>
      <c r="AM551" s="1072"/>
      <c r="AP551" s="1056"/>
      <c r="AQ551" s="1056"/>
      <c r="AS551" s="1056"/>
      <c r="AT551" s="1056"/>
      <c r="AU551" s="1056"/>
      <c r="AV551" s="1056"/>
      <c r="AW551" s="1056"/>
    </row>
    <row r="552" spans="26:49" ht="14.15" customHeight="1" x14ac:dyDescent="0.35">
      <c r="Z552" s="422"/>
      <c r="AA552" s="422"/>
      <c r="AB552" s="422"/>
      <c r="AC552" s="1069"/>
      <c r="AD552" s="1069"/>
      <c r="AE552" s="1074"/>
      <c r="AF552" s="1074"/>
      <c r="AG552" s="1069"/>
      <c r="AH552" s="1068"/>
      <c r="AI552" s="1068"/>
      <c r="AJ552" s="1070"/>
      <c r="AK552" s="1071"/>
      <c r="AM552" s="1072"/>
      <c r="AP552" s="1056"/>
      <c r="AQ552" s="1056"/>
      <c r="AS552" s="1056"/>
      <c r="AT552" s="1056"/>
      <c r="AU552" s="1056"/>
      <c r="AV552" s="1056"/>
      <c r="AW552" s="1056"/>
    </row>
    <row r="553" spans="26:49" ht="14.15" customHeight="1" x14ac:dyDescent="0.35">
      <c r="Z553" s="422"/>
      <c r="AA553" s="422"/>
      <c r="AB553" s="422"/>
      <c r="AC553" s="1079"/>
      <c r="AD553" s="1079"/>
      <c r="AE553" s="1073"/>
      <c r="AF553" s="1073"/>
      <c r="AG553" s="1068"/>
      <c r="AH553" s="1068"/>
      <c r="AI553" s="1077"/>
      <c r="AJ553" s="1070"/>
      <c r="AK553" s="1071"/>
      <c r="AM553" s="1072"/>
      <c r="AP553" s="1056"/>
      <c r="AQ553" s="1056"/>
      <c r="AS553" s="1056"/>
      <c r="AT553" s="1056"/>
      <c r="AU553" s="1056"/>
      <c r="AV553" s="1056"/>
      <c r="AW553" s="1056"/>
    </row>
    <row r="554" spans="26:49" ht="14.15" customHeight="1" x14ac:dyDescent="0.35">
      <c r="Z554" s="422"/>
      <c r="AA554" s="422"/>
      <c r="AB554" s="422"/>
      <c r="AC554" s="1079"/>
      <c r="AD554" s="1079"/>
      <c r="AE554" s="1073"/>
      <c r="AF554" s="1073"/>
      <c r="AG554" s="1068"/>
      <c r="AH554" s="1068"/>
      <c r="AI554" s="1068"/>
      <c r="AJ554" s="1070"/>
      <c r="AK554" s="1071"/>
      <c r="AM554" s="1072"/>
      <c r="AP554" s="1056"/>
      <c r="AQ554" s="1056"/>
      <c r="AS554" s="1056"/>
      <c r="AT554" s="1056"/>
      <c r="AU554" s="1056"/>
      <c r="AV554" s="1056"/>
      <c r="AW554" s="1056"/>
    </row>
    <row r="555" spans="26:49" ht="14.15" customHeight="1" x14ac:dyDescent="0.35">
      <c r="Z555" s="422"/>
      <c r="AA555" s="422"/>
      <c r="AB555" s="422"/>
      <c r="AC555" s="1068"/>
      <c r="AD555" s="1068"/>
      <c r="AE555" s="1073"/>
      <c r="AF555" s="1073"/>
      <c r="AG555" s="1068"/>
      <c r="AH555" s="1068"/>
      <c r="AI555" s="1068"/>
      <c r="AJ555" s="1070"/>
      <c r="AK555" s="1071"/>
      <c r="AM555" s="1072"/>
      <c r="AP555" s="1056"/>
      <c r="AQ555" s="1056"/>
      <c r="AS555" s="1056"/>
      <c r="AT555" s="1056"/>
      <c r="AU555" s="1056"/>
      <c r="AV555" s="1056"/>
      <c r="AW555" s="1056"/>
    </row>
    <row r="556" spans="26:49" ht="14.15" customHeight="1" x14ac:dyDescent="0.35">
      <c r="Z556" s="422"/>
      <c r="AA556" s="422"/>
      <c r="AB556" s="422"/>
      <c r="AC556" s="1068"/>
      <c r="AD556" s="1068"/>
      <c r="AE556" s="1073"/>
      <c r="AF556" s="1073"/>
      <c r="AG556" s="1068"/>
      <c r="AH556" s="1068"/>
      <c r="AI556" s="1077"/>
      <c r="AJ556" s="1070"/>
      <c r="AK556" s="1071"/>
      <c r="AM556" s="1072"/>
      <c r="AP556" s="1056"/>
      <c r="AQ556" s="1056"/>
      <c r="AS556" s="1056"/>
      <c r="AT556" s="1056"/>
      <c r="AU556" s="1056"/>
      <c r="AV556" s="1056"/>
      <c r="AW556" s="1056"/>
    </row>
    <row r="557" spans="26:49" ht="14.15" customHeight="1" x14ac:dyDescent="0.35">
      <c r="Z557" s="422"/>
      <c r="AA557" s="422"/>
      <c r="AB557" s="422"/>
      <c r="AC557" s="1068"/>
      <c r="AD557" s="1068"/>
      <c r="AE557" s="1073"/>
      <c r="AF557" s="1073"/>
      <c r="AG557" s="1068"/>
      <c r="AH557" s="1068"/>
      <c r="AI557" s="1077"/>
      <c r="AJ557" s="1070"/>
      <c r="AK557" s="1071"/>
      <c r="AM557" s="1072"/>
      <c r="AP557" s="1056"/>
      <c r="AQ557" s="1056"/>
      <c r="AS557" s="1056"/>
      <c r="AT557" s="1056"/>
      <c r="AU557" s="1056"/>
      <c r="AV557" s="1056"/>
      <c r="AW557" s="1056"/>
    </row>
    <row r="558" spans="26:49" ht="14.15" customHeight="1" x14ac:dyDescent="0.35">
      <c r="Z558" s="422"/>
      <c r="AA558" s="422"/>
      <c r="AB558" s="422"/>
      <c r="AC558" s="1076"/>
      <c r="AD558" s="1076"/>
      <c r="AE558" s="1076"/>
      <c r="AF558" s="1076"/>
      <c r="AG558" s="1068"/>
      <c r="AH558" s="1068"/>
      <c r="AI558" s="1068"/>
      <c r="AJ558" s="1070"/>
      <c r="AK558" s="1071"/>
      <c r="AM558" s="1072"/>
      <c r="AP558" s="1056"/>
      <c r="AQ558" s="1056"/>
      <c r="AS558" s="1056"/>
      <c r="AT558" s="1056"/>
      <c r="AU558" s="1056"/>
      <c r="AV558" s="1056"/>
      <c r="AW558" s="1056"/>
    </row>
    <row r="559" spans="26:49" ht="14.15" customHeight="1" x14ac:dyDescent="0.35">
      <c r="Z559" s="422"/>
      <c r="AA559" s="422"/>
      <c r="AB559" s="422"/>
      <c r="AC559" s="1076"/>
      <c r="AD559" s="1076"/>
      <c r="AE559" s="1076"/>
      <c r="AF559" s="1076"/>
      <c r="AG559" s="1076"/>
      <c r="AH559" s="1068"/>
      <c r="AI559" s="1075"/>
      <c r="AJ559" s="1070"/>
      <c r="AK559" s="1071"/>
      <c r="AM559" s="1072"/>
      <c r="AP559" s="1056"/>
      <c r="AQ559" s="1056"/>
      <c r="AS559" s="1056"/>
      <c r="AT559" s="1056"/>
      <c r="AU559" s="1056"/>
      <c r="AV559" s="1056"/>
      <c r="AW559" s="1056"/>
    </row>
    <row r="560" spans="26:49" ht="14.15" customHeight="1" x14ac:dyDescent="0.35">
      <c r="AC560" s="1068"/>
      <c r="AD560" s="1068"/>
      <c r="AE560" s="1073"/>
      <c r="AF560" s="1073"/>
      <c r="AG560" s="1068"/>
      <c r="AH560" s="1068"/>
      <c r="AI560" s="1068"/>
      <c r="AJ560" s="1070"/>
      <c r="AK560" s="1071"/>
      <c r="AM560" s="1072"/>
      <c r="AP560" s="1058"/>
      <c r="AQ560" s="1057"/>
      <c r="AS560" s="1059"/>
      <c r="AT560" s="1058"/>
      <c r="AU560" s="1058"/>
      <c r="AV560" s="1058"/>
      <c r="AW560" s="1057"/>
    </row>
    <row r="561" spans="26:49" ht="14.15" customHeight="1" x14ac:dyDescent="0.35">
      <c r="Z561" s="422"/>
      <c r="AA561" s="422"/>
      <c r="AB561" s="422"/>
      <c r="AC561" s="1079"/>
      <c r="AD561" s="1079"/>
      <c r="AE561" s="1073"/>
      <c r="AF561" s="1073"/>
      <c r="AG561" s="1068"/>
      <c r="AH561" s="1068"/>
      <c r="AI561" s="1068"/>
      <c r="AJ561" s="1070"/>
      <c r="AK561" s="1071"/>
      <c r="AM561" s="1072"/>
      <c r="AP561" s="1056"/>
      <c r="AQ561" s="1056"/>
      <c r="AS561" s="1056"/>
      <c r="AT561" s="1056"/>
      <c r="AU561" s="1056"/>
      <c r="AV561" s="1056"/>
      <c r="AW561" s="1056"/>
    </row>
    <row r="562" spans="26:49" ht="14.15" customHeight="1" x14ac:dyDescent="0.35">
      <c r="Z562" s="422"/>
      <c r="AA562" s="422"/>
      <c r="AB562" s="422"/>
      <c r="AC562" s="1076"/>
      <c r="AD562" s="1076"/>
      <c r="AE562" s="1076"/>
      <c r="AF562" s="1076"/>
      <c r="AG562" s="1076"/>
      <c r="AH562" s="1068"/>
      <c r="AI562" s="1068"/>
      <c r="AJ562" s="1070"/>
      <c r="AK562" s="1071"/>
      <c r="AM562" s="1072"/>
      <c r="AP562" s="1056"/>
      <c r="AQ562" s="1056"/>
      <c r="AS562" s="1056"/>
      <c r="AT562" s="1056"/>
      <c r="AU562" s="1056"/>
      <c r="AV562" s="1056"/>
      <c r="AW562" s="1056"/>
    </row>
    <row r="563" spans="26:49" ht="14.15" customHeight="1" x14ac:dyDescent="0.35">
      <c r="Z563" s="422"/>
      <c r="AA563" s="422"/>
      <c r="AB563" s="422"/>
      <c r="AC563" s="1076"/>
      <c r="AD563" s="1076"/>
      <c r="AE563" s="1073"/>
      <c r="AF563" s="1073"/>
      <c r="AG563" s="1068"/>
      <c r="AH563" s="1068"/>
      <c r="AI563" s="1068"/>
      <c r="AJ563" s="1070"/>
      <c r="AK563" s="1071"/>
      <c r="AM563" s="1072"/>
      <c r="AP563" s="1058"/>
      <c r="AQ563" s="1057"/>
      <c r="AS563" s="1059"/>
      <c r="AT563" s="1058"/>
      <c r="AU563" s="1058"/>
      <c r="AV563" s="1058"/>
      <c r="AW563" s="1057"/>
    </row>
    <row r="564" spans="26:49" ht="14.15" customHeight="1" x14ac:dyDescent="0.35">
      <c r="Z564" s="422"/>
      <c r="AA564" s="422"/>
      <c r="AB564" s="422"/>
      <c r="AC564" s="1076"/>
      <c r="AD564" s="1076"/>
      <c r="AE564" s="1076"/>
      <c r="AF564" s="1076"/>
      <c r="AG564" s="1068"/>
      <c r="AH564" s="1068"/>
      <c r="AI564" s="1069"/>
      <c r="AJ564" s="1070"/>
      <c r="AK564" s="1071"/>
      <c r="AM564" s="1072"/>
      <c r="AP564" s="1056"/>
      <c r="AQ564" s="1056"/>
      <c r="AS564" s="1056"/>
      <c r="AT564" s="1056"/>
      <c r="AU564" s="1056"/>
      <c r="AV564" s="1056"/>
      <c r="AW564" s="1056"/>
    </row>
    <row r="565" spans="26:49" ht="14.15" customHeight="1" x14ac:dyDescent="0.35">
      <c r="Z565" s="422"/>
      <c r="AA565" s="422"/>
      <c r="AB565" s="422"/>
      <c r="AC565" s="1076"/>
      <c r="AD565" s="1076"/>
      <c r="AE565" s="1076"/>
      <c r="AF565" s="1076"/>
      <c r="AG565" s="1076"/>
      <c r="AH565" s="1068"/>
      <c r="AI565" s="1068"/>
      <c r="AJ565" s="1070"/>
      <c r="AK565" s="1071"/>
      <c r="AM565" s="1072"/>
      <c r="AP565" s="1056"/>
      <c r="AQ565" s="1056"/>
      <c r="AS565" s="1056"/>
      <c r="AT565" s="1056"/>
      <c r="AU565" s="1056"/>
      <c r="AV565" s="1056"/>
      <c r="AW565" s="1056"/>
    </row>
    <row r="566" spans="26:49" ht="14.15" customHeight="1" x14ac:dyDescent="0.35">
      <c r="Z566" s="422"/>
      <c r="AA566" s="422"/>
      <c r="AB566" s="422"/>
      <c r="AC566" s="1068"/>
      <c r="AD566" s="1068"/>
      <c r="AE566" s="1073"/>
      <c r="AF566" s="1073"/>
      <c r="AG566" s="1068"/>
      <c r="AH566" s="1068"/>
      <c r="AI566" s="1068"/>
      <c r="AJ566" s="1070"/>
      <c r="AK566" s="1071"/>
      <c r="AM566" s="1072"/>
      <c r="AP566" s="1058"/>
      <c r="AQ566" s="1057"/>
      <c r="AS566" s="1059"/>
      <c r="AT566" s="1058"/>
      <c r="AU566" s="1058"/>
      <c r="AV566" s="1058"/>
      <c r="AW566" s="1057"/>
    </row>
    <row r="567" spans="26:49" ht="14.15" customHeight="1" x14ac:dyDescent="0.35">
      <c r="Z567" s="422"/>
      <c r="AA567" s="422"/>
      <c r="AB567" s="422"/>
      <c r="AC567" s="1071"/>
      <c r="AD567" s="1071"/>
      <c r="AE567" s="1074"/>
      <c r="AF567" s="1074"/>
      <c r="AG567" s="1069"/>
      <c r="AH567" s="1069"/>
      <c r="AI567" s="1077"/>
      <c r="AJ567" s="1070"/>
      <c r="AK567" s="1071"/>
      <c r="AM567" s="1072"/>
      <c r="AP567" s="1056"/>
      <c r="AQ567" s="1056"/>
      <c r="AS567" s="1056"/>
      <c r="AT567" s="1056"/>
      <c r="AU567" s="1056"/>
      <c r="AV567" s="1056"/>
      <c r="AW567" s="1056"/>
    </row>
    <row r="568" spans="26:49" ht="14.15" customHeight="1" x14ac:dyDescent="0.35">
      <c r="Z568" s="422"/>
      <c r="AA568" s="422"/>
      <c r="AB568" s="422"/>
      <c r="AC568" s="1071"/>
      <c r="AD568" s="1071"/>
      <c r="AE568" s="1074"/>
      <c r="AF568" s="1074"/>
      <c r="AG568" s="1069"/>
      <c r="AH568" s="1068"/>
      <c r="AI568" s="1068"/>
      <c r="AJ568" s="1070"/>
      <c r="AK568" s="1071"/>
      <c r="AM568" s="1072"/>
      <c r="AP568" s="1056"/>
      <c r="AQ568" s="1056"/>
      <c r="AS568" s="1056"/>
      <c r="AT568" s="1056"/>
      <c r="AU568" s="1056"/>
      <c r="AV568" s="1056"/>
      <c r="AW568" s="1056"/>
    </row>
    <row r="569" spans="26:49" ht="14.15" customHeight="1" x14ac:dyDescent="0.35">
      <c r="Z569" s="422"/>
      <c r="AA569" s="422"/>
      <c r="AB569" s="422"/>
      <c r="AC569" s="1076"/>
      <c r="AD569" s="1076"/>
      <c r="AE569" s="1076"/>
      <c r="AF569" s="1076"/>
      <c r="AG569" s="1068"/>
      <c r="AH569" s="1068"/>
      <c r="AI569" s="1068"/>
      <c r="AJ569" s="1070"/>
      <c r="AK569" s="1071"/>
      <c r="AM569" s="1072"/>
      <c r="AP569" s="1056"/>
      <c r="AQ569" s="1056"/>
      <c r="AS569" s="1056"/>
      <c r="AT569" s="1056"/>
      <c r="AU569" s="1056"/>
      <c r="AV569" s="1056"/>
      <c r="AW569" s="1056"/>
    </row>
    <row r="570" spans="26:49" ht="14.15" customHeight="1" x14ac:dyDescent="0.35">
      <c r="Z570" s="422"/>
      <c r="AA570" s="422"/>
      <c r="AB570" s="422"/>
      <c r="AC570" s="1076"/>
      <c r="AD570" s="1076"/>
      <c r="AE570" s="1076"/>
      <c r="AF570" s="1076"/>
      <c r="AG570" s="1076"/>
      <c r="AH570" s="1068"/>
      <c r="AI570" s="1068"/>
      <c r="AJ570" s="1070"/>
      <c r="AK570" s="1071"/>
      <c r="AM570" s="1072"/>
      <c r="AP570" s="1056"/>
      <c r="AQ570" s="1056"/>
      <c r="AS570" s="1056"/>
      <c r="AT570" s="1056"/>
      <c r="AU570" s="1056"/>
      <c r="AV570" s="1056"/>
      <c r="AW570" s="1056"/>
    </row>
    <row r="571" spans="26:49" ht="14.15" customHeight="1" x14ac:dyDescent="0.35">
      <c r="Z571" s="422"/>
      <c r="AA571" s="422"/>
      <c r="AB571" s="422"/>
      <c r="AC571" s="1068"/>
      <c r="AD571" s="1068"/>
      <c r="AE571" s="1073"/>
      <c r="AF571" s="1073"/>
      <c r="AG571" s="1068"/>
      <c r="AH571" s="1068"/>
      <c r="AI571" s="1068"/>
      <c r="AJ571" s="1070"/>
      <c r="AK571" s="1071"/>
      <c r="AM571" s="1072"/>
      <c r="AP571" s="1058"/>
      <c r="AQ571" s="1057"/>
      <c r="AS571" s="1059"/>
      <c r="AT571" s="1058"/>
      <c r="AU571" s="1058"/>
      <c r="AV571" s="1058"/>
      <c r="AW571" s="1057"/>
    </row>
    <row r="572" spans="26:49" ht="14.15" customHeight="1" x14ac:dyDescent="0.35">
      <c r="Z572" s="422"/>
      <c r="AA572" s="422"/>
      <c r="AB572" s="422"/>
      <c r="AC572" s="1068"/>
      <c r="AD572" s="1068"/>
      <c r="AE572" s="1073"/>
      <c r="AF572" s="1073"/>
      <c r="AG572" s="1068"/>
      <c r="AH572" s="1068"/>
      <c r="AI572" s="1068"/>
      <c r="AJ572" s="1070"/>
      <c r="AK572" s="1071"/>
      <c r="AM572" s="1072"/>
      <c r="AP572" s="1056"/>
      <c r="AQ572" s="1056"/>
      <c r="AS572" s="1056"/>
      <c r="AT572" s="1056"/>
      <c r="AU572" s="1056"/>
      <c r="AV572" s="1056"/>
      <c r="AW572" s="1056"/>
    </row>
    <row r="573" spans="26:49" ht="14.15" customHeight="1" x14ac:dyDescent="0.35">
      <c r="Z573" s="422"/>
      <c r="AA573" s="422"/>
      <c r="AB573" s="422"/>
      <c r="AC573" s="1069"/>
      <c r="AD573" s="1069"/>
      <c r="AE573" s="1074"/>
      <c r="AF573" s="1074"/>
      <c r="AG573" s="1069"/>
      <c r="AH573" s="1069"/>
      <c r="AI573" s="1075"/>
      <c r="AJ573" s="1070"/>
      <c r="AK573" s="1071"/>
      <c r="AM573" s="1072"/>
      <c r="AP573" s="1056"/>
      <c r="AQ573" s="1056"/>
      <c r="AS573" s="1056"/>
      <c r="AT573" s="1056"/>
      <c r="AU573" s="1056"/>
      <c r="AV573" s="1056"/>
      <c r="AW573" s="1056"/>
    </row>
    <row r="574" spans="26:49" ht="14.15" customHeight="1" x14ac:dyDescent="0.35">
      <c r="Z574" s="422"/>
      <c r="AA574" s="422"/>
      <c r="AB574" s="422"/>
      <c r="AC574" s="1068"/>
      <c r="AD574" s="1068"/>
      <c r="AE574" s="1073"/>
      <c r="AF574" s="1073"/>
      <c r="AG574" s="1068"/>
      <c r="AH574" s="1068"/>
      <c r="AI574" s="1068"/>
      <c r="AJ574" s="1070"/>
      <c r="AK574" s="1071"/>
      <c r="AM574" s="1072"/>
      <c r="AP574" s="1056"/>
      <c r="AQ574" s="1056"/>
      <c r="AS574" s="1056"/>
      <c r="AT574" s="1056"/>
      <c r="AU574" s="1056"/>
      <c r="AV574" s="1056"/>
      <c r="AW574" s="1056"/>
    </row>
    <row r="575" spans="26:49" ht="14.15" customHeight="1" x14ac:dyDescent="0.35">
      <c r="Z575" s="422"/>
      <c r="AA575" s="422"/>
      <c r="AB575" s="422"/>
      <c r="AC575" s="1079"/>
      <c r="AD575" s="1079"/>
      <c r="AE575" s="1073"/>
      <c r="AF575" s="1073"/>
      <c r="AG575" s="1068"/>
      <c r="AH575" s="1068"/>
      <c r="AI575" s="1068"/>
      <c r="AJ575" s="1070"/>
      <c r="AK575" s="1071"/>
      <c r="AM575" s="1072"/>
      <c r="AP575" s="1056"/>
      <c r="AQ575" s="1056"/>
      <c r="AS575" s="1056"/>
      <c r="AT575" s="1056"/>
      <c r="AU575" s="1056"/>
      <c r="AV575" s="1056"/>
      <c r="AW575" s="1056"/>
    </row>
    <row r="576" spans="26:49" ht="14.15" customHeight="1" x14ac:dyDescent="0.35">
      <c r="Z576" s="422"/>
      <c r="AA576" s="422"/>
      <c r="AB576" s="422"/>
      <c r="AC576" s="1068"/>
      <c r="AD576" s="1068"/>
      <c r="AE576" s="1073"/>
      <c r="AF576" s="1073"/>
      <c r="AG576" s="1068"/>
      <c r="AH576" s="1068"/>
      <c r="AI576" s="1068"/>
      <c r="AJ576" s="1070"/>
      <c r="AK576" s="1071"/>
      <c r="AM576" s="1072"/>
      <c r="AP576" s="1056"/>
      <c r="AQ576" s="1056"/>
      <c r="AS576" s="1056"/>
      <c r="AT576" s="1056"/>
      <c r="AU576" s="1056"/>
      <c r="AV576" s="1056"/>
      <c r="AW576" s="1056"/>
    </row>
    <row r="577" spans="26:49" ht="14.15" customHeight="1" x14ac:dyDescent="0.35">
      <c r="Z577" s="422"/>
      <c r="AA577" s="422"/>
      <c r="AB577" s="422"/>
      <c r="AC577" s="1068"/>
      <c r="AD577" s="1068"/>
      <c r="AE577" s="1073"/>
      <c r="AF577" s="1073"/>
      <c r="AG577" s="1068"/>
      <c r="AH577" s="1068"/>
      <c r="AI577" s="1075"/>
      <c r="AJ577" s="1070"/>
      <c r="AK577" s="1071"/>
      <c r="AM577" s="1072"/>
      <c r="AP577" s="1056"/>
      <c r="AQ577" s="1056"/>
      <c r="AS577" s="1056"/>
      <c r="AT577" s="1056"/>
      <c r="AU577" s="1056"/>
      <c r="AV577" s="1056"/>
      <c r="AW577" s="1056"/>
    </row>
    <row r="578" spans="26:49" ht="14.15" customHeight="1" x14ac:dyDescent="0.35">
      <c r="Z578" s="422"/>
      <c r="AA578" s="422"/>
      <c r="AB578" s="422"/>
      <c r="AC578" s="1079"/>
      <c r="AD578" s="1079"/>
      <c r="AE578" s="1073"/>
      <c r="AF578" s="1073"/>
      <c r="AG578" s="1068"/>
      <c r="AH578" s="1068"/>
      <c r="AI578" s="1078"/>
      <c r="AJ578" s="1070"/>
      <c r="AK578" s="1071"/>
      <c r="AM578" s="1072"/>
      <c r="AP578" s="1056"/>
      <c r="AQ578" s="1056"/>
      <c r="AS578" s="1056"/>
      <c r="AT578" s="1056"/>
      <c r="AU578" s="1056"/>
      <c r="AV578" s="1056"/>
      <c r="AW578" s="1056"/>
    </row>
    <row r="579" spans="26:49" ht="14.15" customHeight="1" x14ac:dyDescent="0.35">
      <c r="Z579" s="422"/>
      <c r="AA579" s="422"/>
      <c r="AB579" s="422"/>
      <c r="AC579" s="1079"/>
      <c r="AD579" s="1079"/>
      <c r="AE579" s="1073"/>
      <c r="AF579" s="1073"/>
      <c r="AG579" s="1068"/>
      <c r="AH579" s="1068"/>
      <c r="AI579" s="1078"/>
      <c r="AJ579" s="1070"/>
      <c r="AK579" s="1071"/>
      <c r="AM579" s="1072"/>
      <c r="AP579" s="1056"/>
      <c r="AQ579" s="1056"/>
      <c r="AS579" s="1056"/>
      <c r="AT579" s="1056"/>
      <c r="AU579" s="1056"/>
      <c r="AV579" s="1056"/>
      <c r="AW579" s="1056"/>
    </row>
    <row r="580" spans="26:49" ht="14.15" customHeight="1" x14ac:dyDescent="0.35">
      <c r="Z580" s="422"/>
      <c r="AA580" s="422"/>
      <c r="AB580" s="422"/>
      <c r="AC580" s="1069"/>
      <c r="AD580" s="1069"/>
      <c r="AE580" s="1074"/>
      <c r="AF580" s="1074"/>
      <c r="AG580" s="1069"/>
      <c r="AH580" s="1069"/>
      <c r="AI580" s="1069"/>
      <c r="AJ580" s="1070"/>
      <c r="AK580" s="1071"/>
      <c r="AM580" s="1072"/>
      <c r="AP580" s="1056"/>
      <c r="AQ580" s="1056"/>
      <c r="AS580" s="1056"/>
      <c r="AT580" s="1056"/>
      <c r="AU580" s="1056"/>
      <c r="AV580" s="1056"/>
      <c r="AW580" s="1056"/>
    </row>
    <row r="581" spans="26:49" ht="14.15" customHeight="1" x14ac:dyDescent="0.35">
      <c r="Z581" s="422"/>
      <c r="AA581" s="422"/>
      <c r="AB581" s="422"/>
      <c r="AC581" s="1069"/>
      <c r="AD581" s="1069"/>
      <c r="AE581" s="1074"/>
      <c r="AF581" s="1074"/>
      <c r="AG581" s="1069"/>
      <c r="AH581" s="1069"/>
      <c r="AI581" s="1069"/>
      <c r="AJ581" s="1070"/>
      <c r="AK581" s="1071"/>
      <c r="AM581" s="1072"/>
      <c r="AP581" s="1056"/>
      <c r="AQ581" s="1056"/>
      <c r="AS581" s="1056"/>
      <c r="AT581" s="1056"/>
      <c r="AU581" s="1056"/>
      <c r="AV581" s="1056"/>
      <c r="AW581" s="1056"/>
    </row>
    <row r="582" spans="26:49" ht="14.15" customHeight="1" x14ac:dyDescent="0.35">
      <c r="Z582" s="422"/>
      <c r="AA582" s="422"/>
      <c r="AB582" s="422"/>
      <c r="AC582" s="1068"/>
      <c r="AD582" s="1068"/>
      <c r="AE582" s="1073"/>
      <c r="AF582" s="1073"/>
      <c r="AG582" s="1068"/>
      <c r="AH582" s="1068"/>
      <c r="AI582" s="1068"/>
      <c r="AJ582" s="1070"/>
      <c r="AK582" s="1071"/>
      <c r="AM582" s="1072"/>
      <c r="AP582" s="1056"/>
      <c r="AQ582" s="1056"/>
      <c r="AS582" s="1056"/>
      <c r="AT582" s="1056"/>
      <c r="AU582" s="1056"/>
      <c r="AV582" s="1056"/>
      <c r="AW582" s="1056"/>
    </row>
    <row r="583" spans="26:49" ht="14.15" customHeight="1" x14ac:dyDescent="0.35">
      <c r="Z583" s="422"/>
      <c r="AA583" s="422"/>
      <c r="AB583" s="422"/>
      <c r="AC583" s="1068"/>
      <c r="AD583" s="1068"/>
      <c r="AE583" s="1073"/>
      <c r="AF583" s="1073"/>
      <c r="AG583" s="1068"/>
      <c r="AH583" s="1068"/>
      <c r="AI583" s="1075"/>
      <c r="AJ583" s="1070"/>
      <c r="AK583" s="1071"/>
      <c r="AM583" s="1072"/>
      <c r="AP583" s="1056"/>
      <c r="AQ583" s="1056"/>
      <c r="AS583" s="1056"/>
      <c r="AT583" s="1056"/>
      <c r="AU583" s="1056"/>
      <c r="AV583" s="1056"/>
      <c r="AW583" s="1056"/>
    </row>
    <row r="584" spans="26:49" ht="14.15" customHeight="1" x14ac:dyDescent="0.35">
      <c r="Z584" s="422"/>
      <c r="AA584" s="422"/>
      <c r="AB584" s="422"/>
      <c r="AC584" s="1071"/>
      <c r="AD584" s="1071"/>
      <c r="AE584" s="1074"/>
      <c r="AF584" s="1074"/>
      <c r="AG584" s="1069"/>
      <c r="AH584" s="1069"/>
      <c r="AI584" s="1069"/>
      <c r="AJ584" s="1070"/>
      <c r="AK584" s="1071"/>
      <c r="AM584" s="1072"/>
      <c r="AP584" s="1056"/>
      <c r="AQ584" s="1056"/>
      <c r="AS584" s="1056"/>
      <c r="AT584" s="1056"/>
      <c r="AU584" s="1056"/>
      <c r="AV584" s="1056"/>
      <c r="AW584" s="1056"/>
    </row>
    <row r="585" spans="26:49" ht="14.15" customHeight="1" x14ac:dyDescent="0.35">
      <c r="Z585" s="422"/>
      <c r="AA585" s="422"/>
      <c r="AB585" s="422"/>
      <c r="AC585" s="1068"/>
      <c r="AD585" s="1068"/>
      <c r="AE585" s="1073"/>
      <c r="AF585" s="1073"/>
      <c r="AG585" s="1068"/>
      <c r="AH585" s="1068"/>
      <c r="AI585" s="1078"/>
      <c r="AJ585" s="1070"/>
      <c r="AK585" s="1071"/>
      <c r="AM585" s="1072"/>
      <c r="AP585" s="1056"/>
      <c r="AQ585" s="1056"/>
      <c r="AS585" s="1056"/>
      <c r="AT585" s="1056"/>
      <c r="AU585" s="1056"/>
      <c r="AV585" s="1056"/>
      <c r="AW585" s="1056"/>
    </row>
    <row r="586" spans="26:49" ht="14.15" customHeight="1" x14ac:dyDescent="0.35">
      <c r="Z586" s="422"/>
      <c r="AA586" s="422"/>
      <c r="AB586" s="422"/>
      <c r="AC586" s="1068"/>
      <c r="AD586" s="1068"/>
      <c r="AE586" s="1073"/>
      <c r="AF586" s="1073"/>
      <c r="AG586" s="1068"/>
      <c r="AH586" s="1068"/>
      <c r="AI586" s="1068"/>
      <c r="AJ586" s="1070"/>
      <c r="AK586" s="1071"/>
      <c r="AM586" s="1072"/>
      <c r="AP586" s="1056"/>
      <c r="AQ586" s="1056"/>
      <c r="AS586" s="1056"/>
      <c r="AT586" s="1056"/>
      <c r="AU586" s="1056"/>
      <c r="AV586" s="1056"/>
      <c r="AW586" s="1056"/>
    </row>
    <row r="587" spans="26:49" ht="14.15" customHeight="1" x14ac:dyDescent="0.35">
      <c r="Z587" s="422"/>
      <c r="AA587" s="422"/>
      <c r="AB587" s="422"/>
      <c r="AC587" s="1068"/>
      <c r="AD587" s="1068"/>
      <c r="AE587" s="1073"/>
      <c r="AF587" s="1073"/>
      <c r="AG587" s="1068"/>
      <c r="AH587" s="1068"/>
      <c r="AI587" s="1068"/>
      <c r="AJ587" s="1070"/>
      <c r="AK587" s="1071"/>
      <c r="AM587" s="1072"/>
      <c r="AP587" s="1056"/>
      <c r="AQ587" s="1056"/>
      <c r="AS587" s="1056"/>
      <c r="AT587" s="1056"/>
      <c r="AU587" s="1056"/>
      <c r="AV587" s="1056"/>
      <c r="AW587" s="1056"/>
    </row>
    <row r="588" spans="26:49" ht="14.15" customHeight="1" x14ac:dyDescent="0.35">
      <c r="Z588" s="422"/>
      <c r="AA588" s="422"/>
      <c r="AB588" s="422"/>
      <c r="AC588" s="1068"/>
      <c r="AD588" s="1068"/>
      <c r="AE588" s="1073"/>
      <c r="AF588" s="1073"/>
      <c r="AG588" s="1068"/>
      <c r="AH588" s="1068"/>
      <c r="AI588" s="1068"/>
      <c r="AJ588" s="1070"/>
      <c r="AK588" s="1071"/>
      <c r="AM588" s="1072"/>
      <c r="AP588" s="1056"/>
      <c r="AQ588" s="1056"/>
      <c r="AS588" s="1056"/>
      <c r="AT588" s="1056"/>
      <c r="AU588" s="1056"/>
      <c r="AV588" s="1056"/>
      <c r="AW588" s="1056"/>
    </row>
    <row r="589" spans="26:49" ht="14.15" customHeight="1" x14ac:dyDescent="0.35">
      <c r="Z589" s="422"/>
      <c r="AA589" s="422"/>
      <c r="AB589" s="422"/>
      <c r="AC589" s="1068"/>
      <c r="AD589" s="1068"/>
      <c r="AE589" s="1073"/>
      <c r="AF589" s="1073"/>
      <c r="AG589" s="1068"/>
      <c r="AH589" s="1068"/>
      <c r="AI589" s="1077"/>
      <c r="AJ589" s="1070"/>
      <c r="AK589" s="1071"/>
      <c r="AM589" s="1072"/>
      <c r="AP589" s="1056"/>
      <c r="AQ589" s="1056"/>
      <c r="AS589" s="1056"/>
      <c r="AT589" s="1056"/>
      <c r="AU589" s="1056"/>
      <c r="AV589" s="1056"/>
      <c r="AW589" s="1056"/>
    </row>
    <row r="590" spans="26:49" ht="14.15" customHeight="1" x14ac:dyDescent="0.35">
      <c r="Z590" s="422"/>
      <c r="AA590" s="422"/>
      <c r="AB590" s="422"/>
      <c r="AC590" s="1068"/>
      <c r="AD590" s="1068"/>
      <c r="AE590" s="1073"/>
      <c r="AF590" s="1073"/>
      <c r="AG590" s="1068"/>
      <c r="AH590" s="1068"/>
      <c r="AI590" s="1068"/>
      <c r="AJ590" s="1070"/>
      <c r="AK590" s="1071"/>
      <c r="AM590" s="1072"/>
      <c r="AP590" s="1056"/>
      <c r="AQ590" s="1056"/>
      <c r="AS590" s="1056"/>
      <c r="AT590" s="1056"/>
      <c r="AU590" s="1056"/>
      <c r="AV590" s="1056"/>
      <c r="AW590" s="1056"/>
    </row>
    <row r="591" spans="26:49" ht="14.15" customHeight="1" x14ac:dyDescent="0.35">
      <c r="Z591" s="422"/>
      <c r="AA591" s="422"/>
      <c r="AB591" s="422"/>
      <c r="AC591" s="1068"/>
      <c r="AD591" s="1068"/>
      <c r="AE591" s="1073"/>
      <c r="AF591" s="1073"/>
      <c r="AG591" s="1068"/>
      <c r="AH591" s="1068"/>
      <c r="AI591" s="1068"/>
      <c r="AJ591" s="1070"/>
      <c r="AK591" s="1071"/>
      <c r="AM591" s="1072"/>
      <c r="AP591" s="1056"/>
      <c r="AQ591" s="1056"/>
      <c r="AS591" s="1056"/>
      <c r="AT591" s="1056"/>
      <c r="AU591" s="1056"/>
      <c r="AV591" s="1056"/>
      <c r="AW591" s="1056"/>
    </row>
    <row r="592" spans="26:49" ht="14.15" customHeight="1" x14ac:dyDescent="0.35">
      <c r="Z592" s="422"/>
      <c r="AA592" s="422"/>
      <c r="AB592" s="422"/>
      <c r="AC592" s="1068"/>
      <c r="AD592" s="1068"/>
      <c r="AE592" s="1073"/>
      <c r="AF592" s="1073"/>
      <c r="AG592" s="1068"/>
      <c r="AH592" s="1068"/>
      <c r="AI592" s="1068"/>
      <c r="AJ592" s="1070"/>
      <c r="AK592" s="1071"/>
      <c r="AM592" s="1072"/>
      <c r="AP592" s="1056"/>
      <c r="AQ592" s="1056"/>
      <c r="AS592" s="1056"/>
      <c r="AT592" s="1056"/>
      <c r="AU592" s="1056"/>
      <c r="AV592" s="1056"/>
      <c r="AW592" s="1056"/>
    </row>
    <row r="593" spans="26:49" ht="14.15" customHeight="1" x14ac:dyDescent="0.35">
      <c r="Z593" s="422"/>
      <c r="AA593" s="422"/>
      <c r="AB593" s="422"/>
      <c r="AC593" s="1069"/>
      <c r="AD593" s="1069"/>
      <c r="AE593" s="1074"/>
      <c r="AF593" s="1074"/>
      <c r="AG593" s="1069"/>
      <c r="AH593" s="1068"/>
      <c r="AI593" s="1068"/>
      <c r="AJ593" s="1070"/>
      <c r="AK593" s="1071"/>
      <c r="AM593" s="1072"/>
      <c r="AP593" s="1056"/>
      <c r="AQ593" s="1056"/>
      <c r="AS593" s="1056"/>
      <c r="AT593" s="1056"/>
      <c r="AU593" s="1056"/>
      <c r="AV593" s="1056"/>
      <c r="AW593" s="1056"/>
    </row>
    <row r="594" spans="26:49" ht="14.15" customHeight="1" x14ac:dyDescent="0.35">
      <c r="Z594" s="422"/>
      <c r="AA594" s="422"/>
      <c r="AB594" s="422"/>
      <c r="AC594" s="1069"/>
      <c r="AD594" s="1069"/>
      <c r="AE594" s="1074"/>
      <c r="AF594" s="1074"/>
      <c r="AG594" s="1069"/>
      <c r="AH594" s="1068"/>
      <c r="AI594" s="1068"/>
      <c r="AJ594" s="1070"/>
      <c r="AK594" s="1071"/>
      <c r="AM594" s="1072"/>
      <c r="AP594" s="1056"/>
      <c r="AQ594" s="1056"/>
      <c r="AS594" s="1056"/>
      <c r="AT594" s="1056"/>
      <c r="AU594" s="1056"/>
      <c r="AV594" s="1056"/>
      <c r="AW594" s="1056"/>
    </row>
    <row r="595" spans="26:49" ht="14.15" customHeight="1" x14ac:dyDescent="0.35">
      <c r="Z595" s="422"/>
      <c r="AA595" s="422"/>
      <c r="AB595" s="422"/>
      <c r="AC595" s="1068"/>
      <c r="AD595" s="1068"/>
      <c r="AE595" s="1073"/>
      <c r="AF595" s="1073"/>
      <c r="AG595" s="1068"/>
      <c r="AH595" s="1068"/>
      <c r="AI595" s="1068"/>
      <c r="AJ595" s="1070"/>
      <c r="AK595" s="1071"/>
      <c r="AM595" s="1072"/>
      <c r="AP595" s="1056"/>
      <c r="AQ595" s="1056"/>
      <c r="AS595" s="1056"/>
      <c r="AT595" s="1056"/>
      <c r="AU595" s="1056"/>
      <c r="AV595" s="1056"/>
      <c r="AW595" s="1056"/>
    </row>
    <row r="596" spans="26:49" ht="14.15" customHeight="1" x14ac:dyDescent="0.35">
      <c r="Z596" s="422"/>
      <c r="AA596" s="422"/>
      <c r="AB596" s="422"/>
      <c r="AC596" s="1068"/>
      <c r="AD596" s="1068"/>
      <c r="AE596" s="1073"/>
      <c r="AF596" s="1073"/>
      <c r="AG596" s="1068"/>
      <c r="AH596" s="1068"/>
      <c r="AI596" s="1068"/>
      <c r="AJ596" s="1070"/>
      <c r="AK596" s="1071"/>
      <c r="AM596" s="1072"/>
      <c r="AP596" s="1056"/>
      <c r="AQ596" s="1056"/>
      <c r="AS596" s="1056"/>
      <c r="AT596" s="1056"/>
      <c r="AU596" s="1056"/>
      <c r="AV596" s="1056"/>
      <c r="AW596" s="1056"/>
    </row>
    <row r="597" spans="26:49" ht="14.15" customHeight="1" x14ac:dyDescent="0.35">
      <c r="Z597" s="422"/>
      <c r="AA597" s="422"/>
      <c r="AB597" s="422"/>
      <c r="AC597" s="1069"/>
      <c r="AD597" s="1069"/>
      <c r="AE597" s="1074"/>
      <c r="AF597" s="1074"/>
      <c r="AG597" s="1068"/>
      <c r="AH597" s="1068"/>
      <c r="AI597" s="1068"/>
      <c r="AJ597" s="1070"/>
      <c r="AK597" s="1071"/>
      <c r="AM597" s="1072"/>
      <c r="AP597" s="1056"/>
      <c r="AQ597" s="1056"/>
      <c r="AS597" s="1056"/>
      <c r="AT597" s="1056"/>
      <c r="AU597" s="1056"/>
      <c r="AV597" s="1056"/>
      <c r="AW597" s="1056"/>
    </row>
    <row r="598" spans="26:49" ht="14.15" customHeight="1" x14ac:dyDescent="0.35">
      <c r="Z598" s="422"/>
      <c r="AA598" s="422"/>
      <c r="AB598" s="422"/>
      <c r="AC598" s="1068"/>
      <c r="AD598" s="1068"/>
      <c r="AE598" s="1073"/>
      <c r="AF598" s="1073"/>
      <c r="AG598" s="1068"/>
      <c r="AH598" s="1068"/>
      <c r="AI598" s="1068"/>
      <c r="AJ598" s="1070"/>
      <c r="AK598" s="1071"/>
      <c r="AM598" s="1072"/>
      <c r="AP598" s="1056"/>
      <c r="AQ598" s="1056"/>
      <c r="AS598" s="1056"/>
      <c r="AT598" s="1056"/>
      <c r="AU598" s="1056"/>
      <c r="AV598" s="1056"/>
      <c r="AW598" s="1056"/>
    </row>
    <row r="599" spans="26:49" ht="14.15" customHeight="1" x14ac:dyDescent="0.35">
      <c r="Z599" s="422"/>
      <c r="AA599" s="422"/>
      <c r="AB599" s="422"/>
      <c r="AC599" s="1068"/>
      <c r="AD599" s="1068"/>
      <c r="AE599" s="1073"/>
      <c r="AF599" s="1073"/>
      <c r="AG599" s="1068"/>
      <c r="AH599" s="1068"/>
      <c r="AI599" s="1080"/>
      <c r="AJ599" s="1070"/>
      <c r="AK599" s="1071"/>
      <c r="AM599" s="1072"/>
      <c r="AP599" s="1056"/>
      <c r="AQ599" s="1056"/>
      <c r="AS599" s="1056"/>
      <c r="AT599" s="1056"/>
      <c r="AU599" s="1056"/>
      <c r="AV599" s="1056"/>
      <c r="AW599" s="1056"/>
    </row>
    <row r="600" spans="26:49" ht="14.15" customHeight="1" x14ac:dyDescent="0.35">
      <c r="Z600" s="422"/>
      <c r="AA600" s="422"/>
      <c r="AB600" s="422"/>
      <c r="AC600" s="1069"/>
      <c r="AD600" s="1069"/>
      <c r="AE600" s="1074"/>
      <c r="AF600" s="1074"/>
      <c r="AG600" s="1069"/>
      <c r="AH600" s="1068"/>
      <c r="AI600" s="1068"/>
      <c r="AJ600" s="1070"/>
      <c r="AK600" s="1071"/>
      <c r="AM600" s="1072"/>
      <c r="AP600" s="1056"/>
      <c r="AQ600" s="1056"/>
      <c r="AS600" s="1056"/>
      <c r="AT600" s="1056"/>
      <c r="AU600" s="1056"/>
      <c r="AV600" s="1056"/>
      <c r="AW600" s="1056"/>
    </row>
    <row r="601" spans="26:49" ht="14.15" customHeight="1" x14ac:dyDescent="0.35">
      <c r="Z601" s="422"/>
      <c r="AA601" s="422"/>
      <c r="AB601" s="422"/>
      <c r="AC601" s="1068"/>
      <c r="AD601" s="1068"/>
      <c r="AE601" s="1073"/>
      <c r="AF601" s="1073"/>
      <c r="AG601" s="1068"/>
      <c r="AH601" s="1068"/>
      <c r="AI601" s="1068"/>
      <c r="AJ601" s="1070"/>
      <c r="AK601" s="1071"/>
      <c r="AM601" s="1072"/>
      <c r="AP601" s="1056"/>
      <c r="AQ601" s="1056"/>
      <c r="AS601" s="1056"/>
      <c r="AT601" s="1056"/>
      <c r="AU601" s="1056"/>
      <c r="AV601" s="1056"/>
      <c r="AW601" s="1056"/>
    </row>
    <row r="602" spans="26:49" ht="14.15" customHeight="1" x14ac:dyDescent="0.35">
      <c r="Z602" s="422"/>
      <c r="AA602" s="422"/>
      <c r="AB602" s="422"/>
      <c r="AC602" s="1068"/>
      <c r="AD602" s="1068"/>
      <c r="AE602" s="1073"/>
      <c r="AF602" s="1073"/>
      <c r="AG602" s="1068"/>
      <c r="AH602" s="1068"/>
      <c r="AI602" s="1075"/>
      <c r="AJ602" s="1070"/>
      <c r="AK602" s="1071"/>
      <c r="AM602" s="1072"/>
      <c r="AP602" s="1056"/>
      <c r="AQ602" s="1056"/>
      <c r="AS602" s="1056"/>
      <c r="AT602" s="1056"/>
      <c r="AU602" s="1056"/>
      <c r="AV602" s="1056"/>
      <c r="AW602" s="1056"/>
    </row>
    <row r="603" spans="26:49" ht="14.15" customHeight="1" x14ac:dyDescent="0.35">
      <c r="Z603" s="422"/>
      <c r="AA603" s="422"/>
      <c r="AB603" s="422"/>
      <c r="AC603" s="1068"/>
      <c r="AD603" s="1068"/>
      <c r="AE603" s="1073"/>
      <c r="AF603" s="1073"/>
      <c r="AG603" s="1068"/>
      <c r="AH603" s="1068"/>
      <c r="AI603" s="1068"/>
      <c r="AJ603" s="1070"/>
      <c r="AK603" s="1071"/>
      <c r="AM603" s="1072"/>
      <c r="AP603" s="1056"/>
      <c r="AQ603" s="1056"/>
      <c r="AS603" s="1056"/>
      <c r="AT603" s="1056"/>
      <c r="AU603" s="1056"/>
      <c r="AV603" s="1056"/>
      <c r="AW603" s="1056"/>
    </row>
    <row r="604" spans="26:49" ht="14.15" customHeight="1" x14ac:dyDescent="0.35">
      <c r="Z604" s="422"/>
      <c r="AA604" s="422"/>
      <c r="AB604" s="422"/>
      <c r="AC604" s="1068"/>
      <c r="AD604" s="1068"/>
      <c r="AE604" s="1073"/>
      <c r="AF604" s="1073"/>
      <c r="AG604" s="1068"/>
      <c r="AH604" s="1068"/>
      <c r="AI604" s="1068"/>
      <c r="AJ604" s="1070"/>
      <c r="AK604" s="1071"/>
      <c r="AM604" s="1072"/>
      <c r="AP604" s="1056"/>
      <c r="AQ604" s="1056"/>
      <c r="AS604" s="1056"/>
      <c r="AT604" s="1056"/>
      <c r="AU604" s="1056"/>
      <c r="AV604" s="1056"/>
      <c r="AW604" s="1056"/>
    </row>
    <row r="605" spans="26:49" ht="14.15" customHeight="1" x14ac:dyDescent="0.35">
      <c r="Z605" s="422"/>
      <c r="AA605" s="422"/>
      <c r="AB605" s="422"/>
      <c r="AC605" s="1068"/>
      <c r="AD605" s="1068"/>
      <c r="AE605" s="1073"/>
      <c r="AF605" s="1073"/>
      <c r="AG605" s="1068"/>
      <c r="AH605" s="1068"/>
      <c r="AI605" s="1068"/>
      <c r="AJ605" s="1070"/>
      <c r="AK605" s="1071"/>
      <c r="AM605" s="1072"/>
      <c r="AP605" s="1056"/>
      <c r="AQ605" s="1056"/>
      <c r="AS605" s="1056"/>
      <c r="AT605" s="1056"/>
      <c r="AU605" s="1056"/>
      <c r="AV605" s="1056"/>
      <c r="AW605" s="1056"/>
    </row>
    <row r="606" spans="26:49" ht="14.15" customHeight="1" x14ac:dyDescent="0.35">
      <c r="Z606" s="422"/>
      <c r="AA606" s="422"/>
      <c r="AB606" s="422"/>
      <c r="AC606" s="1076"/>
      <c r="AD606" s="1076"/>
      <c r="AE606" s="1076"/>
      <c r="AF606" s="1076"/>
      <c r="AG606" s="1068"/>
      <c r="AH606" s="1068"/>
      <c r="AI606" s="1078"/>
      <c r="AJ606" s="1070"/>
      <c r="AK606" s="1071"/>
      <c r="AM606" s="1072"/>
      <c r="AP606" s="1056"/>
      <c r="AQ606" s="1056"/>
      <c r="AS606" s="1056"/>
      <c r="AT606" s="1056"/>
      <c r="AU606" s="1056"/>
      <c r="AV606" s="1056"/>
      <c r="AW606" s="1056"/>
    </row>
    <row r="607" spans="26:49" ht="14.15" customHeight="1" x14ac:dyDescent="0.35">
      <c r="Z607" s="422"/>
      <c r="AA607" s="422"/>
      <c r="AB607" s="422"/>
      <c r="AC607" s="1071"/>
      <c r="AD607" s="1071"/>
      <c r="AE607" s="1074"/>
      <c r="AF607" s="1074"/>
      <c r="AG607" s="1069"/>
      <c r="AH607" s="1069"/>
      <c r="AI607" s="1077"/>
      <c r="AJ607" s="1070"/>
      <c r="AK607" s="1071"/>
      <c r="AM607" s="1072"/>
      <c r="AP607" s="1056"/>
      <c r="AQ607" s="1056"/>
      <c r="AS607" s="1056"/>
      <c r="AT607" s="1056"/>
      <c r="AU607" s="1056"/>
      <c r="AV607" s="1056"/>
      <c r="AW607" s="1056"/>
    </row>
    <row r="608" spans="26:49" ht="14.15" customHeight="1" x14ac:dyDescent="0.35">
      <c r="Z608" s="422"/>
      <c r="AA608" s="422"/>
      <c r="AB608" s="422"/>
      <c r="AC608" s="1068"/>
      <c r="AD608" s="1068"/>
      <c r="AE608" s="1073"/>
      <c r="AF608" s="1073"/>
      <c r="AG608" s="1068"/>
      <c r="AH608" s="1068"/>
      <c r="AI608" s="1068"/>
      <c r="AJ608" s="1070"/>
      <c r="AK608" s="1071"/>
      <c r="AM608" s="1072"/>
      <c r="AP608" s="1056"/>
      <c r="AQ608" s="1056"/>
      <c r="AS608" s="1056"/>
      <c r="AT608" s="1056"/>
      <c r="AU608" s="1056"/>
      <c r="AV608" s="1056"/>
      <c r="AW608" s="1056"/>
    </row>
    <row r="609" spans="26:49" ht="14.15" customHeight="1" x14ac:dyDescent="0.35">
      <c r="Z609" s="422"/>
      <c r="AA609" s="422"/>
      <c r="AB609" s="422"/>
      <c r="AC609" s="1079"/>
      <c r="AD609" s="1079"/>
      <c r="AE609" s="1073"/>
      <c r="AF609" s="1073"/>
      <c r="AG609" s="1068"/>
      <c r="AH609" s="1068"/>
      <c r="AI609" s="1068"/>
      <c r="AJ609" s="1070"/>
      <c r="AK609" s="1071"/>
      <c r="AM609" s="1072"/>
      <c r="AP609" s="1056"/>
      <c r="AQ609" s="1056"/>
      <c r="AS609" s="1056"/>
      <c r="AT609" s="1056"/>
      <c r="AU609" s="1056"/>
      <c r="AV609" s="1056"/>
      <c r="AW609" s="1056"/>
    </row>
    <row r="610" spans="26:49" ht="14.15" customHeight="1" x14ac:dyDescent="0.35">
      <c r="Z610" s="422"/>
      <c r="AA610" s="422"/>
      <c r="AB610" s="422"/>
      <c r="AC610" s="1068"/>
      <c r="AD610" s="1068"/>
      <c r="AE610" s="1073"/>
      <c r="AF610" s="1073"/>
      <c r="AG610" s="1068"/>
      <c r="AH610" s="1068"/>
      <c r="AI610" s="1068"/>
      <c r="AJ610" s="1070"/>
      <c r="AK610" s="1071"/>
      <c r="AM610" s="1072"/>
      <c r="AP610" s="1056"/>
      <c r="AQ610" s="1056"/>
      <c r="AS610" s="1056"/>
      <c r="AT610" s="1056"/>
      <c r="AU610" s="1056"/>
      <c r="AV610" s="1056"/>
      <c r="AW610" s="1056"/>
    </row>
    <row r="611" spans="26:49" ht="14.15" customHeight="1" x14ac:dyDescent="0.35">
      <c r="Z611" s="422"/>
      <c r="AA611" s="422"/>
      <c r="AB611" s="422"/>
      <c r="AC611" s="1068"/>
      <c r="AD611" s="1068"/>
      <c r="AE611" s="1073"/>
      <c r="AF611" s="1073"/>
      <c r="AG611" s="1068"/>
      <c r="AH611" s="1068"/>
      <c r="AI611" s="1068"/>
      <c r="AJ611" s="1070"/>
      <c r="AK611" s="1071"/>
      <c r="AM611" s="1072"/>
      <c r="AP611" s="1056"/>
      <c r="AQ611" s="1056"/>
      <c r="AS611" s="1056"/>
      <c r="AT611" s="1056"/>
      <c r="AU611" s="1056"/>
      <c r="AV611" s="1056"/>
      <c r="AW611" s="1056"/>
    </row>
    <row r="612" spans="26:49" ht="14.15" customHeight="1" x14ac:dyDescent="0.35">
      <c r="Z612" s="422"/>
      <c r="AA612" s="422"/>
      <c r="AB612" s="422"/>
      <c r="AC612" s="1068"/>
      <c r="AD612" s="1068"/>
      <c r="AE612" s="1073"/>
      <c r="AF612" s="1073"/>
      <c r="AG612" s="1068"/>
      <c r="AH612" s="1068"/>
      <c r="AI612" s="1068"/>
      <c r="AJ612" s="1070"/>
      <c r="AK612" s="1071"/>
      <c r="AM612" s="1072"/>
      <c r="AP612" s="1056"/>
      <c r="AQ612" s="1056"/>
      <c r="AS612" s="1056"/>
      <c r="AT612" s="1056"/>
      <c r="AU612" s="1056"/>
      <c r="AV612" s="1056"/>
      <c r="AW612" s="1056"/>
    </row>
    <row r="613" spans="26:49" ht="14.15" customHeight="1" x14ac:dyDescent="0.35">
      <c r="Z613" s="422"/>
      <c r="AA613" s="422"/>
      <c r="AB613" s="422"/>
      <c r="AC613" s="1068"/>
      <c r="AD613" s="1068"/>
      <c r="AE613" s="1073"/>
      <c r="AF613" s="1073"/>
      <c r="AG613" s="1068"/>
      <c r="AH613" s="1068"/>
      <c r="AI613" s="1078"/>
      <c r="AJ613" s="1070"/>
      <c r="AK613" s="1071"/>
      <c r="AM613" s="1072"/>
      <c r="AP613" s="1056"/>
      <c r="AQ613" s="1056"/>
      <c r="AS613" s="1056"/>
      <c r="AT613" s="1056"/>
      <c r="AU613" s="1056"/>
      <c r="AV613" s="1056"/>
      <c r="AW613" s="1056"/>
    </row>
    <row r="614" spans="26:49" ht="14.15" customHeight="1" x14ac:dyDescent="0.35">
      <c r="Z614" s="422"/>
      <c r="AA614" s="422"/>
      <c r="AB614" s="422"/>
      <c r="AC614" s="1068"/>
      <c r="AD614" s="1068"/>
      <c r="AE614" s="1073"/>
      <c r="AF614" s="1073"/>
      <c r="AG614" s="1068"/>
      <c r="AH614" s="1068"/>
      <c r="AI614" s="1075"/>
      <c r="AJ614" s="1070"/>
      <c r="AK614" s="1071"/>
      <c r="AM614" s="1072"/>
      <c r="AP614" s="1056"/>
      <c r="AQ614" s="1056"/>
      <c r="AS614" s="1056"/>
      <c r="AT614" s="1056"/>
      <c r="AU614" s="1056"/>
      <c r="AV614" s="1056"/>
      <c r="AW614" s="1056"/>
    </row>
    <row r="615" spans="26:49" ht="14.15" customHeight="1" x14ac:dyDescent="0.35">
      <c r="Z615" s="422"/>
      <c r="AA615" s="422"/>
      <c r="AB615" s="422"/>
      <c r="AC615" s="1068"/>
      <c r="AD615" s="1068"/>
      <c r="AE615" s="1073"/>
      <c r="AF615" s="1073"/>
      <c r="AG615" s="1068"/>
      <c r="AH615" s="1068"/>
      <c r="AI615" s="1068"/>
      <c r="AJ615" s="1070"/>
      <c r="AK615" s="1071"/>
      <c r="AM615" s="1072"/>
      <c r="AP615" s="1056"/>
      <c r="AQ615" s="1056"/>
      <c r="AS615" s="1056"/>
      <c r="AT615" s="1056"/>
      <c r="AU615" s="1056"/>
      <c r="AV615" s="1056"/>
      <c r="AW615" s="1056"/>
    </row>
    <row r="616" spans="26:49" ht="14.15" customHeight="1" x14ac:dyDescent="0.35">
      <c r="Z616" s="422"/>
      <c r="AA616" s="422"/>
      <c r="AB616" s="422"/>
      <c r="AC616" s="1068"/>
      <c r="AD616" s="1068"/>
      <c r="AE616" s="1073"/>
      <c r="AF616" s="1073"/>
      <c r="AG616" s="1068"/>
      <c r="AH616" s="1068"/>
      <c r="AI616" s="1068"/>
      <c r="AJ616" s="1070"/>
      <c r="AK616" s="1071"/>
      <c r="AM616" s="1072"/>
      <c r="AP616" s="1056"/>
      <c r="AQ616" s="1056"/>
      <c r="AS616" s="1056"/>
      <c r="AT616" s="1056"/>
      <c r="AU616" s="1056"/>
      <c r="AV616" s="1056"/>
      <c r="AW616" s="1056"/>
    </row>
    <row r="617" spans="26:49" ht="14.15" customHeight="1" x14ac:dyDescent="0.35">
      <c r="Z617" s="422"/>
      <c r="AA617" s="422"/>
      <c r="AB617" s="422"/>
      <c r="AC617" s="1068"/>
      <c r="AD617" s="1068"/>
      <c r="AE617" s="1073"/>
      <c r="AF617" s="1073"/>
      <c r="AG617" s="1068"/>
      <c r="AH617" s="1068"/>
      <c r="AI617" s="1068"/>
      <c r="AJ617" s="1070"/>
      <c r="AK617" s="1071"/>
      <c r="AM617" s="1072"/>
      <c r="AP617" s="1056"/>
      <c r="AQ617" s="1056"/>
      <c r="AS617" s="1056"/>
      <c r="AT617" s="1056"/>
      <c r="AU617" s="1056"/>
      <c r="AV617" s="1056"/>
      <c r="AW617" s="1056"/>
    </row>
    <row r="618" spans="26:49" ht="14.15" customHeight="1" x14ac:dyDescent="0.35">
      <c r="Z618" s="422"/>
      <c r="AA618" s="422"/>
      <c r="AB618" s="422"/>
      <c r="AC618" s="1068"/>
      <c r="AD618" s="1068"/>
      <c r="AE618" s="1073"/>
      <c r="AF618" s="1073"/>
      <c r="AG618" s="1068"/>
      <c r="AH618" s="1068"/>
      <c r="AI618" s="1068"/>
      <c r="AJ618" s="1070"/>
      <c r="AK618" s="1071"/>
      <c r="AM618" s="1072"/>
      <c r="AP618" s="1056"/>
      <c r="AQ618" s="1056"/>
      <c r="AS618" s="1056"/>
      <c r="AT618" s="1056"/>
      <c r="AU618" s="1056"/>
      <c r="AV618" s="1056"/>
      <c r="AW618" s="1056"/>
    </row>
    <row r="619" spans="26:49" ht="14.15" customHeight="1" x14ac:dyDescent="0.35">
      <c r="Z619" s="422"/>
      <c r="AA619" s="422"/>
      <c r="AB619" s="422"/>
      <c r="AC619" s="1069"/>
      <c r="AD619" s="1069"/>
      <c r="AE619" s="1074"/>
      <c r="AF619" s="1074"/>
      <c r="AG619" s="1069"/>
      <c r="AH619" s="1068"/>
      <c r="AI619" s="1068"/>
      <c r="AJ619" s="1070"/>
      <c r="AK619" s="1071"/>
      <c r="AM619" s="1072"/>
      <c r="AP619" s="1056"/>
      <c r="AQ619" s="1056"/>
      <c r="AS619" s="1056"/>
      <c r="AT619" s="1056"/>
      <c r="AU619" s="1056"/>
      <c r="AV619" s="1056"/>
      <c r="AW619" s="1056"/>
    </row>
    <row r="620" spans="26:49" ht="14.15" customHeight="1" x14ac:dyDescent="0.35">
      <c r="Z620" s="422"/>
      <c r="AA620" s="422"/>
      <c r="AB620" s="422"/>
      <c r="AC620" s="1068"/>
      <c r="AD620" s="1068"/>
      <c r="AE620" s="1073"/>
      <c r="AF620" s="1073"/>
      <c r="AG620" s="1068"/>
      <c r="AH620" s="1068"/>
      <c r="AI620" s="1075"/>
      <c r="AJ620" s="1070"/>
      <c r="AK620" s="1071"/>
      <c r="AM620" s="1072"/>
      <c r="AP620" s="1056"/>
      <c r="AQ620" s="1056"/>
      <c r="AS620" s="1056"/>
      <c r="AT620" s="1056"/>
      <c r="AU620" s="1056"/>
      <c r="AV620" s="1056"/>
      <c r="AW620" s="1056"/>
    </row>
    <row r="621" spans="26:49" ht="14.15" customHeight="1" x14ac:dyDescent="0.35">
      <c r="Z621" s="422"/>
      <c r="AA621" s="422"/>
      <c r="AB621" s="422"/>
      <c r="AC621" s="1068"/>
      <c r="AD621" s="1068"/>
      <c r="AE621" s="1073"/>
      <c r="AF621" s="1073"/>
      <c r="AG621" s="1068"/>
      <c r="AH621" s="1068"/>
      <c r="AI621" s="1068"/>
      <c r="AJ621" s="1070"/>
      <c r="AK621" s="1071"/>
      <c r="AM621" s="1072"/>
      <c r="AP621" s="1056"/>
      <c r="AQ621" s="1056"/>
      <c r="AS621" s="1056"/>
      <c r="AT621" s="1056"/>
      <c r="AU621" s="1056"/>
      <c r="AV621" s="1056"/>
      <c r="AW621" s="1056"/>
    </row>
    <row r="622" spans="26:49" ht="14.15" customHeight="1" x14ac:dyDescent="0.35">
      <c r="Z622" s="422"/>
      <c r="AA622" s="422"/>
      <c r="AB622" s="422"/>
      <c r="AC622" s="1068"/>
      <c r="AD622" s="1068"/>
      <c r="AE622" s="1073"/>
      <c r="AF622" s="1073"/>
      <c r="AG622" s="1068"/>
      <c r="AH622" s="1068"/>
      <c r="AI622" s="1068"/>
      <c r="AJ622" s="1070"/>
      <c r="AK622" s="1071"/>
      <c r="AM622" s="1072"/>
      <c r="AP622" s="1056"/>
      <c r="AQ622" s="1056"/>
      <c r="AS622" s="1056"/>
      <c r="AT622" s="1056"/>
      <c r="AU622" s="1056"/>
      <c r="AV622" s="1056"/>
      <c r="AW622" s="1056"/>
    </row>
    <row r="623" spans="26:49" ht="14.15" customHeight="1" x14ac:dyDescent="0.35">
      <c r="Z623" s="422"/>
      <c r="AA623" s="422"/>
      <c r="AB623" s="422"/>
      <c r="AC623" s="1068"/>
      <c r="AD623" s="1068"/>
      <c r="AE623" s="1073"/>
      <c r="AF623" s="1073"/>
      <c r="AG623" s="1068"/>
      <c r="AH623" s="1068"/>
      <c r="AI623" s="1075"/>
      <c r="AJ623" s="1070"/>
      <c r="AK623" s="1071"/>
      <c r="AM623" s="1072"/>
      <c r="AP623" s="1056"/>
      <c r="AQ623" s="1056"/>
      <c r="AS623" s="1056"/>
      <c r="AT623" s="1056"/>
      <c r="AU623" s="1056"/>
      <c r="AV623" s="1056"/>
      <c r="AW623" s="1056"/>
    </row>
    <row r="624" spans="26:49" ht="14.15" customHeight="1" x14ac:dyDescent="0.35">
      <c r="Z624" s="422"/>
      <c r="AA624" s="422"/>
      <c r="AB624" s="422"/>
      <c r="AC624" s="1076"/>
      <c r="AD624" s="1076"/>
      <c r="AE624" s="1076"/>
      <c r="AF624" s="1076"/>
      <c r="AG624" s="1069"/>
      <c r="AH624" s="1069"/>
      <c r="AI624" s="1075"/>
      <c r="AJ624" s="1070"/>
      <c r="AK624" s="1071"/>
      <c r="AM624" s="1072"/>
      <c r="AP624" s="1056"/>
      <c r="AQ624" s="1056"/>
      <c r="AS624" s="1056"/>
      <c r="AT624" s="1056"/>
      <c r="AU624" s="1056"/>
      <c r="AV624" s="1056"/>
      <c r="AW624" s="1056"/>
    </row>
    <row r="625" spans="26:49" ht="14.15" customHeight="1" x14ac:dyDescent="0.35">
      <c r="Z625" s="422"/>
      <c r="AA625" s="422"/>
      <c r="AB625" s="422"/>
      <c r="AC625" s="1076"/>
      <c r="AD625" s="1076"/>
      <c r="AE625" s="1076"/>
      <c r="AF625" s="1076"/>
      <c r="AG625" s="1076"/>
      <c r="AH625" s="1069"/>
      <c r="AI625" s="1068"/>
      <c r="AJ625" s="1070"/>
      <c r="AK625" s="1071"/>
      <c r="AM625" s="1072"/>
      <c r="AP625" s="1056"/>
      <c r="AQ625" s="1056"/>
      <c r="AS625" s="1056"/>
      <c r="AT625" s="1056"/>
      <c r="AU625" s="1056"/>
      <c r="AV625" s="1056"/>
      <c r="AW625" s="1056"/>
    </row>
    <row r="626" spans="26:49" ht="14.15" customHeight="1" x14ac:dyDescent="0.35">
      <c r="Z626" s="422"/>
      <c r="AA626" s="422"/>
      <c r="AB626" s="422"/>
      <c r="AC626" s="1079"/>
      <c r="AD626" s="1079"/>
      <c r="AE626" s="1073"/>
      <c r="AF626" s="1073"/>
      <c r="AG626" s="1068"/>
      <c r="AH626" s="1068"/>
      <c r="AI626" s="1069"/>
      <c r="AJ626" s="1070"/>
      <c r="AK626" s="1071"/>
      <c r="AM626" s="1072"/>
      <c r="AP626" s="1056"/>
      <c r="AQ626" s="1056"/>
      <c r="AS626" s="1056"/>
      <c r="AT626" s="1056"/>
      <c r="AU626" s="1056"/>
      <c r="AV626" s="1056"/>
      <c r="AW626" s="1056"/>
    </row>
    <row r="627" spans="26:49" ht="14.15" customHeight="1" x14ac:dyDescent="0.35">
      <c r="Z627" s="422"/>
      <c r="AA627" s="422"/>
      <c r="AB627" s="422"/>
      <c r="AC627" s="1068"/>
      <c r="AD627" s="1068"/>
      <c r="AE627" s="1073"/>
      <c r="AF627" s="1073"/>
      <c r="AG627" s="1068"/>
      <c r="AH627" s="1068"/>
      <c r="AI627" s="1069"/>
      <c r="AJ627" s="1070"/>
      <c r="AK627" s="1071"/>
      <c r="AM627" s="1072"/>
      <c r="AP627" s="1060"/>
      <c r="AQ627" s="1061"/>
      <c r="AS627" s="1082"/>
      <c r="AT627" s="1060"/>
      <c r="AU627" s="1060"/>
      <c r="AV627" s="1060"/>
      <c r="AW627" s="1061"/>
    </row>
    <row r="628" spans="26:49" ht="14.15" customHeight="1" x14ac:dyDescent="0.35">
      <c r="Z628" s="422"/>
      <c r="AA628" s="422"/>
      <c r="AB628" s="422"/>
      <c r="AC628" s="1068"/>
      <c r="AD628" s="1068"/>
      <c r="AE628" s="1073"/>
      <c r="AF628" s="1073"/>
      <c r="AG628" s="1068"/>
      <c r="AH628" s="1068"/>
      <c r="AI628" s="1068"/>
      <c r="AJ628" s="1070"/>
      <c r="AK628" s="1071"/>
      <c r="AM628" s="1072"/>
      <c r="AP628" s="1056"/>
      <c r="AQ628" s="1056"/>
      <c r="AS628" s="1056"/>
      <c r="AT628" s="1056"/>
      <c r="AU628" s="1056"/>
      <c r="AV628" s="1056"/>
      <c r="AW628" s="1056"/>
    </row>
    <row r="629" spans="26:49" ht="14.15" customHeight="1" x14ac:dyDescent="0.35">
      <c r="Z629" s="422"/>
      <c r="AA629" s="422"/>
      <c r="AB629" s="422"/>
      <c r="AC629" s="1068"/>
      <c r="AD629" s="1068"/>
      <c r="AE629" s="1073"/>
      <c r="AF629" s="1073"/>
      <c r="AG629" s="1068"/>
      <c r="AH629" s="1068"/>
      <c r="AI629" s="1068"/>
      <c r="AJ629" s="1070"/>
      <c r="AK629" s="1071"/>
      <c r="AM629" s="1072"/>
      <c r="AP629" s="1056"/>
      <c r="AQ629" s="1056"/>
      <c r="AS629" s="1056"/>
      <c r="AT629" s="1056"/>
      <c r="AU629" s="1056"/>
      <c r="AV629" s="1056"/>
      <c r="AW629" s="1056"/>
    </row>
    <row r="630" spans="26:49" ht="14.15" customHeight="1" x14ac:dyDescent="0.35">
      <c r="Z630" s="422"/>
      <c r="AA630" s="422"/>
      <c r="AB630" s="422"/>
      <c r="AC630" s="1069"/>
      <c r="AD630" s="1069"/>
      <c r="AE630" s="1074"/>
      <c r="AF630" s="1074"/>
      <c r="AG630" s="1069"/>
      <c r="AH630" s="1068"/>
      <c r="AI630" s="1068"/>
      <c r="AJ630" s="1070"/>
      <c r="AK630" s="1071"/>
      <c r="AM630" s="1072"/>
      <c r="AP630" s="1056"/>
      <c r="AQ630" s="1056"/>
      <c r="AS630" s="1056"/>
      <c r="AT630" s="1056"/>
      <c r="AU630" s="1056"/>
      <c r="AV630" s="1056"/>
      <c r="AW630" s="1056"/>
    </row>
    <row r="631" spans="26:49" ht="14.15" customHeight="1" x14ac:dyDescent="0.35">
      <c r="Z631" s="422"/>
      <c r="AA631" s="422"/>
      <c r="AB631" s="422"/>
      <c r="AC631" s="1068"/>
      <c r="AD631" s="1068"/>
      <c r="AE631" s="1073"/>
      <c r="AF631" s="1073"/>
      <c r="AG631" s="1068"/>
      <c r="AH631" s="1068"/>
      <c r="AI631" s="1068"/>
      <c r="AJ631" s="1070"/>
      <c r="AK631" s="1071"/>
      <c r="AM631" s="1072"/>
      <c r="AP631" s="1056"/>
      <c r="AQ631" s="1056"/>
      <c r="AS631" s="1056"/>
      <c r="AT631" s="1056"/>
      <c r="AU631" s="1056"/>
      <c r="AV631" s="1056"/>
      <c r="AW631" s="1056"/>
    </row>
    <row r="632" spans="26:49" ht="14.15" customHeight="1" x14ac:dyDescent="0.35">
      <c r="Z632" s="422"/>
      <c r="AA632" s="422"/>
      <c r="AB632" s="422"/>
      <c r="AC632" s="1069"/>
      <c r="AD632" s="1069"/>
      <c r="AE632" s="1074"/>
      <c r="AF632" s="1074"/>
      <c r="AG632" s="1069"/>
      <c r="AH632" s="1069"/>
      <c r="AI632" s="1080"/>
      <c r="AJ632" s="1070"/>
      <c r="AK632" s="1071"/>
      <c r="AM632" s="1072"/>
      <c r="AP632" s="1056"/>
      <c r="AQ632" s="1056"/>
      <c r="AS632" s="1056"/>
      <c r="AT632" s="1056"/>
      <c r="AU632" s="1056"/>
      <c r="AV632" s="1056"/>
      <c r="AW632" s="1056"/>
    </row>
    <row r="633" spans="26:49" ht="14.15" customHeight="1" x14ac:dyDescent="0.35">
      <c r="Z633" s="422"/>
      <c r="AA633" s="422"/>
      <c r="AB633" s="422"/>
      <c r="AC633" s="1068"/>
      <c r="AD633" s="1068"/>
      <c r="AE633" s="1073"/>
      <c r="AF633" s="1073"/>
      <c r="AG633" s="1068"/>
      <c r="AH633" s="1068"/>
      <c r="AI633" s="1068"/>
      <c r="AJ633" s="1070"/>
      <c r="AK633" s="1071"/>
      <c r="AM633" s="1072"/>
      <c r="AP633" s="1056"/>
      <c r="AQ633" s="1056"/>
      <c r="AS633" s="1056"/>
      <c r="AT633" s="1056"/>
      <c r="AU633" s="1056"/>
      <c r="AV633" s="1056"/>
      <c r="AW633" s="1056"/>
    </row>
    <row r="634" spans="26:49" ht="14.15" customHeight="1" x14ac:dyDescent="0.35">
      <c r="Z634" s="422"/>
      <c r="AA634" s="422"/>
      <c r="AB634" s="422"/>
      <c r="AC634" s="1079"/>
      <c r="AD634" s="1079"/>
      <c r="AE634" s="1073"/>
      <c r="AF634" s="1073"/>
      <c r="AG634" s="1068"/>
      <c r="AH634" s="1068"/>
      <c r="AI634" s="1080"/>
      <c r="AJ634" s="1070"/>
      <c r="AK634" s="1071"/>
      <c r="AM634" s="1072"/>
      <c r="AP634" s="1056"/>
      <c r="AQ634" s="1056"/>
      <c r="AS634" s="1056"/>
      <c r="AT634" s="1056"/>
      <c r="AU634" s="1056"/>
      <c r="AV634" s="1056"/>
      <c r="AW634" s="1056"/>
    </row>
    <row r="635" spans="26:49" ht="14.15" customHeight="1" x14ac:dyDescent="0.35">
      <c r="Z635" s="422"/>
      <c r="AA635" s="422"/>
      <c r="AB635" s="422"/>
      <c r="AC635" s="1076"/>
      <c r="AD635" s="1076"/>
      <c r="AE635" s="1076"/>
      <c r="AF635" s="1076"/>
      <c r="AG635" s="1068"/>
      <c r="AH635" s="1068"/>
      <c r="AI635" s="1068"/>
      <c r="AJ635" s="1070"/>
      <c r="AK635" s="1071"/>
      <c r="AM635" s="1072"/>
      <c r="AP635" s="1056"/>
      <c r="AQ635" s="1056"/>
      <c r="AS635" s="1056"/>
      <c r="AT635" s="1056"/>
      <c r="AU635" s="1056"/>
      <c r="AV635" s="1056"/>
      <c r="AW635" s="1056"/>
    </row>
    <row r="636" spans="26:49" ht="14.15" customHeight="1" x14ac:dyDescent="0.35">
      <c r="Z636" s="422"/>
      <c r="AA636" s="422"/>
      <c r="AB636" s="422"/>
      <c r="AC636" s="1068"/>
      <c r="AD636" s="1068"/>
      <c r="AE636" s="1073"/>
      <c r="AF636" s="1073"/>
      <c r="AG636" s="1068"/>
      <c r="AH636" s="1068"/>
      <c r="AI636" s="1068"/>
      <c r="AJ636" s="1070"/>
      <c r="AK636" s="1071"/>
      <c r="AM636" s="1072"/>
      <c r="AP636" s="1056"/>
      <c r="AQ636" s="1056"/>
      <c r="AS636" s="1056"/>
      <c r="AT636" s="1056"/>
      <c r="AU636" s="1056"/>
      <c r="AV636" s="1056"/>
      <c r="AW636" s="1056"/>
    </row>
    <row r="637" spans="26:49" ht="14.15" customHeight="1" x14ac:dyDescent="0.35">
      <c r="Z637" s="422"/>
      <c r="AA637" s="422"/>
      <c r="AB637" s="422"/>
      <c r="AC637" s="1076"/>
      <c r="AD637" s="1076"/>
      <c r="AE637" s="1076"/>
      <c r="AF637" s="1076"/>
      <c r="AG637" s="1076"/>
      <c r="AH637" s="1068"/>
      <c r="AI637" s="1075"/>
      <c r="AJ637" s="1070"/>
      <c r="AK637" s="1071"/>
      <c r="AM637" s="1072"/>
      <c r="AP637" s="1056"/>
      <c r="AQ637" s="1056"/>
      <c r="AS637" s="1056"/>
      <c r="AT637" s="1056"/>
      <c r="AU637" s="1056"/>
      <c r="AV637" s="1056"/>
      <c r="AW637" s="1056"/>
    </row>
    <row r="638" spans="26:49" ht="14.15" customHeight="1" x14ac:dyDescent="0.35">
      <c r="Z638" s="422"/>
      <c r="AA638" s="422"/>
      <c r="AB638" s="422"/>
      <c r="AC638" s="1068"/>
      <c r="AD638" s="1068"/>
      <c r="AE638" s="1073"/>
      <c r="AF638" s="1073"/>
      <c r="AG638" s="1068"/>
      <c r="AH638" s="1068"/>
      <c r="AI638" s="1068"/>
      <c r="AJ638" s="1070"/>
      <c r="AK638" s="1071"/>
      <c r="AM638" s="1072"/>
      <c r="AP638" s="1056"/>
      <c r="AQ638" s="1056"/>
      <c r="AS638" s="1056"/>
      <c r="AT638" s="1056"/>
      <c r="AU638" s="1056"/>
      <c r="AV638" s="1056"/>
      <c r="AW638" s="1056"/>
    </row>
    <row r="639" spans="26:49" ht="14.15" customHeight="1" x14ac:dyDescent="0.35">
      <c r="Z639" s="422"/>
      <c r="AA639" s="422"/>
      <c r="AB639" s="422"/>
      <c r="AC639" s="1069"/>
      <c r="AD639" s="1069"/>
      <c r="AE639" s="1074"/>
      <c r="AF639" s="1074"/>
      <c r="AG639" s="1069"/>
      <c r="AH639" s="1069"/>
      <c r="AI639" s="1075"/>
      <c r="AJ639" s="1070"/>
      <c r="AK639" s="1071"/>
      <c r="AM639" s="1072"/>
      <c r="AP639" s="1058"/>
      <c r="AQ639" s="1057"/>
      <c r="AS639" s="1057"/>
      <c r="AT639" s="1058"/>
      <c r="AU639" s="1058"/>
      <c r="AV639" s="1058"/>
      <c r="AW639" s="1057"/>
    </row>
    <row r="640" spans="26:49" ht="14.15" customHeight="1" x14ac:dyDescent="0.35">
      <c r="Z640" s="422"/>
      <c r="AA640" s="422"/>
      <c r="AB640" s="422"/>
      <c r="AC640" s="1079"/>
      <c r="AD640" s="1079"/>
      <c r="AE640" s="1073"/>
      <c r="AF640" s="1073"/>
      <c r="AG640" s="1068"/>
      <c r="AH640" s="1068"/>
      <c r="AI640" s="1069"/>
      <c r="AJ640" s="1070"/>
      <c r="AK640" s="1071"/>
      <c r="AM640" s="1072"/>
      <c r="AP640" s="1056"/>
      <c r="AQ640" s="1056"/>
      <c r="AS640" s="1056"/>
      <c r="AT640" s="1056"/>
      <c r="AU640" s="1056"/>
      <c r="AV640" s="1056"/>
      <c r="AW640" s="1056"/>
    </row>
    <row r="641" spans="26:49" ht="14.15" customHeight="1" x14ac:dyDescent="0.35">
      <c r="Z641" s="422"/>
      <c r="AA641" s="422"/>
      <c r="AB641" s="422"/>
      <c r="AC641" s="1068"/>
      <c r="AD641" s="1068"/>
      <c r="AE641" s="1073"/>
      <c r="AF641" s="1073"/>
      <c r="AG641" s="1068"/>
      <c r="AH641" s="1068"/>
      <c r="AI641" s="1077"/>
      <c r="AJ641" s="1070"/>
      <c r="AK641" s="1071"/>
      <c r="AM641" s="1072"/>
      <c r="AP641" s="1056"/>
      <c r="AQ641" s="1056"/>
      <c r="AS641" s="1056"/>
      <c r="AT641" s="1056"/>
      <c r="AU641" s="1056"/>
      <c r="AV641" s="1056"/>
      <c r="AW641" s="1056"/>
    </row>
    <row r="642" spans="26:49" ht="14.15" customHeight="1" x14ac:dyDescent="0.35">
      <c r="Z642" s="422"/>
      <c r="AA642" s="422"/>
      <c r="AB642" s="422"/>
      <c r="AC642" s="1068"/>
      <c r="AD642" s="1068"/>
      <c r="AE642" s="1073"/>
      <c r="AF642" s="1073"/>
      <c r="AG642" s="1068"/>
      <c r="AH642" s="1068"/>
      <c r="AI642" s="1068"/>
      <c r="AJ642" s="1070"/>
      <c r="AK642" s="1071"/>
      <c r="AM642" s="1072"/>
      <c r="AP642" s="1056"/>
      <c r="AQ642" s="1056"/>
      <c r="AS642" s="1056"/>
      <c r="AT642" s="1056"/>
      <c r="AU642" s="1056"/>
      <c r="AV642" s="1056"/>
      <c r="AW642" s="1056"/>
    </row>
    <row r="643" spans="26:49" ht="14.15" customHeight="1" x14ac:dyDescent="0.35">
      <c r="Z643" s="422"/>
      <c r="AA643" s="422"/>
      <c r="AB643" s="422"/>
      <c r="AC643" s="1068"/>
      <c r="AD643" s="1068"/>
      <c r="AE643" s="1073"/>
      <c r="AF643" s="1073"/>
      <c r="AG643" s="1068"/>
      <c r="AH643" s="1068"/>
      <c r="AI643" s="1068"/>
      <c r="AJ643" s="1070"/>
      <c r="AK643" s="1071"/>
      <c r="AM643" s="1072"/>
      <c r="AP643" s="1056"/>
      <c r="AQ643" s="1056"/>
      <c r="AS643" s="1056"/>
      <c r="AT643" s="1056"/>
      <c r="AU643" s="1056"/>
      <c r="AV643" s="1056"/>
      <c r="AW643" s="1056"/>
    </row>
    <row r="644" spans="26:49" ht="14.15" customHeight="1" x14ac:dyDescent="0.35">
      <c r="Z644" s="422"/>
      <c r="AA644" s="422"/>
      <c r="AB644" s="422"/>
      <c r="AC644" s="1068"/>
      <c r="AD644" s="1068"/>
      <c r="AE644" s="1073"/>
      <c r="AF644" s="1073"/>
      <c r="AG644" s="1068"/>
      <c r="AH644" s="1068"/>
      <c r="AI644" s="1080"/>
      <c r="AJ644" s="1070"/>
      <c r="AK644" s="1071"/>
      <c r="AM644" s="1072"/>
      <c r="AP644" s="1056"/>
      <c r="AQ644" s="1056"/>
      <c r="AS644" s="1056"/>
      <c r="AT644" s="1056"/>
      <c r="AU644" s="1056"/>
      <c r="AV644" s="1056"/>
      <c r="AW644" s="1056"/>
    </row>
    <row r="645" spans="26:49" ht="14.15" customHeight="1" x14ac:dyDescent="0.35">
      <c r="Z645" s="422"/>
      <c r="AA645" s="422"/>
      <c r="AB645" s="422"/>
      <c r="AC645" s="1068"/>
      <c r="AD645" s="1068"/>
      <c r="AE645" s="1073"/>
      <c r="AF645" s="1073"/>
      <c r="AG645" s="1068"/>
      <c r="AH645" s="1068"/>
      <c r="AI645" s="1075"/>
      <c r="AJ645" s="1070"/>
      <c r="AK645" s="1071"/>
      <c r="AM645" s="1072"/>
      <c r="AP645" s="1056"/>
      <c r="AQ645" s="1056"/>
      <c r="AS645" s="1056"/>
      <c r="AT645" s="1056"/>
      <c r="AU645" s="1056"/>
      <c r="AV645" s="1056"/>
      <c r="AW645" s="1056"/>
    </row>
    <row r="646" spans="26:49" ht="14.15" customHeight="1" x14ac:dyDescent="0.35">
      <c r="Z646" s="422"/>
      <c r="AA646" s="422"/>
      <c r="AB646" s="422"/>
      <c r="AC646" s="1076"/>
      <c r="AD646" s="1076"/>
      <c r="AE646" s="1076"/>
      <c r="AF646" s="1076"/>
      <c r="AG646" s="1076"/>
      <c r="AH646" s="1069"/>
      <c r="AI646" s="1068"/>
      <c r="AJ646" s="1070"/>
      <c r="AK646" s="1071"/>
      <c r="AM646" s="1072"/>
      <c r="AP646" s="1056"/>
      <c r="AQ646" s="1056"/>
      <c r="AS646" s="1056"/>
      <c r="AT646" s="1056"/>
      <c r="AU646" s="1056"/>
      <c r="AV646" s="1056"/>
      <c r="AW646" s="1056"/>
    </row>
    <row r="647" spans="26:49" ht="14.15" customHeight="1" x14ac:dyDescent="0.35">
      <c r="Z647" s="422"/>
      <c r="AA647" s="422"/>
      <c r="AB647" s="422"/>
      <c r="AC647" s="1068"/>
      <c r="AD647" s="1068"/>
      <c r="AE647" s="1073"/>
      <c r="AF647" s="1073"/>
      <c r="AG647" s="1068"/>
      <c r="AH647" s="1068"/>
      <c r="AI647" s="1068"/>
      <c r="AJ647" s="1070"/>
      <c r="AK647" s="1071"/>
      <c r="AM647" s="1072"/>
      <c r="AP647" s="1056"/>
      <c r="AQ647" s="1056"/>
      <c r="AS647" s="1056"/>
      <c r="AT647" s="1056"/>
      <c r="AU647" s="1056"/>
      <c r="AV647" s="1056"/>
      <c r="AW647" s="1056"/>
    </row>
    <row r="648" spans="26:49" ht="14.15" customHeight="1" x14ac:dyDescent="0.35">
      <c r="Z648" s="422"/>
      <c r="AA648" s="422"/>
      <c r="AB648" s="422"/>
      <c r="AC648" s="1079"/>
      <c r="AD648" s="1079"/>
      <c r="AE648" s="1073"/>
      <c r="AF648" s="1073"/>
      <c r="AG648" s="1068"/>
      <c r="AH648" s="1068"/>
      <c r="AI648" s="1080"/>
      <c r="AJ648" s="1070"/>
      <c r="AK648" s="1071"/>
      <c r="AM648" s="1072"/>
      <c r="AP648" s="1060"/>
      <c r="AQ648" s="1061"/>
      <c r="AS648" s="1082"/>
      <c r="AT648" s="1060"/>
      <c r="AU648" s="1060"/>
      <c r="AV648" s="1060"/>
      <c r="AW648" s="1061"/>
    </row>
    <row r="649" spans="26:49" ht="14.15" customHeight="1" x14ac:dyDescent="0.35">
      <c r="Z649" s="422"/>
      <c r="AA649" s="422"/>
      <c r="AB649" s="422"/>
      <c r="AC649" s="1069"/>
      <c r="AD649" s="1069"/>
      <c r="AE649" s="1074"/>
      <c r="AF649" s="1074"/>
      <c r="AG649" s="1069"/>
      <c r="AH649" s="1068"/>
      <c r="AI649" s="1068"/>
      <c r="AJ649" s="1070"/>
      <c r="AK649" s="1071"/>
      <c r="AM649" s="1072"/>
      <c r="AP649" s="1056"/>
      <c r="AQ649" s="1056"/>
      <c r="AS649" s="1056"/>
      <c r="AT649" s="1056"/>
      <c r="AU649" s="1056"/>
      <c r="AV649" s="1056"/>
      <c r="AW649" s="1056"/>
    </row>
    <row r="650" spans="26:49" ht="14.15" customHeight="1" x14ac:dyDescent="0.35">
      <c r="Z650" s="422"/>
      <c r="AA650" s="422"/>
      <c r="AB650" s="422"/>
      <c r="AC650" s="1076"/>
      <c r="AD650" s="1076"/>
      <c r="AE650" s="1076"/>
      <c r="AF650" s="1076"/>
      <c r="AG650" s="1076"/>
      <c r="AH650" s="1068"/>
      <c r="AI650" s="1075"/>
      <c r="AJ650" s="1070"/>
      <c r="AK650" s="1071"/>
      <c r="AM650" s="1072"/>
      <c r="AP650" s="1056"/>
      <c r="AQ650" s="1056"/>
      <c r="AS650" s="1056"/>
      <c r="AT650" s="1056"/>
      <c r="AU650" s="1056"/>
      <c r="AV650" s="1056"/>
      <c r="AW650" s="1056"/>
    </row>
    <row r="651" spans="26:49" ht="14.15" customHeight="1" x14ac:dyDescent="0.35">
      <c r="Z651" s="422"/>
      <c r="AA651" s="422"/>
      <c r="AB651" s="422"/>
      <c r="AC651" s="1076"/>
      <c r="AD651" s="1076"/>
      <c r="AE651" s="1076"/>
      <c r="AF651" s="1076"/>
      <c r="AG651" s="1076"/>
      <c r="AH651" s="1069"/>
      <c r="AI651" s="1080"/>
      <c r="AJ651" s="1070"/>
      <c r="AK651" s="1071"/>
      <c r="AM651" s="1072"/>
      <c r="AP651" s="1056"/>
      <c r="AQ651" s="1056"/>
      <c r="AS651" s="1056"/>
      <c r="AT651" s="1056"/>
      <c r="AU651" s="1056"/>
      <c r="AV651" s="1056"/>
      <c r="AW651" s="1056"/>
    </row>
    <row r="652" spans="26:49" ht="14.15" customHeight="1" x14ac:dyDescent="0.35">
      <c r="Z652" s="422"/>
      <c r="AA652" s="422"/>
      <c r="AB652" s="422"/>
      <c r="AC652" s="1068"/>
      <c r="AD652" s="1068"/>
      <c r="AE652" s="1073"/>
      <c r="AF652" s="1073"/>
      <c r="AG652" s="1068"/>
      <c r="AH652" s="1068"/>
      <c r="AI652" s="1069"/>
      <c r="AJ652" s="1070"/>
      <c r="AK652" s="1071"/>
      <c r="AM652" s="1072"/>
      <c r="AP652" s="1059"/>
      <c r="AQ652" s="1057"/>
      <c r="AS652" s="1059"/>
      <c r="AT652" s="1059"/>
      <c r="AU652" s="1059"/>
      <c r="AV652" s="1059"/>
      <c r="AW652" s="1057"/>
    </row>
    <row r="653" spans="26:49" ht="14.15" customHeight="1" x14ac:dyDescent="0.35">
      <c r="Z653" s="422"/>
      <c r="AA653" s="422"/>
      <c r="AB653" s="422"/>
      <c r="AC653" s="1068"/>
      <c r="AD653" s="1068"/>
      <c r="AE653" s="1073"/>
      <c r="AF653" s="1073"/>
      <c r="AG653" s="1068"/>
      <c r="AH653" s="1068"/>
      <c r="AI653" s="1068"/>
      <c r="AJ653" s="1070"/>
      <c r="AK653" s="1071"/>
      <c r="AM653" s="1072"/>
      <c r="AP653" s="1058"/>
      <c r="AQ653" s="1061"/>
      <c r="AS653" s="1057"/>
      <c r="AT653" s="1058"/>
      <c r="AU653" s="1058"/>
      <c r="AV653" s="1058"/>
      <c r="AW653" s="1061"/>
    </row>
    <row r="654" spans="26:49" ht="14.15" customHeight="1" x14ac:dyDescent="0.35">
      <c r="Z654" s="422"/>
      <c r="AA654" s="422"/>
      <c r="AB654" s="422"/>
      <c r="AC654" s="1068"/>
      <c r="AD654" s="1068"/>
      <c r="AE654" s="1073"/>
      <c r="AF654" s="1073"/>
      <c r="AG654" s="1068"/>
      <c r="AH654" s="1068"/>
      <c r="AI654" s="1069"/>
      <c r="AJ654" s="1070"/>
      <c r="AK654" s="1071"/>
      <c r="AM654" s="1072"/>
      <c r="AP654" s="1056"/>
      <c r="AQ654" s="1056"/>
      <c r="AS654" s="1056"/>
      <c r="AT654" s="1056"/>
      <c r="AU654" s="1056"/>
      <c r="AV654" s="1056"/>
      <c r="AW654" s="1056"/>
    </row>
    <row r="655" spans="26:49" ht="14.15" customHeight="1" x14ac:dyDescent="0.35">
      <c r="Z655" s="422"/>
      <c r="AA655" s="422"/>
      <c r="AB655" s="422"/>
      <c r="AC655" s="1069"/>
      <c r="AD655" s="1069"/>
      <c r="AE655" s="1074"/>
      <c r="AF655" s="1074"/>
      <c r="AG655" s="1069"/>
      <c r="AH655" s="1069"/>
      <c r="AI655" s="1068"/>
      <c r="AJ655" s="1070"/>
      <c r="AK655" s="1071"/>
      <c r="AM655" s="1072"/>
      <c r="AP655" s="1056"/>
      <c r="AQ655" s="1056"/>
      <c r="AS655" s="1056"/>
      <c r="AT655" s="1056"/>
      <c r="AU655" s="1056"/>
      <c r="AV655" s="1056"/>
      <c r="AW655" s="1056"/>
    </row>
    <row r="656" spans="26:49" ht="14.15" customHeight="1" x14ac:dyDescent="0.35">
      <c r="Z656" s="422"/>
      <c r="AA656" s="422"/>
      <c r="AB656" s="422"/>
      <c r="AC656" s="1068"/>
      <c r="AD656" s="1068"/>
      <c r="AE656" s="1074"/>
      <c r="AF656" s="1074"/>
      <c r="AG656" s="1068"/>
      <c r="AH656" s="1068"/>
      <c r="AI656" s="1068"/>
      <c r="AJ656" s="1070"/>
      <c r="AK656" s="1071"/>
      <c r="AM656" s="1072"/>
      <c r="AP656" s="1056"/>
      <c r="AQ656" s="1056"/>
      <c r="AS656" s="1056"/>
      <c r="AT656" s="1056"/>
      <c r="AU656" s="1056"/>
      <c r="AV656" s="1056"/>
      <c r="AW656" s="1056"/>
    </row>
    <row r="657" spans="26:49" ht="14.15" customHeight="1" x14ac:dyDescent="0.35">
      <c r="Z657" s="422"/>
      <c r="AA657" s="422"/>
      <c r="AB657" s="422"/>
      <c r="AC657" s="1069"/>
      <c r="AD657" s="1069"/>
      <c r="AE657" s="1074"/>
      <c r="AF657" s="1074"/>
      <c r="AG657" s="1069"/>
      <c r="AH657" s="1068"/>
      <c r="AI657" s="1068"/>
      <c r="AJ657" s="1070"/>
      <c r="AK657" s="1071"/>
      <c r="AM657" s="1072"/>
      <c r="AP657" s="1056"/>
      <c r="AQ657" s="1056"/>
      <c r="AS657" s="1056"/>
      <c r="AT657" s="1056"/>
      <c r="AU657" s="1056"/>
      <c r="AV657" s="1056"/>
      <c r="AW657" s="1056"/>
    </row>
    <row r="658" spans="26:49" ht="14.15" customHeight="1" x14ac:dyDescent="0.35">
      <c r="Z658" s="422"/>
      <c r="AA658" s="422"/>
      <c r="AB658" s="422"/>
      <c r="AC658" s="1069"/>
      <c r="AD658" s="1069"/>
      <c r="AE658" s="1074"/>
      <c r="AF658" s="1074"/>
      <c r="AG658" s="1069"/>
      <c r="AH658" s="1068"/>
      <c r="AI658" s="1068"/>
      <c r="AJ658" s="1070"/>
      <c r="AK658" s="1071"/>
      <c r="AM658" s="1072"/>
      <c r="AP658" s="1056"/>
      <c r="AQ658" s="1056"/>
      <c r="AS658" s="1056"/>
      <c r="AT658" s="1056"/>
      <c r="AU658" s="1056"/>
      <c r="AV658" s="1056"/>
      <c r="AW658" s="1056"/>
    </row>
    <row r="659" spans="26:49" ht="14.15" customHeight="1" x14ac:dyDescent="0.35">
      <c r="Z659" s="422"/>
      <c r="AA659" s="422"/>
      <c r="AB659" s="422"/>
      <c r="AC659" s="1069"/>
      <c r="AD659" s="1069"/>
      <c r="AE659" s="1074"/>
      <c r="AF659" s="1074"/>
      <c r="AG659" s="1069"/>
      <c r="AH659" s="1068"/>
      <c r="AI659" s="1068"/>
      <c r="AJ659" s="1070"/>
      <c r="AK659" s="1071"/>
      <c r="AM659" s="1072"/>
      <c r="AP659" s="1056"/>
      <c r="AQ659" s="1056"/>
      <c r="AS659" s="1056"/>
      <c r="AT659" s="1056"/>
      <c r="AU659" s="1056"/>
      <c r="AV659" s="1056"/>
      <c r="AW659" s="1056"/>
    </row>
    <row r="660" spans="26:49" ht="14.15" customHeight="1" x14ac:dyDescent="0.35">
      <c r="Z660" s="422"/>
      <c r="AA660" s="422"/>
      <c r="AB660" s="422"/>
      <c r="AC660" s="1068"/>
      <c r="AD660" s="1068"/>
      <c r="AE660" s="1073"/>
      <c r="AF660" s="1073"/>
      <c r="AG660" s="1068"/>
      <c r="AH660" s="1068"/>
      <c r="AI660" s="1075"/>
      <c r="AJ660" s="1070"/>
      <c r="AK660" s="1071"/>
      <c r="AM660" s="1072"/>
      <c r="AP660" s="1056"/>
      <c r="AQ660" s="1056"/>
      <c r="AS660" s="1056"/>
      <c r="AT660" s="1056"/>
      <c r="AU660" s="1056"/>
      <c r="AV660" s="1056"/>
      <c r="AW660" s="1056"/>
    </row>
    <row r="661" spans="26:49" ht="14.15" customHeight="1" x14ac:dyDescent="0.35">
      <c r="Z661" s="422"/>
      <c r="AA661" s="422"/>
      <c r="AB661" s="422"/>
      <c r="AC661" s="1076"/>
      <c r="AD661" s="1076"/>
      <c r="AE661" s="1076"/>
      <c r="AF661" s="1076"/>
      <c r="AG661" s="1076"/>
      <c r="AH661" s="1068"/>
      <c r="AI661" s="1068"/>
      <c r="AJ661" s="1070"/>
      <c r="AK661" s="1071"/>
      <c r="AM661" s="1072"/>
      <c r="AP661" s="1056"/>
      <c r="AQ661" s="1056"/>
      <c r="AS661" s="1056"/>
      <c r="AT661" s="1056"/>
      <c r="AU661" s="1056"/>
      <c r="AV661" s="1056"/>
      <c r="AW661" s="1056"/>
    </row>
    <row r="662" spans="26:49" ht="14.15" customHeight="1" x14ac:dyDescent="0.35">
      <c r="Z662" s="422"/>
      <c r="AA662" s="422"/>
      <c r="AB662" s="422"/>
      <c r="AC662" s="1068"/>
      <c r="AD662" s="1068"/>
      <c r="AE662" s="1073"/>
      <c r="AF662" s="1073"/>
      <c r="AG662" s="1068"/>
      <c r="AH662" s="1068"/>
      <c r="AI662" s="1068"/>
      <c r="AJ662" s="1070"/>
      <c r="AK662" s="1071"/>
      <c r="AM662" s="1072"/>
      <c r="AP662" s="1056"/>
      <c r="AQ662" s="1056"/>
      <c r="AS662" s="1056"/>
      <c r="AT662" s="1056"/>
      <c r="AU662" s="1056"/>
      <c r="AV662" s="1056"/>
      <c r="AW662" s="1056"/>
    </row>
    <row r="663" spans="26:49" ht="14.15" customHeight="1" x14ac:dyDescent="0.35">
      <c r="Z663" s="422"/>
      <c r="AA663" s="422"/>
      <c r="AB663" s="422"/>
      <c r="AC663" s="1076"/>
      <c r="AD663" s="1076"/>
      <c r="AE663" s="1076"/>
      <c r="AF663" s="1076"/>
      <c r="AG663" s="1068"/>
      <c r="AH663" s="1069"/>
      <c r="AI663" s="1075"/>
      <c r="AJ663" s="1070"/>
      <c r="AK663" s="1071"/>
      <c r="AM663" s="1072"/>
      <c r="AP663" s="1058"/>
      <c r="AQ663" s="1057"/>
      <c r="AS663" s="1057"/>
      <c r="AT663" s="1058"/>
      <c r="AU663" s="1058"/>
      <c r="AV663" s="1058"/>
      <c r="AW663" s="1057"/>
    </row>
    <row r="664" spans="26:49" ht="14.15" customHeight="1" x14ac:dyDescent="0.35">
      <c r="Z664" s="422"/>
      <c r="AA664" s="422"/>
      <c r="AB664" s="422"/>
      <c r="AC664" s="1076"/>
      <c r="AD664" s="1076"/>
      <c r="AE664" s="1076"/>
      <c r="AF664" s="1076"/>
      <c r="AG664" s="1068"/>
      <c r="AH664" s="1069"/>
      <c r="AI664" s="1068"/>
      <c r="AJ664" s="1070"/>
      <c r="AK664" s="1071"/>
      <c r="AM664" s="1072"/>
      <c r="AP664" s="1056"/>
      <c r="AQ664" s="1056"/>
      <c r="AS664" s="1056"/>
      <c r="AT664" s="1056"/>
      <c r="AU664" s="1056"/>
      <c r="AV664" s="1056"/>
      <c r="AW664" s="1056"/>
    </row>
    <row r="665" spans="26:49" ht="14.15" customHeight="1" x14ac:dyDescent="0.35">
      <c r="Z665" s="422"/>
      <c r="AA665" s="422"/>
      <c r="AB665" s="422"/>
      <c r="AC665" s="1076"/>
      <c r="AD665" s="1076"/>
      <c r="AE665" s="1076"/>
      <c r="AF665" s="1076"/>
      <c r="AG665" s="1068"/>
      <c r="AH665" s="1068"/>
      <c r="AI665" s="1080"/>
      <c r="AJ665" s="1070"/>
      <c r="AK665" s="1071"/>
      <c r="AM665" s="1072"/>
      <c r="AP665" s="1056"/>
      <c r="AQ665" s="1056"/>
      <c r="AS665" s="1056"/>
      <c r="AT665" s="1056"/>
      <c r="AU665" s="1056"/>
      <c r="AV665" s="1056"/>
      <c r="AW665" s="1056"/>
    </row>
    <row r="666" spans="26:49" ht="14.15" customHeight="1" x14ac:dyDescent="0.35">
      <c r="Z666" s="422"/>
      <c r="AA666" s="422"/>
      <c r="AB666" s="422"/>
      <c r="AC666" s="1076"/>
      <c r="AD666" s="1076"/>
      <c r="AE666" s="1076"/>
      <c r="AF666" s="1076"/>
      <c r="AG666" s="1068"/>
      <c r="AH666" s="1068"/>
      <c r="AI666" s="1068"/>
      <c r="AJ666" s="1070"/>
      <c r="AK666" s="1071"/>
      <c r="AM666" s="1072"/>
      <c r="AP666" s="1056"/>
      <c r="AQ666" s="1056"/>
      <c r="AS666" s="1056"/>
      <c r="AT666" s="1056"/>
      <c r="AU666" s="1056"/>
      <c r="AV666" s="1056"/>
      <c r="AW666" s="1056"/>
    </row>
    <row r="667" spans="26:49" ht="14.15" customHeight="1" x14ac:dyDescent="0.35">
      <c r="Z667" s="422"/>
      <c r="AA667" s="422"/>
      <c r="AB667" s="422"/>
      <c r="AC667" s="1069"/>
      <c r="AD667" s="1069"/>
      <c r="AE667" s="1074"/>
      <c r="AF667" s="1074"/>
      <c r="AG667" s="1069"/>
      <c r="AH667" s="1068"/>
      <c r="AI667" s="1075"/>
      <c r="AJ667" s="1070"/>
      <c r="AK667" s="1071"/>
      <c r="AM667" s="1072"/>
      <c r="AP667" s="1056"/>
      <c r="AQ667" s="1056"/>
      <c r="AS667" s="1056"/>
      <c r="AT667" s="1056"/>
      <c r="AU667" s="1056"/>
      <c r="AV667" s="1056"/>
      <c r="AW667" s="1056"/>
    </row>
    <row r="668" spans="26:49" ht="14.15" customHeight="1" x14ac:dyDescent="0.35">
      <c r="Z668" s="422"/>
      <c r="AA668" s="422"/>
      <c r="AB668" s="422"/>
      <c r="AC668" s="1069"/>
      <c r="AD668" s="1069"/>
      <c r="AE668" s="1074"/>
      <c r="AF668" s="1074"/>
      <c r="AG668" s="1069"/>
      <c r="AH668" s="1069"/>
      <c r="AI668" s="1069"/>
      <c r="AJ668" s="1070"/>
      <c r="AK668" s="1071"/>
      <c r="AM668" s="1072"/>
      <c r="AP668" s="1056"/>
      <c r="AQ668" s="1056"/>
      <c r="AS668" s="1056"/>
      <c r="AT668" s="1056"/>
      <c r="AU668" s="1056"/>
      <c r="AV668" s="1056"/>
      <c r="AW668" s="1056"/>
    </row>
    <row r="669" spans="26:49" ht="14.15" customHeight="1" x14ac:dyDescent="0.35">
      <c r="Z669" s="422"/>
      <c r="AA669" s="422"/>
      <c r="AB669" s="422"/>
      <c r="AC669" s="1068"/>
      <c r="AD669" s="1068"/>
      <c r="AE669" s="1073"/>
      <c r="AF669" s="1073"/>
      <c r="AG669" s="1068"/>
      <c r="AH669" s="1068"/>
      <c r="AI669" s="1068"/>
      <c r="AJ669" s="1070"/>
      <c r="AK669" s="1071"/>
      <c r="AM669" s="1072"/>
      <c r="AP669" s="1056"/>
      <c r="AQ669" s="1056"/>
      <c r="AS669" s="1056"/>
      <c r="AT669" s="1056"/>
      <c r="AU669" s="1056"/>
      <c r="AV669" s="1056"/>
      <c r="AW669" s="1056"/>
    </row>
    <row r="670" spans="26:49" ht="14.15" customHeight="1" x14ac:dyDescent="0.35">
      <c r="Z670" s="422"/>
      <c r="AA670" s="422"/>
      <c r="AB670" s="422"/>
      <c r="AC670" s="1069"/>
      <c r="AD670" s="1069"/>
      <c r="AE670" s="1074"/>
      <c r="AF670" s="1074"/>
      <c r="AG670" s="1069"/>
      <c r="AH670" s="1069"/>
      <c r="AI670" s="1069"/>
      <c r="AJ670" s="1070"/>
      <c r="AK670" s="1071"/>
      <c r="AM670" s="1072"/>
      <c r="AP670" s="1056"/>
      <c r="AQ670" s="1056"/>
      <c r="AS670" s="1056"/>
      <c r="AT670" s="1056"/>
      <c r="AU670" s="1056"/>
      <c r="AV670" s="1056"/>
      <c r="AW670" s="1056"/>
    </row>
    <row r="671" spans="26:49" ht="14.15" customHeight="1" x14ac:dyDescent="0.35">
      <c r="Z671" s="422"/>
      <c r="AA671" s="422"/>
      <c r="AB671" s="422"/>
      <c r="AC671" s="1068"/>
      <c r="AD671" s="1068"/>
      <c r="AE671" s="1073"/>
      <c r="AF671" s="1073"/>
      <c r="AG671" s="1069"/>
      <c r="AH671" s="1068"/>
      <c r="AI671" s="1068"/>
      <c r="AJ671" s="1070"/>
      <c r="AK671" s="1071"/>
      <c r="AM671" s="1072"/>
      <c r="AP671" s="1056"/>
      <c r="AQ671" s="1056"/>
      <c r="AS671" s="1056"/>
      <c r="AT671" s="1056"/>
      <c r="AU671" s="1056"/>
      <c r="AV671" s="1056"/>
      <c r="AW671" s="1056"/>
    </row>
    <row r="672" spans="26:49" ht="14.15" customHeight="1" x14ac:dyDescent="0.35">
      <c r="Z672" s="422"/>
      <c r="AA672" s="422"/>
      <c r="AB672" s="422"/>
      <c r="AC672" s="1069"/>
      <c r="AD672" s="1069"/>
      <c r="AE672" s="1074"/>
      <c r="AF672" s="1074"/>
      <c r="AG672" s="1069"/>
      <c r="AH672" s="1069"/>
      <c r="AI672" s="1068"/>
      <c r="AJ672" s="1070"/>
      <c r="AK672" s="1071"/>
      <c r="AM672" s="1072"/>
      <c r="AP672" s="1056"/>
      <c r="AQ672" s="1056"/>
      <c r="AS672" s="1056"/>
      <c r="AT672" s="1056"/>
      <c r="AU672" s="1056"/>
      <c r="AV672" s="1056"/>
      <c r="AW672" s="1056"/>
    </row>
    <row r="673" spans="26:49" ht="14.15" customHeight="1" x14ac:dyDescent="0.35">
      <c r="Z673" s="422"/>
      <c r="AA673" s="422"/>
      <c r="AB673" s="422"/>
      <c r="AC673" s="1068"/>
      <c r="AD673" s="1068"/>
      <c r="AE673" s="1073"/>
      <c r="AF673" s="1073"/>
      <c r="AG673" s="1068"/>
      <c r="AH673" s="1068"/>
      <c r="AI673" s="1068"/>
      <c r="AJ673" s="1070"/>
      <c r="AK673" s="1071"/>
      <c r="AM673" s="1072"/>
      <c r="AP673" s="1056"/>
      <c r="AQ673" s="1056"/>
      <c r="AS673" s="1056"/>
      <c r="AT673" s="1056"/>
      <c r="AU673" s="1056"/>
      <c r="AV673" s="1056"/>
      <c r="AW673" s="1056"/>
    </row>
    <row r="674" spans="26:49" ht="14.15" customHeight="1" x14ac:dyDescent="0.35">
      <c r="Z674" s="422"/>
      <c r="AA674" s="422"/>
      <c r="AB674" s="422"/>
      <c r="AC674" s="1068"/>
      <c r="AD674" s="1068"/>
      <c r="AE674" s="1073"/>
      <c r="AF674" s="1073"/>
      <c r="AG674" s="1068"/>
      <c r="AH674" s="1068"/>
      <c r="AI674" s="1068"/>
      <c r="AJ674" s="1070"/>
      <c r="AK674" s="1071"/>
      <c r="AM674" s="1072"/>
      <c r="AP674" s="1056"/>
      <c r="AQ674" s="1056"/>
      <c r="AS674" s="1056"/>
      <c r="AT674" s="1056"/>
      <c r="AU674" s="1056"/>
      <c r="AV674" s="1056"/>
      <c r="AW674" s="1056"/>
    </row>
    <row r="675" spans="26:49" ht="14.15" customHeight="1" x14ac:dyDescent="0.35">
      <c r="Z675" s="422"/>
      <c r="AA675" s="422"/>
      <c r="AB675" s="422"/>
      <c r="AC675" s="1076"/>
      <c r="AD675" s="1076"/>
      <c r="AE675" s="1076"/>
      <c r="AF675" s="1076"/>
      <c r="AG675" s="1068"/>
      <c r="AH675" s="1068"/>
      <c r="AI675" s="1080"/>
      <c r="AJ675" s="1070"/>
      <c r="AK675" s="1071"/>
      <c r="AM675" s="1072"/>
      <c r="AP675" s="1056"/>
      <c r="AQ675" s="1056"/>
      <c r="AS675" s="1056"/>
      <c r="AT675" s="1056"/>
      <c r="AU675" s="1056"/>
      <c r="AV675" s="1056"/>
      <c r="AW675" s="1056"/>
    </row>
    <row r="676" spans="26:49" ht="14.15" customHeight="1" x14ac:dyDescent="0.35">
      <c r="Z676" s="422"/>
      <c r="AA676" s="422"/>
      <c r="AB676" s="422"/>
      <c r="AC676" s="1068"/>
      <c r="AD676" s="1068"/>
      <c r="AE676" s="1073"/>
      <c r="AF676" s="1073"/>
      <c r="AG676" s="1068"/>
      <c r="AH676" s="1068"/>
      <c r="AI676" s="1068"/>
      <c r="AJ676" s="1070"/>
      <c r="AK676" s="1071"/>
      <c r="AM676" s="1072"/>
      <c r="AP676" s="1056"/>
      <c r="AQ676" s="1056"/>
      <c r="AS676" s="1056"/>
      <c r="AT676" s="1056"/>
      <c r="AU676" s="1056"/>
      <c r="AV676" s="1056"/>
      <c r="AW676" s="1056"/>
    </row>
    <row r="677" spans="26:49" ht="14.15" customHeight="1" x14ac:dyDescent="0.35">
      <c r="Z677" s="422"/>
      <c r="AA677" s="422"/>
      <c r="AB677" s="422"/>
      <c r="AC677" s="1068"/>
      <c r="AD677" s="1068"/>
      <c r="AE677" s="1073"/>
      <c r="AF677" s="1073"/>
      <c r="AG677" s="1068"/>
      <c r="AH677" s="1068"/>
      <c r="AI677" s="1068"/>
      <c r="AJ677" s="1070"/>
      <c r="AK677" s="1071"/>
      <c r="AM677" s="1072"/>
      <c r="AP677" s="1056"/>
      <c r="AQ677" s="1056"/>
      <c r="AS677" s="1056"/>
      <c r="AT677" s="1056"/>
      <c r="AU677" s="1056"/>
      <c r="AV677" s="1056"/>
      <c r="AW677" s="1056"/>
    </row>
    <row r="678" spans="26:49" ht="14.15" customHeight="1" x14ac:dyDescent="0.35">
      <c r="Z678" s="422"/>
      <c r="AA678" s="422"/>
      <c r="AB678" s="422"/>
      <c r="AC678" s="1068"/>
      <c r="AD678" s="1068"/>
      <c r="AE678" s="1073"/>
      <c r="AF678" s="1073"/>
      <c r="AG678" s="1068"/>
      <c r="AH678" s="1068"/>
      <c r="AI678" s="1068"/>
      <c r="AJ678" s="1070"/>
      <c r="AK678" s="1071"/>
      <c r="AM678" s="1072"/>
      <c r="AP678" s="1056"/>
      <c r="AQ678" s="1056"/>
      <c r="AS678" s="1056"/>
      <c r="AT678" s="1056"/>
      <c r="AU678" s="1056"/>
      <c r="AV678" s="1056"/>
      <c r="AW678" s="1056"/>
    </row>
    <row r="679" spans="26:49" ht="14.15" customHeight="1" x14ac:dyDescent="0.35">
      <c r="Z679" s="422"/>
      <c r="AA679" s="422"/>
      <c r="AB679" s="422"/>
      <c r="AC679" s="1068"/>
      <c r="AD679" s="1068"/>
      <c r="AE679" s="1073"/>
      <c r="AF679" s="1073"/>
      <c r="AG679" s="1068"/>
      <c r="AH679" s="1068"/>
      <c r="AI679" s="1080"/>
      <c r="AJ679" s="1070"/>
      <c r="AK679" s="1071"/>
      <c r="AM679" s="1072"/>
      <c r="AP679" s="1056"/>
      <c r="AQ679" s="1056"/>
      <c r="AS679" s="1056"/>
      <c r="AT679" s="1056"/>
      <c r="AU679" s="1056"/>
      <c r="AV679" s="1056"/>
      <c r="AW679" s="1056"/>
    </row>
    <row r="680" spans="26:49" ht="14.15" customHeight="1" x14ac:dyDescent="0.35">
      <c r="Z680" s="422"/>
      <c r="AA680" s="422"/>
      <c r="AB680" s="422"/>
      <c r="AC680" s="1068"/>
      <c r="AD680" s="1068"/>
      <c r="AE680" s="1073"/>
      <c r="AF680" s="1073"/>
      <c r="AG680" s="1068"/>
      <c r="AH680" s="1068"/>
      <c r="AI680" s="1077"/>
      <c r="AJ680" s="1070"/>
      <c r="AK680" s="1071"/>
      <c r="AM680" s="1072"/>
      <c r="AP680" s="1056"/>
      <c r="AQ680" s="1056"/>
      <c r="AS680" s="1056"/>
      <c r="AT680" s="1056"/>
      <c r="AU680" s="1056"/>
      <c r="AV680" s="1056"/>
      <c r="AW680" s="1056"/>
    </row>
    <row r="681" spans="26:49" ht="14.15" customHeight="1" x14ac:dyDescent="0.35">
      <c r="Z681" s="422"/>
      <c r="AA681" s="422"/>
      <c r="AB681" s="422"/>
      <c r="AC681" s="1068"/>
      <c r="AD681" s="1068"/>
      <c r="AE681" s="1073"/>
      <c r="AF681" s="1073"/>
      <c r="AG681" s="1068"/>
      <c r="AH681" s="1068"/>
      <c r="AI681" s="1080"/>
      <c r="AJ681" s="1070"/>
      <c r="AK681" s="1071"/>
      <c r="AM681" s="1072"/>
      <c r="AP681" s="1056"/>
      <c r="AQ681" s="1056"/>
      <c r="AS681" s="1056"/>
      <c r="AT681" s="1056"/>
      <c r="AU681" s="1056"/>
      <c r="AV681" s="1056"/>
      <c r="AW681" s="1056"/>
    </row>
    <row r="682" spans="26:49" ht="14.15" customHeight="1" x14ac:dyDescent="0.35">
      <c r="Z682" s="422"/>
      <c r="AA682" s="422"/>
      <c r="AB682" s="422"/>
      <c r="AC682" s="1068"/>
      <c r="AD682" s="1068"/>
      <c r="AE682" s="1073"/>
      <c r="AF682" s="1073"/>
      <c r="AG682" s="1068"/>
      <c r="AH682" s="1068"/>
      <c r="AI682" s="1075"/>
      <c r="AJ682" s="1070"/>
      <c r="AK682" s="1071"/>
      <c r="AM682" s="1072"/>
      <c r="AP682" s="1056"/>
      <c r="AQ682" s="1056"/>
      <c r="AS682" s="1056"/>
      <c r="AT682" s="1056"/>
      <c r="AU682" s="1056"/>
      <c r="AV682" s="1056"/>
      <c r="AW682" s="1056"/>
    </row>
    <row r="683" spans="26:49" ht="14.15" customHeight="1" x14ac:dyDescent="0.35">
      <c r="Z683" s="422"/>
      <c r="AA683" s="422"/>
      <c r="AB683" s="422"/>
      <c r="AC683" s="1068"/>
      <c r="AD683" s="1068"/>
      <c r="AE683" s="1073"/>
      <c r="AF683" s="1073"/>
      <c r="AG683" s="1068"/>
      <c r="AH683" s="1068"/>
      <c r="AI683" s="1068"/>
      <c r="AJ683" s="1070"/>
      <c r="AK683" s="1071"/>
      <c r="AM683" s="1072"/>
      <c r="AP683" s="1058"/>
      <c r="AQ683" s="1057"/>
      <c r="AS683" s="1059"/>
      <c r="AT683" s="1058"/>
      <c r="AU683" s="1058"/>
      <c r="AV683" s="1058"/>
      <c r="AW683" s="1057"/>
    </row>
    <row r="684" spans="26:49" ht="14.15" customHeight="1" x14ac:dyDescent="0.35">
      <c r="Z684" s="422"/>
      <c r="AA684" s="422"/>
      <c r="AB684" s="422"/>
      <c r="AC684" s="1076"/>
      <c r="AD684" s="1076"/>
      <c r="AE684" s="1076"/>
      <c r="AF684" s="1076"/>
      <c r="AG684" s="1076"/>
      <c r="AH684" s="1068"/>
      <c r="AI684" s="1068"/>
      <c r="AJ684" s="1070"/>
      <c r="AK684" s="1071"/>
      <c r="AM684" s="1072"/>
      <c r="AP684" s="1056"/>
      <c r="AQ684" s="1056"/>
      <c r="AS684" s="1056"/>
      <c r="AT684" s="1056"/>
      <c r="AU684" s="1056"/>
      <c r="AV684" s="1056"/>
      <c r="AW684" s="1056"/>
    </row>
    <row r="685" spans="26:49" ht="14.15" customHeight="1" x14ac:dyDescent="0.35">
      <c r="Z685" s="422"/>
      <c r="AA685" s="422"/>
      <c r="AB685" s="422"/>
      <c r="AC685" s="1068"/>
      <c r="AD685" s="1068"/>
      <c r="AE685" s="1073"/>
      <c r="AF685" s="1073"/>
      <c r="AG685" s="1068"/>
      <c r="AH685" s="1068"/>
      <c r="AI685" s="1068"/>
      <c r="AJ685" s="1070"/>
      <c r="AK685" s="1071"/>
      <c r="AM685" s="1072"/>
      <c r="AP685" s="1056"/>
      <c r="AQ685" s="1056"/>
      <c r="AS685" s="1056"/>
      <c r="AT685" s="1056"/>
      <c r="AU685" s="1056"/>
      <c r="AV685" s="1056"/>
      <c r="AW685" s="1056"/>
    </row>
    <row r="686" spans="26:49" ht="14.15" customHeight="1" x14ac:dyDescent="0.35">
      <c r="Z686" s="422"/>
      <c r="AA686" s="422"/>
      <c r="AB686" s="422"/>
      <c r="AC686" s="1068"/>
      <c r="AD686" s="1068"/>
      <c r="AE686" s="1073"/>
      <c r="AF686" s="1073"/>
      <c r="AG686" s="1068"/>
      <c r="AH686" s="1068"/>
      <c r="AI686" s="1068"/>
      <c r="AJ686" s="1070"/>
      <c r="AK686" s="1071"/>
      <c r="AM686" s="1072"/>
      <c r="AP686" s="1056"/>
      <c r="AQ686" s="1056"/>
      <c r="AS686" s="1056"/>
      <c r="AT686" s="1056"/>
      <c r="AU686" s="1056"/>
      <c r="AV686" s="1056"/>
      <c r="AW686" s="1056"/>
    </row>
    <row r="687" spans="26:49" ht="14.15" customHeight="1" x14ac:dyDescent="0.35">
      <c r="Z687" s="422"/>
      <c r="AA687" s="422"/>
      <c r="AB687" s="422"/>
      <c r="AC687" s="1068"/>
      <c r="AD687" s="1068"/>
      <c r="AE687" s="1073"/>
      <c r="AF687" s="1073"/>
      <c r="AG687" s="1068"/>
      <c r="AH687" s="1068"/>
      <c r="AI687" s="1068"/>
      <c r="AJ687" s="1070"/>
      <c r="AK687" s="1071"/>
      <c r="AM687" s="1072"/>
      <c r="AP687" s="1056"/>
      <c r="AQ687" s="1056"/>
      <c r="AS687" s="1056"/>
      <c r="AT687" s="1056"/>
      <c r="AU687" s="1056"/>
      <c r="AV687" s="1056"/>
      <c r="AW687" s="1056"/>
    </row>
    <row r="688" spans="26:49" ht="14.15" customHeight="1" x14ac:dyDescent="0.35">
      <c r="Z688" s="422"/>
      <c r="AA688" s="422"/>
      <c r="AB688" s="422"/>
      <c r="AC688" s="1068"/>
      <c r="AD688" s="1068"/>
      <c r="AE688" s="1073"/>
      <c r="AF688" s="1073"/>
      <c r="AG688" s="1068"/>
      <c r="AH688" s="1068"/>
      <c r="AI688" s="1068"/>
      <c r="AJ688" s="1070"/>
      <c r="AK688" s="1071"/>
      <c r="AM688" s="1072"/>
      <c r="AP688" s="1056"/>
      <c r="AQ688" s="1056"/>
      <c r="AS688" s="1056"/>
      <c r="AT688" s="1056"/>
      <c r="AU688" s="1056"/>
      <c r="AV688" s="1056"/>
      <c r="AW688" s="1056"/>
    </row>
    <row r="689" spans="26:49" ht="14.15" customHeight="1" x14ac:dyDescent="0.35">
      <c r="Z689" s="422"/>
      <c r="AA689" s="422"/>
      <c r="AB689" s="422"/>
      <c r="AC689" s="1068"/>
      <c r="AD689" s="1068"/>
      <c r="AE689" s="1073"/>
      <c r="AF689" s="1073"/>
      <c r="AG689" s="1068"/>
      <c r="AH689" s="1068"/>
      <c r="AI689" s="1068"/>
      <c r="AJ689" s="1070"/>
      <c r="AK689" s="1071"/>
      <c r="AM689" s="1072"/>
      <c r="AP689" s="1056"/>
      <c r="AQ689" s="1056"/>
      <c r="AS689" s="1056"/>
      <c r="AT689" s="1056"/>
      <c r="AU689" s="1056"/>
      <c r="AV689" s="1056"/>
      <c r="AW689" s="1056"/>
    </row>
    <row r="690" spans="26:49" ht="14.15" customHeight="1" x14ac:dyDescent="0.35">
      <c r="Z690" s="422"/>
      <c r="AA690" s="422"/>
      <c r="AB690" s="422"/>
      <c r="AC690" s="1069"/>
      <c r="AD690" s="1069"/>
      <c r="AE690" s="1074"/>
      <c r="AF690" s="1074"/>
      <c r="AG690" s="1069"/>
      <c r="AH690" s="1068"/>
      <c r="AI690" s="1068"/>
      <c r="AJ690" s="1070"/>
      <c r="AK690" s="1071"/>
      <c r="AM690" s="1072"/>
      <c r="AP690" s="1056"/>
      <c r="AQ690" s="1056"/>
      <c r="AS690" s="1056"/>
      <c r="AT690" s="1056"/>
      <c r="AU690" s="1056"/>
      <c r="AV690" s="1056"/>
      <c r="AW690" s="1056"/>
    </row>
    <row r="691" spans="26:49" ht="14.15" customHeight="1" x14ac:dyDescent="0.35">
      <c r="Z691" s="422"/>
      <c r="AA691" s="422"/>
      <c r="AB691" s="422"/>
      <c r="AC691" s="1068"/>
      <c r="AD691" s="1068"/>
      <c r="AE691" s="1073"/>
      <c r="AF691" s="1073"/>
      <c r="AG691" s="1068"/>
      <c r="AH691" s="1068"/>
      <c r="AI691" s="1069"/>
      <c r="AJ691" s="1070"/>
      <c r="AK691" s="1071"/>
      <c r="AM691" s="1072"/>
      <c r="AP691" s="1056"/>
      <c r="AQ691" s="1056"/>
      <c r="AS691" s="1056"/>
      <c r="AT691" s="1056"/>
      <c r="AU691" s="1056"/>
      <c r="AV691" s="1056"/>
      <c r="AW691" s="1056"/>
    </row>
    <row r="692" spans="26:49" ht="14.15" customHeight="1" x14ac:dyDescent="0.35">
      <c r="Z692" s="422"/>
      <c r="AA692" s="422"/>
      <c r="AB692" s="422"/>
      <c r="AC692" s="1068"/>
      <c r="AD692" s="1068"/>
      <c r="AE692" s="1073"/>
      <c r="AF692" s="1073"/>
      <c r="AG692" s="1068"/>
      <c r="AH692" s="1068"/>
      <c r="AI692" s="1069"/>
      <c r="AJ692" s="1070"/>
      <c r="AK692" s="1071"/>
      <c r="AM692" s="1072"/>
      <c r="AP692" s="1056"/>
      <c r="AQ692" s="1056"/>
      <c r="AS692" s="1056"/>
      <c r="AT692" s="1056"/>
      <c r="AU692" s="1056"/>
      <c r="AV692" s="1056"/>
      <c r="AW692" s="1056"/>
    </row>
    <row r="693" spans="26:49" ht="14.15" customHeight="1" x14ac:dyDescent="0.35">
      <c r="Z693" s="422"/>
      <c r="AA693" s="422"/>
      <c r="AB693" s="422"/>
      <c r="AC693" s="1068"/>
      <c r="AD693" s="1068"/>
      <c r="AE693" s="1073"/>
      <c r="AF693" s="1073"/>
      <c r="AG693" s="1068"/>
      <c r="AH693" s="1068"/>
      <c r="AI693" s="1068"/>
      <c r="AJ693" s="1070"/>
      <c r="AK693" s="1071"/>
      <c r="AM693" s="1072"/>
      <c r="AP693" s="1056"/>
      <c r="AQ693" s="1056"/>
      <c r="AS693" s="1056"/>
      <c r="AT693" s="1056"/>
      <c r="AU693" s="1056"/>
      <c r="AV693" s="1056"/>
      <c r="AW693" s="1056"/>
    </row>
    <row r="694" spans="26:49" ht="14.15" customHeight="1" x14ac:dyDescent="0.35">
      <c r="Z694" s="422"/>
      <c r="AA694" s="422"/>
      <c r="AB694" s="422"/>
      <c r="AC694" s="1068"/>
      <c r="AD694" s="1068"/>
      <c r="AE694" s="1073"/>
      <c r="AF694" s="1073"/>
      <c r="AG694" s="1068"/>
      <c r="AH694" s="1068"/>
      <c r="AI694" s="1068"/>
      <c r="AJ694" s="1070"/>
      <c r="AK694" s="1071"/>
      <c r="AM694" s="1072"/>
      <c r="AP694" s="1056"/>
      <c r="AQ694" s="1056"/>
      <c r="AS694" s="1056"/>
      <c r="AT694" s="1056"/>
      <c r="AU694" s="1056"/>
      <c r="AV694" s="1056"/>
      <c r="AW694" s="1056"/>
    </row>
    <row r="695" spans="26:49" ht="14.15" customHeight="1" x14ac:dyDescent="0.35">
      <c r="Z695" s="422"/>
      <c r="AA695" s="422"/>
      <c r="AB695" s="422"/>
      <c r="AC695" s="1069"/>
      <c r="AD695" s="1069"/>
      <c r="AE695" s="1074"/>
      <c r="AF695" s="1074"/>
      <c r="AG695" s="1068"/>
      <c r="AH695" s="1068"/>
      <c r="AI695" s="1068"/>
      <c r="AJ695" s="1070"/>
      <c r="AK695" s="1071"/>
      <c r="AM695" s="1072"/>
      <c r="AP695" s="1056"/>
      <c r="AQ695" s="1056"/>
      <c r="AS695" s="1056"/>
      <c r="AT695" s="1056"/>
      <c r="AU695" s="1056"/>
      <c r="AV695" s="1056"/>
      <c r="AW695" s="1056"/>
    </row>
    <row r="696" spans="26:49" ht="14.15" customHeight="1" x14ac:dyDescent="0.35">
      <c r="Z696" s="422"/>
      <c r="AA696" s="422"/>
      <c r="AB696" s="422"/>
      <c r="AC696" s="1068"/>
      <c r="AD696" s="1068"/>
      <c r="AE696" s="1073"/>
      <c r="AF696" s="1073"/>
      <c r="AG696" s="1068"/>
      <c r="AH696" s="1068"/>
      <c r="AI696" s="1068"/>
      <c r="AJ696" s="1070"/>
      <c r="AK696" s="1071"/>
      <c r="AM696" s="1072"/>
      <c r="AP696" s="1056"/>
      <c r="AQ696" s="1056"/>
      <c r="AS696" s="1056"/>
      <c r="AT696" s="1056"/>
      <c r="AU696" s="1056"/>
      <c r="AV696" s="1056"/>
      <c r="AW696" s="1056"/>
    </row>
    <row r="697" spans="26:49" ht="14.15" customHeight="1" x14ac:dyDescent="0.35">
      <c r="Z697" s="422"/>
      <c r="AA697" s="422"/>
      <c r="AB697" s="422"/>
      <c r="AC697" s="1068"/>
      <c r="AD697" s="1068"/>
      <c r="AE697" s="1073"/>
      <c r="AF697" s="1073"/>
      <c r="AG697" s="1068"/>
      <c r="AH697" s="1068"/>
      <c r="AI697" s="1068"/>
      <c r="AJ697" s="1070"/>
      <c r="AK697" s="1071"/>
      <c r="AM697" s="1072"/>
      <c r="AP697" s="1056"/>
      <c r="AQ697" s="1056"/>
      <c r="AS697" s="1056"/>
      <c r="AT697" s="1056"/>
      <c r="AU697" s="1056"/>
      <c r="AV697" s="1056"/>
      <c r="AW697" s="1056"/>
    </row>
    <row r="698" spans="26:49" ht="14.15" customHeight="1" x14ac:dyDescent="0.35">
      <c r="Z698" s="422"/>
      <c r="AA698" s="422"/>
      <c r="AB698" s="422"/>
      <c r="AC698" s="1079"/>
      <c r="AD698" s="1079"/>
      <c r="AE698" s="1073"/>
      <c r="AF698" s="1073"/>
      <c r="AG698" s="1068"/>
      <c r="AH698" s="1068"/>
      <c r="AI698" s="1068"/>
      <c r="AJ698" s="1070"/>
      <c r="AK698" s="1071"/>
      <c r="AM698" s="1072"/>
      <c r="AP698" s="1058"/>
      <c r="AQ698" s="1057"/>
      <c r="AS698" s="1057"/>
      <c r="AT698" s="1058"/>
      <c r="AU698" s="1058"/>
      <c r="AV698" s="1058"/>
      <c r="AW698" s="1057"/>
    </row>
    <row r="699" spans="26:49" ht="14.15" customHeight="1" x14ac:dyDescent="0.35">
      <c r="Z699" s="422"/>
      <c r="AA699" s="422"/>
      <c r="AB699" s="422"/>
      <c r="AC699" s="1076"/>
      <c r="AD699" s="1076"/>
      <c r="AE699" s="1076"/>
      <c r="AF699" s="1076"/>
      <c r="AG699" s="1076"/>
      <c r="AH699" s="1068"/>
      <c r="AI699" s="1068"/>
      <c r="AJ699" s="1070"/>
      <c r="AK699" s="1071"/>
      <c r="AM699" s="1072"/>
      <c r="AP699" s="1056"/>
      <c r="AQ699" s="1056"/>
      <c r="AS699" s="1056"/>
      <c r="AT699" s="1056"/>
      <c r="AU699" s="1056"/>
      <c r="AV699" s="1056"/>
      <c r="AW699" s="1056"/>
    </row>
    <row r="700" spans="26:49" ht="14.15" customHeight="1" x14ac:dyDescent="0.35">
      <c r="Z700" s="422"/>
      <c r="AA700" s="422"/>
      <c r="AB700" s="422"/>
      <c r="AC700" s="1076"/>
      <c r="AD700" s="1076"/>
      <c r="AE700" s="1076"/>
      <c r="AF700" s="1076"/>
      <c r="AG700" s="1069"/>
      <c r="AH700" s="1069"/>
      <c r="AI700" s="1068"/>
      <c r="AJ700" s="1070"/>
      <c r="AK700" s="1071"/>
      <c r="AM700" s="1072"/>
      <c r="AP700" s="1056"/>
      <c r="AQ700" s="1056"/>
      <c r="AS700" s="1056"/>
      <c r="AT700" s="1056"/>
      <c r="AU700" s="1056"/>
      <c r="AV700" s="1056"/>
      <c r="AW700" s="1056"/>
    </row>
    <row r="701" spans="26:49" ht="14.15" customHeight="1" x14ac:dyDescent="0.35">
      <c r="Z701" s="422"/>
      <c r="AA701" s="422"/>
      <c r="AB701" s="422"/>
      <c r="AC701" s="1076"/>
      <c r="AD701" s="1076"/>
      <c r="AE701" s="1074"/>
      <c r="AF701" s="1074"/>
      <c r="AG701" s="1068"/>
      <c r="AH701" s="1069"/>
      <c r="AI701" s="1068"/>
      <c r="AJ701" s="1070"/>
      <c r="AK701" s="1071"/>
      <c r="AM701" s="1072"/>
      <c r="AP701" s="1058"/>
      <c r="AQ701" s="1057"/>
      <c r="AS701" s="1057"/>
      <c r="AT701" s="1058"/>
      <c r="AU701" s="1058"/>
      <c r="AV701" s="1058"/>
      <c r="AW701" s="1057"/>
    </row>
    <row r="702" spans="26:49" ht="14.15" customHeight="1" x14ac:dyDescent="0.35">
      <c r="Z702" s="422"/>
      <c r="AA702" s="422"/>
      <c r="AB702" s="422"/>
      <c r="AC702" s="1076"/>
      <c r="AD702" s="1076"/>
      <c r="AE702" s="1074"/>
      <c r="AF702" s="1074"/>
      <c r="AG702" s="1068"/>
      <c r="AH702" s="1069"/>
      <c r="AI702" s="1068"/>
      <c r="AJ702" s="1070"/>
      <c r="AK702" s="1071"/>
      <c r="AM702" s="1072"/>
      <c r="AP702" s="1058"/>
      <c r="AQ702" s="1057"/>
      <c r="AS702" s="1057"/>
      <c r="AT702" s="1058"/>
      <c r="AU702" s="1058"/>
      <c r="AV702" s="1058"/>
      <c r="AW702" s="1057"/>
    </row>
    <row r="703" spans="26:49" ht="14.15" customHeight="1" x14ac:dyDescent="0.35">
      <c r="Z703" s="422"/>
      <c r="AA703" s="422"/>
      <c r="AB703" s="422"/>
      <c r="AC703" s="1076"/>
      <c r="AD703" s="1076"/>
      <c r="AE703" s="1076"/>
      <c r="AF703" s="1076"/>
      <c r="AG703" s="1076"/>
      <c r="AH703" s="1068"/>
      <c r="AI703" s="1068"/>
      <c r="AJ703" s="1070"/>
      <c r="AK703" s="1071"/>
      <c r="AM703" s="1072"/>
      <c r="AP703" s="1056"/>
      <c r="AQ703" s="1056"/>
      <c r="AS703" s="1056"/>
      <c r="AT703" s="1056"/>
      <c r="AU703" s="1056"/>
      <c r="AV703" s="1056"/>
      <c r="AW703" s="1056"/>
    </row>
    <row r="704" spans="26:49" ht="14.15" customHeight="1" x14ac:dyDescent="0.35">
      <c r="Z704" s="422"/>
      <c r="AA704" s="422"/>
      <c r="AB704" s="422"/>
      <c r="AC704" s="1068"/>
      <c r="AD704" s="1068"/>
      <c r="AE704" s="1073"/>
      <c r="AF704" s="1073"/>
      <c r="AG704" s="1068"/>
      <c r="AH704" s="1068"/>
      <c r="AI704" s="1068"/>
      <c r="AJ704" s="1070"/>
      <c r="AK704" s="1071"/>
      <c r="AM704" s="1072"/>
      <c r="AP704" s="1056"/>
      <c r="AQ704" s="1056"/>
      <c r="AS704" s="1056"/>
      <c r="AT704" s="1056"/>
      <c r="AU704" s="1056"/>
      <c r="AV704" s="1056"/>
      <c r="AW704" s="1056"/>
    </row>
    <row r="705" spans="26:49" ht="14.15" customHeight="1" x14ac:dyDescent="0.35">
      <c r="Z705" s="422"/>
      <c r="AA705" s="422"/>
      <c r="AB705" s="422"/>
      <c r="AC705" s="1068"/>
      <c r="AD705" s="1068"/>
      <c r="AE705" s="1073"/>
      <c r="AF705" s="1073"/>
      <c r="AG705" s="1068"/>
      <c r="AH705" s="1068"/>
      <c r="AI705" s="1068"/>
      <c r="AJ705" s="1070"/>
      <c r="AK705" s="1071"/>
      <c r="AM705" s="1072"/>
      <c r="AP705" s="1056"/>
      <c r="AQ705" s="1056"/>
      <c r="AS705" s="1056"/>
      <c r="AT705" s="1056"/>
      <c r="AU705" s="1056"/>
      <c r="AV705" s="1056"/>
      <c r="AW705" s="1056"/>
    </row>
    <row r="706" spans="26:49" ht="14.15" customHeight="1" x14ac:dyDescent="0.35">
      <c r="Z706" s="422"/>
      <c r="AA706" s="422"/>
      <c r="AB706" s="422"/>
      <c r="AC706" s="1069"/>
      <c r="AD706" s="1069"/>
      <c r="AE706" s="1074"/>
      <c r="AF706" s="1074"/>
      <c r="AG706" s="1069"/>
      <c r="AH706" s="1068"/>
      <c r="AI706" s="1068"/>
      <c r="AJ706" s="1070"/>
      <c r="AK706" s="1071"/>
      <c r="AM706" s="1072"/>
      <c r="AP706" s="1056"/>
      <c r="AQ706" s="1056"/>
      <c r="AS706" s="1056"/>
      <c r="AT706" s="1056"/>
      <c r="AU706" s="1056"/>
      <c r="AV706" s="1056"/>
      <c r="AW706" s="1056"/>
    </row>
    <row r="707" spans="26:49" ht="14.15" customHeight="1" x14ac:dyDescent="0.35">
      <c r="Z707" s="422"/>
      <c r="AA707" s="422"/>
      <c r="AB707" s="422"/>
      <c r="AC707" s="1079"/>
      <c r="AD707" s="1079"/>
      <c r="AE707" s="1073"/>
      <c r="AF707" s="1073"/>
      <c r="AG707" s="1068"/>
      <c r="AH707" s="1068"/>
      <c r="AI707" s="1075"/>
      <c r="AJ707" s="1070"/>
      <c r="AK707" s="1071"/>
      <c r="AM707" s="1072"/>
      <c r="AP707" s="1056"/>
      <c r="AQ707" s="1056"/>
      <c r="AS707" s="1056"/>
      <c r="AT707" s="1056"/>
      <c r="AU707" s="1056"/>
      <c r="AV707" s="1056"/>
      <c r="AW707" s="1056"/>
    </row>
    <row r="708" spans="26:49" ht="14.15" customHeight="1" x14ac:dyDescent="0.35">
      <c r="Z708" s="422"/>
      <c r="AA708" s="422"/>
      <c r="AB708" s="422"/>
      <c r="AC708" s="1076"/>
      <c r="AD708" s="1076"/>
      <c r="AE708" s="1076"/>
      <c r="AF708" s="1076"/>
      <c r="AG708" s="1068"/>
      <c r="AH708" s="1068"/>
      <c r="AI708" s="1080"/>
      <c r="AJ708" s="1070"/>
      <c r="AK708" s="1071"/>
      <c r="AM708" s="1072"/>
      <c r="AP708" s="1056"/>
      <c r="AQ708" s="1056"/>
      <c r="AS708" s="1056"/>
      <c r="AT708" s="1056"/>
      <c r="AU708" s="1056"/>
      <c r="AV708" s="1056"/>
      <c r="AW708" s="1056"/>
    </row>
    <row r="709" spans="26:49" ht="14.15" customHeight="1" x14ac:dyDescent="0.35">
      <c r="Z709" s="422"/>
      <c r="AA709" s="422"/>
      <c r="AB709" s="422"/>
      <c r="AC709" s="1076"/>
      <c r="AD709" s="1076"/>
      <c r="AE709" s="1076"/>
      <c r="AF709" s="1076"/>
      <c r="AG709" s="1076"/>
      <c r="AH709" s="1068"/>
      <c r="AI709" s="1068"/>
      <c r="AJ709" s="1070"/>
      <c r="AK709" s="1071"/>
      <c r="AM709" s="1072"/>
      <c r="AP709" s="1058"/>
      <c r="AQ709" s="1057"/>
      <c r="AS709" s="1057"/>
      <c r="AT709" s="1058"/>
      <c r="AU709" s="1058"/>
      <c r="AV709" s="1058"/>
      <c r="AW709" s="1057"/>
    </row>
    <row r="710" spans="26:49" ht="14.15" customHeight="1" x14ac:dyDescent="0.35">
      <c r="Z710" s="422"/>
      <c r="AA710" s="422"/>
      <c r="AB710" s="422"/>
      <c r="AC710" s="1068"/>
      <c r="AD710" s="1068"/>
      <c r="AE710" s="1073"/>
      <c r="AF710" s="1073"/>
      <c r="AG710" s="1068"/>
      <c r="AH710" s="1068"/>
      <c r="AI710" s="1068"/>
      <c r="AJ710" s="1070"/>
      <c r="AK710" s="1071"/>
      <c r="AM710" s="1072"/>
      <c r="AP710" s="1056"/>
      <c r="AQ710" s="1056"/>
      <c r="AS710" s="1056"/>
      <c r="AT710" s="1056"/>
      <c r="AU710" s="1056"/>
      <c r="AV710" s="1056"/>
      <c r="AW710" s="1056"/>
    </row>
    <row r="711" spans="26:49" ht="14.15" customHeight="1" x14ac:dyDescent="0.35">
      <c r="Z711" s="422"/>
      <c r="AA711" s="422"/>
      <c r="AB711" s="422"/>
      <c r="AC711" s="1068"/>
      <c r="AD711" s="1068"/>
      <c r="AE711" s="1073"/>
      <c r="AF711" s="1073"/>
      <c r="AG711" s="1068"/>
      <c r="AH711" s="1068"/>
      <c r="AI711" s="1068"/>
      <c r="AJ711" s="1070"/>
      <c r="AK711" s="1071"/>
      <c r="AM711" s="1072"/>
      <c r="AP711" s="1056"/>
      <c r="AQ711" s="1056"/>
      <c r="AS711" s="1056"/>
      <c r="AT711" s="1056"/>
      <c r="AU711" s="1056"/>
      <c r="AV711" s="1056"/>
      <c r="AW711" s="1056"/>
    </row>
    <row r="712" spans="26:49" ht="14.15" customHeight="1" x14ac:dyDescent="0.35">
      <c r="Z712" s="422"/>
      <c r="AA712" s="422"/>
      <c r="AB712" s="422"/>
      <c r="AC712" s="1069"/>
      <c r="AD712" s="1069"/>
      <c r="AE712" s="1074"/>
      <c r="AF712" s="1074"/>
      <c r="AG712" s="1069"/>
      <c r="AH712" s="1068"/>
      <c r="AI712" s="1068"/>
      <c r="AJ712" s="1070"/>
      <c r="AK712" s="1071"/>
      <c r="AM712" s="1072"/>
      <c r="AP712" s="1056"/>
      <c r="AQ712" s="1056"/>
      <c r="AS712" s="1056"/>
      <c r="AT712" s="1056"/>
      <c r="AU712" s="1056"/>
      <c r="AV712" s="1056"/>
      <c r="AW712" s="1056"/>
    </row>
    <row r="713" spans="26:49" ht="14.15" customHeight="1" x14ac:dyDescent="0.35">
      <c r="AC713" s="1069"/>
      <c r="AD713" s="1069"/>
      <c r="AE713" s="1074"/>
      <c r="AF713" s="1074"/>
      <c r="AG713" s="1069"/>
      <c r="AH713" s="1069"/>
      <c r="AI713" s="1075"/>
      <c r="AJ713" s="1070"/>
      <c r="AK713" s="1071"/>
      <c r="AM713" s="1072"/>
      <c r="AP713" s="1056"/>
      <c r="AQ713" s="1056"/>
      <c r="AS713" s="1056"/>
      <c r="AT713" s="1056"/>
      <c r="AU713" s="1056"/>
      <c r="AV713" s="1056"/>
      <c r="AW713" s="1056"/>
    </row>
    <row r="714" spans="26:49" ht="14.15" customHeight="1" x14ac:dyDescent="0.35">
      <c r="Z714" s="422"/>
      <c r="AA714" s="422"/>
      <c r="AB714" s="422"/>
      <c r="AC714" s="1076"/>
      <c r="AD714" s="1076"/>
      <c r="AE714" s="1076"/>
      <c r="AF714" s="1076"/>
      <c r="AG714" s="1076"/>
      <c r="AH714" s="1068"/>
      <c r="AI714" s="1068"/>
      <c r="AJ714" s="1070"/>
      <c r="AK714" s="1071"/>
      <c r="AM714" s="1072"/>
      <c r="AP714" s="1058"/>
      <c r="AQ714" s="1057"/>
      <c r="AS714" s="1059"/>
      <c r="AT714" s="1058"/>
      <c r="AU714" s="1058"/>
      <c r="AV714" s="1058"/>
      <c r="AW714" s="1057"/>
    </row>
    <row r="715" spans="26:49" ht="14.15" customHeight="1" x14ac:dyDescent="0.35">
      <c r="Z715" s="422"/>
      <c r="AA715" s="422"/>
      <c r="AB715" s="422"/>
      <c r="AC715" s="1076"/>
      <c r="AD715" s="1076"/>
      <c r="AE715" s="1076"/>
      <c r="AF715" s="1076"/>
      <c r="AG715" s="1068"/>
      <c r="AH715" s="1068"/>
      <c r="AI715" s="1069"/>
      <c r="AJ715" s="1070"/>
      <c r="AK715" s="1071"/>
      <c r="AM715" s="1072"/>
      <c r="AP715" s="1056"/>
      <c r="AQ715" s="1056"/>
      <c r="AS715" s="1056"/>
      <c r="AT715" s="1056"/>
      <c r="AU715" s="1056"/>
      <c r="AV715" s="1056"/>
      <c r="AW715" s="1056"/>
    </row>
    <row r="716" spans="26:49" ht="14.15" customHeight="1" x14ac:dyDescent="0.35">
      <c r="Z716" s="422"/>
      <c r="AA716" s="422"/>
      <c r="AB716" s="422"/>
      <c r="AC716" s="1079"/>
      <c r="AD716" s="1079"/>
      <c r="AE716" s="1073"/>
      <c r="AF716" s="1073"/>
      <c r="AG716" s="1068"/>
      <c r="AH716" s="1068"/>
      <c r="AI716" s="1078"/>
      <c r="AJ716" s="1070"/>
      <c r="AK716" s="1071"/>
      <c r="AM716" s="1072"/>
      <c r="AP716" s="1056"/>
      <c r="AQ716" s="1056"/>
      <c r="AS716" s="1056"/>
      <c r="AT716" s="1056"/>
      <c r="AU716" s="1056"/>
      <c r="AV716" s="1056"/>
      <c r="AW716" s="1056"/>
    </row>
    <row r="717" spans="26:49" ht="14.15" customHeight="1" x14ac:dyDescent="0.35">
      <c r="Z717" s="422"/>
      <c r="AA717" s="422"/>
      <c r="AB717" s="422"/>
      <c r="AC717" s="1068"/>
      <c r="AD717" s="1068"/>
      <c r="AE717" s="1073"/>
      <c r="AF717" s="1073"/>
      <c r="AG717" s="1068"/>
      <c r="AH717" s="1068"/>
      <c r="AI717" s="1075"/>
      <c r="AJ717" s="1070"/>
      <c r="AK717" s="1071"/>
      <c r="AM717" s="1072"/>
      <c r="AP717" s="1056"/>
      <c r="AQ717" s="1056"/>
      <c r="AS717" s="1056"/>
      <c r="AT717" s="1056"/>
      <c r="AU717" s="1056"/>
      <c r="AV717" s="1056"/>
      <c r="AW717" s="1056"/>
    </row>
    <row r="718" spans="26:49" ht="14.15" customHeight="1" x14ac:dyDescent="0.35">
      <c r="Z718" s="422"/>
      <c r="AA718" s="422"/>
      <c r="AB718" s="422"/>
      <c r="AC718" s="1069"/>
      <c r="AD718" s="1069"/>
      <c r="AE718" s="1074"/>
      <c r="AF718" s="1074"/>
      <c r="AG718" s="1069"/>
      <c r="AH718" s="1068"/>
      <c r="AI718" s="1068"/>
      <c r="AJ718" s="1070"/>
      <c r="AK718" s="1071"/>
      <c r="AM718" s="1072"/>
      <c r="AP718" s="1056"/>
      <c r="AQ718" s="1056"/>
      <c r="AS718" s="1056"/>
      <c r="AT718" s="1056"/>
      <c r="AU718" s="1056"/>
      <c r="AV718" s="1056"/>
      <c r="AW718" s="1056"/>
    </row>
    <row r="719" spans="26:49" ht="14.15" customHeight="1" x14ac:dyDescent="0.35">
      <c r="Z719" s="422"/>
      <c r="AA719" s="422"/>
      <c r="AB719" s="422"/>
      <c r="AC719" s="1069"/>
      <c r="AD719" s="1069"/>
      <c r="AE719" s="1074"/>
      <c r="AF719" s="1074"/>
      <c r="AG719" s="1069"/>
      <c r="AH719" s="1068"/>
      <c r="AI719" s="1068"/>
      <c r="AJ719" s="1070"/>
      <c r="AK719" s="1071"/>
      <c r="AM719" s="1072"/>
      <c r="AP719" s="1056"/>
      <c r="AQ719" s="1056"/>
      <c r="AS719" s="1056"/>
      <c r="AT719" s="1056"/>
      <c r="AU719" s="1056"/>
      <c r="AV719" s="1056"/>
      <c r="AW719" s="1056"/>
    </row>
    <row r="720" spans="26:49" ht="14.15" customHeight="1" x14ac:dyDescent="0.35">
      <c r="Z720" s="422"/>
      <c r="AA720" s="422"/>
      <c r="AB720" s="422"/>
      <c r="AC720" s="1068"/>
      <c r="AD720" s="1068"/>
      <c r="AE720" s="1073"/>
      <c r="AF720" s="1073"/>
      <c r="AG720" s="1068"/>
      <c r="AH720" s="1068"/>
      <c r="AI720" s="1075"/>
      <c r="AJ720" s="1070"/>
      <c r="AK720" s="1071"/>
      <c r="AM720" s="1072"/>
      <c r="AP720" s="1056"/>
      <c r="AQ720" s="1056"/>
      <c r="AS720" s="1056"/>
      <c r="AT720" s="1056"/>
      <c r="AU720" s="1056"/>
      <c r="AV720" s="1056"/>
      <c r="AW720" s="1056"/>
    </row>
    <row r="721" spans="26:37" ht="14.15" customHeight="1" x14ac:dyDescent="0.25">
      <c r="Z721" s="422"/>
      <c r="AA721" s="422"/>
      <c r="AB721" s="422"/>
    </row>
    <row r="722" spans="26:37" ht="14.15" customHeight="1" x14ac:dyDescent="0.25">
      <c r="Z722" s="422"/>
      <c r="AA722" s="422"/>
      <c r="AB722" s="422"/>
      <c r="AK722" s="461"/>
    </row>
    <row r="723" spans="26:37" ht="14.15" customHeight="1" x14ac:dyDescent="0.25">
      <c r="Z723" s="422"/>
      <c r="AA723" s="422"/>
      <c r="AB723" s="422"/>
      <c r="AC723" s="280"/>
    </row>
    <row r="724" spans="26:37" ht="14.15" customHeight="1" x14ac:dyDescent="0.25">
      <c r="Z724" s="422"/>
      <c r="AA724" s="422"/>
      <c r="AB724" s="422"/>
      <c r="AC724" s="280"/>
    </row>
    <row r="725" spans="26:37" ht="14.15" customHeight="1" x14ac:dyDescent="0.25">
      <c r="Z725" s="422"/>
      <c r="AA725" s="422"/>
      <c r="AB725" s="422"/>
      <c r="AC725" s="280"/>
    </row>
    <row r="726" spans="26:37" ht="14.15" customHeight="1" x14ac:dyDescent="0.25">
      <c r="Z726" s="422"/>
      <c r="AA726" s="422"/>
      <c r="AB726" s="422"/>
    </row>
    <row r="727" spans="26:37" ht="14.15" customHeight="1" x14ac:dyDescent="0.25">
      <c r="Z727" s="422"/>
      <c r="AA727" s="422"/>
      <c r="AB727" s="422"/>
    </row>
    <row r="728" spans="26:37" ht="14.15" customHeight="1" x14ac:dyDescent="0.25">
      <c r="Z728" s="422"/>
      <c r="AA728" s="422"/>
      <c r="AB728" s="422"/>
    </row>
    <row r="729" spans="26:37" ht="14.15" customHeight="1" x14ac:dyDescent="0.25">
      <c r="Z729" s="422"/>
      <c r="AA729" s="422"/>
      <c r="AB729" s="422"/>
    </row>
    <row r="730" spans="26:37" ht="14.15" customHeight="1" x14ac:dyDescent="0.25">
      <c r="Z730" s="422"/>
      <c r="AA730" s="422"/>
      <c r="AB730" s="422"/>
    </row>
    <row r="731" spans="26:37" ht="14.15" customHeight="1" x14ac:dyDescent="0.25">
      <c r="Z731" s="422"/>
      <c r="AA731" s="422"/>
      <c r="AB731" s="422"/>
    </row>
    <row r="732" spans="26:37" ht="14.15" customHeight="1" x14ac:dyDescent="0.25">
      <c r="Z732" s="422"/>
      <c r="AA732" s="422"/>
      <c r="AB732" s="422"/>
    </row>
    <row r="733" spans="26:37" ht="14.15" customHeight="1" x14ac:dyDescent="0.25">
      <c r="Z733" s="422"/>
      <c r="AA733" s="422"/>
      <c r="AB733" s="422"/>
      <c r="AC733" s="280"/>
    </row>
    <row r="734" spans="26:37" ht="14.15" customHeight="1" x14ac:dyDescent="0.25">
      <c r="Z734" s="422"/>
      <c r="AA734" s="422"/>
      <c r="AB734" s="422"/>
      <c r="AC734" s="280"/>
    </row>
    <row r="735" spans="26:37" ht="14.15" customHeight="1" x14ac:dyDescent="0.25">
      <c r="Z735" s="422"/>
      <c r="AA735" s="422"/>
      <c r="AB735" s="422"/>
      <c r="AC735" s="280"/>
    </row>
    <row r="736" spans="26:37" ht="14.15" customHeight="1" x14ac:dyDescent="0.25">
      <c r="Z736" s="422"/>
      <c r="AA736" s="422"/>
      <c r="AB736" s="422"/>
    </row>
    <row r="737" spans="26:49" ht="14.15" customHeight="1" x14ac:dyDescent="0.25">
      <c r="Z737" s="422"/>
      <c r="AA737" s="422"/>
      <c r="AB737" s="422"/>
    </row>
    <row r="738" spans="26:49" ht="14.15" customHeight="1" x14ac:dyDescent="0.25">
      <c r="Z738" s="422"/>
      <c r="AA738" s="422"/>
      <c r="AB738" s="422"/>
    </row>
    <row r="739" spans="26:49" ht="14.15" customHeight="1" x14ac:dyDescent="0.25">
      <c r="Z739" s="422"/>
      <c r="AA739" s="422"/>
      <c r="AB739" s="422"/>
      <c r="AC739" s="93"/>
    </row>
    <row r="740" spans="26:49" ht="14.15" customHeight="1" x14ac:dyDescent="0.35">
      <c r="Z740" s="422"/>
      <c r="AA740" s="422"/>
      <c r="AB740" s="422"/>
      <c r="AC740" s="1068"/>
      <c r="AD740" s="1068"/>
      <c r="AE740" s="1073"/>
      <c r="AF740" s="1073"/>
      <c r="AG740" s="1068"/>
      <c r="AH740" s="1068"/>
      <c r="AI740" s="1068"/>
      <c r="AJ740" s="1070"/>
      <c r="AK740" s="1071"/>
      <c r="AM740" s="1072"/>
      <c r="AP740" s="1056"/>
      <c r="AQ740" s="1056"/>
      <c r="AS740" s="1056"/>
      <c r="AT740" s="1056"/>
      <c r="AU740" s="1056"/>
      <c r="AV740" s="1056"/>
      <c r="AW740" s="1056"/>
    </row>
    <row r="741" spans="26:49" ht="14.15" customHeight="1" x14ac:dyDescent="0.35">
      <c r="Z741" s="422"/>
      <c r="AA741" s="422"/>
      <c r="AB741" s="422"/>
      <c r="AC741" s="1068"/>
      <c r="AD741" s="1068"/>
      <c r="AE741" s="1073"/>
      <c r="AF741" s="1073"/>
      <c r="AG741" s="1068"/>
      <c r="AH741" s="1068"/>
      <c r="AI741" s="1080"/>
      <c r="AJ741" s="1070"/>
      <c r="AK741" s="1071"/>
      <c r="AM741" s="1072"/>
      <c r="AP741" s="1056"/>
      <c r="AQ741" s="1056"/>
      <c r="AS741" s="1056"/>
      <c r="AT741" s="1056"/>
      <c r="AU741" s="1056"/>
      <c r="AV741" s="1056"/>
      <c r="AW741" s="1056"/>
    </row>
    <row r="742" spans="26:49" ht="14.15" customHeight="1" x14ac:dyDescent="0.35">
      <c r="AC742" s="1076"/>
      <c r="AD742" s="1076"/>
      <c r="AE742" s="1076"/>
      <c r="AF742" s="1076"/>
      <c r="AG742" s="1076"/>
      <c r="AH742" s="1068"/>
      <c r="AI742" s="1068"/>
      <c r="AJ742" s="1070"/>
      <c r="AK742" s="1071"/>
      <c r="AM742" s="1072"/>
      <c r="AP742" s="1058"/>
      <c r="AQ742" s="1057"/>
      <c r="AS742" s="1059"/>
      <c r="AT742" s="1058"/>
      <c r="AU742" s="1058"/>
      <c r="AV742" s="1058"/>
      <c r="AW742" s="1057"/>
    </row>
    <row r="743" spans="26:49" ht="14.15" customHeight="1" x14ac:dyDescent="0.35">
      <c r="AC743" s="1069"/>
      <c r="AD743" s="1069"/>
      <c r="AE743" s="1074"/>
      <c r="AF743" s="1074"/>
      <c r="AG743" s="1069"/>
      <c r="AH743" s="1068"/>
      <c r="AI743" s="1068"/>
      <c r="AJ743" s="1070"/>
      <c r="AK743" s="1071"/>
      <c r="AM743" s="1072"/>
      <c r="AP743" s="1056"/>
      <c r="AQ743" s="1056"/>
      <c r="AS743" s="1056"/>
      <c r="AT743" s="1056"/>
      <c r="AU743" s="1056"/>
      <c r="AV743" s="1056"/>
      <c r="AW743" s="1056"/>
    </row>
    <row r="744" spans="26:49" ht="14.15" customHeight="1" x14ac:dyDescent="0.35">
      <c r="AC744" s="1068"/>
      <c r="AD744" s="1068"/>
      <c r="AE744" s="1073"/>
      <c r="AF744" s="1073"/>
      <c r="AG744" s="1068"/>
      <c r="AH744" s="1068"/>
      <c r="AI744" s="1068"/>
      <c r="AJ744" s="1070"/>
      <c r="AK744" s="1071"/>
      <c r="AM744" s="1072"/>
      <c r="AP744" s="1056"/>
      <c r="AQ744" s="1056"/>
      <c r="AS744" s="1056"/>
      <c r="AT744" s="1056"/>
      <c r="AU744" s="1056"/>
      <c r="AV744" s="1056"/>
      <c r="AW744" s="1056"/>
    </row>
    <row r="745" spans="26:49" ht="14.15" customHeight="1" x14ac:dyDescent="0.35">
      <c r="AC745" s="1068"/>
      <c r="AD745" s="1068"/>
      <c r="AE745" s="1073"/>
      <c r="AF745" s="1073"/>
      <c r="AG745" s="1068"/>
      <c r="AH745" s="1068"/>
      <c r="AI745" s="1068"/>
      <c r="AJ745" s="1070"/>
      <c r="AK745" s="1071"/>
      <c r="AM745" s="1072"/>
      <c r="AP745" s="1056"/>
      <c r="AQ745" s="1056"/>
      <c r="AS745" s="1056"/>
      <c r="AT745" s="1056"/>
      <c r="AU745" s="1056"/>
      <c r="AV745" s="1056"/>
      <c r="AW745" s="1056"/>
    </row>
    <row r="747" spans="26:49" ht="14.15" customHeight="1" x14ac:dyDescent="0.35">
      <c r="AC747" s="1068"/>
      <c r="AD747" s="1068"/>
      <c r="AE747" s="1073"/>
      <c r="AF747" s="1073"/>
      <c r="AG747" s="1068"/>
      <c r="AH747" s="1068"/>
      <c r="AI747" s="1068"/>
      <c r="AJ747" s="1070"/>
      <c r="AK747" s="1071"/>
      <c r="AM747" s="1072"/>
      <c r="AP747" s="1056"/>
      <c r="AQ747" s="1056"/>
      <c r="AS747" s="1056"/>
      <c r="AT747" s="1056"/>
      <c r="AU747" s="1056"/>
      <c r="AV747" s="1056"/>
      <c r="AW747" s="1056"/>
    </row>
    <row r="748" spans="26:49" ht="14.15" customHeight="1" x14ac:dyDescent="0.35">
      <c r="AC748" s="1068"/>
      <c r="AD748" s="1068"/>
      <c r="AE748" s="1073"/>
      <c r="AF748" s="1073"/>
      <c r="AG748" s="1068"/>
      <c r="AH748" s="1068"/>
      <c r="AI748" s="1068"/>
      <c r="AJ748" s="1070"/>
      <c r="AK748" s="1071"/>
      <c r="AM748" s="1072"/>
      <c r="AP748" s="1056"/>
      <c r="AQ748" s="1056"/>
      <c r="AS748" s="1056"/>
      <c r="AT748" s="1056"/>
      <c r="AU748" s="1056"/>
      <c r="AV748" s="1056"/>
      <c r="AW748" s="1056"/>
    </row>
    <row r="749" spans="26:49" ht="14.15" customHeight="1" x14ac:dyDescent="0.35">
      <c r="AC749" s="1069"/>
      <c r="AD749" s="1069"/>
      <c r="AE749" s="1074"/>
      <c r="AF749" s="1074"/>
      <c r="AG749" s="1069"/>
      <c r="AH749" s="1069"/>
      <c r="AI749" s="1068"/>
      <c r="AJ749" s="1070"/>
      <c r="AK749" s="1071"/>
      <c r="AM749" s="1072"/>
      <c r="AP749" s="1056"/>
      <c r="AQ749" s="1056"/>
      <c r="AS749" s="1056"/>
      <c r="AT749" s="1056"/>
      <c r="AU749" s="1056"/>
      <c r="AV749" s="1056"/>
      <c r="AW749" s="1056"/>
    </row>
    <row r="750" spans="26:49" ht="14.15" customHeight="1" x14ac:dyDescent="0.35">
      <c r="AC750" s="1076"/>
      <c r="AD750" s="1076"/>
      <c r="AE750" s="1076"/>
      <c r="AF750" s="1076"/>
      <c r="AG750" s="1076"/>
      <c r="AH750" s="1069"/>
      <c r="AI750" s="1080"/>
      <c r="AJ750" s="1070"/>
      <c r="AK750" s="1071"/>
      <c r="AM750" s="1072"/>
      <c r="AP750" s="1060"/>
      <c r="AQ750" s="1061"/>
      <c r="AS750" s="1061"/>
      <c r="AT750" s="1060"/>
      <c r="AU750" s="1060"/>
      <c r="AV750" s="1060"/>
      <c r="AW750" s="1061"/>
    </row>
    <row r="751" spans="26:49" ht="14.15" customHeight="1" x14ac:dyDescent="0.35">
      <c r="AC751" s="1079"/>
      <c r="AD751" s="1079"/>
      <c r="AE751" s="1073"/>
      <c r="AF751" s="1073"/>
      <c r="AG751" s="1068"/>
      <c r="AH751" s="1068"/>
      <c r="AI751" s="1077"/>
      <c r="AJ751" s="1070"/>
      <c r="AK751" s="1071"/>
      <c r="AM751" s="1072"/>
      <c r="AP751" s="1056"/>
      <c r="AQ751" s="1056"/>
      <c r="AS751" s="1056"/>
      <c r="AT751" s="1056"/>
      <c r="AU751" s="1056"/>
      <c r="AV751" s="1056"/>
      <c r="AW751" s="1056"/>
    </row>
    <row r="752" spans="26:49" ht="14.15" customHeight="1" x14ac:dyDescent="0.35">
      <c r="AC752" s="1068"/>
      <c r="AD752" s="1068"/>
      <c r="AE752" s="1073"/>
      <c r="AF752" s="1073"/>
      <c r="AG752" s="1068"/>
      <c r="AH752" s="1068"/>
      <c r="AI752" s="1068"/>
      <c r="AJ752" s="1070"/>
      <c r="AK752" s="1071"/>
      <c r="AM752" s="1072"/>
      <c r="AP752" s="1056"/>
      <c r="AQ752" s="1056"/>
      <c r="AS752" s="1056"/>
      <c r="AT752" s="1056"/>
      <c r="AU752" s="1056"/>
      <c r="AV752" s="1056"/>
      <c r="AW752" s="1056"/>
    </row>
    <row r="753" spans="29:49" ht="14.15" customHeight="1" x14ac:dyDescent="0.35">
      <c r="AC753" s="1069"/>
      <c r="AD753" s="1069"/>
      <c r="AE753" s="1074"/>
      <c r="AF753" s="1074"/>
      <c r="AG753" s="1069"/>
      <c r="AH753" s="1068"/>
      <c r="AI753" s="1068"/>
      <c r="AJ753" s="1070"/>
      <c r="AK753" s="1071"/>
      <c r="AM753" s="1072"/>
      <c r="AP753" s="1056"/>
      <c r="AQ753" s="1056"/>
      <c r="AS753" s="1056"/>
      <c r="AT753" s="1056"/>
      <c r="AU753" s="1056"/>
      <c r="AV753" s="1056"/>
      <c r="AW753" s="1056"/>
    </row>
    <row r="754" spans="29:49" ht="14.15" customHeight="1" x14ac:dyDescent="0.35">
      <c r="AC754" s="1068"/>
      <c r="AD754" s="1068"/>
      <c r="AE754" s="1073"/>
      <c r="AF754" s="1073"/>
      <c r="AG754" s="1068"/>
      <c r="AH754" s="1068"/>
      <c r="AI754" s="1068"/>
      <c r="AJ754" s="1070"/>
      <c r="AK754" s="1071"/>
      <c r="AM754" s="1072"/>
      <c r="AP754" s="1056"/>
      <c r="AQ754" s="1056"/>
      <c r="AS754" s="1056"/>
      <c r="AT754" s="1056"/>
      <c r="AU754" s="1056"/>
      <c r="AV754" s="1056"/>
      <c r="AW754" s="1056"/>
    </row>
    <row r="756" spans="29:49" ht="14.15" customHeight="1" x14ac:dyDescent="0.35">
      <c r="AC756" s="1068"/>
      <c r="AD756" s="1068"/>
      <c r="AE756" s="1073"/>
      <c r="AF756" s="1073"/>
      <c r="AG756" s="1068"/>
      <c r="AH756" s="1068"/>
      <c r="AI756" s="1068"/>
      <c r="AJ756" s="1070"/>
      <c r="AK756" s="1071"/>
      <c r="AM756" s="1072"/>
      <c r="AP756" s="1056"/>
      <c r="AQ756" s="1056"/>
      <c r="AS756" s="1056"/>
      <c r="AT756" s="1056"/>
      <c r="AU756" s="1056"/>
      <c r="AV756" s="1056"/>
      <c r="AW756" s="1056"/>
    </row>
    <row r="757" spans="29:49" ht="14.15" customHeight="1" x14ac:dyDescent="0.35">
      <c r="AC757" s="1069"/>
      <c r="AD757" s="1069"/>
      <c r="AE757" s="1074"/>
      <c r="AF757" s="1074"/>
      <c r="AG757" s="1069"/>
      <c r="AH757" s="1069"/>
      <c r="AI757" s="1068"/>
      <c r="AJ757" s="1070"/>
      <c r="AK757" s="1071"/>
      <c r="AM757" s="1072"/>
      <c r="AP757" s="1056"/>
      <c r="AQ757" s="1056"/>
      <c r="AS757" s="1056"/>
      <c r="AT757" s="1056"/>
      <c r="AU757" s="1056"/>
      <c r="AV757" s="1056"/>
      <c r="AW757" s="1056"/>
    </row>
    <row r="758" spans="29:49" ht="14.15" customHeight="1" x14ac:dyDescent="0.35">
      <c r="AC758" s="1068"/>
      <c r="AD758" s="1068"/>
      <c r="AE758" s="1073"/>
      <c r="AF758" s="1073"/>
      <c r="AG758" s="1068"/>
      <c r="AH758" s="1068"/>
      <c r="AI758" s="1069"/>
      <c r="AJ758" s="1070"/>
      <c r="AK758" s="1071"/>
      <c r="AM758" s="1072"/>
      <c r="AP758" s="1056"/>
      <c r="AQ758" s="1056"/>
      <c r="AS758" s="1056"/>
      <c r="AT758" s="1056"/>
      <c r="AU758" s="1056"/>
      <c r="AV758" s="1056"/>
      <c r="AW758" s="1056"/>
    </row>
    <row r="759" spans="29:49" ht="14.15" customHeight="1" x14ac:dyDescent="0.35">
      <c r="AC759" s="1069"/>
      <c r="AD759" s="1069"/>
      <c r="AE759" s="1074"/>
      <c r="AF759" s="1074"/>
      <c r="AG759" s="1069"/>
      <c r="AH759" s="1068"/>
      <c r="AI759" s="1068"/>
      <c r="AJ759" s="1070"/>
      <c r="AK759" s="1071"/>
      <c r="AM759" s="1072"/>
      <c r="AP759" s="1056"/>
      <c r="AQ759" s="1056"/>
      <c r="AS759" s="1056"/>
      <c r="AT759" s="1056"/>
      <c r="AU759" s="1056"/>
      <c r="AV759" s="1056"/>
      <c r="AW759" s="1056"/>
    </row>
    <row r="760" spans="29:49" ht="14.15" customHeight="1" x14ac:dyDescent="0.35">
      <c r="AC760" s="1068"/>
      <c r="AD760" s="1068"/>
      <c r="AE760" s="1073"/>
      <c r="AF760" s="1073"/>
      <c r="AG760" s="1068"/>
      <c r="AH760" s="1068"/>
      <c r="AI760" s="1068"/>
      <c r="AJ760" s="1070"/>
      <c r="AK760" s="1071"/>
      <c r="AM760" s="1072"/>
      <c r="AP760" s="1056"/>
      <c r="AQ760" s="1056"/>
      <c r="AS760" s="1056"/>
      <c r="AT760" s="1056"/>
      <c r="AU760" s="1056"/>
      <c r="AV760" s="1056"/>
      <c r="AW760" s="1056"/>
    </row>
  </sheetData>
  <mergeCells count="28">
    <mergeCell ref="A1:N1"/>
    <mergeCell ref="A16:M16"/>
    <mergeCell ref="C21:I21"/>
    <mergeCell ref="C47:G47"/>
    <mergeCell ref="C49:G49"/>
    <mergeCell ref="A9:M9"/>
    <mergeCell ref="A10:M10"/>
    <mergeCell ref="A12:M12"/>
    <mergeCell ref="C45:G45"/>
    <mergeCell ref="A34:M34"/>
    <mergeCell ref="A36:M36"/>
    <mergeCell ref="A41:M41"/>
    <mergeCell ref="C38:F38"/>
    <mergeCell ref="C76:G76"/>
    <mergeCell ref="C77:G77"/>
    <mergeCell ref="C79:G79"/>
    <mergeCell ref="C61:G61"/>
    <mergeCell ref="C53:G53"/>
    <mergeCell ref="C55:G55"/>
    <mergeCell ref="C57:G57"/>
    <mergeCell ref="C75:G75"/>
    <mergeCell ref="A74:G74"/>
    <mergeCell ref="A72:G72"/>
    <mergeCell ref="A73:G73"/>
    <mergeCell ref="C65:G65"/>
    <mergeCell ref="C67:G67"/>
    <mergeCell ref="C69:G69"/>
    <mergeCell ref="C78:G78"/>
  </mergeCells>
  <phoneticPr fontId="0" type="noConversion"/>
  <dataValidations count="2">
    <dataValidation type="list" allowBlank="1" showInputMessage="1" showErrorMessage="1" sqref="C21:I21" xr:uid="{00000000-0002-0000-0000-000000000000}">
      <formula1>LA_Names</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communities.gov.uk" xr:uid="{931C93D7-3500-40A7-A35D-610C55769204}"/>
    <hyperlink ref="A28" r:id="rId3" display="Please be sure to study the covering letter and 'Points to note and changes' document before starting work on these forms.  Please also refer to the general and line-specific guidance. "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0BC8121-DA22-4B26-AD0D-A784C696558C}">
          <x14:formula1>
            <xm:f>'Dropdown options'!$A$3:$A$5</xm:f>
          </x14:formula1>
          <xm:sqref>C61:G61</xm:sqref>
        </x14:dataValidation>
        <x14:dataValidation type="list" allowBlank="1" showInputMessage="1" showErrorMessage="1" xr:uid="{4839B9EC-5A95-41EB-A345-5F0027F082C5}">
          <x14:formula1>
            <xm:f>'Dropdown options'!$A$8:$A$13</xm:f>
          </x14:formula1>
          <xm:sqref>C76:G76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C149"/>
  <sheetViews>
    <sheetView showGridLines="0" topLeftCell="B1" zoomScale="80" zoomScaleNormal="80" workbookViewId="0">
      <pane ySplit="2" topLeftCell="A3" activePane="bottomLeft" state="frozen"/>
      <selection pane="bottomLeft" activeCell="B2" sqref="B2"/>
    </sheetView>
  </sheetViews>
  <sheetFormatPr defaultColWidth="0" defaultRowHeight="12.5" zeroHeight="1" x14ac:dyDescent="0.25"/>
  <cols>
    <col min="1" max="1" width="21.7265625" hidden="1" customWidth="1"/>
    <col min="2" max="2" width="10.26953125" customWidth="1"/>
    <col min="3" max="3" width="85.7265625" customWidth="1"/>
    <col min="4" max="4" width="6.7265625" customWidth="1"/>
    <col min="5" max="7" width="16.7265625" customWidth="1"/>
    <col min="8" max="8" width="20.54296875" bestFit="1" customWidth="1"/>
    <col min="9" max="12" width="16.7265625" customWidth="1"/>
    <col min="13" max="13" width="2.7265625" customWidth="1"/>
    <col min="14" max="15" width="16.7265625" customWidth="1"/>
    <col min="16" max="16" width="2.7265625" customWidth="1"/>
    <col min="17" max="17" width="60.7265625" customWidth="1"/>
    <col min="18" max="18" width="41.54296875" hidden="1" customWidth="1"/>
    <col min="19" max="19" width="41" style="609" hidden="1" customWidth="1"/>
    <col min="20" max="42" width="8.7265625" style="609" hidden="1" customWidth="1"/>
    <col min="43" max="43" width="54.1796875" hidden="1" customWidth="1"/>
    <col min="44" max="107" width="0" hidden="1" customWidth="1"/>
    <col min="108" max="16384" width="8.7265625" hidden="1"/>
  </cols>
  <sheetData>
    <row r="1" spans="1:43" ht="48" hidden="1" customHeight="1" x14ac:dyDescent="0.25">
      <c r="A1" t="s">
        <v>1113</v>
      </c>
      <c r="B1" t="s">
        <v>43</v>
      </c>
      <c r="C1" s="93" t="s">
        <v>387</v>
      </c>
      <c r="E1" t="s">
        <v>437</v>
      </c>
      <c r="F1" t="s">
        <v>438</v>
      </c>
      <c r="G1" t="s">
        <v>439</v>
      </c>
      <c r="H1" s="280" t="s">
        <v>440</v>
      </c>
      <c r="I1" t="s">
        <v>441</v>
      </c>
      <c r="J1" t="s">
        <v>442</v>
      </c>
      <c r="K1" t="s">
        <v>443</v>
      </c>
      <c r="L1" t="s">
        <v>444</v>
      </c>
      <c r="N1" t="s">
        <v>46</v>
      </c>
      <c r="O1" t="s">
        <v>47</v>
      </c>
      <c r="Q1" t="s">
        <v>48</v>
      </c>
      <c r="R1" s="686"/>
      <c r="S1" s="639" t="s">
        <v>49</v>
      </c>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row>
    <row r="2" spans="1:43" ht="60" customHeight="1" x14ac:dyDescent="0.25">
      <c r="A2" t="s">
        <v>1114</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71"/>
      <c r="S2" s="1009" t="s">
        <v>51</v>
      </c>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row>
    <row r="3" spans="1:43" ht="12.75" customHeight="1" x14ac:dyDescent="0.35">
      <c r="B3" s="721"/>
      <c r="C3" s="721"/>
      <c r="D3" s="722"/>
      <c r="E3" s="723"/>
      <c r="F3" s="1"/>
      <c r="G3" s="1"/>
      <c r="H3" s="1"/>
      <c r="I3" s="22"/>
      <c r="J3" s="724"/>
      <c r="AQ3" s="609"/>
    </row>
    <row r="4" spans="1:43" ht="27.75" customHeight="1" x14ac:dyDescent="0.6">
      <c r="B4" s="721"/>
      <c r="C4" s="721"/>
      <c r="D4" s="722"/>
      <c r="E4" s="723"/>
      <c r="F4" s="1"/>
      <c r="G4" s="1"/>
      <c r="H4" s="1"/>
      <c r="O4" s="725" t="str">
        <f>"RO5 "&amp;YearForm</f>
        <v>RO5 2025-26</v>
      </c>
      <c r="AQ4" s="609"/>
    </row>
    <row r="5" spans="1:43" ht="12.75" customHeight="1" x14ac:dyDescent="0.35">
      <c r="B5" s="721"/>
      <c r="C5" s="721"/>
      <c r="D5" s="722"/>
      <c r="E5" s="723"/>
      <c r="F5" s="1"/>
      <c r="G5" s="1"/>
      <c r="H5" s="1"/>
      <c r="AQ5" s="609"/>
    </row>
    <row r="6" spans="1:43" ht="12.75" customHeight="1" x14ac:dyDescent="0.35">
      <c r="B6" s="721"/>
      <c r="C6" s="721"/>
      <c r="D6" s="722"/>
      <c r="E6" s="723"/>
      <c r="F6" s="1"/>
      <c r="G6" s="1"/>
      <c r="H6" s="1"/>
      <c r="AQ6" s="609"/>
    </row>
    <row r="7" spans="1:43" ht="12.75" customHeight="1" x14ac:dyDescent="0.35">
      <c r="B7" s="721"/>
      <c r="C7" s="721"/>
      <c r="D7" s="722"/>
      <c r="E7" s="723"/>
      <c r="F7" s="1"/>
      <c r="G7" s="1"/>
      <c r="H7" s="1"/>
      <c r="AQ7" s="609"/>
    </row>
    <row r="8" spans="1:43" ht="12.75" customHeight="1" x14ac:dyDescent="0.35">
      <c r="B8" s="721"/>
      <c r="C8" s="721"/>
      <c r="D8" s="722"/>
      <c r="E8" s="723"/>
      <c r="F8" s="1"/>
      <c r="G8" s="1"/>
      <c r="H8" s="1"/>
      <c r="AQ8" s="609"/>
    </row>
    <row r="9" spans="1:43" ht="12.75" customHeight="1" x14ac:dyDescent="0.35">
      <c r="B9" s="721"/>
      <c r="C9" s="721"/>
      <c r="D9" s="722"/>
      <c r="E9" s="723"/>
      <c r="F9" s="1"/>
      <c r="G9" s="1"/>
      <c r="H9" s="1"/>
      <c r="AQ9" s="609"/>
    </row>
    <row r="10" spans="1:43" ht="33" customHeight="1" x14ac:dyDescent="0.25">
      <c r="B10" s="1517" t="str">
        <f>RS!$B$11</f>
        <v>General Fund Revenue Account Outturn</v>
      </c>
      <c r="C10" s="1517"/>
      <c r="D10" s="1517"/>
      <c r="E10" s="1517"/>
      <c r="F10" s="1517"/>
      <c r="G10" s="1517"/>
      <c r="H10" s="1517"/>
      <c r="I10" s="1517"/>
      <c r="J10" s="1517"/>
      <c r="K10" s="1517"/>
      <c r="L10" s="1517"/>
      <c r="M10" s="1517"/>
      <c r="N10" s="1517"/>
      <c r="O10" s="1517"/>
      <c r="P10" s="99"/>
      <c r="Q10" s="99"/>
      <c r="R10" s="99"/>
      <c r="S10" s="613"/>
      <c r="T10" s="613"/>
      <c r="U10" s="613"/>
      <c r="AQ10" s="613"/>
    </row>
    <row r="11" spans="1:43" ht="33" customHeight="1" x14ac:dyDescent="0.25">
      <c r="B11" s="1520" t="str">
        <f>"RO5 – CULTURAL, ENVIRONMENTAL, REGULATORY AND PLANNING SERVICES "&amp;YearForm</f>
        <v>RO5 – CULTURAL, ENVIRONMENTAL, REGULATORY AND PLANNING SERVICES 2025-26</v>
      </c>
      <c r="C11" s="1521"/>
      <c r="D11" s="1521"/>
      <c r="E11" s="1521"/>
      <c r="F11" s="1521"/>
      <c r="G11" s="1521"/>
      <c r="H11" s="1521"/>
      <c r="I11" s="1521"/>
      <c r="J11" s="1521"/>
      <c r="K11" s="1521"/>
      <c r="L11" s="1521"/>
      <c r="M11" s="1521"/>
      <c r="N11" s="1521"/>
      <c r="O11" s="1521"/>
      <c r="P11" s="99"/>
      <c r="Q11" s="99"/>
      <c r="R11" s="99"/>
      <c r="S11" s="613"/>
      <c r="T11" s="613"/>
      <c r="U11" s="613"/>
      <c r="AQ11" s="613"/>
    </row>
    <row r="12" spans="1:43" ht="14.15" customHeight="1" x14ac:dyDescent="0.35">
      <c r="B12" s="721"/>
      <c r="C12" s="721"/>
      <c r="D12" s="722"/>
      <c r="E12" s="723"/>
      <c r="F12" s="1"/>
      <c r="G12" s="1"/>
      <c r="H12" s="1"/>
      <c r="AQ12" s="609"/>
    </row>
    <row r="13" spans="1:43"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c r="AQ13" s="609"/>
    </row>
    <row r="14" spans="1:43" ht="12" customHeight="1" x14ac:dyDescent="0.3">
      <c r="B14" s="22"/>
      <c r="C14" s="22"/>
      <c r="D14" s="22"/>
      <c r="E14" s="22"/>
      <c r="F14" s="22"/>
      <c r="G14" s="22"/>
      <c r="H14" s="22"/>
      <c r="I14" s="22"/>
      <c r="J14" s="22"/>
      <c r="K14" s="22"/>
      <c r="L14" s="726"/>
      <c r="M14" s="22"/>
      <c r="N14" s="22"/>
      <c r="O14" s="22"/>
      <c r="P14" s="22"/>
      <c r="Q14" s="1"/>
      <c r="AQ14" s="609"/>
    </row>
    <row r="15" spans="1:43" ht="21" customHeight="1" x14ac:dyDescent="0.25">
      <c r="B15" s="1502" t="s">
        <v>725</v>
      </c>
      <c r="C15" s="1502"/>
      <c r="D15" s="1502"/>
      <c r="E15" s="1502"/>
      <c r="F15" s="1502"/>
      <c r="G15" s="1502"/>
      <c r="H15" s="1502"/>
      <c r="I15" s="1502"/>
      <c r="J15" s="1502"/>
      <c r="K15" s="1502"/>
      <c r="L15" s="1502"/>
      <c r="M15" s="1502"/>
      <c r="N15" s="1502"/>
      <c r="O15" s="1502"/>
      <c r="P15" s="345"/>
      <c r="Q15" s="345"/>
      <c r="AQ15" s="609"/>
    </row>
    <row r="16" spans="1:43" ht="21" customHeight="1" x14ac:dyDescent="0.25">
      <c r="B16" s="1516" t="s">
        <v>57</v>
      </c>
      <c r="C16" s="1516"/>
      <c r="D16" s="1516"/>
      <c r="E16" s="1516"/>
      <c r="F16" s="1516"/>
      <c r="G16" s="1516"/>
      <c r="H16" s="1516"/>
      <c r="I16" s="1516"/>
      <c r="J16" s="1516"/>
      <c r="K16" s="1516"/>
      <c r="L16" s="1516"/>
      <c r="M16" s="1516"/>
      <c r="N16" s="1516"/>
      <c r="O16" s="1516"/>
      <c r="P16" s="22"/>
      <c r="Q16" s="1"/>
      <c r="AQ16" s="609"/>
    </row>
    <row r="17" spans="1:43" ht="20" x14ac:dyDescent="0.35">
      <c r="B17" s="727" t="str">
        <f>TRIM(LEFT(B$11,3))&amp;" error summary:"</f>
        <v>RO5 error summary:</v>
      </c>
      <c r="C17" s="728"/>
      <c r="D17" s="728"/>
      <c r="E17" s="22"/>
      <c r="F17" s="729"/>
      <c r="G17" s="22"/>
      <c r="H17" s="22"/>
      <c r="I17" s="22"/>
      <c r="J17" s="730"/>
      <c r="K17" s="731"/>
      <c r="L17" s="726"/>
      <c r="M17" s="22"/>
      <c r="N17" s="22"/>
      <c r="O17" s="22"/>
      <c r="P17" s="22"/>
      <c r="Q17" s="1"/>
      <c r="AQ17" s="609"/>
    </row>
    <row r="18" spans="1:43" ht="32.15" customHeight="1" x14ac:dyDescent="0.35">
      <c r="A18" t="s">
        <v>92</v>
      </c>
      <c r="B18" s="732" t="str">
        <f>IF(AND(COUNTIF($O$33:$O$140,"Error")=0,COUNTIF($O$33:$O$140,"Warning")=0),("There are no outstanding errors or warnings with the "&amp;TRIM(LEFT(B$11,3))&amp;" section of the form. Thank you."),("There are "&amp;COUNTIF($O$33:$O$140,"Error")&amp;" outstanding error(s) and "&amp;COUNTIF($O$33:$O$140,"Warning")&amp;" outstanding warning(s) with the "&amp;TRIM(LEFT(B$11,3))&amp;" section of the form. Please resolve and/or explain these before submitting."))</f>
        <v>There are no outstanding errors or warnings with the RO5 section of the form. Thank you.</v>
      </c>
      <c r="C18" s="733"/>
      <c r="D18" s="733"/>
      <c r="E18" s="733"/>
      <c r="F18" s="733"/>
      <c r="G18" s="733"/>
      <c r="H18" s="733"/>
      <c r="I18" s="733"/>
      <c r="J18" s="733"/>
      <c r="K18" s="733"/>
      <c r="L18" s="733"/>
      <c r="M18" s="22"/>
      <c r="N18" s="22"/>
      <c r="O18" s="22"/>
      <c r="P18" s="22"/>
      <c r="Q18" s="1"/>
      <c r="AB18" s="611" t="s">
        <v>53</v>
      </c>
      <c r="AQ18" s="609"/>
    </row>
    <row r="19" spans="1:43" ht="20.149999999999999" customHeight="1" x14ac:dyDescent="0.35">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c r="AQ19" s="609"/>
    </row>
    <row r="20" spans="1:43" ht="15" customHeight="1" x14ac:dyDescent="0.35">
      <c r="B20" s="735"/>
      <c r="C20" s="735"/>
      <c r="D20" s="735"/>
      <c r="E20" s="736"/>
      <c r="F20" s="736"/>
      <c r="G20" s="736"/>
      <c r="H20" s="736"/>
      <c r="I20" s="736"/>
      <c r="J20" s="736"/>
      <c r="K20" s="736"/>
      <c r="L20" s="726"/>
      <c r="M20" s="22"/>
      <c r="N20" s="22"/>
      <c r="O20" s="22"/>
      <c r="P20" s="22"/>
      <c r="Q20" s="1"/>
      <c r="AQ20" s="609"/>
    </row>
    <row r="21" spans="1:43" ht="25" x14ac:dyDescent="0.5">
      <c r="B21" s="737" t="str">
        <f>RS!$B$21</f>
        <v>Please select your authority name on Title page</v>
      </c>
      <c r="C21" s="738"/>
      <c r="D21" s="739"/>
      <c r="E21" s="739"/>
      <c r="F21" s="739"/>
      <c r="G21" s="739"/>
      <c r="H21" s="739"/>
      <c r="I21" s="739"/>
      <c r="J21" s="739"/>
      <c r="K21" s="739"/>
      <c r="L21" s="739"/>
      <c r="AQ21" s="609"/>
    </row>
    <row r="22" spans="1:43" ht="18" x14ac:dyDescent="0.4">
      <c r="B22" s="740" t="str">
        <f>ContactDetails!C25</f>
        <v>E-code</v>
      </c>
      <c r="C22" s="741"/>
      <c r="D22" s="742"/>
      <c r="E22" s="743"/>
      <c r="F22" s="743"/>
      <c r="G22" s="744"/>
      <c r="H22" s="744"/>
      <c r="I22" s="743"/>
      <c r="J22" s="743"/>
      <c r="K22" s="744"/>
      <c r="L22" s="744"/>
      <c r="AQ22" s="609"/>
    </row>
    <row r="23" spans="1:43" ht="18" x14ac:dyDescent="0.4">
      <c r="B23" s="741"/>
      <c r="C23" s="741"/>
      <c r="D23" s="742"/>
      <c r="E23" s="743"/>
      <c r="F23" s="743"/>
      <c r="G23" s="744"/>
      <c r="H23" s="744"/>
      <c r="I23" s="743"/>
      <c r="J23" s="743"/>
      <c r="K23" s="744"/>
      <c r="L23" s="744"/>
      <c r="AQ23" s="609"/>
    </row>
    <row r="24" spans="1:43" ht="15.5" x14ac:dyDescent="0.35">
      <c r="B24" s="745"/>
      <c r="C24" s="745"/>
      <c r="D24" s="746"/>
      <c r="E24" s="746"/>
      <c r="F24" s="747"/>
      <c r="G24" s="744"/>
      <c r="H24" s="185" t="s">
        <v>449</v>
      </c>
      <c r="I24" s="743"/>
      <c r="J24" s="743"/>
      <c r="K24" s="744"/>
      <c r="L24" s="744"/>
      <c r="AQ24" s="609"/>
    </row>
    <row r="25" spans="1:43" ht="15.5" x14ac:dyDescent="0.35">
      <c r="E25" s="743"/>
      <c r="F25" s="744" t="s">
        <v>450</v>
      </c>
      <c r="G25" s="744" t="s">
        <v>451</v>
      </c>
      <c r="H25" s="185" t="s">
        <v>452</v>
      </c>
      <c r="I25" s="744" t="s">
        <v>453</v>
      </c>
      <c r="J25" s="744" t="s">
        <v>454</v>
      </c>
      <c r="K25" s="744" t="s">
        <v>451</v>
      </c>
      <c r="L25" s="744" t="s">
        <v>455</v>
      </c>
      <c r="AQ25" s="609"/>
    </row>
    <row r="26" spans="1:43" ht="15.5" x14ac:dyDescent="0.35">
      <c r="E26" s="744" t="s">
        <v>456</v>
      </c>
      <c r="F26" s="744" t="s">
        <v>457</v>
      </c>
      <c r="G26" s="744" t="s">
        <v>458</v>
      </c>
      <c r="H26" s="185" t="s">
        <v>459</v>
      </c>
      <c r="I26" s="744" t="s">
        <v>460</v>
      </c>
      <c r="J26" s="744" t="s">
        <v>461</v>
      </c>
      <c r="K26" s="744" t="s">
        <v>461</v>
      </c>
      <c r="L26" s="744" t="s">
        <v>458</v>
      </c>
      <c r="AQ26" s="609"/>
    </row>
    <row r="27" spans="1:43" ht="15.5" x14ac:dyDescent="0.35">
      <c r="B27" s="748"/>
      <c r="C27" s="748"/>
      <c r="E27" s="749" t="s">
        <v>60</v>
      </c>
      <c r="F27" s="749" t="s">
        <v>60</v>
      </c>
      <c r="G27" s="749" t="s">
        <v>60</v>
      </c>
      <c r="H27" s="258" t="s">
        <v>60</v>
      </c>
      <c r="I27" s="749" t="s">
        <v>60</v>
      </c>
      <c r="J27" s="749" t="s">
        <v>60</v>
      </c>
      <c r="K27" s="749" t="s">
        <v>60</v>
      </c>
      <c r="L27" s="749" t="s">
        <v>60</v>
      </c>
      <c r="AQ27" s="609"/>
    </row>
    <row r="28" spans="1:43" ht="15.5" x14ac:dyDescent="0.35">
      <c r="E28" s="749"/>
      <c r="F28" s="749"/>
      <c r="G28" s="749"/>
      <c r="H28" s="749"/>
      <c r="I28" s="749"/>
      <c r="J28" s="749"/>
      <c r="K28" s="749"/>
      <c r="L28" s="749"/>
      <c r="AQ28" s="609"/>
    </row>
    <row r="29" spans="1:43" ht="13" x14ac:dyDescent="0.3">
      <c r="E29" s="750" t="s">
        <v>61</v>
      </c>
      <c r="F29" s="750" t="s">
        <v>462</v>
      </c>
      <c r="G29" s="750" t="s">
        <v>463</v>
      </c>
      <c r="H29" s="187" t="s">
        <v>464</v>
      </c>
      <c r="I29" s="750" t="s">
        <v>465</v>
      </c>
      <c r="J29" s="750" t="s">
        <v>466</v>
      </c>
      <c r="K29" s="750" t="s">
        <v>467</v>
      </c>
      <c r="L29" s="750" t="s">
        <v>468</v>
      </c>
      <c r="AQ29" s="609"/>
    </row>
    <row r="30" spans="1:43" ht="18" x14ac:dyDescent="0.4">
      <c r="B30" s="793" t="s">
        <v>1115</v>
      </c>
      <c r="C30" s="793"/>
      <c r="E30" s="750"/>
      <c r="F30" s="750"/>
      <c r="G30" s="750"/>
      <c r="H30" s="1210" t="s">
        <v>469</v>
      </c>
      <c r="I30" s="750"/>
      <c r="J30" s="750"/>
      <c r="K30" s="750"/>
      <c r="L30" s="750"/>
      <c r="M30" s="22"/>
      <c r="N30" s="22"/>
      <c r="O30" s="22"/>
      <c r="P30" s="22"/>
      <c r="Q30" s="1"/>
      <c r="AQ30" s="609"/>
    </row>
    <row r="31" spans="1:43" ht="12.75" customHeight="1" x14ac:dyDescent="0.3">
      <c r="B31" s="345"/>
      <c r="C31" s="345"/>
      <c r="E31" s="742"/>
      <c r="F31" s="742"/>
      <c r="G31" s="742"/>
      <c r="H31" s="742"/>
      <c r="I31" s="742"/>
      <c r="J31" s="742"/>
      <c r="K31" s="742"/>
      <c r="L31" s="742"/>
      <c r="AD31" s="614" t="s">
        <v>62</v>
      </c>
      <c r="AQ31" s="609"/>
    </row>
    <row r="32" spans="1:43" ht="15.5" x14ac:dyDescent="0.35">
      <c r="B32" s="794" t="s">
        <v>1116</v>
      </c>
      <c r="C32" s="794"/>
      <c r="D32" s="795"/>
      <c r="E32" s="757"/>
      <c r="F32" s="757"/>
      <c r="G32" s="778"/>
      <c r="H32" s="778"/>
      <c r="I32" s="757"/>
      <c r="J32" s="757"/>
      <c r="K32" s="778"/>
      <c r="L32" s="778"/>
      <c r="AD32" s="614" t="s">
        <v>64</v>
      </c>
      <c r="AE32" s="614" t="s">
        <v>65</v>
      </c>
      <c r="AF32" s="614" t="s">
        <v>66</v>
      </c>
      <c r="AG32" s="614" t="s">
        <v>67</v>
      </c>
      <c r="AH32" s="614" t="s">
        <v>68</v>
      </c>
      <c r="AI32" s="614" t="s">
        <v>69</v>
      </c>
      <c r="AJ32" s="614" t="s">
        <v>70</v>
      </c>
      <c r="AK32" s="614" t="s">
        <v>71</v>
      </c>
      <c r="AL32" s="614" t="s">
        <v>72</v>
      </c>
      <c r="AM32" s="614" t="s">
        <v>73</v>
      </c>
      <c r="AN32" s="614" t="s">
        <v>727</v>
      </c>
      <c r="AQ32" s="609"/>
    </row>
    <row r="33" spans="1:43" ht="15.5" x14ac:dyDescent="0.35">
      <c r="A33" t="s">
        <v>1117</v>
      </c>
      <c r="B33" s="760">
        <v>111</v>
      </c>
      <c r="C33" s="752" t="s">
        <v>1118</v>
      </c>
      <c r="D33" s="756"/>
      <c r="E33" s="1222"/>
      <c r="F33" s="1222"/>
      <c r="G33" s="1223">
        <f>SUM(E33:F33)</f>
        <v>0</v>
      </c>
      <c r="H33" s="1271"/>
      <c r="I33" s="1222"/>
      <c r="J33" s="1222"/>
      <c r="K33" s="1223">
        <f>SUM(I33:J33)</f>
        <v>0</v>
      </c>
      <c r="L33" s="1223">
        <f>G33-K33</f>
        <v>0</v>
      </c>
      <c r="N33" s="1185"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VLOOKUP("RO5"&amp;$B33,data_val_parameters,8,0)/100</f>
        <v>0.3</v>
      </c>
      <c r="AE33" s="609">
        <f>VLOOKUP("RO5"&amp;$B33,data_val_parameters,7,0)</f>
        <v>3000</v>
      </c>
      <c r="AF33" s="609" t="e">
        <f>VLOOKUP(LA_code,data_prev_year,MATCH("RO5"&amp;$B33&amp;"7",data_prev_year_headers,0),0)</f>
        <v>#N/A</v>
      </c>
      <c r="AG33" s="609" t="e">
        <f>AF33+AE33</f>
        <v>#N/A</v>
      </c>
      <c r="AH33" s="609" t="e">
        <f>AF33-AE33</f>
        <v>#N/A</v>
      </c>
      <c r="AI33" s="636" t="e">
        <f>AF33+(AF33*AD33)</f>
        <v>#N/A</v>
      </c>
      <c r="AJ33" s="636" t="e">
        <f>AF33-(AF33*AD33)</f>
        <v>#N/A</v>
      </c>
      <c r="AK33" s="609" t="e">
        <f>IF(OR(L33&lt;AH33,L33&gt;AG33),"Warning","")</f>
        <v>#N/A</v>
      </c>
      <c r="AL33" s="609" t="e">
        <f>IF(OR(L33&gt;(AI33),L33&lt;(AJ33)),"Warning","")</f>
        <v>#N/A</v>
      </c>
      <c r="AM33" s="609" t="str">
        <f>IF(OR(L33=0),"",IF(AND(AK33="Warning",AL33="Warning"),"Warning",""))</f>
        <v/>
      </c>
      <c r="AN33" s="609" t="str">
        <f>IF(OR(I33&lt;0,J33&lt;0),"Error","")</f>
        <v/>
      </c>
      <c r="AQ33" s="609"/>
    </row>
    <row r="34" spans="1:43" ht="15.5" x14ac:dyDescent="0.35">
      <c r="A34" t="s">
        <v>1119</v>
      </c>
      <c r="B34" s="760">
        <v>112</v>
      </c>
      <c r="C34" s="752" t="s">
        <v>1120</v>
      </c>
      <c r="D34" s="756"/>
      <c r="E34" s="1222"/>
      <c r="F34" s="1222"/>
      <c r="G34" s="1223">
        <f>SUM(E34:F34)</f>
        <v>0</v>
      </c>
      <c r="H34" s="1271"/>
      <c r="I34" s="1222"/>
      <c r="J34" s="1222"/>
      <c r="K34" s="1223">
        <f>SUM(I34:J34)</f>
        <v>0</v>
      </c>
      <c r="L34" s="1223">
        <f>G34-K34</f>
        <v>0</v>
      </c>
      <c r="N34" s="1185" t="str">
        <f>IF(ISERROR(O34),"",IF((O34="Error"),"add explanation",IF((O34="Warning"),"add explanation","")))</f>
        <v/>
      </c>
      <c r="O34" s="754" t="str">
        <f t="shared" ref="O34:O49" si="0">IF(OR((K34&lt;&gt;(I34+J34)),(G34&lt;&gt;(E34+F34)),(L34&lt;&gt;(G34-K34)),AN34="Error"),"Error",IF(AM34="Warning","Warning",""))</f>
        <v/>
      </c>
      <c r="Q34" s="755" t="str">
        <f t="shared" ref="Q34:Q49"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VLOOKUP("RO5"&amp;$B34,data_val_parameters,8,0)/100</f>
        <v>0.3</v>
      </c>
      <c r="AE34" s="609">
        <f>VLOOKUP("RO5"&amp;$B34,data_val_parameters,7,0)</f>
        <v>3000</v>
      </c>
      <c r="AF34" s="609" t="e">
        <f>VLOOKUP(LA_code,data_prev_year,MATCH("RO5"&amp;$B34&amp;"7",data_prev_year_headers,0),0)</f>
        <v>#N/A</v>
      </c>
      <c r="AG34" s="609" t="e">
        <f t="shared" ref="AG34:AG102" si="2">AF34+AE34</f>
        <v>#N/A</v>
      </c>
      <c r="AH34" s="609" t="e">
        <f t="shared" ref="AH34:AH102" si="3">AF34-AE34</f>
        <v>#N/A</v>
      </c>
      <c r="AI34" s="636" t="e">
        <f t="shared" ref="AI34:AI102" si="4">AF34+(AF34*AD34)</f>
        <v>#N/A</v>
      </c>
      <c r="AJ34" s="636" t="e">
        <f t="shared" ref="AJ34:AJ102" si="5">AF34-(AF34*AD34)</f>
        <v>#N/A</v>
      </c>
      <c r="AK34" s="609" t="e">
        <f t="shared" ref="AK34:AK102" si="6">IF(OR(L34&lt;AH34,L34&gt;AG34),"Warning","")</f>
        <v>#N/A</v>
      </c>
      <c r="AL34" s="609" t="e">
        <f t="shared" ref="AL34:AL102" si="7">IF(OR(L34&gt;(AI34),L34&lt;(AJ34)),"Warning","")</f>
        <v>#N/A</v>
      </c>
      <c r="AM34" s="609" t="str">
        <f>IF(OR(L34=0),"",IF(AND(AK34="Warning",AL34="Warning"),"Warning",""))</f>
        <v/>
      </c>
      <c r="AN34" s="609" t="str">
        <f t="shared" ref="AN34:AN49" si="8">IF(OR(I34&lt;0,J34&lt;0),"Error","")</f>
        <v/>
      </c>
      <c r="AQ34" s="609"/>
    </row>
    <row r="35" spans="1:43" ht="15.5" x14ac:dyDescent="0.35">
      <c r="A35" t="s">
        <v>1121</v>
      </c>
      <c r="B35" s="760">
        <v>113</v>
      </c>
      <c r="C35" s="752" t="s">
        <v>1122</v>
      </c>
      <c r="D35" s="756"/>
      <c r="E35" s="1222"/>
      <c r="F35" s="1222"/>
      <c r="G35" s="1223">
        <f>SUM(E35:F35)</f>
        <v>0</v>
      </c>
      <c r="H35" s="1271"/>
      <c r="I35" s="1222"/>
      <c r="J35" s="1222"/>
      <c r="K35" s="1223">
        <f>SUM(I35:J35)</f>
        <v>0</v>
      </c>
      <c r="L35" s="1223">
        <f>G35-K35</f>
        <v>0</v>
      </c>
      <c r="N35" s="1185" t="str">
        <f>IF(ISERROR(O35),"",IF((O35="Error"),"add explanation",IF((O35="Warning"),"add explanation","")))</f>
        <v/>
      </c>
      <c r="O35" s="754" t="str">
        <f t="shared" si="0"/>
        <v/>
      </c>
      <c r="Q35" s="755" t="str">
        <f t="shared" si="1"/>
        <v/>
      </c>
      <c r="AD35" s="609">
        <f>VLOOKUP("RO5"&amp;$B35,data_val_parameters,8,0)/100</f>
        <v>0.3</v>
      </c>
      <c r="AE35" s="609">
        <f>VLOOKUP("RO5"&amp;$B35,data_val_parameters,7,0)</f>
        <v>3000</v>
      </c>
      <c r="AF35" s="609" t="e">
        <f>VLOOKUP(LA_code,data_prev_year,MATCH("RO5"&amp;$B35&amp;"7",data_prev_year_headers,0),0)</f>
        <v>#N/A</v>
      </c>
      <c r="AG35" s="609" t="e">
        <f t="shared" si="2"/>
        <v>#N/A</v>
      </c>
      <c r="AH35" s="609" t="e">
        <f t="shared" si="3"/>
        <v>#N/A</v>
      </c>
      <c r="AI35" s="636" t="e">
        <f t="shared" si="4"/>
        <v>#N/A</v>
      </c>
      <c r="AJ35" s="636" t="e">
        <f t="shared" si="5"/>
        <v>#N/A</v>
      </c>
      <c r="AK35" s="609" t="e">
        <f t="shared" si="6"/>
        <v>#N/A</v>
      </c>
      <c r="AL35" s="609" t="e">
        <f t="shared" si="7"/>
        <v>#N/A</v>
      </c>
      <c r="AM35" s="609" t="str">
        <f>IF(OR(L35=0),"",IF(AND(AK35="Warning",AL35="Warning"),"Warning",""))</f>
        <v/>
      </c>
      <c r="AN35" s="609" t="str">
        <f t="shared" si="8"/>
        <v/>
      </c>
      <c r="AQ35" s="609"/>
    </row>
    <row r="36" spans="1:43" ht="15.5" x14ac:dyDescent="0.35">
      <c r="A36" t="s">
        <v>1123</v>
      </c>
      <c r="B36" s="760">
        <v>114</v>
      </c>
      <c r="C36" s="752" t="s">
        <v>1124</v>
      </c>
      <c r="D36" s="756"/>
      <c r="E36" s="1222"/>
      <c r="F36" s="1222"/>
      <c r="G36" s="1223">
        <f>SUM(E36:F36)</f>
        <v>0</v>
      </c>
      <c r="H36" s="1271"/>
      <c r="I36" s="1222"/>
      <c r="J36" s="1222"/>
      <c r="K36" s="1223">
        <f>SUM(I36:J36)</f>
        <v>0</v>
      </c>
      <c r="L36" s="1223">
        <f>G36-K36</f>
        <v>0</v>
      </c>
      <c r="N36" s="1185" t="str">
        <f>IF(ISERROR(O36),"",IF((O36="Error"),"add explanation",IF((O36="Warning"),"add explanation","")))</f>
        <v/>
      </c>
      <c r="O36" s="754" t="str">
        <f t="shared" si="0"/>
        <v/>
      </c>
      <c r="Q36" s="755" t="str">
        <f t="shared" si="1"/>
        <v/>
      </c>
      <c r="AD36" s="609">
        <f>VLOOKUP("RO5"&amp;$B36,data_val_parameters,8,0)/100</f>
        <v>0.3</v>
      </c>
      <c r="AE36" s="609">
        <f>VLOOKUP("RO5"&amp;$B36,data_val_parameters,7,0)</f>
        <v>3000</v>
      </c>
      <c r="AF36" s="609" t="e">
        <f>VLOOKUP(LA_code,data_prev_year,MATCH("RO5"&amp;$B36&amp;"7",data_prev_year_headers,0),0)</f>
        <v>#N/A</v>
      </c>
      <c r="AG36" s="609" t="e">
        <f t="shared" si="2"/>
        <v>#N/A</v>
      </c>
      <c r="AH36" s="609" t="e">
        <f t="shared" si="3"/>
        <v>#N/A</v>
      </c>
      <c r="AI36" s="609" t="e">
        <f t="shared" si="4"/>
        <v>#N/A</v>
      </c>
      <c r="AJ36" s="609" t="e">
        <f t="shared" si="5"/>
        <v>#N/A</v>
      </c>
      <c r="AK36" s="609" t="e">
        <f t="shared" si="6"/>
        <v>#N/A</v>
      </c>
      <c r="AL36" s="609" t="e">
        <f t="shared" si="7"/>
        <v>#N/A</v>
      </c>
      <c r="AM36" s="609" t="str">
        <f>IF(OR(L36=0),"",IF(AND(AK36="Warning",AL36="Warning"),"Warning",""))</f>
        <v/>
      </c>
      <c r="AN36" s="609" t="str">
        <f t="shared" si="8"/>
        <v/>
      </c>
      <c r="AQ36" s="609"/>
    </row>
    <row r="37" spans="1:43" ht="15.5" x14ac:dyDescent="0.35">
      <c r="A37" t="s">
        <v>1125</v>
      </c>
      <c r="B37" s="760">
        <v>115</v>
      </c>
      <c r="C37" s="752" t="s">
        <v>1126</v>
      </c>
      <c r="D37" s="756"/>
      <c r="E37" s="1222"/>
      <c r="F37" s="1222"/>
      <c r="G37" s="1223">
        <f>SUM(E37:F37)</f>
        <v>0</v>
      </c>
      <c r="H37" s="1271"/>
      <c r="I37" s="1222"/>
      <c r="J37" s="1222"/>
      <c r="K37" s="1223">
        <f>SUM(I37:J37)</f>
        <v>0</v>
      </c>
      <c r="L37" s="1223">
        <f>G37-K37</f>
        <v>0</v>
      </c>
      <c r="N37" s="1185" t="str">
        <f>IF(ISERROR(O37),"",IF((O37="Error"),"add explanation",IF((O37="Warning"),"add explanation","")))</f>
        <v/>
      </c>
      <c r="O37" s="754" t="str">
        <f t="shared" si="0"/>
        <v/>
      </c>
      <c r="Q37" s="755" t="str">
        <f t="shared" si="1"/>
        <v/>
      </c>
      <c r="AD37" s="609">
        <f>VLOOKUP("RO5"&amp;$B37,data_val_parameters,8,0)/100</f>
        <v>0.3</v>
      </c>
      <c r="AE37" s="609">
        <f>VLOOKUP("RO5"&amp;$B37,data_val_parameters,7,0)</f>
        <v>3000</v>
      </c>
      <c r="AF37" s="609" t="e">
        <f>VLOOKUP(LA_code,data_prev_year,MATCH("RO5"&amp;$B37&amp;"7",data_prev_year_headers,0),0)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c r="AQ37" s="609"/>
    </row>
    <row r="38" spans="1:43" ht="20" x14ac:dyDescent="0.4">
      <c r="B38" s="796" t="s">
        <v>253</v>
      </c>
      <c r="C38" s="752" t="s">
        <v>253</v>
      </c>
      <c r="D38" s="756"/>
      <c r="E38" s="757"/>
      <c r="F38" s="757"/>
      <c r="G38" s="758"/>
      <c r="H38" s="757"/>
      <c r="I38" s="757"/>
      <c r="J38" s="757"/>
      <c r="K38" s="758"/>
      <c r="L38" s="758"/>
      <c r="N38" s="1221" t="s">
        <v>1127</v>
      </c>
      <c r="O38" s="754"/>
      <c r="Q38" s="755"/>
      <c r="AN38" s="609" t="str">
        <f t="shared" si="8"/>
        <v/>
      </c>
      <c r="AQ38" s="609"/>
    </row>
    <row r="39" spans="1:43" ht="15.5" x14ac:dyDescent="0.35">
      <c r="B39" s="794" t="s">
        <v>1128</v>
      </c>
      <c r="C39" s="752"/>
      <c r="D39" s="756"/>
      <c r="E39" s="757"/>
      <c r="F39" s="757"/>
      <c r="G39" s="758"/>
      <c r="H39" s="757"/>
      <c r="I39" s="757"/>
      <c r="J39" s="757"/>
      <c r="K39" s="758"/>
      <c r="L39" s="758"/>
      <c r="N39" s="1221" t="s">
        <v>1129</v>
      </c>
      <c r="O39" s="754"/>
      <c r="Q39" s="755"/>
      <c r="AN39" s="609" t="str">
        <f t="shared" si="8"/>
        <v/>
      </c>
      <c r="AQ39" s="609"/>
    </row>
    <row r="40" spans="1:43" ht="15.5" x14ac:dyDescent="0.35">
      <c r="A40" t="s">
        <v>1130</v>
      </c>
      <c r="B40" s="760">
        <v>121</v>
      </c>
      <c r="C40" s="752" t="s">
        <v>1131</v>
      </c>
      <c r="D40" s="756"/>
      <c r="E40" s="1222"/>
      <c r="F40" s="1222"/>
      <c r="G40" s="1223">
        <f t="shared" ref="G40:G45" si="9">SUM(E40:F40)</f>
        <v>0</v>
      </c>
      <c r="H40" s="1271"/>
      <c r="I40" s="1222"/>
      <c r="J40" s="1222"/>
      <c r="K40" s="1223">
        <f t="shared" ref="K40:K45" si="10">SUM(I40:J40)</f>
        <v>0</v>
      </c>
      <c r="L40" s="1223">
        <f t="shared" ref="L40:L45" si="11">G40-K40</f>
        <v>0</v>
      </c>
      <c r="N40" s="1185" t="str">
        <f>IF(ISERROR(O40),"",IF((O40="Error"),"add explanation",IF((O40="Warning"),"add explanation","")))</f>
        <v/>
      </c>
      <c r="O40" s="754" t="str">
        <f t="shared" si="0"/>
        <v/>
      </c>
      <c r="Q40" s="755" t="str">
        <f t="shared" si="1"/>
        <v/>
      </c>
      <c r="AD40" s="609">
        <f>VLOOKUP("RO5"&amp;$B40,data_val_parameters,8,0)/100</f>
        <v>0.3</v>
      </c>
      <c r="AE40" s="609">
        <f>VLOOKUP("RO5"&amp;$B40,data_val_parameters,7,0)</f>
        <v>3000</v>
      </c>
      <c r="AF40" s="609" t="e">
        <f>VLOOKUP(LA_code,data_prev_year,MATCH("RO5"&amp;$B40&amp;"7",data_prev_year_headers,0),0)</f>
        <v>#N/A</v>
      </c>
      <c r="AG40" s="609" t="e">
        <f t="shared" si="2"/>
        <v>#N/A</v>
      </c>
      <c r="AH40" s="609" t="e">
        <f t="shared" si="3"/>
        <v>#N/A</v>
      </c>
      <c r="AI40" s="609" t="e">
        <f t="shared" si="4"/>
        <v>#N/A</v>
      </c>
      <c r="AJ40" s="609" t="e">
        <f t="shared" si="5"/>
        <v>#N/A</v>
      </c>
      <c r="AK40" s="609" t="e">
        <f t="shared" si="6"/>
        <v>#N/A</v>
      </c>
      <c r="AL40" s="609" t="e">
        <f t="shared" si="7"/>
        <v>#N/A</v>
      </c>
      <c r="AM40" s="609" t="str">
        <f>IF(OR(L40=0),"",IF(AND(AK40="Warning",AL40="Warning"),"Warning",""))</f>
        <v/>
      </c>
      <c r="AN40" s="609" t="str">
        <f t="shared" si="8"/>
        <v/>
      </c>
      <c r="AQ40" s="609"/>
    </row>
    <row r="41" spans="1:43" ht="15.5" x14ac:dyDescent="0.35">
      <c r="A41" t="s">
        <v>1132</v>
      </c>
      <c r="B41" s="760">
        <v>122</v>
      </c>
      <c r="C41" s="752" t="s">
        <v>1133</v>
      </c>
      <c r="D41" s="756"/>
      <c r="E41" s="1222"/>
      <c r="F41" s="1222"/>
      <c r="G41" s="1223">
        <f t="shared" si="9"/>
        <v>0</v>
      </c>
      <c r="H41" s="1271"/>
      <c r="I41" s="1222"/>
      <c r="J41" s="1222"/>
      <c r="K41" s="1223">
        <f t="shared" si="10"/>
        <v>0</v>
      </c>
      <c r="L41" s="1223">
        <f t="shared" si="11"/>
        <v>0</v>
      </c>
      <c r="N41" s="1185" t="str">
        <f>IF(ISERROR(O41),"",IF((O41="Error"),"add explanation",IF((O41="Warning"),"add explanation","")))</f>
        <v/>
      </c>
      <c r="O41" s="754" t="str">
        <f t="shared" si="0"/>
        <v/>
      </c>
      <c r="Q41" s="755" t="str">
        <f t="shared" si="1"/>
        <v/>
      </c>
      <c r="AD41" s="609">
        <f>VLOOKUP("RO5"&amp;$B41,data_val_parameters,8,0)/100</f>
        <v>0.3</v>
      </c>
      <c r="AE41" s="609">
        <f>VLOOKUP("RO5"&amp;$B41,data_val_parameters,7,0)</f>
        <v>3000</v>
      </c>
      <c r="AF41" s="609" t="e">
        <f>VLOOKUP(LA_code,data_prev_year,MATCH("RO5"&amp;$B41&amp;"7",data_prev_year_headers,0),0)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IF(OR(L41=0),"",IF(AND(AK41="Warning",AL41="Warning"),"Warning",""))</f>
        <v/>
      </c>
      <c r="AN41" s="609" t="str">
        <f t="shared" si="8"/>
        <v/>
      </c>
      <c r="AQ41" s="609"/>
    </row>
    <row r="42" spans="1:43" ht="15.5" x14ac:dyDescent="0.35">
      <c r="A42" t="s">
        <v>1134</v>
      </c>
      <c r="B42" s="760">
        <v>123</v>
      </c>
      <c r="C42" s="752" t="s">
        <v>1135</v>
      </c>
      <c r="D42" s="756"/>
      <c r="E42" s="1222"/>
      <c r="F42" s="1222"/>
      <c r="G42" s="1223">
        <f t="shared" si="9"/>
        <v>0</v>
      </c>
      <c r="H42" s="1271"/>
      <c r="I42" s="1222"/>
      <c r="J42" s="1222"/>
      <c r="K42" s="1223">
        <f t="shared" si="10"/>
        <v>0</v>
      </c>
      <c r="L42" s="1223">
        <f t="shared" si="11"/>
        <v>0</v>
      </c>
      <c r="N42" s="1185" t="str">
        <f>IF(ISERROR(O42),"",IF((O42="Error"),"add explanation",IF((O42="Warning"),"add explanation","")))</f>
        <v/>
      </c>
      <c r="O42" s="754" t="str">
        <f t="shared" si="0"/>
        <v/>
      </c>
      <c r="Q42" s="755" t="str">
        <f t="shared" si="1"/>
        <v/>
      </c>
      <c r="AD42" s="609">
        <f>VLOOKUP("RO5"&amp;$B42,data_val_parameters,8,0)/100</f>
        <v>0.35</v>
      </c>
      <c r="AE42" s="609">
        <f>VLOOKUP("RO5"&amp;$B42,data_val_parameters,7,0)</f>
        <v>4000</v>
      </c>
      <c r="AF42" s="609" t="e">
        <f>VLOOKUP(LA_code,data_prev_year,MATCH("RO5"&amp;$B42&amp;"7",data_prev_year_headers,0),0)</f>
        <v>#N/A</v>
      </c>
      <c r="AG42" s="609" t="e">
        <f t="shared" si="2"/>
        <v>#N/A</v>
      </c>
      <c r="AH42" s="609" t="e">
        <f t="shared" si="3"/>
        <v>#N/A</v>
      </c>
      <c r="AI42" s="609" t="e">
        <f t="shared" si="4"/>
        <v>#N/A</v>
      </c>
      <c r="AJ42" s="609" t="e">
        <f t="shared" si="5"/>
        <v>#N/A</v>
      </c>
      <c r="AK42" s="609" t="e">
        <f t="shared" si="6"/>
        <v>#N/A</v>
      </c>
      <c r="AL42" s="609" t="e">
        <f t="shared" si="7"/>
        <v>#N/A</v>
      </c>
      <c r="AM42" s="609" t="str">
        <f>IF(OR(L42=0),"",IF(AND(AK42="Warning",AL42="Warning"),"Warning",""))</f>
        <v/>
      </c>
      <c r="AN42" s="609" t="str">
        <f t="shared" si="8"/>
        <v/>
      </c>
      <c r="AQ42" s="609"/>
    </row>
    <row r="43" spans="1:43" ht="15.5" x14ac:dyDescent="0.35">
      <c r="A43" t="s">
        <v>1136</v>
      </c>
      <c r="B43" s="760">
        <v>129</v>
      </c>
      <c r="C43" s="752" t="s">
        <v>1137</v>
      </c>
      <c r="D43" s="756"/>
      <c r="E43" s="1222"/>
      <c r="F43" s="1222"/>
      <c r="G43" s="1223">
        <f t="shared" si="9"/>
        <v>0</v>
      </c>
      <c r="H43" s="1271"/>
      <c r="I43" s="1222"/>
      <c r="J43" s="1222"/>
      <c r="K43" s="1223">
        <f t="shared" si="10"/>
        <v>0</v>
      </c>
      <c r="L43" s="1223">
        <f t="shared" si="11"/>
        <v>0</v>
      </c>
      <c r="N43" s="1185" t="str">
        <f>IF(ISERROR(O43),"",IF((O43="Error"),"add explanation",IF((O43="Warning"),"add explanation","")))</f>
        <v/>
      </c>
      <c r="O43" s="754" t="str">
        <f t="shared" si="0"/>
        <v/>
      </c>
      <c r="Q43" s="755" t="str">
        <f t="shared" si="1"/>
        <v/>
      </c>
      <c r="AD43" s="609">
        <f>VLOOKUP("RO5"&amp;$B43,data_val_parameters,8,0)/100</f>
        <v>0.35</v>
      </c>
      <c r="AE43" s="609">
        <f>VLOOKUP("RO5"&amp;$B43,data_val_parameters,7,0)</f>
        <v>4000</v>
      </c>
      <c r="AF43" s="609" t="e">
        <f>VLOOKUP(LA_code,data_prev_year,MATCH("RO5"&amp;$B43&amp;"7",data_prev_year_headers,0),0)</f>
        <v>#N/A</v>
      </c>
      <c r="AG43" s="609" t="e">
        <f t="shared" si="2"/>
        <v>#N/A</v>
      </c>
      <c r="AH43" s="609" t="e">
        <f t="shared" si="3"/>
        <v>#N/A</v>
      </c>
      <c r="AI43" s="609" t="e">
        <f t="shared" si="4"/>
        <v>#N/A</v>
      </c>
      <c r="AJ43" s="609" t="e">
        <f t="shared" si="5"/>
        <v>#N/A</v>
      </c>
      <c r="AK43" s="609" t="e">
        <f t="shared" si="6"/>
        <v>#N/A</v>
      </c>
      <c r="AL43" s="609" t="e">
        <f t="shared" si="7"/>
        <v>#N/A</v>
      </c>
      <c r="AM43" s="609" t="str">
        <f>IF(OR(L43=0),"",IF(AND(AK43="Warning",AL43="Warning"),"Warning",""))</f>
        <v/>
      </c>
      <c r="AN43" s="609" t="str">
        <f t="shared" si="8"/>
        <v/>
      </c>
      <c r="AQ43" s="609"/>
    </row>
    <row r="44" spans="1:43" ht="15.5" x14ac:dyDescent="0.35">
      <c r="B44" s="797" t="s">
        <v>253</v>
      </c>
      <c r="C44" s="752"/>
      <c r="D44" s="756"/>
      <c r="E44" s="757"/>
      <c r="F44" s="757"/>
      <c r="G44" s="758"/>
      <c r="H44" s="757"/>
      <c r="I44" s="757"/>
      <c r="J44" s="757"/>
      <c r="K44" s="758"/>
      <c r="L44" s="758"/>
      <c r="N44" s="1185"/>
      <c r="O44" s="754"/>
      <c r="Q44" s="755"/>
      <c r="AN44" s="609" t="str">
        <f t="shared" si="8"/>
        <v/>
      </c>
      <c r="AQ44" s="609"/>
    </row>
    <row r="45" spans="1:43" ht="18" x14ac:dyDescent="0.4">
      <c r="A45" t="s">
        <v>1138</v>
      </c>
      <c r="B45" s="751">
        <v>131</v>
      </c>
      <c r="C45" s="752" t="s">
        <v>1139</v>
      </c>
      <c r="D45" s="756"/>
      <c r="E45" s="1222"/>
      <c r="F45" s="1222"/>
      <c r="G45" s="1223">
        <f t="shared" si="9"/>
        <v>0</v>
      </c>
      <c r="H45" s="1271"/>
      <c r="I45" s="1222"/>
      <c r="J45" s="1222"/>
      <c r="K45" s="1223">
        <f t="shared" si="10"/>
        <v>0</v>
      </c>
      <c r="L45" s="1223">
        <f t="shared" si="11"/>
        <v>0</v>
      </c>
      <c r="M45" s="35"/>
      <c r="N45" s="1185" t="str">
        <f>IF(ISERROR(O45),"",IF((O45="Error"),"add explanation",IF((O45="Warning"),"add explanation","")))</f>
        <v/>
      </c>
      <c r="O45" s="754" t="str">
        <f t="shared" si="0"/>
        <v/>
      </c>
      <c r="Q45" s="755" t="str">
        <f t="shared" si="1"/>
        <v/>
      </c>
      <c r="AD45" s="609">
        <f>VLOOKUP("RO5"&amp;$B45,data_val_parameters,8,0)/100</f>
        <v>0.35</v>
      </c>
      <c r="AE45" s="609">
        <f>VLOOKUP("RO5"&amp;$B45,data_val_parameters,7,0)</f>
        <v>4000</v>
      </c>
      <c r="AF45" s="609" t="e">
        <f>VLOOKUP(LA_code,data_prev_year,MATCH("RO5"&amp;$B45&amp;"7",data_prev_year_headers,0),0)</f>
        <v>#N/A</v>
      </c>
      <c r="AG45" s="609" t="e">
        <f t="shared" si="2"/>
        <v>#N/A</v>
      </c>
      <c r="AH45" s="609" t="e">
        <f t="shared" si="3"/>
        <v>#N/A</v>
      </c>
      <c r="AI45" s="609" t="e">
        <f t="shared" si="4"/>
        <v>#N/A</v>
      </c>
      <c r="AJ45" s="609" t="e">
        <f t="shared" si="5"/>
        <v>#N/A</v>
      </c>
      <c r="AK45" s="609" t="e">
        <f t="shared" si="6"/>
        <v>#N/A</v>
      </c>
      <c r="AL45" s="609" t="e">
        <f t="shared" si="7"/>
        <v>#N/A</v>
      </c>
      <c r="AM45" s="609" t="str">
        <f>IF(OR(L45=0),"",IF(AND(AK45="Warning",AL45="Warning"),"Warning",""))</f>
        <v/>
      </c>
      <c r="AN45" s="609" t="str">
        <f t="shared" si="8"/>
        <v/>
      </c>
      <c r="AQ45" s="609"/>
    </row>
    <row r="46" spans="1:43" ht="15.5" x14ac:dyDescent="0.35">
      <c r="B46" s="797" t="s">
        <v>253</v>
      </c>
      <c r="C46" s="752"/>
      <c r="D46" s="756"/>
      <c r="E46" s="757"/>
      <c r="F46" s="757"/>
      <c r="G46" s="758"/>
      <c r="H46" s="757"/>
      <c r="I46" s="757"/>
      <c r="J46" s="757"/>
      <c r="K46" s="758"/>
      <c r="L46" s="758"/>
      <c r="N46" s="1185"/>
      <c r="O46" s="754"/>
      <c r="Q46" s="755"/>
      <c r="AN46" s="609" t="str">
        <f t="shared" si="8"/>
        <v/>
      </c>
      <c r="AQ46" s="609"/>
    </row>
    <row r="47" spans="1:43" ht="15.5" x14ac:dyDescent="0.35">
      <c r="A47" t="s">
        <v>1140</v>
      </c>
      <c r="B47" s="751">
        <v>137</v>
      </c>
      <c r="C47" s="752" t="s">
        <v>1141</v>
      </c>
      <c r="D47" s="756"/>
      <c r="E47" s="1222"/>
      <c r="F47" s="1222"/>
      <c r="G47" s="1223">
        <f>SUM(E47:F47)</f>
        <v>0</v>
      </c>
      <c r="H47" s="1271"/>
      <c r="I47" s="1222"/>
      <c r="J47" s="1222"/>
      <c r="K47" s="1223">
        <f>SUM(I47:J47)</f>
        <v>0</v>
      </c>
      <c r="L47" s="1223">
        <f>G47-K47</f>
        <v>0</v>
      </c>
      <c r="N47" s="1185" t="str">
        <f>IF(ISERROR(O47),"",IF((O47="Error"),"add explanation",IF((O47="Warning"),"add explanation","")))</f>
        <v/>
      </c>
      <c r="O47" s="754" t="str">
        <f t="shared" si="0"/>
        <v/>
      </c>
      <c r="Q47" s="755" t="str">
        <f t="shared" si="1"/>
        <v/>
      </c>
      <c r="AD47" s="609">
        <f>VLOOKUP("RO5"&amp;$B47,data_val_parameters,8,0)/100</f>
        <v>0.35</v>
      </c>
      <c r="AE47" s="609">
        <f>VLOOKUP("RO5"&amp;$B47,data_val_parameters,7,0)</f>
        <v>4000</v>
      </c>
      <c r="AF47" s="609" t="e">
        <f>VLOOKUP(LA_code,data_prev_year,MATCH("RO5"&amp;$B47&amp;"7",data_prev_year_headers,0),0)</f>
        <v>#N/A</v>
      </c>
      <c r="AG47" s="609" t="e">
        <f t="shared" ref="AG47" si="12">AF47+AE47</f>
        <v>#N/A</v>
      </c>
      <c r="AH47" s="609" t="e">
        <f t="shared" ref="AH47" si="13">AF47-AE47</f>
        <v>#N/A</v>
      </c>
      <c r="AI47" s="609" t="e">
        <f t="shared" ref="AI47" si="14">AF47+(AF47*AD47)</f>
        <v>#N/A</v>
      </c>
      <c r="AJ47" s="609" t="e">
        <f t="shared" ref="AJ47" si="15">AF47-(AF47*AD47)</f>
        <v>#N/A</v>
      </c>
      <c r="AK47" s="609" t="e">
        <f t="shared" ref="AK47" si="16">IF(OR(L47&lt;AH47,L47&gt;AG47),"Warning","")</f>
        <v>#N/A</v>
      </c>
      <c r="AL47" s="609" t="e">
        <f t="shared" ref="AL47" si="17">IF(OR(L47&gt;(AI47),L47&lt;(AJ47)),"Warning","")</f>
        <v>#N/A</v>
      </c>
      <c r="AM47" s="609" t="str">
        <f t="shared" ref="AM47" si="18">IF(OR(L47=0),"",IF(AND(AK47="Warning",AL47="Warning"),"Warning",""))</f>
        <v/>
      </c>
      <c r="AN47" s="609" t="str">
        <f t="shared" si="8"/>
        <v/>
      </c>
      <c r="AQ47" s="609"/>
    </row>
    <row r="48" spans="1:43" ht="15.5" x14ac:dyDescent="0.35">
      <c r="B48" s="797"/>
      <c r="C48" s="752"/>
      <c r="D48" s="756"/>
      <c r="E48" s="757"/>
      <c r="F48" s="757"/>
      <c r="G48" s="758"/>
      <c r="H48" s="757"/>
      <c r="I48" s="757"/>
      <c r="J48" s="757"/>
      <c r="K48" s="758"/>
      <c r="L48" s="758"/>
      <c r="N48" s="1185"/>
      <c r="O48" s="754"/>
      <c r="Q48" s="755"/>
      <c r="AN48" s="609" t="str">
        <f t="shared" si="8"/>
        <v/>
      </c>
      <c r="AQ48" s="609"/>
    </row>
    <row r="49" spans="1:43" ht="15.5" x14ac:dyDescent="0.35">
      <c r="A49" t="s">
        <v>1142</v>
      </c>
      <c r="B49" s="751">
        <v>140</v>
      </c>
      <c r="C49" s="752" t="s">
        <v>1143</v>
      </c>
      <c r="D49" s="756"/>
      <c r="E49" s="1222"/>
      <c r="F49" s="1222"/>
      <c r="G49" s="1223">
        <f>SUM(E49:F49)</f>
        <v>0</v>
      </c>
      <c r="H49" s="1271"/>
      <c r="I49" s="1222"/>
      <c r="J49" s="1222"/>
      <c r="K49" s="1223">
        <f>SUM(I49:J49)</f>
        <v>0</v>
      </c>
      <c r="L49" s="1223">
        <f>G49-K49</f>
        <v>0</v>
      </c>
      <c r="N49" s="1185" t="str">
        <f>IF(ISERROR(O49),"",IF((O49="Error"),"add explanation",IF((O49="Warning"),"add explanation","")))</f>
        <v/>
      </c>
      <c r="O49" s="754" t="str">
        <f t="shared" si="0"/>
        <v/>
      </c>
      <c r="Q49" s="755" t="str">
        <f t="shared" si="1"/>
        <v/>
      </c>
      <c r="AD49" s="609">
        <f>VLOOKUP("RO5"&amp;$B49,data_val_parameters,8,0)/100</f>
        <v>0.3</v>
      </c>
      <c r="AE49" s="609">
        <f>VLOOKUP("RO5"&amp;$B49,data_val_parameters,7,0)</f>
        <v>3000</v>
      </c>
      <c r="AF49" s="609" t="e">
        <f>VLOOKUP(LA_code,data_prev_year,MATCH("RO5"&amp;$B49&amp;"7",data_prev_year_headers,0),0)</f>
        <v>#N/A</v>
      </c>
      <c r="AG49" s="609" t="e">
        <f t="shared" si="2"/>
        <v>#N/A</v>
      </c>
      <c r="AH49" s="609" t="e">
        <f t="shared" si="3"/>
        <v>#N/A</v>
      </c>
      <c r="AI49" s="609" t="e">
        <f t="shared" si="4"/>
        <v>#N/A</v>
      </c>
      <c r="AJ49" s="609" t="e">
        <f t="shared" si="5"/>
        <v>#N/A</v>
      </c>
      <c r="AK49" s="609" t="e">
        <f t="shared" si="6"/>
        <v>#N/A</v>
      </c>
      <c r="AL49" s="609" t="e">
        <f t="shared" si="7"/>
        <v>#N/A</v>
      </c>
      <c r="AM49" s="609" t="str">
        <f>IF(OR(L49=0),"",IF(AND(AK49="Warning",AL49="Warning"),"Warning",""))</f>
        <v/>
      </c>
      <c r="AN49" s="609" t="str">
        <f t="shared" si="8"/>
        <v/>
      </c>
      <c r="AQ49" s="609"/>
    </row>
    <row r="50" spans="1:43" ht="15.5" x14ac:dyDescent="0.35">
      <c r="B50" s="797" t="s">
        <v>253</v>
      </c>
      <c r="C50" s="752" t="s">
        <v>253</v>
      </c>
      <c r="D50" s="756"/>
      <c r="E50" s="757"/>
      <c r="F50" s="757"/>
      <c r="G50" s="758"/>
      <c r="H50" s="757"/>
      <c r="I50" s="757"/>
      <c r="J50" s="757"/>
      <c r="K50" s="758"/>
      <c r="L50" s="758"/>
      <c r="N50" s="1185"/>
      <c r="O50" s="754"/>
      <c r="Q50" s="755"/>
      <c r="AQ50" s="609"/>
    </row>
    <row r="51" spans="1:43" ht="15.5" x14ac:dyDescent="0.35">
      <c r="A51" t="s">
        <v>1144</v>
      </c>
      <c r="B51" s="751">
        <v>150</v>
      </c>
      <c r="C51" s="752" t="s">
        <v>1145</v>
      </c>
      <c r="D51" s="756"/>
      <c r="E51" s="1222"/>
      <c r="F51" s="1222"/>
      <c r="G51" s="1223">
        <f>SUM(E51:F51)</f>
        <v>0</v>
      </c>
      <c r="H51" s="1271"/>
      <c r="I51" s="1222"/>
      <c r="J51" s="1222"/>
      <c r="K51" s="1223">
        <f>SUM(I51:J51)</f>
        <v>0</v>
      </c>
      <c r="L51" s="1223">
        <f>G51-K51</f>
        <v>0</v>
      </c>
      <c r="N51" s="1185" t="str">
        <f>IF(ISERROR(O51),"",IF((O51="Error"),"add explanation",IF((O51="Warning"),"add explanation","")))</f>
        <v/>
      </c>
      <c r="O51" s="754" t="e">
        <f>IF(OR((K51&lt;&gt;(I51+J51)),(G51&lt;&gt;(E51+F51)),(L51&lt;&gt;(G51-K51))),"Error",IF(OR(AM51="Warning",AN51="Warning"),"Warning",""))</f>
        <v>#N/A</v>
      </c>
      <c r="Q51" s="755" t="e">
        <f>IF($O51="Error","A total column for "&amp;($C51)&amp;" does not match the sum of the components, please correct",IF(AN51="Warning","Non zero entry expected for your authority",IF($O51="Warning","This year's figure is over "&amp;AE51/1000&amp;" million and "&amp;(AD51*100)&amp;"% different to "&amp;TEXT(AF51,"#,###")&amp;" last year, please explain","")))</f>
        <v>#N/A</v>
      </c>
      <c r="AD51" s="609">
        <f>VLOOKUP("RO5"&amp;$B51,data_val_parameters,8,0)/100</f>
        <v>0.15</v>
      </c>
      <c r="AE51" s="609">
        <f>VLOOKUP("RO5"&amp;$B51,data_val_parameters,7,0)</f>
        <v>3000</v>
      </c>
      <c r="AF51" s="609" t="e">
        <f>VLOOKUP(LA_code,data_prev_year,MATCH("RO5"&amp;$B51&amp;"7",data_prev_year_headers,0),0)</f>
        <v>#N/A</v>
      </c>
      <c r="AG51" s="609" t="e">
        <f t="shared" si="2"/>
        <v>#N/A</v>
      </c>
      <c r="AH51" s="609" t="e">
        <f t="shared" si="3"/>
        <v>#N/A</v>
      </c>
      <c r="AI51" s="636" t="e">
        <f t="shared" si="4"/>
        <v>#N/A</v>
      </c>
      <c r="AJ51" s="636" t="e">
        <f t="shared" si="5"/>
        <v>#N/A</v>
      </c>
      <c r="AK51" s="609" t="e">
        <f t="shared" si="6"/>
        <v>#N/A</v>
      </c>
      <c r="AL51" s="609" t="e">
        <f t="shared" si="7"/>
        <v>#N/A</v>
      </c>
      <c r="AM51" s="609" t="str">
        <f>IF(OR(L51=0),"",IF(AND(AK51="Warning",AL51="Warning"),"Warning",""))</f>
        <v/>
      </c>
      <c r="AN51" s="609" t="e">
        <f>IF(AND(L51=0,AO51=1),"Warning","")</f>
        <v>#N/A</v>
      </c>
      <c r="AO51" s="609" t="e">
        <f>VLOOKUP(LA_code,'LA List'!C3:M416,11,0)</f>
        <v>#N/A</v>
      </c>
      <c r="AQ51" s="609"/>
    </row>
    <row r="52" spans="1:43" ht="15.5" x14ac:dyDescent="0.35">
      <c r="B52" s="797" t="s">
        <v>253</v>
      </c>
      <c r="C52" s="752" t="s">
        <v>253</v>
      </c>
      <c r="D52" s="756"/>
      <c r="E52" s="757"/>
      <c r="F52" s="757"/>
      <c r="G52" s="758"/>
      <c r="H52" s="758"/>
      <c r="I52" s="757"/>
      <c r="J52" s="757"/>
      <c r="K52" s="758"/>
      <c r="L52" s="758"/>
      <c r="N52" s="1186"/>
      <c r="O52" s="1122"/>
      <c r="AQ52" s="609"/>
    </row>
    <row r="53" spans="1:43" ht="15.5" x14ac:dyDescent="0.35">
      <c r="A53" t="s">
        <v>1146</v>
      </c>
      <c r="B53" s="768">
        <v>190</v>
      </c>
      <c r="C53" s="764" t="s">
        <v>1147</v>
      </c>
      <c r="D53" s="756"/>
      <c r="E53" s="1223">
        <f t="shared" ref="E53:L53" si="19">SUM(E33:E37,E40:E43,E45,E47,E49,E51)</f>
        <v>0</v>
      </c>
      <c r="F53" s="1419">
        <f t="shared" si="19"/>
        <v>0</v>
      </c>
      <c r="G53" s="1223">
        <f t="shared" si="19"/>
        <v>0</v>
      </c>
      <c r="H53" s="1420">
        <f t="shared" si="19"/>
        <v>0</v>
      </c>
      <c r="I53" s="1223">
        <f t="shared" si="19"/>
        <v>0</v>
      </c>
      <c r="J53" s="1223">
        <f t="shared" si="19"/>
        <v>0</v>
      </c>
      <c r="K53" s="1290">
        <f t="shared" si="19"/>
        <v>0</v>
      </c>
      <c r="L53" s="1420">
        <f t="shared" si="19"/>
        <v>0</v>
      </c>
      <c r="M53" s="690"/>
      <c r="N53" s="1185" t="str">
        <f>IF(ISERROR(O53),"",IF((O53="Error"),"add explanation",IF((O53="Warning"),"add explanation","")))</f>
        <v/>
      </c>
      <c r="O53" s="754" t="str">
        <f t="shared" ref="O53:O104" si="20">IF(OR((K53&lt;&gt;(I53+J53)),(G53&lt;&gt;(E53+F53)),(L53&lt;&gt;(G53-K53))),"Error",IF(AM53="Warning","Warning",""))</f>
        <v/>
      </c>
      <c r="Q53" s="755" t="str">
        <f>IF($O53="Error","A total column for "&amp;($C53)&amp;" does not match the sum of the components, please correct",IF($O53="Warning","This year's figure is over "&amp;AE53/1000&amp;" million and "&amp;(AD53*100)&amp;"% different to "&amp;TEXT(AF53,"#,###")&amp;" last year, please explain",""))</f>
        <v/>
      </c>
      <c r="AD53" s="609">
        <f>VLOOKUP("RO5"&amp;$B53,data_val_parameters,8,0)/100</f>
        <v>0.35</v>
      </c>
      <c r="AQ53" s="609"/>
    </row>
    <row r="54" spans="1:43" ht="42" x14ac:dyDescent="0.35">
      <c r="C54" s="756"/>
      <c r="D54" s="756"/>
      <c r="E54" s="757"/>
      <c r="F54" s="1421"/>
      <c r="G54" s="758"/>
      <c r="H54" s="1212" t="s">
        <v>742</v>
      </c>
      <c r="I54" s="24"/>
      <c r="J54" s="24"/>
      <c r="K54" s="82"/>
      <c r="L54" s="1212" t="s">
        <v>743</v>
      </c>
      <c r="N54" s="320"/>
      <c r="O54" s="317"/>
      <c r="AQ54" s="609"/>
    </row>
    <row r="55" spans="1:43" ht="46.5" x14ac:dyDescent="0.35">
      <c r="C55" s="756"/>
      <c r="D55" s="756"/>
      <c r="E55" s="757"/>
      <c r="F55" s="770" t="s">
        <v>744</v>
      </c>
      <c r="G55" s="758"/>
      <c r="H55" s="1199" t="str" cm="1">
        <f t="array" ref="H55">IF(SUMPRODUCT(--(H33:H53 &gt; G33:G53)),"Error","")</f>
        <v/>
      </c>
      <c r="I55" s="24" t="str">
        <f>IF(H55="Error","A figure in the central MSS column is greater than total expenditure for that line","")</f>
        <v/>
      </c>
      <c r="J55" s="757"/>
      <c r="K55" s="758"/>
      <c r="L55" s="769"/>
      <c r="N55" s="320"/>
      <c r="O55" s="317"/>
      <c r="Q55" s="945"/>
      <c r="AQ55" s="609"/>
    </row>
    <row r="56" spans="1:43" ht="15.5" x14ac:dyDescent="0.35">
      <c r="E56" s="757"/>
      <c r="F56" s="771" t="s">
        <v>745</v>
      </c>
      <c r="G56" s="758"/>
      <c r="I56" s="757"/>
      <c r="J56" s="757"/>
      <c r="K56" s="758"/>
      <c r="L56" s="104"/>
      <c r="N56" s="320"/>
      <c r="O56" s="317"/>
      <c r="Q56" s="945"/>
      <c r="AQ56" s="609"/>
    </row>
    <row r="57" spans="1:43" ht="15.5" x14ac:dyDescent="0.35">
      <c r="A57" t="s">
        <v>1148</v>
      </c>
      <c r="B57" s="1030">
        <v>1191</v>
      </c>
      <c r="C57" s="1030" t="s">
        <v>1149</v>
      </c>
      <c r="F57" s="1280"/>
      <c r="G57" s="758"/>
      <c r="I57" s="757"/>
      <c r="J57" s="757"/>
      <c r="K57" s="758"/>
      <c r="L57" s="104"/>
      <c r="N57" s="320"/>
      <c r="O57" s="317"/>
      <c r="Q57" s="755"/>
      <c r="AQ57" s="609"/>
    </row>
    <row r="58" spans="1:43" ht="15.5" x14ac:dyDescent="0.35">
      <c r="B58" s="1030"/>
      <c r="C58" s="1030"/>
      <c r="F58" s="1200"/>
      <c r="G58" s="758"/>
      <c r="H58" s="1206"/>
      <c r="I58" s="757"/>
      <c r="J58" s="443"/>
      <c r="K58" s="758"/>
      <c r="L58" s="104"/>
      <c r="N58" s="320"/>
      <c r="O58" s="317"/>
      <c r="Q58" s="755"/>
      <c r="AQ58" s="609"/>
    </row>
    <row r="59" spans="1:43" ht="15.5" x14ac:dyDescent="0.35">
      <c r="B59" s="1030"/>
      <c r="C59" s="1030"/>
      <c r="F59" s="1200"/>
      <c r="G59" s="758"/>
      <c r="H59" s="1206"/>
      <c r="I59" s="757"/>
      <c r="J59" s="271"/>
      <c r="K59" s="758"/>
      <c r="L59" s="104"/>
      <c r="N59" s="320"/>
      <c r="O59" s="317"/>
      <c r="Q59" s="755"/>
      <c r="AQ59" s="609"/>
    </row>
    <row r="60" spans="1:43" ht="15.5" x14ac:dyDescent="0.35">
      <c r="A60" t="s">
        <v>1150</v>
      </c>
      <c r="B60" s="1030">
        <v>1192</v>
      </c>
      <c r="C60" s="1030" t="s">
        <v>1151</v>
      </c>
      <c r="F60" s="1200"/>
      <c r="G60" s="758"/>
      <c r="H60" s="1206"/>
      <c r="I60" s="757"/>
      <c r="J60" s="1270"/>
      <c r="K60" s="1213" t="s">
        <v>750</v>
      </c>
      <c r="L60" s="104"/>
      <c r="N60" s="320"/>
      <c r="O60" s="317"/>
      <c r="Q60" s="755"/>
      <c r="AQ60" s="609"/>
    </row>
    <row r="61" spans="1:43" ht="15.5" x14ac:dyDescent="0.35">
      <c r="B61" s="798" t="s">
        <v>253</v>
      </c>
      <c r="C61" s="752" t="s">
        <v>253</v>
      </c>
      <c r="D61" s="756"/>
      <c r="E61" s="757"/>
      <c r="F61" s="757"/>
      <c r="G61" s="758"/>
      <c r="H61" s="758"/>
      <c r="I61" s="757"/>
      <c r="J61" s="757"/>
      <c r="K61" s="758"/>
      <c r="L61" s="758"/>
      <c r="N61" s="320"/>
      <c r="O61" s="754"/>
      <c r="Q61" s="755"/>
      <c r="AQ61" s="609"/>
    </row>
    <row r="62" spans="1:43" ht="18" x14ac:dyDescent="0.4">
      <c r="B62" s="793" t="s">
        <v>1152</v>
      </c>
      <c r="C62" s="752"/>
      <c r="D62" s="756"/>
      <c r="E62" s="757"/>
      <c r="F62" s="757"/>
      <c r="G62" s="758"/>
      <c r="J62" s="757"/>
      <c r="K62" s="758"/>
      <c r="L62" s="758"/>
      <c r="N62" s="320"/>
      <c r="O62" s="754"/>
      <c r="Q62" s="755"/>
      <c r="AQ62" s="609"/>
    </row>
    <row r="63" spans="1:43" ht="20" x14ac:dyDescent="0.4">
      <c r="B63" s="796" t="s">
        <v>253</v>
      </c>
      <c r="C63" s="752" t="s">
        <v>253</v>
      </c>
      <c r="D63" s="756"/>
      <c r="E63" s="757"/>
      <c r="F63" s="757"/>
      <c r="G63" s="758"/>
      <c r="H63" s="758"/>
      <c r="I63" s="757"/>
      <c r="J63" s="757"/>
      <c r="K63" s="758"/>
      <c r="L63" s="758"/>
      <c r="N63" s="320"/>
      <c r="O63" s="754"/>
      <c r="Q63" s="755"/>
      <c r="AQ63" s="609"/>
    </row>
    <row r="64" spans="1:43" ht="15.5" x14ac:dyDescent="0.35">
      <c r="A64" t="s">
        <v>1153</v>
      </c>
      <c r="B64" s="751">
        <v>210</v>
      </c>
      <c r="C64" s="752" t="s">
        <v>1154</v>
      </c>
      <c r="D64" s="756"/>
      <c r="E64" s="1222"/>
      <c r="F64" s="1222"/>
      <c r="G64" s="1223">
        <f>SUM(E64:F64)</f>
        <v>0</v>
      </c>
      <c r="H64" s="1271"/>
      <c r="I64" s="1222"/>
      <c r="J64" s="1222"/>
      <c r="K64" s="1223">
        <f>SUM(I64:J64)</f>
        <v>0</v>
      </c>
      <c r="L64" s="1223">
        <f>G64-K64</f>
        <v>0</v>
      </c>
      <c r="N64" s="1293" t="str">
        <f>IF(ISERROR(O64),"",IF((O64="Error"),"add explanation",IF((O64="Warning"),"add explanation","")))</f>
        <v/>
      </c>
      <c r="O64" s="754" t="str">
        <f t="shared" ref="O64" si="21">IF(OR((K64&lt;&gt;(I64+J64)),(G64&lt;&gt;(E64+F64)),(L64&lt;&gt;(G64-K64)),AN64="Error"),"Error",IF(AM64="Warning","Warning",""))</f>
        <v/>
      </c>
      <c r="Q64" s="755" t="str">
        <f t="shared" ref="Q64" si="22">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VLOOKUP("RO5"&amp;$B64,data_val_parameters,8,0)/100</f>
        <v>0.25</v>
      </c>
      <c r="AE64" s="609">
        <f>VLOOKUP("RO5"&amp;$B64,data_val_parameters,7,0)</f>
        <v>2000</v>
      </c>
      <c r="AF64" s="609" t="e">
        <f>VLOOKUP(LA_code,data_prev_year,MATCH("RO5"&amp;$B64&amp;"7",data_prev_year_headers,0),0)</f>
        <v>#N/A</v>
      </c>
      <c r="AG64" s="609" t="e">
        <f t="shared" si="2"/>
        <v>#N/A</v>
      </c>
      <c r="AH64" s="609" t="e">
        <f t="shared" si="3"/>
        <v>#N/A</v>
      </c>
      <c r="AI64" s="609" t="e">
        <f t="shared" si="4"/>
        <v>#N/A</v>
      </c>
      <c r="AJ64" s="609" t="e">
        <f t="shared" si="5"/>
        <v>#N/A</v>
      </c>
      <c r="AK64" s="609" t="e">
        <f t="shared" si="6"/>
        <v>#N/A</v>
      </c>
      <c r="AL64" s="609" t="e">
        <f t="shared" si="7"/>
        <v>#N/A</v>
      </c>
      <c r="AM64" s="609" t="str">
        <f>IF(OR(L64=0),"",IF(AND(AK64="Warning",AL64="Warning"),"Warning",""))</f>
        <v/>
      </c>
      <c r="AN64" s="609" t="str">
        <f t="shared" ref="AN64" si="23">IF(OR(I64&lt;0,J64&lt;0),"Error","")</f>
        <v/>
      </c>
      <c r="AQ64" s="609"/>
    </row>
    <row r="65" spans="1:43" ht="15.5" x14ac:dyDescent="0.35">
      <c r="B65" s="797" t="s">
        <v>253</v>
      </c>
      <c r="C65" s="752" t="s">
        <v>253</v>
      </c>
      <c r="D65" s="756"/>
      <c r="E65" s="757"/>
      <c r="F65" s="757"/>
      <c r="G65" s="758"/>
      <c r="H65" s="757"/>
      <c r="I65" s="757"/>
      <c r="J65" s="757"/>
      <c r="K65" s="758"/>
      <c r="L65" s="758"/>
      <c r="O65" s="754"/>
      <c r="Q65" s="755"/>
      <c r="AQ65" s="609"/>
    </row>
    <row r="66" spans="1:43" ht="15.5" x14ac:dyDescent="0.35">
      <c r="B66" s="794" t="s">
        <v>1155</v>
      </c>
      <c r="C66" s="752"/>
      <c r="D66" s="756"/>
      <c r="E66" s="757"/>
      <c r="F66" s="757"/>
      <c r="G66" s="758"/>
      <c r="H66" s="757"/>
      <c r="I66" s="757"/>
      <c r="J66" s="757"/>
      <c r="K66" s="758"/>
      <c r="L66" s="758"/>
      <c r="O66" s="754"/>
      <c r="Q66" s="755"/>
      <c r="AQ66" s="609"/>
    </row>
    <row r="67" spans="1:43" ht="15.5" x14ac:dyDescent="0.35">
      <c r="A67" t="s">
        <v>1156</v>
      </c>
      <c r="B67" s="799">
        <v>219</v>
      </c>
      <c r="C67" s="752" t="s">
        <v>1157</v>
      </c>
      <c r="D67" s="756"/>
      <c r="E67" s="1222"/>
      <c r="F67" s="1222"/>
      <c r="G67" s="1223">
        <f t="shared" ref="G67:G78" si="24">SUM(E67:F67)</f>
        <v>0</v>
      </c>
      <c r="H67" s="1271"/>
      <c r="I67" s="1222"/>
      <c r="J67" s="1222"/>
      <c r="K67" s="1223">
        <f t="shared" ref="K67:K78" si="25">SUM(I67:J67)</f>
        <v>0</v>
      </c>
      <c r="L67" s="1223">
        <f t="shared" ref="L67:L78" si="26">G67-K67</f>
        <v>0</v>
      </c>
      <c r="N67" s="1293" t="str">
        <f t="shared" ref="N67:N78" si="27">IF(ISERROR(O67),"",IF((O67="Error"),"add explanation",IF((O67="Warning"),"add explanation","")))</f>
        <v/>
      </c>
      <c r="O67" s="754" t="e">
        <f>IF(OR((K67&lt;&gt;(I67+J67)),(G67&lt;&gt;(E67+F67)),(L67&lt;&gt;(G67-K67))),"Error",IF(OR(AM67="Warning",AN67="Warning"),"Warning",""))</f>
        <v>#N/A</v>
      </c>
      <c r="Q67" s="755" t="e">
        <f>IF($O67="Error","A total column for "&amp;($C67)&amp;" does not match the sum of the components, please correct",IF(AN67="Warning","Non zero entry expected for your authority",IF($O67="Warning","This year's figure is over "&amp;AE67/1000&amp;" million and "&amp;(AD67*100)&amp;"% different to "&amp;TEXT(AF67,"#,###")&amp;" last year, please explain","")))</f>
        <v>#N/A</v>
      </c>
      <c r="AD67" s="609">
        <f t="shared" ref="AD67:AD78" si="28">VLOOKUP("RO5"&amp;$B67,data_val_parameters,8,0)/100</f>
        <v>0.3</v>
      </c>
      <c r="AE67" s="609">
        <f t="shared" ref="AE67:AE78" si="29">VLOOKUP("RO5"&amp;$B67,data_val_parameters,7,0)</f>
        <v>2000</v>
      </c>
      <c r="AF67" s="609" t="e">
        <f t="shared" ref="AF67:AF78" si="30">VLOOKUP(LA_code,data_prev_year,MATCH("RO5"&amp;$B67&amp;"7",data_prev_year_headers,0),0)</f>
        <v>#N/A</v>
      </c>
      <c r="AG67" s="609" t="e">
        <f t="shared" si="2"/>
        <v>#N/A</v>
      </c>
      <c r="AH67" s="609" t="e">
        <f t="shared" si="3"/>
        <v>#N/A</v>
      </c>
      <c r="AI67" s="636" t="e">
        <f t="shared" si="4"/>
        <v>#N/A</v>
      </c>
      <c r="AJ67" s="636" t="e">
        <f t="shared" si="5"/>
        <v>#N/A</v>
      </c>
      <c r="AK67" s="609" t="e">
        <f t="shared" si="6"/>
        <v>#N/A</v>
      </c>
      <c r="AL67" s="609" t="e">
        <f t="shared" si="7"/>
        <v>#N/A</v>
      </c>
      <c r="AM67" s="609" t="str">
        <f t="shared" ref="AM67:AM78" si="31">IF(OR(L67=0),"",IF(AND(AK67="Warning",AL67="Warning"),"Warning",""))</f>
        <v/>
      </c>
      <c r="AN67" s="609" t="e">
        <f>IF(AND(L67=0,AO67=1),"Warning","")</f>
        <v>#N/A</v>
      </c>
      <c r="AO67" s="609" t="e">
        <f>VLOOKUP(LA_code,'LA List'!C3:J416,8,0)</f>
        <v>#N/A</v>
      </c>
      <c r="AQ67" s="609"/>
    </row>
    <row r="68" spans="1:43" ht="15.5" x14ac:dyDescent="0.35">
      <c r="A68" t="s">
        <v>1158</v>
      </c>
      <c r="B68" s="799">
        <v>220</v>
      </c>
      <c r="C68" s="752" t="s">
        <v>1159</v>
      </c>
      <c r="D68" s="756"/>
      <c r="E68" s="1222"/>
      <c r="F68" s="1222"/>
      <c r="G68" s="1223">
        <f t="shared" si="24"/>
        <v>0</v>
      </c>
      <c r="H68" s="1271"/>
      <c r="I68" s="1222"/>
      <c r="J68" s="1222"/>
      <c r="K68" s="1223">
        <f t="shared" si="25"/>
        <v>0</v>
      </c>
      <c r="L68" s="1223">
        <f t="shared" si="26"/>
        <v>0</v>
      </c>
      <c r="N68" s="1293" t="str">
        <f t="shared" si="27"/>
        <v/>
      </c>
      <c r="O68" s="754" t="str">
        <f t="shared" ref="O68:O78" si="32">IF(OR((K68&lt;&gt;(I68+J68)),(G68&lt;&gt;(E68+F68)),(L68&lt;&gt;(G68-K68)),AN68="Error"),"Error",IF(AM68="Warning","Warning",""))</f>
        <v/>
      </c>
      <c r="Q68" s="755" t="str">
        <f t="shared" ref="Q68:Q78" si="33">IF(AND($O68="Error",$AN68="Error"),"Sales, Fees &amp; Charges or Other Income figure is negative",IF($O68="Error","A total column for "&amp;($C68)&amp;" does not match the sum of the components, please correct",IF($O68="Warning","This year's figure is over "&amp;AE68/1000&amp;" million and "&amp;(AD68*100)&amp;"% different to "&amp;TEXT(AF68,"#,###")&amp;" last year, please explain","")))</f>
        <v/>
      </c>
      <c r="AD68" s="609">
        <f t="shared" si="28"/>
        <v>0.3</v>
      </c>
      <c r="AE68" s="609">
        <f t="shared" si="29"/>
        <v>2000</v>
      </c>
      <c r="AF68" s="609" t="e">
        <f t="shared" si="30"/>
        <v>#N/A</v>
      </c>
      <c r="AG68" s="609" t="e">
        <f t="shared" si="2"/>
        <v>#N/A</v>
      </c>
      <c r="AH68" s="609" t="e">
        <f t="shared" si="3"/>
        <v>#N/A</v>
      </c>
      <c r="AI68" s="609" t="e">
        <f t="shared" si="4"/>
        <v>#N/A</v>
      </c>
      <c r="AJ68" s="609" t="e">
        <f t="shared" si="5"/>
        <v>#N/A</v>
      </c>
      <c r="AK68" s="609" t="e">
        <f t="shared" si="6"/>
        <v>#N/A</v>
      </c>
      <c r="AL68" s="609" t="e">
        <f t="shared" si="7"/>
        <v>#N/A</v>
      </c>
      <c r="AM68" s="609" t="str">
        <f t="shared" si="31"/>
        <v/>
      </c>
      <c r="AN68" s="609" t="str">
        <f t="shared" ref="AN68:AN78" si="34">IF(OR(I68&lt;0,J68&lt;0),"Error","")</f>
        <v/>
      </c>
      <c r="AQ68" s="609"/>
    </row>
    <row r="69" spans="1:43" ht="15.5" x14ac:dyDescent="0.35">
      <c r="A69" t="s">
        <v>1160</v>
      </c>
      <c r="B69" s="760">
        <v>221</v>
      </c>
      <c r="C69" s="752" t="s">
        <v>1161</v>
      </c>
      <c r="D69" s="756"/>
      <c r="E69" s="1222"/>
      <c r="F69" s="1222"/>
      <c r="G69" s="1223">
        <f t="shared" si="24"/>
        <v>0</v>
      </c>
      <c r="H69" s="1271"/>
      <c r="I69" s="1222"/>
      <c r="J69" s="1222"/>
      <c r="K69" s="1223">
        <f t="shared" si="25"/>
        <v>0</v>
      </c>
      <c r="L69" s="1223">
        <f t="shared" si="26"/>
        <v>0</v>
      </c>
      <c r="N69" s="1293" t="str">
        <f t="shared" si="27"/>
        <v/>
      </c>
      <c r="O69" s="754" t="str">
        <f t="shared" si="32"/>
        <v/>
      </c>
      <c r="Q69" s="755" t="str">
        <f t="shared" si="33"/>
        <v/>
      </c>
      <c r="AD69" s="609">
        <f t="shared" si="28"/>
        <v>0.3</v>
      </c>
      <c r="AE69" s="609">
        <f t="shared" si="29"/>
        <v>2000</v>
      </c>
      <c r="AF69" s="609" t="e">
        <f t="shared" si="30"/>
        <v>#N/A</v>
      </c>
      <c r="AG69" s="609" t="e">
        <f t="shared" si="2"/>
        <v>#N/A</v>
      </c>
      <c r="AH69" s="609" t="e">
        <f t="shared" si="3"/>
        <v>#N/A</v>
      </c>
      <c r="AI69" s="609" t="e">
        <f t="shared" si="4"/>
        <v>#N/A</v>
      </c>
      <c r="AJ69" s="609" t="e">
        <f t="shared" si="5"/>
        <v>#N/A</v>
      </c>
      <c r="AK69" s="609" t="e">
        <f t="shared" si="6"/>
        <v>#N/A</v>
      </c>
      <c r="AL69" s="609" t="e">
        <f t="shared" si="7"/>
        <v>#N/A</v>
      </c>
      <c r="AM69" s="609" t="str">
        <f t="shared" si="31"/>
        <v/>
      </c>
      <c r="AN69" s="609" t="str">
        <f t="shared" si="34"/>
        <v/>
      </c>
      <c r="AQ69" s="609"/>
    </row>
    <row r="70" spans="1:43" ht="15.5" x14ac:dyDescent="0.35">
      <c r="A70" t="s">
        <v>1162</v>
      </c>
      <c r="B70" s="763">
        <v>222</v>
      </c>
      <c r="C70" s="752" t="s">
        <v>1163</v>
      </c>
      <c r="D70" s="756"/>
      <c r="E70" s="1222"/>
      <c r="F70" s="1222"/>
      <c r="G70" s="1223">
        <f t="shared" si="24"/>
        <v>0</v>
      </c>
      <c r="H70" s="1271"/>
      <c r="I70" s="1222"/>
      <c r="J70" s="1222"/>
      <c r="K70" s="1223">
        <f t="shared" si="25"/>
        <v>0</v>
      </c>
      <c r="L70" s="1223">
        <f t="shared" si="26"/>
        <v>0</v>
      </c>
      <c r="N70" s="1293" t="str">
        <f t="shared" si="27"/>
        <v/>
      </c>
      <c r="O70" s="754" t="str">
        <f t="shared" si="32"/>
        <v/>
      </c>
      <c r="Q70" s="755" t="str">
        <f t="shared" si="33"/>
        <v/>
      </c>
      <c r="AD70" s="609">
        <f t="shared" si="28"/>
        <v>0.3</v>
      </c>
      <c r="AE70" s="609">
        <f t="shared" si="29"/>
        <v>2000</v>
      </c>
      <c r="AF70" s="609" t="e">
        <f t="shared" si="30"/>
        <v>#N/A</v>
      </c>
      <c r="AG70" s="609" t="e">
        <f t="shared" si="2"/>
        <v>#N/A</v>
      </c>
      <c r="AH70" s="609" t="e">
        <f t="shared" si="3"/>
        <v>#N/A</v>
      </c>
      <c r="AI70" s="609" t="e">
        <f t="shared" si="4"/>
        <v>#N/A</v>
      </c>
      <c r="AJ70" s="609" t="e">
        <f t="shared" si="5"/>
        <v>#N/A</v>
      </c>
      <c r="AK70" s="609" t="e">
        <f t="shared" si="6"/>
        <v>#N/A</v>
      </c>
      <c r="AL70" s="609" t="e">
        <f t="shared" si="7"/>
        <v>#N/A</v>
      </c>
      <c r="AM70" s="609" t="str">
        <f t="shared" si="31"/>
        <v/>
      </c>
      <c r="AN70" s="609" t="str">
        <f t="shared" si="34"/>
        <v/>
      </c>
      <c r="AQ70" s="609"/>
    </row>
    <row r="71" spans="1:43" ht="15.5" x14ac:dyDescent="0.35">
      <c r="A71" t="s">
        <v>1164</v>
      </c>
      <c r="B71" s="763">
        <v>223</v>
      </c>
      <c r="C71" s="752" t="s">
        <v>1165</v>
      </c>
      <c r="D71" s="756"/>
      <c r="E71" s="1222"/>
      <c r="F71" s="1222"/>
      <c r="G71" s="1223">
        <f t="shared" si="24"/>
        <v>0</v>
      </c>
      <c r="H71" s="1271"/>
      <c r="I71" s="1222"/>
      <c r="J71" s="1222"/>
      <c r="K71" s="1223">
        <f t="shared" si="25"/>
        <v>0</v>
      </c>
      <c r="L71" s="1223">
        <f t="shared" si="26"/>
        <v>0</v>
      </c>
      <c r="N71" s="1293" t="str">
        <f t="shared" si="27"/>
        <v/>
      </c>
      <c r="O71" s="754" t="str">
        <f t="shared" si="32"/>
        <v/>
      </c>
      <c r="Q71" s="755" t="str">
        <f t="shared" si="33"/>
        <v/>
      </c>
      <c r="AD71" s="609">
        <f t="shared" si="28"/>
        <v>0.3</v>
      </c>
      <c r="AE71" s="609">
        <f t="shared" si="29"/>
        <v>2000</v>
      </c>
      <c r="AF71" s="609" t="e">
        <f t="shared" si="30"/>
        <v>#N/A</v>
      </c>
      <c r="AG71" s="609" t="e">
        <f t="shared" si="2"/>
        <v>#N/A</v>
      </c>
      <c r="AH71" s="609" t="e">
        <f t="shared" si="3"/>
        <v>#N/A</v>
      </c>
      <c r="AI71" s="609" t="e">
        <f t="shared" si="4"/>
        <v>#N/A</v>
      </c>
      <c r="AJ71" s="609" t="e">
        <f t="shared" si="5"/>
        <v>#N/A</v>
      </c>
      <c r="AK71" s="609" t="e">
        <f t="shared" si="6"/>
        <v>#N/A</v>
      </c>
      <c r="AL71" s="609" t="e">
        <f t="shared" si="7"/>
        <v>#N/A</v>
      </c>
      <c r="AM71" s="609" t="str">
        <f t="shared" si="31"/>
        <v/>
      </c>
      <c r="AN71" s="609" t="str">
        <f t="shared" si="34"/>
        <v/>
      </c>
      <c r="AQ71" s="609"/>
    </row>
    <row r="72" spans="1:43" ht="15.5" x14ac:dyDescent="0.35">
      <c r="A72" t="s">
        <v>1166</v>
      </c>
      <c r="B72" s="763">
        <v>224</v>
      </c>
      <c r="C72" s="752" t="s">
        <v>1167</v>
      </c>
      <c r="D72" s="756"/>
      <c r="E72" s="1222"/>
      <c r="F72" s="1222"/>
      <c r="G72" s="1223">
        <f t="shared" si="24"/>
        <v>0</v>
      </c>
      <c r="H72" s="1271"/>
      <c r="I72" s="1222"/>
      <c r="J72" s="1222"/>
      <c r="K72" s="1223">
        <f t="shared" si="25"/>
        <v>0</v>
      </c>
      <c r="L72" s="1223">
        <f t="shared" si="26"/>
        <v>0</v>
      </c>
      <c r="N72" s="1293" t="str">
        <f t="shared" si="27"/>
        <v/>
      </c>
      <c r="O72" s="754" t="str">
        <f t="shared" si="32"/>
        <v/>
      </c>
      <c r="Q72" s="755" t="str">
        <f t="shared" si="33"/>
        <v/>
      </c>
      <c r="AD72" s="609">
        <f t="shared" si="28"/>
        <v>0.3</v>
      </c>
      <c r="AE72" s="609">
        <f t="shared" si="29"/>
        <v>2000</v>
      </c>
      <c r="AF72" s="609" t="e">
        <f t="shared" si="30"/>
        <v>#N/A</v>
      </c>
      <c r="AG72" s="609" t="e">
        <f t="shared" si="2"/>
        <v>#N/A</v>
      </c>
      <c r="AH72" s="609" t="e">
        <f t="shared" si="3"/>
        <v>#N/A</v>
      </c>
      <c r="AI72" s="609" t="e">
        <f t="shared" si="4"/>
        <v>#N/A</v>
      </c>
      <c r="AJ72" s="609" t="e">
        <f t="shared" si="5"/>
        <v>#N/A</v>
      </c>
      <c r="AK72" s="609" t="e">
        <f t="shared" si="6"/>
        <v>#N/A</v>
      </c>
      <c r="AL72" s="609" t="e">
        <f t="shared" si="7"/>
        <v>#N/A</v>
      </c>
      <c r="AM72" s="609" t="str">
        <f t="shared" si="31"/>
        <v/>
      </c>
      <c r="AN72" s="609" t="str">
        <f t="shared" si="34"/>
        <v/>
      </c>
      <c r="AQ72" s="609"/>
    </row>
    <row r="73" spans="1:43" ht="15.5" x14ac:dyDescent="0.35">
      <c r="A73" t="s">
        <v>1168</v>
      </c>
      <c r="B73" s="763">
        <v>225</v>
      </c>
      <c r="C73" s="752" t="s">
        <v>1169</v>
      </c>
      <c r="D73" s="756"/>
      <c r="E73" s="1222"/>
      <c r="F73" s="1222"/>
      <c r="G73" s="1223">
        <f t="shared" si="24"/>
        <v>0</v>
      </c>
      <c r="H73" s="1271"/>
      <c r="I73" s="1222"/>
      <c r="J73" s="1222"/>
      <c r="K73" s="1223">
        <f t="shared" si="25"/>
        <v>0</v>
      </c>
      <c r="L73" s="1223">
        <f t="shared" si="26"/>
        <v>0</v>
      </c>
      <c r="N73" s="1293" t="str">
        <f t="shared" si="27"/>
        <v/>
      </c>
      <c r="O73" s="754" t="str">
        <f t="shared" si="32"/>
        <v/>
      </c>
      <c r="Q73" s="755" t="str">
        <f t="shared" si="33"/>
        <v/>
      </c>
      <c r="AD73" s="609">
        <f t="shared" si="28"/>
        <v>0.3</v>
      </c>
      <c r="AE73" s="609">
        <f t="shared" si="29"/>
        <v>2000</v>
      </c>
      <c r="AF73" s="609" t="e">
        <f t="shared" si="30"/>
        <v>#N/A</v>
      </c>
      <c r="AG73" s="609" t="e">
        <f t="shared" si="2"/>
        <v>#N/A</v>
      </c>
      <c r="AH73" s="609" t="e">
        <f t="shared" si="3"/>
        <v>#N/A</v>
      </c>
      <c r="AI73" s="609" t="e">
        <f t="shared" si="4"/>
        <v>#N/A</v>
      </c>
      <c r="AJ73" s="609" t="e">
        <f t="shared" si="5"/>
        <v>#N/A</v>
      </c>
      <c r="AK73" s="609" t="e">
        <f t="shared" si="6"/>
        <v>#N/A</v>
      </c>
      <c r="AL73" s="609" t="e">
        <f t="shared" si="7"/>
        <v>#N/A</v>
      </c>
      <c r="AM73" s="609" t="str">
        <f t="shared" si="31"/>
        <v/>
      </c>
      <c r="AN73" s="609" t="str">
        <f t="shared" si="34"/>
        <v/>
      </c>
      <c r="AQ73" s="609"/>
    </row>
    <row r="74" spans="1:43" ht="15.5" x14ac:dyDescent="0.35">
      <c r="A74" t="s">
        <v>1170</v>
      </c>
      <c r="B74" s="763">
        <v>226</v>
      </c>
      <c r="C74" s="752" t="s">
        <v>1171</v>
      </c>
      <c r="D74" s="756"/>
      <c r="E74" s="1222"/>
      <c r="F74" s="1222"/>
      <c r="G74" s="1223">
        <f>SUM(E74:F74)</f>
        <v>0</v>
      </c>
      <c r="H74" s="1271"/>
      <c r="I74" s="1222"/>
      <c r="J74" s="1222"/>
      <c r="K74" s="1223">
        <f>SUM(I74:J74)</f>
        <v>0</v>
      </c>
      <c r="L74" s="1223">
        <f>G74-K74</f>
        <v>0</v>
      </c>
      <c r="N74" s="1293" t="str">
        <f t="shared" si="27"/>
        <v/>
      </c>
      <c r="O74" s="754" t="str">
        <f t="shared" si="32"/>
        <v/>
      </c>
      <c r="Q74" s="755" t="str">
        <f t="shared" si="33"/>
        <v/>
      </c>
      <c r="AD74" s="609">
        <f t="shared" si="28"/>
        <v>0.3</v>
      </c>
      <c r="AE74" s="609">
        <f t="shared" si="29"/>
        <v>2000</v>
      </c>
      <c r="AF74" s="609" t="e">
        <f t="shared" si="30"/>
        <v>#N/A</v>
      </c>
      <c r="AG74" s="609" t="e">
        <f t="shared" si="2"/>
        <v>#N/A</v>
      </c>
      <c r="AH74" s="609" t="e">
        <f t="shared" si="3"/>
        <v>#N/A</v>
      </c>
      <c r="AI74" s="609" t="e">
        <f t="shared" si="4"/>
        <v>#N/A</v>
      </c>
      <c r="AJ74" s="609" t="e">
        <f t="shared" si="5"/>
        <v>#N/A</v>
      </c>
      <c r="AK74" s="609" t="e">
        <f t="shared" si="6"/>
        <v>#N/A</v>
      </c>
      <c r="AL74" s="609" t="e">
        <f t="shared" si="7"/>
        <v>#N/A</v>
      </c>
      <c r="AM74" s="609" t="str">
        <f t="shared" si="31"/>
        <v/>
      </c>
      <c r="AN74" s="609" t="str">
        <f t="shared" si="34"/>
        <v/>
      </c>
      <c r="AQ74" s="609"/>
    </row>
    <row r="75" spans="1:43" ht="15.5" x14ac:dyDescent="0.35">
      <c r="A75" t="s">
        <v>1172</v>
      </c>
      <c r="B75" s="763">
        <v>227</v>
      </c>
      <c r="C75" s="752" t="s">
        <v>1173</v>
      </c>
      <c r="D75" s="756"/>
      <c r="E75" s="1222"/>
      <c r="F75" s="1222"/>
      <c r="G75" s="1223">
        <f t="shared" si="24"/>
        <v>0</v>
      </c>
      <c r="H75" s="1271"/>
      <c r="I75" s="1222"/>
      <c r="J75" s="1222"/>
      <c r="K75" s="1223">
        <f t="shared" si="25"/>
        <v>0</v>
      </c>
      <c r="L75" s="1223">
        <f t="shared" si="26"/>
        <v>0</v>
      </c>
      <c r="N75" s="1293" t="str">
        <f t="shared" si="27"/>
        <v/>
      </c>
      <c r="O75" s="754" t="str">
        <f t="shared" si="32"/>
        <v/>
      </c>
      <c r="Q75" s="755" t="str">
        <f t="shared" si="33"/>
        <v/>
      </c>
      <c r="AD75" s="609">
        <f t="shared" si="28"/>
        <v>0.3</v>
      </c>
      <c r="AE75" s="609">
        <f t="shared" si="29"/>
        <v>2000</v>
      </c>
      <c r="AF75" s="609" t="e">
        <f t="shared" si="30"/>
        <v>#N/A</v>
      </c>
      <c r="AG75" s="609" t="e">
        <f t="shared" si="2"/>
        <v>#N/A</v>
      </c>
      <c r="AH75" s="609" t="e">
        <f t="shared" si="3"/>
        <v>#N/A</v>
      </c>
      <c r="AI75" s="609" t="e">
        <f t="shared" si="4"/>
        <v>#N/A</v>
      </c>
      <c r="AJ75" s="609" t="e">
        <f t="shared" si="5"/>
        <v>#N/A</v>
      </c>
      <c r="AK75" s="609" t="e">
        <f t="shared" si="6"/>
        <v>#N/A</v>
      </c>
      <c r="AL75" s="609" t="e">
        <f t="shared" si="7"/>
        <v>#N/A</v>
      </c>
      <c r="AM75" s="609" t="str">
        <f t="shared" si="31"/>
        <v/>
      </c>
      <c r="AN75" s="609" t="str">
        <f t="shared" si="34"/>
        <v/>
      </c>
      <c r="AQ75" s="609"/>
    </row>
    <row r="76" spans="1:43" ht="15.5" x14ac:dyDescent="0.35">
      <c r="A76" t="s">
        <v>1174</v>
      </c>
      <c r="B76" s="760">
        <v>228</v>
      </c>
      <c r="C76" s="752" t="s">
        <v>1175</v>
      </c>
      <c r="D76" s="756"/>
      <c r="E76" s="1222"/>
      <c r="F76" s="1222"/>
      <c r="G76" s="1223">
        <f t="shared" si="24"/>
        <v>0</v>
      </c>
      <c r="H76" s="1271"/>
      <c r="I76" s="1222"/>
      <c r="J76" s="1222"/>
      <c r="K76" s="1223">
        <f t="shared" si="25"/>
        <v>0</v>
      </c>
      <c r="L76" s="1223">
        <f t="shared" si="26"/>
        <v>0</v>
      </c>
      <c r="N76" s="1293" t="str">
        <f t="shared" si="27"/>
        <v/>
      </c>
      <c r="O76" s="754" t="str">
        <f t="shared" si="32"/>
        <v/>
      </c>
      <c r="Q76" s="755" t="str">
        <f t="shared" si="33"/>
        <v/>
      </c>
      <c r="AD76" s="609">
        <f t="shared" si="28"/>
        <v>0.3</v>
      </c>
      <c r="AE76" s="609">
        <f t="shared" si="29"/>
        <v>2000</v>
      </c>
      <c r="AF76" s="609" t="e">
        <f t="shared" si="30"/>
        <v>#N/A</v>
      </c>
      <c r="AG76" s="609" t="e">
        <f t="shared" si="2"/>
        <v>#N/A</v>
      </c>
      <c r="AH76" s="609" t="e">
        <f t="shared" si="3"/>
        <v>#N/A</v>
      </c>
      <c r="AI76" s="609" t="e">
        <f t="shared" si="4"/>
        <v>#N/A</v>
      </c>
      <c r="AJ76" s="609" t="e">
        <f t="shared" si="5"/>
        <v>#N/A</v>
      </c>
      <c r="AK76" s="609" t="e">
        <f t="shared" si="6"/>
        <v>#N/A</v>
      </c>
      <c r="AL76" s="609" t="e">
        <f t="shared" si="7"/>
        <v>#N/A</v>
      </c>
      <c r="AM76" s="609" t="str">
        <f t="shared" si="31"/>
        <v/>
      </c>
      <c r="AN76" s="609" t="str">
        <f t="shared" si="34"/>
        <v/>
      </c>
      <c r="AQ76" s="609"/>
    </row>
    <row r="77" spans="1:43" ht="15.5" x14ac:dyDescent="0.35">
      <c r="A77" t="s">
        <v>1176</v>
      </c>
      <c r="B77" s="760">
        <v>229</v>
      </c>
      <c r="C77" s="752" t="s">
        <v>1177</v>
      </c>
      <c r="D77" s="756"/>
      <c r="E77" s="1222"/>
      <c r="F77" s="1222"/>
      <c r="G77" s="1223">
        <f t="shared" si="24"/>
        <v>0</v>
      </c>
      <c r="H77" s="1271"/>
      <c r="I77" s="1222"/>
      <c r="J77" s="1222"/>
      <c r="K77" s="1223">
        <f t="shared" si="25"/>
        <v>0</v>
      </c>
      <c r="L77" s="1223">
        <f t="shared" si="26"/>
        <v>0</v>
      </c>
      <c r="N77" s="1293" t="str">
        <f t="shared" si="27"/>
        <v/>
      </c>
      <c r="O77" s="754" t="str">
        <f t="shared" si="32"/>
        <v/>
      </c>
      <c r="Q77" s="755" t="str">
        <f t="shared" si="33"/>
        <v/>
      </c>
      <c r="AD77" s="609">
        <f t="shared" si="28"/>
        <v>0.3</v>
      </c>
      <c r="AE77" s="609">
        <f t="shared" si="29"/>
        <v>2000</v>
      </c>
      <c r="AF77" s="609" t="e">
        <f t="shared" si="30"/>
        <v>#N/A</v>
      </c>
      <c r="AG77" s="609" t="e">
        <f t="shared" si="2"/>
        <v>#N/A</v>
      </c>
      <c r="AH77" s="609" t="e">
        <f t="shared" si="3"/>
        <v>#N/A</v>
      </c>
      <c r="AI77" s="609" t="e">
        <f t="shared" si="4"/>
        <v>#N/A</v>
      </c>
      <c r="AJ77" s="609" t="e">
        <f t="shared" si="5"/>
        <v>#N/A</v>
      </c>
      <c r="AK77" s="609" t="e">
        <f t="shared" si="6"/>
        <v>#N/A</v>
      </c>
      <c r="AL77" s="609" t="e">
        <f t="shared" si="7"/>
        <v>#N/A</v>
      </c>
      <c r="AM77" s="609" t="str">
        <f t="shared" si="31"/>
        <v/>
      </c>
      <c r="AN77" s="609" t="str">
        <f t="shared" si="34"/>
        <v/>
      </c>
      <c r="AQ77" s="609"/>
    </row>
    <row r="78" spans="1:43" ht="15.5" x14ac:dyDescent="0.35">
      <c r="A78" t="s">
        <v>1178</v>
      </c>
      <c r="B78" s="800">
        <v>230</v>
      </c>
      <c r="C78" s="752" t="s">
        <v>1179</v>
      </c>
      <c r="D78" s="756"/>
      <c r="E78" s="1222"/>
      <c r="F78" s="1222"/>
      <c r="G78" s="1223">
        <f t="shared" si="24"/>
        <v>0</v>
      </c>
      <c r="H78" s="1271"/>
      <c r="I78" s="1222"/>
      <c r="J78" s="1222"/>
      <c r="K78" s="1223">
        <f t="shared" si="25"/>
        <v>0</v>
      </c>
      <c r="L78" s="1223">
        <f t="shared" si="26"/>
        <v>0</v>
      </c>
      <c r="N78" s="1293" t="str">
        <f t="shared" si="27"/>
        <v/>
      </c>
      <c r="O78" s="754" t="str">
        <f t="shared" si="32"/>
        <v/>
      </c>
      <c r="Q78" s="755" t="str">
        <f t="shared" si="33"/>
        <v/>
      </c>
      <c r="AD78" s="609">
        <f t="shared" si="28"/>
        <v>0.3</v>
      </c>
      <c r="AE78" s="609">
        <f t="shared" si="29"/>
        <v>2000</v>
      </c>
      <c r="AF78" s="609" t="e">
        <f t="shared" si="30"/>
        <v>#N/A</v>
      </c>
      <c r="AG78" s="609" t="e">
        <f t="shared" si="2"/>
        <v>#N/A</v>
      </c>
      <c r="AH78" s="609" t="e">
        <f t="shared" si="3"/>
        <v>#N/A</v>
      </c>
      <c r="AI78" s="609" t="e">
        <f t="shared" si="4"/>
        <v>#N/A</v>
      </c>
      <c r="AJ78" s="609" t="e">
        <f t="shared" si="5"/>
        <v>#N/A</v>
      </c>
      <c r="AK78" s="609" t="e">
        <f t="shared" si="6"/>
        <v>#N/A</v>
      </c>
      <c r="AL78" s="609" t="e">
        <f t="shared" si="7"/>
        <v>#N/A</v>
      </c>
      <c r="AM78" s="609" t="str">
        <f t="shared" si="31"/>
        <v/>
      </c>
      <c r="AN78" s="609" t="str">
        <f t="shared" si="34"/>
        <v/>
      </c>
      <c r="AQ78" s="609"/>
    </row>
    <row r="79" spans="1:43" ht="15.5" x14ac:dyDescent="0.35">
      <c r="B79" s="797" t="s">
        <v>253</v>
      </c>
      <c r="C79" s="752" t="s">
        <v>253</v>
      </c>
      <c r="D79" s="756"/>
      <c r="E79" s="757"/>
      <c r="F79" s="757"/>
      <c r="G79" s="758"/>
      <c r="H79" s="757"/>
      <c r="I79" s="757"/>
      <c r="J79" s="757"/>
      <c r="K79" s="758"/>
      <c r="L79" s="758"/>
      <c r="O79" s="754"/>
      <c r="Q79" s="755"/>
      <c r="AQ79" s="609"/>
    </row>
    <row r="80" spans="1:43" ht="15.5" x14ac:dyDescent="0.35">
      <c r="B80" s="794" t="s">
        <v>1180</v>
      </c>
      <c r="C80" s="752"/>
      <c r="D80" s="756"/>
      <c r="E80" s="757"/>
      <c r="F80" s="757"/>
      <c r="G80" s="758"/>
      <c r="H80" s="757"/>
      <c r="I80" s="757"/>
      <c r="J80" s="757"/>
      <c r="K80" s="758"/>
      <c r="L80" s="758"/>
      <c r="O80" s="754"/>
      <c r="Q80" s="755"/>
      <c r="AQ80" s="609"/>
    </row>
    <row r="81" spans="1:43" ht="18" x14ac:dyDescent="0.4">
      <c r="A81" t="s">
        <v>1181</v>
      </c>
      <c r="B81" s="760">
        <v>231</v>
      </c>
      <c r="C81" s="752" t="s">
        <v>1182</v>
      </c>
      <c r="D81" s="756"/>
      <c r="E81" s="1222"/>
      <c r="F81" s="1222"/>
      <c r="G81" s="1223">
        <f>SUM(E81:F81)</f>
        <v>0</v>
      </c>
      <c r="H81" s="1271"/>
      <c r="I81" s="1222"/>
      <c r="J81" s="1222"/>
      <c r="K81" s="1223">
        <f>SUM(I81:J81)</f>
        <v>0</v>
      </c>
      <c r="L81" s="1223">
        <f>G81-K81</f>
        <v>0</v>
      </c>
      <c r="M81" s="35"/>
      <c r="N81" s="1293"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VLOOKUP("RO5"&amp;$B81,data_val_parameters,8,0)/100</f>
        <v>0.3</v>
      </c>
      <c r="AE81" s="609">
        <f>VLOOKUP("RO5"&amp;$B81,data_val_parameters,7,0)</f>
        <v>3000</v>
      </c>
      <c r="AF81" s="609" t="e">
        <f>VLOOKUP(LA_code,data_prev_year,MATCH("RO5"&amp;$B81&amp;"7",data_prev_year_headers,0),0)</f>
        <v>#N/A</v>
      </c>
      <c r="AG81" s="609" t="e">
        <f t="shared" si="2"/>
        <v>#N/A</v>
      </c>
      <c r="AH81" s="609" t="e">
        <f t="shared" si="3"/>
        <v>#N/A</v>
      </c>
      <c r="AI81" s="609" t="e">
        <f t="shared" si="4"/>
        <v>#N/A</v>
      </c>
      <c r="AJ81" s="609" t="e">
        <f t="shared" si="5"/>
        <v>#N/A</v>
      </c>
      <c r="AK81" s="609" t="e">
        <f t="shared" si="6"/>
        <v>#N/A</v>
      </c>
      <c r="AL81" s="609" t="e">
        <f t="shared" si="7"/>
        <v>#N/A</v>
      </c>
      <c r="AM81" s="609" t="str">
        <f>IF(OR(L81=0),"",IF(AND(AK81="Warning",AL81="Warning"),"Warning",""))</f>
        <v/>
      </c>
      <c r="AN81" s="609" t="str">
        <f>IF(OR(I81&lt;0,J81&lt;0),"Error","")</f>
        <v/>
      </c>
      <c r="AQ81" s="609"/>
    </row>
    <row r="82" spans="1:43" ht="15.5" x14ac:dyDescent="0.35">
      <c r="A82" t="s">
        <v>1183</v>
      </c>
      <c r="B82" s="760">
        <v>232</v>
      </c>
      <c r="C82" s="752" t="s">
        <v>1184</v>
      </c>
      <c r="D82" s="756"/>
      <c r="E82" s="1222"/>
      <c r="F82" s="1222"/>
      <c r="G82" s="1223">
        <f>SUM(E82:F82)</f>
        <v>0</v>
      </c>
      <c r="H82" s="1271"/>
      <c r="I82" s="1222"/>
      <c r="J82" s="1222"/>
      <c r="K82" s="1223">
        <f>SUM(I82:J82)</f>
        <v>0</v>
      </c>
      <c r="L82" s="1223">
        <f>G82-K82</f>
        <v>0</v>
      </c>
      <c r="N82" s="1293" t="str">
        <f>IF(ISERROR(O82),"",IF((O82="Error"),"add explanation",IF((O82="Warning"),"add explanation","")))</f>
        <v/>
      </c>
      <c r="O82" s="754" t="str">
        <f>IF(OR((K82&lt;&gt;(I82+J82)),(G82&lt;&gt;(E82+F82)),(L82&lt;&gt;(G82-K82)),AN82="Error"),"Error",IF(AM82="Warning","Warning",""))</f>
        <v/>
      </c>
      <c r="Q82" s="755" t="str">
        <f>IF(AND($O82="Error",$AN82="Error"),"Sales, Fees &amp; Charges or Other Income figure is negative",IF($O82="Error","A total column for "&amp;($C82)&amp;" does not match the sum of the components, please correct",IF($O82="Warning","This year's figure is over "&amp;AE82/1000&amp;" million and "&amp;(AD82*100)&amp;"% different to "&amp;TEXT(AF82,"#,###")&amp;" last year, please explain","")))</f>
        <v/>
      </c>
      <c r="AD82" s="609">
        <f>VLOOKUP("RO5"&amp;$B82,data_val_parameters,8,0)/100</f>
        <v>0.3</v>
      </c>
      <c r="AE82" s="609">
        <f>VLOOKUP("RO5"&amp;$B82,data_val_parameters,7,0)</f>
        <v>3000</v>
      </c>
      <c r="AF82" s="609" t="e">
        <f>VLOOKUP(LA_code,data_prev_year,MATCH("RO5"&amp;$B82&amp;"7",data_prev_year_headers,0),0)</f>
        <v>#N/A</v>
      </c>
      <c r="AG82" s="609" t="e">
        <f t="shared" si="2"/>
        <v>#N/A</v>
      </c>
      <c r="AH82" s="609" t="e">
        <f t="shared" si="3"/>
        <v>#N/A</v>
      </c>
      <c r="AI82" s="609" t="e">
        <f t="shared" si="4"/>
        <v>#N/A</v>
      </c>
      <c r="AJ82" s="609" t="e">
        <f t="shared" si="5"/>
        <v>#N/A</v>
      </c>
      <c r="AK82" s="609" t="e">
        <f t="shared" si="6"/>
        <v>#N/A</v>
      </c>
      <c r="AL82" s="609" t="e">
        <f t="shared" si="7"/>
        <v>#N/A</v>
      </c>
      <c r="AM82" s="609" t="str">
        <f>IF(OR(L82=0),"",IF(AND(AK82="Warning",AL82="Warning"),"Warning",""))</f>
        <v/>
      </c>
      <c r="AN82" s="609" t="str">
        <f>IF(OR(I82&lt;0,J82&lt;0),"Error","")</f>
        <v/>
      </c>
      <c r="AQ82" s="609"/>
    </row>
    <row r="83" spans="1:43" ht="15.5" x14ac:dyDescent="0.35">
      <c r="A83" t="s">
        <v>1185</v>
      </c>
      <c r="B83" s="763">
        <v>233</v>
      </c>
      <c r="C83" s="752" t="s">
        <v>1186</v>
      </c>
      <c r="D83" s="756"/>
      <c r="E83" s="1222"/>
      <c r="F83" s="1222"/>
      <c r="G83" s="1223">
        <f>SUM(E83:F83)</f>
        <v>0</v>
      </c>
      <c r="H83" s="1271"/>
      <c r="I83" s="1222"/>
      <c r="J83" s="1222"/>
      <c r="K83" s="1223">
        <f>SUM(I83:J83)</f>
        <v>0</v>
      </c>
      <c r="L83" s="1223">
        <f>G83-K83</f>
        <v>0</v>
      </c>
      <c r="N83" s="1293"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VLOOKUP("RO5"&amp;$B83,data_val_parameters,8,0)/100</f>
        <v>0.3</v>
      </c>
      <c r="AE83" s="609">
        <f>VLOOKUP("RO5"&amp;$B83,data_val_parameters,7,0)</f>
        <v>3000</v>
      </c>
      <c r="AF83" s="609" t="e">
        <f>VLOOKUP(LA_code,data_prev_year,MATCH("RO5"&amp;$B83&amp;"7",data_prev_year_headers,0),0)</f>
        <v>#N/A</v>
      </c>
      <c r="AG83" s="609" t="e">
        <f t="shared" si="2"/>
        <v>#N/A</v>
      </c>
      <c r="AH83" s="609" t="e">
        <f t="shared" si="3"/>
        <v>#N/A</v>
      </c>
      <c r="AI83" s="609" t="e">
        <f t="shared" si="4"/>
        <v>#N/A</v>
      </c>
      <c r="AJ83" s="609" t="e">
        <f t="shared" si="5"/>
        <v>#N/A</v>
      </c>
      <c r="AK83" s="609" t="e">
        <f t="shared" si="6"/>
        <v>#N/A</v>
      </c>
      <c r="AL83" s="609" t="e">
        <f t="shared" si="7"/>
        <v>#N/A</v>
      </c>
      <c r="AM83" s="609" t="str">
        <f>IF(OR(L83=0),"",IF(AND(AK83="Warning",AL83="Warning"),"Warning",""))</f>
        <v/>
      </c>
      <c r="AN83" s="609" t="str">
        <f>IF(OR(I83&lt;0,J83&lt;0),"Error","")</f>
        <v/>
      </c>
      <c r="AQ83" s="609"/>
    </row>
    <row r="84" spans="1:43" ht="15.5" x14ac:dyDescent="0.35">
      <c r="B84" s="797" t="s">
        <v>253</v>
      </c>
      <c r="C84" s="752" t="s">
        <v>253</v>
      </c>
      <c r="D84" s="756"/>
      <c r="E84" s="757"/>
      <c r="F84" s="757"/>
      <c r="G84" s="778"/>
      <c r="H84" s="757"/>
      <c r="I84" s="757"/>
      <c r="J84" s="757"/>
      <c r="K84" s="778"/>
      <c r="L84" s="778"/>
      <c r="O84" s="754"/>
      <c r="Q84" s="755"/>
      <c r="AQ84" s="609"/>
    </row>
    <row r="85" spans="1:43" ht="15.5" x14ac:dyDescent="0.35">
      <c r="B85" s="794" t="s">
        <v>1187</v>
      </c>
      <c r="C85" s="752"/>
      <c r="D85" s="756"/>
      <c r="E85" s="757"/>
      <c r="F85" s="757"/>
      <c r="G85" s="778"/>
      <c r="H85" s="757"/>
      <c r="I85" s="757"/>
      <c r="J85" s="757"/>
      <c r="K85" s="778"/>
      <c r="L85" s="778"/>
      <c r="O85" s="754"/>
      <c r="Q85" s="755"/>
      <c r="AQ85" s="609"/>
    </row>
    <row r="86" spans="1:43" ht="15.5" x14ac:dyDescent="0.35">
      <c r="A86" s="471" t="s">
        <v>1188</v>
      </c>
      <c r="B86" s="751">
        <v>241</v>
      </c>
      <c r="C86" s="752" t="s">
        <v>1189</v>
      </c>
      <c r="D86" s="756"/>
      <c r="E86" s="1222"/>
      <c r="F86" s="1222"/>
      <c r="G86" s="1223">
        <f>SUM(E86:F86)</f>
        <v>0</v>
      </c>
      <c r="H86" s="1271"/>
      <c r="I86" s="1222"/>
      <c r="J86" s="1222"/>
      <c r="K86" s="1223">
        <f>SUM(I86:J86)</f>
        <v>0</v>
      </c>
      <c r="L86" s="1223">
        <f>G86-K86</f>
        <v>0</v>
      </c>
      <c r="N86" s="1293" t="str">
        <f>IF(ISERROR(O86),"",IF((O86="Error"),"add explanation",IF((O86="Warning"),"add explanation","")))</f>
        <v/>
      </c>
      <c r="O86" s="754" t="str">
        <f>IF(OR((K86&lt;&gt;(I86+J86)),(G86&lt;&gt;(E86+F86)),(L86&lt;&gt;(G86-K86)),AN86="Error"),"Error",IF(AM86="Warning","Warning",""))</f>
        <v/>
      </c>
      <c r="Q86" s="755" t="str">
        <f>IF(AND($O86="Error",$AN86="Error"),"Sales, Fees &amp; Charges or Other Income figure is negative",IF($O86="Error","A total column for "&amp;($C86)&amp;" does not match the sum of the components, please correct",IF($O86="Warning","This year's figure is over "&amp;AE86/1000&amp;" million and "&amp;(AD86*100)&amp;"% different to "&amp;TEXT(AF86,"#,###")&amp;" last year, please explain","")))</f>
        <v/>
      </c>
      <c r="AD86" s="609">
        <f>VLOOKUP("RO5"&amp;$B86,data_val_parameters,8,0)/100</f>
        <v>0.3</v>
      </c>
      <c r="AE86" s="609">
        <f>VLOOKUP("RO5"&amp;$B86,data_val_parameters,7,0)</f>
        <v>2000</v>
      </c>
      <c r="AF86" s="609" t="e">
        <f>VLOOKUP(LA_code,data_prev_year,MATCH("RO5"&amp;$B86&amp;"7",data_prev_year_headers,0),0)</f>
        <v>#N/A</v>
      </c>
      <c r="AG86" s="609" t="e">
        <f t="shared" si="2"/>
        <v>#N/A</v>
      </c>
      <c r="AH86" s="609" t="e">
        <f t="shared" si="3"/>
        <v>#N/A</v>
      </c>
      <c r="AI86" s="609" t="e">
        <f t="shared" si="4"/>
        <v>#N/A</v>
      </c>
      <c r="AJ86" s="609" t="e">
        <f t="shared" si="5"/>
        <v>#N/A</v>
      </c>
      <c r="AK86" s="609" t="e">
        <f t="shared" si="6"/>
        <v>#N/A</v>
      </c>
      <c r="AL86" s="609" t="e">
        <f t="shared" si="7"/>
        <v>#N/A</v>
      </c>
      <c r="AM86" s="609" t="str">
        <f>IF(OR(L86=0),"",IF(AND(AK86="Warning",AL86="Warning"),"Warning",""))</f>
        <v/>
      </c>
      <c r="AN86" s="609" t="str">
        <f>IF(OR(I86&lt;0,J86&lt;0),"Error","")</f>
        <v/>
      </c>
      <c r="AQ86" s="609"/>
    </row>
    <row r="87" spans="1:43" ht="15.5" x14ac:dyDescent="0.35">
      <c r="A87" s="471" t="s">
        <v>1190</v>
      </c>
      <c r="B87" s="760">
        <v>243</v>
      </c>
      <c r="C87" s="752" t="s">
        <v>1191</v>
      </c>
      <c r="D87" s="756"/>
      <c r="E87" s="1222"/>
      <c r="F87" s="1222"/>
      <c r="G87" s="1223">
        <f>SUM(E87:F87)</f>
        <v>0</v>
      </c>
      <c r="H87" s="1271"/>
      <c r="I87" s="1222"/>
      <c r="J87" s="1222"/>
      <c r="K87" s="1223">
        <f>SUM(I87:J87)</f>
        <v>0</v>
      </c>
      <c r="L87" s="1223">
        <f>G87-K87</f>
        <v>0</v>
      </c>
      <c r="N87" s="1293"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VLOOKUP("RO5"&amp;$B87,data_val_parameters,8,0)/100</f>
        <v>0.3</v>
      </c>
      <c r="AE87" s="609">
        <f>VLOOKUP("RO5"&amp;$B87,data_val_parameters,7,0)</f>
        <v>2000</v>
      </c>
      <c r="AF87" s="609" t="e">
        <f>VLOOKUP(LA_code,data_prev_year,MATCH("RO5"&amp;$B87&amp;"7",data_prev_year_headers,0),0)</f>
        <v>#N/A</v>
      </c>
      <c r="AG87" s="609" t="e">
        <f t="shared" si="2"/>
        <v>#N/A</v>
      </c>
      <c r="AH87" s="609" t="e">
        <f t="shared" si="3"/>
        <v>#N/A</v>
      </c>
      <c r="AI87" s="609" t="e">
        <f t="shared" si="4"/>
        <v>#N/A</v>
      </c>
      <c r="AJ87" s="609" t="e">
        <f t="shared" si="5"/>
        <v>#N/A</v>
      </c>
      <c r="AK87" s="609" t="e">
        <f t="shared" si="6"/>
        <v>#N/A</v>
      </c>
      <c r="AL87" s="609" t="e">
        <f t="shared" si="7"/>
        <v>#N/A</v>
      </c>
      <c r="AM87" s="609" t="str">
        <f>IF(OR(L87=0),"",IF(AND(AK87="Warning",AL87="Warning"),"Warning",""))</f>
        <v/>
      </c>
      <c r="AN87" s="609" t="str">
        <f>IF(OR(I87&lt;0,J87&lt;0),"Error","")</f>
        <v/>
      </c>
      <c r="AQ87" s="609"/>
    </row>
    <row r="88" spans="1:43" ht="15.5" x14ac:dyDescent="0.35">
      <c r="A88" s="471" t="s">
        <v>1192</v>
      </c>
      <c r="B88" s="760">
        <v>244</v>
      </c>
      <c r="C88" s="752" t="s">
        <v>1193</v>
      </c>
      <c r="D88" s="756"/>
      <c r="E88" s="1222"/>
      <c r="F88" s="1222"/>
      <c r="G88" s="1223">
        <f>SUM(E88:F88)</f>
        <v>0</v>
      </c>
      <c r="H88" s="1271"/>
      <c r="I88" s="1222"/>
      <c r="J88" s="1222"/>
      <c r="K88" s="1223">
        <f>SUM(I88:J88)</f>
        <v>0</v>
      </c>
      <c r="L88" s="1223">
        <f>G88-K88</f>
        <v>0</v>
      </c>
      <c r="N88" s="1293"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VLOOKUP("RO5"&amp;$B88,data_val_parameters,8,0)/100</f>
        <v>0.3</v>
      </c>
      <c r="AE88" s="609">
        <f>VLOOKUP("RO5"&amp;$B88,data_val_parameters,7,0)</f>
        <v>2000</v>
      </c>
      <c r="AF88" s="609" t="e">
        <f>VLOOKUP(LA_code,data_prev_year,MATCH("RO5"&amp;$B88&amp;"7",data_prev_year_headers,0),0)</f>
        <v>#N/A</v>
      </c>
      <c r="AG88" s="609" t="e">
        <f t="shared" si="2"/>
        <v>#N/A</v>
      </c>
      <c r="AH88" s="609" t="e">
        <f t="shared" si="3"/>
        <v>#N/A</v>
      </c>
      <c r="AI88" s="609" t="e">
        <f t="shared" si="4"/>
        <v>#N/A</v>
      </c>
      <c r="AJ88" s="609" t="e">
        <f t="shared" si="5"/>
        <v>#N/A</v>
      </c>
      <c r="AK88" s="609" t="e">
        <f t="shared" si="6"/>
        <v>#N/A</v>
      </c>
      <c r="AL88" s="609" t="e">
        <f t="shared" si="7"/>
        <v>#N/A</v>
      </c>
      <c r="AM88" s="609" t="str">
        <f>IF(OR(L88=0),"",IF(AND(AK88="Warning",AL88="Warning"),"Warning",""))</f>
        <v/>
      </c>
      <c r="AN88" s="609" t="str">
        <f>IF(OR(I88&lt;0,J88&lt;0),"Error","")</f>
        <v/>
      </c>
      <c r="AQ88" s="609"/>
    </row>
    <row r="89" spans="1:43" ht="15.5" x14ac:dyDescent="0.35">
      <c r="A89" s="471" t="s">
        <v>1194</v>
      </c>
      <c r="B89" s="760">
        <v>247</v>
      </c>
      <c r="C89" s="752" t="s">
        <v>1195</v>
      </c>
      <c r="D89" s="756"/>
      <c r="E89" s="1222"/>
      <c r="F89" s="1222"/>
      <c r="G89" s="1223">
        <f>SUM(E89:F89)</f>
        <v>0</v>
      </c>
      <c r="H89" s="1271"/>
      <c r="I89" s="1222"/>
      <c r="J89" s="1222"/>
      <c r="K89" s="1223">
        <f>SUM(I89:J89)</f>
        <v>0</v>
      </c>
      <c r="L89" s="1223">
        <f>G89-K89</f>
        <v>0</v>
      </c>
      <c r="N89" s="1293"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VLOOKUP("RO5"&amp;$B89,data_val_parameters,8,0)/100</f>
        <v>0.3</v>
      </c>
      <c r="AE89" s="609">
        <f>VLOOKUP("RO5"&amp;$B89,data_val_parameters,7,0)</f>
        <v>2000</v>
      </c>
      <c r="AF89" s="609" t="e">
        <f>VLOOKUP(LA_code,data_prev_year,MATCH("RO5"&amp;$B89&amp;"7",data_prev_year_headers,0),0)</f>
        <v>#N/A</v>
      </c>
      <c r="AG89" s="609" t="e">
        <f t="shared" si="2"/>
        <v>#N/A</v>
      </c>
      <c r="AH89" s="609" t="e">
        <f t="shared" si="3"/>
        <v>#N/A</v>
      </c>
      <c r="AI89" s="609" t="e">
        <f t="shared" si="4"/>
        <v>#N/A</v>
      </c>
      <c r="AJ89" s="609" t="e">
        <f t="shared" si="5"/>
        <v>#N/A</v>
      </c>
      <c r="AK89" s="609" t="e">
        <f t="shared" si="6"/>
        <v>#N/A</v>
      </c>
      <c r="AL89" s="609" t="e">
        <f t="shared" si="7"/>
        <v>#N/A</v>
      </c>
      <c r="AM89" s="609" t="str">
        <f>IF(OR(L89=0),"",IF(AND(AK89="Warning",AL89="Warning"),"Warning",""))</f>
        <v/>
      </c>
      <c r="AN89" s="609" t="str">
        <f>IF(OR(I89&lt;0,J89&lt;0),"Error","")</f>
        <v/>
      </c>
      <c r="AQ89" s="609"/>
    </row>
    <row r="90" spans="1:43" ht="15.5" x14ac:dyDescent="0.35">
      <c r="B90" s="797" t="s">
        <v>253</v>
      </c>
      <c r="C90" s="752" t="s">
        <v>253</v>
      </c>
      <c r="D90" s="756"/>
      <c r="E90" s="757"/>
      <c r="F90" s="757"/>
      <c r="G90" s="778"/>
      <c r="H90" s="757"/>
      <c r="I90" s="757"/>
      <c r="J90" s="757"/>
      <c r="K90" s="778"/>
      <c r="L90" s="778"/>
      <c r="O90" s="754"/>
      <c r="Q90" s="755"/>
      <c r="AQ90" s="609"/>
    </row>
    <row r="91" spans="1:43" ht="15.5" x14ac:dyDescent="0.35">
      <c r="A91" t="s">
        <v>1196</v>
      </c>
      <c r="B91" s="751">
        <v>250</v>
      </c>
      <c r="C91" s="752" t="s">
        <v>1197</v>
      </c>
      <c r="D91" s="756"/>
      <c r="E91" s="1222"/>
      <c r="F91" s="1222"/>
      <c r="G91" s="1223">
        <f>SUM(E91:F91)</f>
        <v>0</v>
      </c>
      <c r="H91" s="1271"/>
      <c r="I91" s="1222"/>
      <c r="J91" s="1222"/>
      <c r="K91" s="1223">
        <f>SUM(I91:J91)</f>
        <v>0</v>
      </c>
      <c r="L91" s="1223">
        <f>G91-K91</f>
        <v>0</v>
      </c>
      <c r="N91" s="1293" t="str">
        <f>IF(ISERROR(O91),"",IF((O91="Error"),"add explanation",IF((O91="Warning"),"add explanation","")))</f>
        <v/>
      </c>
      <c r="O91" s="754" t="str">
        <f>IF(OR((K91&lt;&gt;(I91+J91)),(G91&lt;&gt;(E91+F91)),(L91&lt;&gt;(G91-K91)),AN91="Error"),"Error",IF(AM91="Warning","Warning",""))</f>
        <v/>
      </c>
      <c r="Q91" s="755" t="str">
        <f>IF(AND($O91="Error",$AN91="Error"),"Sales, Fees &amp; Charges or Other Income figure is negative",IF($O91="Error","A total column for "&amp;($C91)&amp;" does not match the sum of the components, please correct",IF($O91="Warning","This year's figure is over "&amp;AE91/1000&amp;" million and "&amp;(AD91*100)&amp;"% different to "&amp;TEXT(AF91,"#,###")&amp;" last year, please explain","")))</f>
        <v/>
      </c>
      <c r="AD91" s="609">
        <f>VLOOKUP("RO5"&amp;$B91,data_val_parameters,8,0)/100</f>
        <v>0.3</v>
      </c>
      <c r="AE91" s="609">
        <f>VLOOKUP("RO5"&amp;$B91,data_val_parameters,7,0)</f>
        <v>2000</v>
      </c>
      <c r="AF91" s="609" t="e">
        <f>VLOOKUP(LA_code,data_prev_year,MATCH("RO5"&amp;$B91&amp;"7",data_prev_year_headers,0),0)</f>
        <v>#N/A</v>
      </c>
      <c r="AG91" s="609" t="e">
        <f t="shared" si="2"/>
        <v>#N/A</v>
      </c>
      <c r="AH91" s="609" t="e">
        <f t="shared" si="3"/>
        <v>#N/A</v>
      </c>
      <c r="AI91" s="636" t="e">
        <f t="shared" si="4"/>
        <v>#N/A</v>
      </c>
      <c r="AJ91" s="636" t="e">
        <f t="shared" si="5"/>
        <v>#N/A</v>
      </c>
      <c r="AK91" s="609" t="e">
        <f t="shared" si="6"/>
        <v>#N/A</v>
      </c>
      <c r="AL91" s="609" t="e">
        <f t="shared" si="7"/>
        <v>#N/A</v>
      </c>
      <c r="AM91" s="609" t="str">
        <f>IF(OR(L91=0),"",IF(AND(AK91="Warning",AL91="Warning"),"Warning",""))</f>
        <v/>
      </c>
      <c r="AQ91" s="609"/>
    </row>
    <row r="92" spans="1:43" ht="15.5" x14ac:dyDescent="0.35">
      <c r="B92" s="797" t="s">
        <v>253</v>
      </c>
      <c r="C92" s="752" t="s">
        <v>253</v>
      </c>
      <c r="D92" s="756"/>
      <c r="E92" s="757"/>
      <c r="F92" s="757"/>
      <c r="G92" s="778"/>
      <c r="H92" s="757"/>
      <c r="I92" s="757"/>
      <c r="J92" s="757"/>
      <c r="K92" s="778"/>
      <c r="L92" s="778"/>
      <c r="O92" s="754"/>
      <c r="Q92" s="755"/>
      <c r="AQ92" s="609"/>
    </row>
    <row r="93" spans="1:43" ht="15.5" x14ac:dyDescent="0.35">
      <c r="B93" s="797" t="s">
        <v>253</v>
      </c>
      <c r="C93" s="752" t="s">
        <v>253</v>
      </c>
      <c r="D93" s="756"/>
      <c r="E93" s="757"/>
      <c r="F93" s="757"/>
      <c r="G93" s="778"/>
      <c r="H93" s="757"/>
      <c r="I93" s="757"/>
      <c r="J93" s="757"/>
      <c r="K93" s="778"/>
      <c r="L93" s="778"/>
      <c r="O93" s="754"/>
      <c r="Q93" s="755"/>
      <c r="AQ93" s="609"/>
    </row>
    <row r="94" spans="1:43" ht="15.5" x14ac:dyDescent="0.35">
      <c r="A94" t="s">
        <v>1198</v>
      </c>
      <c r="B94" s="751">
        <v>270</v>
      </c>
      <c r="C94" s="752" t="s">
        <v>1199</v>
      </c>
      <c r="D94" s="756"/>
      <c r="E94" s="1222"/>
      <c r="F94" s="1222"/>
      <c r="G94" s="1223">
        <f>SUM(E94:F94)</f>
        <v>0</v>
      </c>
      <c r="H94" s="1271"/>
      <c r="I94" s="1222"/>
      <c r="J94" s="1222"/>
      <c r="K94" s="1223">
        <f>SUM(I94:J94)</f>
        <v>0</v>
      </c>
      <c r="L94" s="1223">
        <f>G94-K94</f>
        <v>0</v>
      </c>
      <c r="N94" s="1293" t="str">
        <f>IF(ISERROR(O94),"",IF((O94="Error"),"add explanation",IF((O94="Warning"),"add explanation","")))</f>
        <v/>
      </c>
      <c r="O94" s="754" t="str">
        <f>IF(OR((K94&lt;&gt;(I94+J94)),(G94&lt;&gt;(E94+F94)),(L94&lt;&gt;(G94-K94)),AN94="Error"),"Error",IF(AM94="Warning","Warning",""))</f>
        <v/>
      </c>
      <c r="Q94" s="755" t="str">
        <f>IF(AND($O94="Error",$AN94="Error"),"Sales, Fees &amp; Charges or Other Income figure is negative",IF($O94="Error","A total column for "&amp;($C94)&amp;" does not match the sum of the components, please correct",IF($O94="Warning","This year's figure is over "&amp;AE94/1000&amp;" million and "&amp;(AD94*100)&amp;"% different to "&amp;TEXT(AF94,"#,###")&amp;" last year, please explain","")))</f>
        <v/>
      </c>
      <c r="AD94" s="609">
        <f>VLOOKUP("RO5"&amp;$B94,data_val_parameters,8,0)/100</f>
        <v>0.4</v>
      </c>
      <c r="AE94" s="609">
        <f>VLOOKUP("RO5"&amp;$B94,data_val_parameters,7,0)</f>
        <v>4000</v>
      </c>
      <c r="AF94" s="609" t="e">
        <f>VLOOKUP(LA_code,data_prev_year,MATCH("RO5"&amp;$B94&amp;"7",data_prev_year_headers,0),0)</f>
        <v>#N/A</v>
      </c>
      <c r="AG94" s="609" t="e">
        <f t="shared" si="2"/>
        <v>#N/A</v>
      </c>
      <c r="AH94" s="609" t="e">
        <f t="shared" si="3"/>
        <v>#N/A</v>
      </c>
      <c r="AI94" s="609" t="e">
        <f t="shared" si="4"/>
        <v>#N/A</v>
      </c>
      <c r="AJ94" s="609" t="e">
        <f t="shared" si="5"/>
        <v>#N/A</v>
      </c>
      <c r="AK94" s="609" t="e">
        <f t="shared" si="6"/>
        <v>#N/A</v>
      </c>
      <c r="AL94" s="609" t="e">
        <f t="shared" si="7"/>
        <v>#N/A</v>
      </c>
      <c r="AM94" s="609" t="str">
        <f>IF(OR(L94=0),"",IF(AND(AK94="Warning",AL94="Warning"),"Warning",""))</f>
        <v/>
      </c>
      <c r="AN94" s="609" t="str">
        <f>IF(OR(I94&lt;0,J94&lt;0),"Error","")</f>
        <v/>
      </c>
      <c r="AQ94" s="609"/>
    </row>
    <row r="95" spans="1:43" ht="15.5" x14ac:dyDescent="0.35">
      <c r="B95" s="797" t="s">
        <v>253</v>
      </c>
      <c r="C95" s="752" t="s">
        <v>253</v>
      </c>
      <c r="D95" s="756"/>
      <c r="E95" s="1"/>
      <c r="F95" s="1"/>
      <c r="G95" s="1"/>
      <c r="H95" s="1"/>
      <c r="I95" s="1"/>
      <c r="J95" s="1"/>
      <c r="K95" s="1"/>
      <c r="L95" s="1"/>
      <c r="O95" s="754"/>
      <c r="Q95" s="755"/>
      <c r="AQ95" s="609"/>
    </row>
    <row r="96" spans="1:43" ht="15.5" x14ac:dyDescent="0.35">
      <c r="B96" s="794" t="s">
        <v>1200</v>
      </c>
      <c r="C96" s="752"/>
      <c r="D96" s="756"/>
      <c r="E96" s="757"/>
      <c r="F96" s="757"/>
      <c r="G96" s="778"/>
      <c r="H96" s="757"/>
      <c r="I96" s="757"/>
      <c r="J96" s="757"/>
      <c r="K96" s="778"/>
      <c r="L96" s="778"/>
      <c r="O96" s="754"/>
      <c r="Q96" s="755"/>
      <c r="AQ96" s="609"/>
    </row>
    <row r="97" spans="1:43" ht="15.5" x14ac:dyDescent="0.35">
      <c r="A97" t="s">
        <v>1201</v>
      </c>
      <c r="B97" s="760">
        <v>281</v>
      </c>
      <c r="C97" s="752" t="s">
        <v>1202</v>
      </c>
      <c r="D97" s="756"/>
      <c r="E97" s="1222"/>
      <c r="F97" s="1222"/>
      <c r="G97" s="1223">
        <f t="shared" ref="G97:G102" si="35">SUM(E97:F97)</f>
        <v>0</v>
      </c>
      <c r="H97" s="1271"/>
      <c r="I97" s="1222"/>
      <c r="J97" s="1222"/>
      <c r="K97" s="1223">
        <f t="shared" ref="K97:K102" si="36">SUM(I97:J97)</f>
        <v>0</v>
      </c>
      <c r="L97" s="1223">
        <f t="shared" ref="L97:L102" si="37">G97-K97</f>
        <v>0</v>
      </c>
      <c r="N97" s="1293" t="str">
        <f t="shared" ref="N97:N102" si="38">IF(ISERROR(O97),"",IF((O97="Error"),"add explanation",IF((O97="Warning"),"add explanation","")))</f>
        <v/>
      </c>
      <c r="O97" s="754" t="str">
        <f t="shared" ref="O97:O102" si="39">IF(OR((K97&lt;&gt;(I97+J97)),(G97&lt;&gt;(E97+F97)),(L97&lt;&gt;(G97-K97)),AN97="Error"),"Error",IF(AM97="Warning","Warning",""))</f>
        <v/>
      </c>
      <c r="Q97" s="755" t="str">
        <f t="shared" ref="Q97:Q102" si="40">IF(AND($O97="Error",$AN97="Error"),"Sales, Fees &amp; Charges or Other Income figure is negative",IF($O97="Error","A total column for "&amp;($C97)&amp;" does not match the sum of the components, please correct",IF($O97="Warning","This year's figure is over "&amp;AE97/1000&amp;" million and "&amp;(AD97*100)&amp;"% different to "&amp;TEXT(AF97,"#,###")&amp;" last year, please explain","")))</f>
        <v/>
      </c>
      <c r="AD97" s="609">
        <f t="shared" ref="AD97:AD102" si="41">VLOOKUP("RO5"&amp;$B97,data_val_parameters,8,0)/100</f>
        <v>0.4</v>
      </c>
      <c r="AE97" s="609">
        <f t="shared" ref="AE97:AE102" si="42">VLOOKUP("RO5"&amp;$B97,data_val_parameters,7,0)</f>
        <v>4000</v>
      </c>
      <c r="AF97" s="609" t="e">
        <f t="shared" ref="AF97:AF102" si="43">VLOOKUP(LA_code,data_prev_year,MATCH("RO5"&amp;$B97&amp;"7",data_prev_year_headers,0),0)</f>
        <v>#N/A</v>
      </c>
      <c r="AG97" s="609" t="e">
        <f t="shared" si="2"/>
        <v>#N/A</v>
      </c>
      <c r="AH97" s="609" t="e">
        <f t="shared" si="3"/>
        <v>#N/A</v>
      </c>
      <c r="AI97" s="609" t="e">
        <f t="shared" si="4"/>
        <v>#N/A</v>
      </c>
      <c r="AJ97" s="609" t="e">
        <f t="shared" si="5"/>
        <v>#N/A</v>
      </c>
      <c r="AK97" s="609" t="e">
        <f t="shared" si="6"/>
        <v>#N/A</v>
      </c>
      <c r="AL97" s="609" t="e">
        <f t="shared" si="7"/>
        <v>#N/A</v>
      </c>
      <c r="AM97" s="609" t="str">
        <f t="shared" ref="AM97:AM102" si="44">IF(OR(L97=0),"",IF(AND(AK97="Warning",AL97="Warning"),"Warning",""))</f>
        <v/>
      </c>
      <c r="AN97" s="609" t="str">
        <f t="shared" ref="AN97:AN102" si="45">IF(OR(I97&lt;0,J97&lt;0),"Error","")</f>
        <v/>
      </c>
      <c r="AQ97" s="609"/>
    </row>
    <row r="98" spans="1:43" ht="15.5" x14ac:dyDescent="0.35">
      <c r="A98" t="s">
        <v>1203</v>
      </c>
      <c r="B98" s="760">
        <v>282</v>
      </c>
      <c r="C98" s="752" t="s">
        <v>1204</v>
      </c>
      <c r="D98" s="756"/>
      <c r="E98" s="1222"/>
      <c r="F98" s="1222"/>
      <c r="G98" s="1223">
        <f t="shared" si="35"/>
        <v>0</v>
      </c>
      <c r="H98" s="1271"/>
      <c r="I98" s="1222"/>
      <c r="J98" s="1222"/>
      <c r="K98" s="1223">
        <f t="shared" si="36"/>
        <v>0</v>
      </c>
      <c r="L98" s="1223">
        <f t="shared" si="37"/>
        <v>0</v>
      </c>
      <c r="N98" s="1293" t="str">
        <f t="shared" si="38"/>
        <v/>
      </c>
      <c r="O98" s="754" t="str">
        <f t="shared" si="39"/>
        <v/>
      </c>
      <c r="Q98" s="755" t="str">
        <f t="shared" si="40"/>
        <v/>
      </c>
      <c r="AD98" s="609">
        <f t="shared" si="41"/>
        <v>0.4</v>
      </c>
      <c r="AE98" s="609">
        <f t="shared" si="42"/>
        <v>4000</v>
      </c>
      <c r="AF98" s="609" t="e">
        <f t="shared" si="43"/>
        <v>#N/A</v>
      </c>
      <c r="AG98" s="609" t="e">
        <f t="shared" si="2"/>
        <v>#N/A</v>
      </c>
      <c r="AH98" s="609" t="e">
        <f t="shared" si="3"/>
        <v>#N/A</v>
      </c>
      <c r="AI98" s="636" t="e">
        <f t="shared" si="4"/>
        <v>#N/A</v>
      </c>
      <c r="AJ98" s="636" t="e">
        <f t="shared" si="5"/>
        <v>#N/A</v>
      </c>
      <c r="AK98" s="609" t="e">
        <f t="shared" si="6"/>
        <v>#N/A</v>
      </c>
      <c r="AL98" s="609" t="e">
        <f t="shared" si="7"/>
        <v>#N/A</v>
      </c>
      <c r="AM98" s="609" t="str">
        <f t="shared" si="44"/>
        <v/>
      </c>
      <c r="AN98" s="609" t="str">
        <f t="shared" si="45"/>
        <v/>
      </c>
      <c r="AQ98" s="609"/>
    </row>
    <row r="99" spans="1:43" ht="15.5" x14ac:dyDescent="0.35">
      <c r="A99" t="s">
        <v>1205</v>
      </c>
      <c r="B99" s="763">
        <v>283</v>
      </c>
      <c r="C99" s="752" t="s">
        <v>1206</v>
      </c>
      <c r="D99" s="756"/>
      <c r="E99" s="1222"/>
      <c r="F99" s="1222"/>
      <c r="G99" s="1223">
        <f t="shared" si="35"/>
        <v>0</v>
      </c>
      <c r="H99" s="1271"/>
      <c r="I99" s="1222"/>
      <c r="J99" s="1222"/>
      <c r="K99" s="1223">
        <f t="shared" si="36"/>
        <v>0</v>
      </c>
      <c r="L99" s="1223">
        <f t="shared" si="37"/>
        <v>0</v>
      </c>
      <c r="N99" s="1293" t="str">
        <f t="shared" si="38"/>
        <v/>
      </c>
      <c r="O99" s="754" t="str">
        <f t="shared" si="39"/>
        <v/>
      </c>
      <c r="Q99" s="755" t="str">
        <f t="shared" si="40"/>
        <v/>
      </c>
      <c r="AD99" s="609">
        <f t="shared" si="41"/>
        <v>0.4</v>
      </c>
      <c r="AE99" s="609">
        <f t="shared" si="42"/>
        <v>4000</v>
      </c>
      <c r="AF99" s="609" t="e">
        <f t="shared" si="43"/>
        <v>#N/A</v>
      </c>
      <c r="AG99" s="609" t="e">
        <f t="shared" si="2"/>
        <v>#N/A</v>
      </c>
      <c r="AH99" s="609" t="e">
        <f t="shared" si="3"/>
        <v>#N/A</v>
      </c>
      <c r="AI99" s="609" t="e">
        <f t="shared" si="4"/>
        <v>#N/A</v>
      </c>
      <c r="AJ99" s="609" t="e">
        <f t="shared" si="5"/>
        <v>#N/A</v>
      </c>
      <c r="AK99" s="609" t="e">
        <f t="shared" si="6"/>
        <v>#N/A</v>
      </c>
      <c r="AL99" s="609" t="e">
        <f t="shared" si="7"/>
        <v>#N/A</v>
      </c>
      <c r="AM99" s="609" t="str">
        <f t="shared" si="44"/>
        <v/>
      </c>
      <c r="AN99" s="609" t="str">
        <f t="shared" si="45"/>
        <v/>
      </c>
      <c r="AQ99" s="609"/>
    </row>
    <row r="100" spans="1:43" ht="15.5" x14ac:dyDescent="0.35">
      <c r="A100" t="s">
        <v>1207</v>
      </c>
      <c r="B100" s="763">
        <v>284</v>
      </c>
      <c r="C100" s="752" t="s">
        <v>1208</v>
      </c>
      <c r="D100" s="756"/>
      <c r="E100" s="1222"/>
      <c r="F100" s="1222"/>
      <c r="G100" s="1223">
        <f t="shared" si="35"/>
        <v>0</v>
      </c>
      <c r="H100" s="1271"/>
      <c r="I100" s="1222"/>
      <c r="J100" s="1222"/>
      <c r="K100" s="1223">
        <f t="shared" si="36"/>
        <v>0</v>
      </c>
      <c r="L100" s="1223">
        <f t="shared" si="37"/>
        <v>0</v>
      </c>
      <c r="N100" s="1293" t="str">
        <f t="shared" si="38"/>
        <v/>
      </c>
      <c r="O100" s="754" t="str">
        <f t="shared" si="39"/>
        <v/>
      </c>
      <c r="Q100" s="755" t="str">
        <f t="shared" si="40"/>
        <v/>
      </c>
      <c r="AD100" s="609">
        <f t="shared" si="41"/>
        <v>0.4</v>
      </c>
      <c r="AE100" s="609">
        <f t="shared" si="42"/>
        <v>4000</v>
      </c>
      <c r="AF100" s="609" t="e">
        <f t="shared" si="43"/>
        <v>#N/A</v>
      </c>
      <c r="AG100" s="609" t="e">
        <f t="shared" si="2"/>
        <v>#N/A</v>
      </c>
      <c r="AH100" s="609" t="e">
        <f t="shared" si="3"/>
        <v>#N/A</v>
      </c>
      <c r="AI100" s="609" t="e">
        <f t="shared" si="4"/>
        <v>#N/A</v>
      </c>
      <c r="AJ100" s="609" t="e">
        <f t="shared" si="5"/>
        <v>#N/A</v>
      </c>
      <c r="AK100" s="609" t="e">
        <f t="shared" si="6"/>
        <v>#N/A</v>
      </c>
      <c r="AL100" s="609" t="e">
        <f t="shared" si="7"/>
        <v>#N/A</v>
      </c>
      <c r="AM100" s="609" t="str">
        <f t="shared" si="44"/>
        <v/>
      </c>
      <c r="AN100" s="609" t="str">
        <f t="shared" si="45"/>
        <v/>
      </c>
      <c r="AQ100" s="609"/>
    </row>
    <row r="101" spans="1:43" ht="15.5" x14ac:dyDescent="0.35">
      <c r="A101" t="s">
        <v>1209</v>
      </c>
      <c r="B101" s="763">
        <v>285</v>
      </c>
      <c r="C101" s="752" t="s">
        <v>1210</v>
      </c>
      <c r="D101" s="756"/>
      <c r="E101" s="1222"/>
      <c r="F101" s="1222"/>
      <c r="G101" s="1223">
        <f t="shared" si="35"/>
        <v>0</v>
      </c>
      <c r="H101" s="1271"/>
      <c r="I101" s="1222"/>
      <c r="J101" s="1222"/>
      <c r="K101" s="1223">
        <f t="shared" si="36"/>
        <v>0</v>
      </c>
      <c r="L101" s="1223">
        <f t="shared" si="37"/>
        <v>0</v>
      </c>
      <c r="N101" s="1293" t="str">
        <f t="shared" si="38"/>
        <v/>
      </c>
      <c r="O101" s="754" t="str">
        <f t="shared" si="39"/>
        <v/>
      </c>
      <c r="Q101" s="755" t="str">
        <f t="shared" si="40"/>
        <v/>
      </c>
      <c r="AD101" s="609">
        <f t="shared" si="41"/>
        <v>0.4</v>
      </c>
      <c r="AE101" s="609">
        <f t="shared" si="42"/>
        <v>4000</v>
      </c>
      <c r="AF101" s="609" t="e">
        <f t="shared" si="43"/>
        <v>#N/A</v>
      </c>
      <c r="AG101" s="609" t="e">
        <f t="shared" si="2"/>
        <v>#N/A</v>
      </c>
      <c r="AH101" s="609" t="e">
        <f t="shared" si="3"/>
        <v>#N/A</v>
      </c>
      <c r="AI101" s="609" t="e">
        <f t="shared" si="4"/>
        <v>#N/A</v>
      </c>
      <c r="AJ101" s="609" t="e">
        <f t="shared" si="5"/>
        <v>#N/A</v>
      </c>
      <c r="AK101" s="609" t="e">
        <f t="shared" si="6"/>
        <v>#N/A</v>
      </c>
      <c r="AL101" s="609" t="e">
        <f t="shared" si="7"/>
        <v>#N/A</v>
      </c>
      <c r="AM101" s="609" t="str">
        <f t="shared" si="44"/>
        <v/>
      </c>
      <c r="AN101" s="609" t="str">
        <f t="shared" si="45"/>
        <v/>
      </c>
      <c r="AQ101" s="609"/>
    </row>
    <row r="102" spans="1:43" ht="15.5" x14ac:dyDescent="0.35">
      <c r="A102" t="s">
        <v>1211</v>
      </c>
      <c r="B102" s="763">
        <v>286</v>
      </c>
      <c r="C102" s="752" t="s">
        <v>1212</v>
      </c>
      <c r="D102" s="756"/>
      <c r="E102" s="1222"/>
      <c r="F102" s="1222"/>
      <c r="G102" s="1223">
        <f t="shared" si="35"/>
        <v>0</v>
      </c>
      <c r="H102" s="1271"/>
      <c r="I102" s="1222"/>
      <c r="J102" s="1222"/>
      <c r="K102" s="1223">
        <f t="shared" si="36"/>
        <v>0</v>
      </c>
      <c r="L102" s="1223">
        <f t="shared" si="37"/>
        <v>0</v>
      </c>
      <c r="N102" s="1293" t="str">
        <f t="shared" si="38"/>
        <v/>
      </c>
      <c r="O102" s="754" t="str">
        <f t="shared" si="39"/>
        <v/>
      </c>
      <c r="Q102" s="755" t="str">
        <f t="shared" si="40"/>
        <v/>
      </c>
      <c r="AD102" s="609">
        <f t="shared" si="41"/>
        <v>0.4</v>
      </c>
      <c r="AE102" s="609">
        <f t="shared" si="42"/>
        <v>4000</v>
      </c>
      <c r="AF102" s="609" t="e">
        <f t="shared" si="43"/>
        <v>#N/A</v>
      </c>
      <c r="AG102" s="609" t="e">
        <f t="shared" si="2"/>
        <v>#N/A</v>
      </c>
      <c r="AH102" s="609" t="e">
        <f t="shared" si="3"/>
        <v>#N/A</v>
      </c>
      <c r="AI102" s="609" t="e">
        <f t="shared" si="4"/>
        <v>#N/A</v>
      </c>
      <c r="AJ102" s="609" t="e">
        <f t="shared" si="5"/>
        <v>#N/A</v>
      </c>
      <c r="AK102" s="609" t="e">
        <f t="shared" si="6"/>
        <v>#N/A</v>
      </c>
      <c r="AL102" s="609" t="e">
        <f t="shared" si="7"/>
        <v>#N/A</v>
      </c>
      <c r="AM102" s="609" t="str">
        <f t="shared" si="44"/>
        <v/>
      </c>
      <c r="AN102" s="609" t="str">
        <f t="shared" si="45"/>
        <v/>
      </c>
      <c r="AQ102" s="609"/>
    </row>
    <row r="103" spans="1:43" ht="15.5" x14ac:dyDescent="0.35">
      <c r="B103" s="797" t="s">
        <v>253</v>
      </c>
      <c r="C103" s="752" t="s">
        <v>253</v>
      </c>
      <c r="D103" s="756"/>
      <c r="E103" s="757"/>
      <c r="F103" s="757"/>
      <c r="G103" s="778"/>
      <c r="H103" s="778"/>
      <c r="I103" s="757"/>
      <c r="J103" s="757"/>
      <c r="K103" s="778"/>
      <c r="L103" s="778"/>
      <c r="O103" s="754"/>
      <c r="Q103" s="755"/>
      <c r="AQ103" s="609"/>
    </row>
    <row r="104" spans="1:43" ht="15.5" x14ac:dyDescent="0.35">
      <c r="A104" t="s">
        <v>1213</v>
      </c>
      <c r="B104" s="768">
        <v>290</v>
      </c>
      <c r="C104" s="764" t="s">
        <v>1214</v>
      </c>
      <c r="D104" s="756"/>
      <c r="E104" s="1223">
        <f>SUM(E64,E67:E78,E81:E83,E86:E89,E91,E94,E97:E102)</f>
        <v>0</v>
      </c>
      <c r="F104" s="1419">
        <f t="shared" ref="F104:L104" si="46">SUM(F64,F67:F78,F81:F83,F86:F89,F91,F94,F97:F102)</f>
        <v>0</v>
      </c>
      <c r="G104" s="1223">
        <f t="shared" si="46"/>
        <v>0</v>
      </c>
      <c r="H104" s="1420">
        <f t="shared" si="46"/>
        <v>0</v>
      </c>
      <c r="I104" s="1223">
        <f t="shared" si="46"/>
        <v>0</v>
      </c>
      <c r="J104" s="1223">
        <f t="shared" si="46"/>
        <v>0</v>
      </c>
      <c r="K104" s="1290">
        <f t="shared" si="46"/>
        <v>0</v>
      </c>
      <c r="L104" s="1420">
        <f t="shared" si="46"/>
        <v>0</v>
      </c>
      <c r="M104" s="690"/>
      <c r="N104" s="1293" t="str">
        <f>IF(ISERROR(O104),"",IF((O104="Error"),"add explanation",IF((O104="Warning"),"add explanation","")))</f>
        <v/>
      </c>
      <c r="O104" s="754" t="str">
        <f t="shared" si="20"/>
        <v/>
      </c>
      <c r="Q104" s="755" t="str">
        <f>IF($O104="Error","A total column for "&amp;($C104)&amp;" does not match the sum of the components, please correct",IF($O104="Warning","This year's figure is over "&amp;AE104/1000&amp;" million and "&amp;(AD104*100)&amp;"% different to "&amp;TEXT(AF104,"#,###")&amp;" last year, please explain",""))</f>
        <v/>
      </c>
      <c r="AD104" s="609">
        <f>VLOOKUP("RO5"&amp;$B104,data_val_parameters,8,0)/100</f>
        <v>0.4</v>
      </c>
      <c r="AQ104" s="609"/>
    </row>
    <row r="105" spans="1:43" ht="42" x14ac:dyDescent="0.35">
      <c r="C105" s="756"/>
      <c r="D105" s="756"/>
      <c r="E105" s="757"/>
      <c r="F105" s="1421"/>
      <c r="G105" s="778"/>
      <c r="H105" s="1212" t="s">
        <v>742</v>
      </c>
      <c r="I105" s="24"/>
      <c r="J105" s="24"/>
      <c r="K105" s="82"/>
      <c r="L105" s="1212" t="s">
        <v>743</v>
      </c>
      <c r="N105" s="320"/>
      <c r="O105" s="754"/>
      <c r="Q105" s="755"/>
      <c r="AQ105" s="609"/>
    </row>
    <row r="106" spans="1:43" ht="46.5" x14ac:dyDescent="0.35">
      <c r="C106" s="756"/>
      <c r="D106" s="756"/>
      <c r="E106" s="757"/>
      <c r="F106" s="770" t="s">
        <v>744</v>
      </c>
      <c r="G106" s="778"/>
      <c r="H106" s="1199" t="str" cm="1">
        <f t="array" ref="H106">IF(SUMPRODUCT(--(H64:H104 &gt; G64:G104)),"Error","")</f>
        <v/>
      </c>
      <c r="I106" s="24" t="str">
        <f>IF(H106="Error","A figure in the central MSS column is greater than total expenditure for that line","")</f>
        <v/>
      </c>
      <c r="J106" s="757"/>
      <c r="K106" s="778"/>
      <c r="L106" s="769"/>
      <c r="N106" s="320"/>
      <c r="O106" s="754"/>
      <c r="Q106" s="755"/>
      <c r="AQ106" s="609"/>
    </row>
    <row r="107" spans="1:43" ht="15.5" x14ac:dyDescent="0.35">
      <c r="E107" s="757"/>
      <c r="F107" s="771" t="s">
        <v>745</v>
      </c>
      <c r="G107" s="778"/>
      <c r="I107" s="757"/>
      <c r="J107" s="757"/>
      <c r="K107" s="778"/>
      <c r="L107" s="104"/>
      <c r="N107" s="320"/>
      <c r="O107" s="754"/>
      <c r="Q107" s="755"/>
      <c r="AQ107" s="609"/>
    </row>
    <row r="108" spans="1:43" ht="15.5" x14ac:dyDescent="0.35">
      <c r="A108" t="s">
        <v>1215</v>
      </c>
      <c r="B108" s="1030">
        <v>1291</v>
      </c>
      <c r="C108" s="1030" t="s">
        <v>1216</v>
      </c>
      <c r="F108" s="1280"/>
      <c r="G108" s="778"/>
      <c r="I108" s="757"/>
      <c r="J108" s="757"/>
      <c r="K108" s="778"/>
      <c r="L108" s="104"/>
      <c r="N108" s="320"/>
      <c r="O108" s="754"/>
      <c r="Q108" s="755"/>
      <c r="AQ108" s="609"/>
    </row>
    <row r="109" spans="1:43" ht="15.5" x14ac:dyDescent="0.35">
      <c r="B109" s="1030"/>
      <c r="C109" s="1030"/>
      <c r="F109" s="1200"/>
      <c r="G109" s="778"/>
      <c r="H109" s="1206"/>
      <c r="I109" s="757"/>
      <c r="J109" s="443"/>
      <c r="K109" s="778"/>
      <c r="L109" s="104"/>
      <c r="N109" s="320"/>
      <c r="O109" s="754"/>
      <c r="Q109" s="755"/>
      <c r="AQ109" s="609"/>
    </row>
    <row r="110" spans="1:43" ht="15.5" x14ac:dyDescent="0.35">
      <c r="B110" s="1030"/>
      <c r="C110" s="1030"/>
      <c r="F110" s="1200"/>
      <c r="G110" s="778"/>
      <c r="H110" s="1206"/>
      <c r="I110" s="757"/>
      <c r="J110" s="271"/>
      <c r="K110" s="778"/>
      <c r="L110" s="104"/>
      <c r="N110" s="320"/>
      <c r="O110" s="754"/>
      <c r="Q110" s="755"/>
      <c r="AQ110" s="609"/>
    </row>
    <row r="111" spans="1:43" ht="15.5" x14ac:dyDescent="0.35">
      <c r="A111" t="s">
        <v>1217</v>
      </c>
      <c r="B111" s="1030">
        <v>1292</v>
      </c>
      <c r="C111" s="1030" t="s">
        <v>1218</v>
      </c>
      <c r="F111" s="1200"/>
      <c r="G111" s="778"/>
      <c r="H111" s="1206"/>
      <c r="I111" s="757"/>
      <c r="J111" s="1270"/>
      <c r="K111" s="1213" t="s">
        <v>750</v>
      </c>
      <c r="L111" s="104"/>
      <c r="N111" s="320"/>
      <c r="O111" s="754"/>
      <c r="Q111" s="755"/>
      <c r="AQ111" s="609"/>
    </row>
    <row r="112" spans="1:43" ht="15.5" x14ac:dyDescent="0.35">
      <c r="B112" s="3" t="s">
        <v>253</v>
      </c>
      <c r="C112" s="752" t="s">
        <v>253</v>
      </c>
      <c r="D112" s="756"/>
      <c r="E112" s="757"/>
      <c r="F112" s="757"/>
      <c r="G112" s="778"/>
      <c r="H112" s="778"/>
      <c r="I112" s="757"/>
      <c r="J112" s="757"/>
      <c r="K112" s="778"/>
      <c r="L112" s="778"/>
      <c r="N112" s="320"/>
      <c r="O112" s="754"/>
      <c r="Q112" s="755"/>
      <c r="AQ112" s="609"/>
    </row>
    <row r="113" spans="1:43" ht="18" x14ac:dyDescent="0.4">
      <c r="B113" s="801" t="s">
        <v>1219</v>
      </c>
      <c r="C113" s="752"/>
      <c r="D113" s="756"/>
      <c r="E113" s="802"/>
      <c r="F113" s="802"/>
      <c r="G113" s="22"/>
      <c r="J113" s="22"/>
      <c r="K113" s="22"/>
      <c r="L113" s="22"/>
      <c r="M113" s="22"/>
      <c r="N113" s="320"/>
      <c r="O113" s="754"/>
      <c r="Q113" s="755"/>
      <c r="AQ113" s="609"/>
    </row>
    <row r="114" spans="1:43" ht="15.5" x14ac:dyDescent="0.35">
      <c r="B114" s="3" t="s">
        <v>253</v>
      </c>
      <c r="C114" s="752" t="s">
        <v>253</v>
      </c>
      <c r="D114" s="756"/>
      <c r="E114" s="795"/>
      <c r="F114" s="795"/>
      <c r="G114" s="1"/>
      <c r="H114" s="1"/>
      <c r="I114" s="1"/>
      <c r="J114" s="1"/>
      <c r="K114" s="1"/>
      <c r="L114" s="1"/>
      <c r="N114" s="320"/>
      <c r="O114" s="754"/>
      <c r="Q114" s="755"/>
      <c r="AQ114" s="609"/>
    </row>
    <row r="115" spans="1:43" ht="15.5" x14ac:dyDescent="0.35">
      <c r="A115" t="s">
        <v>1220</v>
      </c>
      <c r="B115" s="751">
        <v>310</v>
      </c>
      <c r="C115" s="752" t="s">
        <v>1221</v>
      </c>
      <c r="D115" s="756"/>
      <c r="E115" s="1222"/>
      <c r="F115" s="1222"/>
      <c r="G115" s="1223">
        <f>SUM(E115:F115)</f>
        <v>0</v>
      </c>
      <c r="H115" s="1271"/>
      <c r="I115" s="1222"/>
      <c r="J115" s="1222"/>
      <c r="K115" s="1223">
        <f>SUM(I115:J115)</f>
        <v>0</v>
      </c>
      <c r="L115" s="1223">
        <f>G115-K115</f>
        <v>0</v>
      </c>
      <c r="N115" s="1181" t="str">
        <f>IF(ISERROR(O115),"",IF((O115="Error"),"add explanation",IF((O115="Warning"),"add explanation","")))</f>
        <v/>
      </c>
      <c r="O115" s="754" t="str">
        <f t="shared" ref="O115" si="47">IF(OR((K115&lt;&gt;(I115+J115)),(G115&lt;&gt;(E115+F115)),(L115&lt;&gt;(G115-K115)),AN115="Error"),"Error",IF(AM115="Warning","Warning",""))</f>
        <v/>
      </c>
      <c r="Q115" s="755" t="str">
        <f t="shared" ref="Q115" si="48">IF(AND($O115="Error",$AN115="Error"),"Sales, Fees &amp; Charges or Other Income figure is negative",IF($O115="Error","A total column for "&amp;($C115)&amp;" does not match the sum of the components, please correct",IF($O115="Warning","This year's figure is over "&amp;AE115/1000&amp;" million and "&amp;(AD115*100)&amp;"% different to "&amp;TEXT(AF115,"#,###")&amp;" last year, please explain","")))</f>
        <v/>
      </c>
      <c r="AD115" s="609">
        <f>VLOOKUP("RO5"&amp;$B115,data_val_parameters,8,0)/100</f>
        <v>0.3</v>
      </c>
      <c r="AE115" s="609">
        <f>VLOOKUP("RO5"&amp;$B115,data_val_parameters,7,0)</f>
        <v>2000</v>
      </c>
      <c r="AF115" s="609" t="e">
        <f>VLOOKUP(LA_code,data_prev_year,MATCH("RO5"&amp;$B115&amp;"7",data_prev_year_headers,0),0)</f>
        <v>#N/A</v>
      </c>
      <c r="AG115" s="609" t="e">
        <f t="shared" ref="AG115:AG129" si="49">AF115+AE115</f>
        <v>#N/A</v>
      </c>
      <c r="AH115" s="609" t="e">
        <f t="shared" ref="AH115:AH129" si="50">AF115-AE115</f>
        <v>#N/A</v>
      </c>
      <c r="AI115" s="609" t="e">
        <f t="shared" ref="AI115:AI129" si="51">AF115+(AF115*AD115)</f>
        <v>#N/A</v>
      </c>
      <c r="AJ115" s="609" t="e">
        <f t="shared" ref="AJ115:AJ129" si="52">AF115-(AF115*AD115)</f>
        <v>#N/A</v>
      </c>
      <c r="AK115" s="609" t="e">
        <f t="shared" ref="AK115:AK129" si="53">IF(OR(L115&lt;AH115,L115&gt;AG115),"Warning","")</f>
        <v>#N/A</v>
      </c>
      <c r="AL115" s="609" t="e">
        <f t="shared" ref="AL115:AL129" si="54">IF(OR(L115&gt;(AI115),L115&lt;(AJ115)),"Warning","")</f>
        <v>#N/A</v>
      </c>
      <c r="AM115" s="609" t="str">
        <f>IF(OR(L115=0),"",IF(AND(AK115="Warning",AL115="Warning"),"Warning",""))</f>
        <v/>
      </c>
      <c r="AN115" s="609" t="str">
        <f t="shared" ref="AN115" si="55">IF(OR(I115&lt;0,J115&lt;0),"Error","")</f>
        <v/>
      </c>
      <c r="AQ115" s="609"/>
    </row>
    <row r="116" spans="1:43" ht="15.5" x14ac:dyDescent="0.35">
      <c r="B116" s="797" t="s">
        <v>253</v>
      </c>
      <c r="C116" s="752" t="s">
        <v>253</v>
      </c>
      <c r="D116" s="756"/>
      <c r="E116" s="795"/>
      <c r="F116" s="795"/>
      <c r="G116" s="1"/>
      <c r="H116" s="1"/>
      <c r="I116" s="1"/>
      <c r="J116" s="1"/>
      <c r="K116" s="1"/>
      <c r="L116" s="1"/>
      <c r="N116" s="1182"/>
      <c r="O116" s="754"/>
      <c r="Q116" s="755"/>
      <c r="AQ116" s="609"/>
    </row>
    <row r="117" spans="1:43" ht="15.5" x14ac:dyDescent="0.35">
      <c r="A117" t="s">
        <v>1222</v>
      </c>
      <c r="B117" s="751">
        <v>320</v>
      </c>
      <c r="C117" s="752" t="s">
        <v>1223</v>
      </c>
      <c r="D117" s="756"/>
      <c r="E117" s="1222"/>
      <c r="F117" s="1222"/>
      <c r="G117" s="1223">
        <f>SUM(E117:F117)</f>
        <v>0</v>
      </c>
      <c r="H117" s="1271"/>
      <c r="I117" s="1222"/>
      <c r="J117" s="1222"/>
      <c r="K117" s="1223">
        <f>SUM(I117:J117)</f>
        <v>0</v>
      </c>
      <c r="L117" s="1223">
        <f>G117-K117</f>
        <v>0</v>
      </c>
      <c r="N117" s="1181" t="str">
        <f>IF(ISERROR(O117),"",IF((O117="Error"),"add explanation",IF((O117="Warning"),"add explanation","")))</f>
        <v/>
      </c>
      <c r="O117" s="754" t="str">
        <f t="shared" ref="O117" si="56">IF(OR((K117&lt;&gt;(I117+J117)),(G117&lt;&gt;(E117+F117)),(L117&lt;&gt;(G117-K117)),AN117="Error"),"Error",IF(AM117="Warning","Warning",""))</f>
        <v/>
      </c>
      <c r="Q117" s="755" t="str">
        <f t="shared" ref="Q117" si="57">IF(AND($O117="Error",$AN117="Error"),"Sales, Fees &amp; Charges or Other Income figure is negative",IF($O117="Error","A total column for "&amp;($C117)&amp;" does not match the sum of the components, please correct",IF($O117="Warning","This year's figure is over "&amp;AE117/1000&amp;" million and "&amp;(AD117*100)&amp;"% different to "&amp;TEXT(AF117,"#,###")&amp;" last year, please explain","")))</f>
        <v/>
      </c>
      <c r="AD117" s="609">
        <f>VLOOKUP("RO5"&amp;$B117,data_val_parameters,8,0)/100</f>
        <v>0.3</v>
      </c>
      <c r="AE117" s="609">
        <f>VLOOKUP("RO5"&amp;$B117,data_val_parameters,7,0)</f>
        <v>2000</v>
      </c>
      <c r="AF117" s="636" t="e">
        <f>VLOOKUP(LA_code,data_prev_year,MATCH("RO5"&amp;$B117&amp;"7",data_prev_year_headers,0),0)</f>
        <v>#N/A</v>
      </c>
      <c r="AG117" s="636" t="e">
        <f t="shared" si="49"/>
        <v>#N/A</v>
      </c>
      <c r="AH117" s="636" t="e">
        <f t="shared" si="50"/>
        <v>#N/A</v>
      </c>
      <c r="AI117" s="636" t="e">
        <f t="shared" si="51"/>
        <v>#N/A</v>
      </c>
      <c r="AJ117" s="636" t="e">
        <f t="shared" si="52"/>
        <v>#N/A</v>
      </c>
      <c r="AK117" s="609" t="e">
        <f t="shared" si="53"/>
        <v>#N/A</v>
      </c>
      <c r="AL117" s="609" t="e">
        <f t="shared" si="54"/>
        <v>#N/A</v>
      </c>
      <c r="AM117" s="609" t="str">
        <f>IF(OR(L117=0),"",IF(AND(AK117="Warning",AL117="Warning"),"Warning",""))</f>
        <v/>
      </c>
      <c r="AN117" s="609" t="str">
        <f t="shared" ref="AN117" si="58">IF(OR(I117&lt;0,J117&lt;0),"Error","")</f>
        <v/>
      </c>
      <c r="AQ117" s="609"/>
    </row>
    <row r="118" spans="1:43" ht="15.5" x14ac:dyDescent="0.35">
      <c r="B118" s="797" t="s">
        <v>253</v>
      </c>
      <c r="C118" s="752" t="s">
        <v>253</v>
      </c>
      <c r="D118" s="756"/>
      <c r="E118" s="795"/>
      <c r="F118" s="795"/>
      <c r="G118" s="1"/>
      <c r="H118" s="1"/>
      <c r="I118" s="1"/>
      <c r="J118" s="1"/>
      <c r="K118" s="1"/>
      <c r="L118" s="1"/>
      <c r="N118" s="1182"/>
      <c r="O118" s="754"/>
      <c r="Q118" s="755"/>
      <c r="AQ118" s="609"/>
    </row>
    <row r="119" spans="1:43" ht="15.5" x14ac:dyDescent="0.35">
      <c r="B119" s="794" t="s">
        <v>1224</v>
      </c>
      <c r="C119" s="752"/>
      <c r="D119" s="756"/>
      <c r="E119" s="795"/>
      <c r="F119" s="795"/>
      <c r="G119" s="1"/>
      <c r="H119" s="1"/>
      <c r="I119" s="1"/>
      <c r="J119" s="1"/>
      <c r="K119" s="1"/>
      <c r="L119" s="1"/>
      <c r="N119" s="1182"/>
      <c r="O119" s="754"/>
      <c r="Q119" s="755"/>
      <c r="AQ119" s="609"/>
    </row>
    <row r="120" spans="1:43" ht="15.5" x14ac:dyDescent="0.35">
      <c r="A120" s="471" t="s">
        <v>1225</v>
      </c>
      <c r="B120" s="760">
        <v>335</v>
      </c>
      <c r="C120" s="752" t="s">
        <v>1226</v>
      </c>
      <c r="D120" s="756"/>
      <c r="E120" s="1222"/>
      <c r="F120" s="1222"/>
      <c r="G120" s="1223">
        <f>SUM(E120:F120)</f>
        <v>0</v>
      </c>
      <c r="H120" s="1271"/>
      <c r="I120" s="1222"/>
      <c r="J120" s="1222"/>
      <c r="K120" s="1223">
        <f>SUM(I120:J120)</f>
        <v>0</v>
      </c>
      <c r="L120" s="1223">
        <f>G120-K120</f>
        <v>0</v>
      </c>
      <c r="N120" s="1181" t="str">
        <f>IF(ISERROR(O120),"",IF((O120="Error"),"add explanation",IF((O120="Warning"),"add explanation","")))</f>
        <v/>
      </c>
      <c r="O120" s="754" t="str">
        <f t="shared" ref="O120:O121" si="59">IF(OR((K120&lt;&gt;(I120+J120)),(G120&lt;&gt;(E120+F120)),(L120&lt;&gt;(G120-K120)),AN120="Error"),"Error",IF(AM120="Warning","Warning",""))</f>
        <v/>
      </c>
      <c r="Q120" s="755" t="str">
        <f t="shared" ref="Q120:Q121" si="60">IF(AND($O120="Error",$AN120="Error"),"Sales, Fees &amp; Charges or Other Income figure is negative",IF($O120="Error","A total column for "&amp;($C120)&amp;" does not match the sum of the components, please correct",IF($O120="Warning","This year's figure is over "&amp;AE120/1000&amp;" million and "&amp;(AD120*100)&amp;"% different to "&amp;TEXT(AF120,"#,###")&amp;" last year, please explain","")))</f>
        <v/>
      </c>
      <c r="AD120" s="609">
        <f>VLOOKUP("RO5"&amp;$B120,data_val_parameters,8,0)/100</f>
        <v>0.4</v>
      </c>
      <c r="AE120" s="609">
        <f>VLOOKUP("RO5"&amp;$B120,data_val_parameters,7,0)</f>
        <v>4000</v>
      </c>
      <c r="AF120" s="609" t="e">
        <f>VLOOKUP(LA_code,data_prev_year,MATCH("RO5"&amp;$B120&amp;"7",data_prev_year_headers,0),0)</f>
        <v>#N/A</v>
      </c>
      <c r="AG120" s="609" t="e">
        <f t="shared" si="49"/>
        <v>#N/A</v>
      </c>
      <c r="AH120" s="609" t="e">
        <f t="shared" si="50"/>
        <v>#N/A</v>
      </c>
      <c r="AI120" s="609" t="e">
        <f t="shared" si="51"/>
        <v>#N/A</v>
      </c>
      <c r="AJ120" s="609" t="e">
        <f t="shared" si="52"/>
        <v>#N/A</v>
      </c>
      <c r="AK120" s="609" t="e">
        <f t="shared" si="53"/>
        <v>#N/A</v>
      </c>
      <c r="AL120" s="609" t="e">
        <f t="shared" si="54"/>
        <v>#N/A</v>
      </c>
      <c r="AM120" s="609" t="str">
        <f>IF(OR(L120=0),"",IF(AND(AK120="Warning",AL120="Warning"),"Warning",""))</f>
        <v/>
      </c>
      <c r="AN120" s="609" t="str">
        <f t="shared" ref="AN120:AN121" si="61">IF(OR(I120&lt;0,J120&lt;0),"Error","")</f>
        <v/>
      </c>
      <c r="AQ120" s="609"/>
    </row>
    <row r="121" spans="1:43" ht="15.5" x14ac:dyDescent="0.35">
      <c r="A121" t="s">
        <v>1227</v>
      </c>
      <c r="B121" s="760">
        <v>338</v>
      </c>
      <c r="C121" s="752" t="s">
        <v>1228</v>
      </c>
      <c r="D121" s="756"/>
      <c r="E121" s="1222"/>
      <c r="F121" s="1222"/>
      <c r="G121" s="1223">
        <f>SUM(E121:F121)</f>
        <v>0</v>
      </c>
      <c r="H121" s="1271"/>
      <c r="I121" s="1222"/>
      <c r="J121" s="1222"/>
      <c r="K121" s="1223">
        <f>SUM(I121:J121)</f>
        <v>0</v>
      </c>
      <c r="L121" s="1223">
        <f>G121-K121</f>
        <v>0</v>
      </c>
      <c r="N121" s="1181" t="str">
        <f>IF(ISERROR(O121),"",IF((O121="Error"),"add explanation",IF((O121="Warning"),"add explanation","")))</f>
        <v/>
      </c>
      <c r="O121" s="754" t="str">
        <f t="shared" si="59"/>
        <v/>
      </c>
      <c r="Q121" s="755" t="str">
        <f t="shared" si="60"/>
        <v/>
      </c>
      <c r="AD121" s="609">
        <f>VLOOKUP("RO5"&amp;$B121,data_val_parameters,8,0)/100</f>
        <v>0.4</v>
      </c>
      <c r="AE121" s="609">
        <f>VLOOKUP("RO5"&amp;$B121,data_val_parameters,7,0)</f>
        <v>4000</v>
      </c>
      <c r="AF121" s="636" t="e">
        <f>VLOOKUP(LA_code,data_prev_year,MATCH("RO5"&amp;$B121&amp;"7",data_prev_year_headers,0),0)</f>
        <v>#N/A</v>
      </c>
      <c r="AG121" s="636" t="e">
        <f t="shared" si="49"/>
        <v>#N/A</v>
      </c>
      <c r="AH121" s="636" t="e">
        <f t="shared" si="50"/>
        <v>#N/A</v>
      </c>
      <c r="AI121" s="636" t="e">
        <f t="shared" si="51"/>
        <v>#N/A</v>
      </c>
      <c r="AJ121" s="636" t="e">
        <f t="shared" si="52"/>
        <v>#N/A</v>
      </c>
      <c r="AK121" s="609" t="e">
        <f t="shared" si="53"/>
        <v>#N/A</v>
      </c>
      <c r="AL121" s="609" t="e">
        <f t="shared" si="54"/>
        <v>#N/A</v>
      </c>
      <c r="AM121" s="609" t="str">
        <f>IF(OR(L121=0),"",IF(AND(AK121="Warning",AL121="Warning"),"Warning",""))</f>
        <v/>
      </c>
      <c r="AN121" s="609" t="str">
        <f t="shared" si="61"/>
        <v/>
      </c>
      <c r="AQ121" s="609"/>
    </row>
    <row r="122" spans="1:43" ht="15.5" x14ac:dyDescent="0.35">
      <c r="B122" s="797" t="s">
        <v>253</v>
      </c>
      <c r="C122" s="752" t="s">
        <v>253</v>
      </c>
      <c r="D122" s="756"/>
      <c r="E122" s="795"/>
      <c r="F122" s="795"/>
      <c r="G122" s="1"/>
      <c r="H122" s="1"/>
      <c r="I122" s="1"/>
      <c r="J122" s="1"/>
      <c r="K122" s="1"/>
      <c r="L122" s="1"/>
      <c r="N122" s="1182"/>
      <c r="O122" s="754"/>
      <c r="Q122" s="755"/>
      <c r="AQ122" s="609"/>
    </row>
    <row r="123" spans="1:43" ht="15.5" x14ac:dyDescent="0.35">
      <c r="A123" t="s">
        <v>1229</v>
      </c>
      <c r="B123" s="751">
        <v>340</v>
      </c>
      <c r="C123" s="752" t="s">
        <v>1230</v>
      </c>
      <c r="D123" s="756"/>
      <c r="E123" s="1222"/>
      <c r="F123" s="1222"/>
      <c r="G123" s="1223">
        <f>SUM(E123:F123)</f>
        <v>0</v>
      </c>
      <c r="H123" s="1271"/>
      <c r="I123" s="1222"/>
      <c r="J123" s="1222"/>
      <c r="K123" s="1223">
        <f>SUM(I123:J123)</f>
        <v>0</v>
      </c>
      <c r="L123" s="1223">
        <f>G123-K123</f>
        <v>0</v>
      </c>
      <c r="N123" s="1181" t="str">
        <f>IF(ISERROR(O123),"",IF((O123="Error"),"add explanation",IF((O123="Warning"),"add explanation","")))</f>
        <v/>
      </c>
      <c r="O123" s="754" t="str">
        <f t="shared" ref="O123" si="62">IF(OR((K123&lt;&gt;(I123+J123)),(G123&lt;&gt;(E123+F123)),(L123&lt;&gt;(G123-K123)),AN123="Error"),"Error",IF(AM123="Warning","Warning",""))</f>
        <v/>
      </c>
      <c r="Q123" s="755" t="str">
        <f t="shared" ref="Q123" si="63">IF(AND($O123="Error",$AN123="Error"),"Sales, Fees &amp; Charges or Other Income figure is negative",IF($O123="Error","A total column for "&amp;($C123)&amp;" does not match the sum of the components, please correct",IF($O123="Warning","This year's figure is over "&amp;AE123/1000&amp;" million and "&amp;(AD123*100)&amp;"% different to "&amp;TEXT(AF123,"#,###")&amp;" last year, please explain","")))</f>
        <v/>
      </c>
      <c r="AD123" s="609">
        <f>VLOOKUP("RO5"&amp;$B123,data_val_parameters,8,0)/100</f>
        <v>0.4</v>
      </c>
      <c r="AE123" s="609">
        <f>VLOOKUP("RO5"&amp;$B123,data_val_parameters,7,0)</f>
        <v>4000</v>
      </c>
      <c r="AF123" s="609" t="e">
        <f>VLOOKUP(LA_code,data_prev_year,MATCH("RO5"&amp;$B123&amp;"7",data_prev_year_headers,0),0)</f>
        <v>#N/A</v>
      </c>
      <c r="AG123" s="609" t="e">
        <f t="shared" si="49"/>
        <v>#N/A</v>
      </c>
      <c r="AH123" s="609" t="e">
        <f t="shared" si="50"/>
        <v>#N/A</v>
      </c>
      <c r="AI123" s="636" t="e">
        <f t="shared" si="51"/>
        <v>#N/A</v>
      </c>
      <c r="AJ123" s="636" t="e">
        <f t="shared" si="52"/>
        <v>#N/A</v>
      </c>
      <c r="AK123" s="609" t="e">
        <f t="shared" si="53"/>
        <v>#N/A</v>
      </c>
      <c r="AL123" s="609" t="e">
        <f t="shared" si="54"/>
        <v>#N/A</v>
      </c>
      <c r="AM123" s="609" t="str">
        <f>IF(OR(L123=0),"",IF(AND(AK123="Warning",AL123="Warning"),"Warning",""))</f>
        <v/>
      </c>
      <c r="AN123" s="609" t="str">
        <f t="shared" ref="AN123" si="64">IF(OR(I123&lt;0,J123&lt;0),"Error","")</f>
        <v/>
      </c>
      <c r="AQ123" s="609"/>
    </row>
    <row r="124" spans="1:43" ht="15.5" x14ac:dyDescent="0.35">
      <c r="B124" s="797" t="s">
        <v>253</v>
      </c>
      <c r="C124" s="752" t="s">
        <v>253</v>
      </c>
      <c r="D124" s="756"/>
      <c r="E124" s="795"/>
      <c r="F124" s="795"/>
      <c r="G124" s="1"/>
      <c r="H124" s="1"/>
      <c r="I124" s="1"/>
      <c r="J124" s="1"/>
      <c r="K124" s="1"/>
      <c r="L124" s="1"/>
      <c r="N124" s="1182"/>
      <c r="O124" s="754"/>
      <c r="Q124" s="755"/>
      <c r="AQ124" s="609"/>
    </row>
    <row r="125" spans="1:43" ht="15.5" x14ac:dyDescent="0.35">
      <c r="A125" t="s">
        <v>1231</v>
      </c>
      <c r="B125" s="751">
        <v>350</v>
      </c>
      <c r="C125" s="752" t="s">
        <v>1232</v>
      </c>
      <c r="D125" s="756"/>
      <c r="E125" s="1222"/>
      <c r="F125" s="1222"/>
      <c r="G125" s="1223">
        <f>SUM(E125:F125)</f>
        <v>0</v>
      </c>
      <c r="H125" s="1271"/>
      <c r="I125" s="1222"/>
      <c r="J125" s="1222"/>
      <c r="K125" s="1223">
        <f>SUM(I125:J125)</f>
        <v>0</v>
      </c>
      <c r="L125" s="1223">
        <f>G125-K125</f>
        <v>0</v>
      </c>
      <c r="N125" s="1181" t="str">
        <f>IF(ISERROR(O125),"",IF((O125="Error"),"add explanation",IF((O125="Warning"),"add explanation","")))</f>
        <v/>
      </c>
      <c r="O125" s="754" t="str">
        <f t="shared" ref="O125:O127" si="65">IF(OR((K125&lt;&gt;(I125+J125)),(G125&lt;&gt;(E125+F125)),(L125&lt;&gt;(G125-K125)),AN125="Error"),"Error",IF(AM125="Warning","Warning",""))</f>
        <v/>
      </c>
      <c r="Q125" s="755" t="str">
        <f t="shared" ref="Q125:Q127" si="66">IF(AND($O125="Error",$AN125="Error"),"Sales, Fees &amp; Charges or Other Income figure is negative",IF($O125="Error","A total column for "&amp;($C125)&amp;" does not match the sum of the components, please correct",IF($O125="Warning","This year's figure is over "&amp;AE125/1000&amp;" million and "&amp;(AD125*100)&amp;"% different to "&amp;TEXT(AF125,"#,###")&amp;" last year, please explain","")))</f>
        <v/>
      </c>
      <c r="AD125" s="609">
        <f>VLOOKUP("RO5"&amp;$B125,data_val_parameters,8,0)/100</f>
        <v>0.4</v>
      </c>
      <c r="AE125" s="609">
        <f>VLOOKUP("RO5"&amp;$B125,data_val_parameters,7,0)</f>
        <v>12000</v>
      </c>
      <c r="AF125" s="609" t="e">
        <f>VLOOKUP(LA_code,data_prev_year,MATCH("RO5"&amp;$B125&amp;"7",data_prev_year_headers,0),0)</f>
        <v>#N/A</v>
      </c>
      <c r="AG125" s="609" t="e">
        <f t="shared" si="49"/>
        <v>#N/A</v>
      </c>
      <c r="AH125" s="609" t="e">
        <f t="shared" si="50"/>
        <v>#N/A</v>
      </c>
      <c r="AI125" s="609" t="e">
        <f t="shared" si="51"/>
        <v>#N/A</v>
      </c>
      <c r="AJ125" s="609" t="e">
        <f t="shared" si="52"/>
        <v>#N/A</v>
      </c>
      <c r="AK125" s="609" t="e">
        <f t="shared" si="53"/>
        <v>#N/A</v>
      </c>
      <c r="AL125" s="609" t="e">
        <f t="shared" si="54"/>
        <v>#N/A</v>
      </c>
      <c r="AM125" s="609" t="str">
        <f>IF(OR(L125=0),"",IF(AND(AK125="Warning",AL125="Warning"),"Warning",""))</f>
        <v/>
      </c>
      <c r="AN125" s="609" t="str">
        <f t="shared" ref="AN125:AN127" si="67">IF(OR(I125&lt;0,J125&lt;0),"Error","")</f>
        <v/>
      </c>
      <c r="AQ125" s="609"/>
    </row>
    <row r="126" spans="1:43" ht="15.5" x14ac:dyDescent="0.35">
      <c r="A126" t="s">
        <v>1233</v>
      </c>
      <c r="B126" s="751">
        <v>351</v>
      </c>
      <c r="C126" s="752" t="s">
        <v>1234</v>
      </c>
      <c r="D126" s="756"/>
      <c r="E126" s="1222"/>
      <c r="F126" s="1222"/>
      <c r="G126" s="1223">
        <f>SUM(E126:F126)</f>
        <v>0</v>
      </c>
      <c r="H126" s="1271"/>
      <c r="I126" s="1222"/>
      <c r="J126" s="1222"/>
      <c r="K126" s="1223">
        <f>SUM(I126:J126)</f>
        <v>0</v>
      </c>
      <c r="L126" s="1223">
        <f>G126-K126</f>
        <v>0</v>
      </c>
      <c r="N126" s="1181" t="str">
        <f>IF(ISERROR(O126),"",IF((O126="Error"),"add explanation",IF((O126="Warning"),"add explanation","")))</f>
        <v/>
      </c>
      <c r="O126" s="754" t="str">
        <f t="shared" si="65"/>
        <v/>
      </c>
      <c r="Q126" s="755" t="str">
        <f t="shared" si="66"/>
        <v/>
      </c>
      <c r="AD126" s="609">
        <f>VLOOKUP("RO5"&amp;$B126,data_val_parameters,8,0)/100</f>
        <v>0.4</v>
      </c>
      <c r="AE126" s="609">
        <f>VLOOKUP("RO5"&amp;$B126,data_val_parameters,7,0)</f>
        <v>4000</v>
      </c>
      <c r="AF126" s="609" t="e">
        <f>VLOOKUP(LA_code,data_prev_year,MATCH("RO5"&amp;$B126&amp;"7",data_prev_year_headers,0),0)</f>
        <v>#N/A</v>
      </c>
      <c r="AG126" s="609" t="e">
        <f t="shared" si="49"/>
        <v>#N/A</v>
      </c>
      <c r="AH126" s="609" t="e">
        <f t="shared" si="50"/>
        <v>#N/A</v>
      </c>
      <c r="AI126" s="609" t="e">
        <f t="shared" si="51"/>
        <v>#N/A</v>
      </c>
      <c r="AJ126" s="609" t="e">
        <f t="shared" si="52"/>
        <v>#N/A</v>
      </c>
      <c r="AK126" s="609" t="e">
        <f t="shared" si="53"/>
        <v>#N/A</v>
      </c>
      <c r="AL126" s="609" t="e">
        <f t="shared" si="54"/>
        <v>#N/A</v>
      </c>
      <c r="AM126" s="609" t="str">
        <f>IF(OR(L126=0),"",IF(AND(AK126="Warning",AL126="Warning"),"Warning",""))</f>
        <v/>
      </c>
      <c r="AN126" s="609" t="str">
        <f t="shared" si="67"/>
        <v/>
      </c>
      <c r="AQ126" s="609"/>
    </row>
    <row r="127" spans="1:43" ht="15.5" x14ac:dyDescent="0.35">
      <c r="A127" t="s">
        <v>1235</v>
      </c>
      <c r="B127" s="751">
        <v>352</v>
      </c>
      <c r="C127" s="752" t="s">
        <v>1236</v>
      </c>
      <c r="D127" s="756"/>
      <c r="E127" s="1222"/>
      <c r="F127" s="1222"/>
      <c r="G127" s="1223">
        <f>SUM(E127:F127)</f>
        <v>0</v>
      </c>
      <c r="H127" s="1271"/>
      <c r="I127" s="1222"/>
      <c r="J127" s="1222"/>
      <c r="K127" s="1223">
        <f>SUM(I127:J127)</f>
        <v>0</v>
      </c>
      <c r="L127" s="1223">
        <f>G127-K127</f>
        <v>0</v>
      </c>
      <c r="N127" s="1181" t="str">
        <f>IF(ISERROR(O127),"",IF((O127="Error"),"add explanation",IF((O127="Warning"),"add explanation","")))</f>
        <v/>
      </c>
      <c r="O127" s="754" t="str">
        <f t="shared" si="65"/>
        <v/>
      </c>
      <c r="Q127" s="755" t="str">
        <f t="shared" si="66"/>
        <v/>
      </c>
      <c r="AD127" s="609">
        <f>VLOOKUP("RO5"&amp;$B127,data_val_parameters,8,0)/100</f>
        <v>0.4</v>
      </c>
      <c r="AE127" s="609">
        <f>VLOOKUP("RO5"&amp;$B127,data_val_parameters,7,0)</f>
        <v>4000</v>
      </c>
      <c r="AF127" s="609" t="e">
        <f>VLOOKUP(LA_code,data_prev_year,MATCH("RO5"&amp;$B127&amp;"7",data_prev_year_headers,0),0)</f>
        <v>#N/A</v>
      </c>
      <c r="AG127" s="609" t="e">
        <f t="shared" si="49"/>
        <v>#N/A</v>
      </c>
      <c r="AH127" s="609" t="e">
        <f t="shared" si="50"/>
        <v>#N/A</v>
      </c>
      <c r="AI127" s="609" t="e">
        <f t="shared" si="51"/>
        <v>#N/A</v>
      </c>
      <c r="AJ127" s="609" t="e">
        <f t="shared" si="52"/>
        <v>#N/A</v>
      </c>
      <c r="AK127" s="609" t="e">
        <f t="shared" si="53"/>
        <v>#N/A</v>
      </c>
      <c r="AL127" s="609" t="e">
        <f t="shared" si="54"/>
        <v>#N/A</v>
      </c>
      <c r="AM127" s="609" t="str">
        <f>IF(OR(L127=0),"",IF(AND(AK127="Warning",AL127="Warning"),"Warning",""))</f>
        <v/>
      </c>
      <c r="AN127" s="609" t="str">
        <f t="shared" si="67"/>
        <v/>
      </c>
      <c r="AQ127" s="609"/>
    </row>
    <row r="128" spans="1:43" ht="15.5" x14ac:dyDescent="0.35">
      <c r="B128" s="797" t="s">
        <v>253</v>
      </c>
      <c r="C128" s="752" t="s">
        <v>253</v>
      </c>
      <c r="D128" s="756"/>
      <c r="E128" s="795"/>
      <c r="F128" s="795"/>
      <c r="G128" s="1"/>
      <c r="H128" s="1"/>
      <c r="I128" s="1"/>
      <c r="J128" s="1"/>
      <c r="K128" s="1"/>
      <c r="L128" s="1"/>
      <c r="N128" s="1182"/>
      <c r="O128" s="754"/>
      <c r="Q128" s="755"/>
      <c r="AQ128" s="609"/>
    </row>
    <row r="129" spans="1:43" ht="15.5" x14ac:dyDescent="0.35">
      <c r="A129" t="s">
        <v>1237</v>
      </c>
      <c r="B129" s="751">
        <v>360</v>
      </c>
      <c r="C129" s="752" t="s">
        <v>1238</v>
      </c>
      <c r="D129" s="756"/>
      <c r="E129" s="1222"/>
      <c r="F129" s="1222"/>
      <c r="G129" s="1223">
        <f>SUM(E129:F129)</f>
        <v>0</v>
      </c>
      <c r="H129" s="1271"/>
      <c r="I129" s="1222"/>
      <c r="J129" s="1222"/>
      <c r="K129" s="1223">
        <f>SUM(I129:J129)</f>
        <v>0</v>
      </c>
      <c r="L129" s="1223">
        <f>G129-K129</f>
        <v>0</v>
      </c>
      <c r="N129" s="1181" t="str">
        <f>IF(ISERROR(O129),"",IF((O129="Error"),"add explanation",IF((O129="Warning"),"add explanation","")))</f>
        <v/>
      </c>
      <c r="O129" s="754" t="str">
        <f t="shared" ref="O129" si="68">IF(OR((K129&lt;&gt;(I129+J129)),(G129&lt;&gt;(E129+F129)),(L129&lt;&gt;(G129-K129)),AN129="Error"),"Error",IF(AM129="Warning","Warning",""))</f>
        <v/>
      </c>
      <c r="Q129" s="755" t="str">
        <f t="shared" ref="Q129" si="69">IF(AND($O129="Error",$AN129="Error"),"Sales, Fees &amp; Charges or Other Income figure is negative",IF($O129="Error","A total column for "&amp;($C129)&amp;" does not match the sum of the components, please correct",IF($O129="Warning","This year's figure is over "&amp;AE129/1000&amp;" million and "&amp;(AD129*100)&amp;"% different to "&amp;TEXT(AF129,"#,###")&amp;" last year, please explain","")))</f>
        <v/>
      </c>
      <c r="AD129" s="609">
        <f>VLOOKUP("RO5"&amp;$B129,data_val_parameters,8,0)/100</f>
        <v>0.4</v>
      </c>
      <c r="AE129" s="609">
        <f>VLOOKUP("RO5"&amp;$B129,data_val_parameters,7,0)</f>
        <v>4000</v>
      </c>
      <c r="AF129" s="609" t="e">
        <f>VLOOKUP(LA_code,data_prev_year,MATCH("RO5"&amp;$B129&amp;"7",data_prev_year_headers,0),0)</f>
        <v>#N/A</v>
      </c>
      <c r="AG129" s="609" t="e">
        <f t="shared" si="49"/>
        <v>#N/A</v>
      </c>
      <c r="AH129" s="609" t="e">
        <f t="shared" si="50"/>
        <v>#N/A</v>
      </c>
      <c r="AI129" s="609" t="e">
        <f t="shared" si="51"/>
        <v>#N/A</v>
      </c>
      <c r="AJ129" s="609" t="e">
        <f t="shared" si="52"/>
        <v>#N/A</v>
      </c>
      <c r="AK129" s="609" t="e">
        <f t="shared" si="53"/>
        <v>#N/A</v>
      </c>
      <c r="AL129" s="609" t="e">
        <f t="shared" si="54"/>
        <v>#N/A</v>
      </c>
      <c r="AM129" s="609" t="str">
        <f>IF(OR(L129=0),"",IF(AND(AK129="Warning",AL129="Warning"),"Warning",""))</f>
        <v/>
      </c>
      <c r="AN129" s="609" t="str">
        <f t="shared" ref="AN129" si="70">IF(OR(I129&lt;0,J129&lt;0),"Error","")</f>
        <v/>
      </c>
      <c r="AQ129" s="609"/>
    </row>
    <row r="130" spans="1:43" ht="15.5" x14ac:dyDescent="0.35">
      <c r="B130" s="797" t="s">
        <v>253</v>
      </c>
      <c r="C130" s="752" t="s">
        <v>253</v>
      </c>
      <c r="D130" s="756"/>
      <c r="E130" s="795"/>
      <c r="F130" s="795"/>
      <c r="G130" s="1"/>
      <c r="H130" s="1"/>
      <c r="I130" s="1"/>
      <c r="J130" s="1"/>
      <c r="K130" s="1"/>
      <c r="L130" s="1"/>
      <c r="N130" s="1182"/>
      <c r="O130" s="754"/>
      <c r="Q130" s="755"/>
      <c r="AQ130" s="609"/>
    </row>
    <row r="131" spans="1:43" ht="15.5" x14ac:dyDescent="0.35">
      <c r="A131" t="s">
        <v>1239</v>
      </c>
      <c r="B131" s="768">
        <v>390</v>
      </c>
      <c r="C131" s="764" t="s">
        <v>1240</v>
      </c>
      <c r="D131" s="756"/>
      <c r="E131" s="1223">
        <f>SUM(E115,E117,E120:E121,E123,E125:E127,E129)</f>
        <v>0</v>
      </c>
      <c r="F131" s="1223">
        <f t="shared" ref="F131:L131" si="71">SUM(F115,F117,F120:F121,F123,F125:F127,F129)</f>
        <v>0</v>
      </c>
      <c r="G131" s="1223">
        <f t="shared" si="71"/>
        <v>0</v>
      </c>
      <c r="H131" s="1420">
        <f t="shared" si="71"/>
        <v>0</v>
      </c>
      <c r="I131" s="1223">
        <f t="shared" si="71"/>
        <v>0</v>
      </c>
      <c r="J131" s="1223">
        <f t="shared" si="71"/>
        <v>0</v>
      </c>
      <c r="K131" s="1290">
        <f t="shared" si="71"/>
        <v>0</v>
      </c>
      <c r="L131" s="1420">
        <f t="shared" si="71"/>
        <v>0</v>
      </c>
      <c r="M131" s="690"/>
      <c r="N131" s="1181" t="str">
        <f>IF(ISERROR(O131),"",IF((O131="Error"),"add explanation",IF((O131="Warning"),"add explanation","")))</f>
        <v/>
      </c>
      <c r="O131" s="754" t="str">
        <f t="shared" ref="O131:O140" si="72">IF(OR((K131&lt;&gt;(I131+J131)),(G131&lt;&gt;(E131+F131)),(L131&lt;&gt;(G131-K131))),"Error",IF(AM131="Warning","Warning",""))</f>
        <v/>
      </c>
      <c r="Q131" s="755" t="str">
        <f>IF($O131="Error","A total column for "&amp;($C131)&amp;" does not match the sum of the components, please correct",IF($O131="Warning","This year's figure is over "&amp;AE131/1000&amp;" million and "&amp;(AD131*100)&amp;"% different to "&amp;TEXT(AF131,"#,###")&amp;" last year, please explain",""))</f>
        <v/>
      </c>
      <c r="AQ131" s="609"/>
    </row>
    <row r="132" spans="1:43" ht="42" x14ac:dyDescent="0.35">
      <c r="C132" s="756"/>
      <c r="D132" s="756"/>
      <c r="E132" s="757"/>
      <c r="F132" s="1421"/>
      <c r="G132" s="1"/>
      <c r="H132" s="1212" t="s">
        <v>742</v>
      </c>
      <c r="I132" s="24"/>
      <c r="J132" s="24"/>
      <c r="K132" s="82"/>
      <c r="L132" s="1212" t="s">
        <v>743</v>
      </c>
      <c r="N132" s="436"/>
      <c r="O132" s="754"/>
      <c r="Q132" s="755"/>
      <c r="AQ132" s="609"/>
    </row>
    <row r="133" spans="1:43" ht="46.5" x14ac:dyDescent="0.35">
      <c r="C133" s="756"/>
      <c r="D133" s="756"/>
      <c r="E133" s="757"/>
      <c r="F133" s="770" t="s">
        <v>744</v>
      </c>
      <c r="G133" s="1"/>
      <c r="H133" s="1199" t="str" cm="1">
        <f t="array" ref="H133">IF(SUMPRODUCT(--(H115:H131 &gt; G115:G131)),"Error","")</f>
        <v/>
      </c>
      <c r="I133" s="24" t="str">
        <f>IF(H133="Error","A figure in the central MSS column is greater than total expenditure for that line","")</f>
        <v/>
      </c>
      <c r="J133" s="1"/>
      <c r="K133" s="1"/>
      <c r="L133" s="104"/>
      <c r="N133" s="436"/>
      <c r="O133" s="754"/>
      <c r="Q133" s="755"/>
      <c r="AQ133" s="609"/>
    </row>
    <row r="134" spans="1:43" ht="15.5" x14ac:dyDescent="0.35">
      <c r="E134" s="757"/>
      <c r="F134" s="771" t="s">
        <v>745</v>
      </c>
      <c r="G134" s="1"/>
      <c r="I134" s="1"/>
      <c r="J134" s="1"/>
      <c r="K134" s="1"/>
      <c r="L134" s="104"/>
      <c r="N134" s="436"/>
      <c r="O134" s="754"/>
      <c r="Q134" s="755"/>
      <c r="AQ134" s="609"/>
    </row>
    <row r="135" spans="1:43" ht="15.5" x14ac:dyDescent="0.35">
      <c r="A135" t="s">
        <v>1241</v>
      </c>
      <c r="B135" s="1030">
        <v>1391</v>
      </c>
      <c r="C135" s="1030" t="s">
        <v>1242</v>
      </c>
      <c r="F135" s="1280"/>
      <c r="G135" s="1"/>
      <c r="I135" s="1"/>
      <c r="J135" s="1"/>
      <c r="K135" s="1"/>
      <c r="L135" s="104"/>
      <c r="N135" s="436"/>
      <c r="O135" s="754"/>
      <c r="Q135" s="755"/>
      <c r="AQ135" s="609"/>
    </row>
    <row r="136" spans="1:43" ht="15.5" x14ac:dyDescent="0.35">
      <c r="B136" s="1030"/>
      <c r="C136" s="1030"/>
      <c r="F136" s="1200"/>
      <c r="G136" s="1"/>
      <c r="H136" s="1206"/>
      <c r="I136" s="1"/>
      <c r="J136" s="443"/>
      <c r="K136" s="1"/>
      <c r="L136" s="104"/>
      <c r="N136" s="436"/>
      <c r="O136" s="754"/>
      <c r="Q136" s="755"/>
      <c r="AQ136" s="609"/>
    </row>
    <row r="137" spans="1:43" ht="15.5" x14ac:dyDescent="0.35">
      <c r="B137" s="1030"/>
      <c r="C137" s="1030"/>
      <c r="F137" s="1200"/>
      <c r="G137" s="1"/>
      <c r="H137" s="1206"/>
      <c r="I137" s="1"/>
      <c r="J137" s="271"/>
      <c r="K137" s="1"/>
      <c r="L137" s="104"/>
      <c r="N137" s="436"/>
      <c r="O137" s="754"/>
      <c r="Q137" s="755"/>
      <c r="AQ137" s="609"/>
    </row>
    <row r="138" spans="1:43" ht="15.5" x14ac:dyDescent="0.35">
      <c r="A138" t="s">
        <v>1243</v>
      </c>
      <c r="B138" s="1030">
        <v>1392</v>
      </c>
      <c r="C138" s="1030" t="s">
        <v>1244</v>
      </c>
      <c r="F138" s="1200"/>
      <c r="G138" s="1"/>
      <c r="H138" s="1206"/>
      <c r="I138" s="1"/>
      <c r="J138" s="1270"/>
      <c r="K138" s="1213" t="s">
        <v>750</v>
      </c>
      <c r="L138" s="104"/>
      <c r="N138" s="436"/>
      <c r="O138" s="754"/>
      <c r="Q138" s="755"/>
      <c r="AQ138" s="609"/>
    </row>
    <row r="139" spans="1:43" ht="15.5" x14ac:dyDescent="0.35">
      <c r="B139" s="1036" t="s">
        <v>253</v>
      </c>
      <c r="C139" s="1037" t="s">
        <v>253</v>
      </c>
      <c r="D139" s="756"/>
      <c r="E139" s="795"/>
      <c r="F139" s="795"/>
      <c r="G139" s="1"/>
      <c r="H139" s="1"/>
      <c r="I139" s="1"/>
      <c r="J139" s="1"/>
      <c r="K139" s="1"/>
      <c r="L139" s="1"/>
      <c r="N139" s="436"/>
      <c r="O139" s="754"/>
      <c r="Q139" s="755"/>
      <c r="AQ139" s="609"/>
    </row>
    <row r="140" spans="1:43" ht="15.5" x14ac:dyDescent="0.35">
      <c r="A140" t="s">
        <v>1245</v>
      </c>
      <c r="B140" s="768">
        <v>400</v>
      </c>
      <c r="C140" s="764" t="s">
        <v>1246</v>
      </c>
      <c r="D140" s="756"/>
      <c r="E140" s="1223">
        <f t="shared" ref="E140:L140" si="73">SUM(E53,E104,E131)</f>
        <v>0</v>
      </c>
      <c r="F140" s="1223">
        <f t="shared" si="73"/>
        <v>0</v>
      </c>
      <c r="G140" s="1223">
        <f t="shared" si="73"/>
        <v>0</v>
      </c>
      <c r="H140" s="1223">
        <f t="shared" si="73"/>
        <v>0</v>
      </c>
      <c r="I140" s="1223">
        <f t="shared" si="73"/>
        <v>0</v>
      </c>
      <c r="J140" s="1223">
        <f t="shared" si="73"/>
        <v>0</v>
      </c>
      <c r="K140" s="1223">
        <f t="shared" si="73"/>
        <v>0</v>
      </c>
      <c r="L140" s="1223">
        <f t="shared" si="73"/>
        <v>0</v>
      </c>
      <c r="M140" s="690"/>
      <c r="N140" s="1181" t="str">
        <f>IF(ISERROR(O140),"",IF((O140="Error"),"add explanation",IF((O140="Warning"),"add explanation","")))</f>
        <v/>
      </c>
      <c r="O140" s="754" t="str">
        <f t="shared" si="72"/>
        <v/>
      </c>
      <c r="Q140" s="755" t="str">
        <f>IF($O140="Error","A total column for "&amp;($C140)&amp;" does not match the sum of the components, please correct",IF($O140="Warning","This year's figure is over "&amp;AE140/1000&amp;" million and "&amp;(AD140*100)&amp;"% different to "&amp;TEXT(AF140,"#,###")&amp;" last year, please explain",""))</f>
        <v/>
      </c>
      <c r="AQ140" s="609"/>
    </row>
    <row r="141" spans="1:43" ht="15.5" x14ac:dyDescent="0.35">
      <c r="C141" s="756"/>
      <c r="D141" s="756"/>
      <c r="E141" s="757"/>
      <c r="F141" s="1421"/>
      <c r="G141" s="1"/>
      <c r="H141" s="1"/>
      <c r="I141" s="1"/>
      <c r="J141" s="1"/>
      <c r="K141" s="1"/>
      <c r="L141" s="1"/>
      <c r="AQ141" s="609"/>
    </row>
    <row r="142" spans="1:43" ht="46.5" x14ac:dyDescent="0.35">
      <c r="C142" s="756"/>
      <c r="D142" s="756"/>
      <c r="E142" s="757"/>
      <c r="F142" s="770" t="s">
        <v>744</v>
      </c>
      <c r="G142" s="1"/>
      <c r="H142" s="1199"/>
      <c r="I142" s="24"/>
      <c r="J142" s="1"/>
      <c r="K142" s="1"/>
      <c r="L142" s="1"/>
      <c r="AQ142" s="609"/>
    </row>
    <row r="143" spans="1:43" ht="15.5" x14ac:dyDescent="0.35">
      <c r="E143" s="757"/>
      <c r="F143" s="771" t="s">
        <v>745</v>
      </c>
      <c r="L143" s="77"/>
      <c r="AQ143" s="609"/>
    </row>
    <row r="144" spans="1:43" ht="15.5" x14ac:dyDescent="0.35">
      <c r="A144" t="s">
        <v>1247</v>
      </c>
      <c r="B144" s="1030">
        <v>1401</v>
      </c>
      <c r="C144" s="1030" t="s">
        <v>1248</v>
      </c>
      <c r="F144" s="1281">
        <f>SUM(F57,F108,F135)</f>
        <v>0</v>
      </c>
      <c r="AQ144" s="609"/>
    </row>
    <row r="145" spans="1:43" ht="15.5" x14ac:dyDescent="0.35">
      <c r="B145" s="1030"/>
      <c r="C145" s="1030"/>
      <c r="F145" s="1200"/>
      <c r="H145" s="1206"/>
      <c r="J145" s="443"/>
      <c r="AQ145" s="609"/>
    </row>
    <row r="146" spans="1:43" ht="15.5" x14ac:dyDescent="0.35">
      <c r="B146" s="1030"/>
      <c r="C146" s="1030"/>
      <c r="F146" s="1200"/>
      <c r="H146" s="1206"/>
      <c r="J146" s="271"/>
      <c r="AQ146" s="609"/>
    </row>
    <row r="147" spans="1:43" ht="15.5" x14ac:dyDescent="0.35">
      <c r="A147" t="s">
        <v>1249</v>
      </c>
      <c r="B147" s="1030">
        <v>1402</v>
      </c>
      <c r="C147" s="1030" t="s">
        <v>1248</v>
      </c>
      <c r="F147" s="1200"/>
      <c r="H147" s="1206"/>
      <c r="J147" s="1281">
        <f>SUM(J60,J111,J138)</f>
        <v>0</v>
      </c>
      <c r="K147" s="1213" t="s">
        <v>750</v>
      </c>
      <c r="AQ147" s="609"/>
    </row>
    <row r="148" spans="1:43" x14ac:dyDescent="0.25">
      <c r="AQ148" s="609"/>
    </row>
    <row r="149" spans="1:43" x14ac:dyDescent="0.25">
      <c r="AQ149" s="609"/>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58" priority="67" operator="containsText" text="resolve">
      <formula>NOT(ISERROR(SEARCH("resolve",B18)))</formula>
    </cfRule>
  </conditionalFormatting>
  <conditionalFormatting sqref="C18">
    <cfRule type="expression" dxfId="57" priority="57">
      <formula>ISNUMBER(SEARCH(AB18,B18))</formula>
    </cfRule>
  </conditionalFormatting>
  <conditionalFormatting sqref="D18">
    <cfRule type="expression" dxfId="56" priority="56">
      <formula>ISNUMBER(SEARCH(AB18,B18))</formula>
    </cfRule>
  </conditionalFormatting>
  <conditionalFormatting sqref="E18">
    <cfRule type="expression" dxfId="55" priority="55">
      <formula>ISNUMBER(SEARCH(AB18,B18))</formula>
    </cfRule>
  </conditionalFormatting>
  <conditionalFormatting sqref="F18">
    <cfRule type="expression" dxfId="54" priority="54">
      <formula>ISNUMBER(SEARCH(AB18,B18))</formula>
    </cfRule>
  </conditionalFormatting>
  <conditionalFormatting sqref="G18:H18">
    <cfRule type="expression" dxfId="53" priority="53">
      <formula>ISNUMBER(SEARCH(AB18,B18))</formula>
    </cfRule>
  </conditionalFormatting>
  <conditionalFormatting sqref="H55">
    <cfRule type="containsText" dxfId="52" priority="4" operator="containsText" text="Error">
      <formula>NOT(ISERROR(SEARCH("Error",H55)))</formula>
    </cfRule>
  </conditionalFormatting>
  <conditionalFormatting sqref="H106">
    <cfRule type="containsText" dxfId="51" priority="3" operator="containsText" text="Error">
      <formula>NOT(ISERROR(SEARCH("Error",H106)))</formula>
    </cfRule>
  </conditionalFormatting>
  <conditionalFormatting sqref="H133">
    <cfRule type="containsText" dxfId="50" priority="1" operator="containsText" text="Error">
      <formula>NOT(ISERROR(SEARCH("Error",H133)))</formula>
    </cfRule>
  </conditionalFormatting>
  <conditionalFormatting sqref="H142">
    <cfRule type="containsText" dxfId="49" priority="2" operator="containsText" text="Error">
      <formula>NOT(ISERROR(SEARCH("Error",H142)))</formula>
    </cfRule>
  </conditionalFormatting>
  <conditionalFormatting sqref="I18">
    <cfRule type="expression" dxfId="48" priority="52">
      <formula>ISNUMBER(SEARCH(AB18,B18))</formula>
    </cfRule>
  </conditionalFormatting>
  <conditionalFormatting sqref="J18">
    <cfRule type="expression" dxfId="47" priority="51">
      <formula>ISNUMBER(SEARCH(AB18,B18))</formula>
    </cfRule>
  </conditionalFormatting>
  <conditionalFormatting sqref="K18">
    <cfRule type="expression" dxfId="46" priority="50">
      <formula>ISNUMBER(SEARCH(AB18,B18))</formula>
    </cfRule>
  </conditionalFormatting>
  <conditionalFormatting sqref="L18">
    <cfRule type="expression" dxfId="45" priority="49">
      <formula>ISNUMBER(SEARCH(AB18,B18))</formula>
    </cfRule>
  </conditionalFormatting>
  <conditionalFormatting sqref="O33:O53">
    <cfRule type="containsText" dxfId="44" priority="46" operator="containsText" text="Information">
      <formula>NOT(ISERROR(SEARCH("Information",O33)))</formula>
    </cfRule>
    <cfRule type="containsText" dxfId="43" priority="47" operator="containsText" text="Warning">
      <formula>NOT(ISERROR(SEARCH("Warning",O33)))</formula>
    </cfRule>
    <cfRule type="containsText" dxfId="42" priority="48" operator="containsText" text="Error">
      <formula>NOT(ISERROR(SEARCH("Error",O33)))</formula>
    </cfRule>
  </conditionalFormatting>
  <conditionalFormatting sqref="O61:O140">
    <cfRule type="containsText" dxfId="41" priority="7" operator="containsText" text="Information">
      <formula>NOT(ISERROR(SEARCH("Information",O61)))</formula>
    </cfRule>
    <cfRule type="containsText" dxfId="40" priority="8" operator="containsText" text="Warning">
      <formula>NOT(ISERROR(SEARCH("Warning",O61)))</formula>
    </cfRule>
    <cfRule type="containsText" dxfId="39" priority="9" operator="containsText" text="Error">
      <formula>NOT(ISERROR(SEARCH("Error",O61)))</formula>
    </cfRule>
  </conditionalFormatting>
  <hyperlinks>
    <hyperlink ref="N33" location="Memo!C451" display="Memo!C451" xr:uid="{00000000-0004-0000-0800-000000000000}"/>
    <hyperlink ref="N34" location="Memo!C452" display="Memo!C452" xr:uid="{00000000-0004-0000-0800-000001000000}"/>
    <hyperlink ref="N35" location="Memo!C453" display="Memo!C453" xr:uid="{00000000-0004-0000-0800-000002000000}"/>
    <hyperlink ref="N36" location="Memo!C454" display="Memo!C454" xr:uid="{00000000-0004-0000-0800-000003000000}"/>
    <hyperlink ref="N37" location="Memo!C455" display="Memo!C455" xr:uid="{00000000-0004-0000-0800-000004000000}"/>
    <hyperlink ref="N40" location="Memo!C456" display="Memo!C456" xr:uid="{00000000-0004-0000-0800-000005000000}"/>
    <hyperlink ref="N41" location="Memo!C457" display="Memo!C457" xr:uid="{00000000-0004-0000-0800-000006000000}"/>
    <hyperlink ref="N42" location="Memo!C458" display="Memo!C458" xr:uid="{00000000-0004-0000-0800-000007000000}"/>
    <hyperlink ref="N43" location="Memo!C459" display="Memo!C459" xr:uid="{00000000-0004-0000-0800-000008000000}"/>
    <hyperlink ref="N45" location="Memo!C460" display="Memo!C460" xr:uid="{00000000-0004-0000-0800-000009000000}"/>
    <hyperlink ref="N49" location="Memo!C462" display="Memo!C462" xr:uid="{00000000-0004-0000-0800-00000A000000}"/>
    <hyperlink ref="N51" location="Memo!C463" display="Memo!C463" xr:uid="{00000000-0004-0000-0800-00000B000000}"/>
    <hyperlink ref="N53" location="Memo!C464" display="Memo!C464" xr:uid="{00000000-0004-0000-0800-00000C000000}"/>
    <hyperlink ref="N64" location="Memo!C465" display="Memo!C465" xr:uid="{00000000-0004-0000-0800-00000D000000}"/>
    <hyperlink ref="N68" location="Memo!C467" display="Memo!C467" xr:uid="{00000000-0004-0000-0800-00000F000000}"/>
    <hyperlink ref="N69" location="Memo!C468" display="Memo!C468" xr:uid="{00000000-0004-0000-0800-000010000000}"/>
    <hyperlink ref="N70" location="Memo!C469" display="Memo!C469" xr:uid="{00000000-0004-0000-0800-000011000000}"/>
    <hyperlink ref="N71" location="Memo!C470" display="Memo!C470" xr:uid="{00000000-0004-0000-0800-000012000000}"/>
    <hyperlink ref="N72" location="Memo!C471" display="Memo!C471" xr:uid="{00000000-0004-0000-0800-000013000000}"/>
    <hyperlink ref="N73" location="Memo!C472" display="Memo!C472" xr:uid="{00000000-0004-0000-0800-000014000000}"/>
    <hyperlink ref="N74" location="Memo!C473" display="Memo!C473" xr:uid="{00000000-0004-0000-0800-000015000000}"/>
    <hyperlink ref="N75" location="Memo!C474" display="Memo!C474" xr:uid="{00000000-0004-0000-0800-000016000000}"/>
    <hyperlink ref="N76" location="Memo!C475" display="Memo!C475" xr:uid="{00000000-0004-0000-0800-000017000000}"/>
    <hyperlink ref="N77" location="Memo!C476" display="Memo!C476" xr:uid="{00000000-0004-0000-0800-000018000000}"/>
    <hyperlink ref="N78" location="Memo!C477" display="Memo!C477" xr:uid="{00000000-0004-0000-0800-000019000000}"/>
    <hyperlink ref="N81" location="Memo!C478" display="Memo!C478" xr:uid="{00000000-0004-0000-0800-00001A000000}"/>
    <hyperlink ref="N82" location="Memo!C479" display="Memo!C479" xr:uid="{00000000-0004-0000-0800-00001B000000}"/>
    <hyperlink ref="N83" location="Memo!C480" display="Memo!C480" xr:uid="{00000000-0004-0000-0800-00001C000000}"/>
    <hyperlink ref="N86" location="Memo!C481" display="Memo!C481" xr:uid="{00000000-0004-0000-0800-00001D000000}"/>
    <hyperlink ref="N87" location="Memo!C482" display="Memo!C482" xr:uid="{00000000-0004-0000-0800-00001E000000}"/>
    <hyperlink ref="N88" location="Memo!C483" display="Memo!C483" xr:uid="{00000000-0004-0000-0800-00001F000000}"/>
    <hyperlink ref="N89" location="Memo!C484" display="Memo!C484" xr:uid="{00000000-0004-0000-0800-000020000000}"/>
    <hyperlink ref="N91" location="Memo!C485" display="Memo!C485" xr:uid="{00000000-0004-0000-0800-000021000000}"/>
    <hyperlink ref="N94" location="Memo!C486" display="Memo!C486" xr:uid="{00000000-0004-0000-0800-000022000000}"/>
    <hyperlink ref="N97" location="Memo!C487" display="Memo!C487" xr:uid="{00000000-0004-0000-0800-000023000000}"/>
    <hyperlink ref="N98" location="Memo!C488" display="Memo!C488" xr:uid="{00000000-0004-0000-0800-000024000000}"/>
    <hyperlink ref="N99" location="Memo!C488" display="Memo!C488" xr:uid="{00000000-0004-0000-0800-000025000000}"/>
    <hyperlink ref="N100" location="Memo!C489" display="Memo!C489" xr:uid="{00000000-0004-0000-0800-000026000000}"/>
    <hyperlink ref="N101" location="Memo!C490" display="Memo!C490" xr:uid="{00000000-0004-0000-0800-000027000000}"/>
    <hyperlink ref="N102" location="Memo!C491" display="Memo!C491" xr:uid="{00000000-0004-0000-0800-000028000000}"/>
    <hyperlink ref="N104" location="Memo!C492" display="Memo!C492" xr:uid="{00000000-0004-0000-0800-000029000000}"/>
    <hyperlink ref="N115" location="Memo!C494" display="Memo!C494" xr:uid="{00000000-0004-0000-0800-00002A000000}"/>
    <hyperlink ref="N117" location="Memo!C495" display="Memo!C495" xr:uid="{00000000-0004-0000-0800-00002B000000}"/>
    <hyperlink ref="N120" location="Memo!C496" display="Memo!C496" xr:uid="{00000000-0004-0000-0800-00002C000000}"/>
    <hyperlink ref="N121" location="Memo!C497" display="Memo!C497" xr:uid="{00000000-0004-0000-0800-00002D000000}"/>
    <hyperlink ref="N123" location="Memo!C498" display="Memo!C498" xr:uid="{00000000-0004-0000-0800-00002E000000}"/>
    <hyperlink ref="N125" location="Memo!C499" display="Memo!C499" xr:uid="{00000000-0004-0000-0800-00002F000000}"/>
    <hyperlink ref="N126" location="Memo!C450" display="Memo!C450" xr:uid="{00000000-0004-0000-0800-000030000000}"/>
    <hyperlink ref="N127" location="Memo!C451" display="Memo!C451" xr:uid="{00000000-0004-0000-0800-000031000000}"/>
    <hyperlink ref="N129" location="Memo!C495" display="Memo!C495" xr:uid="{00000000-0004-0000-0800-000032000000}"/>
    <hyperlink ref="N131" location="Memo!C503" display="Memo!C503" xr:uid="{00000000-0004-0000-0800-000033000000}"/>
    <hyperlink ref="N140" location="Memo!C479" display="Memo!C479" xr:uid="{00000000-0004-0000-0800-000034000000}"/>
    <hyperlink ref="N67" location="Memo!C466" display="Memo!C466" xr:uid="{00000000-0004-0000-0800-00000E000000}"/>
    <hyperlink ref="N47" location="Memo!C461" display="Memo!C461" xr:uid="{751E0D3B-A73F-421F-BAF3-A2AFAE8472D1}"/>
    <hyperlink ref="N115:N131" location="Memo!C479" display="Memo!C479" xr:uid="{D621C418-01BB-4D59-A5D6-5CF2BBDCBBD9}"/>
    <hyperlink ref="N38" location="Memo!C490" display="Memo!C490" xr:uid="{64575C0B-052A-42D7-9358-73D78D828DBE}"/>
    <hyperlink ref="N39" location="Memo!C490" display="Memo!C490" xr:uid="{C4F6E1B0-BFB8-479C-99B1-BD7E9A3F27BD}"/>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BE157"/>
  <sheetViews>
    <sheetView showGridLines="0" tabSelected="1" topLeftCell="B1" zoomScale="80" zoomScaleNormal="80" workbookViewId="0">
      <pane ySplit="2" topLeftCell="A3" activePane="bottomLeft" state="frozen"/>
      <selection pane="bottomLeft" activeCell="B2" sqref="B2:O2"/>
    </sheetView>
  </sheetViews>
  <sheetFormatPr defaultColWidth="0" defaultRowHeight="12.5" zeroHeight="1" x14ac:dyDescent="0.25"/>
  <cols>
    <col min="1" max="1" width="21.7265625" hidden="1" customWidth="1"/>
    <col min="2" max="2" width="8.7265625" customWidth="1"/>
    <col min="3" max="3" width="85.7265625" customWidth="1"/>
    <col min="4" max="4" width="6.7265625" customWidth="1"/>
    <col min="5" max="7" width="16.7265625" customWidth="1"/>
    <col min="8" max="8" width="20.54296875" bestFit="1" customWidth="1"/>
    <col min="9" max="12" width="16.7265625" customWidth="1"/>
    <col min="13" max="13" width="2.7265625" customWidth="1"/>
    <col min="14" max="15" width="16.7265625" customWidth="1"/>
    <col min="16" max="16" width="2.7265625" customWidth="1"/>
    <col min="17" max="17" width="60.7265625" customWidth="1"/>
    <col min="18" max="19" width="12.54296875" customWidth="1"/>
    <col min="20" max="20" width="12.54296875" hidden="1" customWidth="1"/>
    <col min="21" max="21" width="43.81640625" style="609" hidden="1" customWidth="1"/>
    <col min="22" max="41" width="12.54296875" style="609" hidden="1" customWidth="1"/>
    <col min="42" max="42" width="33.81640625" style="609" hidden="1" customWidth="1"/>
    <col min="43" max="16384" width="12.54296875" hidden="1"/>
  </cols>
  <sheetData>
    <row r="1" spans="1:57" ht="23" hidden="1" x14ac:dyDescent="0.25">
      <c r="A1" t="s">
        <v>1250</v>
      </c>
      <c r="B1" t="s">
        <v>43</v>
      </c>
      <c r="C1" s="93" t="s">
        <v>387</v>
      </c>
      <c r="E1" t="s">
        <v>437</v>
      </c>
      <c r="F1" t="s">
        <v>438</v>
      </c>
      <c r="G1" t="s">
        <v>439</v>
      </c>
      <c r="H1" s="280" t="s">
        <v>440</v>
      </c>
      <c r="I1" t="s">
        <v>441</v>
      </c>
      <c r="J1" t="s">
        <v>442</v>
      </c>
      <c r="K1" t="s">
        <v>443</v>
      </c>
      <c r="L1" t="s">
        <v>444</v>
      </c>
      <c r="N1" t="s">
        <v>46</v>
      </c>
      <c r="O1" t="s">
        <v>47</v>
      </c>
      <c r="Q1" t="s">
        <v>48</v>
      </c>
      <c r="U1" s="639" t="s">
        <v>49</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7.5" customHeight="1" x14ac:dyDescent="0.25">
      <c r="A2" t="s">
        <v>1251</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71"/>
      <c r="U2" s="1009" t="s">
        <v>51</v>
      </c>
      <c r="V2" s="603"/>
      <c r="W2" s="603"/>
      <c r="X2" s="603"/>
      <c r="Y2" s="603"/>
      <c r="Z2" s="603"/>
      <c r="AA2" s="603"/>
      <c r="AB2" s="603"/>
      <c r="AC2" s="603"/>
      <c r="AD2" s="603"/>
      <c r="AE2" s="603"/>
      <c r="AF2" s="603"/>
      <c r="AG2" s="603"/>
      <c r="AH2" s="603"/>
      <c r="AI2" s="603"/>
      <c r="AJ2" s="603"/>
      <c r="AK2" s="603"/>
      <c r="AL2" s="603"/>
      <c r="AM2" s="603"/>
      <c r="AN2" s="603"/>
      <c r="AO2" s="603"/>
      <c r="AP2" s="603"/>
    </row>
    <row r="3" spans="1:57" ht="12.75" customHeight="1" x14ac:dyDescent="0.35">
      <c r="B3" s="721"/>
      <c r="C3" s="721"/>
      <c r="D3" s="721"/>
      <c r="E3" s="723"/>
      <c r="F3" s="1"/>
      <c r="G3" s="1"/>
      <c r="H3" s="1"/>
      <c r="I3" s="22"/>
      <c r="J3" s="724"/>
    </row>
    <row r="4" spans="1:57" ht="27.75" customHeight="1" x14ac:dyDescent="0.6">
      <c r="B4" s="721"/>
      <c r="C4" s="721"/>
      <c r="D4" s="721"/>
      <c r="E4" s="723"/>
      <c r="F4" s="1"/>
      <c r="G4" s="1"/>
      <c r="H4" s="1"/>
      <c r="O4" s="725" t="str">
        <f>"RO6 "&amp;YearForm</f>
        <v>RO6 2025-26</v>
      </c>
    </row>
    <row r="5" spans="1:57" ht="12.75" customHeight="1" x14ac:dyDescent="0.35">
      <c r="B5" s="721"/>
      <c r="C5" s="721"/>
      <c r="D5" s="721"/>
      <c r="E5" s="723"/>
      <c r="F5" s="1"/>
      <c r="G5" s="1"/>
      <c r="H5" s="1"/>
    </row>
    <row r="6" spans="1:57" ht="12.75" customHeight="1" x14ac:dyDescent="0.35">
      <c r="B6" s="721"/>
      <c r="C6" s="721"/>
      <c r="D6" s="721"/>
      <c r="E6" s="723"/>
      <c r="F6" s="1"/>
      <c r="G6" s="1"/>
      <c r="H6" s="1"/>
    </row>
    <row r="7" spans="1:57" ht="12.75" customHeight="1" x14ac:dyDescent="0.35">
      <c r="B7" s="721"/>
      <c r="C7" s="721"/>
      <c r="D7" s="721"/>
      <c r="E7" s="723"/>
      <c r="F7" s="1"/>
      <c r="G7" s="1"/>
      <c r="H7" s="1"/>
    </row>
    <row r="8" spans="1:57" ht="12.75" customHeight="1" x14ac:dyDescent="0.35">
      <c r="B8" s="721"/>
      <c r="C8" s="721"/>
      <c r="D8" s="721"/>
      <c r="E8" s="723"/>
      <c r="F8" s="1"/>
      <c r="G8" s="1"/>
      <c r="H8" s="1"/>
    </row>
    <row r="9" spans="1:57" ht="12.75" customHeight="1" x14ac:dyDescent="0.35">
      <c r="B9" s="721"/>
      <c r="C9" s="721"/>
      <c r="D9" s="721"/>
      <c r="E9" s="723"/>
      <c r="F9" s="1"/>
      <c r="G9" s="1"/>
      <c r="H9" s="1"/>
    </row>
    <row r="10" spans="1:57" ht="33" customHeight="1" x14ac:dyDescent="0.25">
      <c r="B10" s="1517" t="str">
        <f>RS!$B$11</f>
        <v>General Fund Revenue Account Outturn</v>
      </c>
      <c r="C10" s="1517"/>
      <c r="D10" s="1517"/>
      <c r="E10" s="1517"/>
      <c r="F10" s="1517"/>
      <c r="G10" s="1517"/>
      <c r="H10" s="1517"/>
      <c r="I10" s="1517"/>
      <c r="J10" s="1517"/>
      <c r="K10" s="1517"/>
      <c r="L10" s="1517"/>
      <c r="M10" s="1517"/>
      <c r="N10" s="1517"/>
      <c r="O10" s="1517"/>
      <c r="P10" s="99"/>
      <c r="Q10" s="99"/>
      <c r="R10" s="99"/>
      <c r="S10" s="99"/>
      <c r="T10" s="99"/>
      <c r="U10" s="613"/>
    </row>
    <row r="11" spans="1:57" ht="33" customHeight="1" x14ac:dyDescent="0.25">
      <c r="B11" s="1518" t="str">
        <f>"RO6 – PROTECTIVE, CENTRAL AND OTHER SERVICES "&amp;YearForm</f>
        <v>RO6 – PROTECTIVE, CENTRAL AND OTHER SERVICES 2025-26</v>
      </c>
      <c r="C11" s="1519"/>
      <c r="D11" s="1519"/>
      <c r="E11" s="1519"/>
      <c r="F11" s="1519"/>
      <c r="G11" s="1519"/>
      <c r="H11" s="1519"/>
      <c r="I11" s="1519"/>
      <c r="J11" s="1519"/>
      <c r="K11" s="1519"/>
      <c r="L11" s="1519"/>
      <c r="M11" s="1519"/>
      <c r="N11" s="1519"/>
      <c r="O11" s="1519"/>
      <c r="P11" s="99"/>
      <c r="Q11" s="99"/>
      <c r="R11" s="99"/>
      <c r="S11" s="99"/>
      <c r="T11" s="99"/>
      <c r="U11" s="613"/>
    </row>
    <row r="12" spans="1:57" ht="14.15" customHeight="1" x14ac:dyDescent="0.35">
      <c r="B12" s="721"/>
      <c r="C12" s="721"/>
      <c r="D12" s="721"/>
      <c r="E12" s="723"/>
      <c r="F12" s="1"/>
      <c r="G12" s="1"/>
      <c r="H12" s="1"/>
    </row>
    <row r="13" spans="1:57"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row>
    <row r="14" spans="1:57" ht="12" customHeight="1" x14ac:dyDescent="0.3">
      <c r="B14" s="22"/>
      <c r="C14" s="22"/>
      <c r="D14" s="22"/>
      <c r="E14" s="22"/>
      <c r="F14" s="22"/>
      <c r="G14" s="22"/>
      <c r="H14" s="22"/>
      <c r="I14" s="22"/>
      <c r="J14" s="22"/>
      <c r="K14" s="22"/>
      <c r="L14" s="726"/>
      <c r="M14" s="22"/>
      <c r="N14" s="22"/>
      <c r="O14" s="22"/>
      <c r="P14" s="22"/>
      <c r="Q14" s="22"/>
    </row>
    <row r="15" spans="1:57" ht="21" customHeight="1" x14ac:dyDescent="0.25">
      <c r="B15" s="1502" t="s">
        <v>725</v>
      </c>
      <c r="C15" s="1502"/>
      <c r="D15" s="1502"/>
      <c r="E15" s="1502"/>
      <c r="F15" s="1502"/>
      <c r="G15" s="1502"/>
      <c r="H15" s="1502"/>
      <c r="I15" s="1502"/>
      <c r="J15" s="1502"/>
      <c r="K15" s="1502"/>
      <c r="L15" s="1502"/>
      <c r="M15" s="1502"/>
      <c r="N15" s="1502"/>
      <c r="O15" s="1502"/>
      <c r="P15" s="345"/>
      <c r="Q15" s="345"/>
    </row>
    <row r="16" spans="1:57" ht="21" customHeight="1" x14ac:dyDescent="0.25">
      <c r="B16" s="1516" t="s">
        <v>57</v>
      </c>
      <c r="C16" s="1516"/>
      <c r="D16" s="1516"/>
      <c r="E16" s="1516"/>
      <c r="F16" s="1516"/>
      <c r="G16" s="1516"/>
      <c r="H16" s="1516"/>
      <c r="I16" s="1516"/>
      <c r="J16" s="1516"/>
      <c r="K16" s="1516"/>
      <c r="L16" s="1516"/>
      <c r="M16" s="1516"/>
      <c r="N16" s="1516"/>
      <c r="O16" s="1516"/>
      <c r="P16" s="22"/>
      <c r="Q16" s="22"/>
    </row>
    <row r="17" spans="1:40" ht="20" x14ac:dyDescent="0.35">
      <c r="B17" s="727" t="str">
        <f>TRIM(LEFT(B$11,3))&amp;" error summary:"</f>
        <v>RO6 error summary:</v>
      </c>
      <c r="C17" s="728"/>
      <c r="D17" s="728"/>
      <c r="E17" s="22"/>
      <c r="F17" s="729"/>
      <c r="G17" s="22"/>
      <c r="H17" s="22"/>
      <c r="I17" s="22"/>
      <c r="J17" s="730"/>
      <c r="K17" s="731"/>
      <c r="L17" s="726"/>
      <c r="M17" s="22"/>
      <c r="N17" s="22"/>
      <c r="O17" s="22"/>
      <c r="P17" s="22"/>
      <c r="Q17" s="22"/>
    </row>
    <row r="18" spans="1:40" ht="32.15" customHeight="1" x14ac:dyDescent="0.35">
      <c r="A18" t="s">
        <v>107</v>
      </c>
      <c r="B18" s="732" t="str">
        <f>IF(AND(COUNTIF($O$33:$O$121,"Error")=0,COUNTIF($O$33:$O$121,"Warning")=0),("There are no outstanding errors or warnings with the "&amp;TRIM(LEFT(B$11,3))&amp;" section of the form. Thank you."),("There are "&amp;COUNTIF($O$33:$O$121,"Error")&amp;" outstanding error(s) and "&amp;COUNTIF($O$33:$O$121,"Warning")&amp;" outstanding warning(s) with the "&amp;TRIM(LEFT(B$11,3))&amp;" section of the form. Please resolve and/or explain these before submitting."))</f>
        <v>There are no outstanding errors or warnings with the RO6 section of the form. Thank you.</v>
      </c>
      <c r="C18" s="733"/>
      <c r="D18" s="733"/>
      <c r="E18" s="733"/>
      <c r="F18" s="733"/>
      <c r="G18" s="733"/>
      <c r="H18" s="733"/>
      <c r="I18" s="733"/>
      <c r="J18" s="733"/>
      <c r="K18" s="733"/>
      <c r="L18" s="733"/>
      <c r="M18" s="22"/>
      <c r="N18" s="22"/>
      <c r="O18" s="22"/>
      <c r="P18" s="22"/>
      <c r="Q18" s="22"/>
      <c r="AB18" s="631" t="s">
        <v>53</v>
      </c>
    </row>
    <row r="19" spans="1:40" ht="19.5" customHeight="1" x14ac:dyDescent="0.35">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22"/>
    </row>
    <row r="20" spans="1:40" ht="12" customHeight="1" x14ac:dyDescent="0.35">
      <c r="B20" s="735"/>
      <c r="C20" s="735"/>
      <c r="D20" s="735"/>
      <c r="E20" s="736"/>
      <c r="F20" s="736"/>
      <c r="G20" s="736"/>
      <c r="H20" s="736"/>
      <c r="I20" s="736"/>
      <c r="J20" s="736"/>
      <c r="K20" s="736"/>
      <c r="L20" s="726"/>
      <c r="M20" s="22"/>
      <c r="N20" s="22"/>
      <c r="O20" s="22"/>
      <c r="P20" s="22"/>
      <c r="Q20" s="22"/>
    </row>
    <row r="21" spans="1:40" ht="25" x14ac:dyDescent="0.5">
      <c r="B21" s="737" t="str">
        <f>RS!$B$21</f>
        <v>Please select your authority name on Title page</v>
      </c>
      <c r="C21" s="738"/>
      <c r="D21" s="738"/>
      <c r="E21" s="739"/>
      <c r="F21" s="739"/>
      <c r="G21" s="739"/>
      <c r="H21" s="739"/>
      <c r="I21" s="739"/>
      <c r="J21" s="739"/>
      <c r="K21" s="739"/>
      <c r="L21" s="739"/>
    </row>
    <row r="22" spans="1:40" ht="18" x14ac:dyDescent="0.4">
      <c r="B22" s="740" t="str">
        <f>ContactDetails!C25</f>
        <v>E-code</v>
      </c>
      <c r="C22" s="741"/>
      <c r="D22" s="741"/>
      <c r="E22" s="743"/>
      <c r="F22" s="743"/>
      <c r="G22" s="744"/>
      <c r="H22" s="744"/>
      <c r="I22" s="743"/>
      <c r="J22" s="743"/>
      <c r="K22" s="744"/>
      <c r="L22" s="744"/>
    </row>
    <row r="23" spans="1:40" ht="18" x14ac:dyDescent="0.4">
      <c r="B23" s="741"/>
      <c r="C23" s="741"/>
      <c r="D23" s="741"/>
      <c r="E23" s="743"/>
      <c r="F23" s="743"/>
      <c r="G23" s="744"/>
      <c r="H23" s="744"/>
      <c r="I23" s="743"/>
      <c r="J23" s="743"/>
      <c r="K23" s="744"/>
      <c r="L23" s="744"/>
    </row>
    <row r="24" spans="1:40" ht="15.5" x14ac:dyDescent="0.35">
      <c r="B24" s="745"/>
      <c r="C24" s="745"/>
      <c r="D24" s="746"/>
      <c r="E24" s="747"/>
      <c r="F24" s="803"/>
      <c r="G24" s="744"/>
      <c r="H24" s="185" t="s">
        <v>449</v>
      </c>
      <c r="I24" s="743"/>
      <c r="J24" s="743"/>
      <c r="K24" s="744"/>
      <c r="L24" s="744"/>
    </row>
    <row r="25" spans="1:40" ht="15.5" x14ac:dyDescent="0.35">
      <c r="B25" s="1"/>
      <c r="C25" s="1"/>
      <c r="D25" s="1"/>
      <c r="E25" s="743"/>
      <c r="F25" s="744" t="s">
        <v>450</v>
      </c>
      <c r="G25" s="744" t="s">
        <v>451</v>
      </c>
      <c r="H25" s="185" t="s">
        <v>452</v>
      </c>
      <c r="I25" s="744" t="s">
        <v>453</v>
      </c>
      <c r="J25" s="744" t="s">
        <v>454</v>
      </c>
      <c r="K25" s="744" t="s">
        <v>451</v>
      </c>
      <c r="L25" s="744" t="s">
        <v>455</v>
      </c>
    </row>
    <row r="26" spans="1:40" ht="15.5" x14ac:dyDescent="0.35">
      <c r="B26" s="1"/>
      <c r="C26" s="1"/>
      <c r="D26" s="1"/>
      <c r="E26" s="744" t="s">
        <v>456</v>
      </c>
      <c r="F26" s="744" t="s">
        <v>457</v>
      </c>
      <c r="G26" s="744" t="s">
        <v>458</v>
      </c>
      <c r="H26" s="185" t="s">
        <v>459</v>
      </c>
      <c r="I26" s="744" t="s">
        <v>460</v>
      </c>
      <c r="J26" s="744" t="s">
        <v>461</v>
      </c>
      <c r="K26" s="744" t="s">
        <v>461</v>
      </c>
      <c r="L26" s="744" t="s">
        <v>458</v>
      </c>
    </row>
    <row r="27" spans="1:40" ht="15.5" x14ac:dyDescent="0.35">
      <c r="B27" s="748"/>
      <c r="C27" s="748"/>
      <c r="D27" s="748"/>
      <c r="E27" s="749" t="s">
        <v>60</v>
      </c>
      <c r="F27" s="749" t="s">
        <v>60</v>
      </c>
      <c r="G27" s="749" t="s">
        <v>60</v>
      </c>
      <c r="H27" s="258" t="s">
        <v>60</v>
      </c>
      <c r="I27" s="749" t="s">
        <v>60</v>
      </c>
      <c r="J27" s="749" t="s">
        <v>60</v>
      </c>
      <c r="K27" s="749" t="s">
        <v>60</v>
      </c>
      <c r="L27" s="749" t="s">
        <v>60</v>
      </c>
    </row>
    <row r="28" spans="1:40" ht="15.5" x14ac:dyDescent="0.35">
      <c r="E28" s="749"/>
      <c r="F28" s="749"/>
      <c r="G28" s="749"/>
      <c r="H28" s="749"/>
      <c r="I28" s="749"/>
      <c r="J28" s="749"/>
      <c r="K28" s="749"/>
      <c r="L28" s="749"/>
    </row>
    <row r="29" spans="1:40" ht="13" x14ac:dyDescent="0.3">
      <c r="E29" s="750" t="s">
        <v>61</v>
      </c>
      <c r="F29" s="750" t="s">
        <v>462</v>
      </c>
      <c r="G29" s="750" t="s">
        <v>463</v>
      </c>
      <c r="H29" s="187" t="s">
        <v>464</v>
      </c>
      <c r="I29" s="750" t="s">
        <v>465</v>
      </c>
      <c r="J29" s="750" t="s">
        <v>466</v>
      </c>
      <c r="K29" s="750" t="s">
        <v>467</v>
      </c>
      <c r="L29" s="750" t="s">
        <v>468</v>
      </c>
    </row>
    <row r="30" spans="1:40" ht="18" customHeight="1" x14ac:dyDescent="0.4">
      <c r="B30" s="804" t="s">
        <v>1252</v>
      </c>
      <c r="C30" s="756"/>
      <c r="D30" s="756"/>
      <c r="E30" s="757"/>
      <c r="F30" s="757"/>
      <c r="G30" s="778"/>
      <c r="H30" s="1210" t="s">
        <v>469</v>
      </c>
      <c r="I30" s="757"/>
      <c r="J30" s="757"/>
      <c r="K30" s="778"/>
      <c r="L30" s="778"/>
    </row>
    <row r="31" spans="1:40" ht="12.75" customHeight="1" x14ac:dyDescent="0.4">
      <c r="B31" s="796" t="s">
        <v>253</v>
      </c>
      <c r="C31" s="756"/>
      <c r="D31" s="756"/>
      <c r="E31" s="757"/>
      <c r="F31" s="757"/>
      <c r="G31" s="758"/>
      <c r="H31" s="758"/>
      <c r="I31" s="757"/>
      <c r="J31" s="757"/>
      <c r="K31" s="758"/>
      <c r="L31" s="758"/>
      <c r="AD31" s="614" t="s">
        <v>62</v>
      </c>
    </row>
    <row r="32" spans="1:40" ht="15.75" customHeight="1" x14ac:dyDescent="0.4">
      <c r="B32" s="759" t="s">
        <v>1253</v>
      </c>
      <c r="C32" s="756"/>
      <c r="D32" s="756"/>
      <c r="E32" s="757"/>
      <c r="F32" s="757"/>
      <c r="G32" s="758"/>
      <c r="H32" s="758"/>
      <c r="I32" s="757"/>
      <c r="J32" s="757"/>
      <c r="K32" s="758"/>
      <c r="L32" s="758"/>
      <c r="AD32" s="614" t="s">
        <v>64</v>
      </c>
      <c r="AE32" s="614" t="s">
        <v>65</v>
      </c>
      <c r="AF32" s="614" t="s">
        <v>66</v>
      </c>
      <c r="AG32" s="614" t="s">
        <v>67</v>
      </c>
      <c r="AH32" s="614" t="s">
        <v>68</v>
      </c>
      <c r="AI32" s="614" t="s">
        <v>69</v>
      </c>
      <c r="AJ32" s="614" t="s">
        <v>70</v>
      </c>
      <c r="AK32" s="614" t="s">
        <v>71</v>
      </c>
      <c r="AL32" s="614" t="s">
        <v>72</v>
      </c>
      <c r="AM32" s="614" t="s">
        <v>73</v>
      </c>
      <c r="AN32" s="614" t="s">
        <v>727</v>
      </c>
    </row>
    <row r="33" spans="1:40" ht="15.75" customHeight="1" x14ac:dyDescent="0.4">
      <c r="A33" t="s">
        <v>1254</v>
      </c>
      <c r="B33" s="801">
        <v>100</v>
      </c>
      <c r="C33" s="764" t="s">
        <v>1255</v>
      </c>
      <c r="D33" s="756"/>
      <c r="E33" s="1300"/>
      <c r="F33" s="1300"/>
      <c r="G33" s="1290">
        <f>SUM(E33:F33)</f>
        <v>0</v>
      </c>
      <c r="H33" s="1302"/>
      <c r="I33" s="1303"/>
      <c r="J33" s="1300"/>
      <c r="K33" s="1290">
        <f>SUM(I33:J33)</f>
        <v>0</v>
      </c>
      <c r="L33" s="1420">
        <f>G33-K33</f>
        <v>0</v>
      </c>
      <c r="M33" s="690"/>
      <c r="N33" s="1181"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VLOOKUP("RO6"&amp;$B33,data_val_parameters,8,0)/100</f>
        <v>0.4</v>
      </c>
      <c r="AE33" s="609">
        <f>VLOOKUP("RO6"&amp;$B33,data_val_parameters,7,0)</f>
        <v>4000</v>
      </c>
      <c r="AF33" s="609" t="e">
        <f>VLOOKUP(LA_code,data_prev_year,MATCH("RO6"&amp;$B33&amp;"7",data_prev_year_headers,0),0)</f>
        <v>#N/A</v>
      </c>
      <c r="AG33" s="609" t="e">
        <f>AF33+AE33</f>
        <v>#N/A</v>
      </c>
      <c r="AH33" s="609" t="e">
        <f>AF33-AE33</f>
        <v>#N/A</v>
      </c>
      <c r="AI33" s="609" t="e">
        <f>AF33+(AF33*AD33)</f>
        <v>#N/A</v>
      </c>
      <c r="AJ33" s="609" t="e">
        <f>AF33-(AF33*AD33)</f>
        <v>#N/A</v>
      </c>
      <c r="AK33" s="609" t="e">
        <f>IF(OR(L33&lt;AH33,L33&gt;AG33),"Warning","")</f>
        <v>#N/A</v>
      </c>
      <c r="AL33" s="609" t="e">
        <f>IF(OR(L33&gt;(AI33),L33&lt;(AJ33)),"Warning","")</f>
        <v>#N/A</v>
      </c>
      <c r="AM33" s="609" t="str">
        <f>IF(OR(L33=0),"",IF(AND(AK33="Warning",AL33="Warning"),"Warning",""))</f>
        <v/>
      </c>
      <c r="AN33" s="609" t="str">
        <f>IF(OR(I33&lt;0,J33&lt;0),"Error","")</f>
        <v/>
      </c>
    </row>
    <row r="34" spans="1:40" ht="42" x14ac:dyDescent="0.35">
      <c r="C34" s="756"/>
      <c r="D34" s="756"/>
      <c r="E34" s="757"/>
      <c r="F34" s="1421"/>
      <c r="G34" s="758"/>
      <c r="H34" s="1212" t="s">
        <v>742</v>
      </c>
      <c r="I34" s="24"/>
      <c r="J34" s="24"/>
      <c r="K34" s="82"/>
      <c r="L34" s="1212" t="s">
        <v>743</v>
      </c>
      <c r="N34" s="434"/>
      <c r="O34" s="317"/>
      <c r="Q34" s="755"/>
    </row>
    <row r="35" spans="1:40" ht="46.5" x14ac:dyDescent="0.35">
      <c r="C35" s="756"/>
      <c r="D35" s="756"/>
      <c r="E35" s="757"/>
      <c r="F35" s="770" t="s">
        <v>744</v>
      </c>
      <c r="G35" s="758"/>
      <c r="H35" s="1199" t="str">
        <f>IF(SUMPRODUCT(--(H20&gt;G20))+SUMPRODUCT(--(H33 &gt; G33))&gt; 0,"Error","")</f>
        <v/>
      </c>
      <c r="I35" s="24" t="str">
        <f>IF(H35="Error","A figure in the central MSS column is greater than total expenditure for that line","")</f>
        <v/>
      </c>
      <c r="J35" s="757"/>
      <c r="K35" s="758"/>
      <c r="L35" s="104"/>
      <c r="N35" s="434"/>
      <c r="O35" s="317"/>
      <c r="Q35" s="755"/>
    </row>
    <row r="36" spans="1:40" ht="15.5" x14ac:dyDescent="0.35">
      <c r="E36" s="757"/>
      <c r="F36" s="771" t="s">
        <v>745</v>
      </c>
      <c r="G36" s="758"/>
      <c r="I36" s="757"/>
      <c r="J36" s="757"/>
      <c r="K36" s="758"/>
      <c r="L36" s="104"/>
      <c r="N36" s="434"/>
      <c r="O36" s="317"/>
      <c r="Q36" s="755"/>
    </row>
    <row r="37" spans="1:40" ht="15.5" x14ac:dyDescent="0.35">
      <c r="A37" t="s">
        <v>1256</v>
      </c>
      <c r="B37" s="1030">
        <v>1291</v>
      </c>
      <c r="C37" s="1030" t="s">
        <v>1257</v>
      </c>
      <c r="F37" s="1280"/>
      <c r="G37" s="758"/>
      <c r="I37" s="757"/>
      <c r="J37" s="757"/>
      <c r="K37" s="758"/>
      <c r="L37" s="104"/>
      <c r="N37" s="434"/>
      <c r="O37" s="317"/>
      <c r="Q37" s="755"/>
    </row>
    <row r="38" spans="1:40" ht="15.5" x14ac:dyDescent="0.35">
      <c r="B38" s="1030"/>
      <c r="C38" s="1030"/>
      <c r="F38" s="1200"/>
      <c r="G38" s="758"/>
      <c r="H38" s="1206"/>
      <c r="I38" s="757"/>
      <c r="J38" s="443"/>
      <c r="K38" s="758"/>
      <c r="L38" s="104"/>
      <c r="N38" s="434"/>
      <c r="O38" s="317"/>
      <c r="Q38" s="755"/>
    </row>
    <row r="39" spans="1:40" ht="15.5" x14ac:dyDescent="0.35">
      <c r="B39" s="1030"/>
      <c r="C39" s="1030"/>
      <c r="F39" s="1200"/>
      <c r="G39" s="758"/>
      <c r="H39" s="1206"/>
      <c r="I39" s="757"/>
      <c r="J39" s="271"/>
      <c r="K39" s="758"/>
      <c r="L39" s="104"/>
      <c r="N39" s="434"/>
      <c r="O39" s="317"/>
      <c r="Q39" s="755"/>
    </row>
    <row r="40" spans="1:40" ht="15.5" x14ac:dyDescent="0.35">
      <c r="A40" s="280" t="s">
        <v>1258</v>
      </c>
      <c r="B40" s="1030">
        <v>1292</v>
      </c>
      <c r="C40" s="1030" t="s">
        <v>1259</v>
      </c>
      <c r="F40" s="1200"/>
      <c r="G40" s="758"/>
      <c r="H40" s="1206"/>
      <c r="I40" s="757"/>
      <c r="J40" s="1270"/>
      <c r="K40" s="1213" t="s">
        <v>750</v>
      </c>
      <c r="L40" s="104"/>
      <c r="N40" s="434"/>
      <c r="O40" s="317"/>
      <c r="Q40" s="755"/>
    </row>
    <row r="41" spans="1:40" ht="15.5" x14ac:dyDescent="0.35">
      <c r="B41" s="805"/>
      <c r="C41" s="806"/>
      <c r="D41" s="756"/>
      <c r="E41" s="757"/>
      <c r="F41" s="757"/>
      <c r="G41" s="758"/>
      <c r="H41" s="758"/>
      <c r="I41" s="757"/>
      <c r="J41" s="757"/>
      <c r="K41" s="758"/>
      <c r="L41" s="104"/>
      <c r="N41" s="434"/>
      <c r="O41" s="317"/>
      <c r="Q41" s="755"/>
    </row>
    <row r="42" spans="1:40" ht="18" x14ac:dyDescent="0.4">
      <c r="B42" s="759" t="s">
        <v>1260</v>
      </c>
      <c r="C42" s="752"/>
      <c r="D42" s="756"/>
      <c r="E42" s="807"/>
      <c r="F42" s="807"/>
      <c r="G42" s="808"/>
      <c r="H42" s="808"/>
      <c r="I42" s="807"/>
      <c r="J42" s="807"/>
      <c r="K42" s="808"/>
      <c r="L42" s="808"/>
      <c r="M42" s="352"/>
      <c r="N42" s="434"/>
      <c r="O42" s="754"/>
      <c r="Q42" s="755"/>
    </row>
    <row r="43" spans="1:40" ht="15.5" x14ac:dyDescent="0.35">
      <c r="A43" t="s">
        <v>1261</v>
      </c>
      <c r="B43" s="751">
        <v>210</v>
      </c>
      <c r="C43" s="752" t="s">
        <v>1262</v>
      </c>
      <c r="D43" s="756"/>
      <c r="E43" s="1299"/>
      <c r="F43" s="1299"/>
      <c r="G43" s="1223">
        <f>SUM(E43:F43)</f>
        <v>0</v>
      </c>
      <c r="H43" s="1301"/>
      <c r="I43" s="1299"/>
      <c r="J43" s="1299"/>
      <c r="K43" s="1223">
        <f>SUM(I43:J43)</f>
        <v>0</v>
      </c>
      <c r="L43" s="1223">
        <f>G43-K43</f>
        <v>0</v>
      </c>
      <c r="N43" s="1181" t="str">
        <f>IF(ISERROR(O43),"",IF((O43="Error"),"add explanation",IF((O43="Warning"),"add explanation","")))</f>
        <v/>
      </c>
      <c r="O43" s="754" t="str">
        <f>IF(OR((K43&lt;&gt;(I43+J43)),(G43&lt;&gt;(E43+F43)),(L43&lt;&gt;(G43-K43)),AN43="Error"),"Error",IF(AM43="Warning","Warning",""))</f>
        <v/>
      </c>
      <c r="Q43" s="755" t="str">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f>
        <v/>
      </c>
      <c r="AD43" s="609">
        <f>VLOOKUP("RO6"&amp;$B43,data_val_parameters,8,0)/100</f>
        <v>0.4</v>
      </c>
      <c r="AE43" s="609">
        <f>VLOOKUP("RO6"&amp;$B43,data_val_parameters,7,0)</f>
        <v>4000</v>
      </c>
      <c r="AF43" s="609" t="e">
        <f>VLOOKUP(LA_code,data_prev_year,MATCH("RO6"&amp;$B43&amp;"7",data_prev_year_headers,0),0)</f>
        <v>#N/A</v>
      </c>
      <c r="AG43" s="609" t="e">
        <f t="shared" ref="AG43:AG91" si="0">AF43+AE43</f>
        <v>#N/A</v>
      </c>
      <c r="AH43" s="609" t="e">
        <f t="shared" ref="AH43:AH91" si="1">AF43-AE43</f>
        <v>#N/A</v>
      </c>
      <c r="AI43" s="609" t="e">
        <f t="shared" ref="AI43:AI91" si="2">AF43+(AF43*AD43)</f>
        <v>#N/A</v>
      </c>
      <c r="AJ43" s="609" t="e">
        <f t="shared" ref="AJ43:AJ91" si="3">AF43-(AF43*AD43)</f>
        <v>#N/A</v>
      </c>
      <c r="AK43" s="609" t="e">
        <f>IF(OR(L43&lt;AH43,L43&gt;AG43),"Warning","")</f>
        <v>#N/A</v>
      </c>
      <c r="AL43" s="609" t="e">
        <f>IF(OR(L43&gt;(AI43),L43&lt;(AJ43)),"Warning","")</f>
        <v>#N/A</v>
      </c>
      <c r="AM43" s="609" t="str">
        <f>IF(OR(L43=0),"",IF(AND(AK43="Warning",AL43="Warning"),"Warning",""))</f>
        <v/>
      </c>
      <c r="AN43" s="609" t="str">
        <f>IF(OR(I43&lt;0,J43&lt;0),"Error","")</f>
        <v/>
      </c>
    </row>
    <row r="44" spans="1:40" ht="15.5" x14ac:dyDescent="0.35">
      <c r="A44" t="s">
        <v>1263</v>
      </c>
      <c r="B44" s="809">
        <v>220</v>
      </c>
      <c r="C44" s="752" t="s">
        <v>1264</v>
      </c>
      <c r="D44" s="756"/>
      <c r="E44" s="1299"/>
      <c r="F44" s="1299"/>
      <c r="G44" s="1223">
        <f>SUM(E44:F44)</f>
        <v>0</v>
      </c>
      <c r="H44" s="1301"/>
      <c r="I44" s="1299"/>
      <c r="J44" s="1299"/>
      <c r="K44" s="1223">
        <f>SUM(I44:J44)</f>
        <v>0</v>
      </c>
      <c r="L44" s="1223">
        <f>G44-K44</f>
        <v>0</v>
      </c>
      <c r="N44" s="1181" t="str">
        <f>IF(ISERROR(O44),"",IF((O44="Error"),"add explanation",IF((O44="Warning"),"add explanation","")))</f>
        <v/>
      </c>
      <c r="O44" s="754" t="str">
        <f>IF(OR((K44&lt;&gt;(I44+J44)),(G44&lt;&gt;(E44+F44)),(L44&lt;&gt;(G44-K44)),AN44="Error"),"Error",IF(AM44="Warning","Warning",""))</f>
        <v/>
      </c>
      <c r="Q44" s="755" t="str">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f>
        <v/>
      </c>
      <c r="AD44" s="609">
        <f>VLOOKUP("RO6"&amp;$B44,data_val_parameters,8,0)/100</f>
        <v>0.4</v>
      </c>
      <c r="AE44" s="609">
        <f>VLOOKUP("RO6"&amp;$B44,data_val_parameters,7,0)</f>
        <v>4000</v>
      </c>
      <c r="AF44" s="609" t="e">
        <f>VLOOKUP(LA_code,data_prev_year,MATCH("RO6"&amp;$B44&amp;"7",data_prev_year_headers,0),0)</f>
        <v>#N/A</v>
      </c>
      <c r="AG44" s="609" t="e">
        <f t="shared" si="0"/>
        <v>#N/A</v>
      </c>
      <c r="AH44" s="609" t="e">
        <f t="shared" si="1"/>
        <v>#N/A</v>
      </c>
      <c r="AI44" s="609" t="e">
        <f t="shared" si="2"/>
        <v>#N/A</v>
      </c>
      <c r="AJ44" s="609" t="e">
        <f t="shared" si="3"/>
        <v>#N/A</v>
      </c>
      <c r="AK44" s="609" t="e">
        <f>IF(OR(L44&lt;AH44,L44&gt;AG44),"Warning","")</f>
        <v>#N/A</v>
      </c>
      <c r="AL44" s="609" t="e">
        <f>IF(OR(L44&gt;(AI44),L44&lt;(AJ44)),"Warning","")</f>
        <v>#N/A</v>
      </c>
      <c r="AM44" s="609" t="str">
        <f>IF(OR(L44=0),"",IF(AND(AK44="Warning",AL44="Warning"),"Warning",""))</f>
        <v/>
      </c>
      <c r="AN44" s="609" t="str">
        <f>IF(OR(I44&lt;0,J44&lt;0),"Error","")</f>
        <v/>
      </c>
    </row>
    <row r="45" spans="1:40" ht="15.5" x14ac:dyDescent="0.35">
      <c r="A45" t="s">
        <v>1265</v>
      </c>
      <c r="B45" s="751">
        <v>230</v>
      </c>
      <c r="C45" s="752" t="s">
        <v>1266</v>
      </c>
      <c r="D45" s="756"/>
      <c r="E45" s="1299"/>
      <c r="F45" s="1299"/>
      <c r="G45" s="1223">
        <f>SUM(E45:F45)</f>
        <v>0</v>
      </c>
      <c r="H45" s="1301"/>
      <c r="I45" s="1299"/>
      <c r="J45" s="1299"/>
      <c r="K45" s="1223">
        <f>SUM(I45:J45)</f>
        <v>0</v>
      </c>
      <c r="L45" s="1422">
        <f>G45-K45</f>
        <v>0</v>
      </c>
      <c r="N45" s="1181" t="str">
        <f>IF(ISERROR(O45),"",IF((O45="Error"),"add explanation",IF((O45="Warning"),"add explanation","")))</f>
        <v/>
      </c>
      <c r="O45" s="754" t="str">
        <f>IF(OR((K45&lt;&gt;(I45+J45)),(G45&lt;&gt;(E45+F45)),(L45&lt;&gt;(G45-K45)),AN45="Error"),"Error",IF(AM45="Warning","Warning",""))</f>
        <v/>
      </c>
      <c r="Q45" s="755" t="str">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f>
        <v/>
      </c>
      <c r="AD45" s="609">
        <f>VLOOKUP("RO6"&amp;$B45,data_val_parameters,8,0)/100</f>
        <v>0.4</v>
      </c>
      <c r="AE45" s="609">
        <f>VLOOKUP("RO6"&amp;$B45,data_val_parameters,7,0)</f>
        <v>4000</v>
      </c>
      <c r="AF45" s="609" t="e">
        <f>VLOOKUP(LA_code,data_prev_year,MATCH("RO6"&amp;$B45&amp;"7",data_prev_year_headers,0),0)</f>
        <v>#N/A</v>
      </c>
      <c r="AG45" s="609" t="e">
        <f t="shared" si="0"/>
        <v>#N/A</v>
      </c>
      <c r="AH45" s="609" t="e">
        <f t="shared" si="1"/>
        <v>#N/A</v>
      </c>
      <c r="AI45" s="609" t="e">
        <f t="shared" si="2"/>
        <v>#N/A</v>
      </c>
      <c r="AJ45" s="609" t="e">
        <f t="shared" si="3"/>
        <v>#N/A</v>
      </c>
      <c r="AK45" s="609" t="e">
        <f>IF(OR(L45&lt;AH45,L45&gt;AG45),"Warning","")</f>
        <v>#N/A</v>
      </c>
      <c r="AL45" s="609" t="e">
        <f>IF(OR(L45&gt;(AI45),L45&lt;(AJ45)),"Warning","")</f>
        <v>#N/A</v>
      </c>
      <c r="AM45" s="609" t="str">
        <f>IF(OR(L45=0),"",IF(AND(AK45="Warning",AL45="Warning"),"Warning",""))</f>
        <v/>
      </c>
      <c r="AN45" s="609" t="str">
        <f>IF(OR(I45&lt;0,J45&lt;0),"Error","")</f>
        <v/>
      </c>
    </row>
    <row r="46" spans="1:40" ht="15.5" x14ac:dyDescent="0.35">
      <c r="A46" t="s">
        <v>1267</v>
      </c>
      <c r="B46" s="794">
        <v>290</v>
      </c>
      <c r="C46" s="764" t="s">
        <v>1268</v>
      </c>
      <c r="D46" s="756"/>
      <c r="E46" s="1223">
        <f>SUM(E43:E45)</f>
        <v>0</v>
      </c>
      <c r="F46" s="1223">
        <f t="shared" ref="F46:L46" si="4">SUM(F43:F45)</f>
        <v>0</v>
      </c>
      <c r="G46" s="1223">
        <f t="shared" si="4"/>
        <v>0</v>
      </c>
      <c r="H46" s="1420">
        <f>SUM(H43:H45)</f>
        <v>0</v>
      </c>
      <c r="I46" s="1223">
        <f t="shared" si="4"/>
        <v>0</v>
      </c>
      <c r="J46" s="1223">
        <f t="shared" si="4"/>
        <v>0</v>
      </c>
      <c r="K46" s="1290">
        <f t="shared" si="4"/>
        <v>0</v>
      </c>
      <c r="L46" s="1420">
        <f t="shared" si="4"/>
        <v>0</v>
      </c>
      <c r="M46" s="34"/>
      <c r="N46" s="1181" t="str">
        <f>IF(ISERROR(O46),"",IF((O46="Error"),"add explanation",IF((O46="Warning"),"add explanation","")))</f>
        <v/>
      </c>
      <c r="O46" s="754" t="str">
        <f>IF(OR((K46&lt;&gt;(I46+J46)),(G46&lt;&gt;(E46+F46)),(L46&lt;&gt;(G46-K46))),"Error",IF(AM46="Warning","Warning",""))</f>
        <v/>
      </c>
      <c r="Q46" s="755" t="str">
        <f>IF($O46="Error","A total column for "&amp;($C46)&amp;" does not match the sum of the components, please correct",IF($O46="Warning","This year's figure is over "&amp;AE46/1000&amp;" million and "&amp;(AD46*100)&amp;"% different to "&amp;TEXT(AF46,"#,###")&amp;" last year, please explain",""))</f>
        <v/>
      </c>
      <c r="AD46" s="609">
        <f>VLOOKUP("RO6"&amp;$B46,data_val_parameters,8,0)/100</f>
        <v>0.4</v>
      </c>
    </row>
    <row r="47" spans="1:40" ht="42" x14ac:dyDescent="0.35">
      <c r="C47" s="756"/>
      <c r="D47" s="756"/>
      <c r="E47" s="757"/>
      <c r="F47" s="1421"/>
      <c r="G47" s="758"/>
      <c r="H47" s="1212" t="s">
        <v>742</v>
      </c>
      <c r="I47" s="24"/>
      <c r="J47" s="24"/>
      <c r="K47" s="82"/>
      <c r="L47" s="1212" t="s">
        <v>743</v>
      </c>
      <c r="N47" s="434"/>
      <c r="O47" s="754"/>
      <c r="Q47" s="755"/>
    </row>
    <row r="48" spans="1:40" ht="46.5" x14ac:dyDescent="0.35">
      <c r="C48" s="756"/>
      <c r="D48" s="756"/>
      <c r="E48" s="757"/>
      <c r="F48" s="770" t="s">
        <v>744</v>
      </c>
      <c r="G48" s="758"/>
      <c r="H48" s="1199" t="str" cm="1">
        <f t="array" ref="H48">IF(SUMPRODUCT(--(H33&gt;G33))+SUMPRODUCT(--(H43:H46 &gt; G43:G46))&gt; 0,"Error","")</f>
        <v/>
      </c>
      <c r="I48" s="24" t="str">
        <f>IF(H48="Error","A figure in the central MSS column is greater than total expenditure for that line","")</f>
        <v/>
      </c>
      <c r="J48" s="757"/>
      <c r="K48" s="758"/>
      <c r="L48" s="104"/>
      <c r="N48" s="434"/>
      <c r="O48" s="754"/>
      <c r="Q48" s="755"/>
    </row>
    <row r="49" spans="1:41" ht="15.5" x14ac:dyDescent="0.35">
      <c r="E49" s="757"/>
      <c r="F49" s="771" t="s">
        <v>745</v>
      </c>
      <c r="G49" s="758"/>
      <c r="I49" s="757"/>
      <c r="J49" s="757"/>
      <c r="K49" s="758"/>
      <c r="L49" s="104"/>
      <c r="N49" s="434"/>
      <c r="O49" s="754"/>
      <c r="Q49" s="755"/>
    </row>
    <row r="50" spans="1:41" ht="15.5" x14ac:dyDescent="0.35">
      <c r="A50" t="s">
        <v>1269</v>
      </c>
      <c r="B50" s="1030">
        <v>1391</v>
      </c>
      <c r="C50" s="1030" t="s">
        <v>1270</v>
      </c>
      <c r="F50" s="1280"/>
      <c r="G50" s="758"/>
      <c r="I50" s="757"/>
      <c r="J50" s="757"/>
      <c r="K50" s="758"/>
      <c r="L50" s="104"/>
      <c r="N50" s="434"/>
      <c r="O50" s="754"/>
      <c r="Q50" s="755"/>
    </row>
    <row r="51" spans="1:41" ht="15.5" x14ac:dyDescent="0.35">
      <c r="B51" s="1030"/>
      <c r="C51" s="1030"/>
      <c r="F51" s="1200"/>
      <c r="G51" s="758"/>
      <c r="H51" s="1206"/>
      <c r="I51" s="757"/>
      <c r="J51" s="443"/>
      <c r="K51" s="758"/>
      <c r="L51" s="104"/>
      <c r="N51" s="434"/>
      <c r="O51" s="754"/>
      <c r="Q51" s="755"/>
    </row>
    <row r="52" spans="1:41" ht="15.5" x14ac:dyDescent="0.35">
      <c r="B52" s="1030"/>
      <c r="C52" s="1030"/>
      <c r="F52" s="1200"/>
      <c r="G52" s="758"/>
      <c r="H52" s="1206"/>
      <c r="I52" s="757"/>
      <c r="J52" s="271"/>
      <c r="K52" s="758"/>
      <c r="L52" s="104"/>
      <c r="N52" s="434"/>
      <c r="O52" s="754"/>
      <c r="Q52" s="755"/>
    </row>
    <row r="53" spans="1:41" ht="15.5" x14ac:dyDescent="0.35">
      <c r="A53" s="280" t="s">
        <v>1271</v>
      </c>
      <c r="B53" s="1030">
        <v>1392</v>
      </c>
      <c r="C53" s="1030" t="s">
        <v>1272</v>
      </c>
      <c r="F53" s="1200"/>
      <c r="G53" s="758"/>
      <c r="H53" s="1206"/>
      <c r="I53" s="757"/>
      <c r="J53" s="1270"/>
      <c r="K53" s="1213" t="s">
        <v>750</v>
      </c>
      <c r="L53" s="104"/>
      <c r="N53" s="434"/>
      <c r="O53" s="754"/>
      <c r="Q53" s="755"/>
    </row>
    <row r="54" spans="1:41" ht="15.5" x14ac:dyDescent="0.35">
      <c r="B54" s="3" t="s">
        <v>253</v>
      </c>
      <c r="C54" s="752"/>
      <c r="D54" s="756"/>
      <c r="E54" s="757"/>
      <c r="F54" s="757"/>
      <c r="G54" s="758"/>
      <c r="H54" s="758"/>
      <c r="I54" s="757"/>
      <c r="J54" s="757"/>
      <c r="K54" s="758"/>
      <c r="L54" s="758"/>
      <c r="N54" s="434"/>
      <c r="O54" s="754"/>
      <c r="Q54" s="755"/>
    </row>
    <row r="55" spans="1:41" ht="18" x14ac:dyDescent="0.4">
      <c r="B55" s="759" t="s">
        <v>1273</v>
      </c>
      <c r="C55" s="752"/>
      <c r="D55" s="756"/>
      <c r="E55" s="757"/>
      <c r="F55" s="757"/>
      <c r="G55" s="758"/>
      <c r="J55" s="757"/>
      <c r="K55" s="758"/>
      <c r="L55" s="758"/>
      <c r="N55" s="434"/>
      <c r="O55" s="754"/>
      <c r="Q55" s="755"/>
    </row>
    <row r="56" spans="1:41" ht="15.5" x14ac:dyDescent="0.35">
      <c r="B56" t="s">
        <v>253</v>
      </c>
      <c r="C56" s="752" t="s">
        <v>253</v>
      </c>
      <c r="D56" s="756"/>
      <c r="E56" s="757"/>
      <c r="F56" s="757"/>
      <c r="G56" s="758"/>
      <c r="H56" s="758"/>
      <c r="I56" s="757"/>
      <c r="J56" s="757"/>
      <c r="K56" s="758"/>
      <c r="L56" s="810"/>
      <c r="N56" s="434"/>
      <c r="O56" s="754"/>
      <c r="Q56" s="755"/>
    </row>
    <row r="57" spans="1:41" ht="15.5" x14ac:dyDescent="0.35">
      <c r="A57" t="s">
        <v>1274</v>
      </c>
      <c r="B57" s="751">
        <v>410</v>
      </c>
      <c r="C57" s="752" t="s">
        <v>1275</v>
      </c>
      <c r="D57" s="756"/>
      <c r="E57" s="1299"/>
      <c r="F57" s="1299"/>
      <c r="G57" s="1223">
        <f>SUM(E57:F57)</f>
        <v>0</v>
      </c>
      <c r="H57" s="1301"/>
      <c r="I57" s="1299"/>
      <c r="J57" s="1299"/>
      <c r="K57" s="1290">
        <f>SUM(I57:J57)</f>
        <v>0</v>
      </c>
      <c r="L57" s="1423">
        <f>G57-K57</f>
        <v>0</v>
      </c>
      <c r="M57" s="455"/>
      <c r="N57" s="1181" t="str">
        <f>IF(ISERROR(O57),"",IF((O57="Error"),"add explanation",IF((O57="Warning"),"add explanation","")))</f>
        <v/>
      </c>
      <c r="O57" s="754" t="str">
        <f>IF(OR((K57&lt;&gt;(I57+J57)),(G57&lt;&gt;(E57+F57)),(L57&lt;&gt;(G57-K57)),AN57="Error"),"Error",IF(AM57="Warning","Warning",""))</f>
        <v/>
      </c>
      <c r="Q57" s="755" t="str">
        <f>IF(AND($O57="Error",$AN57="Error"),"Sales, Fees &amp; Charges or Other Income figure is negative",IF($O57="Error","A total column for "&amp;($C57)&amp;" does not match the sum of the components, please correct",IF($O57="Warning","This year's figure is over "&amp;AE57/1000&amp;" million and "&amp;(AD57*100)&amp;"% different to "&amp;TEXT(AF57,"#,###")&amp;" last year, please explain","")))</f>
        <v/>
      </c>
      <c r="AD57" s="609">
        <f>VLOOKUP("RO6"&amp;$B57,data_val_parameters,8,0)/100</f>
        <v>0.55000000000000004</v>
      </c>
      <c r="AE57" s="609">
        <f>VLOOKUP("RO6"&amp;$B57,data_val_parameters,7,0)</f>
        <v>6000</v>
      </c>
      <c r="AF57" s="609" t="e">
        <f>VLOOKUP(LA_code,data_prev_year,MATCH("RO6"&amp;$B57&amp;"7",data_prev_year_headers,0),0)</f>
        <v>#N/A</v>
      </c>
      <c r="AG57" s="609" t="e">
        <f t="shared" si="0"/>
        <v>#N/A</v>
      </c>
      <c r="AH57" s="609" t="e">
        <f t="shared" si="1"/>
        <v>#N/A</v>
      </c>
      <c r="AI57" s="636" t="e">
        <f t="shared" si="2"/>
        <v>#N/A</v>
      </c>
      <c r="AJ57" s="636" t="e">
        <f t="shared" si="3"/>
        <v>#N/A</v>
      </c>
      <c r="AK57" s="609" t="e">
        <f>IF(OR(L57&lt;AH57,L57&gt;AG57),"Warning","")</f>
        <v>#N/A</v>
      </c>
      <c r="AL57" s="609" t="e">
        <f>IF(OR(L57&gt;(AI57),L57&lt;(AJ57)),"Warning","")</f>
        <v>#N/A</v>
      </c>
      <c r="AM57" s="609" t="str">
        <f>IF(OR(L57=0),"",IF(AND(AK57="Warning",AL57="Warning"),"Warning",""))</f>
        <v/>
      </c>
      <c r="AN57" s="609" t="str">
        <f>IF(OR(I57&lt;0,J57&lt;0),"Error","")</f>
        <v/>
      </c>
    </row>
    <row r="58" spans="1:41" ht="15.5" x14ac:dyDescent="0.35">
      <c r="B58" s="811" t="s">
        <v>253</v>
      </c>
      <c r="C58" s="752"/>
      <c r="D58" s="756"/>
      <c r="E58" s="757"/>
      <c r="F58" s="757"/>
      <c r="G58" s="758"/>
      <c r="H58" s="758"/>
      <c r="I58" s="757"/>
      <c r="J58" s="757"/>
      <c r="K58" s="758"/>
      <c r="L58" s="1424"/>
      <c r="N58" s="1181"/>
      <c r="O58" s="754"/>
      <c r="Q58" s="755"/>
    </row>
    <row r="59" spans="1:41" ht="18" x14ac:dyDescent="0.4">
      <c r="B59" s="741" t="s">
        <v>1276</v>
      </c>
      <c r="C59" s="752"/>
      <c r="D59" s="756"/>
      <c r="E59" s="757"/>
      <c r="F59" s="757"/>
      <c r="G59" s="758"/>
      <c r="H59" s="758"/>
      <c r="I59" s="757"/>
      <c r="J59" s="757"/>
      <c r="K59" s="758"/>
      <c r="L59" s="758"/>
      <c r="N59" s="1181"/>
      <c r="O59" s="754"/>
      <c r="Q59" s="755"/>
    </row>
    <row r="60" spans="1:41" ht="15.5" x14ac:dyDescent="0.35">
      <c r="B60" s="811" t="s">
        <v>253</v>
      </c>
      <c r="C60" s="752"/>
      <c r="D60" s="756"/>
      <c r="E60" s="757"/>
      <c r="F60" s="757"/>
      <c r="G60" s="758"/>
      <c r="H60" s="758"/>
      <c r="I60" s="757"/>
      <c r="J60" s="757"/>
      <c r="K60" s="758"/>
      <c r="L60" s="758"/>
      <c r="N60" s="1181"/>
      <c r="O60" s="754"/>
      <c r="Q60" s="755"/>
    </row>
    <row r="61" spans="1:41" ht="15.5" x14ac:dyDescent="0.35">
      <c r="B61" s="794" t="s">
        <v>1277</v>
      </c>
      <c r="C61" s="752"/>
      <c r="D61" s="756"/>
      <c r="E61" s="757"/>
      <c r="F61" s="757"/>
      <c r="G61" s="758"/>
      <c r="H61" s="758"/>
      <c r="I61" s="757"/>
      <c r="J61" s="757"/>
      <c r="K61" s="758"/>
      <c r="L61" s="758"/>
      <c r="N61" s="1181"/>
      <c r="O61" s="754"/>
      <c r="Q61" s="755"/>
    </row>
    <row r="62" spans="1:41" ht="15.5" x14ac:dyDescent="0.35">
      <c r="A62" t="s">
        <v>1278</v>
      </c>
      <c r="B62" s="760">
        <v>421</v>
      </c>
      <c r="C62" s="752" t="s">
        <v>1279</v>
      </c>
      <c r="D62" s="756"/>
      <c r="E62" s="1299"/>
      <c r="F62" s="1299"/>
      <c r="G62" s="1223">
        <f t="shared" ref="G62:G67" si="5">SUM(E62:F62)</f>
        <v>0</v>
      </c>
      <c r="H62" s="1301"/>
      <c r="I62" s="1299"/>
      <c r="J62" s="1299"/>
      <c r="K62" s="1223">
        <f t="shared" ref="K62:K67" si="6">SUM(I62:J62)</f>
        <v>0</v>
      </c>
      <c r="L62" s="1223">
        <f t="shared" ref="L62:L67" si="7">G62-K62</f>
        <v>0</v>
      </c>
      <c r="N62" s="1181" t="str">
        <f t="shared" ref="N62:N67" si="8">IF(ISERROR(O62),"",IF((O62="Error"),"add explanation",IF((O62="Warning"),"add explanation","")))</f>
        <v/>
      </c>
      <c r="O62" s="754" t="e">
        <f>IF(OR((K62&lt;&gt;(I62+J62)),(G62&lt;&gt;(E62+F62)),(L62&lt;&gt;(G62-K62))),"Error",IF(OR(AM62="Warning",AN62="Warning"),"Warning",""))</f>
        <v>#N/A</v>
      </c>
      <c r="Q62" s="755" t="e">
        <f>IF($O62="Error","A total column for "&amp;($C62)&amp;" does not match the sum of the components, please correct",IF(AN62="Warning","Non zero entry expected for your authority",IF($O62="Warning","This year's figure is over "&amp;AE62/1000&amp;" million and "&amp;(AD62*100)&amp;"% different to "&amp;TEXT(AF62,"#,###")&amp;" last year, please explain","")))</f>
        <v>#N/A</v>
      </c>
      <c r="AD62" s="609">
        <f t="shared" ref="AD62:AD67" si="9">VLOOKUP("RO6"&amp;$B62,data_val_parameters,8,0)/100</f>
        <v>0.4</v>
      </c>
      <c r="AE62" s="609">
        <f t="shared" ref="AE62:AE67" si="10">VLOOKUP("RO6"&amp;$B62,data_val_parameters,7,0)</f>
        <v>4000</v>
      </c>
      <c r="AF62" s="609" t="e">
        <f t="shared" ref="AF62:AF67" si="11">VLOOKUP(LA_code,data_prev_year,MATCH("RO6"&amp;$B62&amp;"7",data_prev_year_headers,0),0)</f>
        <v>#N/A</v>
      </c>
      <c r="AG62" s="609" t="e">
        <f t="shared" si="0"/>
        <v>#N/A</v>
      </c>
      <c r="AH62" s="609" t="e">
        <f t="shared" si="1"/>
        <v>#N/A</v>
      </c>
      <c r="AI62" s="609" t="e">
        <f t="shared" si="2"/>
        <v>#N/A</v>
      </c>
      <c r="AJ62" s="609" t="e">
        <f t="shared" si="3"/>
        <v>#N/A</v>
      </c>
      <c r="AK62" s="609" t="e">
        <f t="shared" ref="AK62:AK67" si="12">IF(OR(L62&lt;AH62,L62&gt;AG62),"Warning","")</f>
        <v>#N/A</v>
      </c>
      <c r="AL62" s="609" t="e">
        <f t="shared" ref="AL62:AL67" si="13">IF(OR(L62&gt;(AI62),L62&lt;(AJ62)),"Warning","")</f>
        <v>#N/A</v>
      </c>
      <c r="AM62" s="609" t="str">
        <f t="shared" ref="AM62:AM67" si="14">IF(OR(L62=0),"",IF(AND(AK62="Warning",AL62="Warning"),"Warning",""))</f>
        <v/>
      </c>
      <c r="AN62" s="944" t="e">
        <f>IF(AND(L62=0,AO62=1),"Warning","")</f>
        <v>#N/A</v>
      </c>
      <c r="AO62" s="685" t="e">
        <f>VLOOKUP(LA_code,'LA List'!C3:J416,8,0)</f>
        <v>#N/A</v>
      </c>
    </row>
    <row r="63" spans="1:41" ht="15.5" x14ac:dyDescent="0.35">
      <c r="A63" t="s">
        <v>1280</v>
      </c>
      <c r="B63" s="760">
        <v>422</v>
      </c>
      <c r="C63" s="752" t="s">
        <v>1281</v>
      </c>
      <c r="D63" s="756"/>
      <c r="E63" s="1299"/>
      <c r="F63" s="1299"/>
      <c r="G63" s="1223">
        <f t="shared" si="5"/>
        <v>0</v>
      </c>
      <c r="H63" s="1301"/>
      <c r="I63" s="1299"/>
      <c r="J63" s="1299"/>
      <c r="K63" s="1223">
        <f t="shared" si="6"/>
        <v>0</v>
      </c>
      <c r="L63" s="1223">
        <f t="shared" si="7"/>
        <v>0</v>
      </c>
      <c r="N63" s="1181" t="str">
        <f t="shared" si="8"/>
        <v/>
      </c>
      <c r="O63" s="754" t="str">
        <f>IF(OR((K63&lt;&gt;(I63+J63)),(G63&lt;&gt;(E63+F63)),(L63&lt;&gt;(G63-K63)),AN63="Error"),"Error",IF(AM63="Warning","Warning",""))</f>
        <v/>
      </c>
      <c r="Q63" s="755"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 t="shared" si="9"/>
        <v>0.4</v>
      </c>
      <c r="AE63" s="609">
        <f t="shared" si="10"/>
        <v>4000</v>
      </c>
      <c r="AF63" s="609" t="e">
        <f t="shared" si="11"/>
        <v>#N/A</v>
      </c>
      <c r="AG63" s="609" t="e">
        <f t="shared" si="0"/>
        <v>#N/A</v>
      </c>
      <c r="AH63" s="609" t="e">
        <f t="shared" si="1"/>
        <v>#N/A</v>
      </c>
      <c r="AI63" s="609" t="e">
        <f t="shared" si="2"/>
        <v>#N/A</v>
      </c>
      <c r="AJ63" s="609" t="e">
        <f t="shared" si="3"/>
        <v>#N/A</v>
      </c>
      <c r="AK63" s="609" t="e">
        <f t="shared" si="12"/>
        <v>#N/A</v>
      </c>
      <c r="AL63" s="609" t="e">
        <f t="shared" si="13"/>
        <v>#N/A</v>
      </c>
      <c r="AM63" s="609" t="str">
        <f t="shared" si="14"/>
        <v/>
      </c>
      <c r="AN63" s="609" t="str">
        <f>IF(OR(I63&lt;0,J63&lt;0),"Error","")</f>
        <v/>
      </c>
    </row>
    <row r="64" spans="1:41" ht="15.5" x14ac:dyDescent="0.35">
      <c r="A64" t="s">
        <v>1282</v>
      </c>
      <c r="B64" s="760">
        <v>423</v>
      </c>
      <c r="C64" s="752" t="s">
        <v>1283</v>
      </c>
      <c r="D64" s="756"/>
      <c r="E64" s="1299"/>
      <c r="F64" s="1299"/>
      <c r="G64" s="1223">
        <f t="shared" si="5"/>
        <v>0</v>
      </c>
      <c r="H64" s="1301"/>
      <c r="I64" s="1299"/>
      <c r="J64" s="1299"/>
      <c r="K64" s="1223">
        <f t="shared" si="6"/>
        <v>0</v>
      </c>
      <c r="L64" s="1223">
        <f t="shared" si="7"/>
        <v>0</v>
      </c>
      <c r="N64" s="1181" t="str">
        <f t="shared" si="8"/>
        <v/>
      </c>
      <c r="O64" s="754" t="str">
        <f>IF(OR((K64&lt;&gt;(I64+J64)),(G64&lt;&gt;(E64+F64)),(L64&lt;&gt;(G64-K64)),AN64="Error"),"Error",IF(AM64="Warning","Warning",""))</f>
        <v/>
      </c>
      <c r="Q64" s="755" t="str">
        <f>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 t="shared" si="9"/>
        <v>0.4</v>
      </c>
      <c r="AE64" s="609">
        <f t="shared" si="10"/>
        <v>4000</v>
      </c>
      <c r="AF64" s="609" t="e">
        <f t="shared" si="11"/>
        <v>#N/A</v>
      </c>
      <c r="AG64" s="609" t="e">
        <f t="shared" si="0"/>
        <v>#N/A</v>
      </c>
      <c r="AH64" s="609" t="e">
        <f t="shared" si="1"/>
        <v>#N/A</v>
      </c>
      <c r="AI64" s="609" t="e">
        <f t="shared" si="2"/>
        <v>#N/A</v>
      </c>
      <c r="AJ64" s="609" t="e">
        <f t="shared" si="3"/>
        <v>#N/A</v>
      </c>
      <c r="AK64" s="609" t="e">
        <f t="shared" si="12"/>
        <v>#N/A</v>
      </c>
      <c r="AL64" s="609" t="e">
        <f t="shared" si="13"/>
        <v>#N/A</v>
      </c>
      <c r="AM64" s="609" t="str">
        <f t="shared" si="14"/>
        <v/>
      </c>
      <c r="AN64" s="609" t="str">
        <f>IF(OR(I64&lt;0,J64&lt;0),"Error","")</f>
        <v/>
      </c>
    </row>
    <row r="65" spans="1:41" ht="18" x14ac:dyDescent="0.4">
      <c r="A65" t="s">
        <v>1284</v>
      </c>
      <c r="B65" s="760">
        <v>425</v>
      </c>
      <c r="C65" s="752" t="s">
        <v>1285</v>
      </c>
      <c r="D65" s="756"/>
      <c r="E65" s="1299"/>
      <c r="F65" s="1299"/>
      <c r="G65" s="1223">
        <f>SUM(E65:F65)</f>
        <v>0</v>
      </c>
      <c r="H65" s="1301"/>
      <c r="I65" s="1299"/>
      <c r="J65" s="1299"/>
      <c r="K65" s="1223">
        <f>SUM(I65:J65)</f>
        <v>0</v>
      </c>
      <c r="L65" s="1223">
        <f>G65-K65</f>
        <v>0</v>
      </c>
      <c r="M65" s="35"/>
      <c r="N65" s="1181" t="str">
        <f t="shared" si="8"/>
        <v/>
      </c>
      <c r="O65" s="754" t="str">
        <f>IF(OR((K65&lt;&gt;(I65+J65)),(G65&lt;&gt;(E65+F65)),(L65&lt;&gt;(G65-K65)),AN65="Error"),"Error",IF(AM65="Warning","Warning",""))</f>
        <v/>
      </c>
      <c r="Q65" s="755" t="str">
        <f>IF(AND($O65="Error",$AN65="Error"),"Sales, Fees &amp; Charges or Other Income figure is negative",IF($O65="Error","A total column for "&amp;($C65)&amp;" does not match the sum of the components, please correct",IF($O65="Warning","This year's figure is over "&amp;AE65/1000&amp;" million and "&amp;(AD65*100)&amp;"% different to "&amp;TEXT(AF65,"#,###")&amp;" last year, please explain","")))</f>
        <v/>
      </c>
      <c r="AD65" s="609">
        <f t="shared" si="9"/>
        <v>0.4</v>
      </c>
      <c r="AE65" s="609">
        <f t="shared" si="10"/>
        <v>4000</v>
      </c>
      <c r="AF65" s="609" t="e">
        <f t="shared" si="11"/>
        <v>#N/A</v>
      </c>
      <c r="AG65" s="609" t="e">
        <f t="shared" si="0"/>
        <v>#N/A</v>
      </c>
      <c r="AH65" s="609" t="e">
        <f t="shared" si="1"/>
        <v>#N/A</v>
      </c>
      <c r="AI65" s="609" t="e">
        <f t="shared" si="2"/>
        <v>#N/A</v>
      </c>
      <c r="AJ65" s="609" t="e">
        <f t="shared" si="3"/>
        <v>#N/A</v>
      </c>
      <c r="AK65" s="609" t="e">
        <f t="shared" si="12"/>
        <v>#N/A</v>
      </c>
      <c r="AL65" s="609" t="e">
        <f t="shared" si="13"/>
        <v>#N/A</v>
      </c>
      <c r="AM65" s="609" t="str">
        <f t="shared" si="14"/>
        <v/>
      </c>
      <c r="AN65" s="609" t="str">
        <f>IF(OR(I65&lt;0,J65&lt;0),"Error","")</f>
        <v/>
      </c>
    </row>
    <row r="66" spans="1:41" ht="15.5" x14ac:dyDescent="0.35">
      <c r="A66" t="s">
        <v>1286</v>
      </c>
      <c r="B66" s="760">
        <v>426</v>
      </c>
      <c r="C66" s="752" t="s">
        <v>1287</v>
      </c>
      <c r="D66" s="756"/>
      <c r="E66" s="1299"/>
      <c r="F66" s="1299"/>
      <c r="G66" s="1223">
        <f t="shared" si="5"/>
        <v>0</v>
      </c>
      <c r="H66" s="1301"/>
      <c r="I66" s="1299"/>
      <c r="J66" s="1299"/>
      <c r="K66" s="1223">
        <f t="shared" si="6"/>
        <v>0</v>
      </c>
      <c r="L66" s="1223">
        <f t="shared" si="7"/>
        <v>0</v>
      </c>
      <c r="N66" s="1181" t="str">
        <f t="shared" si="8"/>
        <v/>
      </c>
      <c r="O66" s="754" t="e">
        <f>IF(OR((K66&lt;&gt;(I66+J66)),(G66&lt;&gt;(E66+F66)),(L66&lt;&gt;(G66-K66)),AN66="Error"),"Error",IF(AM66="Warning","Warning",""))</f>
        <v>#N/A</v>
      </c>
      <c r="Q66" s="755" t="e">
        <f>IF($O66="Error","A total column for "&amp;($C66)&amp;" does not match the sum of the components, please correct",IF(AN66="Warning","Non zero entry expected for your authority",IF($O66="Warning","This year's figure is over "&amp;AE66/1000&amp;" million and "&amp;(AD66*100)&amp;"% different to "&amp;TEXT(AF66,"#,###")&amp;" last year, please explain","")))</f>
        <v>#N/A</v>
      </c>
      <c r="AD66" s="609">
        <f t="shared" si="9"/>
        <v>0.4</v>
      </c>
      <c r="AE66" s="609">
        <f t="shared" si="10"/>
        <v>4000</v>
      </c>
      <c r="AF66" s="609" t="e">
        <f t="shared" si="11"/>
        <v>#N/A</v>
      </c>
      <c r="AG66" s="609" t="e">
        <f t="shared" si="0"/>
        <v>#N/A</v>
      </c>
      <c r="AH66" s="609" t="e">
        <f t="shared" si="1"/>
        <v>#N/A</v>
      </c>
      <c r="AI66" s="609" t="e">
        <f t="shared" si="2"/>
        <v>#N/A</v>
      </c>
      <c r="AJ66" s="609" t="e">
        <f t="shared" si="3"/>
        <v>#N/A</v>
      </c>
      <c r="AK66" s="609" t="e">
        <f t="shared" si="12"/>
        <v>#N/A</v>
      </c>
      <c r="AL66" s="609" t="e">
        <f t="shared" si="13"/>
        <v>#N/A</v>
      </c>
      <c r="AM66" s="609" t="str">
        <f t="shared" si="14"/>
        <v/>
      </c>
      <c r="AN66" s="944" t="e">
        <f>IF(AND(L66=0,AO66=1),"Warning","")</f>
        <v>#N/A</v>
      </c>
      <c r="AO66" s="685" t="e">
        <f>VLOOKUP(LA_code,'LA List'!C3:J416,8,0)</f>
        <v>#N/A</v>
      </c>
    </row>
    <row r="67" spans="1:41" ht="15.5" x14ac:dyDescent="0.35">
      <c r="A67" t="s">
        <v>1288</v>
      </c>
      <c r="B67" s="800">
        <v>428</v>
      </c>
      <c r="C67" s="752" t="s">
        <v>1289</v>
      </c>
      <c r="D67" s="756"/>
      <c r="E67" s="1299"/>
      <c r="F67" s="1299"/>
      <c r="G67" s="1223">
        <f t="shared" si="5"/>
        <v>0</v>
      </c>
      <c r="H67" s="1301"/>
      <c r="I67" s="1299"/>
      <c r="J67" s="1299"/>
      <c r="K67" s="1223">
        <f t="shared" si="6"/>
        <v>0</v>
      </c>
      <c r="L67" s="1223">
        <f t="shared" si="7"/>
        <v>0</v>
      </c>
      <c r="N67" s="1181" t="str">
        <f t="shared" si="8"/>
        <v/>
      </c>
      <c r="O67" s="754" t="str">
        <f>IF(OR((K67&lt;&gt;(I67+J67)),(G67&lt;&gt;(E67+F67)),(L67&lt;&gt;(G67-K67)),AN67="Error"),"Error",IF(AM67="Warning","Warning",""))</f>
        <v/>
      </c>
      <c r="Q67" s="755" t="str">
        <f>IF(AND($O67="Error",$AN67="Error"),"Sales, Fees &amp; Charges or Other Income figure is negative",IF($O67="Error","A total column for "&amp;($C67)&amp;" does not match the sum of the components, please correct",IF($O67="Warning","This year's figure is over "&amp;AE67/1000&amp;" million and "&amp;(AD67*100)&amp;"% different to "&amp;TEXT(AF67,"#,###")&amp;" last year, please explain","")))</f>
        <v/>
      </c>
      <c r="AD67" s="609">
        <f t="shared" si="9"/>
        <v>0.4</v>
      </c>
      <c r="AE67" s="609">
        <f t="shared" si="10"/>
        <v>4000</v>
      </c>
      <c r="AF67" s="609" t="e">
        <f t="shared" si="11"/>
        <v>#N/A</v>
      </c>
      <c r="AG67" s="609" t="e">
        <f t="shared" si="0"/>
        <v>#N/A</v>
      </c>
      <c r="AH67" s="609" t="e">
        <f t="shared" si="1"/>
        <v>#N/A</v>
      </c>
      <c r="AI67" s="609" t="e">
        <f t="shared" si="2"/>
        <v>#N/A</v>
      </c>
      <c r="AJ67" s="609" t="e">
        <f t="shared" si="3"/>
        <v>#N/A</v>
      </c>
      <c r="AK67" s="609" t="e">
        <f t="shared" si="12"/>
        <v>#N/A</v>
      </c>
      <c r="AL67" s="609" t="e">
        <f t="shared" si="13"/>
        <v>#N/A</v>
      </c>
      <c r="AM67" s="609" t="str">
        <f t="shared" si="14"/>
        <v/>
      </c>
      <c r="AN67" s="609" t="str">
        <f>IF(OR(I67&lt;0,J67&lt;0),"Error","")</f>
        <v/>
      </c>
    </row>
    <row r="68" spans="1:41" ht="15.5" x14ac:dyDescent="0.35">
      <c r="B68" s="765" t="s">
        <v>253</v>
      </c>
      <c r="C68" s="752"/>
      <c r="D68" s="756"/>
      <c r="E68" s="757"/>
      <c r="F68" s="757"/>
      <c r="G68" s="778"/>
      <c r="H68" s="757"/>
      <c r="I68" s="757"/>
      <c r="J68" s="757"/>
      <c r="K68" s="778"/>
      <c r="L68" s="778"/>
      <c r="N68" s="1181"/>
      <c r="O68" s="754"/>
      <c r="Q68" s="755"/>
    </row>
    <row r="69" spans="1:41" ht="15.5" x14ac:dyDescent="0.35">
      <c r="A69" t="s">
        <v>1290</v>
      </c>
      <c r="B69" s="751">
        <v>430</v>
      </c>
      <c r="C69" s="752" t="s">
        <v>1291</v>
      </c>
      <c r="D69" s="756"/>
      <c r="E69" s="1299"/>
      <c r="F69" s="1299"/>
      <c r="G69" s="1223">
        <f>SUM(E69:F69)</f>
        <v>0</v>
      </c>
      <c r="H69" s="1301"/>
      <c r="I69" s="1299"/>
      <c r="J69" s="1299"/>
      <c r="K69" s="1223">
        <f>SUM(I69:J69)</f>
        <v>0</v>
      </c>
      <c r="L69" s="1223">
        <f>G69-K69</f>
        <v>0</v>
      </c>
      <c r="N69" s="1181" t="str">
        <f>IF(ISERROR(O69),"",IF((O69="Error"),"add explanation",IF((O69="Warning"),"add explanation","")))</f>
        <v/>
      </c>
      <c r="O69" s="754" t="str">
        <f>IF(OR((K69&lt;&gt;(I69+J69)),(G69&lt;&gt;(E69+F69)),(L69&lt;&gt;(G69-K69)),AN69="Error"),"Error",IF(AM69="Warning","Warning",""))</f>
        <v/>
      </c>
      <c r="Q69" s="755" t="str">
        <f>IF(AND($O69="Error",$AN69="Error"),"Sales, Fees &amp; Charges or Other Income figure is negative",IF($O69="Error","A total column for "&amp;($C69)&amp;" does not match the sum of the components, please correct",IF($O69="Warning","This year's figure is over "&amp;AE69/1000&amp;" million and "&amp;(AD69*100)&amp;"% different to "&amp;TEXT(AF69,"#,###")&amp;" last year, please explain","")))</f>
        <v/>
      </c>
      <c r="AD69" s="609">
        <f>VLOOKUP("RO6"&amp;$B69,data_val_parameters,8,0)/100</f>
        <v>0.4</v>
      </c>
      <c r="AE69" s="609">
        <f>VLOOKUP("RO6"&amp;$B69,data_val_parameters,7,0)</f>
        <v>4000</v>
      </c>
      <c r="AF69" s="636" t="e">
        <f>VLOOKUP(LA_code,data_prev_year,MATCH("RO6"&amp;$B69&amp;"7",data_prev_year_headers,0),0)</f>
        <v>#N/A</v>
      </c>
      <c r="AG69" s="636" t="e">
        <f t="shared" si="0"/>
        <v>#N/A</v>
      </c>
      <c r="AH69" s="636" t="e">
        <f t="shared" si="1"/>
        <v>#N/A</v>
      </c>
      <c r="AI69" s="636" t="e">
        <f t="shared" si="2"/>
        <v>#N/A</v>
      </c>
      <c r="AJ69" s="636" t="e">
        <f t="shared" si="3"/>
        <v>#N/A</v>
      </c>
      <c r="AK69" s="609" t="e">
        <f>IF(OR(L69&lt;AH69,L69&gt;AG69),"Warning","")</f>
        <v>#N/A</v>
      </c>
      <c r="AL69" s="609" t="e">
        <f>IF(OR(L69&gt;(AI69),L69&lt;(AJ69)),"Warning","")</f>
        <v>#N/A</v>
      </c>
      <c r="AM69" s="609" t="str">
        <f>IF(OR(L69=0),"",IF(AND(AK69="Warning",AL69="Warning"),"Warning",""))</f>
        <v/>
      </c>
      <c r="AN69" s="609" t="str">
        <f>IF(OR(I69&lt;0,J69&lt;0),"Error","")</f>
        <v/>
      </c>
    </row>
    <row r="70" spans="1:41" ht="15.5" x14ac:dyDescent="0.35">
      <c r="B70" s="765" t="s">
        <v>253</v>
      </c>
      <c r="C70" s="752"/>
      <c r="D70" s="756"/>
      <c r="E70" s="757"/>
      <c r="F70" s="757"/>
      <c r="G70" s="778"/>
      <c r="H70" s="757"/>
      <c r="I70" s="757"/>
      <c r="J70" s="757"/>
      <c r="K70" s="778"/>
      <c r="L70" s="778"/>
      <c r="N70" s="1181"/>
      <c r="O70" s="754"/>
      <c r="Q70" s="755"/>
    </row>
    <row r="71" spans="1:41" ht="15.5" x14ac:dyDescent="0.35">
      <c r="B71" s="794" t="s">
        <v>1292</v>
      </c>
      <c r="C71" s="752"/>
      <c r="D71" s="756"/>
      <c r="E71" s="757"/>
      <c r="F71" s="757"/>
      <c r="G71" s="778"/>
      <c r="H71" s="757"/>
      <c r="I71" s="757"/>
      <c r="J71" s="757"/>
      <c r="K71" s="778"/>
      <c r="L71" s="778"/>
      <c r="N71" s="1181"/>
      <c r="O71" s="754"/>
      <c r="Q71" s="755"/>
    </row>
    <row r="72" spans="1:41" ht="15.5" x14ac:dyDescent="0.35">
      <c r="A72" t="s">
        <v>1293</v>
      </c>
      <c r="B72" s="760">
        <v>441</v>
      </c>
      <c r="C72" s="752" t="s">
        <v>1294</v>
      </c>
      <c r="D72" s="756"/>
      <c r="E72" s="1299"/>
      <c r="F72" s="1299"/>
      <c r="G72" s="1223">
        <f>SUM(E72:F72)</f>
        <v>0</v>
      </c>
      <c r="H72" s="1301"/>
      <c r="I72" s="1299"/>
      <c r="J72" s="1299"/>
      <c r="K72" s="1223">
        <f>SUM(I72:J72)</f>
        <v>0</v>
      </c>
      <c r="L72" s="1223">
        <f>G72-K72</f>
        <v>0</v>
      </c>
      <c r="N72" s="1181" t="str">
        <f>IF(ISERROR(O72),"",IF((O72="Error"),"add explanation",IF((O72="Warning"),"add explanation","")))</f>
        <v/>
      </c>
      <c r="O72" s="754" t="str">
        <f>IF(OR((K72&lt;&gt;(I72+J72)),(G72&lt;&gt;(E72+F72)),(L72&lt;&gt;(G72-K72)),AN72="Error"),"Error",IF(AM72="Warning","Warning",""))</f>
        <v/>
      </c>
      <c r="Q72" s="755" t="str">
        <f>IF(AND($O72="Error",$AN72="Error"),"Sales, Fees &amp; Charges or Other Income figure is negative",IF($O72="Error","A total column for "&amp;($C72)&amp;" does not match the sum of the components, please correct",IF($O72="Warning","This year's figure is over "&amp;AE72/1000&amp;" million and "&amp;(AD72*100)&amp;"% different to "&amp;TEXT(AF72,"#,###")&amp;" last year, please explain","")))</f>
        <v/>
      </c>
      <c r="AD72" s="609">
        <f>VLOOKUP("RO6"&amp;$B72,data_val_parameters,8,0)/100</f>
        <v>0.4</v>
      </c>
      <c r="AE72" s="609">
        <f>VLOOKUP("RO6"&amp;$B72,data_val_parameters,7,0)</f>
        <v>4000</v>
      </c>
      <c r="AF72" s="609" t="e">
        <f>VLOOKUP(LA_code,data_prev_year,MATCH("RO6"&amp;$B72&amp;"7",data_prev_year_headers,0),0)</f>
        <v>#N/A</v>
      </c>
      <c r="AG72" s="609" t="e">
        <f t="shared" si="0"/>
        <v>#N/A</v>
      </c>
      <c r="AH72" s="609" t="e">
        <f t="shared" si="1"/>
        <v>#N/A</v>
      </c>
      <c r="AI72" s="609" t="e">
        <f t="shared" si="2"/>
        <v>#N/A</v>
      </c>
      <c r="AJ72" s="609" t="e">
        <f t="shared" si="3"/>
        <v>#N/A</v>
      </c>
      <c r="AK72" s="609" t="e">
        <f>IF(OR(L72&lt;AH72,L72&gt;AG72),"Warning","")</f>
        <v>#N/A</v>
      </c>
      <c r="AL72" s="609" t="e">
        <f>IF(OR(L72&gt;(AI72),L72&lt;(AJ72)),"Warning","")</f>
        <v>#N/A</v>
      </c>
      <c r="AM72" s="609" t="str">
        <f>IF(OR(L72=0),"",IF(AND(AK72="Warning",AL72="Warning"),"Warning",""))</f>
        <v/>
      </c>
      <c r="AN72" s="609" t="str">
        <f>IF(OR(I72&lt;0,J72&lt;0),"Error","")</f>
        <v/>
      </c>
    </row>
    <row r="73" spans="1:41" ht="15.5" x14ac:dyDescent="0.35">
      <c r="A73" t="s">
        <v>1295</v>
      </c>
      <c r="B73" s="760">
        <v>442</v>
      </c>
      <c r="C73" s="752" t="s">
        <v>1296</v>
      </c>
      <c r="D73" s="756"/>
      <c r="E73" s="1299"/>
      <c r="F73" s="1299"/>
      <c r="G73" s="1223">
        <f>SUM(E73:F73)</f>
        <v>0</v>
      </c>
      <c r="H73" s="1301"/>
      <c r="I73" s="1299"/>
      <c r="J73" s="1299"/>
      <c r="K73" s="1223">
        <f>SUM(I73:J73)</f>
        <v>0</v>
      </c>
      <c r="L73" s="1223">
        <f>G73-K73</f>
        <v>0</v>
      </c>
      <c r="N73" s="1181" t="str">
        <f>IF(ISERROR(O73),"",IF((O73="Error"),"add explanation",IF((O73="Warning"),"add explanation","")))</f>
        <v/>
      </c>
      <c r="O73" s="754" t="str">
        <f>IF(OR((K73&lt;&gt;(I73+J73)),(G73&lt;&gt;(E73+F73)),(L73&lt;&gt;(G73-K73)),AN73="Error"),"Error",IF(AM73="Warning","Warning",""))</f>
        <v/>
      </c>
      <c r="Q73" s="755" t="str">
        <f>IF(AND($O73="Error",$AN73="Error"),"Sales, Fees &amp; Charges or Other Income figure is negative",IF($O73="Error","A total column for "&amp;($C73)&amp;" does not match the sum of the components, please correct",IF($O73="Warning","This year's figure is over "&amp;AE73/1000&amp;" million and "&amp;(AD73*100)&amp;"% different to "&amp;TEXT(AF73,"#,###")&amp;" last year, please explain","")))</f>
        <v/>
      </c>
      <c r="AD73" s="609">
        <f>VLOOKUP("RO6"&amp;$B73,data_val_parameters,8,0)/100</f>
        <v>0.4</v>
      </c>
      <c r="AE73" s="609">
        <f>VLOOKUP("RO6"&amp;$B73,data_val_parameters,7,0)</f>
        <v>4000</v>
      </c>
      <c r="AF73" s="609" t="e">
        <f>VLOOKUP(LA_code,data_prev_year,MATCH("RO6"&amp;$B73&amp;"7",data_prev_year_headers,0),0)</f>
        <v>#N/A</v>
      </c>
      <c r="AG73" s="609" t="e">
        <f t="shared" si="0"/>
        <v>#N/A</v>
      </c>
      <c r="AH73" s="609" t="e">
        <f t="shared" si="1"/>
        <v>#N/A</v>
      </c>
      <c r="AI73" s="636" t="e">
        <f t="shared" si="2"/>
        <v>#N/A</v>
      </c>
      <c r="AJ73" s="636" t="e">
        <f t="shared" si="3"/>
        <v>#N/A</v>
      </c>
      <c r="AK73" s="609" t="e">
        <f>IF(OR(L73&lt;AH73,L73&gt;AG73),"Warning","")</f>
        <v>#N/A</v>
      </c>
      <c r="AL73" s="609" t="e">
        <f>IF(OR(L73&gt;(AI73),L73&lt;(AJ73)),"Warning","")</f>
        <v>#N/A</v>
      </c>
      <c r="AM73" s="609" t="str">
        <f>IF(OR(L73=0),"",IF(AND(AK73="Warning",AL73="Warning"),"Warning",""))</f>
        <v/>
      </c>
      <c r="AN73" s="609" t="str">
        <f>IF(OR(I73&lt;0,J73&lt;0),"Error","")</f>
        <v/>
      </c>
    </row>
    <row r="74" spans="1:41" ht="15.5" x14ac:dyDescent="0.35">
      <c r="B74" s="765" t="s">
        <v>253</v>
      </c>
      <c r="C74" s="752"/>
      <c r="D74" s="756"/>
      <c r="E74" s="757"/>
      <c r="F74" s="757"/>
      <c r="G74" s="778"/>
      <c r="H74" s="757"/>
      <c r="I74" s="757"/>
      <c r="J74" s="757"/>
      <c r="K74" s="778"/>
      <c r="L74" s="778"/>
      <c r="N74" s="1181"/>
      <c r="O74" s="754"/>
      <c r="Q74" s="755"/>
    </row>
    <row r="75" spans="1:41" ht="15.5" x14ac:dyDescent="0.35">
      <c r="A75" t="s">
        <v>1297</v>
      </c>
      <c r="B75" s="751">
        <v>450</v>
      </c>
      <c r="C75" s="752" t="s">
        <v>1298</v>
      </c>
      <c r="D75" s="756"/>
      <c r="E75" s="1299"/>
      <c r="F75" s="1299"/>
      <c r="G75" s="1223">
        <f>SUM(E75:F75)</f>
        <v>0</v>
      </c>
      <c r="H75" s="1301"/>
      <c r="I75" s="1299"/>
      <c r="J75" s="1299"/>
      <c r="K75" s="1223">
        <f>SUM(I75:J75)</f>
        <v>0</v>
      </c>
      <c r="L75" s="1223">
        <f>G75-K75</f>
        <v>0</v>
      </c>
      <c r="N75" s="1181" t="str">
        <f>IF(ISERROR(O75),"",IF((O75="Error"),"add explanation",IF((O75="Warning"),"add explanation","")))</f>
        <v/>
      </c>
      <c r="O75" s="754" t="str">
        <f>IF(OR((K75&lt;&gt;(I75+J75)),(G75&lt;&gt;(E75+F75)),(L75&lt;&gt;(G75-K75)),AN75="Error"),"Error",IF(AM75="Warning","Warning",""))</f>
        <v/>
      </c>
      <c r="Q75" s="755" t="str">
        <f>IF(AND($O75="Error",$AN75="Error"),"Sales, Fees &amp; Charges or Other Income figure is negative",IF($O75="Error","A total column for "&amp;($C75)&amp;" does not match the sum of the components, please correct",IF($O75="Warning","This year's figure is over "&amp;AE75/1000&amp;" million and "&amp;(AD75*100)&amp;"% different to "&amp;TEXT(AF75,"#,###")&amp;" last year, please explain","")))</f>
        <v/>
      </c>
      <c r="AD75" s="609">
        <f>VLOOKUP("RO6"&amp;$B75,data_val_parameters,8,0)/100</f>
        <v>0.4</v>
      </c>
      <c r="AE75" s="609">
        <f>VLOOKUP("RO6"&amp;$B75,data_val_parameters,7,0)</f>
        <v>4000</v>
      </c>
      <c r="AF75" s="609" t="e">
        <f>VLOOKUP(LA_code,data_prev_year,MATCH("RO6"&amp;$B75&amp;"7",data_prev_year_headers,0),0)</f>
        <v>#N/A</v>
      </c>
      <c r="AG75" s="609" t="e">
        <f t="shared" si="0"/>
        <v>#N/A</v>
      </c>
      <c r="AH75" s="609" t="e">
        <f t="shared" si="1"/>
        <v>#N/A</v>
      </c>
      <c r="AI75" s="609" t="e">
        <f t="shared" si="2"/>
        <v>#N/A</v>
      </c>
      <c r="AJ75" s="609" t="e">
        <f t="shared" si="3"/>
        <v>#N/A</v>
      </c>
      <c r="AK75" s="609" t="e">
        <f>IF(OR(L75&lt;AH75,L75&gt;AG75),"Warning","")</f>
        <v>#N/A</v>
      </c>
      <c r="AL75" s="609" t="e">
        <f>IF(OR(L75&gt;(AI75),L75&lt;(AJ75)),"Warning","")</f>
        <v>#N/A</v>
      </c>
      <c r="AM75" s="609" t="str">
        <f>IF(OR(L75=0),"",IF(AND(AK75="Warning",AL75="Warning"),"Warning",""))</f>
        <v/>
      </c>
      <c r="AN75" s="609" t="str">
        <f>IF(OR(I75&lt;0,J75&lt;0),"Error","")</f>
        <v/>
      </c>
    </row>
    <row r="76" spans="1:41" ht="15.5" x14ac:dyDescent="0.35">
      <c r="B76" s="811" t="s">
        <v>253</v>
      </c>
      <c r="C76" s="752"/>
      <c r="D76" s="756"/>
      <c r="E76" s="757"/>
      <c r="F76" s="757"/>
      <c r="G76" s="778"/>
      <c r="H76" s="757"/>
      <c r="I76" s="757"/>
      <c r="J76" s="757"/>
      <c r="K76" s="778"/>
      <c r="L76" s="778"/>
      <c r="N76" s="1181"/>
      <c r="O76" s="754"/>
      <c r="Q76" s="755"/>
    </row>
    <row r="77" spans="1:41" ht="15.5" x14ac:dyDescent="0.35">
      <c r="A77" t="s">
        <v>1299</v>
      </c>
      <c r="B77" s="751">
        <v>460</v>
      </c>
      <c r="C77" s="752" t="s">
        <v>1300</v>
      </c>
      <c r="D77" s="756"/>
      <c r="E77" s="1299"/>
      <c r="F77" s="1299"/>
      <c r="G77" s="1223">
        <f>SUM(E77:F77)</f>
        <v>0</v>
      </c>
      <c r="H77" s="1301"/>
      <c r="I77" s="1299"/>
      <c r="J77" s="1299"/>
      <c r="K77" s="1223">
        <f>SUM(I77:J77)</f>
        <v>0</v>
      </c>
      <c r="L77" s="1223">
        <f>G77-K77</f>
        <v>0</v>
      </c>
      <c r="N77" s="1181" t="str">
        <f>IF(ISERROR(O77),"",IF((O77="Error"),"add explanation",IF((O77="Warning"),"add explanation","")))</f>
        <v/>
      </c>
      <c r="O77" s="754" t="str">
        <f>IF(OR((K77&lt;&gt;(I77+J77)),(G77&lt;&gt;(E77+F77)),(L77&lt;&gt;(G77-K77)),AN77="Error"),"Error",IF(AM77="Warning","Warning",""))</f>
        <v/>
      </c>
      <c r="Q77" s="755" t="str">
        <f>IF(AND($O77="Error",$AN77="Error"),"Sales, Fees &amp; Charges or Other Income figure is negative",IF($O77="Error","A total column for "&amp;($C77)&amp;" does not match the sum of the components, please correct",IF($O77="Warning","This year's figure is over "&amp;AE77/1000&amp;" million and "&amp;(AD77*100)&amp;"% different to "&amp;TEXT(AF77,"#,###")&amp;" last year, please explain","")))</f>
        <v/>
      </c>
      <c r="AD77" s="609">
        <f>VLOOKUP("RO6"&amp;$B77,data_val_parameters,8,0)/100</f>
        <v>0.4</v>
      </c>
      <c r="AE77" s="609">
        <f>VLOOKUP("RO6"&amp;$B77,data_val_parameters,7,0)</f>
        <v>4000</v>
      </c>
      <c r="AF77" s="609" t="e">
        <f>VLOOKUP(LA_code,data_prev_year,MATCH("RO6"&amp;$B77&amp;"7",data_prev_year_headers,0),0)</f>
        <v>#N/A</v>
      </c>
      <c r="AG77" s="609" t="e">
        <f t="shared" si="0"/>
        <v>#N/A</v>
      </c>
      <c r="AH77" s="609" t="e">
        <f t="shared" si="1"/>
        <v>#N/A</v>
      </c>
      <c r="AI77" s="609" t="e">
        <f t="shared" si="2"/>
        <v>#N/A</v>
      </c>
      <c r="AJ77" s="609" t="e">
        <f t="shared" si="3"/>
        <v>#N/A</v>
      </c>
      <c r="AK77" s="609" t="e">
        <f>IF(OR(L77&lt;AH77,L77&gt;AG77),"Warning","")</f>
        <v>#N/A</v>
      </c>
      <c r="AL77" s="609" t="e">
        <f>IF(OR(L77&gt;(AI77),L77&lt;(AJ77)),"Warning","")</f>
        <v>#N/A</v>
      </c>
      <c r="AM77" s="609" t="str">
        <f>IF(OR(L77=0),"",IF(AND(AK77="Warning",AL77="Warning"),"Warning",""))</f>
        <v/>
      </c>
      <c r="AN77" s="609" t="str">
        <f>IF(OR(I77&lt;0,J77&lt;0),"Error","")</f>
        <v/>
      </c>
    </row>
    <row r="78" spans="1:41" ht="15.5" x14ac:dyDescent="0.35">
      <c r="B78" s="751" t="s">
        <v>253</v>
      </c>
      <c r="C78" s="752"/>
      <c r="D78" s="756"/>
      <c r="E78" s="757"/>
      <c r="F78" s="757"/>
      <c r="G78" s="758"/>
      <c r="H78" s="757"/>
      <c r="I78" s="757"/>
      <c r="J78" s="757"/>
      <c r="K78" s="758"/>
      <c r="L78" s="758"/>
      <c r="N78" s="1181"/>
      <c r="O78" s="754"/>
      <c r="Q78" s="755"/>
    </row>
    <row r="79" spans="1:41" ht="15.5" x14ac:dyDescent="0.35">
      <c r="A79" t="s">
        <v>1301</v>
      </c>
      <c r="B79" s="751">
        <v>465</v>
      </c>
      <c r="C79" s="752" t="s">
        <v>1302</v>
      </c>
      <c r="D79" s="756"/>
      <c r="E79" s="1299"/>
      <c r="F79" s="1299"/>
      <c r="G79" s="1223">
        <f>SUM(E79:F79)</f>
        <v>0</v>
      </c>
      <c r="H79" s="1301"/>
      <c r="I79" s="1299"/>
      <c r="J79" s="1299"/>
      <c r="K79" s="1223">
        <f>SUM(I79:J79)</f>
        <v>0</v>
      </c>
      <c r="L79" s="1223">
        <f>G79-K79</f>
        <v>0</v>
      </c>
      <c r="N79" s="1181" t="str">
        <f>IF(ISERROR(O79),"",IF((O79="Error"),"add explanation",IF((O79="Warning"),"add explanation","")))</f>
        <v/>
      </c>
      <c r="O79" s="754" t="str">
        <f>IF(OR((K79&lt;&gt;(I79+J79)),(G79&lt;&gt;(E79+F79)),(L79&lt;&gt;(G79-K79)),AN79="Error"),"Error",IF(AM79="Warning","Warning",""))</f>
        <v/>
      </c>
      <c r="Q79" s="755" t="str">
        <f>IF(AND($O79="Error",$AN79="Error"),"Sales, Fees &amp; Charges or Other Income figure is negative",IF($O79="Error","A total column for "&amp;($C79)&amp;" does not match the sum of the components, please correct",IF($O79="Warning","This year's figure is over "&amp;AE79/1000&amp;" million and "&amp;(AD79*100)&amp;"% different to "&amp;TEXT(AF79,"#,###")&amp;" last year, please explain","")))</f>
        <v/>
      </c>
      <c r="AD79" s="609">
        <f>VLOOKUP("RO6"&amp;$B79,data_val_parameters,8,0)/100</f>
        <v>0.4</v>
      </c>
      <c r="AE79" s="609">
        <f>VLOOKUP("RO6"&amp;$B79,data_val_parameters,7,0)</f>
        <v>4000</v>
      </c>
      <c r="AF79" s="609" t="e">
        <f>VLOOKUP(LA_code,data_prev_year,MATCH("RO6"&amp;$B79&amp;"7",data_prev_year_headers,0),0)</f>
        <v>#N/A</v>
      </c>
      <c r="AG79" s="609" t="e">
        <f t="shared" si="0"/>
        <v>#N/A</v>
      </c>
      <c r="AH79" s="609" t="e">
        <f t="shared" si="1"/>
        <v>#N/A</v>
      </c>
      <c r="AI79" s="609" t="e">
        <f t="shared" si="2"/>
        <v>#N/A</v>
      </c>
      <c r="AJ79" s="609" t="e">
        <f t="shared" si="3"/>
        <v>#N/A</v>
      </c>
      <c r="AK79" s="609" t="e">
        <f>IF(OR(L79&lt;AH79,L79&gt;AG79),"Warning","")</f>
        <v>#N/A</v>
      </c>
      <c r="AL79" s="609" t="e">
        <f>IF(OR(L79&gt;(AI79),L79&lt;(AJ79)),"Warning","")</f>
        <v>#N/A</v>
      </c>
      <c r="AM79" s="609" t="str">
        <f>IF(OR(L79=0),"",IF(AND(AK79="Warning",AL79="Warning"),"Warning",""))</f>
        <v/>
      </c>
      <c r="AN79" s="609" t="str">
        <f>IF(OR(I79&lt;0,J79&lt;0),"Error","")</f>
        <v/>
      </c>
    </row>
    <row r="80" spans="1:41" ht="15.5" x14ac:dyDescent="0.35">
      <c r="B80" s="811" t="s">
        <v>253</v>
      </c>
      <c r="C80" s="752"/>
      <c r="D80" s="756"/>
      <c r="E80" s="1"/>
      <c r="F80" s="1"/>
      <c r="G80" s="1"/>
      <c r="H80" s="1"/>
      <c r="I80" s="1"/>
      <c r="J80" s="1"/>
      <c r="K80" s="1"/>
      <c r="L80" s="1"/>
      <c r="N80" s="1181"/>
      <c r="O80" s="754"/>
      <c r="Q80" s="755"/>
    </row>
    <row r="81" spans="1:40" ht="15.5" x14ac:dyDescent="0.35">
      <c r="A81" t="s">
        <v>1303</v>
      </c>
      <c r="B81" s="751">
        <v>470</v>
      </c>
      <c r="C81" s="752" t="s">
        <v>1304</v>
      </c>
      <c r="D81" s="756"/>
      <c r="E81" s="1299"/>
      <c r="F81" s="1299"/>
      <c r="G81" s="1223">
        <f>SUM(E81:F81)</f>
        <v>0</v>
      </c>
      <c r="H81" s="1301"/>
      <c r="I81" s="1299"/>
      <c r="J81" s="1299"/>
      <c r="K81" s="1223">
        <f>SUM(I81:J81)</f>
        <v>0</v>
      </c>
      <c r="L81" s="1223">
        <f>G81-K81</f>
        <v>0</v>
      </c>
      <c r="N81" s="118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VLOOKUP("RO6"&amp;$B81,data_val_parameters,8,0)/100</f>
        <v>0.4</v>
      </c>
      <c r="AE81" s="609">
        <f>VLOOKUP("RO6"&amp;$B81,data_val_parameters,7,0)</f>
        <v>4000</v>
      </c>
      <c r="AF81" s="609" t="e">
        <f>VLOOKUP(LA_code,data_prev_year,MATCH("RO6"&amp;$B81&amp;"7",data_prev_year_headers,0),0)</f>
        <v>#N/A</v>
      </c>
      <c r="AG81" s="609" t="e">
        <f t="shared" si="0"/>
        <v>#N/A</v>
      </c>
      <c r="AH81" s="609" t="e">
        <f t="shared" si="1"/>
        <v>#N/A</v>
      </c>
      <c r="AI81" s="609" t="e">
        <f t="shared" si="2"/>
        <v>#N/A</v>
      </c>
      <c r="AJ81" s="609" t="e">
        <f t="shared" si="3"/>
        <v>#N/A</v>
      </c>
      <c r="AK81" s="609" t="e">
        <f>IF(OR(L81&lt;AH81,L81&gt;AG81),"Warning","")</f>
        <v>#N/A</v>
      </c>
      <c r="AL81" s="609" t="e">
        <f>IF(OR(L81&gt;(AI81),L81&lt;(AJ81)),"Warning","")</f>
        <v>#N/A</v>
      </c>
      <c r="AM81" s="609" t="str">
        <f>IF(OR(L81=0),"",IF(AND(AK81="Warning",AL81="Warning"),"Warning",""))</f>
        <v/>
      </c>
      <c r="AN81" s="609" t="str">
        <f>IF(OR(I81&lt;0,J81&lt;0),"Error","")</f>
        <v/>
      </c>
    </row>
    <row r="82" spans="1:40" ht="15.5" x14ac:dyDescent="0.35">
      <c r="B82" s="751" t="s">
        <v>253</v>
      </c>
      <c r="C82" s="752"/>
      <c r="D82" s="756"/>
      <c r="E82" s="757"/>
      <c r="F82" s="757"/>
      <c r="G82" s="758"/>
      <c r="H82" s="757"/>
      <c r="I82" s="757"/>
      <c r="J82" s="757"/>
      <c r="K82" s="758"/>
      <c r="L82" s="758"/>
      <c r="N82" s="1181"/>
      <c r="O82" s="754"/>
      <c r="Q82" s="755"/>
    </row>
    <row r="83" spans="1:40" ht="18" x14ac:dyDescent="0.4">
      <c r="A83" t="s">
        <v>1305</v>
      </c>
      <c r="B83" s="751">
        <v>475</v>
      </c>
      <c r="C83" s="752" t="s">
        <v>1306</v>
      </c>
      <c r="D83" s="756"/>
      <c r="E83" s="1299"/>
      <c r="F83" s="1299"/>
      <c r="G83" s="1223">
        <f>SUM(E83:F83)</f>
        <v>0</v>
      </c>
      <c r="H83" s="1301"/>
      <c r="I83" s="1299"/>
      <c r="J83" s="1299"/>
      <c r="K83" s="1223">
        <f>SUM(I83:J83)</f>
        <v>0</v>
      </c>
      <c r="L83" s="1223">
        <f>G83-K83</f>
        <v>0</v>
      </c>
      <c r="M83" s="35"/>
      <c r="N83" s="118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VLOOKUP("RO6"&amp;$B83,data_val_parameters,8,0)/100</f>
        <v>0.4</v>
      </c>
      <c r="AE83" s="609">
        <f>VLOOKUP("RO6"&amp;$B83,data_val_parameters,7,0)</f>
        <v>4000</v>
      </c>
      <c r="AF83" s="609" t="e">
        <f>VLOOKUP(LA_code,data_prev_year,MATCH("RO6"&amp;$B83&amp;"7",data_prev_year_headers,0),0)</f>
        <v>#N/A</v>
      </c>
      <c r="AG83" s="609" t="e">
        <f t="shared" si="0"/>
        <v>#N/A</v>
      </c>
      <c r="AH83" s="609" t="e">
        <f t="shared" si="1"/>
        <v>#N/A</v>
      </c>
      <c r="AI83" s="636" t="e">
        <f t="shared" si="2"/>
        <v>#N/A</v>
      </c>
      <c r="AJ83" s="636" t="e">
        <f t="shared" si="3"/>
        <v>#N/A</v>
      </c>
      <c r="AK83" s="609" t="e">
        <f>IF(OR(L83&lt;AH83,L83&gt;AG83),"Warning","")</f>
        <v>#N/A</v>
      </c>
      <c r="AL83" s="609" t="e">
        <f>IF(OR(L83&gt;(AI83),L83&lt;(AJ83)),"Warning","")</f>
        <v>#N/A</v>
      </c>
      <c r="AM83" s="609" t="str">
        <f>IF(OR(L83=0),"",IF(AND(AK83="Warning",AL83="Warning"),"Warning",""))</f>
        <v/>
      </c>
      <c r="AN83" s="609" t="str">
        <f>IF(OR(I83&lt;0,J83&lt;0),"Error","")</f>
        <v/>
      </c>
    </row>
    <row r="84" spans="1:40" ht="15.5" x14ac:dyDescent="0.35">
      <c r="A84" t="s">
        <v>1307</v>
      </c>
      <c r="B84" s="751">
        <v>476</v>
      </c>
      <c r="C84" s="752" t="s">
        <v>1308</v>
      </c>
      <c r="D84" s="756"/>
      <c r="E84" s="1299"/>
      <c r="F84" s="1299"/>
      <c r="G84" s="1223">
        <f>SUM(E84:F84)</f>
        <v>0</v>
      </c>
      <c r="H84" s="1301"/>
      <c r="I84" s="1299"/>
      <c r="J84" s="1299"/>
      <c r="K84" s="1223">
        <f>SUM(I84:J84)</f>
        <v>0</v>
      </c>
      <c r="L84" s="1223">
        <f>G84-K84</f>
        <v>0</v>
      </c>
      <c r="N84" s="1181" t="str">
        <f>IF(ISERROR(O84),"",IF((O84="Error"),"add explanation",IF((O84="Warning"),"add explanation","")))</f>
        <v/>
      </c>
      <c r="O84" s="754" t="str">
        <f>IF(OR((K84&lt;&gt;(I84+J84)),(G84&lt;&gt;(E84+F84)),(L84&lt;&gt;(G84-K84)),AN84="Error"),"Error",IF(AM84="Warning","Warning",""))</f>
        <v/>
      </c>
      <c r="Q84" s="755" t="str">
        <f>IF(AND($O84="Error",$AN84="Error"),"Sales, Fees &amp; Charges or Other Income figure is negative",IF($O84="Error","A total column for "&amp;($C84)&amp;" does not match the sum of the components, please correct",IF($O84="Warning","This year's figure is over "&amp;AE84/1000&amp;" million and "&amp;(AD84*100)&amp;"% different to "&amp;TEXT(AF84,"#,###")&amp;" last year, please explain","")))</f>
        <v/>
      </c>
      <c r="AD84" s="609">
        <f>VLOOKUP("RO6"&amp;$B84,data_val_parameters,8,0)/100</f>
        <v>0.4</v>
      </c>
      <c r="AE84" s="609">
        <f>VLOOKUP("RO6"&amp;$B84,data_val_parameters,7,0)</f>
        <v>4000</v>
      </c>
      <c r="AF84" s="609" t="e">
        <f>VLOOKUP(LA_code,data_prev_year,MATCH("RO6"&amp;$B84&amp;"7",data_prev_year_headers,0),0)</f>
        <v>#N/A</v>
      </c>
      <c r="AG84" s="609" t="e">
        <f t="shared" si="0"/>
        <v>#N/A</v>
      </c>
      <c r="AH84" s="609" t="e">
        <f t="shared" si="1"/>
        <v>#N/A</v>
      </c>
      <c r="AI84" s="609" t="e">
        <f t="shared" si="2"/>
        <v>#N/A</v>
      </c>
      <c r="AJ84" s="609" t="e">
        <f t="shared" si="3"/>
        <v>#N/A</v>
      </c>
      <c r="AK84" s="609" t="e">
        <f>IF(OR(L84&lt;AH84,L84&gt;AG84),"Warning","")</f>
        <v>#N/A</v>
      </c>
      <c r="AL84" s="609" t="e">
        <f>IF(OR(L84&gt;(AI84),L84&lt;(AJ84)),"Warning","")</f>
        <v>#N/A</v>
      </c>
      <c r="AM84" s="609" t="str">
        <f>IF(OR(L84=0),"",IF(AND(AK84="Warning",AL84="Warning"),"Warning",""))</f>
        <v/>
      </c>
      <c r="AN84" s="609" t="str">
        <f>IF(OR(I84&lt;0,J84&lt;0),"Error","")</f>
        <v/>
      </c>
    </row>
    <row r="85" spans="1:40" ht="15.5" x14ac:dyDescent="0.35">
      <c r="B85" s="811" t="s">
        <v>253</v>
      </c>
      <c r="C85" s="752"/>
      <c r="D85" s="756"/>
      <c r="E85" s="757"/>
      <c r="F85" s="757"/>
      <c r="G85" s="778"/>
      <c r="H85" s="757"/>
      <c r="I85" s="757"/>
      <c r="J85" s="757"/>
      <c r="K85" s="778"/>
      <c r="L85" s="778"/>
      <c r="N85" s="1181"/>
      <c r="O85" s="754"/>
      <c r="Q85" s="755"/>
    </row>
    <row r="86" spans="1:40" ht="15.5" x14ac:dyDescent="0.35">
      <c r="B86" s="794" t="s">
        <v>1309</v>
      </c>
      <c r="C86" s="752"/>
      <c r="D86" s="756"/>
      <c r="E86" s="757"/>
      <c r="F86" s="757"/>
      <c r="G86" s="778"/>
      <c r="H86" s="757"/>
      <c r="I86" s="757"/>
      <c r="J86" s="757"/>
      <c r="K86" s="778"/>
      <c r="L86" s="778"/>
      <c r="N86" s="1181"/>
      <c r="O86" s="754"/>
      <c r="Q86" s="755"/>
    </row>
    <row r="87" spans="1:40" ht="15.5" x14ac:dyDescent="0.35">
      <c r="A87" t="s">
        <v>1310</v>
      </c>
      <c r="B87" s="760">
        <v>481</v>
      </c>
      <c r="C87" s="752" t="s">
        <v>1311</v>
      </c>
      <c r="D87" s="756"/>
      <c r="E87" s="1299"/>
      <c r="F87" s="1299"/>
      <c r="G87" s="1223">
        <f>SUM(E87:F87)</f>
        <v>0</v>
      </c>
      <c r="H87" s="1301"/>
      <c r="I87" s="1299"/>
      <c r="J87" s="1299"/>
      <c r="K87" s="1223">
        <f>SUM(I87:J87)</f>
        <v>0</v>
      </c>
      <c r="L87" s="1223">
        <f>G87-K87</f>
        <v>0</v>
      </c>
      <c r="N87" s="118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VLOOKUP("RO6"&amp;$B87,data_val_parameters,8,0)/100</f>
        <v>0.4</v>
      </c>
      <c r="AE87" s="609">
        <f>VLOOKUP("RO6"&amp;$B87,data_val_parameters,7,0)</f>
        <v>20000</v>
      </c>
      <c r="AF87" s="609" t="e">
        <f>VLOOKUP(LA_code,data_prev_year,MATCH("RO6"&amp;$B87&amp;"7",data_prev_year_headers,0),0)</f>
        <v>#N/A</v>
      </c>
      <c r="AG87" s="609" t="e">
        <f t="shared" si="0"/>
        <v>#N/A</v>
      </c>
      <c r="AH87" s="609" t="e">
        <f t="shared" si="1"/>
        <v>#N/A</v>
      </c>
      <c r="AI87" s="636" t="e">
        <f t="shared" si="2"/>
        <v>#N/A</v>
      </c>
      <c r="AJ87" s="636" t="e">
        <f t="shared" si="3"/>
        <v>#N/A</v>
      </c>
      <c r="AK87" s="609" t="e">
        <f>IF(OR(L87&lt;AH87,L87&gt;AG87),"Warning","")</f>
        <v>#N/A</v>
      </c>
      <c r="AL87" s="609" t="e">
        <f>IF(OR(L87&gt;(AI87),L87&lt;(AJ87)),"Warning","")</f>
        <v>#N/A</v>
      </c>
      <c r="AM87" s="609" t="str">
        <f>IF(OR(L87=0),"",IF(AND(AK87="Warning",AL87="Warning"),"Warning",""))</f>
        <v/>
      </c>
      <c r="AN87" s="609" t="str">
        <f>IF(OR(I87&lt;0,J87&lt;0),"Error","")</f>
        <v/>
      </c>
    </row>
    <row r="88" spans="1:40" ht="15.5" x14ac:dyDescent="0.35">
      <c r="A88" t="s">
        <v>1312</v>
      </c>
      <c r="B88" s="760">
        <v>482</v>
      </c>
      <c r="C88" s="752" t="s">
        <v>1313</v>
      </c>
      <c r="D88" s="756"/>
      <c r="E88" s="1299"/>
      <c r="F88" s="1299"/>
      <c r="G88" s="1223">
        <f>SUM(E88:F88)</f>
        <v>0</v>
      </c>
      <c r="H88" s="1301"/>
      <c r="I88" s="1299"/>
      <c r="J88" s="1299"/>
      <c r="K88" s="1223">
        <f>SUM(I88:J88)</f>
        <v>0</v>
      </c>
      <c r="L88" s="1223">
        <f>G88-K88</f>
        <v>0</v>
      </c>
      <c r="N88" s="118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VLOOKUP("RO6"&amp;$B88,data_val_parameters,8,0)/100</f>
        <v>0.4</v>
      </c>
      <c r="AE88" s="609">
        <f>VLOOKUP("RO6"&amp;$B88,data_val_parameters,7,0)</f>
        <v>4000</v>
      </c>
      <c r="AF88" s="609" t="e">
        <f>VLOOKUP(LA_code,data_prev_year,MATCH("RO6"&amp;$B88&amp;"7",data_prev_year_headers,0),0)</f>
        <v>#N/A</v>
      </c>
      <c r="AG88" s="609" t="e">
        <f t="shared" si="0"/>
        <v>#N/A</v>
      </c>
      <c r="AH88" s="609" t="e">
        <f t="shared" si="1"/>
        <v>#N/A</v>
      </c>
      <c r="AI88" s="609" t="e">
        <f t="shared" si="2"/>
        <v>#N/A</v>
      </c>
      <c r="AJ88" s="609" t="e">
        <f t="shared" si="3"/>
        <v>#N/A</v>
      </c>
      <c r="AK88" s="609" t="e">
        <f>IF(OR(L88&lt;AH88,L88&gt;AG88),"Warning","")</f>
        <v>#N/A</v>
      </c>
      <c r="AL88" s="609" t="e">
        <f>IF(OR(L88&gt;(AI88),L88&lt;(AJ88)),"Warning","")</f>
        <v>#N/A</v>
      </c>
      <c r="AM88" s="609" t="str">
        <f>IF(OR(L88=0),"",IF(AND(AK88="Warning",AL88="Warning"),"Warning",""))</f>
        <v/>
      </c>
      <c r="AN88" s="609" t="str">
        <f>IF(OR(I88&lt;0,J88&lt;0),"Error","")</f>
        <v/>
      </c>
    </row>
    <row r="89" spans="1:40" ht="15.5" x14ac:dyDescent="0.35">
      <c r="A89" t="s">
        <v>1314</v>
      </c>
      <c r="B89" s="763">
        <v>484</v>
      </c>
      <c r="C89" s="752" t="s">
        <v>1315</v>
      </c>
      <c r="D89" s="756"/>
      <c r="E89" s="1299"/>
      <c r="F89" s="1299"/>
      <c r="G89" s="1223">
        <f>SUM(E89:F89)</f>
        <v>0</v>
      </c>
      <c r="H89" s="1301"/>
      <c r="I89" s="1299"/>
      <c r="J89" s="1299"/>
      <c r="K89" s="1223">
        <f>SUM(I89:J89)</f>
        <v>0</v>
      </c>
      <c r="L89" s="1223">
        <f>G89-K89</f>
        <v>0</v>
      </c>
      <c r="N89" s="118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VLOOKUP("RO6"&amp;$B89,data_val_parameters,8,0)/100</f>
        <v>0.4</v>
      </c>
      <c r="AE89" s="609">
        <f>VLOOKUP("RO6"&amp;$B89,data_val_parameters,7,0)</f>
        <v>10000</v>
      </c>
      <c r="AF89" s="609" t="e">
        <f>VLOOKUP(LA_code,data_prev_year,MATCH("RO6"&amp;$B89&amp;"7",data_prev_year_headers,0),0)</f>
        <v>#N/A</v>
      </c>
      <c r="AG89" s="609" t="e">
        <f t="shared" si="0"/>
        <v>#N/A</v>
      </c>
      <c r="AH89" s="609" t="e">
        <f t="shared" si="1"/>
        <v>#N/A</v>
      </c>
      <c r="AI89" s="636" t="e">
        <f t="shared" si="2"/>
        <v>#N/A</v>
      </c>
      <c r="AJ89" s="636" t="e">
        <f t="shared" si="3"/>
        <v>#N/A</v>
      </c>
      <c r="AK89" s="609" t="e">
        <f>IF(OR(L89&lt;AH89,L89&gt;AG89),"Warning","")</f>
        <v>#N/A</v>
      </c>
      <c r="AL89" s="609" t="e">
        <f>IF(OR(L89&gt;(AI89),L89&lt;(AJ89)),"Warning","")</f>
        <v>#N/A</v>
      </c>
      <c r="AM89" s="609" t="str">
        <f>IF(OR(L89=0),"",IF(AND(AK89="Warning",AL89="Warning"),"Warning",""))</f>
        <v/>
      </c>
      <c r="AN89" s="609" t="str">
        <f>IF(OR(I89&lt;0,J89&lt;0),"Error","")</f>
        <v/>
      </c>
    </row>
    <row r="90" spans="1:40" ht="15.5" x14ac:dyDescent="0.35">
      <c r="B90" s="757" t="s">
        <v>253</v>
      </c>
      <c r="C90" s="752"/>
      <c r="D90" s="756"/>
      <c r="E90" s="757"/>
      <c r="F90" s="757"/>
      <c r="G90" s="778"/>
      <c r="H90" s="778"/>
      <c r="I90" s="757"/>
      <c r="J90" s="757"/>
      <c r="K90" s="778"/>
      <c r="L90" s="778"/>
      <c r="N90" s="1181"/>
      <c r="O90" s="754"/>
      <c r="Q90" s="755"/>
    </row>
    <row r="91" spans="1:40" ht="15.5" x14ac:dyDescent="0.35">
      <c r="A91" t="s">
        <v>1316</v>
      </c>
      <c r="B91" s="751">
        <v>489</v>
      </c>
      <c r="C91" s="752" t="s">
        <v>1317</v>
      </c>
      <c r="D91" s="756"/>
      <c r="E91" s="1299"/>
      <c r="F91" s="1299"/>
      <c r="G91" s="1223">
        <f>SUM(E91:F91)</f>
        <v>0</v>
      </c>
      <c r="H91" s="1294"/>
      <c r="I91" s="1299"/>
      <c r="J91" s="1425">
        <f>SUM(J104:J108)</f>
        <v>0</v>
      </c>
      <c r="K91" s="1292">
        <f>SUM(I91:J91)</f>
        <v>0</v>
      </c>
      <c r="L91" s="1223">
        <f>G91-K91</f>
        <v>0</v>
      </c>
      <c r="N91" s="1181" t="str">
        <f>IF(ISERROR(O91),"",IF((O91="Error"),"add explanation",IF((O91="Warning"),"add explanation","")))</f>
        <v/>
      </c>
      <c r="O91" s="754" t="str">
        <f>IF(OR((K91&lt;&gt;(I91+J91)),(G91&lt;&gt;(E91+F91)),(L91&lt;&gt;(G91-K91)),AN91="Error"),"Error",IF(ABS(L91) &gt; 1000,"Warning",""))</f>
        <v/>
      </c>
      <c r="Q91" s="755" t="str">
        <f>IF(AND($O91="Error",$AN91="Error"),"Sales, Fees &amp; Charges or Other Income figure is negative",IF($O91="Error","A total column for "&amp;($C91)&amp;" does not match the sum of the components, please correct",IF($O91="Warning","Management &amp; support services net current expenditure should be nil, but is greater than +/-£1m","")))</f>
        <v/>
      </c>
      <c r="AD91" s="609">
        <f>VLOOKUP("RO6"&amp;$B91,data_val_parameters,8,0)/100</f>
        <v>0.45</v>
      </c>
      <c r="AE91" s="609">
        <f>VLOOKUP("RO6"&amp;$B91,data_val_parameters,7,0)</f>
        <v>10000</v>
      </c>
      <c r="AF91" s="609" t="e">
        <f>VLOOKUP(LA_code,data_prev_year,MATCH("RO6"&amp;$B91&amp;"7",data_prev_year_headers,0),0)</f>
        <v>#N/A</v>
      </c>
      <c r="AG91" s="609" t="e">
        <f t="shared" si="0"/>
        <v>#N/A</v>
      </c>
      <c r="AH91" s="609" t="e">
        <f t="shared" si="1"/>
        <v>#N/A</v>
      </c>
      <c r="AI91" s="636" t="e">
        <f t="shared" si="2"/>
        <v>#N/A</v>
      </c>
      <c r="AJ91" s="636" t="e">
        <f t="shared" si="3"/>
        <v>#N/A</v>
      </c>
      <c r="AK91" s="609" t="e">
        <f>IF(OR(L91&lt;AH91,L91&gt;AG91),"Warning","")</f>
        <v>#N/A</v>
      </c>
      <c r="AL91" s="609" t="e">
        <f>IF(OR(L91&gt;(AI91),L91&lt;(AJ91)),"Warning","")</f>
        <v>#N/A</v>
      </c>
      <c r="AM91" s="609" t="str">
        <f>IF(OR(L91=0),"",IF(AND(AK91="Warning",AL91="Warning"),"Warning",""))</f>
        <v/>
      </c>
      <c r="AN91" s="609" t="str">
        <f>IF(OR(I91&lt;0,J91&lt;0),"Error","")</f>
        <v/>
      </c>
    </row>
    <row r="92" spans="1:40" ht="15.5" x14ac:dyDescent="0.35">
      <c r="B92" s="812" t="s">
        <v>1318</v>
      </c>
      <c r="C92" s="752"/>
      <c r="D92" s="756"/>
      <c r="E92" s="761"/>
      <c r="F92" s="761"/>
      <c r="G92" s="813"/>
      <c r="H92" s="813"/>
      <c r="I92" s="761"/>
      <c r="J92" s="761"/>
      <c r="K92" s="813"/>
      <c r="L92" s="813"/>
      <c r="M92" s="22"/>
      <c r="N92" s="1181"/>
      <c r="O92" s="754"/>
      <c r="Q92" s="755"/>
    </row>
    <row r="93" spans="1:40" ht="15.5" x14ac:dyDescent="0.35">
      <c r="A93" t="s">
        <v>1319</v>
      </c>
      <c r="B93" s="814">
        <v>490</v>
      </c>
      <c r="C93" s="764" t="s">
        <v>1320</v>
      </c>
      <c r="D93" s="756"/>
      <c r="E93" s="1223">
        <f t="shared" ref="E93:L93" si="15">SUM(E57,E62:E67,E69,E72:E73,E75,E77,E79,E81,E83:E84,E87:E89,E91)</f>
        <v>0</v>
      </c>
      <c r="F93" s="1223">
        <f t="shared" si="15"/>
        <v>0</v>
      </c>
      <c r="G93" s="1223">
        <f t="shared" si="15"/>
        <v>0</v>
      </c>
      <c r="H93" s="1420">
        <f>SUM(H57,H62:H67,H69,H72:H73,H75,H77,H79,H81,H83:H84,H87:H89)</f>
        <v>0</v>
      </c>
      <c r="I93" s="1223">
        <f t="shared" si="15"/>
        <v>0</v>
      </c>
      <c r="J93" s="1223">
        <f t="shared" si="15"/>
        <v>0</v>
      </c>
      <c r="K93" s="1223">
        <f t="shared" si="15"/>
        <v>0</v>
      </c>
      <c r="L93" s="1420">
        <f t="shared" si="15"/>
        <v>0</v>
      </c>
      <c r="M93" s="726"/>
      <c r="N93" s="1181" t="str">
        <f>IF(ISERROR(O93),"",IF((O93="Error"),"add explanation",IF((O93="Warning"),"add explanation","")))</f>
        <v/>
      </c>
      <c r="O93" s="754" t="str">
        <f>IF(OR((K93&lt;&gt;(I93+J93)),(G93&lt;&gt;(E93+F93)),(L93&lt;&gt;(G93-K93))),"Error",IF(AM93="Warning","Warning",""))</f>
        <v/>
      </c>
      <c r="Q93" s="755" t="str">
        <f>IF($O93="Error","A total column for "&amp;($C93)&amp;" does not match the sum of the components, please correct",IF($O93="Warning","This year's figure is over "&amp;AE93/1000&amp;" million and "&amp;(AD93*100)&amp;"% different to "&amp;TEXT(AF93,"#,###")&amp;" last year, please explain",""))</f>
        <v/>
      </c>
    </row>
    <row r="94" spans="1:40" ht="42" x14ac:dyDescent="0.35">
      <c r="C94" s="756"/>
      <c r="D94" s="756"/>
      <c r="E94" s="757"/>
      <c r="F94" s="1421"/>
      <c r="G94" s="1"/>
      <c r="H94" s="1212" t="s">
        <v>1321</v>
      </c>
      <c r="I94" s="24"/>
      <c r="J94" s="24"/>
      <c r="K94" s="82"/>
      <c r="L94" s="1212" t="s">
        <v>743</v>
      </c>
      <c r="N94" s="436"/>
      <c r="O94" s="317"/>
    </row>
    <row r="95" spans="1:40" ht="46.5" x14ac:dyDescent="0.35">
      <c r="C95" s="756"/>
      <c r="D95" s="756"/>
      <c r="E95" s="757"/>
      <c r="F95" s="770" t="s">
        <v>744</v>
      </c>
      <c r="G95" s="1"/>
      <c r="H95" s="1199" t="str" cm="1">
        <f t="array" ref="H95">IF(SUMPRODUCT(--(H62:H93 &gt; G62:G93)),"Error","")</f>
        <v/>
      </c>
      <c r="I95" s="24" t="str">
        <f>IF(H95="Error","A figure in the central MSS column is greater than total expenditure for that line","")</f>
        <v/>
      </c>
      <c r="J95" s="1"/>
      <c r="K95" s="1"/>
      <c r="N95" s="436"/>
      <c r="O95" s="317"/>
    </row>
    <row r="96" spans="1:40" ht="15.5" x14ac:dyDescent="0.35">
      <c r="E96" s="757"/>
      <c r="F96" s="771" t="s">
        <v>745</v>
      </c>
      <c r="G96" s="1"/>
      <c r="I96" s="1"/>
      <c r="J96" s="1"/>
      <c r="K96" s="1"/>
      <c r="O96" s="317"/>
    </row>
    <row r="97" spans="1:39" ht="15.5" x14ac:dyDescent="0.35">
      <c r="A97" t="s">
        <v>1322</v>
      </c>
      <c r="B97" s="1030">
        <v>1491</v>
      </c>
      <c r="C97" s="1030" t="s">
        <v>1323</v>
      </c>
      <c r="F97" s="1280"/>
      <c r="G97" s="1"/>
      <c r="I97" s="1"/>
      <c r="J97" s="1"/>
      <c r="K97" s="1"/>
      <c r="L97" s="1207"/>
      <c r="M97" s="24"/>
      <c r="N97" s="436"/>
      <c r="O97" s="317"/>
    </row>
    <row r="98" spans="1:39" ht="15.5" x14ac:dyDescent="0.35">
      <c r="B98" s="1030"/>
      <c r="C98" s="1030"/>
      <c r="F98" s="1200"/>
      <c r="G98" s="1"/>
      <c r="H98" s="1206"/>
      <c r="I98" s="1"/>
      <c r="J98" s="443"/>
      <c r="K98" s="1"/>
      <c r="N98" s="436"/>
      <c r="O98" s="317"/>
    </row>
    <row r="99" spans="1:39" ht="15.5" x14ac:dyDescent="0.35">
      <c r="B99" s="1030"/>
      <c r="C99" s="1030"/>
      <c r="F99" s="1200"/>
      <c r="G99" s="1"/>
      <c r="H99" s="1206"/>
      <c r="I99" s="1"/>
      <c r="J99" s="271"/>
      <c r="K99" s="1"/>
      <c r="N99" s="436"/>
      <c r="O99" s="317"/>
    </row>
    <row r="100" spans="1:39" ht="15.5" x14ac:dyDescent="0.35">
      <c r="A100" s="280" t="s">
        <v>1324</v>
      </c>
      <c r="B100" s="1030">
        <v>1492</v>
      </c>
      <c r="C100" s="1030" t="s">
        <v>1325</v>
      </c>
      <c r="F100" s="1200"/>
      <c r="G100" s="1"/>
      <c r="H100" s="1206"/>
      <c r="I100" s="1"/>
      <c r="J100" s="1270"/>
      <c r="K100" s="1213" t="s">
        <v>750</v>
      </c>
      <c r="N100" s="436"/>
      <c r="O100" s="317"/>
    </row>
    <row r="101" spans="1:39" ht="15.5" x14ac:dyDescent="0.35">
      <c r="B101" s="1030"/>
      <c r="C101" s="1030"/>
      <c r="F101" s="1200"/>
      <c r="G101" s="1"/>
      <c r="J101" s="1"/>
      <c r="K101" s="1"/>
      <c r="N101" s="436"/>
      <c r="O101" s="317"/>
    </row>
    <row r="102" spans="1:39" ht="15.5" x14ac:dyDescent="0.35">
      <c r="B102" t="s">
        <v>253</v>
      </c>
      <c r="C102" s="752"/>
      <c r="D102" s="756"/>
      <c r="E102" s="795"/>
      <c r="F102" s="795"/>
      <c r="G102" s="1"/>
      <c r="H102" s="1"/>
      <c r="I102" s="1"/>
      <c r="J102" s="1"/>
      <c r="K102" s="1"/>
      <c r="L102" s="1"/>
      <c r="N102" s="436"/>
      <c r="O102" s="317"/>
    </row>
    <row r="103" spans="1:39" ht="15.5" x14ac:dyDescent="0.35">
      <c r="B103" s="815" t="s">
        <v>1326</v>
      </c>
      <c r="C103" s="752"/>
      <c r="D103" s="756"/>
      <c r="E103" s="802"/>
      <c r="F103" s="802"/>
      <c r="G103" s="22"/>
      <c r="H103" s="22"/>
      <c r="I103" s="22"/>
      <c r="J103" s="22"/>
      <c r="K103" s="22"/>
      <c r="L103" s="22"/>
      <c r="M103" s="22"/>
      <c r="N103" s="436"/>
      <c r="O103" s="816"/>
      <c r="P103" s="22"/>
      <c r="Q103" s="22"/>
    </row>
    <row r="104" spans="1:39" ht="15.5" x14ac:dyDescent="0.35">
      <c r="A104" t="s">
        <v>1327</v>
      </c>
      <c r="B104" s="760">
        <v>491</v>
      </c>
      <c r="C104" s="752" t="s">
        <v>1328</v>
      </c>
      <c r="D104" s="756"/>
      <c r="E104" s="757"/>
      <c r="F104" s="757"/>
      <c r="G104" s="758"/>
      <c r="H104" s="758"/>
      <c r="I104" s="757"/>
      <c r="J104" s="1426">
        <f>H93</f>
        <v>0</v>
      </c>
      <c r="K104" s="758"/>
      <c r="L104" s="758"/>
      <c r="N104" s="753" t="str">
        <f>IF(ISERROR(O104),"",IF((O104="Error"),"add explanation",IF((O104="Warning"),"add explanation","")))</f>
        <v/>
      </c>
      <c r="O104" s="754" t="str">
        <f>IF(AM104="Warning","Warning","")</f>
        <v/>
      </c>
      <c r="Q104" s="755" t="str">
        <f>IF($O104="Warning","This year's figure is over "&amp;AE104/1000&amp;" million and "&amp;(AD104*100)&amp;"% different to "&amp;TEXT(AF104,"#,###")&amp;" last year, please explain","")</f>
        <v/>
      </c>
      <c r="AD104" s="609">
        <f>VLOOKUP("RO6"&amp;$B104,data_val_parameters,8,0)/100</f>
        <v>0.45</v>
      </c>
      <c r="AE104" s="609">
        <f>VLOOKUP("RO6"&amp;$B104,data_val_parameters,7,0)</f>
        <v>10000</v>
      </c>
      <c r="AF104" s="609" t="e">
        <f>VLOOKUP(LA_code,data_prev_year,MATCH("RO6"&amp;$B104&amp;"5",data_prev_year_headers,0),0)</f>
        <v>#N/A</v>
      </c>
      <c r="AG104" s="609" t="e">
        <f t="shared" ref="AG104" si="16">AF104+AE104</f>
        <v>#N/A</v>
      </c>
      <c r="AH104" s="609" t="e">
        <f t="shared" ref="AH104" si="17">AF104-AE104</f>
        <v>#N/A</v>
      </c>
      <c r="AI104" s="636" t="e">
        <f t="shared" ref="AI104" si="18">AF104+(AF104*AD104)</f>
        <v>#N/A</v>
      </c>
      <c r="AJ104" s="636" t="e">
        <f t="shared" ref="AJ104" si="19">AF104-(AF104*AD104)</f>
        <v>#N/A</v>
      </c>
      <c r="AK104" s="609" t="e">
        <f>IF(OR(J104&lt;AH104,J104&gt;AG104),"Warning","")</f>
        <v>#N/A</v>
      </c>
      <c r="AL104" s="609" t="e">
        <f>IF(OR(J104&gt;(AI104),J104&lt;(AJ104)),"Warning","")</f>
        <v>#N/A</v>
      </c>
      <c r="AM104" s="609" t="str">
        <f>IF(OR(J104=0),"",IF(AND(AK104="Warning",AL104="Warning"),"Warning",""))</f>
        <v/>
      </c>
    </row>
    <row r="105" spans="1:39" ht="15.5" x14ac:dyDescent="0.35">
      <c r="A105" t="s">
        <v>1329</v>
      </c>
      <c r="B105" s="760">
        <v>492</v>
      </c>
      <c r="C105" s="752" t="s">
        <v>1330</v>
      </c>
      <c r="D105" s="756"/>
      <c r="E105" s="757"/>
      <c r="F105" s="757"/>
      <c r="G105" s="758"/>
      <c r="H105" s="758"/>
      <c r="I105" s="757"/>
      <c r="J105" s="1426">
        <f>'RO1'!H41+'RO2'!H65+'RO3'!H45+'RO3'!H85+'RO3'!H121+'RO4'!H65+'RO5'!H140+'RO6'!H33+'RO6'!H46+H121</f>
        <v>0</v>
      </c>
      <c r="K105" s="1199"/>
      <c r="L105" s="758"/>
      <c r="N105" s="753" t="str">
        <f>IF(ISERROR(O105),"",IF((O105="Error"),"add explanation",IF((O105="Warning"),"add explanation","")))</f>
        <v/>
      </c>
      <c r="O105" s="754" t="str">
        <f>IF(AM105="Warning","Warning","")</f>
        <v/>
      </c>
      <c r="Q105" s="755" t="str">
        <f>IF($O105="Warning","This year's figure is over "&amp;AE105/1000&amp;" million and "&amp;(AD105*100)&amp;"% different to "&amp;TEXT(AF105,"#,###")&amp;" last year, please explain","")</f>
        <v/>
      </c>
      <c r="AD105" s="609">
        <f>VLOOKUP("RO6"&amp;$B105,data_val_parameters,8,0)/100</f>
        <v>0.45</v>
      </c>
      <c r="AE105" s="609">
        <f>VLOOKUP("RO6"&amp;$B105,data_val_parameters,7,0)</f>
        <v>10000</v>
      </c>
      <c r="AF105" s="609" t="e">
        <f>VLOOKUP(LA_code,data_prev_year,MATCH("RO6"&amp;$B105&amp;"5",data_prev_year_headers,0),0)</f>
        <v>#N/A</v>
      </c>
      <c r="AG105" s="609" t="e">
        <f t="shared" ref="AG105:AG108" si="20">AF105+AE105</f>
        <v>#N/A</v>
      </c>
      <c r="AH105" s="609" t="e">
        <f t="shared" ref="AH105:AH108" si="21">AF105-AE105</f>
        <v>#N/A</v>
      </c>
      <c r="AI105" s="636" t="e">
        <f t="shared" ref="AI105:AI108" si="22">AF105+(AF105*AD105)</f>
        <v>#N/A</v>
      </c>
      <c r="AJ105" s="636" t="e">
        <f t="shared" ref="AJ105:AJ108" si="23">AF105-(AF105*AD105)</f>
        <v>#N/A</v>
      </c>
      <c r="AK105" s="609" t="e">
        <f t="shared" ref="AK105:AK108" si="24">IF(OR(J105&lt;AH105,J105&gt;AG105),"Warning","")</f>
        <v>#N/A</v>
      </c>
      <c r="AL105" s="609" t="e">
        <f t="shared" ref="AL105:AL108" si="25">IF(OR(J105&gt;(AI105),J105&lt;(AJ105)),"Warning","")</f>
        <v>#N/A</v>
      </c>
      <c r="AM105" s="609" t="str">
        <f t="shared" ref="AM105:AM108" si="26">IF(OR(J105=0),"",IF(AND(AK105="Warning",AL105="Warning"),"Warning",""))</f>
        <v/>
      </c>
    </row>
    <row r="106" spans="1:39" ht="15.5" x14ac:dyDescent="0.35">
      <c r="A106" t="s">
        <v>1331</v>
      </c>
      <c r="B106" s="760">
        <v>493</v>
      </c>
      <c r="C106" s="752" t="s">
        <v>1332</v>
      </c>
      <c r="D106" s="756"/>
      <c r="E106" s="757"/>
      <c r="F106" s="757"/>
      <c r="G106" s="758"/>
      <c r="H106" s="758"/>
      <c r="I106" s="757"/>
      <c r="J106" s="1427"/>
      <c r="K106" s="758"/>
      <c r="L106" s="758"/>
      <c r="N106" s="753" t="str">
        <f t="shared" ref="N106:N108" si="27">IF(ISERROR(O106),"",IF((O106="Error"),"add explanation",IF((O106="Warning"),"add explanation","")))</f>
        <v/>
      </c>
      <c r="O106" s="754" t="str">
        <f t="shared" ref="O106:O108" si="28">IF(AM106="Warning","Warning","")</f>
        <v/>
      </c>
      <c r="Q106" s="755" t="str">
        <f>IF($O106="Warning","This year's figure is over "&amp;AE106/1000&amp;" million and "&amp;(AD106*100)&amp;"% different to "&amp;TEXT(AF106,"#,###")&amp;" last year, please explain","")</f>
        <v/>
      </c>
      <c r="AD106" s="609">
        <f>VLOOKUP("RO6"&amp;$B106,data_val_parameters,8,0)/100</f>
        <v>0.45</v>
      </c>
      <c r="AE106" s="609">
        <f>VLOOKUP("RO6"&amp;$B106,data_val_parameters,7,0)</f>
        <v>10000</v>
      </c>
      <c r="AF106" s="609" t="e">
        <f>VLOOKUP(LA_code,data_prev_year,MATCH("RO6"&amp;$B106&amp;"5",data_prev_year_headers,0),0)</f>
        <v>#N/A</v>
      </c>
      <c r="AG106" s="609" t="e">
        <f t="shared" si="20"/>
        <v>#N/A</v>
      </c>
      <c r="AH106" s="609" t="e">
        <f t="shared" si="21"/>
        <v>#N/A</v>
      </c>
      <c r="AI106" s="636" t="e">
        <f t="shared" si="22"/>
        <v>#N/A</v>
      </c>
      <c r="AJ106" s="636" t="e">
        <f t="shared" si="23"/>
        <v>#N/A</v>
      </c>
      <c r="AK106" s="609" t="e">
        <f t="shared" si="24"/>
        <v>#N/A</v>
      </c>
      <c r="AL106" s="609" t="e">
        <f t="shared" si="25"/>
        <v>#N/A</v>
      </c>
      <c r="AM106" s="609" t="str">
        <f t="shared" si="26"/>
        <v/>
      </c>
    </row>
    <row r="107" spans="1:39" ht="15.5" x14ac:dyDescent="0.35">
      <c r="A107" t="s">
        <v>1333</v>
      </c>
      <c r="B107" s="760">
        <v>494</v>
      </c>
      <c r="C107" s="752" t="s">
        <v>1334</v>
      </c>
      <c r="D107" s="756"/>
      <c r="E107" s="757"/>
      <c r="F107" s="757"/>
      <c r="G107" s="758"/>
      <c r="H107" s="758"/>
      <c r="I107" s="757"/>
      <c r="J107" s="1427"/>
      <c r="K107" s="758"/>
      <c r="L107" s="758"/>
      <c r="N107" s="753" t="str">
        <f t="shared" si="27"/>
        <v/>
      </c>
      <c r="O107" s="754" t="str">
        <f t="shared" si="28"/>
        <v/>
      </c>
      <c r="Q107" s="755" t="str">
        <f>IF($O107="Warning","This year's figure is over "&amp;AE107/1000&amp;" million and "&amp;(AD107*100)&amp;"% different to "&amp;TEXT(AF107,"#,###")&amp;" last year, please explain","")</f>
        <v/>
      </c>
      <c r="AD107" s="609">
        <f>VLOOKUP("RO6"&amp;$B107,data_val_parameters,8,0)/100</f>
        <v>0.45</v>
      </c>
      <c r="AE107" s="609">
        <f>VLOOKUP("RO6"&amp;$B107,data_val_parameters,7,0)</f>
        <v>10000</v>
      </c>
      <c r="AF107" s="609" t="e">
        <f>VLOOKUP(LA_code,data_prev_year,MATCH("RO6"&amp;$B107&amp;"5",data_prev_year_headers,0),0)</f>
        <v>#N/A</v>
      </c>
      <c r="AG107" s="609" t="e">
        <f t="shared" si="20"/>
        <v>#N/A</v>
      </c>
      <c r="AH107" s="609" t="e">
        <f t="shared" si="21"/>
        <v>#N/A</v>
      </c>
      <c r="AI107" s="636" t="e">
        <f t="shared" si="22"/>
        <v>#N/A</v>
      </c>
      <c r="AJ107" s="636" t="e">
        <f t="shared" si="23"/>
        <v>#N/A</v>
      </c>
      <c r="AK107" s="609" t="e">
        <f t="shared" si="24"/>
        <v>#N/A</v>
      </c>
      <c r="AL107" s="609" t="e">
        <f t="shared" si="25"/>
        <v>#N/A</v>
      </c>
      <c r="AM107" s="609" t="str">
        <f t="shared" si="26"/>
        <v/>
      </c>
    </row>
    <row r="108" spans="1:39" ht="15.5" x14ac:dyDescent="0.35">
      <c r="A108" t="s">
        <v>1335</v>
      </c>
      <c r="B108" s="800">
        <v>495</v>
      </c>
      <c r="C108" s="752" t="s">
        <v>1336</v>
      </c>
      <c r="D108" s="756"/>
      <c r="E108" s="757"/>
      <c r="F108" s="757"/>
      <c r="G108" s="758"/>
      <c r="H108" s="758"/>
      <c r="I108" s="757"/>
      <c r="J108" s="1427"/>
      <c r="K108" s="758"/>
      <c r="L108" s="758"/>
      <c r="N108" s="753" t="str">
        <f t="shared" si="27"/>
        <v/>
      </c>
      <c r="O108" s="754" t="str">
        <f t="shared" si="28"/>
        <v/>
      </c>
      <c r="Q108" s="755" t="str">
        <f>IF($O108="Warning","This year's figure is over "&amp;AE108/1000&amp;" million and "&amp;(AD108*100)&amp;"% different to "&amp;TEXT(AF108,"#,###")&amp;" last year, please explain","")</f>
        <v/>
      </c>
      <c r="AD108" s="609">
        <f>VLOOKUP("RO6"&amp;$B108,data_val_parameters,8,0)/100</f>
        <v>0.45</v>
      </c>
      <c r="AE108" s="609">
        <f>VLOOKUP("RO6"&amp;$B108,data_val_parameters,7,0)</f>
        <v>10000</v>
      </c>
      <c r="AF108" s="609" t="e">
        <f>VLOOKUP(LA_code,data_prev_year,MATCH("RO6"&amp;$B108&amp;"5",data_prev_year_headers,0),0)</f>
        <v>#N/A</v>
      </c>
      <c r="AG108" s="609" t="e">
        <f t="shared" si="20"/>
        <v>#N/A</v>
      </c>
      <c r="AH108" s="609" t="e">
        <f t="shared" si="21"/>
        <v>#N/A</v>
      </c>
      <c r="AI108" s="636" t="e">
        <f t="shared" si="22"/>
        <v>#N/A</v>
      </c>
      <c r="AJ108" s="636" t="e">
        <f t="shared" si="23"/>
        <v>#N/A</v>
      </c>
      <c r="AK108" s="609" t="e">
        <f t="shared" si="24"/>
        <v>#N/A</v>
      </c>
      <c r="AL108" s="609" t="e">
        <f t="shared" si="25"/>
        <v>#N/A</v>
      </c>
      <c r="AM108" s="609" t="str">
        <f t="shared" si="26"/>
        <v/>
      </c>
    </row>
    <row r="109" spans="1:39" ht="15.5" x14ac:dyDescent="0.35">
      <c r="B109" s="800"/>
      <c r="C109" s="752"/>
      <c r="D109" s="756"/>
      <c r="E109" s="757"/>
      <c r="F109" s="757"/>
      <c r="G109" s="758"/>
      <c r="H109" s="758"/>
      <c r="I109" s="757"/>
      <c r="J109" s="1198"/>
      <c r="K109" s="758"/>
      <c r="L109" s="758"/>
      <c r="N109" s="753"/>
      <c r="O109" s="754"/>
      <c r="Q109" s="755"/>
      <c r="AI109" s="636"/>
      <c r="AJ109" s="636"/>
    </row>
    <row r="110" spans="1:39" ht="15.5" x14ac:dyDescent="0.35">
      <c r="B110" s="800">
        <v>496</v>
      </c>
      <c r="C110" s="705" t="s">
        <v>1337</v>
      </c>
      <c r="D110" s="756"/>
      <c r="E110" s="757"/>
      <c r="F110" s="757"/>
      <c r="G110" s="758"/>
      <c r="H110" s="758"/>
      <c r="I110" s="757"/>
      <c r="J110" s="1198"/>
      <c r="K110" s="758"/>
      <c r="L110" s="758"/>
      <c r="N110" s="753"/>
      <c r="O110" s="754"/>
      <c r="Q110" s="755"/>
      <c r="AI110" s="636"/>
      <c r="AJ110" s="636"/>
    </row>
    <row r="111" spans="1:39" ht="15.5" x14ac:dyDescent="0.35">
      <c r="A111" t="s">
        <v>1338</v>
      </c>
      <c r="B111" s="1546" t="s">
        <v>1339</v>
      </c>
      <c r="C111" s="1546"/>
      <c r="D111" s="756"/>
      <c r="E111" s="757"/>
      <c r="F111" s="757"/>
      <c r="G111" s="758"/>
      <c r="H111" s="758"/>
      <c r="I111" s="757"/>
      <c r="J111" s="1198"/>
      <c r="K111" s="758"/>
      <c r="L111" s="758"/>
      <c r="N111" s="753"/>
      <c r="O111" s="754"/>
      <c r="Q111" s="755"/>
      <c r="AI111" s="636"/>
      <c r="AJ111" s="636"/>
    </row>
    <row r="112" spans="1:39" ht="15.5" hidden="1" x14ac:dyDescent="0.35">
      <c r="B112" s="800" t="s">
        <v>1339</v>
      </c>
      <c r="C112" s="800"/>
      <c r="D112" s="756"/>
      <c r="E112" s="757"/>
      <c r="F112" s="757"/>
      <c r="G112" s="758"/>
      <c r="H112" s="758"/>
      <c r="I112" s="757"/>
      <c r="J112" s="1198"/>
      <c r="K112" s="758"/>
      <c r="L112" s="758"/>
      <c r="N112" s="753"/>
      <c r="O112" s="754"/>
      <c r="Q112" s="755"/>
      <c r="AI112" s="636"/>
      <c r="AJ112" s="636"/>
    </row>
    <row r="113" spans="1:39" ht="15.5" hidden="1" x14ac:dyDescent="0.35">
      <c r="B113" s="800" t="s">
        <v>1340</v>
      </c>
      <c r="C113" s="752"/>
      <c r="D113" s="756"/>
      <c r="E113" s="757"/>
      <c r="F113" s="757"/>
      <c r="G113" s="758"/>
      <c r="H113" s="758"/>
      <c r="I113" s="757"/>
      <c r="J113" s="1198"/>
      <c r="K113" s="758"/>
      <c r="L113" s="758"/>
      <c r="N113" s="753"/>
      <c r="O113" s="754"/>
      <c r="Q113" s="755"/>
      <c r="AI113" s="636"/>
      <c r="AJ113" s="636"/>
    </row>
    <row r="114" spans="1:39" ht="15.5" hidden="1" x14ac:dyDescent="0.35">
      <c r="B114" s="800" t="s">
        <v>1341</v>
      </c>
      <c r="C114" s="752"/>
      <c r="D114" s="756"/>
      <c r="E114" s="757"/>
      <c r="F114" s="757"/>
      <c r="G114" s="758"/>
      <c r="H114" s="758"/>
      <c r="I114" s="757"/>
      <c r="J114" s="1198"/>
      <c r="K114" s="758"/>
      <c r="L114" s="758"/>
      <c r="N114" s="753"/>
      <c r="O114" s="754"/>
      <c r="Q114" s="755"/>
      <c r="AI114" s="636"/>
      <c r="AJ114" s="636"/>
    </row>
    <row r="115" spans="1:39" ht="15.5" hidden="1" x14ac:dyDescent="0.35">
      <c r="B115" s="800" t="s">
        <v>1342</v>
      </c>
      <c r="C115" s="752"/>
      <c r="D115" s="756"/>
      <c r="E115" s="757"/>
      <c r="F115" s="757"/>
      <c r="G115" s="758"/>
      <c r="H115" s="758"/>
      <c r="I115" s="757"/>
      <c r="J115" s="1198"/>
      <c r="K115" s="758"/>
      <c r="L115" s="758"/>
      <c r="N115" s="753"/>
      <c r="O115" s="754"/>
      <c r="Q115" s="755"/>
      <c r="AI115" s="636"/>
      <c r="AJ115" s="636"/>
    </row>
    <row r="116" spans="1:39" ht="15.5" x14ac:dyDescent="0.35">
      <c r="B116" s="800"/>
      <c r="C116" s="752"/>
      <c r="D116" s="756"/>
      <c r="E116" s="757"/>
      <c r="F116" s="757"/>
      <c r="G116" s="758"/>
      <c r="H116" s="758"/>
      <c r="I116" s="757"/>
      <c r="J116" s="1198"/>
      <c r="K116" s="758"/>
      <c r="L116" s="758"/>
      <c r="N116" s="753"/>
      <c r="O116" s="754"/>
      <c r="Q116" s="755"/>
      <c r="AI116" s="636"/>
      <c r="AJ116" s="636"/>
    </row>
    <row r="117" spans="1:39" ht="15.5" x14ac:dyDescent="0.35">
      <c r="B117" s="800" t="s">
        <v>1343</v>
      </c>
      <c r="C117" s="752"/>
      <c r="D117" s="756"/>
      <c r="E117" s="757"/>
      <c r="F117" s="757"/>
      <c r="G117" s="758"/>
      <c r="H117" s="758"/>
      <c r="I117" s="757"/>
      <c r="J117" s="1198"/>
      <c r="K117" s="758"/>
      <c r="L117" s="758"/>
      <c r="N117" s="753"/>
      <c r="O117" s="754"/>
      <c r="Q117" s="755"/>
      <c r="AI117" s="636"/>
      <c r="AJ117" s="636"/>
    </row>
    <row r="118" spans="1:39" ht="15.5" x14ac:dyDescent="0.35">
      <c r="B118" s="1522" t="s">
        <v>1344</v>
      </c>
      <c r="C118" s="1522"/>
      <c r="D118" s="756"/>
      <c r="E118" s="757"/>
      <c r="F118" s="757"/>
      <c r="G118" s="758"/>
      <c r="H118" s="758"/>
      <c r="I118" s="757"/>
      <c r="J118" s="1198"/>
      <c r="K118" s="758"/>
      <c r="L118" s="758"/>
      <c r="N118" s="753"/>
      <c r="O118" s="754"/>
      <c r="Q118" s="755"/>
      <c r="AI118" s="636"/>
      <c r="AJ118" s="636"/>
    </row>
    <row r="119" spans="1:39" ht="15.5" x14ac:dyDescent="0.35">
      <c r="B119" s="800"/>
      <c r="C119" s="752"/>
      <c r="D119" s="756"/>
      <c r="E119" s="757"/>
      <c r="F119" s="757"/>
      <c r="G119" s="758"/>
      <c r="H119" s="758"/>
      <c r="I119" s="757"/>
      <c r="J119" s="1198"/>
      <c r="K119" s="758"/>
      <c r="L119" s="758"/>
      <c r="N119" s="753"/>
      <c r="O119" s="754"/>
      <c r="Q119" s="755"/>
      <c r="AI119" s="636"/>
      <c r="AJ119" s="636"/>
    </row>
    <row r="120" spans="1:39" ht="15.5" x14ac:dyDescent="0.35">
      <c r="B120" s="3"/>
      <c r="C120" s="752" t="s">
        <v>253</v>
      </c>
      <c r="D120" s="756"/>
      <c r="E120" s="795"/>
      <c r="F120" s="795"/>
      <c r="G120" s="1"/>
      <c r="H120" s="1"/>
      <c r="I120" s="1"/>
      <c r="J120" s="1"/>
      <c r="K120" s="1"/>
      <c r="L120" s="1"/>
      <c r="N120" s="436"/>
      <c r="O120" s="317"/>
    </row>
    <row r="121" spans="1:39" ht="18" x14ac:dyDescent="0.4">
      <c r="A121" t="s">
        <v>1345</v>
      </c>
      <c r="B121" s="18">
        <v>500</v>
      </c>
      <c r="C121" s="764" t="s">
        <v>1346</v>
      </c>
      <c r="D121" s="756"/>
      <c r="E121" s="1223">
        <f>E151</f>
        <v>0</v>
      </c>
      <c r="F121" s="1223">
        <f t="shared" ref="F121:L121" si="29">F151</f>
        <v>0</v>
      </c>
      <c r="G121" s="1223">
        <f t="shared" si="29"/>
        <v>0</v>
      </c>
      <c r="H121" s="1420">
        <f>H151</f>
        <v>0</v>
      </c>
      <c r="I121" s="1223">
        <f t="shared" si="29"/>
        <v>0</v>
      </c>
      <c r="J121" s="1223">
        <f t="shared" si="29"/>
        <v>0</v>
      </c>
      <c r="K121" s="1290">
        <f t="shared" si="29"/>
        <v>0</v>
      </c>
      <c r="L121" s="1420">
        <f t="shared" si="29"/>
        <v>0</v>
      </c>
      <c r="M121" s="3"/>
      <c r="N121" s="1181" t="str">
        <f>IF(ISERROR(O121),"",IF((O121="Error"),"add explanation",IF((O121="Warning"),"add explanation","")))</f>
        <v/>
      </c>
      <c r="O121" s="754" t="str">
        <f>IF(OR((K121&lt;&gt;(I121+J121)),(G121&lt;&gt;(E121+F121)),(L121&lt;&gt;(G121-K121))),"Error",IF(AM121="Warning","Warning",""))</f>
        <v/>
      </c>
      <c r="Q121" s="755" t="str">
        <f>IF($O121="Error","A total column for "&amp;($C121)&amp;" does not match the sum of the components, please correct",IF($O121="Warning","This year's figure is over "&amp;AE121/1000&amp;" million and "&amp;(AD121*100)&amp;"% different to "&amp;TEXT(AF121,"#,###")&amp;" last year, please explain",""))</f>
        <v/>
      </c>
      <c r="AD121" s="609">
        <f>VLOOKUP("RO6"&amp;$B121,data_val_parameters,8,0)/100</f>
        <v>0.45</v>
      </c>
      <c r="AE121" s="609">
        <f>VLOOKUP("RO6"&amp;$B121,data_val_parameters,7,0)</f>
        <v>10000</v>
      </c>
      <c r="AF121" s="609" t="e">
        <f>VLOOKUP(LA_code,data_prev_year,MATCH("RO6"&amp;$B121&amp;"7",data_prev_year_headers,0),0)</f>
        <v>#N/A</v>
      </c>
      <c r="AG121" s="609" t="e">
        <f>AF121+AE121</f>
        <v>#N/A</v>
      </c>
      <c r="AH121" s="609" t="e">
        <f>AF121-AE121</f>
        <v>#N/A</v>
      </c>
      <c r="AI121" s="609" t="e">
        <f>AF121+(AF121*AD121)</f>
        <v>#N/A</v>
      </c>
      <c r="AJ121" s="609" t="e">
        <f>AF121-(AF121*AD121)</f>
        <v>#N/A</v>
      </c>
      <c r="AK121" s="609" t="e">
        <f>IF(OR(L121&lt;AH121,L121&gt;AG121),"Warning","")</f>
        <v>#N/A</v>
      </c>
      <c r="AL121" s="609" t="e">
        <f>IF(OR(L121&gt;(AI121),L121&lt;(AJ121)),"Warning","")</f>
        <v>#N/A</v>
      </c>
      <c r="AM121" s="609" t="str">
        <f>IF(OR(L121=0),"",IF(AND(AK121="Warning",AL121="Warning"),"Warning",""))</f>
        <v/>
      </c>
    </row>
    <row r="122" spans="1:39" ht="42" x14ac:dyDescent="0.35">
      <c r="B122" s="818" t="s">
        <v>1347</v>
      </c>
      <c r="C122" s="819"/>
      <c r="D122" s="756"/>
      <c r="E122" s="757"/>
      <c r="F122" s="1421"/>
      <c r="G122" s="22"/>
      <c r="H122" s="1212" t="s">
        <v>742</v>
      </c>
      <c r="I122" s="24"/>
      <c r="J122" s="24"/>
      <c r="K122" s="82"/>
      <c r="L122" s="1212" t="s">
        <v>743</v>
      </c>
      <c r="M122" s="22"/>
      <c r="N122" s="22"/>
      <c r="O122" s="816"/>
      <c r="P122" s="22"/>
      <c r="Q122" s="22"/>
    </row>
    <row r="123" spans="1:39" ht="46.5" x14ac:dyDescent="0.35">
      <c r="C123" s="756"/>
      <c r="D123" s="756"/>
      <c r="E123" s="757"/>
      <c r="F123" s="770" t="s">
        <v>744</v>
      </c>
      <c r="G123" s="1"/>
      <c r="H123" s="1199" t="str">
        <f>IF(SUMPRODUCT(--(H121 &gt; G121)),"Error","")</f>
        <v/>
      </c>
      <c r="I123" s="24" t="str">
        <f>IF(H123="Error","A figure in the central MSS column is greater than total expenditure for that line","")</f>
        <v/>
      </c>
      <c r="J123" s="1"/>
      <c r="K123" s="1"/>
      <c r="L123" s="1"/>
      <c r="O123" s="317"/>
    </row>
    <row r="124" spans="1:39" ht="15.5" x14ac:dyDescent="0.35">
      <c r="E124" s="757"/>
      <c r="F124" s="771" t="s">
        <v>745</v>
      </c>
      <c r="G124" s="1"/>
      <c r="H124" s="1"/>
      <c r="I124" s="1"/>
      <c r="J124" s="1"/>
      <c r="K124" s="1"/>
      <c r="L124" s="1"/>
      <c r="O124" s="317"/>
    </row>
    <row r="125" spans="1:39" ht="15.5" x14ac:dyDescent="0.35">
      <c r="A125" t="s">
        <v>1348</v>
      </c>
      <c r="B125" s="1030">
        <v>1501</v>
      </c>
      <c r="C125" s="1030" t="s">
        <v>1349</v>
      </c>
      <c r="F125" s="1280"/>
      <c r="G125" s="1"/>
      <c r="H125" s="1"/>
      <c r="I125" s="1"/>
      <c r="J125" s="1"/>
      <c r="K125" s="1"/>
      <c r="L125" s="1"/>
      <c r="O125" s="317"/>
    </row>
    <row r="126" spans="1:39" ht="15.5" x14ac:dyDescent="0.35">
      <c r="B126" s="1030"/>
      <c r="C126" s="1030"/>
      <c r="F126" s="1200"/>
      <c r="G126" s="1"/>
      <c r="H126" s="1"/>
      <c r="I126" s="1"/>
      <c r="J126" s="443"/>
      <c r="K126" s="1"/>
      <c r="L126" s="1"/>
      <c r="O126" s="317"/>
    </row>
    <row r="127" spans="1:39" ht="15.5" x14ac:dyDescent="0.35">
      <c r="B127" s="1030"/>
      <c r="C127" s="1030"/>
      <c r="F127" s="1200"/>
      <c r="G127" s="1"/>
      <c r="H127" s="1"/>
      <c r="I127" s="1"/>
      <c r="J127" s="271"/>
      <c r="K127" s="1"/>
      <c r="L127" s="1"/>
      <c r="O127" s="317"/>
    </row>
    <row r="128" spans="1:39" ht="15.5" x14ac:dyDescent="0.35">
      <c r="A128" s="280" t="s">
        <v>1350</v>
      </c>
      <c r="B128" s="1030">
        <v>1502</v>
      </c>
      <c r="C128" s="1030" t="s">
        <v>1351</v>
      </c>
      <c r="F128" s="1200"/>
      <c r="G128" s="1"/>
      <c r="H128" s="1"/>
      <c r="I128" s="1"/>
      <c r="J128" s="1270"/>
      <c r="K128" s="1213" t="s">
        <v>750</v>
      </c>
      <c r="L128" s="1"/>
      <c r="O128" s="317"/>
    </row>
    <row r="129" spans="1:17" ht="15.5" x14ac:dyDescent="0.35">
      <c r="E129" s="757"/>
      <c r="F129" s="757"/>
      <c r="G129" s="758"/>
      <c r="H129" s="758"/>
      <c r="I129" s="757"/>
      <c r="J129" s="757"/>
      <c r="K129" s="758"/>
      <c r="L129" s="758"/>
      <c r="O129" s="317"/>
    </row>
    <row r="130" spans="1:17" ht="15.5" x14ac:dyDescent="0.35">
      <c r="B130" s="820" t="s">
        <v>1352</v>
      </c>
      <c r="C130" s="820"/>
      <c r="D130" s="22"/>
      <c r="E130" s="802"/>
      <c r="F130" s="802"/>
      <c r="G130" s="22"/>
      <c r="H130" s="22"/>
      <c r="I130" s="22"/>
      <c r="J130" s="22"/>
      <c r="K130" s="22"/>
      <c r="L130" s="22"/>
      <c r="M130" s="22"/>
      <c r="N130" s="22"/>
      <c r="O130" s="816"/>
      <c r="P130" s="22"/>
      <c r="Q130" s="22"/>
    </row>
    <row r="131" spans="1:17" ht="15.5" x14ac:dyDescent="0.35">
      <c r="A131" t="s">
        <v>1353</v>
      </c>
      <c r="B131" s="3">
        <v>501</v>
      </c>
      <c r="C131" s="257" t="s">
        <v>1354</v>
      </c>
      <c r="D131" s="821"/>
      <c r="E131" s="1299"/>
      <c r="F131" s="1299"/>
      <c r="G131" s="1223">
        <f t="shared" ref="G131:G150" si="30">SUM(E131:F131)</f>
        <v>0</v>
      </c>
      <c r="H131" s="1301"/>
      <c r="I131" s="1299"/>
      <c r="J131" s="1299"/>
      <c r="K131" s="1223">
        <f t="shared" ref="K131:K150" si="31">SUM(I131:J131)</f>
        <v>0</v>
      </c>
      <c r="L131" s="1223">
        <f t="shared" ref="L131:L150" si="32">G131-K131</f>
        <v>0</v>
      </c>
      <c r="O131" s="317"/>
    </row>
    <row r="132" spans="1:17" ht="15.5" x14ac:dyDescent="0.35">
      <c r="A132" t="s">
        <v>1355</v>
      </c>
      <c r="B132" s="3">
        <v>502</v>
      </c>
      <c r="C132" s="257" t="s">
        <v>1354</v>
      </c>
      <c r="D132" s="821"/>
      <c r="E132" s="1299"/>
      <c r="F132" s="1299"/>
      <c r="G132" s="1223">
        <f t="shared" si="30"/>
        <v>0</v>
      </c>
      <c r="H132" s="1301"/>
      <c r="I132" s="1299"/>
      <c r="J132" s="1299"/>
      <c r="K132" s="1223">
        <f t="shared" si="31"/>
        <v>0</v>
      </c>
      <c r="L132" s="1223">
        <f t="shared" si="32"/>
        <v>0</v>
      </c>
      <c r="O132" s="317"/>
    </row>
    <row r="133" spans="1:17" ht="15.5" x14ac:dyDescent="0.35">
      <c r="A133" t="s">
        <v>1356</v>
      </c>
      <c r="B133" s="3">
        <v>503</v>
      </c>
      <c r="C133" s="257" t="s">
        <v>1354</v>
      </c>
      <c r="D133" s="821"/>
      <c r="E133" s="1299"/>
      <c r="F133" s="1299"/>
      <c r="G133" s="1223">
        <f t="shared" si="30"/>
        <v>0</v>
      </c>
      <c r="H133" s="1301"/>
      <c r="I133" s="1299"/>
      <c r="J133" s="1299"/>
      <c r="K133" s="1223">
        <f t="shared" si="31"/>
        <v>0</v>
      </c>
      <c r="L133" s="1223">
        <f t="shared" si="32"/>
        <v>0</v>
      </c>
      <c r="O133" s="317"/>
    </row>
    <row r="134" spans="1:17" ht="15.5" x14ac:dyDescent="0.35">
      <c r="A134" t="s">
        <v>1357</v>
      </c>
      <c r="B134" s="3">
        <v>504</v>
      </c>
      <c r="C134" s="257" t="s">
        <v>1354</v>
      </c>
      <c r="D134" s="821"/>
      <c r="E134" s="1299"/>
      <c r="F134" s="1299"/>
      <c r="G134" s="1223">
        <f t="shared" si="30"/>
        <v>0</v>
      </c>
      <c r="H134" s="1301"/>
      <c r="I134" s="1299"/>
      <c r="J134" s="1299"/>
      <c r="K134" s="1223">
        <f t="shared" si="31"/>
        <v>0</v>
      </c>
      <c r="L134" s="1223">
        <f t="shared" si="32"/>
        <v>0</v>
      </c>
      <c r="O134" s="317"/>
    </row>
    <row r="135" spans="1:17" ht="15.5" x14ac:dyDescent="0.35">
      <c r="A135" t="s">
        <v>1358</v>
      </c>
      <c r="B135" s="3">
        <v>505</v>
      </c>
      <c r="C135" s="257" t="s">
        <v>1354</v>
      </c>
      <c r="D135" s="821"/>
      <c r="E135" s="1299"/>
      <c r="F135" s="1299"/>
      <c r="G135" s="1223">
        <f t="shared" si="30"/>
        <v>0</v>
      </c>
      <c r="H135" s="1301"/>
      <c r="I135" s="1299"/>
      <c r="J135" s="1299"/>
      <c r="K135" s="1223">
        <f t="shared" si="31"/>
        <v>0</v>
      </c>
      <c r="L135" s="1223">
        <f t="shared" si="32"/>
        <v>0</v>
      </c>
      <c r="O135" s="317"/>
    </row>
    <row r="136" spans="1:17" ht="15.5" x14ac:dyDescent="0.35">
      <c r="A136" t="s">
        <v>1359</v>
      </c>
      <c r="B136" s="3">
        <v>506</v>
      </c>
      <c r="C136" s="257" t="s">
        <v>1354</v>
      </c>
      <c r="D136" s="821"/>
      <c r="E136" s="1299"/>
      <c r="F136" s="1299"/>
      <c r="G136" s="1223">
        <f t="shared" si="30"/>
        <v>0</v>
      </c>
      <c r="H136" s="1301"/>
      <c r="I136" s="1299"/>
      <c r="J136" s="1299"/>
      <c r="K136" s="1223">
        <f t="shared" si="31"/>
        <v>0</v>
      </c>
      <c r="L136" s="1223">
        <f t="shared" si="32"/>
        <v>0</v>
      </c>
      <c r="O136" s="317"/>
    </row>
    <row r="137" spans="1:17" ht="15.5" x14ac:dyDescent="0.35">
      <c r="A137" t="s">
        <v>1360</v>
      </c>
      <c r="B137" s="3">
        <v>507</v>
      </c>
      <c r="C137" s="257" t="s">
        <v>1354</v>
      </c>
      <c r="D137" s="821"/>
      <c r="E137" s="1299"/>
      <c r="F137" s="1299"/>
      <c r="G137" s="1223">
        <f t="shared" si="30"/>
        <v>0</v>
      </c>
      <c r="H137" s="1301"/>
      <c r="I137" s="1299"/>
      <c r="J137" s="1299"/>
      <c r="K137" s="1223">
        <f t="shared" si="31"/>
        <v>0</v>
      </c>
      <c r="L137" s="1223">
        <f t="shared" si="32"/>
        <v>0</v>
      </c>
      <c r="O137" s="317"/>
    </row>
    <row r="138" spans="1:17" ht="15.5" x14ac:dyDescent="0.35">
      <c r="A138" t="s">
        <v>1361</v>
      </c>
      <c r="B138" s="3">
        <v>508</v>
      </c>
      <c r="C138" s="257" t="s">
        <v>1354</v>
      </c>
      <c r="D138" s="821"/>
      <c r="E138" s="1299"/>
      <c r="F138" s="1299"/>
      <c r="G138" s="1223">
        <f t="shared" si="30"/>
        <v>0</v>
      </c>
      <c r="H138" s="1301"/>
      <c r="I138" s="1299"/>
      <c r="J138" s="1299"/>
      <c r="K138" s="1223">
        <f t="shared" si="31"/>
        <v>0</v>
      </c>
      <c r="L138" s="1223">
        <f t="shared" si="32"/>
        <v>0</v>
      </c>
      <c r="O138" s="317"/>
    </row>
    <row r="139" spans="1:17" ht="15.5" x14ac:dyDescent="0.35">
      <c r="A139" t="s">
        <v>1362</v>
      </c>
      <c r="B139" s="3">
        <v>509</v>
      </c>
      <c r="C139" s="257" t="s">
        <v>1354</v>
      </c>
      <c r="D139" s="821"/>
      <c r="E139" s="1299"/>
      <c r="F139" s="1299"/>
      <c r="G139" s="1223">
        <f t="shared" si="30"/>
        <v>0</v>
      </c>
      <c r="H139" s="1301"/>
      <c r="I139" s="1299"/>
      <c r="J139" s="1299"/>
      <c r="K139" s="1223">
        <f t="shared" si="31"/>
        <v>0</v>
      </c>
      <c r="L139" s="1223">
        <f t="shared" si="32"/>
        <v>0</v>
      </c>
      <c r="O139" s="317"/>
    </row>
    <row r="140" spans="1:17" ht="15.5" x14ac:dyDescent="0.35">
      <c r="A140" t="s">
        <v>1363</v>
      </c>
      <c r="B140" s="3">
        <v>510</v>
      </c>
      <c r="C140" s="257" t="s">
        <v>1354</v>
      </c>
      <c r="D140" s="821"/>
      <c r="E140" s="1299"/>
      <c r="F140" s="1299"/>
      <c r="G140" s="1223">
        <f t="shared" si="30"/>
        <v>0</v>
      </c>
      <c r="H140" s="1301"/>
      <c r="I140" s="1299"/>
      <c r="J140" s="1299"/>
      <c r="K140" s="1223">
        <f t="shared" si="31"/>
        <v>0</v>
      </c>
      <c r="L140" s="1223">
        <f t="shared" si="32"/>
        <v>0</v>
      </c>
      <c r="O140" s="317"/>
    </row>
    <row r="141" spans="1:17" ht="15.5" x14ac:dyDescent="0.35">
      <c r="A141" t="s">
        <v>1364</v>
      </c>
      <c r="B141" s="3">
        <v>511</v>
      </c>
      <c r="C141" s="257" t="s">
        <v>1354</v>
      </c>
      <c r="D141" s="821"/>
      <c r="E141" s="1299"/>
      <c r="F141" s="1299"/>
      <c r="G141" s="1223">
        <f t="shared" si="30"/>
        <v>0</v>
      </c>
      <c r="H141" s="1301"/>
      <c r="I141" s="1299"/>
      <c r="J141" s="1299"/>
      <c r="K141" s="1223">
        <f t="shared" si="31"/>
        <v>0</v>
      </c>
      <c r="L141" s="1223">
        <f t="shared" si="32"/>
        <v>0</v>
      </c>
      <c r="O141" s="317"/>
    </row>
    <row r="142" spans="1:17" ht="15.5" x14ac:dyDescent="0.35">
      <c r="A142" t="s">
        <v>1365</v>
      </c>
      <c r="B142" s="3">
        <v>512</v>
      </c>
      <c r="C142" s="257" t="s">
        <v>1354</v>
      </c>
      <c r="D142" s="821"/>
      <c r="E142" s="1299"/>
      <c r="F142" s="1299"/>
      <c r="G142" s="1223">
        <f t="shared" si="30"/>
        <v>0</v>
      </c>
      <c r="H142" s="1301"/>
      <c r="I142" s="1299"/>
      <c r="J142" s="1299"/>
      <c r="K142" s="1223">
        <f t="shared" si="31"/>
        <v>0</v>
      </c>
      <c r="L142" s="1223">
        <f t="shared" si="32"/>
        <v>0</v>
      </c>
      <c r="O142" s="317"/>
    </row>
    <row r="143" spans="1:17" ht="15.5" x14ac:dyDescent="0.35">
      <c r="A143" t="s">
        <v>1366</v>
      </c>
      <c r="B143" s="3">
        <v>513</v>
      </c>
      <c r="C143" s="257" t="s">
        <v>1354</v>
      </c>
      <c r="D143" s="821"/>
      <c r="E143" s="1299"/>
      <c r="F143" s="1299"/>
      <c r="G143" s="1223">
        <f t="shared" si="30"/>
        <v>0</v>
      </c>
      <c r="H143" s="1301"/>
      <c r="I143" s="1299"/>
      <c r="J143" s="1299"/>
      <c r="K143" s="1223">
        <f t="shared" si="31"/>
        <v>0</v>
      </c>
      <c r="L143" s="1223">
        <f t="shared" si="32"/>
        <v>0</v>
      </c>
      <c r="O143" s="317"/>
    </row>
    <row r="144" spans="1:17" ht="15.5" x14ac:dyDescent="0.35">
      <c r="A144" t="s">
        <v>1367</v>
      </c>
      <c r="B144" s="3">
        <v>514</v>
      </c>
      <c r="C144" s="257" t="s">
        <v>1354</v>
      </c>
      <c r="D144" s="821"/>
      <c r="E144" s="1299"/>
      <c r="F144" s="1299"/>
      <c r="G144" s="1223">
        <f t="shared" si="30"/>
        <v>0</v>
      </c>
      <c r="H144" s="1301"/>
      <c r="I144" s="1299"/>
      <c r="J144" s="1299"/>
      <c r="K144" s="1223">
        <f t="shared" si="31"/>
        <v>0</v>
      </c>
      <c r="L144" s="1223">
        <f t="shared" si="32"/>
        <v>0</v>
      </c>
      <c r="O144" s="317"/>
    </row>
    <row r="145" spans="1:15" ht="15.5" x14ac:dyDescent="0.35">
      <c r="A145" t="s">
        <v>1368</v>
      </c>
      <c r="B145" s="3">
        <v>515</v>
      </c>
      <c r="C145" s="257" t="s">
        <v>1354</v>
      </c>
      <c r="D145" s="821"/>
      <c r="E145" s="1299"/>
      <c r="F145" s="1299"/>
      <c r="G145" s="1223">
        <f t="shared" si="30"/>
        <v>0</v>
      </c>
      <c r="H145" s="1301"/>
      <c r="I145" s="1299"/>
      <c r="J145" s="1299"/>
      <c r="K145" s="1223">
        <f t="shared" si="31"/>
        <v>0</v>
      </c>
      <c r="L145" s="1223">
        <f t="shared" si="32"/>
        <v>0</v>
      </c>
      <c r="O145" s="317"/>
    </row>
    <row r="146" spans="1:15" ht="15.5" x14ac:dyDescent="0.35">
      <c r="A146" t="s">
        <v>1369</v>
      </c>
      <c r="B146" s="3">
        <v>516</v>
      </c>
      <c r="C146" s="257" t="s">
        <v>1354</v>
      </c>
      <c r="D146" s="821"/>
      <c r="E146" s="1299"/>
      <c r="F146" s="1299"/>
      <c r="G146" s="1223">
        <f t="shared" si="30"/>
        <v>0</v>
      </c>
      <c r="H146" s="1301"/>
      <c r="I146" s="1299"/>
      <c r="J146" s="1299"/>
      <c r="K146" s="1223">
        <f t="shared" si="31"/>
        <v>0</v>
      </c>
      <c r="L146" s="1223">
        <f t="shared" si="32"/>
        <v>0</v>
      </c>
      <c r="O146" s="317"/>
    </row>
    <row r="147" spans="1:15" ht="15.5" x14ac:dyDescent="0.35">
      <c r="A147" t="s">
        <v>1370</v>
      </c>
      <c r="B147" s="3">
        <v>517</v>
      </c>
      <c r="C147" s="257" t="s">
        <v>1354</v>
      </c>
      <c r="D147" s="821"/>
      <c r="E147" s="1299"/>
      <c r="F147" s="1299"/>
      <c r="G147" s="1223">
        <f t="shared" si="30"/>
        <v>0</v>
      </c>
      <c r="H147" s="1301"/>
      <c r="I147" s="1299"/>
      <c r="J147" s="1299"/>
      <c r="K147" s="1223">
        <f t="shared" si="31"/>
        <v>0</v>
      </c>
      <c r="L147" s="1223">
        <f t="shared" si="32"/>
        <v>0</v>
      </c>
      <c r="O147" s="317"/>
    </row>
    <row r="148" spans="1:15" ht="15.5" x14ac:dyDescent="0.35">
      <c r="A148" t="s">
        <v>1371</v>
      </c>
      <c r="B148" s="3">
        <v>518</v>
      </c>
      <c r="C148" s="257" t="s">
        <v>1354</v>
      </c>
      <c r="D148" s="821"/>
      <c r="E148" s="1299"/>
      <c r="F148" s="1299"/>
      <c r="G148" s="1223">
        <f t="shared" si="30"/>
        <v>0</v>
      </c>
      <c r="H148" s="1301"/>
      <c r="I148" s="1299"/>
      <c r="J148" s="1299"/>
      <c r="K148" s="1223">
        <f t="shared" si="31"/>
        <v>0</v>
      </c>
      <c r="L148" s="1223">
        <f t="shared" si="32"/>
        <v>0</v>
      </c>
      <c r="O148" s="317"/>
    </row>
    <row r="149" spans="1:15" ht="15.5" x14ac:dyDescent="0.35">
      <c r="A149" t="s">
        <v>1372</v>
      </c>
      <c r="B149" s="3">
        <v>519</v>
      </c>
      <c r="C149" s="257" t="s">
        <v>1354</v>
      </c>
      <c r="D149" s="821"/>
      <c r="E149" s="1299"/>
      <c r="F149" s="1299"/>
      <c r="G149" s="1223">
        <f t="shared" si="30"/>
        <v>0</v>
      </c>
      <c r="H149" s="1301"/>
      <c r="I149" s="1299"/>
      <c r="J149" s="1299"/>
      <c r="K149" s="1223">
        <f t="shared" si="31"/>
        <v>0</v>
      </c>
      <c r="L149" s="1223">
        <f t="shared" si="32"/>
        <v>0</v>
      </c>
      <c r="O149" s="317"/>
    </row>
    <row r="150" spans="1:15" ht="15.5" x14ac:dyDescent="0.35">
      <c r="A150" t="s">
        <v>1373</v>
      </c>
      <c r="B150" s="3">
        <v>520</v>
      </c>
      <c r="C150" s="257" t="s">
        <v>1354</v>
      </c>
      <c r="D150" s="821"/>
      <c r="E150" s="1299"/>
      <c r="F150" s="1299"/>
      <c r="G150" s="1223">
        <f t="shared" si="30"/>
        <v>0</v>
      </c>
      <c r="H150" s="1301"/>
      <c r="I150" s="1299"/>
      <c r="J150" s="1299"/>
      <c r="K150" s="1223">
        <f t="shared" si="31"/>
        <v>0</v>
      </c>
      <c r="L150" s="1223">
        <f t="shared" si="32"/>
        <v>0</v>
      </c>
      <c r="O150" s="317"/>
    </row>
    <row r="151" spans="1:15" ht="15.5" x14ac:dyDescent="0.35">
      <c r="A151" t="s">
        <v>1374</v>
      </c>
      <c r="B151" s="690">
        <v>590</v>
      </c>
      <c r="C151" s="690" t="s">
        <v>1375</v>
      </c>
      <c r="D151" s="768"/>
      <c r="E151" s="1223">
        <f t="shared" ref="E151:L151" si="33">SUM(E131:E150)</f>
        <v>0</v>
      </c>
      <c r="F151" s="1223">
        <f t="shared" si="33"/>
        <v>0</v>
      </c>
      <c r="G151" s="1223">
        <f t="shared" si="33"/>
        <v>0</v>
      </c>
      <c r="H151" s="1223">
        <f t="shared" si="33"/>
        <v>0</v>
      </c>
      <c r="I151" s="1223">
        <f t="shared" si="33"/>
        <v>0</v>
      </c>
      <c r="J151" s="1223">
        <f t="shared" si="33"/>
        <v>0</v>
      </c>
      <c r="K151" s="1223">
        <f t="shared" si="33"/>
        <v>0</v>
      </c>
      <c r="L151" s="1223">
        <f t="shared" si="33"/>
        <v>0</v>
      </c>
      <c r="O151" s="317"/>
    </row>
    <row r="152" spans="1:15" ht="15.5" x14ac:dyDescent="0.35">
      <c r="B152" s="111"/>
      <c r="C152" s="111"/>
      <c r="D152" s="111"/>
      <c r="E152" s="795"/>
      <c r="F152" s="795"/>
      <c r="G152" s="1"/>
      <c r="H152" s="1"/>
      <c r="I152" s="1"/>
      <c r="J152" s="1"/>
      <c r="K152" s="1"/>
      <c r="L152" s="1"/>
    </row>
    <row r="153" spans="1:15" ht="15.5" x14ac:dyDescent="0.35">
      <c r="B153" s="111"/>
      <c r="C153" s="111"/>
      <c r="D153" s="111"/>
      <c r="E153" s="795"/>
      <c r="F153" s="795"/>
      <c r="G153" s="1"/>
      <c r="H153" s="1"/>
      <c r="I153" s="1"/>
      <c r="J153" s="1"/>
      <c r="K153" s="1"/>
      <c r="L153" s="1"/>
    </row>
    <row r="154" spans="1:15" ht="15.5" hidden="1" x14ac:dyDescent="0.35">
      <c r="L154" s="77"/>
    </row>
    <row r="155" spans="1:15" x14ac:dyDescent="0.25"/>
    <row r="156" spans="1:15" x14ac:dyDescent="0.25"/>
    <row r="157" spans="1:15" x14ac:dyDescent="0.25"/>
  </sheetData>
  <sheetProtection sheet="1" objects="1" scenarios="1"/>
  <mergeCells count="8">
    <mergeCell ref="B118:C118"/>
    <mergeCell ref="B111:C111"/>
    <mergeCell ref="B2:O2"/>
    <mergeCell ref="B16:O16"/>
    <mergeCell ref="B10:O10"/>
    <mergeCell ref="B11:O11"/>
    <mergeCell ref="B13:O13"/>
    <mergeCell ref="B15:O15"/>
  </mergeCells>
  <phoneticPr fontId="0" type="noConversion"/>
  <conditionalFormatting sqref="B18">
    <cfRule type="containsText" dxfId="38" priority="32" operator="containsText" text="resolve">
      <formula>NOT(ISERROR(SEARCH("resolve",B18)))</formula>
    </cfRule>
  </conditionalFormatting>
  <conditionalFormatting sqref="C18">
    <cfRule type="expression" dxfId="37" priority="22">
      <formula>ISNUMBER(SEARCH(AB18,B18))</formula>
    </cfRule>
  </conditionalFormatting>
  <conditionalFormatting sqref="D18">
    <cfRule type="expression" dxfId="36" priority="21">
      <formula>ISNUMBER(SEARCH(AB18,B18))</formula>
    </cfRule>
  </conditionalFormatting>
  <conditionalFormatting sqref="E18">
    <cfRule type="expression" dxfId="35" priority="20">
      <formula>ISNUMBER(SEARCH(AB18,B18))</formula>
    </cfRule>
  </conditionalFormatting>
  <conditionalFormatting sqref="F18">
    <cfRule type="expression" dxfId="34" priority="19">
      <formula>ISNUMBER(SEARCH(AB18,B18))</formula>
    </cfRule>
  </conditionalFormatting>
  <conditionalFormatting sqref="G18:H18">
    <cfRule type="expression" dxfId="33" priority="18">
      <formula>ISNUMBER(SEARCH(AB18,B18))</formula>
    </cfRule>
  </conditionalFormatting>
  <conditionalFormatting sqref="H35">
    <cfRule type="containsText" dxfId="32" priority="2" operator="containsText" text="Error">
      <formula>NOT(ISERROR(SEARCH("Error",H35)))</formula>
    </cfRule>
  </conditionalFormatting>
  <conditionalFormatting sqref="H48">
    <cfRule type="containsText" dxfId="31" priority="5" operator="containsText" text="Error">
      <formula>NOT(ISERROR(SEARCH("Error",H48)))</formula>
    </cfRule>
  </conditionalFormatting>
  <conditionalFormatting sqref="H95">
    <cfRule type="containsText" dxfId="30" priority="4" operator="containsText" text="Error">
      <formula>NOT(ISERROR(SEARCH("Error",H95)))</formula>
    </cfRule>
  </conditionalFormatting>
  <conditionalFormatting sqref="H123">
    <cfRule type="containsText" dxfId="29" priority="1" operator="containsText" text="Error">
      <formula>NOT(ISERROR(SEARCH("Error",H123)))</formula>
    </cfRule>
  </conditionalFormatting>
  <conditionalFormatting sqref="I18">
    <cfRule type="expression" dxfId="28" priority="17">
      <formula>ISNUMBER(SEARCH(AB18,B18))</formula>
    </cfRule>
  </conditionalFormatting>
  <conditionalFormatting sqref="J18">
    <cfRule type="expression" dxfId="27" priority="16">
      <formula>ISNUMBER(SEARCH(AB18,B18))</formula>
    </cfRule>
  </conditionalFormatting>
  <conditionalFormatting sqref="K18">
    <cfRule type="expression" dxfId="26" priority="15">
      <formula>ISNUMBER(SEARCH(AB18,B18))</formula>
    </cfRule>
  </conditionalFormatting>
  <conditionalFormatting sqref="K105">
    <cfRule type="containsText" dxfId="25" priority="6" operator="containsText" text="Error">
      <formula>NOT(ISERROR(SEARCH("Error",K105)))</formula>
    </cfRule>
  </conditionalFormatting>
  <conditionalFormatting sqref="L18">
    <cfRule type="expression" dxfId="24" priority="14">
      <formula>ISNUMBER(SEARCH(AB18,B18))</formula>
    </cfRule>
  </conditionalFormatting>
  <conditionalFormatting sqref="O33:O121">
    <cfRule type="containsText" dxfId="23" priority="11" operator="containsText" text="Information">
      <formula>NOT(ISERROR(SEARCH("Information",O33)))</formula>
    </cfRule>
    <cfRule type="containsText" dxfId="21" priority="13" operator="containsText" text="Error">
      <formula>NOT(ISERROR(SEARCH("Error",O33)))</formula>
    </cfRule>
  </conditionalFormatting>
  <dataValidations count="2">
    <dataValidation allowBlank="1" showInputMessage="1" showErrorMessage="1" promptTitle="Line 489" prompt="Please give breakdown on lines 491 to 495 below" sqref="J91" xr:uid="{00000000-0002-0000-0900-000000000000}"/>
    <dataValidation type="list" showInputMessage="1" showErrorMessage="1" sqref="B111:C111" xr:uid="{958D8BFE-4A3A-4C44-A646-E2BB6F96D03F}">
      <formula1>$B$112:$B$115</formula1>
    </dataValidation>
  </dataValidations>
  <hyperlinks>
    <hyperlink ref="N33" location="Memo!C537" display="Memo!C537" xr:uid="{00000000-0004-0000-0900-000000000000}"/>
    <hyperlink ref="N43:N46" location="Memo!C537" display="Memo!C537" xr:uid="{00000000-0004-0000-0900-000001000000}"/>
    <hyperlink ref="N57" location="Memo!C510" display="Memo!C510" xr:uid="{00000000-0004-0000-0900-000002000000}"/>
    <hyperlink ref="N62:N67" location="Memo!C35" display="Memo!C35" xr:uid="{00000000-0004-0000-0900-000003000000}"/>
    <hyperlink ref="N69" location="Memo!C517" display="Memo!C517" xr:uid="{00000000-0004-0000-0900-000004000000}"/>
    <hyperlink ref="N72:N73" location="Memo!C35" display="Memo!C35" xr:uid="{00000000-0004-0000-0900-000005000000}"/>
    <hyperlink ref="N75" location="Memo!C520" display="Memo!C520" xr:uid="{00000000-0004-0000-0900-000006000000}"/>
    <hyperlink ref="N77" location="Memo!C521" display="Memo!C521" xr:uid="{00000000-0004-0000-0900-000007000000}"/>
    <hyperlink ref="N79" location="Memo!C522" display="Memo!C522" xr:uid="{00000000-0004-0000-0900-000008000000}"/>
    <hyperlink ref="N81" location="Memo!C523" display="Memo!C523" xr:uid="{00000000-0004-0000-0900-000009000000}"/>
    <hyperlink ref="N83" location="Memo!C524" display="Memo!C524" xr:uid="{00000000-0004-0000-0900-00000A000000}"/>
    <hyperlink ref="N84" location="Memo!C525" display="Memo!C525" xr:uid="{00000000-0004-0000-0900-00000B000000}"/>
    <hyperlink ref="N87" location="Memo!C526" display="Memo!C526" xr:uid="{00000000-0004-0000-0900-00000C000000}"/>
    <hyperlink ref="N88" location="Memo!C527" display="Memo!C527" xr:uid="{00000000-0004-0000-0900-00000D000000}"/>
    <hyperlink ref="N89" location="Memo!C528" display="Memo!C528" xr:uid="{00000000-0004-0000-0900-00000E000000}"/>
    <hyperlink ref="N91" location="Memo!C529" display="Memo!C529" xr:uid="{00000000-0004-0000-0900-00000F000000}"/>
    <hyperlink ref="N93" location="Memo!C530" display="Memo!C530" xr:uid="{00000000-0004-0000-0900-000010000000}"/>
    <hyperlink ref="N121" location="Memo!C537" display="Memo!C537" xr:uid="{00000000-0004-0000-0900-000011000000}"/>
    <hyperlink ref="N43" location="Memo!C506" display="Memo!C506" xr:uid="{00000000-0004-0000-0900-000012000000}"/>
    <hyperlink ref="N44" location="Memo!C507" display="Memo!C507" xr:uid="{00000000-0004-0000-0900-000013000000}"/>
    <hyperlink ref="N45" location="Memo!C508" display="Memo!C508" xr:uid="{00000000-0004-0000-0900-000014000000}"/>
    <hyperlink ref="N46" location="Memo!C509" display="Memo!C509" xr:uid="{00000000-0004-0000-0900-000015000000}"/>
    <hyperlink ref="N62" location="Memo!C511" display="Memo!C511" xr:uid="{00000000-0004-0000-0900-000016000000}"/>
    <hyperlink ref="N63" location="Memo!C512" display="Memo!C512" xr:uid="{00000000-0004-0000-0900-000017000000}"/>
    <hyperlink ref="N64" location="Memo!C513" display="Memo!C513" xr:uid="{00000000-0004-0000-0900-000018000000}"/>
    <hyperlink ref="N65" location="Memo!C514" display="Memo!C514" xr:uid="{00000000-0004-0000-0900-000019000000}"/>
    <hyperlink ref="N66" location="Memo!C515" display="Memo!C515" xr:uid="{00000000-0004-0000-0900-00001A000000}"/>
    <hyperlink ref="N67" location="Memo!C516" display="Memo!C516" xr:uid="{00000000-0004-0000-0900-00001B000000}"/>
    <hyperlink ref="N72" location="Memo!C518" display="Memo!C518" xr:uid="{00000000-0004-0000-0900-00001C000000}"/>
    <hyperlink ref="N73" location="Memo!C519" display="Memo!C519" xr:uid="{00000000-0004-0000-0900-00001D000000}"/>
    <hyperlink ref="N104" location="Memo!C531" display="Memo!C531" xr:uid="{6BC88349-4111-40A7-AC93-BA5375ED8202}"/>
    <hyperlink ref="N106" location="Memo!C533" display="Memo!C533" xr:uid="{83DCA12F-307A-414E-9BC1-F8395F43B95A}"/>
    <hyperlink ref="N107" location="Memo!C534" display="Memo!C534" xr:uid="{CF8D5C82-CA8F-4D61-AD08-1C6132EEDEC4}"/>
    <hyperlink ref="N108" location="Memo!C535" display="Memo!C535" xr:uid="{5C6427C4-8F1E-471E-8EA6-0606FD47EBDB}"/>
    <hyperlink ref="N57:N93" location="Memo!C537" display="Memo!C537" xr:uid="{4670402A-06C0-4CF6-9116-C23381E1E848}"/>
    <hyperlink ref="B118" location="Memo!D571" display="Memo comment" xr:uid="{9CDB5195-1C81-47E8-BC2E-52067066B2DD}"/>
    <hyperlink ref="N105" location="Memo!C531" display="Memo!C531" xr:uid="{97FFCAB6-E65A-470B-91A3-32A367461364}"/>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 operator="containsText" id="{551C43B9-063C-48C0-93CA-675C1AABB5B0}">
            <xm:f>NOT(ISERROR(SEARCH("Warning",O33)))</xm:f>
            <xm:f>"Warning"</xm:f>
            <x14:dxf>
              <font>
                <b/>
                <i val="0"/>
                <color theme="0"/>
              </font>
              <fill>
                <patternFill>
                  <bgColor theme="9"/>
                </patternFill>
              </fill>
            </x14:dxf>
          </x14:cfRule>
          <xm:sqref>O33:O121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80" zoomScaleNormal="80" workbookViewId="0">
      <pane xSplit="1" ySplit="1" topLeftCell="B2" activePane="bottomRight" state="frozen"/>
      <selection pane="topRight" activeCell="B1" sqref="B1"/>
      <selection pane="bottomLeft" activeCell="A2" sqref="A2"/>
      <selection pane="bottomRight" activeCell="B2" sqref="B2:N2"/>
    </sheetView>
  </sheetViews>
  <sheetFormatPr defaultColWidth="0" defaultRowHeight="12.5" zeroHeight="1" x14ac:dyDescent="0.25"/>
  <cols>
    <col min="1" max="1" width="16.81640625" hidden="1" customWidth="1"/>
    <col min="2" max="2" width="6.7265625" customWidth="1"/>
    <col min="3" max="3" width="8.7265625" customWidth="1"/>
    <col min="4" max="4" width="85.7265625" customWidth="1"/>
    <col min="5" max="5" width="6.7265625" customWidth="1"/>
    <col min="6" max="14" width="16.7265625" customWidth="1"/>
    <col min="15" max="15" width="2.7265625" customWidth="1"/>
    <col min="16" max="17" width="16.7265625" customWidth="1"/>
    <col min="18" max="18" width="2.7265625" customWidth="1"/>
    <col min="19" max="20" width="12.54296875" customWidth="1"/>
    <col min="21" max="21" width="47.81640625" hidden="1" customWidth="1"/>
    <col min="22" max="42" width="12.54296875" hidden="1" customWidth="1"/>
    <col min="43" max="48" width="8.7265625" hidden="1" customWidth="1"/>
    <col min="49" max="49" width="22.26953125" hidden="1" customWidth="1"/>
    <col min="50" max="109" width="0" hidden="1" customWidth="1"/>
    <col min="110" max="16384" width="12.54296875" hidden="1"/>
  </cols>
  <sheetData>
    <row r="1" spans="1:57" ht="23" hidden="1" x14ac:dyDescent="0.25">
      <c r="A1" t="s">
        <v>1376</v>
      </c>
      <c r="B1" s="280" t="s">
        <v>43</v>
      </c>
      <c r="D1" s="93" t="s">
        <v>723</v>
      </c>
      <c r="G1" t="s">
        <v>1377</v>
      </c>
      <c r="H1" t="s">
        <v>1378</v>
      </c>
      <c r="I1" t="s">
        <v>1379</v>
      </c>
      <c r="K1" s="280" t="s">
        <v>46</v>
      </c>
      <c r="L1" s="280" t="s">
        <v>47</v>
      </c>
      <c r="M1" s="280" t="s">
        <v>48</v>
      </c>
      <c r="U1" s="639" t="s">
        <v>49</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0" customHeight="1" x14ac:dyDescent="0.25">
      <c r="A2" t="s">
        <v>1380</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98"/>
      <c r="O2" s="1475"/>
      <c r="P2" s="1476"/>
      <c r="Q2" s="1476"/>
      <c r="R2" s="1476"/>
      <c r="U2" s="1009" t="s">
        <v>51</v>
      </c>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row>
    <row r="3" spans="1:57" ht="12.75" customHeight="1" x14ac:dyDescent="0.35">
      <c r="B3" s="721"/>
      <c r="C3" s="721"/>
      <c r="D3" s="721"/>
      <c r="E3" s="721"/>
      <c r="F3" s="722"/>
      <c r="G3" s="722"/>
      <c r="H3" s="722"/>
      <c r="I3" s="723"/>
      <c r="J3" s="1"/>
      <c r="K3" s="1"/>
      <c r="L3" s="22"/>
      <c r="M3" s="724"/>
      <c r="U3" s="609"/>
      <c r="V3" s="609"/>
      <c r="W3" s="609"/>
      <c r="X3" s="609"/>
      <c r="Y3" s="609"/>
      <c r="Z3" s="609"/>
      <c r="AA3" s="609"/>
      <c r="AB3" s="609"/>
      <c r="AC3" s="609"/>
      <c r="AD3" s="609"/>
      <c r="AE3" s="609"/>
      <c r="AF3" s="609"/>
      <c r="AG3" s="609"/>
      <c r="AH3" s="609"/>
      <c r="AI3" s="609"/>
      <c r="AJ3" s="609"/>
      <c r="AK3" s="609"/>
      <c r="AL3" s="609"/>
      <c r="AM3" s="609"/>
      <c r="AN3" s="609"/>
      <c r="AO3" s="609"/>
      <c r="AP3" s="609"/>
      <c r="AW3" s="609"/>
    </row>
    <row r="4" spans="1:57" ht="27.75" customHeight="1" x14ac:dyDescent="0.6">
      <c r="B4" s="721"/>
      <c r="C4" s="721"/>
      <c r="D4" s="721"/>
      <c r="E4" s="721"/>
      <c r="F4" s="722"/>
      <c r="G4" s="722"/>
      <c r="H4" s="722"/>
      <c r="I4" s="723"/>
      <c r="J4" s="1"/>
      <c r="K4" s="1"/>
      <c r="Q4" s="725" t="str">
        <f>"TSR "&amp;YearForm</f>
        <v>TSR 2025-26</v>
      </c>
      <c r="U4" s="609"/>
      <c r="V4" s="609"/>
      <c r="W4" s="609"/>
      <c r="X4" s="609"/>
      <c r="Y4" s="609"/>
      <c r="Z4" s="609"/>
      <c r="AA4" s="609"/>
      <c r="AB4" s="609"/>
      <c r="AC4" s="609"/>
      <c r="AD4" s="609"/>
      <c r="AE4" s="609"/>
      <c r="AF4" s="609"/>
      <c r="AG4" s="609"/>
      <c r="AH4" s="609"/>
      <c r="AI4" s="609"/>
      <c r="AJ4" s="609"/>
      <c r="AK4" s="609"/>
      <c r="AL4" s="609"/>
      <c r="AM4" s="609"/>
      <c r="AN4" s="609"/>
      <c r="AO4" s="609"/>
      <c r="AP4" s="609"/>
      <c r="AW4" s="609"/>
    </row>
    <row r="5" spans="1:57" ht="12.75" customHeight="1" x14ac:dyDescent="0.35">
      <c r="B5" s="721"/>
      <c r="C5" s="721"/>
      <c r="D5" s="721"/>
      <c r="E5" s="721"/>
      <c r="F5" s="722"/>
      <c r="G5" s="722"/>
      <c r="H5" s="722"/>
      <c r="I5" s="723"/>
      <c r="J5" s="1"/>
      <c r="K5" s="1"/>
      <c r="U5" s="609"/>
      <c r="V5" s="609"/>
      <c r="W5" s="609"/>
      <c r="X5" s="609"/>
      <c r="Y5" s="609"/>
      <c r="Z5" s="609"/>
      <c r="AA5" s="609"/>
      <c r="AB5" s="609"/>
      <c r="AC5" s="609"/>
      <c r="AD5" s="609"/>
      <c r="AE5" s="609"/>
      <c r="AF5" s="609"/>
      <c r="AG5" s="609"/>
      <c r="AH5" s="609"/>
      <c r="AI5" s="609"/>
      <c r="AJ5" s="609"/>
      <c r="AK5" s="609"/>
      <c r="AL5" s="609"/>
      <c r="AM5" s="609"/>
      <c r="AN5" s="609"/>
      <c r="AO5" s="609"/>
      <c r="AP5" s="609"/>
      <c r="AW5" s="609"/>
    </row>
    <row r="6" spans="1:57" ht="12.75" customHeight="1" x14ac:dyDescent="0.35">
      <c r="B6" s="721"/>
      <c r="C6" s="721"/>
      <c r="D6" s="721"/>
      <c r="E6" s="721"/>
      <c r="F6" s="722"/>
      <c r="G6" s="722"/>
      <c r="H6" s="722"/>
      <c r="I6" s="723"/>
      <c r="J6" s="1"/>
      <c r="K6" s="1"/>
      <c r="U6" s="609"/>
      <c r="V6" s="609"/>
      <c r="W6" s="609"/>
      <c r="X6" s="609"/>
      <c r="Y6" s="609"/>
      <c r="Z6" s="609"/>
      <c r="AA6" s="609"/>
      <c r="AB6" s="609"/>
      <c r="AC6" s="609"/>
      <c r="AD6" s="609"/>
      <c r="AE6" s="609"/>
      <c r="AF6" s="609"/>
      <c r="AG6" s="609"/>
      <c r="AH6" s="609"/>
      <c r="AI6" s="609"/>
      <c r="AJ6" s="609"/>
      <c r="AK6" s="609"/>
      <c r="AL6" s="609"/>
      <c r="AM6" s="609"/>
      <c r="AN6" s="609"/>
      <c r="AO6" s="609"/>
      <c r="AP6" s="609"/>
      <c r="AW6" s="609"/>
    </row>
    <row r="7" spans="1:57" ht="12.75" customHeight="1" x14ac:dyDescent="0.35">
      <c r="B7" s="721"/>
      <c r="C7" s="721"/>
      <c r="D7" s="721"/>
      <c r="E7" s="721"/>
      <c r="F7" s="722"/>
      <c r="G7" s="722"/>
      <c r="H7" s="722"/>
      <c r="I7" s="723"/>
      <c r="J7" s="1"/>
      <c r="K7" s="1"/>
      <c r="U7" s="609"/>
      <c r="V7" s="609"/>
      <c r="W7" s="609"/>
      <c r="X7" s="609"/>
      <c r="Y7" s="609"/>
      <c r="Z7" s="609"/>
      <c r="AA7" s="609"/>
      <c r="AB7" s="609"/>
      <c r="AC7" s="609"/>
      <c r="AD7" s="609"/>
      <c r="AE7" s="609"/>
      <c r="AF7" s="609"/>
      <c r="AG7" s="609"/>
      <c r="AH7" s="609"/>
      <c r="AI7" s="609"/>
      <c r="AJ7" s="609"/>
      <c r="AK7" s="609"/>
      <c r="AL7" s="609"/>
      <c r="AM7" s="609"/>
      <c r="AN7" s="609"/>
      <c r="AO7" s="609"/>
      <c r="AP7" s="609"/>
      <c r="AW7" s="609"/>
    </row>
    <row r="8" spans="1:57" ht="12.75" customHeight="1" x14ac:dyDescent="0.35">
      <c r="B8" s="721"/>
      <c r="C8" s="721"/>
      <c r="D8" s="721"/>
      <c r="E8" s="721"/>
      <c r="F8" s="722"/>
      <c r="G8" s="722"/>
      <c r="H8" s="722"/>
      <c r="I8" s="723"/>
      <c r="J8" s="1"/>
      <c r="K8" s="1"/>
      <c r="U8" s="609"/>
      <c r="V8" s="609"/>
      <c r="W8" s="609"/>
      <c r="X8" s="609"/>
      <c r="Y8" s="609"/>
      <c r="Z8" s="609"/>
      <c r="AA8" s="609"/>
      <c r="AB8" s="609"/>
      <c r="AC8" s="609"/>
      <c r="AD8" s="609"/>
      <c r="AE8" s="609"/>
      <c r="AF8" s="609"/>
      <c r="AG8" s="609"/>
      <c r="AH8" s="609"/>
      <c r="AI8" s="609"/>
      <c r="AJ8" s="609"/>
      <c r="AK8" s="609"/>
      <c r="AL8" s="609"/>
      <c r="AM8" s="609"/>
      <c r="AN8" s="609"/>
      <c r="AO8" s="609"/>
      <c r="AP8" s="609"/>
      <c r="AW8" s="609"/>
    </row>
    <row r="9" spans="1:57" ht="12.75" customHeight="1" x14ac:dyDescent="0.35">
      <c r="B9" s="721"/>
      <c r="C9" s="721"/>
      <c r="D9" s="721"/>
      <c r="E9" s="721"/>
      <c r="F9" s="722"/>
      <c r="G9" s="722"/>
      <c r="H9" s="722"/>
      <c r="I9" s="723"/>
      <c r="J9" s="1"/>
      <c r="K9" s="1"/>
      <c r="U9" s="609"/>
      <c r="V9" s="609"/>
      <c r="W9" s="609"/>
      <c r="X9" s="609"/>
      <c r="Y9" s="609"/>
      <c r="Z9" s="609"/>
      <c r="AA9" s="609"/>
      <c r="AB9" s="609"/>
      <c r="AC9" s="609"/>
      <c r="AD9" s="609"/>
      <c r="AE9" s="609"/>
      <c r="AF9" s="609"/>
      <c r="AG9" s="609"/>
      <c r="AH9" s="609"/>
      <c r="AI9" s="609"/>
      <c r="AJ9" s="609"/>
      <c r="AK9" s="609"/>
      <c r="AL9" s="609"/>
      <c r="AM9" s="609"/>
      <c r="AN9" s="609"/>
      <c r="AO9" s="609"/>
      <c r="AP9" s="609"/>
      <c r="AW9" s="609"/>
    </row>
    <row r="10" spans="1:57" ht="33" customHeight="1" x14ac:dyDescent="0.25">
      <c r="B10" s="1517" t="str">
        <f>RS!$B$11</f>
        <v>General Fund Revenue Account Outturn</v>
      </c>
      <c r="C10" s="1517"/>
      <c r="D10" s="1517"/>
      <c r="E10" s="1517"/>
      <c r="F10" s="1517"/>
      <c r="G10" s="1517"/>
      <c r="H10" s="1517"/>
      <c r="I10" s="1517"/>
      <c r="J10" s="1517"/>
      <c r="K10" s="1517"/>
      <c r="L10" s="1517"/>
      <c r="M10" s="1517"/>
      <c r="N10" s="1517"/>
      <c r="O10" s="1517"/>
      <c r="P10" s="1517"/>
      <c r="Q10" s="1496"/>
      <c r="R10" s="99"/>
      <c r="S10" s="99"/>
      <c r="T10" s="99"/>
      <c r="U10" s="613"/>
      <c r="V10" s="613"/>
      <c r="W10" s="613"/>
      <c r="X10" s="609"/>
      <c r="Y10" s="609"/>
      <c r="Z10" s="609"/>
      <c r="AA10" s="609"/>
      <c r="AB10" s="609"/>
      <c r="AC10" s="609"/>
      <c r="AD10" s="609"/>
      <c r="AE10" s="609"/>
      <c r="AF10" s="609"/>
      <c r="AG10" s="609"/>
      <c r="AH10" s="609"/>
      <c r="AI10" s="609"/>
      <c r="AJ10" s="609"/>
      <c r="AK10" s="609"/>
      <c r="AL10" s="609"/>
      <c r="AM10" s="609"/>
      <c r="AN10" s="609"/>
      <c r="AO10" s="609"/>
      <c r="AP10" s="609"/>
      <c r="AW10" s="609"/>
    </row>
    <row r="11" spans="1:57" ht="33" customHeight="1" x14ac:dyDescent="0.25">
      <c r="B11" s="1518" t="str">
        <f>"TSR – TRADING ACCOUNT SERVICES RETURN "&amp;YearForm</f>
        <v>TSR – TRADING ACCOUNT SERVICES RETURN 2025-26</v>
      </c>
      <c r="C11" s="1519"/>
      <c r="D11" s="1519"/>
      <c r="E11" s="1519"/>
      <c r="F11" s="1519"/>
      <c r="G11" s="1519"/>
      <c r="H11" s="1519"/>
      <c r="I11" s="1519"/>
      <c r="J11" s="1519"/>
      <c r="K11" s="1519"/>
      <c r="L11" s="1519"/>
      <c r="M11" s="1519"/>
      <c r="N11" s="1519"/>
      <c r="O11" s="1519"/>
      <c r="P11" s="1519"/>
      <c r="Q11" s="1523"/>
      <c r="R11" s="99"/>
      <c r="S11" s="99"/>
      <c r="T11" s="99"/>
      <c r="U11" s="613"/>
      <c r="V11" s="613"/>
      <c r="W11" s="613"/>
      <c r="X11" s="609"/>
      <c r="Y11" s="609"/>
      <c r="Z11" s="609"/>
      <c r="AA11" s="609"/>
      <c r="AB11" s="609"/>
      <c r="AC11" s="609"/>
      <c r="AD11" s="609"/>
      <c r="AE11" s="609"/>
      <c r="AF11" s="609"/>
      <c r="AG11" s="609"/>
      <c r="AH11" s="609"/>
      <c r="AI11" s="609"/>
      <c r="AJ11" s="609"/>
      <c r="AK11" s="609"/>
      <c r="AL11" s="609"/>
      <c r="AM11" s="609"/>
      <c r="AN11" s="609"/>
      <c r="AO11" s="609"/>
      <c r="AP11" s="609"/>
      <c r="AW11" s="609"/>
    </row>
    <row r="12" spans="1:57" ht="14.15" customHeight="1" x14ac:dyDescent="0.35">
      <c r="B12" s="721"/>
      <c r="C12" s="721"/>
      <c r="D12" s="721"/>
      <c r="E12" s="721"/>
      <c r="F12" s="722"/>
      <c r="G12" s="722"/>
      <c r="H12" s="722"/>
      <c r="I12" s="723"/>
      <c r="J12" s="1"/>
      <c r="K12" s="1"/>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W12" s="609"/>
    </row>
    <row r="13" spans="1:57"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1"/>
      <c r="P13" s="1462"/>
      <c r="Q13" s="1462"/>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W13" s="609"/>
    </row>
    <row r="14" spans="1:57" ht="12" customHeight="1" x14ac:dyDescent="0.3">
      <c r="B14" s="22"/>
      <c r="C14" s="22"/>
      <c r="D14" s="22"/>
      <c r="E14" s="22"/>
      <c r="F14" s="22"/>
      <c r="G14" s="22"/>
      <c r="H14" s="22"/>
      <c r="I14" s="22"/>
      <c r="J14" s="22"/>
      <c r="K14" s="22"/>
      <c r="L14" s="22"/>
      <c r="M14" s="22"/>
      <c r="N14" s="726"/>
      <c r="O14" s="22"/>
      <c r="P14" s="22"/>
      <c r="Q14" s="22"/>
      <c r="R14" s="22"/>
      <c r="S14" s="22"/>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W14" s="609"/>
    </row>
    <row r="15" spans="1:57" ht="21" customHeight="1" x14ac:dyDescent="0.25">
      <c r="B15" s="1524" t="s">
        <v>725</v>
      </c>
      <c r="C15" s="1524"/>
      <c r="D15" s="1524"/>
      <c r="E15" s="1524"/>
      <c r="F15" s="1524"/>
      <c r="G15" s="1524"/>
      <c r="H15" s="1524"/>
      <c r="I15" s="1524"/>
      <c r="J15" s="1524"/>
      <c r="K15" s="1524"/>
      <c r="L15" s="1524"/>
      <c r="M15" s="1524"/>
      <c r="N15" s="1524"/>
      <c r="O15" s="1524"/>
      <c r="P15" s="1524"/>
      <c r="Q15" s="982"/>
      <c r="R15" s="345"/>
      <c r="S15" s="345"/>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W15" s="609"/>
    </row>
    <row r="16" spans="1:57" ht="21" customHeight="1" x14ac:dyDescent="0.25">
      <c r="B16" s="1516" t="s">
        <v>57</v>
      </c>
      <c r="C16" s="1516"/>
      <c r="D16" s="1516"/>
      <c r="E16" s="1516"/>
      <c r="F16" s="1516"/>
      <c r="G16" s="1516"/>
      <c r="H16" s="1516"/>
      <c r="I16" s="1516"/>
      <c r="J16" s="1516"/>
      <c r="K16" s="1516"/>
      <c r="L16" s="1516"/>
      <c r="M16" s="1516"/>
      <c r="N16" s="1516"/>
      <c r="O16" s="1516"/>
      <c r="P16" s="1516"/>
      <c r="Q16" s="1523"/>
      <c r="R16" s="22"/>
      <c r="S16" s="22"/>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W16" s="609"/>
    </row>
    <row r="17" spans="1:49" ht="20" x14ac:dyDescent="0.35">
      <c r="B17" s="727" t="str">
        <f>TRIM(LEFT(B$11,3))&amp;" error summary:"</f>
        <v>TSR error summary:</v>
      </c>
      <c r="C17" s="727"/>
      <c r="D17" s="728"/>
      <c r="E17" s="728"/>
      <c r="F17" s="22"/>
      <c r="G17" s="22"/>
      <c r="H17" s="22"/>
      <c r="I17" s="729"/>
      <c r="J17" s="22"/>
      <c r="K17" s="22"/>
      <c r="L17" s="730"/>
      <c r="M17" s="731"/>
      <c r="N17" s="726"/>
      <c r="O17" s="22"/>
      <c r="P17" s="22"/>
      <c r="Q17" s="22"/>
      <c r="R17" s="22"/>
      <c r="S17" s="22"/>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W17" s="609"/>
    </row>
    <row r="18" spans="1:49" ht="32.15" customHeight="1" x14ac:dyDescent="0.35">
      <c r="A18" s="280" t="s">
        <v>1381</v>
      </c>
      <c r="B18" s="732" t="str">
        <f>IF(AND(COUNTIF($K$33:$K$106,"Error")=0,COUNTIF($K$33:$K$106,"Warning")=0),("There are no outstanding errors or warnings with the "&amp;TRIM(LEFT(B$11,3))&amp;" section of the form. Thank you."),("There are "&amp;COUNTIF($K$33:$K$106,"Error")&amp;" outstanding error(s) and "&amp;COUNTIF($K$33:$K$106,"Warning")&amp;" outstanding warning(s) with the "&amp;TRIM(LEFT(B$11,3))&amp;" section of the form. Please resolve and/or explain these before submitting."))</f>
        <v>There are no outstanding errors or warnings with the TSR section of the form. Thank you.</v>
      </c>
      <c r="C18" s="732"/>
      <c r="D18" s="733"/>
      <c r="E18" s="733"/>
      <c r="F18" s="733"/>
      <c r="G18" s="733"/>
      <c r="H18" s="733"/>
      <c r="I18" s="733"/>
      <c r="J18" s="733"/>
      <c r="K18" s="733"/>
      <c r="L18" s="733"/>
      <c r="M18" s="733"/>
      <c r="N18" s="733"/>
      <c r="O18" s="22"/>
      <c r="P18" s="22"/>
      <c r="Q18" s="22"/>
      <c r="R18" s="22"/>
      <c r="S18" s="22"/>
      <c r="U18" s="609"/>
      <c r="V18" s="609"/>
      <c r="W18" s="609"/>
      <c r="X18" s="609"/>
      <c r="Y18" s="609"/>
      <c r="Z18" s="609"/>
      <c r="AA18" s="609"/>
      <c r="AB18" s="609"/>
      <c r="AC18" s="609"/>
      <c r="AD18" s="631" t="s">
        <v>53</v>
      </c>
      <c r="AE18" s="609"/>
      <c r="AF18" s="609"/>
      <c r="AG18" s="609"/>
      <c r="AH18" s="609"/>
      <c r="AI18" s="609"/>
      <c r="AJ18" s="609"/>
      <c r="AK18" s="609"/>
      <c r="AL18" s="609"/>
      <c r="AM18" s="609"/>
      <c r="AN18" s="609"/>
      <c r="AO18" s="609"/>
      <c r="AP18" s="609"/>
      <c r="AW18" s="609"/>
    </row>
    <row r="19" spans="1:49" ht="19.5" customHeight="1" x14ac:dyDescent="0.35">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4"/>
      <c r="D19" s="735"/>
      <c r="E19" s="735"/>
      <c r="F19" s="736"/>
      <c r="G19" s="736"/>
      <c r="H19" s="736"/>
      <c r="I19" s="736"/>
      <c r="J19" s="736"/>
      <c r="K19" s="736"/>
      <c r="L19" s="736"/>
      <c r="M19" s="736"/>
      <c r="N19" s="726"/>
      <c r="O19" s="22"/>
      <c r="P19" s="22"/>
      <c r="Q19" s="22"/>
      <c r="R19" s="22"/>
      <c r="S19" s="22"/>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W19" s="609"/>
    </row>
    <row r="20" spans="1:49" ht="20.5" customHeight="1" x14ac:dyDescent="0.35">
      <c r="B20" s="735"/>
      <c r="C20" s="735"/>
      <c r="D20" s="735"/>
      <c r="E20" s="735"/>
      <c r="F20" s="736"/>
      <c r="G20" s="736"/>
      <c r="H20" s="736"/>
      <c r="I20" s="736"/>
      <c r="J20" s="736"/>
      <c r="K20" s="736"/>
      <c r="L20" s="736"/>
      <c r="M20" s="736"/>
      <c r="N20" s="726"/>
      <c r="O20" s="22"/>
      <c r="P20" s="22"/>
      <c r="Q20" s="22"/>
      <c r="R20" s="22"/>
      <c r="S20" s="22"/>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W20" s="609"/>
    </row>
    <row r="21" spans="1:49" ht="25" x14ac:dyDescent="0.5">
      <c r="B21" s="737" t="str">
        <f>RS!$B$21</f>
        <v>Please select your authority name on Title page</v>
      </c>
      <c r="C21" s="737"/>
      <c r="D21" s="738"/>
      <c r="E21" s="738"/>
      <c r="F21" s="739"/>
      <c r="G21" s="739"/>
      <c r="H21" s="739"/>
      <c r="I21" s="739"/>
      <c r="J21" s="739"/>
      <c r="K21" s="739"/>
      <c r="L21" s="739"/>
      <c r="M21" s="739"/>
      <c r="N21" s="739"/>
      <c r="O21" s="739"/>
      <c r="P21" s="1"/>
      <c r="Q21" s="1"/>
      <c r="R21" s="1"/>
      <c r="S21" s="1"/>
      <c r="T21" s="1"/>
      <c r="U21" s="619"/>
      <c r="V21" s="609"/>
      <c r="W21" s="609"/>
      <c r="X21" s="609"/>
      <c r="Y21" s="609"/>
      <c r="Z21" s="609"/>
      <c r="AA21" s="609"/>
      <c r="AB21" s="609"/>
      <c r="AC21" s="609"/>
      <c r="AD21" s="609"/>
      <c r="AE21" s="609"/>
      <c r="AF21" s="609"/>
      <c r="AG21" s="609"/>
      <c r="AH21" s="609"/>
      <c r="AI21" s="609"/>
      <c r="AJ21" s="609"/>
      <c r="AK21" s="609"/>
      <c r="AL21" s="609"/>
      <c r="AM21" s="609"/>
      <c r="AN21" s="609"/>
      <c r="AO21" s="609"/>
      <c r="AP21" s="609"/>
      <c r="AW21" s="609"/>
    </row>
    <row r="22" spans="1:49" ht="18" x14ac:dyDescent="0.4">
      <c r="B22" s="740" t="str">
        <f>ContactDetails!C25</f>
        <v>E-code</v>
      </c>
      <c r="C22" s="740"/>
      <c r="D22" s="741"/>
      <c r="E22" s="741"/>
      <c r="F22" s="742"/>
      <c r="G22" s="742"/>
      <c r="H22" s="742"/>
      <c r="I22" s="743"/>
      <c r="J22" s="743"/>
      <c r="K22" s="744"/>
      <c r="L22" s="743"/>
      <c r="M22" s="743"/>
      <c r="N22" s="744"/>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W22" s="609"/>
    </row>
    <row r="23" spans="1:49" ht="18" x14ac:dyDescent="0.4">
      <c r="B23" s="741"/>
      <c r="C23" s="741"/>
      <c r="D23" s="741"/>
      <c r="E23" s="741"/>
      <c r="F23" s="742"/>
      <c r="G23" s="742"/>
      <c r="H23" s="742"/>
      <c r="I23" s="743"/>
      <c r="J23" s="743"/>
      <c r="K23" s="744"/>
      <c r="L23" s="743"/>
      <c r="M23" s="743"/>
      <c r="N23" s="744"/>
      <c r="O23" s="744"/>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W23" s="609"/>
    </row>
    <row r="24" spans="1:49" ht="15.5" x14ac:dyDescent="0.35">
      <c r="B24" s="1"/>
      <c r="C24" s="1"/>
      <c r="D24" s="1"/>
      <c r="E24" s="1"/>
      <c r="F24" s="1"/>
      <c r="G24" s="1"/>
      <c r="H24" s="1"/>
      <c r="I24" s="744"/>
      <c r="J24" s="822"/>
      <c r="K24" s="822"/>
      <c r="L24" s="822"/>
      <c r="M24" s="822"/>
      <c r="N24" s="822"/>
      <c r="S24" s="1"/>
      <c r="T24" s="1"/>
      <c r="U24" s="619"/>
      <c r="V24" s="609"/>
      <c r="W24" s="609"/>
      <c r="X24" s="609"/>
      <c r="Y24" s="609"/>
      <c r="Z24" s="609"/>
      <c r="AA24" s="609"/>
      <c r="AB24" s="609"/>
      <c r="AC24" s="609"/>
      <c r="AD24" s="609"/>
      <c r="AE24" s="609"/>
      <c r="AF24" s="609"/>
      <c r="AG24" s="609"/>
      <c r="AH24" s="609"/>
      <c r="AI24" s="609"/>
      <c r="AJ24" s="609"/>
      <c r="AK24" s="609"/>
      <c r="AL24" s="609"/>
      <c r="AM24" s="609"/>
      <c r="AN24" s="609"/>
      <c r="AO24" s="609"/>
      <c r="AP24" s="609"/>
      <c r="AW24" s="609"/>
    </row>
    <row r="25" spans="1:49" ht="15.5" x14ac:dyDescent="0.35">
      <c r="G25" s="445" t="s">
        <v>1382</v>
      </c>
      <c r="H25" s="445" t="s">
        <v>1383</v>
      </c>
      <c r="I25" s="749" t="s">
        <v>1384</v>
      </c>
      <c r="J25" s="822"/>
      <c r="K25" s="822"/>
      <c r="L25" s="822"/>
      <c r="M25" s="822"/>
      <c r="N25" s="822"/>
      <c r="S25" s="1"/>
      <c r="T25" s="1"/>
      <c r="U25" s="619"/>
      <c r="V25" s="609"/>
      <c r="W25" s="609"/>
      <c r="X25" s="609"/>
      <c r="Y25" s="609"/>
      <c r="Z25" s="609"/>
      <c r="AA25" s="609"/>
      <c r="AB25" s="609"/>
      <c r="AC25" s="609"/>
      <c r="AD25" s="609"/>
      <c r="AE25" s="609"/>
      <c r="AF25" s="609"/>
      <c r="AG25" s="609"/>
      <c r="AH25" s="609"/>
      <c r="AI25" s="609"/>
      <c r="AJ25" s="609"/>
      <c r="AK25" s="609"/>
      <c r="AL25" s="609"/>
      <c r="AM25" s="609"/>
      <c r="AN25" s="609"/>
      <c r="AO25" s="609"/>
      <c r="AP25" s="609"/>
      <c r="AW25" s="609"/>
    </row>
    <row r="26" spans="1:49" ht="15.5" x14ac:dyDescent="0.35">
      <c r="G26" s="445" t="s">
        <v>1385</v>
      </c>
      <c r="H26" s="445"/>
      <c r="I26" s="749" t="s">
        <v>1386</v>
      </c>
      <c r="J26" s="823"/>
      <c r="K26" s="823"/>
      <c r="L26" s="823"/>
      <c r="M26" s="823"/>
      <c r="N26" s="823"/>
      <c r="S26" s="739"/>
      <c r="T26" s="739"/>
      <c r="U26" s="824"/>
      <c r="V26" s="609"/>
      <c r="W26" s="609"/>
      <c r="X26" s="609"/>
      <c r="Y26" s="609"/>
      <c r="Z26" s="609"/>
      <c r="AA26" s="609"/>
      <c r="AB26" s="609"/>
      <c r="AC26" s="609"/>
      <c r="AD26" s="609"/>
      <c r="AE26" s="609"/>
      <c r="AF26" s="609"/>
      <c r="AG26" s="609"/>
      <c r="AH26" s="609"/>
      <c r="AI26" s="609"/>
      <c r="AJ26" s="609"/>
      <c r="AK26" s="609"/>
      <c r="AL26" s="609"/>
      <c r="AM26" s="609"/>
      <c r="AN26" s="609"/>
      <c r="AO26" s="609"/>
      <c r="AP26" s="609"/>
      <c r="AW26" s="609"/>
    </row>
    <row r="27" spans="1:49" ht="15.5" x14ac:dyDescent="0.35">
      <c r="G27" s="749" t="s">
        <v>60</v>
      </c>
      <c r="H27" s="749" t="s">
        <v>60</v>
      </c>
      <c r="I27" s="749" t="s">
        <v>60</v>
      </c>
      <c r="J27" s="825"/>
      <c r="K27" s="825"/>
      <c r="L27" s="825"/>
      <c r="M27" s="825"/>
      <c r="N27" s="825"/>
      <c r="S27" s="739"/>
      <c r="T27" s="742"/>
      <c r="U27" s="824"/>
      <c r="V27" s="609"/>
      <c r="W27" s="609"/>
      <c r="X27" s="609"/>
      <c r="Y27" s="609"/>
      <c r="Z27" s="609"/>
      <c r="AA27" s="609"/>
      <c r="AB27" s="609"/>
      <c r="AC27" s="609"/>
      <c r="AD27" s="609"/>
      <c r="AE27" s="609"/>
      <c r="AF27" s="609"/>
      <c r="AG27" s="609"/>
      <c r="AH27" s="609"/>
      <c r="AI27" s="609"/>
      <c r="AJ27" s="609"/>
      <c r="AK27" s="609"/>
      <c r="AL27" s="609"/>
      <c r="AM27" s="609"/>
      <c r="AN27" s="609"/>
      <c r="AO27" s="609"/>
      <c r="AP27" s="609"/>
      <c r="AW27" s="609"/>
    </row>
    <row r="28" spans="1:49" ht="15.5" x14ac:dyDescent="0.35">
      <c r="I28" s="749"/>
      <c r="J28" s="826"/>
      <c r="K28" s="826"/>
      <c r="L28" s="826"/>
      <c r="M28" s="826"/>
      <c r="N28" s="826"/>
      <c r="S28" s="739"/>
      <c r="T28" s="742"/>
      <c r="U28" s="827"/>
      <c r="V28" s="609"/>
      <c r="W28" s="609"/>
      <c r="X28" s="609"/>
      <c r="Y28" s="609"/>
      <c r="Z28" s="609"/>
      <c r="AA28" s="609"/>
      <c r="AB28" s="609"/>
      <c r="AC28" s="609"/>
      <c r="AD28" s="609"/>
      <c r="AE28" s="609"/>
      <c r="AF28" s="609"/>
      <c r="AG28" s="609"/>
      <c r="AH28" s="609"/>
      <c r="AI28" s="609"/>
      <c r="AJ28" s="609"/>
      <c r="AK28" s="609"/>
      <c r="AL28" s="609"/>
      <c r="AM28" s="609"/>
      <c r="AN28" s="609"/>
      <c r="AO28" s="609"/>
      <c r="AP28" s="609"/>
      <c r="AW28" s="609"/>
    </row>
    <row r="29" spans="1:49" ht="13" x14ac:dyDescent="0.3">
      <c r="G29" s="750" t="s">
        <v>61</v>
      </c>
      <c r="H29" s="750" t="s">
        <v>462</v>
      </c>
      <c r="I29" s="750" t="s">
        <v>1387</v>
      </c>
      <c r="J29" s="742"/>
      <c r="K29" s="742"/>
      <c r="L29" s="742"/>
      <c r="M29" s="742"/>
      <c r="N29" s="742"/>
      <c r="S29" s="1"/>
      <c r="T29" s="1"/>
      <c r="U29" s="619"/>
      <c r="V29" s="609"/>
      <c r="W29" s="609"/>
      <c r="X29" s="609"/>
      <c r="Y29" s="609"/>
      <c r="Z29" s="609"/>
      <c r="AA29" s="609"/>
      <c r="AB29" s="609"/>
      <c r="AC29" s="609"/>
      <c r="AD29" s="609"/>
      <c r="AE29" s="609"/>
      <c r="AF29" s="609"/>
      <c r="AG29" s="609"/>
      <c r="AH29" s="609"/>
      <c r="AI29" s="609"/>
      <c r="AJ29" s="609"/>
      <c r="AK29" s="609"/>
      <c r="AL29" s="609"/>
      <c r="AM29" s="609"/>
      <c r="AN29" s="609"/>
      <c r="AO29" s="609"/>
      <c r="AP29" s="609"/>
      <c r="AW29" s="609"/>
    </row>
    <row r="30" spans="1:49" ht="18" customHeight="1" x14ac:dyDescent="0.4">
      <c r="B30" s="804" t="s">
        <v>1388</v>
      </c>
      <c r="C30" s="804"/>
      <c r="D30" s="756"/>
      <c r="E30" s="756"/>
      <c r="F30" s="757"/>
      <c r="G30" s="757"/>
      <c r="H30" s="757"/>
      <c r="I30" s="757"/>
      <c r="J30" s="778"/>
      <c r="K30" s="757"/>
      <c r="L30" s="757"/>
      <c r="M30" s="778"/>
      <c r="N30" s="778"/>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W30" s="609"/>
    </row>
    <row r="31" spans="1:49" ht="12.75" customHeight="1" x14ac:dyDescent="0.4">
      <c r="B31" s="796" t="s">
        <v>253</v>
      </c>
      <c r="C31" s="796"/>
      <c r="D31" s="756"/>
      <c r="E31" s="756"/>
      <c r="F31" s="757"/>
      <c r="G31" s="828"/>
      <c r="H31" s="828"/>
      <c r="I31" s="757"/>
      <c r="J31" s="758"/>
      <c r="K31" s="757"/>
      <c r="L31" s="757"/>
      <c r="M31" s="758"/>
      <c r="N31" s="758"/>
      <c r="U31" s="609"/>
      <c r="V31" s="609"/>
      <c r="W31" s="609"/>
      <c r="X31" s="609"/>
      <c r="Y31" s="609"/>
      <c r="Z31" s="609"/>
      <c r="AA31" s="609"/>
      <c r="AB31" s="609"/>
      <c r="AC31" s="609"/>
      <c r="AD31" s="614" t="s">
        <v>62</v>
      </c>
      <c r="AE31" s="609"/>
      <c r="AF31" s="609"/>
      <c r="AG31" s="609"/>
      <c r="AH31" s="609"/>
      <c r="AI31" s="609"/>
      <c r="AJ31" s="609"/>
      <c r="AK31" s="609"/>
      <c r="AL31" s="609"/>
      <c r="AM31" s="609"/>
      <c r="AN31" s="609"/>
      <c r="AO31" s="609"/>
      <c r="AP31" s="609"/>
      <c r="AW31" s="609"/>
    </row>
    <row r="32" spans="1:49" ht="15.75" customHeight="1" x14ac:dyDescent="0.35">
      <c r="B32" s="829" t="s">
        <v>1389</v>
      </c>
      <c r="C32" s="829"/>
      <c r="D32" s="756"/>
      <c r="E32" s="756"/>
      <c r="F32" s="757"/>
      <c r="G32" s="757"/>
      <c r="H32" s="757"/>
      <c r="I32" s="757"/>
      <c r="J32" s="758"/>
      <c r="K32" s="757"/>
      <c r="L32" s="757"/>
      <c r="M32" s="758"/>
      <c r="N32" s="758"/>
      <c r="U32" s="609"/>
      <c r="V32" s="609"/>
      <c r="W32" s="609"/>
      <c r="X32" s="609"/>
      <c r="Y32" s="609"/>
      <c r="Z32" s="609"/>
      <c r="AA32" s="609"/>
      <c r="AB32" s="609"/>
      <c r="AC32" s="609"/>
      <c r="AD32" s="614" t="s">
        <v>64</v>
      </c>
      <c r="AE32" s="614" t="s">
        <v>65</v>
      </c>
      <c r="AF32" s="614" t="s">
        <v>66</v>
      </c>
      <c r="AG32" s="614" t="s">
        <v>67</v>
      </c>
      <c r="AH32" s="614" t="s">
        <v>68</v>
      </c>
      <c r="AI32" s="614" t="s">
        <v>69</v>
      </c>
      <c r="AJ32" s="614" t="s">
        <v>70</v>
      </c>
      <c r="AK32" s="614" t="s">
        <v>71</v>
      </c>
      <c r="AL32" s="614" t="s">
        <v>72</v>
      </c>
      <c r="AM32" s="614" t="s">
        <v>73</v>
      </c>
      <c r="AN32" s="609"/>
      <c r="AO32" s="609"/>
      <c r="AP32" s="609"/>
      <c r="AW32" s="609"/>
    </row>
    <row r="33" spans="1:49" ht="15.5" x14ac:dyDescent="0.35">
      <c r="A33" t="s">
        <v>1390</v>
      </c>
      <c r="B33" s="830">
        <v>260</v>
      </c>
      <c r="C33" s="800" t="s">
        <v>1391</v>
      </c>
      <c r="D33" s="760"/>
      <c r="E33" s="760"/>
      <c r="F33" s="795"/>
      <c r="G33" s="1224"/>
      <c r="H33" s="1224"/>
      <c r="I33" s="1428">
        <f>G33-H33</f>
        <v>0</v>
      </c>
      <c r="J33" s="757"/>
      <c r="K33" s="1181" t="str">
        <f t="shared" ref="K33" si="0">IF(ISERROR(L33),"",IF((L33="Error"),"add explanation",IF((L33="Warning"),"add explanation","")))</f>
        <v/>
      </c>
      <c r="L33" s="754" t="str">
        <f>IF(I33&lt;&gt;(G33-H33),"Error",IF(AM33="Warning","Warning",""))</f>
        <v/>
      </c>
      <c r="M33" s="755" t="str">
        <f>IF($L33="Error","A total column for "&amp;($C33)&amp;" does not match the sum of the components, please correct",IF($L33="Warning","This year's figure is over "&amp;AE33/1000&amp;" million and "&amp;(AD33*100)&amp;"% different to "&amp;TEXT(AF33,"#,###")&amp;" last year, please explain",""))</f>
        <v/>
      </c>
      <c r="N33" s="755"/>
      <c r="U33" s="609"/>
      <c r="V33" s="609"/>
      <c r="W33" s="609"/>
      <c r="X33" s="609"/>
      <c r="Y33" s="609"/>
      <c r="Z33" s="609"/>
      <c r="AA33" s="609"/>
      <c r="AB33" s="609"/>
      <c r="AC33" s="609"/>
      <c r="AD33" s="609">
        <f t="shared" ref="AD33:AD49" si="1">VLOOKUP("TSR"&amp;$B33,data_val_parameters,8,0)/100</f>
        <v>0.4</v>
      </c>
      <c r="AE33" s="609">
        <f t="shared" ref="AE33:AE49" si="2">VLOOKUP("TSR"&amp;$B33,data_val_parameters,7,0)</f>
        <v>10000</v>
      </c>
      <c r="AF33" s="609" t="e">
        <f t="shared" ref="AF33:AF49" si="3">VLOOKUP(LA_code,data_prev_year,MATCH("TSR"&amp;$B33&amp;"1",data_prev_year_headers,0),0)</f>
        <v>#N/A</v>
      </c>
      <c r="AG33" s="609" t="e">
        <f>AF33+AE33</f>
        <v>#N/A</v>
      </c>
      <c r="AH33" s="609" t="e">
        <f>AF33-AE33</f>
        <v>#N/A</v>
      </c>
      <c r="AI33" s="609" t="e">
        <f>AF33+(AF33*AD33)</f>
        <v>#N/A</v>
      </c>
      <c r="AJ33" s="609" t="e">
        <f>AF33-(AF33*AD33)</f>
        <v>#N/A</v>
      </c>
      <c r="AK33" s="609" t="e">
        <f>IF(OR(I33&lt;AH33,I33&gt;AG33),"Warning","")</f>
        <v>#N/A</v>
      </c>
      <c r="AL33" s="609" t="e">
        <f>IF(OR(I33&gt;(AI33),I33&lt;(AJ33)),"Warning","")</f>
        <v>#N/A</v>
      </c>
      <c r="AM33" s="609" t="str">
        <f>IF(OR(I33=0),"",IF(AND(AK33="Warning",AL33="Warning"),"Warning",""))</f>
        <v/>
      </c>
      <c r="AN33" s="609"/>
      <c r="AO33" s="609"/>
      <c r="AP33" s="609"/>
      <c r="AW33" s="609"/>
    </row>
    <row r="34" spans="1:49" ht="15.5" x14ac:dyDescent="0.35">
      <c r="A34" t="s">
        <v>1392</v>
      </c>
      <c r="B34" s="830">
        <v>281</v>
      </c>
      <c r="C34" s="785" t="s">
        <v>1393</v>
      </c>
      <c r="D34" s="3"/>
      <c r="E34" s="3"/>
      <c r="F34" s="795"/>
      <c r="G34" s="1224"/>
      <c r="H34" s="1224"/>
      <c r="I34" s="1428">
        <f t="shared" ref="I34:I54" si="4">G34-H34</f>
        <v>0</v>
      </c>
      <c r="J34" s="757"/>
      <c r="K34" s="1181" t="str">
        <f t="shared" ref="K34:K57" si="5">IF(ISERROR(L34),"",IF((L34="Error"),"add explanation",IF((L34="Warning"),"add explanation","")))</f>
        <v/>
      </c>
      <c r="L34" s="754" t="str">
        <f t="shared" ref="L34:L55" si="6">IF(I34&lt;&gt;(G34-H34),"Error",IF(AM34="Warning","Warning",""))</f>
        <v/>
      </c>
      <c r="M34" s="755" t="str">
        <f t="shared" ref="M34:M55" si="7">IF($L34="Error","A total column for "&amp;($C34)&amp;" does not match the sum of the components, please correct",IF($L34="Warning","This year's figure is over "&amp;AE34/1000&amp;" million and "&amp;(AD34*100)&amp;"% different to "&amp;TEXT(AF34,"#,###")&amp;" last year, please explain",""))</f>
        <v/>
      </c>
      <c r="N34" s="758"/>
      <c r="U34" s="609"/>
      <c r="V34" s="609"/>
      <c r="W34" s="609"/>
      <c r="X34" s="609"/>
      <c r="Y34" s="609"/>
      <c r="Z34" s="609"/>
      <c r="AA34" s="609"/>
      <c r="AB34" s="609"/>
      <c r="AC34" s="609"/>
      <c r="AD34" s="609">
        <f t="shared" si="1"/>
        <v>0.4</v>
      </c>
      <c r="AE34" s="609">
        <f t="shared" si="2"/>
        <v>10000</v>
      </c>
      <c r="AF34" s="609" t="e">
        <f t="shared" si="3"/>
        <v>#N/A</v>
      </c>
      <c r="AG34" s="609" t="e">
        <f t="shared" ref="AG34:AG61" si="8">AF34+AE34</f>
        <v>#N/A</v>
      </c>
      <c r="AH34" s="609" t="e">
        <f t="shared" ref="AH34:AH61" si="9">AF34-AE34</f>
        <v>#N/A</v>
      </c>
      <c r="AI34" s="609" t="e">
        <f t="shared" ref="AI34:AI61" si="10">AF34+(AF34*AD34)</f>
        <v>#N/A</v>
      </c>
      <c r="AJ34" s="609" t="e">
        <f t="shared" ref="AJ34:AJ61" si="11">AF34-(AF34*AD34)</f>
        <v>#N/A</v>
      </c>
      <c r="AK34" s="609" t="e">
        <f t="shared" ref="AK34:AK61" si="12">IF(OR(I34&lt;AH34,I34&gt;AG34),"Warning","")</f>
        <v>#N/A</v>
      </c>
      <c r="AL34" s="609" t="e">
        <f t="shared" ref="AL34:AL61" si="13">IF(OR(I34&gt;(AI34),I34&lt;(AJ34)),"Warning","")</f>
        <v>#N/A</v>
      </c>
      <c r="AM34" s="609" t="str">
        <f t="shared" ref="AM34:AM90" si="14">IF(OR(I34=0),"",IF(AND(AK34="Warning",AL34="Warning"),"Warning",""))</f>
        <v/>
      </c>
      <c r="AN34" s="609"/>
      <c r="AO34" s="609"/>
      <c r="AP34" s="609"/>
      <c r="AW34" s="609"/>
    </row>
    <row r="35" spans="1:49" ht="15.5" x14ac:dyDescent="0.35">
      <c r="A35" t="s">
        <v>1394</v>
      </c>
      <c r="B35" s="830">
        <v>282</v>
      </c>
      <c r="C35" s="800" t="s">
        <v>1395</v>
      </c>
      <c r="D35" s="760"/>
      <c r="E35" s="760"/>
      <c r="F35" s="765"/>
      <c r="G35" s="1224"/>
      <c r="H35" s="1224"/>
      <c r="I35" s="1428">
        <f t="shared" si="4"/>
        <v>0</v>
      </c>
      <c r="J35" s="757"/>
      <c r="K35" s="1181" t="str">
        <f t="shared" si="5"/>
        <v/>
      </c>
      <c r="L35" s="754" t="str">
        <f t="shared" si="6"/>
        <v/>
      </c>
      <c r="M35" s="755" t="str">
        <f t="shared" si="7"/>
        <v/>
      </c>
      <c r="N35" s="758"/>
      <c r="U35" s="609"/>
      <c r="V35" s="609"/>
      <c r="W35" s="609"/>
      <c r="X35" s="609"/>
      <c r="Y35" s="609"/>
      <c r="Z35" s="609"/>
      <c r="AA35" s="609"/>
      <c r="AB35" s="609"/>
      <c r="AC35" s="609"/>
      <c r="AD35" s="609">
        <f t="shared" si="1"/>
        <v>0.4</v>
      </c>
      <c r="AE35" s="609">
        <f t="shared" si="2"/>
        <v>10000</v>
      </c>
      <c r="AF35" s="609" t="e">
        <f t="shared" si="3"/>
        <v>#N/A</v>
      </c>
      <c r="AG35" s="609" t="e">
        <f t="shared" si="8"/>
        <v>#N/A</v>
      </c>
      <c r="AH35" s="609" t="e">
        <f t="shared" si="9"/>
        <v>#N/A</v>
      </c>
      <c r="AI35" s="609" t="e">
        <f t="shared" si="10"/>
        <v>#N/A</v>
      </c>
      <c r="AJ35" s="609" t="e">
        <f t="shared" si="11"/>
        <v>#N/A</v>
      </c>
      <c r="AK35" s="609" t="e">
        <f t="shared" si="12"/>
        <v>#N/A</v>
      </c>
      <c r="AL35" s="609" t="e">
        <f t="shared" si="13"/>
        <v>#N/A</v>
      </c>
      <c r="AM35" s="609" t="str">
        <f t="shared" si="14"/>
        <v/>
      </c>
      <c r="AN35" s="609"/>
      <c r="AO35" s="609"/>
      <c r="AP35" s="609"/>
      <c r="AW35" s="609"/>
    </row>
    <row r="36" spans="1:49" ht="15.5" x14ac:dyDescent="0.35">
      <c r="A36" t="s">
        <v>1396</v>
      </c>
      <c r="B36" s="830">
        <v>283</v>
      </c>
      <c r="C36" s="785" t="s">
        <v>1397</v>
      </c>
      <c r="D36" s="3"/>
      <c r="E36" s="3"/>
      <c r="F36" s="765"/>
      <c r="G36" s="1224"/>
      <c r="H36" s="1224"/>
      <c r="I36" s="1428">
        <f t="shared" si="4"/>
        <v>0</v>
      </c>
      <c r="J36" s="757"/>
      <c r="K36" s="1181" t="str">
        <f t="shared" si="5"/>
        <v/>
      </c>
      <c r="L36" s="754" t="str">
        <f t="shared" si="6"/>
        <v/>
      </c>
      <c r="M36" s="755" t="str">
        <f t="shared" si="7"/>
        <v/>
      </c>
      <c r="N36" s="758"/>
      <c r="U36" s="609"/>
      <c r="V36" s="609"/>
      <c r="W36" s="609"/>
      <c r="X36" s="609"/>
      <c r="Y36" s="609"/>
      <c r="Z36" s="609"/>
      <c r="AA36" s="609"/>
      <c r="AB36" s="609"/>
      <c r="AC36" s="609"/>
      <c r="AD36" s="609">
        <f t="shared" si="1"/>
        <v>0.4</v>
      </c>
      <c r="AE36" s="609">
        <f t="shared" si="2"/>
        <v>10000</v>
      </c>
      <c r="AF36" s="609" t="e">
        <f t="shared" si="3"/>
        <v>#N/A</v>
      </c>
      <c r="AG36" s="609" t="e">
        <f t="shared" si="8"/>
        <v>#N/A</v>
      </c>
      <c r="AH36" s="609" t="e">
        <f t="shared" si="9"/>
        <v>#N/A</v>
      </c>
      <c r="AI36" s="609" t="e">
        <f t="shared" si="10"/>
        <v>#N/A</v>
      </c>
      <c r="AJ36" s="609" t="e">
        <f t="shared" si="11"/>
        <v>#N/A</v>
      </c>
      <c r="AK36" s="609" t="e">
        <f t="shared" si="12"/>
        <v>#N/A</v>
      </c>
      <c r="AL36" s="609" t="e">
        <f t="shared" si="13"/>
        <v>#N/A</v>
      </c>
      <c r="AM36" s="609" t="str">
        <f t="shared" si="14"/>
        <v/>
      </c>
      <c r="AN36" s="609"/>
      <c r="AO36" s="609"/>
      <c r="AP36" s="609"/>
      <c r="AW36" s="609"/>
    </row>
    <row r="37" spans="1:49" ht="18" x14ac:dyDescent="0.4">
      <c r="A37" t="s">
        <v>1398</v>
      </c>
      <c r="B37" s="830">
        <v>284</v>
      </c>
      <c r="C37" s="831" t="s">
        <v>1399</v>
      </c>
      <c r="D37" s="799"/>
      <c r="E37" s="759"/>
      <c r="F37" s="795"/>
      <c r="G37" s="1224"/>
      <c r="H37" s="1224"/>
      <c r="I37" s="1428">
        <f t="shared" si="4"/>
        <v>0</v>
      </c>
      <c r="J37" s="757"/>
      <c r="K37" s="1181" t="str">
        <f t="shared" si="5"/>
        <v/>
      </c>
      <c r="L37" s="754" t="str">
        <f t="shared" si="6"/>
        <v/>
      </c>
      <c r="M37" s="755" t="str">
        <f t="shared" si="7"/>
        <v/>
      </c>
      <c r="N37" s="758"/>
      <c r="U37" s="609"/>
      <c r="V37" s="609"/>
      <c r="W37" s="609"/>
      <c r="X37" s="609"/>
      <c r="Y37" s="609"/>
      <c r="Z37" s="609"/>
      <c r="AA37" s="609"/>
      <c r="AB37" s="609"/>
      <c r="AC37" s="609"/>
      <c r="AD37" s="609">
        <f t="shared" si="1"/>
        <v>0.4</v>
      </c>
      <c r="AE37" s="609">
        <f t="shared" si="2"/>
        <v>10000</v>
      </c>
      <c r="AF37" s="609" t="e">
        <f t="shared" si="3"/>
        <v>#N/A</v>
      </c>
      <c r="AG37" s="609" t="e">
        <f t="shared" si="8"/>
        <v>#N/A</v>
      </c>
      <c r="AH37" s="609" t="e">
        <f t="shared" si="9"/>
        <v>#N/A</v>
      </c>
      <c r="AI37" s="609" t="e">
        <f t="shared" si="10"/>
        <v>#N/A</v>
      </c>
      <c r="AJ37" s="609" t="e">
        <f t="shared" si="11"/>
        <v>#N/A</v>
      </c>
      <c r="AK37" s="609" t="e">
        <f t="shared" si="12"/>
        <v>#N/A</v>
      </c>
      <c r="AL37" s="609" t="e">
        <f t="shared" si="13"/>
        <v>#N/A</v>
      </c>
      <c r="AM37" s="609" t="str">
        <f t="shared" si="14"/>
        <v/>
      </c>
      <c r="AN37" s="609"/>
      <c r="AO37" s="609"/>
      <c r="AP37" s="609"/>
      <c r="AW37" s="609"/>
    </row>
    <row r="38" spans="1:49" ht="15.5" x14ac:dyDescent="0.35">
      <c r="A38" t="s">
        <v>1400</v>
      </c>
      <c r="B38" s="830">
        <v>514</v>
      </c>
      <c r="C38" s="800" t="s">
        <v>1401</v>
      </c>
      <c r="D38" s="760"/>
      <c r="E38" s="760"/>
      <c r="F38" s="795"/>
      <c r="G38" s="1224"/>
      <c r="H38" s="1224"/>
      <c r="I38" s="1428">
        <f t="shared" si="4"/>
        <v>0</v>
      </c>
      <c r="J38" s="757"/>
      <c r="K38" s="1181" t="str">
        <f t="shared" si="5"/>
        <v/>
      </c>
      <c r="L38" s="754" t="str">
        <f t="shared" si="6"/>
        <v/>
      </c>
      <c r="M38" s="755" t="str">
        <f t="shared" si="7"/>
        <v/>
      </c>
      <c r="N38" s="758"/>
      <c r="U38" s="609"/>
      <c r="V38" s="609"/>
      <c r="W38" s="609"/>
      <c r="X38" s="609"/>
      <c r="Y38" s="609"/>
      <c r="Z38" s="609"/>
      <c r="AA38" s="609"/>
      <c r="AB38" s="609"/>
      <c r="AC38" s="609"/>
      <c r="AD38" s="609">
        <f t="shared" si="1"/>
        <v>0.4</v>
      </c>
      <c r="AE38" s="609">
        <f t="shared" si="2"/>
        <v>10000</v>
      </c>
      <c r="AF38" s="609" t="e">
        <f t="shared" si="3"/>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c r="AO38" s="609"/>
      <c r="AP38" s="609"/>
      <c r="AW38" s="609"/>
    </row>
    <row r="39" spans="1:49" ht="15.5" x14ac:dyDescent="0.35">
      <c r="A39" t="s">
        <v>1402</v>
      </c>
      <c r="B39" s="830">
        <v>515</v>
      </c>
      <c r="C39" s="832" t="s">
        <v>1403</v>
      </c>
      <c r="D39" s="833"/>
      <c r="E39" s="833"/>
      <c r="F39" s="802"/>
      <c r="G39" s="1224"/>
      <c r="H39" s="1224"/>
      <c r="I39" s="1428">
        <f t="shared" si="4"/>
        <v>0</v>
      </c>
      <c r="J39" s="757"/>
      <c r="K39" s="1181" t="str">
        <f t="shared" si="5"/>
        <v/>
      </c>
      <c r="L39" s="754" t="str">
        <f t="shared" si="6"/>
        <v/>
      </c>
      <c r="M39" s="755" t="str">
        <f t="shared" si="7"/>
        <v/>
      </c>
      <c r="N39" s="758"/>
      <c r="U39" s="609"/>
      <c r="V39" s="609"/>
      <c r="W39" s="609"/>
      <c r="X39" s="609"/>
      <c r="Y39" s="609"/>
      <c r="Z39" s="609"/>
      <c r="AA39" s="609"/>
      <c r="AB39" s="609"/>
      <c r="AC39" s="609"/>
      <c r="AD39" s="609">
        <f t="shared" si="1"/>
        <v>0.4</v>
      </c>
      <c r="AE39" s="609">
        <f t="shared" si="2"/>
        <v>10000</v>
      </c>
      <c r="AF39" s="609" t="e">
        <f t="shared" si="3"/>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c r="AO39" s="609"/>
      <c r="AP39" s="609"/>
      <c r="AW39" s="609"/>
    </row>
    <row r="40" spans="1:49" ht="15.5" x14ac:dyDescent="0.35">
      <c r="A40" t="s">
        <v>1404</v>
      </c>
      <c r="B40" s="830">
        <v>521</v>
      </c>
      <c r="C40" s="832" t="s">
        <v>1405</v>
      </c>
      <c r="D40" s="833"/>
      <c r="E40" s="833"/>
      <c r="F40" s="802"/>
      <c r="G40" s="1224"/>
      <c r="H40" s="1224"/>
      <c r="I40" s="1428">
        <f t="shared" si="4"/>
        <v>0</v>
      </c>
      <c r="J40" s="757"/>
      <c r="K40" s="1181" t="str">
        <f t="shared" si="5"/>
        <v/>
      </c>
      <c r="L40" s="754" t="str">
        <f t="shared" si="6"/>
        <v/>
      </c>
      <c r="M40" s="755" t="str">
        <f t="shared" si="7"/>
        <v/>
      </c>
      <c r="N40" s="758"/>
      <c r="U40" s="609"/>
      <c r="V40" s="609"/>
      <c r="W40" s="609"/>
      <c r="X40" s="609"/>
      <c r="Y40" s="609"/>
      <c r="Z40" s="609"/>
      <c r="AA40" s="609"/>
      <c r="AB40" s="609"/>
      <c r="AC40" s="609"/>
      <c r="AD40" s="609">
        <f t="shared" si="1"/>
        <v>0.4</v>
      </c>
      <c r="AE40" s="609">
        <f t="shared" si="2"/>
        <v>10000</v>
      </c>
      <c r="AF40" s="609" t="e">
        <f t="shared" si="3"/>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c r="AO40" s="609"/>
      <c r="AP40" s="609"/>
      <c r="AW40" s="609"/>
    </row>
    <row r="41" spans="1:49" ht="15.5" x14ac:dyDescent="0.35">
      <c r="A41" t="s">
        <v>1406</v>
      </c>
      <c r="B41" s="830">
        <v>525</v>
      </c>
      <c r="C41" s="800" t="s">
        <v>1407</v>
      </c>
      <c r="D41" s="760"/>
      <c r="E41" s="760"/>
      <c r="F41" s="747"/>
      <c r="G41" s="1224"/>
      <c r="H41" s="1224"/>
      <c r="I41" s="1428">
        <f t="shared" si="4"/>
        <v>0</v>
      </c>
      <c r="J41" s="757"/>
      <c r="K41" s="1181" t="str">
        <f t="shared" si="5"/>
        <v/>
      </c>
      <c r="L41" s="754" t="str">
        <f t="shared" si="6"/>
        <v/>
      </c>
      <c r="M41" s="755" t="str">
        <f t="shared" si="7"/>
        <v/>
      </c>
      <c r="N41" s="758"/>
      <c r="U41" s="609"/>
      <c r="V41" s="609"/>
      <c r="W41" s="609"/>
      <c r="X41" s="609"/>
      <c r="Y41" s="609"/>
      <c r="Z41" s="609"/>
      <c r="AA41" s="609"/>
      <c r="AB41" s="609"/>
      <c r="AC41" s="609"/>
      <c r="AD41" s="609">
        <f t="shared" si="1"/>
        <v>0.4</v>
      </c>
      <c r="AE41" s="609">
        <f t="shared" si="2"/>
        <v>10000</v>
      </c>
      <c r="AF41" s="609" t="e">
        <f t="shared" si="3"/>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c r="AO41" s="609"/>
      <c r="AP41" s="609"/>
      <c r="AW41" s="609"/>
    </row>
    <row r="42" spans="1:49" ht="15.5" x14ac:dyDescent="0.35">
      <c r="A42" t="s">
        <v>1408</v>
      </c>
      <c r="B42" s="830">
        <v>528</v>
      </c>
      <c r="C42" s="800" t="s">
        <v>1409</v>
      </c>
      <c r="D42" s="760"/>
      <c r="E42" s="760"/>
      <c r="F42" s="747"/>
      <c r="G42" s="1224"/>
      <c r="H42" s="1224"/>
      <c r="I42" s="1428">
        <f t="shared" si="4"/>
        <v>0</v>
      </c>
      <c r="J42" s="757"/>
      <c r="K42" s="1181" t="str">
        <f t="shared" si="5"/>
        <v/>
      </c>
      <c r="L42" s="754" t="str">
        <f t="shared" si="6"/>
        <v/>
      </c>
      <c r="M42" s="755" t="str">
        <f t="shared" si="7"/>
        <v/>
      </c>
      <c r="N42" s="758"/>
      <c r="U42" s="609"/>
      <c r="V42" s="609"/>
      <c r="W42" s="609"/>
      <c r="X42" s="609"/>
      <c r="Y42" s="609"/>
      <c r="Z42" s="609"/>
      <c r="AA42" s="609"/>
      <c r="AB42" s="609"/>
      <c r="AC42" s="609"/>
      <c r="AD42" s="609">
        <f t="shared" si="1"/>
        <v>0.4</v>
      </c>
      <c r="AE42" s="609">
        <f t="shared" si="2"/>
        <v>10000</v>
      </c>
      <c r="AF42" s="609" t="e">
        <f t="shared" si="3"/>
        <v>#N/A</v>
      </c>
      <c r="AG42" s="609" t="e">
        <f t="shared" si="8"/>
        <v>#N/A</v>
      </c>
      <c r="AH42" s="609" t="e">
        <f t="shared" si="9"/>
        <v>#N/A</v>
      </c>
      <c r="AI42" s="609" t="e">
        <f t="shared" si="10"/>
        <v>#N/A</v>
      </c>
      <c r="AJ42" s="609" t="e">
        <f t="shared" si="11"/>
        <v>#N/A</v>
      </c>
      <c r="AK42" s="609" t="e">
        <f t="shared" si="12"/>
        <v>#N/A</v>
      </c>
      <c r="AL42" s="609" t="e">
        <f t="shared" si="13"/>
        <v>#N/A</v>
      </c>
      <c r="AM42" s="609" t="str">
        <f t="shared" si="14"/>
        <v/>
      </c>
      <c r="AN42" s="609"/>
      <c r="AO42" s="609"/>
      <c r="AP42" s="609"/>
      <c r="AW42" s="609"/>
    </row>
    <row r="43" spans="1:49" ht="15.5" x14ac:dyDescent="0.35">
      <c r="A43" t="s">
        <v>1410</v>
      </c>
      <c r="B43" s="830">
        <v>535</v>
      </c>
      <c r="C43" s="800" t="s">
        <v>1411</v>
      </c>
      <c r="D43" s="760"/>
      <c r="E43" s="760"/>
      <c r="F43" s="795"/>
      <c r="G43" s="1224"/>
      <c r="H43" s="1224"/>
      <c r="I43" s="1428">
        <f t="shared" si="4"/>
        <v>0</v>
      </c>
      <c r="J43" s="757"/>
      <c r="K43" s="1181" t="str">
        <f t="shared" si="5"/>
        <v/>
      </c>
      <c r="L43" s="754" t="str">
        <f t="shared" si="6"/>
        <v/>
      </c>
      <c r="M43" s="755" t="str">
        <f t="shared" si="7"/>
        <v/>
      </c>
      <c r="N43" s="758"/>
      <c r="U43" s="609"/>
      <c r="V43" s="609"/>
      <c r="W43" s="609"/>
      <c r="X43" s="609"/>
      <c r="Y43" s="609"/>
      <c r="Z43" s="609"/>
      <c r="AA43" s="609"/>
      <c r="AB43" s="609"/>
      <c r="AC43" s="609"/>
      <c r="AD43" s="609">
        <f t="shared" si="1"/>
        <v>0.4</v>
      </c>
      <c r="AE43" s="609">
        <f t="shared" si="2"/>
        <v>10000</v>
      </c>
      <c r="AF43" s="609" t="e">
        <f t="shared" si="3"/>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c r="AO43" s="609"/>
      <c r="AP43" s="609"/>
      <c r="AW43" s="609"/>
    </row>
    <row r="44" spans="1:49" ht="18" x14ac:dyDescent="0.4">
      <c r="A44" t="s">
        <v>1412</v>
      </c>
      <c r="B44" s="830">
        <v>550</v>
      </c>
      <c r="C44" s="800" t="s">
        <v>1413</v>
      </c>
      <c r="D44" s="760"/>
      <c r="E44" s="760"/>
      <c r="F44" s="834"/>
      <c r="G44" s="1224"/>
      <c r="H44" s="1224"/>
      <c r="I44" s="1428">
        <f t="shared" si="4"/>
        <v>0</v>
      </c>
      <c r="J44" s="757"/>
      <c r="K44" s="1181" t="str">
        <f t="shared" si="5"/>
        <v/>
      </c>
      <c r="L44" s="754" t="str">
        <f t="shared" si="6"/>
        <v/>
      </c>
      <c r="M44" s="755" t="str">
        <f t="shared" si="7"/>
        <v/>
      </c>
      <c r="N44" s="758"/>
      <c r="U44" s="609"/>
      <c r="V44" s="609"/>
      <c r="W44" s="609"/>
      <c r="X44" s="609"/>
      <c r="Y44" s="609"/>
      <c r="Z44" s="609"/>
      <c r="AA44" s="609"/>
      <c r="AB44" s="609"/>
      <c r="AC44" s="609"/>
      <c r="AD44" s="609">
        <f t="shared" si="1"/>
        <v>0.4</v>
      </c>
      <c r="AE44" s="609">
        <f t="shared" si="2"/>
        <v>10000</v>
      </c>
      <c r="AF44" s="609" t="e">
        <f t="shared" si="3"/>
        <v>#N/A</v>
      </c>
      <c r="AG44" s="609" t="e">
        <f t="shared" si="8"/>
        <v>#N/A</v>
      </c>
      <c r="AH44" s="609" t="e">
        <f t="shared" si="9"/>
        <v>#N/A</v>
      </c>
      <c r="AI44" s="609" t="e">
        <f t="shared" si="10"/>
        <v>#N/A</v>
      </c>
      <c r="AJ44" s="609" t="e">
        <f t="shared" si="11"/>
        <v>#N/A</v>
      </c>
      <c r="AK44" s="609" t="e">
        <f t="shared" si="12"/>
        <v>#N/A</v>
      </c>
      <c r="AL44" s="609" t="e">
        <f t="shared" si="13"/>
        <v>#N/A</v>
      </c>
      <c r="AM44" s="609" t="str">
        <f t="shared" si="14"/>
        <v/>
      </c>
      <c r="AN44" s="609"/>
      <c r="AO44" s="609"/>
      <c r="AP44" s="609"/>
      <c r="AW44" s="609"/>
    </row>
    <row r="45" spans="1:49" ht="15.5" x14ac:dyDescent="0.35">
      <c r="A45" t="s">
        <v>1414</v>
      </c>
      <c r="B45" s="830">
        <v>580</v>
      </c>
      <c r="C45" s="830" t="s">
        <v>1206</v>
      </c>
      <c r="D45" s="751"/>
      <c r="E45" s="835"/>
      <c r="F45" s="3"/>
      <c r="G45" s="1224"/>
      <c r="H45" s="1224"/>
      <c r="I45" s="1428">
        <f t="shared" si="4"/>
        <v>0</v>
      </c>
      <c r="J45" s="757"/>
      <c r="K45" s="1181" t="str">
        <f t="shared" si="5"/>
        <v/>
      </c>
      <c r="L45" s="754" t="str">
        <f t="shared" si="6"/>
        <v/>
      </c>
      <c r="M45" s="755" t="str">
        <f t="shared" si="7"/>
        <v/>
      </c>
      <c r="N45" s="758"/>
      <c r="U45" s="609"/>
      <c r="V45" s="609"/>
      <c r="W45" s="609"/>
      <c r="X45" s="609"/>
      <c r="Y45" s="609"/>
      <c r="Z45" s="609"/>
      <c r="AA45" s="609"/>
      <c r="AB45" s="609"/>
      <c r="AC45" s="609"/>
      <c r="AD45" s="609">
        <f t="shared" si="1"/>
        <v>0.4</v>
      </c>
      <c r="AE45" s="609">
        <f t="shared" si="2"/>
        <v>10000</v>
      </c>
      <c r="AF45" s="609" t="e">
        <f t="shared" si="3"/>
        <v>#N/A</v>
      </c>
      <c r="AG45" s="609" t="e">
        <f t="shared" si="8"/>
        <v>#N/A</v>
      </c>
      <c r="AH45" s="609" t="e">
        <f t="shared" si="9"/>
        <v>#N/A</v>
      </c>
      <c r="AI45" s="609" t="e">
        <f t="shared" si="10"/>
        <v>#N/A</v>
      </c>
      <c r="AJ45" s="609" t="e">
        <f t="shared" si="11"/>
        <v>#N/A</v>
      </c>
      <c r="AK45" s="609" t="e">
        <f t="shared" si="12"/>
        <v>#N/A</v>
      </c>
      <c r="AL45" s="609" t="e">
        <f t="shared" si="13"/>
        <v>#N/A</v>
      </c>
      <c r="AM45" s="609" t="str">
        <f t="shared" si="14"/>
        <v/>
      </c>
      <c r="AN45" s="609"/>
      <c r="AO45" s="609"/>
      <c r="AP45" s="609"/>
      <c r="AW45" s="609"/>
    </row>
    <row r="46" spans="1:49" ht="15.5" x14ac:dyDescent="0.35">
      <c r="A46" t="s">
        <v>1415</v>
      </c>
      <c r="B46" s="830">
        <v>591</v>
      </c>
      <c r="C46" s="785" t="s">
        <v>1221</v>
      </c>
      <c r="D46" s="3"/>
      <c r="E46" s="3"/>
      <c r="F46" s="763"/>
      <c r="G46" s="1224"/>
      <c r="H46" s="1224"/>
      <c r="I46" s="1428">
        <f t="shared" si="4"/>
        <v>0</v>
      </c>
      <c r="J46" s="757"/>
      <c r="K46" s="1181" t="str">
        <f t="shared" si="5"/>
        <v/>
      </c>
      <c r="L46" s="754" t="str">
        <f t="shared" si="6"/>
        <v/>
      </c>
      <c r="M46" s="755" t="str">
        <f t="shared" si="7"/>
        <v/>
      </c>
      <c r="N46" s="758"/>
      <c r="U46" s="609"/>
      <c r="V46" s="609"/>
      <c r="W46" s="609"/>
      <c r="X46" s="609"/>
      <c r="Y46" s="609"/>
      <c r="Z46" s="609"/>
      <c r="AA46" s="609"/>
      <c r="AB46" s="609"/>
      <c r="AC46" s="609"/>
      <c r="AD46" s="609">
        <f t="shared" si="1"/>
        <v>0.4</v>
      </c>
      <c r="AE46" s="609">
        <f t="shared" si="2"/>
        <v>10000</v>
      </c>
      <c r="AF46" s="609" t="e">
        <f t="shared" si="3"/>
        <v>#N/A</v>
      </c>
      <c r="AG46" s="609" t="e">
        <f t="shared" si="8"/>
        <v>#N/A</v>
      </c>
      <c r="AH46" s="609" t="e">
        <f t="shared" si="9"/>
        <v>#N/A</v>
      </c>
      <c r="AI46" s="609" t="e">
        <f t="shared" si="10"/>
        <v>#N/A</v>
      </c>
      <c r="AJ46" s="609" t="e">
        <f t="shared" si="11"/>
        <v>#N/A</v>
      </c>
      <c r="AK46" s="609" t="e">
        <f t="shared" si="12"/>
        <v>#N/A</v>
      </c>
      <c r="AL46" s="609" t="e">
        <f t="shared" si="13"/>
        <v>#N/A</v>
      </c>
      <c r="AM46" s="609" t="str">
        <f t="shared" si="14"/>
        <v/>
      </c>
      <c r="AN46" s="609"/>
      <c r="AO46" s="609"/>
      <c r="AP46" s="609"/>
      <c r="AW46" s="609"/>
    </row>
    <row r="47" spans="1:49" ht="18" x14ac:dyDescent="0.4">
      <c r="A47" t="s">
        <v>1416</v>
      </c>
      <c r="B47" s="830">
        <v>594</v>
      </c>
      <c r="C47" s="831" t="s">
        <v>1417</v>
      </c>
      <c r="D47" s="799"/>
      <c r="E47" s="759"/>
      <c r="F47" s="747"/>
      <c r="G47" s="1224"/>
      <c r="H47" s="1224"/>
      <c r="I47" s="1428">
        <f t="shared" si="4"/>
        <v>0</v>
      </c>
      <c r="J47" s="757"/>
      <c r="K47" s="1181" t="str">
        <f t="shared" si="5"/>
        <v/>
      </c>
      <c r="L47" s="754" t="str">
        <f t="shared" si="6"/>
        <v/>
      </c>
      <c r="M47" s="755" t="str">
        <f t="shared" si="7"/>
        <v/>
      </c>
      <c r="N47" s="758"/>
      <c r="U47" s="609"/>
      <c r="V47" s="609"/>
      <c r="W47" s="609"/>
      <c r="X47" s="609"/>
      <c r="Y47" s="609"/>
      <c r="Z47" s="609"/>
      <c r="AA47" s="609"/>
      <c r="AB47" s="609"/>
      <c r="AC47" s="609"/>
      <c r="AD47" s="609">
        <f t="shared" si="1"/>
        <v>0.4</v>
      </c>
      <c r="AE47" s="609">
        <f t="shared" si="2"/>
        <v>10000</v>
      </c>
      <c r="AF47" s="609" t="e">
        <f t="shared" si="3"/>
        <v>#N/A</v>
      </c>
      <c r="AG47" s="609" t="e">
        <f t="shared" si="8"/>
        <v>#N/A</v>
      </c>
      <c r="AH47" s="609" t="e">
        <f t="shared" si="9"/>
        <v>#N/A</v>
      </c>
      <c r="AI47" s="609" t="e">
        <f t="shared" si="10"/>
        <v>#N/A</v>
      </c>
      <c r="AJ47" s="609" t="e">
        <f t="shared" si="11"/>
        <v>#N/A</v>
      </c>
      <c r="AK47" s="609" t="e">
        <f t="shared" si="12"/>
        <v>#N/A</v>
      </c>
      <c r="AL47" s="609" t="e">
        <f t="shared" si="13"/>
        <v>#N/A</v>
      </c>
      <c r="AM47" s="609" t="str">
        <f t="shared" si="14"/>
        <v/>
      </c>
      <c r="AN47" s="609"/>
      <c r="AO47" s="609"/>
      <c r="AP47" s="609"/>
      <c r="AW47" s="609"/>
    </row>
    <row r="48" spans="1:49" ht="15.5" x14ac:dyDescent="0.35">
      <c r="A48" t="s">
        <v>1418</v>
      </c>
      <c r="B48" s="830">
        <v>595</v>
      </c>
      <c r="C48" s="800" t="s">
        <v>1419</v>
      </c>
      <c r="D48" s="760"/>
      <c r="E48" s="760"/>
      <c r="F48" s="1"/>
      <c r="G48" s="1224"/>
      <c r="H48" s="1224"/>
      <c r="I48" s="1428">
        <f t="shared" si="4"/>
        <v>0</v>
      </c>
      <c r="J48" s="757"/>
      <c r="K48" s="1181" t="str">
        <f t="shared" si="5"/>
        <v/>
      </c>
      <c r="L48" s="754" t="str">
        <f t="shared" si="6"/>
        <v/>
      </c>
      <c r="M48" s="755" t="str">
        <f t="shared" si="7"/>
        <v/>
      </c>
      <c r="N48" s="758"/>
      <c r="U48" s="609"/>
      <c r="V48" s="609"/>
      <c r="W48" s="609"/>
      <c r="X48" s="609"/>
      <c r="Y48" s="609"/>
      <c r="Z48" s="609"/>
      <c r="AA48" s="609"/>
      <c r="AB48" s="609"/>
      <c r="AC48" s="609"/>
      <c r="AD48" s="609">
        <f t="shared" si="1"/>
        <v>0.4</v>
      </c>
      <c r="AE48" s="609">
        <f t="shared" si="2"/>
        <v>10000</v>
      </c>
      <c r="AF48" s="609" t="e">
        <f t="shared" si="3"/>
        <v>#N/A</v>
      </c>
      <c r="AG48" s="609" t="e">
        <f t="shared" si="8"/>
        <v>#N/A</v>
      </c>
      <c r="AH48" s="609" t="e">
        <f t="shared" si="9"/>
        <v>#N/A</v>
      </c>
      <c r="AI48" s="609" t="e">
        <f t="shared" si="10"/>
        <v>#N/A</v>
      </c>
      <c r="AJ48" s="609" t="e">
        <f t="shared" si="11"/>
        <v>#N/A</v>
      </c>
      <c r="AK48" s="609" t="e">
        <f t="shared" si="12"/>
        <v>#N/A</v>
      </c>
      <c r="AL48" s="609" t="e">
        <f t="shared" si="13"/>
        <v>#N/A</v>
      </c>
      <c r="AM48" s="609" t="str">
        <f t="shared" si="14"/>
        <v/>
      </c>
      <c r="AN48" s="609"/>
      <c r="AO48" s="609"/>
      <c r="AP48" s="609"/>
      <c r="AW48" s="609"/>
    </row>
    <row r="49" spans="1:49" ht="15.5" x14ac:dyDescent="0.35">
      <c r="A49" t="s">
        <v>1420</v>
      </c>
      <c r="B49" s="830">
        <v>597</v>
      </c>
      <c r="C49" s="800" t="s">
        <v>1421</v>
      </c>
      <c r="D49" s="760"/>
      <c r="E49" s="760"/>
      <c r="F49" s="1"/>
      <c r="G49" s="1224"/>
      <c r="H49" s="1224"/>
      <c r="I49" s="1428">
        <f t="shared" si="4"/>
        <v>0</v>
      </c>
      <c r="J49" s="757"/>
      <c r="K49" s="1181" t="str">
        <f t="shared" si="5"/>
        <v/>
      </c>
      <c r="L49" s="754" t="str">
        <f t="shared" si="6"/>
        <v/>
      </c>
      <c r="M49" s="755" t="str">
        <f t="shared" si="7"/>
        <v/>
      </c>
      <c r="N49" s="758"/>
      <c r="U49" s="609"/>
      <c r="V49" s="609"/>
      <c r="W49" s="609"/>
      <c r="X49" s="609"/>
      <c r="Y49" s="609"/>
      <c r="Z49" s="609"/>
      <c r="AA49" s="609"/>
      <c r="AB49" s="609"/>
      <c r="AC49" s="609"/>
      <c r="AD49" s="609">
        <f t="shared" si="1"/>
        <v>0.4</v>
      </c>
      <c r="AE49" s="609">
        <f t="shared" si="2"/>
        <v>10000</v>
      </c>
      <c r="AF49" s="609" t="e">
        <f t="shared" si="3"/>
        <v>#N/A</v>
      </c>
      <c r="AG49" s="609" t="e">
        <f t="shared" si="8"/>
        <v>#N/A</v>
      </c>
      <c r="AH49" s="609" t="e">
        <f t="shared" si="9"/>
        <v>#N/A</v>
      </c>
      <c r="AI49" s="609" t="e">
        <f t="shared" si="10"/>
        <v>#N/A</v>
      </c>
      <c r="AJ49" s="609" t="e">
        <f t="shared" si="11"/>
        <v>#N/A</v>
      </c>
      <c r="AK49" s="609" t="e">
        <f t="shared" si="12"/>
        <v>#N/A</v>
      </c>
      <c r="AL49" s="609" t="e">
        <f t="shared" si="13"/>
        <v>#N/A</v>
      </c>
      <c r="AM49" s="609" t="str">
        <f t="shared" si="14"/>
        <v/>
      </c>
      <c r="AN49" s="609"/>
      <c r="AO49" s="609"/>
      <c r="AP49" s="609"/>
      <c r="AW49" s="609"/>
    </row>
    <row r="50" spans="1:49" ht="15.5" x14ac:dyDescent="0.35">
      <c r="A50" t="s">
        <v>1422</v>
      </c>
      <c r="B50" s="830">
        <v>691</v>
      </c>
      <c r="C50" s="831"/>
      <c r="D50" s="115" t="s">
        <v>1423</v>
      </c>
      <c r="F50" s="1"/>
      <c r="G50" s="1224"/>
      <c r="H50" s="1224"/>
      <c r="I50" s="1428">
        <f t="shared" si="4"/>
        <v>0</v>
      </c>
      <c r="J50" s="757"/>
      <c r="K50" s="1181"/>
      <c r="L50" s="754"/>
      <c r="M50" s="755"/>
      <c r="N50" s="758"/>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W50" s="609"/>
    </row>
    <row r="51" spans="1:49" ht="15.5" x14ac:dyDescent="0.35">
      <c r="A51" t="s">
        <v>1424</v>
      </c>
      <c r="B51" s="830">
        <v>692</v>
      </c>
      <c r="C51" s="836"/>
      <c r="D51" s="115" t="s">
        <v>1423</v>
      </c>
      <c r="F51" s="1"/>
      <c r="G51" s="1224"/>
      <c r="H51" s="1224"/>
      <c r="I51" s="1428">
        <f t="shared" si="4"/>
        <v>0</v>
      </c>
      <c r="J51" s="757"/>
      <c r="K51" s="1181"/>
      <c r="L51" s="754"/>
      <c r="M51" s="755"/>
      <c r="N51" s="758"/>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W51" s="609"/>
    </row>
    <row r="52" spans="1:49" ht="15.5" x14ac:dyDescent="0.35">
      <c r="A52" t="s">
        <v>1425</v>
      </c>
      <c r="B52" s="830">
        <v>693</v>
      </c>
      <c r="C52" s="800"/>
      <c r="D52" s="115" t="s">
        <v>1423</v>
      </c>
      <c r="F52" s="1"/>
      <c r="G52" s="1224"/>
      <c r="H52" s="1224"/>
      <c r="I52" s="1428">
        <f t="shared" si="4"/>
        <v>0</v>
      </c>
      <c r="J52" s="757"/>
      <c r="K52" s="1181"/>
      <c r="L52" s="754"/>
      <c r="M52" s="755"/>
      <c r="N52" s="758"/>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W52" s="609"/>
    </row>
    <row r="53" spans="1:49" ht="15.5" x14ac:dyDescent="0.35">
      <c r="A53" t="s">
        <v>1426</v>
      </c>
      <c r="B53" s="830">
        <v>694</v>
      </c>
      <c r="C53" s="800"/>
      <c r="D53" s="115" t="s">
        <v>1423</v>
      </c>
      <c r="F53" s="1"/>
      <c r="G53" s="1224"/>
      <c r="H53" s="1224"/>
      <c r="I53" s="1428">
        <f t="shared" si="4"/>
        <v>0</v>
      </c>
      <c r="J53" s="757"/>
      <c r="K53" s="1181"/>
      <c r="L53" s="754"/>
      <c r="M53" s="755"/>
      <c r="N53" s="758"/>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W53" s="609"/>
    </row>
    <row r="54" spans="1:49" ht="15.5" x14ac:dyDescent="0.35">
      <c r="A54" t="s">
        <v>1427</v>
      </c>
      <c r="B54" s="830">
        <v>695</v>
      </c>
      <c r="C54" s="800"/>
      <c r="D54" s="115" t="s">
        <v>1423</v>
      </c>
      <c r="F54" s="1"/>
      <c r="G54" s="1224"/>
      <c r="H54" s="1224"/>
      <c r="I54" s="1428">
        <f t="shared" si="4"/>
        <v>0</v>
      </c>
      <c r="J54" s="757"/>
      <c r="K54" s="1181"/>
      <c r="L54" s="754"/>
      <c r="M54" s="755"/>
      <c r="N54" s="758"/>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W54" s="609"/>
    </row>
    <row r="55" spans="1:49" ht="18" x14ac:dyDescent="0.4">
      <c r="A55" s="837" t="s">
        <v>137</v>
      </c>
      <c r="B55" s="838">
        <v>696</v>
      </c>
      <c r="C55" s="838" t="s">
        <v>1428</v>
      </c>
      <c r="D55" s="794"/>
      <c r="E55" s="759"/>
      <c r="F55" s="345"/>
      <c r="G55" s="1225">
        <f>SUM(G33:G54)</f>
        <v>0</v>
      </c>
      <c r="H55" s="1225">
        <f>SUM(H33:H54)</f>
        <v>0</v>
      </c>
      <c r="I55" s="1428">
        <f>SUM(I33:I54)</f>
        <v>0</v>
      </c>
      <c r="J55" s="757"/>
      <c r="K55" s="1181" t="str">
        <f t="shared" si="5"/>
        <v/>
      </c>
      <c r="L55" s="754" t="str">
        <f t="shared" si="6"/>
        <v/>
      </c>
      <c r="M55" s="755" t="str">
        <f t="shared" si="7"/>
        <v/>
      </c>
      <c r="N55" s="758"/>
      <c r="U55" s="609"/>
      <c r="V55" s="609"/>
      <c r="W55" s="609"/>
      <c r="X55" s="609"/>
      <c r="Y55" s="609"/>
      <c r="Z55" s="609"/>
      <c r="AA55" s="609"/>
      <c r="AB55" s="609"/>
      <c r="AC55" s="609"/>
      <c r="AD55" s="609">
        <f>VLOOKUP("TSR"&amp;$B55,data_val_parameters,8,0)/100</f>
        <v>0.4</v>
      </c>
      <c r="AE55" s="609">
        <f>VLOOKUP("TSR"&amp;$B55,data_val_parameters,7,0)</f>
        <v>10000</v>
      </c>
      <c r="AF55" s="609" t="e">
        <f>VLOOKUP(LA_code,data_prev_year,MATCH("TSR"&amp;$B55&amp;"1",data_prev_year_headers,0),0)</f>
        <v>#N/A</v>
      </c>
      <c r="AG55" s="609" t="e">
        <f t="shared" si="8"/>
        <v>#N/A</v>
      </c>
      <c r="AH55" s="609" t="e">
        <f t="shared" si="9"/>
        <v>#N/A</v>
      </c>
      <c r="AI55" s="609" t="e">
        <f t="shared" si="10"/>
        <v>#N/A</v>
      </c>
      <c r="AJ55" s="609" t="e">
        <f t="shared" si="11"/>
        <v>#N/A</v>
      </c>
      <c r="AK55" s="609" t="e">
        <f t="shared" si="12"/>
        <v>#N/A</v>
      </c>
      <c r="AL55" s="609" t="e">
        <f t="shared" si="13"/>
        <v>#N/A</v>
      </c>
      <c r="AM55" s="609" t="str">
        <f t="shared" si="14"/>
        <v/>
      </c>
      <c r="AN55" s="609"/>
      <c r="AO55" s="609"/>
      <c r="AP55" s="609"/>
      <c r="AW55" s="609"/>
    </row>
    <row r="56" spans="1:49" ht="15.5" x14ac:dyDescent="0.35">
      <c r="A56" t="s">
        <v>325</v>
      </c>
      <c r="B56" s="838">
        <v>697</v>
      </c>
      <c r="C56" s="838" t="s">
        <v>1429</v>
      </c>
      <c r="D56" s="794"/>
      <c r="E56" s="760"/>
      <c r="F56" s="345"/>
      <c r="G56" s="345"/>
      <c r="H56" s="345"/>
      <c r="I56" s="839">
        <f>H105</f>
        <v>0</v>
      </c>
      <c r="J56" s="757"/>
      <c r="K56" s="1181" t="str">
        <f t="shared" si="5"/>
        <v/>
      </c>
      <c r="L56" s="754" t="str">
        <f>IF(AM56="Warning","Warning","")</f>
        <v/>
      </c>
      <c r="M56" s="755" t="str">
        <f>IF($L56="Warning","This year's figure is over "&amp;AE56/1000&amp;" million and "&amp;(AD56*100)&amp;"% different to "&amp;TEXT(AF56,"#,###")&amp;" last year, please explain","")</f>
        <v/>
      </c>
      <c r="N56" s="758"/>
      <c r="U56" s="609"/>
      <c r="V56" s="609"/>
      <c r="W56" s="609"/>
      <c r="X56" s="609"/>
      <c r="Y56" s="609"/>
      <c r="Z56" s="609"/>
      <c r="AA56" s="609"/>
      <c r="AB56" s="609"/>
      <c r="AC56" s="609"/>
      <c r="AD56" s="609">
        <f>VLOOKUP("TSR"&amp;$B56,data_val_parameters,8,0)/100</f>
        <v>0.4</v>
      </c>
      <c r="AE56" s="609">
        <f>VLOOKUP("TSR"&amp;$B56,data_val_parameters,7,0)</f>
        <v>10000</v>
      </c>
      <c r="AF56" s="609" t="e">
        <f>VLOOKUP(LA_code,data_prev_year,MATCH("TSR"&amp;$B56&amp;"1",data_prev_year_headers,0),0)</f>
        <v>#N/A</v>
      </c>
      <c r="AG56" s="609" t="e">
        <f t="shared" si="8"/>
        <v>#N/A</v>
      </c>
      <c r="AH56" s="609" t="e">
        <f t="shared" si="9"/>
        <v>#N/A</v>
      </c>
      <c r="AI56" s="609" t="e">
        <f t="shared" si="10"/>
        <v>#N/A</v>
      </c>
      <c r="AJ56" s="609" t="e">
        <f t="shared" si="11"/>
        <v>#N/A</v>
      </c>
      <c r="AK56" s="609" t="e">
        <f t="shared" si="12"/>
        <v>#N/A</v>
      </c>
      <c r="AL56" s="609" t="e">
        <f t="shared" si="13"/>
        <v>#N/A</v>
      </c>
      <c r="AM56" s="609" t="str">
        <f t="shared" si="14"/>
        <v/>
      </c>
      <c r="AN56" s="609"/>
      <c r="AO56" s="609"/>
      <c r="AP56" s="609"/>
      <c r="AW56" s="609"/>
    </row>
    <row r="57" spans="1:49" ht="18" x14ac:dyDescent="0.4">
      <c r="A57" t="s">
        <v>143</v>
      </c>
      <c r="B57" s="838">
        <v>698</v>
      </c>
      <c r="C57" s="838" t="s">
        <v>1430</v>
      </c>
      <c r="D57" s="794"/>
      <c r="E57" s="759"/>
      <c r="F57" s="345"/>
      <c r="G57" s="840"/>
      <c r="H57" s="840"/>
      <c r="I57" s="839">
        <f>SUM(I55:I56)</f>
        <v>0</v>
      </c>
      <c r="J57" s="758"/>
      <c r="K57" s="1181" t="str">
        <f t="shared" si="5"/>
        <v/>
      </c>
      <c r="L57" s="754" t="str">
        <f>IF(AM57="Warning","Warning","")</f>
        <v/>
      </c>
      <c r="M57" s="755" t="str">
        <f>IF($L57="Warning","This year's figure is over "&amp;AE57/1000&amp;" million and "&amp;(AD57*100)&amp;"% different to "&amp;TEXT(AF57,"#,###")&amp;" last year, please explain","")</f>
        <v/>
      </c>
      <c r="N57" s="758"/>
      <c r="U57" s="609"/>
      <c r="V57" s="609"/>
      <c r="W57" s="609"/>
      <c r="X57" s="609"/>
      <c r="Y57" s="609"/>
      <c r="Z57" s="609"/>
      <c r="AA57" s="609"/>
      <c r="AB57" s="609"/>
      <c r="AC57" s="609"/>
      <c r="AD57" s="609">
        <f>VLOOKUP("TSR"&amp;$B57,data_val_parameters,8,0)/100</f>
        <v>0.5</v>
      </c>
      <c r="AE57" s="609">
        <f>VLOOKUP("TSR"&amp;$B57,data_val_parameters,7,0)</f>
        <v>10000</v>
      </c>
      <c r="AF57" s="609" t="e">
        <f>VLOOKUP(LA_code,data_prev_year,MATCH("TSR"&amp;$B57&amp;"1",data_prev_year_headers,0),0)</f>
        <v>#N/A</v>
      </c>
      <c r="AG57" s="609" t="e">
        <f t="shared" si="8"/>
        <v>#N/A</v>
      </c>
      <c r="AH57" s="609" t="e">
        <f t="shared" si="9"/>
        <v>#N/A</v>
      </c>
      <c r="AI57" s="609" t="e">
        <f t="shared" si="10"/>
        <v>#N/A</v>
      </c>
      <c r="AJ57" s="609" t="e">
        <f t="shared" si="11"/>
        <v>#N/A</v>
      </c>
      <c r="AK57" s="609" t="e">
        <f t="shared" si="12"/>
        <v>#N/A</v>
      </c>
      <c r="AL57" s="609" t="e">
        <f t="shared" si="13"/>
        <v>#N/A</v>
      </c>
      <c r="AM57" s="609" t="str">
        <f t="shared" si="14"/>
        <v/>
      </c>
      <c r="AN57" s="609"/>
      <c r="AO57" s="609"/>
      <c r="AP57" s="609"/>
      <c r="AW57" s="609"/>
    </row>
    <row r="58" spans="1:49" ht="15.5" x14ac:dyDescent="0.35">
      <c r="B58" s="760"/>
      <c r="C58" s="760"/>
      <c r="D58" s="760"/>
      <c r="E58" s="760"/>
      <c r="F58" s="1"/>
      <c r="G58" s="1"/>
      <c r="H58" s="1"/>
      <c r="I58" s="104" t="s">
        <v>743</v>
      </c>
      <c r="J58" s="757"/>
      <c r="K58" s="1189"/>
      <c r="L58" s="757"/>
      <c r="M58" s="757"/>
      <c r="N58" s="758"/>
      <c r="R58" s="841"/>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W58" s="609"/>
    </row>
    <row r="59" spans="1:49" ht="15.5" x14ac:dyDescent="0.35">
      <c r="B59" s="760"/>
      <c r="C59" s="760"/>
      <c r="D59" s="760"/>
      <c r="E59" s="760"/>
      <c r="F59" s="1"/>
      <c r="G59" s="1"/>
      <c r="H59" s="1"/>
      <c r="I59" s="758"/>
      <c r="J59" s="757"/>
      <c r="K59" s="1189"/>
      <c r="L59" s="757"/>
      <c r="M59" s="757"/>
      <c r="N59" s="758"/>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W59" s="609"/>
    </row>
    <row r="60" spans="1:49" ht="18" x14ac:dyDescent="0.4">
      <c r="B60" s="793" t="s">
        <v>1431</v>
      </c>
      <c r="C60" s="793"/>
      <c r="D60" s="793"/>
      <c r="E60" s="760"/>
      <c r="F60" s="1"/>
      <c r="G60" s="1"/>
      <c r="H60" s="1"/>
      <c r="I60" s="758"/>
      <c r="J60" s="757"/>
      <c r="K60" s="1189"/>
      <c r="L60" s="757"/>
      <c r="M60" s="757"/>
      <c r="N60" s="758"/>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W60" s="609"/>
    </row>
    <row r="61" spans="1:49" ht="15.5" x14ac:dyDescent="0.35">
      <c r="A61" t="s">
        <v>1432</v>
      </c>
      <c r="B61" s="830">
        <v>716</v>
      </c>
      <c r="C61" s="800" t="s">
        <v>1433</v>
      </c>
      <c r="D61" s="760"/>
      <c r="E61" s="760"/>
      <c r="F61" s="1"/>
      <c r="G61" s="1224"/>
      <c r="H61" s="1224"/>
      <c r="I61" s="1428">
        <f>G61-H61</f>
        <v>0</v>
      </c>
      <c r="J61" s="757"/>
      <c r="K61" s="1181" t="str">
        <f t="shared" ref="K61" si="15">IF(ISERROR(L61),"",IF((L61="Error"),"add explanation",IF((L61="Warning"),"add explanation","")))</f>
        <v/>
      </c>
      <c r="L61" s="754" t="str">
        <f t="shared" ref="L61" si="16">IF(I61&lt;&gt;(G61-H61),"Error",IF(AM61="Warning","Warning",""))</f>
        <v/>
      </c>
      <c r="M61" s="755" t="str">
        <f t="shared" ref="M61" si="17">IF($L61="Error","A total column for "&amp;($C61)&amp;" does not match the sum of the components, please correct",IF($L61="Warning","This year's figure is over "&amp;AE61/1000&amp;" million and "&amp;(AD61*100)&amp;"% different to "&amp;TEXT(AF61,"#,###")&amp;" last year, please explain",""))</f>
        <v/>
      </c>
      <c r="N61" s="758"/>
      <c r="U61" s="609"/>
      <c r="V61" s="609"/>
      <c r="W61" s="609"/>
      <c r="X61" s="609"/>
      <c r="Y61" s="609"/>
      <c r="Z61" s="609"/>
      <c r="AA61" s="609"/>
      <c r="AB61" s="609"/>
      <c r="AC61" s="609"/>
      <c r="AD61" s="609">
        <f t="shared" ref="AD61:AD82" si="18">VLOOKUP("TSR"&amp;$B61,data_val_parameters,8,0)/100</f>
        <v>0.4</v>
      </c>
      <c r="AE61" s="609">
        <f t="shared" ref="AE61:AE82" si="19">VLOOKUP("TSR"&amp;$B61,data_val_parameters,7,0)</f>
        <v>10000</v>
      </c>
      <c r="AF61" s="609" t="e">
        <f t="shared" ref="AF61:AF82" si="20">VLOOKUP(LA_code,data_prev_year,MATCH("TSR"&amp;$B61&amp;"1",data_prev_year_headers,0),0)</f>
        <v>#N/A</v>
      </c>
      <c r="AG61" s="609" t="e">
        <f t="shared" si="8"/>
        <v>#N/A</v>
      </c>
      <c r="AH61" s="609" t="e">
        <f t="shared" si="9"/>
        <v>#N/A</v>
      </c>
      <c r="AI61" s="609" t="e">
        <f t="shared" si="10"/>
        <v>#N/A</v>
      </c>
      <c r="AJ61" s="609" t="e">
        <f t="shared" si="11"/>
        <v>#N/A</v>
      </c>
      <c r="AK61" s="609" t="e">
        <f t="shared" si="12"/>
        <v>#N/A</v>
      </c>
      <c r="AL61" s="609" t="e">
        <f t="shared" si="13"/>
        <v>#N/A</v>
      </c>
      <c r="AM61" s="609" t="str">
        <f t="shared" si="14"/>
        <v/>
      </c>
      <c r="AN61" s="609"/>
      <c r="AO61" s="609"/>
      <c r="AP61" s="609"/>
      <c r="AW61" s="609"/>
    </row>
    <row r="62" spans="1:49" ht="15.5" x14ac:dyDescent="0.35">
      <c r="A62" t="s">
        <v>1434</v>
      </c>
      <c r="B62" s="830">
        <v>717</v>
      </c>
      <c r="C62" s="800" t="s">
        <v>1435</v>
      </c>
      <c r="D62" s="760"/>
      <c r="E62" s="760"/>
      <c r="F62" s="1"/>
      <c r="G62" s="1224"/>
      <c r="H62" s="1224"/>
      <c r="I62" s="1428">
        <f t="shared" ref="I62:I87" si="21">G62-H62</f>
        <v>0</v>
      </c>
      <c r="J62" s="757"/>
      <c r="K62" s="1181" t="str">
        <f t="shared" ref="K62:K88" si="22">IF(ISERROR(L62),"",IF((L62="Error"),"add explanation",IF((L62="Warning"),"add explanation","")))</f>
        <v/>
      </c>
      <c r="L62" s="754" t="str">
        <f t="shared" ref="L62:L88" si="23">IF(I62&lt;&gt;(G62-H62),"Error",IF(AM62="Warning","Warning",""))</f>
        <v/>
      </c>
      <c r="M62" s="755" t="str">
        <f t="shared" ref="M62:M88" si="24">IF($L62="Error","A total column for "&amp;($C62)&amp;" does not match the sum of the components, please correct",IF($L62="Warning","This year's figure is over "&amp;AE62/1000&amp;" million and "&amp;(AD62*100)&amp;"% different to "&amp;TEXT(AF62,"#,###")&amp;" last year, please explain",""))</f>
        <v/>
      </c>
      <c r="N62" s="758"/>
      <c r="U62" s="609"/>
      <c r="V62" s="609"/>
      <c r="W62" s="609"/>
      <c r="X62" s="609"/>
      <c r="Y62" s="609"/>
      <c r="Z62" s="609"/>
      <c r="AA62" s="609"/>
      <c r="AB62" s="609"/>
      <c r="AC62" s="609"/>
      <c r="AD62" s="609">
        <f t="shared" si="18"/>
        <v>0.4</v>
      </c>
      <c r="AE62" s="609">
        <f t="shared" si="19"/>
        <v>10000</v>
      </c>
      <c r="AF62" s="609" t="e">
        <f t="shared" si="20"/>
        <v>#N/A</v>
      </c>
      <c r="AG62" s="609" t="e">
        <f t="shared" ref="AG62:AG105" si="25">AF62+AE62</f>
        <v>#N/A</v>
      </c>
      <c r="AH62" s="609" t="e">
        <f t="shared" ref="AH62:AH105" si="26">AF62-AE62</f>
        <v>#N/A</v>
      </c>
      <c r="AI62" s="609" t="e">
        <f t="shared" ref="AI62:AI105" si="27">AF62+(AF62*AD62)</f>
        <v>#N/A</v>
      </c>
      <c r="AJ62" s="609" t="e">
        <f t="shared" ref="AJ62:AJ105" si="28">AF62-(AF62*AD62)</f>
        <v>#N/A</v>
      </c>
      <c r="AK62" s="609" t="e">
        <f t="shared" ref="AK62:AK90" si="29">IF(OR(I62&lt;AH62,I62&gt;AG62),"Warning","")</f>
        <v>#N/A</v>
      </c>
      <c r="AL62" s="609" t="e">
        <f t="shared" ref="AL62:AL90" si="30">IF(OR(I62&gt;(AI62),I62&lt;(AJ62)),"Warning","")</f>
        <v>#N/A</v>
      </c>
      <c r="AM62" s="609" t="str">
        <f t="shared" si="14"/>
        <v/>
      </c>
      <c r="AN62" s="609"/>
      <c r="AO62" s="609"/>
      <c r="AP62" s="609"/>
      <c r="AW62" s="609"/>
    </row>
    <row r="63" spans="1:49" ht="15.5" x14ac:dyDescent="0.35">
      <c r="A63" t="s">
        <v>1436</v>
      </c>
      <c r="B63" s="831">
        <v>723</v>
      </c>
      <c r="C63" s="785" t="s">
        <v>1437</v>
      </c>
      <c r="D63" s="3"/>
      <c r="E63" s="3"/>
      <c r="F63" s="1"/>
      <c r="G63" s="1224"/>
      <c r="H63" s="1224"/>
      <c r="I63" s="1428">
        <f t="shared" si="21"/>
        <v>0</v>
      </c>
      <c r="J63" s="757"/>
      <c r="K63" s="1181" t="str">
        <f t="shared" si="22"/>
        <v/>
      </c>
      <c r="L63" s="754" t="str">
        <f t="shared" si="23"/>
        <v/>
      </c>
      <c r="M63" s="755" t="str">
        <f t="shared" si="24"/>
        <v/>
      </c>
      <c r="N63" s="758"/>
      <c r="U63" s="609"/>
      <c r="V63" s="609"/>
      <c r="W63" s="609"/>
      <c r="X63" s="609"/>
      <c r="Y63" s="609"/>
      <c r="Z63" s="609"/>
      <c r="AA63" s="609"/>
      <c r="AB63" s="609"/>
      <c r="AC63" s="609"/>
      <c r="AD63" s="609">
        <f t="shared" si="18"/>
        <v>0.4</v>
      </c>
      <c r="AE63" s="609">
        <f t="shared" si="19"/>
        <v>10000</v>
      </c>
      <c r="AF63" s="609" t="e">
        <f t="shared" si="20"/>
        <v>#N/A</v>
      </c>
      <c r="AG63" s="609" t="e">
        <f t="shared" si="25"/>
        <v>#N/A</v>
      </c>
      <c r="AH63" s="609" t="e">
        <f t="shared" si="26"/>
        <v>#N/A</v>
      </c>
      <c r="AI63" s="609" t="e">
        <f t="shared" si="27"/>
        <v>#N/A</v>
      </c>
      <c r="AJ63" s="609" t="e">
        <f t="shared" si="28"/>
        <v>#N/A</v>
      </c>
      <c r="AK63" s="609" t="e">
        <f t="shared" si="29"/>
        <v>#N/A</v>
      </c>
      <c r="AL63" s="609" t="e">
        <f t="shared" si="30"/>
        <v>#N/A</v>
      </c>
      <c r="AM63" s="609" t="str">
        <f t="shared" si="14"/>
        <v/>
      </c>
      <c r="AN63" s="609"/>
      <c r="AO63" s="609"/>
      <c r="AP63" s="609"/>
      <c r="AW63" s="609"/>
    </row>
    <row r="64" spans="1:49" ht="15.5" x14ac:dyDescent="0.35">
      <c r="A64" t="s">
        <v>1438</v>
      </c>
      <c r="B64" s="830">
        <v>726</v>
      </c>
      <c r="C64" s="800" t="s">
        <v>786</v>
      </c>
      <c r="D64" s="760"/>
      <c r="E64" s="760"/>
      <c r="F64" s="1"/>
      <c r="G64" s="1224"/>
      <c r="H64" s="1224"/>
      <c r="I64" s="1428">
        <f t="shared" si="21"/>
        <v>0</v>
      </c>
      <c r="J64" s="757"/>
      <c r="K64" s="1181" t="str">
        <f t="shared" si="22"/>
        <v/>
      </c>
      <c r="L64" s="754" t="str">
        <f t="shared" si="23"/>
        <v/>
      </c>
      <c r="M64" s="755" t="str">
        <f t="shared" si="24"/>
        <v/>
      </c>
      <c r="N64" s="758"/>
      <c r="U64" s="609"/>
      <c r="V64" s="609"/>
      <c r="W64" s="609"/>
      <c r="X64" s="609"/>
      <c r="Y64" s="609"/>
      <c r="Z64" s="609"/>
      <c r="AA64" s="609"/>
      <c r="AB64" s="609"/>
      <c r="AC64" s="609"/>
      <c r="AD64" s="609">
        <f t="shared" si="18"/>
        <v>0.4</v>
      </c>
      <c r="AE64" s="609">
        <f t="shared" si="19"/>
        <v>10000</v>
      </c>
      <c r="AF64" s="609" t="e">
        <f t="shared" si="20"/>
        <v>#N/A</v>
      </c>
      <c r="AG64" s="609" t="e">
        <f t="shared" si="25"/>
        <v>#N/A</v>
      </c>
      <c r="AH64" s="609" t="e">
        <f t="shared" si="26"/>
        <v>#N/A</v>
      </c>
      <c r="AI64" s="609" t="e">
        <f t="shared" si="27"/>
        <v>#N/A</v>
      </c>
      <c r="AJ64" s="609" t="e">
        <f t="shared" si="28"/>
        <v>#N/A</v>
      </c>
      <c r="AK64" s="609" t="e">
        <f t="shared" si="29"/>
        <v>#N/A</v>
      </c>
      <c r="AL64" s="609" t="e">
        <f t="shared" si="30"/>
        <v>#N/A</v>
      </c>
      <c r="AM64" s="609" t="str">
        <f t="shared" si="14"/>
        <v/>
      </c>
      <c r="AN64" s="609"/>
      <c r="AO64" s="609"/>
      <c r="AP64" s="609"/>
      <c r="AW64" s="609"/>
    </row>
    <row r="65" spans="1:49" ht="15.5" x14ac:dyDescent="0.35">
      <c r="A65" t="s">
        <v>1439</v>
      </c>
      <c r="B65" s="831">
        <v>733</v>
      </c>
      <c r="C65" s="785" t="s">
        <v>1440</v>
      </c>
      <c r="D65" s="3"/>
      <c r="E65" s="3"/>
      <c r="F65" s="1"/>
      <c r="G65" s="1224"/>
      <c r="H65" s="1224"/>
      <c r="I65" s="1428">
        <f t="shared" si="21"/>
        <v>0</v>
      </c>
      <c r="J65" s="757"/>
      <c r="K65" s="1181" t="str">
        <f t="shared" si="22"/>
        <v/>
      </c>
      <c r="L65" s="754" t="str">
        <f t="shared" si="23"/>
        <v/>
      </c>
      <c r="M65" s="755" t="str">
        <f t="shared" si="24"/>
        <v/>
      </c>
      <c r="N65" s="758"/>
      <c r="U65" s="609"/>
      <c r="V65" s="609"/>
      <c r="W65" s="609"/>
      <c r="X65" s="609"/>
      <c r="Y65" s="609"/>
      <c r="Z65" s="609"/>
      <c r="AA65" s="609"/>
      <c r="AB65" s="609"/>
      <c r="AC65" s="609"/>
      <c r="AD65" s="609">
        <f t="shared" si="18"/>
        <v>0.4</v>
      </c>
      <c r="AE65" s="609">
        <f t="shared" si="19"/>
        <v>10000</v>
      </c>
      <c r="AF65" s="609" t="e">
        <f t="shared" si="20"/>
        <v>#N/A</v>
      </c>
      <c r="AG65" s="609" t="e">
        <f t="shared" si="25"/>
        <v>#N/A</v>
      </c>
      <c r="AH65" s="609" t="e">
        <f t="shared" si="26"/>
        <v>#N/A</v>
      </c>
      <c r="AI65" s="609" t="e">
        <f t="shared" si="27"/>
        <v>#N/A</v>
      </c>
      <c r="AJ65" s="609" t="e">
        <f t="shared" si="28"/>
        <v>#N/A</v>
      </c>
      <c r="AK65" s="609" t="e">
        <f t="shared" si="29"/>
        <v>#N/A</v>
      </c>
      <c r="AL65" s="609" t="e">
        <f t="shared" si="30"/>
        <v>#N/A</v>
      </c>
      <c r="AM65" s="609" t="str">
        <f t="shared" si="14"/>
        <v/>
      </c>
      <c r="AN65" s="609"/>
      <c r="AO65" s="609"/>
      <c r="AP65" s="609"/>
      <c r="AW65" s="609"/>
    </row>
    <row r="66" spans="1:49" ht="18" x14ac:dyDescent="0.4">
      <c r="A66" t="s">
        <v>1441</v>
      </c>
      <c r="B66" s="830">
        <v>734</v>
      </c>
      <c r="C66" s="800" t="s">
        <v>1442</v>
      </c>
      <c r="D66" s="760"/>
      <c r="E66" s="793"/>
      <c r="F66" s="35"/>
      <c r="G66" s="1224"/>
      <c r="H66" s="1224"/>
      <c r="I66" s="1428">
        <f t="shared" si="21"/>
        <v>0</v>
      </c>
      <c r="J66" s="757"/>
      <c r="K66" s="1181" t="str">
        <f t="shared" si="22"/>
        <v/>
      </c>
      <c r="L66" s="754" t="str">
        <f t="shared" si="23"/>
        <v/>
      </c>
      <c r="M66" s="755" t="str">
        <f t="shared" si="24"/>
        <v/>
      </c>
      <c r="N66" s="758"/>
      <c r="U66" s="609"/>
      <c r="V66" s="609"/>
      <c r="W66" s="609"/>
      <c r="X66" s="609"/>
      <c r="Y66" s="609"/>
      <c r="Z66" s="609"/>
      <c r="AA66" s="609"/>
      <c r="AB66" s="609"/>
      <c r="AC66" s="609"/>
      <c r="AD66" s="609">
        <f t="shared" si="18"/>
        <v>0.4</v>
      </c>
      <c r="AE66" s="609">
        <f t="shared" si="19"/>
        <v>10000</v>
      </c>
      <c r="AF66" s="609" t="e">
        <f t="shared" si="20"/>
        <v>#N/A</v>
      </c>
      <c r="AG66" s="609" t="e">
        <f t="shared" si="25"/>
        <v>#N/A</v>
      </c>
      <c r="AH66" s="609" t="e">
        <f t="shared" si="26"/>
        <v>#N/A</v>
      </c>
      <c r="AI66" s="609" t="e">
        <f t="shared" si="27"/>
        <v>#N/A</v>
      </c>
      <c r="AJ66" s="609" t="e">
        <f t="shared" si="28"/>
        <v>#N/A</v>
      </c>
      <c r="AK66" s="609" t="e">
        <f t="shared" si="29"/>
        <v>#N/A</v>
      </c>
      <c r="AL66" s="609" t="e">
        <f t="shared" si="30"/>
        <v>#N/A</v>
      </c>
      <c r="AM66" s="609" t="str">
        <f t="shared" si="14"/>
        <v/>
      </c>
      <c r="AN66" s="609"/>
      <c r="AO66" s="609"/>
      <c r="AP66" s="609"/>
      <c r="AW66" s="609"/>
    </row>
    <row r="67" spans="1:49" ht="15.5" x14ac:dyDescent="0.35">
      <c r="A67" t="s">
        <v>1443</v>
      </c>
      <c r="B67" s="842">
        <v>741</v>
      </c>
      <c r="C67" s="832" t="s">
        <v>1444</v>
      </c>
      <c r="D67" s="833"/>
      <c r="E67" s="788"/>
      <c r="F67" s="22"/>
      <c r="G67" s="1224"/>
      <c r="H67" s="1224"/>
      <c r="I67" s="1428">
        <f t="shared" si="21"/>
        <v>0</v>
      </c>
      <c r="J67" s="757"/>
      <c r="K67" s="1181" t="str">
        <f t="shared" si="22"/>
        <v/>
      </c>
      <c r="L67" s="754" t="str">
        <f t="shared" si="23"/>
        <v/>
      </c>
      <c r="M67" s="755" t="str">
        <f t="shared" si="24"/>
        <v/>
      </c>
      <c r="N67" s="758"/>
      <c r="U67" s="609"/>
      <c r="V67" s="609"/>
      <c r="W67" s="609"/>
      <c r="X67" s="609"/>
      <c r="Y67" s="609"/>
      <c r="Z67" s="609"/>
      <c r="AA67" s="609"/>
      <c r="AB67" s="609"/>
      <c r="AC67" s="609"/>
      <c r="AD67" s="609">
        <f t="shared" si="18"/>
        <v>0.4</v>
      </c>
      <c r="AE67" s="609">
        <f t="shared" si="19"/>
        <v>10000</v>
      </c>
      <c r="AF67" s="609" t="e">
        <f t="shared" si="20"/>
        <v>#N/A</v>
      </c>
      <c r="AG67" s="609" t="e">
        <f t="shared" si="25"/>
        <v>#N/A</v>
      </c>
      <c r="AH67" s="609" t="e">
        <f t="shared" si="26"/>
        <v>#N/A</v>
      </c>
      <c r="AI67" s="609" t="e">
        <f t="shared" si="27"/>
        <v>#N/A</v>
      </c>
      <c r="AJ67" s="609" t="e">
        <f t="shared" si="28"/>
        <v>#N/A</v>
      </c>
      <c r="AK67" s="609" t="e">
        <f t="shared" si="29"/>
        <v>#N/A</v>
      </c>
      <c r="AL67" s="609" t="e">
        <f t="shared" si="30"/>
        <v>#N/A</v>
      </c>
      <c r="AM67" s="609" t="str">
        <f t="shared" si="14"/>
        <v/>
      </c>
      <c r="AN67" s="609"/>
      <c r="AO67" s="609"/>
      <c r="AP67" s="609"/>
      <c r="AW67" s="609"/>
    </row>
    <row r="68" spans="1:49" ht="15.5" x14ac:dyDescent="0.35">
      <c r="A68" t="s">
        <v>1445</v>
      </c>
      <c r="B68" s="831">
        <v>752</v>
      </c>
      <c r="C68" s="785" t="s">
        <v>1446</v>
      </c>
      <c r="D68" s="3"/>
      <c r="E68" s="280"/>
      <c r="F68" s="1"/>
      <c r="G68" s="1224"/>
      <c r="H68" s="1224"/>
      <c r="I68" s="1428">
        <f t="shared" si="21"/>
        <v>0</v>
      </c>
      <c r="J68" s="757"/>
      <c r="K68" s="1181" t="str">
        <f t="shared" si="22"/>
        <v/>
      </c>
      <c r="L68" s="754" t="str">
        <f t="shared" si="23"/>
        <v/>
      </c>
      <c r="M68" s="755" t="str">
        <f t="shared" si="24"/>
        <v/>
      </c>
      <c r="N68" s="758"/>
      <c r="U68" s="609"/>
      <c r="V68" s="609"/>
      <c r="W68" s="609"/>
      <c r="X68" s="609"/>
      <c r="Y68" s="609"/>
      <c r="Z68" s="609"/>
      <c r="AA68" s="609"/>
      <c r="AB68" s="609"/>
      <c r="AC68" s="609"/>
      <c r="AD68" s="609">
        <f t="shared" si="18"/>
        <v>0.4</v>
      </c>
      <c r="AE68" s="609">
        <f t="shared" si="19"/>
        <v>10000</v>
      </c>
      <c r="AF68" s="609" t="e">
        <f t="shared" si="20"/>
        <v>#N/A</v>
      </c>
      <c r="AG68" s="609" t="e">
        <f t="shared" si="25"/>
        <v>#N/A</v>
      </c>
      <c r="AH68" s="609" t="e">
        <f t="shared" si="26"/>
        <v>#N/A</v>
      </c>
      <c r="AI68" s="609" t="e">
        <f t="shared" si="27"/>
        <v>#N/A</v>
      </c>
      <c r="AJ68" s="609" t="e">
        <f t="shared" si="28"/>
        <v>#N/A</v>
      </c>
      <c r="AK68" s="609" t="e">
        <f t="shared" si="29"/>
        <v>#N/A</v>
      </c>
      <c r="AL68" s="609" t="e">
        <f t="shared" si="30"/>
        <v>#N/A</v>
      </c>
      <c r="AM68" s="609" t="str">
        <f t="shared" si="14"/>
        <v/>
      </c>
      <c r="AN68" s="609"/>
      <c r="AO68" s="609"/>
      <c r="AP68" s="609"/>
      <c r="AW68" s="609"/>
    </row>
    <row r="69" spans="1:49" ht="15.5" x14ac:dyDescent="0.35">
      <c r="A69" t="s">
        <v>1447</v>
      </c>
      <c r="B69" s="831">
        <v>757</v>
      </c>
      <c r="C69" s="831" t="s">
        <v>1448</v>
      </c>
      <c r="D69" s="799"/>
      <c r="E69" s="111"/>
      <c r="F69" s="1"/>
      <c r="G69" s="1224"/>
      <c r="H69" s="1224"/>
      <c r="I69" s="1428">
        <f t="shared" si="21"/>
        <v>0</v>
      </c>
      <c r="J69" s="757"/>
      <c r="K69" s="1181" t="str">
        <f t="shared" si="22"/>
        <v/>
      </c>
      <c r="L69" s="754" t="str">
        <f t="shared" si="23"/>
        <v/>
      </c>
      <c r="M69" s="755" t="str">
        <f t="shared" si="24"/>
        <v/>
      </c>
      <c r="N69" s="758"/>
      <c r="U69" s="609"/>
      <c r="V69" s="609"/>
      <c r="W69" s="609"/>
      <c r="X69" s="609"/>
      <c r="Y69" s="609"/>
      <c r="Z69" s="609"/>
      <c r="AA69" s="609"/>
      <c r="AB69" s="609"/>
      <c r="AC69" s="609"/>
      <c r="AD69" s="609">
        <f t="shared" si="18"/>
        <v>0.4</v>
      </c>
      <c r="AE69" s="609">
        <f t="shared" si="19"/>
        <v>10000</v>
      </c>
      <c r="AF69" s="609" t="e">
        <f t="shared" si="20"/>
        <v>#N/A</v>
      </c>
      <c r="AG69" s="609" t="e">
        <f t="shared" si="25"/>
        <v>#N/A</v>
      </c>
      <c r="AH69" s="609" t="e">
        <f t="shared" si="26"/>
        <v>#N/A</v>
      </c>
      <c r="AI69" s="609" t="e">
        <f t="shared" si="27"/>
        <v>#N/A</v>
      </c>
      <c r="AJ69" s="609" t="e">
        <f t="shared" si="28"/>
        <v>#N/A</v>
      </c>
      <c r="AK69" s="609" t="e">
        <f t="shared" si="29"/>
        <v>#N/A</v>
      </c>
      <c r="AL69" s="609" t="e">
        <f t="shared" si="30"/>
        <v>#N/A</v>
      </c>
      <c r="AM69" s="609" t="str">
        <f t="shared" si="14"/>
        <v/>
      </c>
      <c r="AN69" s="609"/>
      <c r="AO69" s="609"/>
      <c r="AP69" s="609"/>
      <c r="AW69" s="609"/>
    </row>
    <row r="70" spans="1:49" ht="17.5" x14ac:dyDescent="0.35">
      <c r="A70" t="s">
        <v>1449</v>
      </c>
      <c r="B70" s="830">
        <v>810</v>
      </c>
      <c r="C70" s="800" t="s">
        <v>1450</v>
      </c>
      <c r="D70" s="760"/>
      <c r="E70" s="843"/>
      <c r="F70" s="1"/>
      <c r="G70" s="1224"/>
      <c r="H70" s="1224"/>
      <c r="I70" s="1428">
        <f t="shared" si="21"/>
        <v>0</v>
      </c>
      <c r="J70" s="757"/>
      <c r="K70" s="1181" t="str">
        <f t="shared" si="22"/>
        <v/>
      </c>
      <c r="L70" s="754" t="str">
        <f t="shared" si="23"/>
        <v/>
      </c>
      <c r="M70" s="755" t="str">
        <f t="shared" si="24"/>
        <v/>
      </c>
      <c r="N70" s="758"/>
      <c r="U70" s="609"/>
      <c r="V70" s="609"/>
      <c r="W70" s="609"/>
      <c r="X70" s="609"/>
      <c r="Y70" s="609"/>
      <c r="Z70" s="609"/>
      <c r="AA70" s="609"/>
      <c r="AB70" s="609"/>
      <c r="AC70" s="609"/>
      <c r="AD70" s="609">
        <f t="shared" si="18"/>
        <v>0.4</v>
      </c>
      <c r="AE70" s="609">
        <f t="shared" si="19"/>
        <v>10000</v>
      </c>
      <c r="AF70" s="609" t="e">
        <f t="shared" si="20"/>
        <v>#N/A</v>
      </c>
      <c r="AG70" s="609" t="e">
        <f t="shared" si="25"/>
        <v>#N/A</v>
      </c>
      <c r="AH70" s="609" t="e">
        <f t="shared" si="26"/>
        <v>#N/A</v>
      </c>
      <c r="AI70" s="609" t="e">
        <f t="shared" si="27"/>
        <v>#N/A</v>
      </c>
      <c r="AJ70" s="609" t="e">
        <f t="shared" si="28"/>
        <v>#N/A</v>
      </c>
      <c r="AK70" s="609" t="e">
        <f t="shared" si="29"/>
        <v>#N/A</v>
      </c>
      <c r="AL70" s="609" t="e">
        <f t="shared" si="30"/>
        <v>#N/A</v>
      </c>
      <c r="AM70" s="609" t="str">
        <f t="shared" si="14"/>
        <v/>
      </c>
      <c r="AN70" s="609"/>
      <c r="AO70" s="609"/>
      <c r="AP70" s="609"/>
      <c r="AW70" s="609"/>
    </row>
    <row r="71" spans="1:49" ht="15.5" x14ac:dyDescent="0.35">
      <c r="A71" t="s">
        <v>1451</v>
      </c>
      <c r="B71" s="831">
        <v>821</v>
      </c>
      <c r="C71" s="777" t="s">
        <v>1452</v>
      </c>
      <c r="D71" s="757"/>
      <c r="E71" s="844"/>
      <c r="F71" s="1"/>
      <c r="G71" s="1224"/>
      <c r="H71" s="1224"/>
      <c r="I71" s="1428">
        <f t="shared" si="21"/>
        <v>0</v>
      </c>
      <c r="J71" s="757"/>
      <c r="K71" s="1181" t="str">
        <f t="shared" si="22"/>
        <v/>
      </c>
      <c r="L71" s="754" t="str">
        <f t="shared" si="23"/>
        <v/>
      </c>
      <c r="M71" s="755" t="str">
        <f t="shared" si="24"/>
        <v/>
      </c>
      <c r="N71" s="758"/>
      <c r="U71" s="609"/>
      <c r="V71" s="609"/>
      <c r="W71" s="609"/>
      <c r="X71" s="609"/>
      <c r="Y71" s="609"/>
      <c r="Z71" s="609"/>
      <c r="AA71" s="609"/>
      <c r="AB71" s="609"/>
      <c r="AC71" s="609"/>
      <c r="AD71" s="609">
        <f t="shared" si="18"/>
        <v>0.4</v>
      </c>
      <c r="AE71" s="609">
        <f t="shared" si="19"/>
        <v>10000</v>
      </c>
      <c r="AF71" s="609" t="e">
        <f t="shared" si="20"/>
        <v>#N/A</v>
      </c>
      <c r="AG71" s="609" t="e">
        <f t="shared" si="25"/>
        <v>#N/A</v>
      </c>
      <c r="AH71" s="609" t="e">
        <f t="shared" si="26"/>
        <v>#N/A</v>
      </c>
      <c r="AI71" s="609" t="e">
        <f t="shared" si="27"/>
        <v>#N/A</v>
      </c>
      <c r="AJ71" s="609" t="e">
        <f t="shared" si="28"/>
        <v>#N/A</v>
      </c>
      <c r="AK71" s="609" t="e">
        <f t="shared" si="29"/>
        <v>#N/A</v>
      </c>
      <c r="AL71" s="609" t="e">
        <f t="shared" si="30"/>
        <v>#N/A</v>
      </c>
      <c r="AM71" s="609" t="str">
        <f t="shared" si="14"/>
        <v/>
      </c>
      <c r="AN71" s="609"/>
      <c r="AO71" s="609"/>
      <c r="AP71" s="609"/>
      <c r="AW71" s="609"/>
    </row>
    <row r="72" spans="1:49" ht="17.5" x14ac:dyDescent="0.35">
      <c r="A72" t="s">
        <v>1453</v>
      </c>
      <c r="B72" s="830">
        <v>825</v>
      </c>
      <c r="C72" s="830" t="s">
        <v>1454</v>
      </c>
      <c r="D72" s="830"/>
      <c r="E72" s="845"/>
      <c r="F72" s="1"/>
      <c r="G72" s="1224"/>
      <c r="H72" s="1224"/>
      <c r="I72" s="1428">
        <f t="shared" si="21"/>
        <v>0</v>
      </c>
      <c r="J72" s="757"/>
      <c r="K72" s="1181" t="str">
        <f t="shared" si="22"/>
        <v/>
      </c>
      <c r="L72" s="754" t="str">
        <f t="shared" si="23"/>
        <v/>
      </c>
      <c r="M72" s="755" t="str">
        <f t="shared" si="24"/>
        <v/>
      </c>
      <c r="N72" s="758"/>
      <c r="U72" s="609"/>
      <c r="V72" s="609"/>
      <c r="W72" s="609"/>
      <c r="X72" s="609"/>
      <c r="Y72" s="609"/>
      <c r="Z72" s="609"/>
      <c r="AA72" s="609"/>
      <c r="AB72" s="609"/>
      <c r="AC72" s="609"/>
      <c r="AD72" s="609">
        <f t="shared" si="18"/>
        <v>0.4</v>
      </c>
      <c r="AE72" s="609">
        <f t="shared" si="19"/>
        <v>10000</v>
      </c>
      <c r="AF72" s="609" t="e">
        <f t="shared" si="20"/>
        <v>#N/A</v>
      </c>
      <c r="AG72" s="609" t="e">
        <f t="shared" si="25"/>
        <v>#N/A</v>
      </c>
      <c r="AH72" s="609" t="e">
        <f t="shared" si="26"/>
        <v>#N/A</v>
      </c>
      <c r="AI72" s="609" t="e">
        <f t="shared" si="27"/>
        <v>#N/A</v>
      </c>
      <c r="AJ72" s="609" t="e">
        <f t="shared" si="28"/>
        <v>#N/A</v>
      </c>
      <c r="AK72" s="609" t="e">
        <f t="shared" si="29"/>
        <v>#N/A</v>
      </c>
      <c r="AL72" s="609" t="e">
        <f t="shared" si="30"/>
        <v>#N/A</v>
      </c>
      <c r="AM72" s="609" t="str">
        <f t="shared" si="14"/>
        <v/>
      </c>
      <c r="AN72" s="609"/>
      <c r="AO72" s="609"/>
      <c r="AP72" s="609"/>
      <c r="AW72" s="609"/>
    </row>
    <row r="73" spans="1:49" ht="15.5" x14ac:dyDescent="0.35">
      <c r="A73" t="s">
        <v>1455</v>
      </c>
      <c r="B73" s="830">
        <v>830</v>
      </c>
      <c r="C73" s="800" t="s">
        <v>1456</v>
      </c>
      <c r="D73" s="760"/>
      <c r="E73" s="760"/>
      <c r="F73" s="1"/>
      <c r="G73" s="1224"/>
      <c r="H73" s="1224"/>
      <c r="I73" s="1428">
        <f t="shared" si="21"/>
        <v>0</v>
      </c>
      <c r="J73" s="757"/>
      <c r="K73" s="1181" t="str">
        <f t="shared" si="22"/>
        <v/>
      </c>
      <c r="L73" s="754" t="str">
        <f t="shared" si="23"/>
        <v/>
      </c>
      <c r="M73" s="755" t="str">
        <f t="shared" si="24"/>
        <v/>
      </c>
      <c r="N73" s="758"/>
      <c r="U73" s="609"/>
      <c r="V73" s="609"/>
      <c r="W73" s="609"/>
      <c r="X73" s="609"/>
      <c r="Y73" s="609"/>
      <c r="Z73" s="609"/>
      <c r="AA73" s="609"/>
      <c r="AB73" s="609"/>
      <c r="AC73" s="609"/>
      <c r="AD73" s="609">
        <f t="shared" si="18"/>
        <v>0.4</v>
      </c>
      <c r="AE73" s="609">
        <f t="shared" si="19"/>
        <v>10000</v>
      </c>
      <c r="AF73" s="609" t="e">
        <f t="shared" si="20"/>
        <v>#N/A</v>
      </c>
      <c r="AG73" s="609" t="e">
        <f t="shared" si="25"/>
        <v>#N/A</v>
      </c>
      <c r="AH73" s="609" t="e">
        <f t="shared" si="26"/>
        <v>#N/A</v>
      </c>
      <c r="AI73" s="609" t="e">
        <f t="shared" si="27"/>
        <v>#N/A</v>
      </c>
      <c r="AJ73" s="609" t="e">
        <f t="shared" si="28"/>
        <v>#N/A</v>
      </c>
      <c r="AK73" s="609" t="e">
        <f t="shared" si="29"/>
        <v>#N/A</v>
      </c>
      <c r="AL73" s="609" t="e">
        <f t="shared" si="30"/>
        <v>#N/A</v>
      </c>
      <c r="AM73" s="609" t="str">
        <f t="shared" si="14"/>
        <v/>
      </c>
      <c r="AN73" s="609"/>
      <c r="AO73" s="609"/>
      <c r="AP73" s="609"/>
      <c r="AW73" s="609"/>
    </row>
    <row r="74" spans="1:49" ht="15.5" x14ac:dyDescent="0.35">
      <c r="A74" t="s">
        <v>1457</v>
      </c>
      <c r="B74" s="830">
        <v>841</v>
      </c>
      <c r="C74" s="800" t="s">
        <v>1458</v>
      </c>
      <c r="D74" s="760"/>
      <c r="E74" s="760"/>
      <c r="F74" s="1"/>
      <c r="G74" s="1224"/>
      <c r="H74" s="1224"/>
      <c r="I74" s="1428">
        <f t="shared" si="21"/>
        <v>0</v>
      </c>
      <c r="J74" s="757"/>
      <c r="K74" s="1181" t="str">
        <f t="shared" si="22"/>
        <v/>
      </c>
      <c r="L74" s="754" t="str">
        <f t="shared" si="23"/>
        <v/>
      </c>
      <c r="M74" s="755" t="str">
        <f t="shared" si="24"/>
        <v/>
      </c>
      <c r="N74" s="758"/>
      <c r="U74" s="609"/>
      <c r="V74" s="609"/>
      <c r="W74" s="609"/>
      <c r="X74" s="609"/>
      <c r="Y74" s="609"/>
      <c r="Z74" s="609"/>
      <c r="AA74" s="609"/>
      <c r="AB74" s="609"/>
      <c r="AC74" s="609"/>
      <c r="AD74" s="609">
        <f t="shared" si="18"/>
        <v>0.4</v>
      </c>
      <c r="AE74" s="609">
        <f t="shared" si="19"/>
        <v>10000</v>
      </c>
      <c r="AF74" s="609" t="e">
        <f t="shared" si="20"/>
        <v>#N/A</v>
      </c>
      <c r="AG74" s="609" t="e">
        <f t="shared" si="25"/>
        <v>#N/A</v>
      </c>
      <c r="AH74" s="609" t="e">
        <f t="shared" si="26"/>
        <v>#N/A</v>
      </c>
      <c r="AI74" s="609" t="e">
        <f t="shared" si="27"/>
        <v>#N/A</v>
      </c>
      <c r="AJ74" s="609" t="e">
        <f t="shared" si="28"/>
        <v>#N/A</v>
      </c>
      <c r="AK74" s="609" t="e">
        <f t="shared" si="29"/>
        <v>#N/A</v>
      </c>
      <c r="AL74" s="609" t="e">
        <f t="shared" si="30"/>
        <v>#N/A</v>
      </c>
      <c r="AM74" s="609" t="str">
        <f t="shared" si="14"/>
        <v/>
      </c>
      <c r="AN74" s="609"/>
      <c r="AO74" s="609"/>
      <c r="AP74" s="609"/>
      <c r="AW74" s="609"/>
    </row>
    <row r="75" spans="1:49" ht="15.5" x14ac:dyDescent="0.35">
      <c r="A75" t="s">
        <v>1459</v>
      </c>
      <c r="B75" s="830">
        <v>845</v>
      </c>
      <c r="C75" s="800" t="s">
        <v>1460</v>
      </c>
      <c r="D75" s="760"/>
      <c r="E75" s="760"/>
      <c r="F75" s="1"/>
      <c r="G75" s="1224"/>
      <c r="H75" s="1224"/>
      <c r="I75" s="1428">
        <f t="shared" si="21"/>
        <v>0</v>
      </c>
      <c r="J75" s="757"/>
      <c r="K75" s="1181" t="str">
        <f t="shared" si="22"/>
        <v/>
      </c>
      <c r="L75" s="754" t="str">
        <f t="shared" si="23"/>
        <v/>
      </c>
      <c r="M75" s="755" t="str">
        <f t="shared" si="24"/>
        <v/>
      </c>
      <c r="N75" s="758"/>
      <c r="U75" s="609"/>
      <c r="V75" s="609"/>
      <c r="W75" s="609"/>
      <c r="X75" s="609"/>
      <c r="Y75" s="609"/>
      <c r="Z75" s="609"/>
      <c r="AA75" s="609"/>
      <c r="AB75" s="609"/>
      <c r="AC75" s="609"/>
      <c r="AD75" s="609">
        <f t="shared" si="18"/>
        <v>0.4</v>
      </c>
      <c r="AE75" s="609">
        <f t="shared" si="19"/>
        <v>10000</v>
      </c>
      <c r="AF75" s="609" t="e">
        <f t="shared" si="20"/>
        <v>#N/A</v>
      </c>
      <c r="AG75" s="609" t="e">
        <f t="shared" si="25"/>
        <v>#N/A</v>
      </c>
      <c r="AH75" s="609" t="e">
        <f t="shared" si="26"/>
        <v>#N/A</v>
      </c>
      <c r="AI75" s="609" t="e">
        <f t="shared" si="27"/>
        <v>#N/A</v>
      </c>
      <c r="AJ75" s="609" t="e">
        <f t="shared" si="28"/>
        <v>#N/A</v>
      </c>
      <c r="AK75" s="609" t="e">
        <f t="shared" si="29"/>
        <v>#N/A</v>
      </c>
      <c r="AL75" s="609" t="e">
        <f t="shared" si="30"/>
        <v>#N/A</v>
      </c>
      <c r="AM75" s="609" t="str">
        <f t="shared" si="14"/>
        <v/>
      </c>
      <c r="AN75" s="609"/>
      <c r="AO75" s="609"/>
      <c r="AP75" s="609"/>
      <c r="AW75" s="609"/>
    </row>
    <row r="76" spans="1:49" ht="15.5" x14ac:dyDescent="0.35">
      <c r="A76" t="s">
        <v>1461</v>
      </c>
      <c r="B76" s="830">
        <v>850</v>
      </c>
      <c r="C76" s="800" t="s">
        <v>1462</v>
      </c>
      <c r="D76" s="760"/>
      <c r="E76" s="760"/>
      <c r="F76" s="1"/>
      <c r="G76" s="1224"/>
      <c r="H76" s="1224"/>
      <c r="I76" s="1428">
        <f t="shared" si="21"/>
        <v>0</v>
      </c>
      <c r="J76" s="757"/>
      <c r="K76" s="1181" t="str">
        <f t="shared" si="22"/>
        <v/>
      </c>
      <c r="L76" s="754" t="str">
        <f t="shared" si="23"/>
        <v/>
      </c>
      <c r="M76" s="755" t="str">
        <f t="shared" si="24"/>
        <v/>
      </c>
      <c r="N76" s="758"/>
      <c r="U76" s="609"/>
      <c r="V76" s="609"/>
      <c r="W76" s="609"/>
      <c r="X76" s="609"/>
      <c r="Y76" s="609"/>
      <c r="Z76" s="609"/>
      <c r="AA76" s="609"/>
      <c r="AB76" s="609"/>
      <c r="AC76" s="609"/>
      <c r="AD76" s="609">
        <f t="shared" si="18"/>
        <v>0.4</v>
      </c>
      <c r="AE76" s="609">
        <f t="shared" si="19"/>
        <v>10000</v>
      </c>
      <c r="AF76" s="609" t="e">
        <f t="shared" si="20"/>
        <v>#N/A</v>
      </c>
      <c r="AG76" s="609" t="e">
        <f t="shared" si="25"/>
        <v>#N/A</v>
      </c>
      <c r="AH76" s="609" t="e">
        <f t="shared" si="26"/>
        <v>#N/A</v>
      </c>
      <c r="AI76" s="609" t="e">
        <f t="shared" si="27"/>
        <v>#N/A</v>
      </c>
      <c r="AJ76" s="609" t="e">
        <f t="shared" si="28"/>
        <v>#N/A</v>
      </c>
      <c r="AK76" s="609" t="e">
        <f t="shared" si="29"/>
        <v>#N/A</v>
      </c>
      <c r="AL76" s="609" t="e">
        <f t="shared" si="30"/>
        <v>#N/A</v>
      </c>
      <c r="AM76" s="609" t="str">
        <f t="shared" si="14"/>
        <v/>
      </c>
      <c r="AN76" s="609"/>
      <c r="AO76" s="609"/>
      <c r="AP76" s="609"/>
      <c r="AW76" s="609"/>
    </row>
    <row r="77" spans="1:49" ht="15.5" x14ac:dyDescent="0.35">
      <c r="A77" t="s">
        <v>1463</v>
      </c>
      <c r="B77" s="831">
        <v>860</v>
      </c>
      <c r="C77" s="777" t="s">
        <v>1464</v>
      </c>
      <c r="D77" s="757"/>
      <c r="E77" s="757"/>
      <c r="F77" s="1"/>
      <c r="G77" s="1224"/>
      <c r="H77" s="1224"/>
      <c r="I77" s="1428">
        <f t="shared" si="21"/>
        <v>0</v>
      </c>
      <c r="J77" s="757"/>
      <c r="K77" s="1181" t="str">
        <f t="shared" si="22"/>
        <v/>
      </c>
      <c r="L77" s="754" t="str">
        <f t="shared" si="23"/>
        <v/>
      </c>
      <c r="M77" s="755" t="str">
        <f t="shared" si="24"/>
        <v/>
      </c>
      <c r="N77" s="758"/>
      <c r="U77" s="609"/>
      <c r="V77" s="609"/>
      <c r="W77" s="609"/>
      <c r="X77" s="609"/>
      <c r="Y77" s="609"/>
      <c r="Z77" s="609"/>
      <c r="AA77" s="609"/>
      <c r="AB77" s="609"/>
      <c r="AC77" s="609"/>
      <c r="AD77" s="609">
        <f t="shared" si="18"/>
        <v>0.4</v>
      </c>
      <c r="AE77" s="609">
        <f t="shared" si="19"/>
        <v>10000</v>
      </c>
      <c r="AF77" s="609" t="e">
        <f t="shared" si="20"/>
        <v>#N/A</v>
      </c>
      <c r="AG77" s="609" t="e">
        <f t="shared" si="25"/>
        <v>#N/A</v>
      </c>
      <c r="AH77" s="609" t="e">
        <f t="shared" si="26"/>
        <v>#N/A</v>
      </c>
      <c r="AI77" s="609" t="e">
        <f t="shared" si="27"/>
        <v>#N/A</v>
      </c>
      <c r="AJ77" s="609" t="e">
        <f t="shared" si="28"/>
        <v>#N/A</v>
      </c>
      <c r="AK77" s="609" t="e">
        <f t="shared" si="29"/>
        <v>#N/A</v>
      </c>
      <c r="AL77" s="609" t="e">
        <f t="shared" si="30"/>
        <v>#N/A</v>
      </c>
      <c r="AM77" s="609" t="str">
        <f t="shared" si="14"/>
        <v/>
      </c>
      <c r="AN77" s="609"/>
      <c r="AO77" s="609"/>
      <c r="AP77" s="609"/>
      <c r="AW77" s="609"/>
    </row>
    <row r="78" spans="1:49" ht="17.5" x14ac:dyDescent="0.35">
      <c r="A78" t="s">
        <v>1465</v>
      </c>
      <c r="B78" s="830">
        <v>871</v>
      </c>
      <c r="C78" s="830" t="s">
        <v>1466</v>
      </c>
      <c r="D78" s="830"/>
      <c r="E78" s="845"/>
      <c r="F78" s="1"/>
      <c r="G78" s="1224"/>
      <c r="H78" s="1224"/>
      <c r="I78" s="1428">
        <f t="shared" si="21"/>
        <v>0</v>
      </c>
      <c r="J78" s="757"/>
      <c r="K78" s="1181" t="str">
        <f t="shared" si="22"/>
        <v/>
      </c>
      <c r="L78" s="754" t="str">
        <f t="shared" si="23"/>
        <v/>
      </c>
      <c r="M78" s="755" t="str">
        <f t="shared" si="24"/>
        <v/>
      </c>
      <c r="N78" s="758"/>
      <c r="U78" s="609"/>
      <c r="V78" s="609"/>
      <c r="W78" s="609"/>
      <c r="X78" s="609"/>
      <c r="Y78" s="609"/>
      <c r="Z78" s="609"/>
      <c r="AA78" s="609"/>
      <c r="AB78" s="609"/>
      <c r="AC78" s="609"/>
      <c r="AD78" s="609">
        <f t="shared" si="18"/>
        <v>0.4</v>
      </c>
      <c r="AE78" s="609">
        <f t="shared" si="19"/>
        <v>10000</v>
      </c>
      <c r="AF78" s="609" t="e">
        <f t="shared" si="20"/>
        <v>#N/A</v>
      </c>
      <c r="AG78" s="609" t="e">
        <f t="shared" si="25"/>
        <v>#N/A</v>
      </c>
      <c r="AH78" s="609" t="e">
        <f t="shared" si="26"/>
        <v>#N/A</v>
      </c>
      <c r="AI78" s="609" t="e">
        <f t="shared" si="27"/>
        <v>#N/A</v>
      </c>
      <c r="AJ78" s="609" t="e">
        <f t="shared" si="28"/>
        <v>#N/A</v>
      </c>
      <c r="AK78" s="609" t="e">
        <f t="shared" si="29"/>
        <v>#N/A</v>
      </c>
      <c r="AL78" s="609" t="e">
        <f t="shared" si="30"/>
        <v>#N/A</v>
      </c>
      <c r="AM78" s="609" t="str">
        <f t="shared" si="14"/>
        <v/>
      </c>
      <c r="AN78" s="609"/>
      <c r="AO78" s="609"/>
      <c r="AP78" s="609"/>
      <c r="AW78" s="609"/>
    </row>
    <row r="79" spans="1:49" ht="15.5" x14ac:dyDescent="0.35">
      <c r="A79" t="s">
        <v>1467</v>
      </c>
      <c r="B79" s="830">
        <v>872</v>
      </c>
      <c r="C79" s="800" t="s">
        <v>1468</v>
      </c>
      <c r="D79" s="760"/>
      <c r="E79" s="760"/>
      <c r="F79" s="747"/>
      <c r="G79" s="1224"/>
      <c r="H79" s="1224"/>
      <c r="I79" s="1428">
        <f t="shared" si="21"/>
        <v>0</v>
      </c>
      <c r="J79" s="757"/>
      <c r="K79" s="1181" t="str">
        <f t="shared" si="22"/>
        <v/>
      </c>
      <c r="L79" s="754" t="str">
        <f t="shared" si="23"/>
        <v/>
      </c>
      <c r="M79" s="755" t="str">
        <f t="shared" si="24"/>
        <v/>
      </c>
      <c r="N79" s="758"/>
      <c r="U79" s="609"/>
      <c r="V79" s="609"/>
      <c r="W79" s="609"/>
      <c r="X79" s="609"/>
      <c r="Y79" s="609"/>
      <c r="Z79" s="609"/>
      <c r="AA79" s="609"/>
      <c r="AB79" s="609"/>
      <c r="AC79" s="609"/>
      <c r="AD79" s="609">
        <f t="shared" si="18"/>
        <v>0.4</v>
      </c>
      <c r="AE79" s="609">
        <f t="shared" si="19"/>
        <v>10000</v>
      </c>
      <c r="AF79" s="609" t="e">
        <f t="shared" si="20"/>
        <v>#N/A</v>
      </c>
      <c r="AG79" s="609" t="e">
        <f t="shared" si="25"/>
        <v>#N/A</v>
      </c>
      <c r="AH79" s="609" t="e">
        <f t="shared" si="26"/>
        <v>#N/A</v>
      </c>
      <c r="AI79" s="609" t="e">
        <f t="shared" si="27"/>
        <v>#N/A</v>
      </c>
      <c r="AJ79" s="609" t="e">
        <f t="shared" si="28"/>
        <v>#N/A</v>
      </c>
      <c r="AK79" s="609" t="e">
        <f t="shared" si="29"/>
        <v>#N/A</v>
      </c>
      <c r="AL79" s="609" t="e">
        <f t="shared" si="30"/>
        <v>#N/A</v>
      </c>
      <c r="AM79" s="609" t="str">
        <f t="shared" si="14"/>
        <v/>
      </c>
      <c r="AN79" s="609"/>
      <c r="AO79" s="609"/>
      <c r="AP79" s="609"/>
      <c r="AW79" s="609"/>
    </row>
    <row r="80" spans="1:49" ht="15.5" x14ac:dyDescent="0.35">
      <c r="A80" t="s">
        <v>1469</v>
      </c>
      <c r="B80" s="831">
        <v>873</v>
      </c>
      <c r="C80" s="777" t="s">
        <v>1470</v>
      </c>
      <c r="D80" s="757"/>
      <c r="E80" s="757"/>
      <c r="F80" s="1"/>
      <c r="G80" s="1224"/>
      <c r="H80" s="1224"/>
      <c r="I80" s="1428">
        <f t="shared" si="21"/>
        <v>0</v>
      </c>
      <c r="J80" s="757"/>
      <c r="K80" s="1181" t="str">
        <f t="shared" si="22"/>
        <v/>
      </c>
      <c r="L80" s="754" t="str">
        <f t="shared" si="23"/>
        <v/>
      </c>
      <c r="M80" s="755" t="str">
        <f t="shared" si="24"/>
        <v/>
      </c>
      <c r="N80" s="758"/>
      <c r="U80" s="609"/>
      <c r="V80" s="609"/>
      <c r="W80" s="609"/>
      <c r="X80" s="609"/>
      <c r="Y80" s="609"/>
      <c r="Z80" s="609"/>
      <c r="AA80" s="609"/>
      <c r="AB80" s="609"/>
      <c r="AC80" s="609"/>
      <c r="AD80" s="609">
        <f t="shared" si="18"/>
        <v>0.4</v>
      </c>
      <c r="AE80" s="609">
        <f t="shared" si="19"/>
        <v>10000</v>
      </c>
      <c r="AF80" s="609" t="e">
        <f t="shared" si="20"/>
        <v>#N/A</v>
      </c>
      <c r="AG80" s="609" t="e">
        <f t="shared" si="25"/>
        <v>#N/A</v>
      </c>
      <c r="AH80" s="609" t="e">
        <f t="shared" si="26"/>
        <v>#N/A</v>
      </c>
      <c r="AI80" s="609" t="e">
        <f t="shared" si="27"/>
        <v>#N/A</v>
      </c>
      <c r="AJ80" s="609" t="e">
        <f t="shared" si="28"/>
        <v>#N/A</v>
      </c>
      <c r="AK80" s="609" t="e">
        <f t="shared" si="29"/>
        <v>#N/A</v>
      </c>
      <c r="AL80" s="609" t="e">
        <f t="shared" si="30"/>
        <v>#N/A</v>
      </c>
      <c r="AM80" s="609" t="str">
        <f t="shared" si="14"/>
        <v/>
      </c>
      <c r="AN80" s="609"/>
      <c r="AO80" s="609"/>
      <c r="AP80" s="609"/>
      <c r="AW80" s="609"/>
    </row>
    <row r="81" spans="1:49" ht="15.5" x14ac:dyDescent="0.35">
      <c r="A81" t="s">
        <v>1471</v>
      </c>
      <c r="B81" s="831">
        <v>874</v>
      </c>
      <c r="C81" s="777" t="s">
        <v>1472</v>
      </c>
      <c r="D81" s="757"/>
      <c r="E81" s="757"/>
      <c r="F81" s="1"/>
      <c r="G81" s="1224"/>
      <c r="H81" s="1224"/>
      <c r="I81" s="1428">
        <f t="shared" si="21"/>
        <v>0</v>
      </c>
      <c r="J81" s="757"/>
      <c r="K81" s="1181" t="str">
        <f t="shared" si="22"/>
        <v/>
      </c>
      <c r="L81" s="754" t="str">
        <f t="shared" si="23"/>
        <v/>
      </c>
      <c r="M81" s="755" t="str">
        <f t="shared" si="24"/>
        <v/>
      </c>
      <c r="N81" s="758"/>
      <c r="U81" s="609"/>
      <c r="V81" s="609"/>
      <c r="W81" s="609"/>
      <c r="X81" s="609"/>
      <c r="Y81" s="609"/>
      <c r="Z81" s="609"/>
      <c r="AA81" s="609"/>
      <c r="AB81" s="609"/>
      <c r="AC81" s="609"/>
      <c r="AD81" s="609">
        <f t="shared" si="18"/>
        <v>0.4</v>
      </c>
      <c r="AE81" s="609">
        <f t="shared" si="19"/>
        <v>10000</v>
      </c>
      <c r="AF81" s="609" t="e">
        <f t="shared" si="20"/>
        <v>#N/A</v>
      </c>
      <c r="AG81" s="609" t="e">
        <f t="shared" si="25"/>
        <v>#N/A</v>
      </c>
      <c r="AH81" s="609" t="e">
        <f t="shared" si="26"/>
        <v>#N/A</v>
      </c>
      <c r="AI81" s="609" t="e">
        <f t="shared" si="27"/>
        <v>#N/A</v>
      </c>
      <c r="AJ81" s="609" t="e">
        <f t="shared" si="28"/>
        <v>#N/A</v>
      </c>
      <c r="AK81" s="609" t="e">
        <f t="shared" si="29"/>
        <v>#N/A</v>
      </c>
      <c r="AL81" s="609" t="e">
        <f t="shared" si="30"/>
        <v>#N/A</v>
      </c>
      <c r="AM81" s="609" t="str">
        <f t="shared" si="14"/>
        <v/>
      </c>
      <c r="AN81" s="609"/>
      <c r="AO81" s="609"/>
      <c r="AP81" s="609"/>
      <c r="AW81" s="609"/>
    </row>
    <row r="82" spans="1:49" ht="17.5" x14ac:dyDescent="0.35">
      <c r="A82" t="s">
        <v>1473</v>
      </c>
      <c r="B82" s="830">
        <v>875</v>
      </c>
      <c r="C82" s="830" t="s">
        <v>1474</v>
      </c>
      <c r="D82" s="830"/>
      <c r="E82" s="845"/>
      <c r="F82" s="1"/>
      <c r="G82" s="1224"/>
      <c r="H82" s="1224"/>
      <c r="I82" s="1428">
        <f t="shared" si="21"/>
        <v>0</v>
      </c>
      <c r="J82" s="757"/>
      <c r="K82" s="1181" t="str">
        <f t="shared" si="22"/>
        <v/>
      </c>
      <c r="L82" s="754" t="str">
        <f t="shared" si="23"/>
        <v/>
      </c>
      <c r="M82" s="755" t="str">
        <f t="shared" si="24"/>
        <v/>
      </c>
      <c r="N82" s="758"/>
      <c r="U82" s="609"/>
      <c r="V82" s="609"/>
      <c r="W82" s="609"/>
      <c r="X82" s="609"/>
      <c r="Y82" s="609"/>
      <c r="Z82" s="609"/>
      <c r="AA82" s="609"/>
      <c r="AB82" s="609"/>
      <c r="AC82" s="609"/>
      <c r="AD82" s="609">
        <f t="shared" si="18"/>
        <v>0.4</v>
      </c>
      <c r="AE82" s="609">
        <f t="shared" si="19"/>
        <v>10000</v>
      </c>
      <c r="AF82" s="609" t="e">
        <f t="shared" si="20"/>
        <v>#N/A</v>
      </c>
      <c r="AG82" s="609" t="e">
        <f t="shared" si="25"/>
        <v>#N/A</v>
      </c>
      <c r="AH82" s="609" t="e">
        <f t="shared" si="26"/>
        <v>#N/A</v>
      </c>
      <c r="AI82" s="609" t="e">
        <f t="shared" si="27"/>
        <v>#N/A</v>
      </c>
      <c r="AJ82" s="609" t="e">
        <f t="shared" si="28"/>
        <v>#N/A</v>
      </c>
      <c r="AK82" s="609" t="e">
        <f t="shared" si="29"/>
        <v>#N/A</v>
      </c>
      <c r="AL82" s="609" t="e">
        <f t="shared" si="30"/>
        <v>#N/A</v>
      </c>
      <c r="AM82" s="609" t="str">
        <f t="shared" si="14"/>
        <v/>
      </c>
      <c r="AN82" s="609"/>
      <c r="AO82" s="609"/>
      <c r="AP82" s="609"/>
      <c r="AW82" s="609"/>
    </row>
    <row r="83" spans="1:49" ht="15.5" x14ac:dyDescent="0.35">
      <c r="A83" t="s">
        <v>1475</v>
      </c>
      <c r="B83" s="830">
        <v>891</v>
      </c>
      <c r="C83" s="800"/>
      <c r="D83" s="115" t="s">
        <v>1476</v>
      </c>
      <c r="E83" s="846"/>
      <c r="F83" s="1"/>
      <c r="G83" s="1224"/>
      <c r="H83" s="1224"/>
      <c r="I83" s="1428">
        <f t="shared" si="21"/>
        <v>0</v>
      </c>
      <c r="J83" s="757"/>
      <c r="K83" s="1181"/>
      <c r="L83" s="754"/>
      <c r="M83" s="755"/>
      <c r="N83" s="758"/>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W83" s="609"/>
    </row>
    <row r="84" spans="1:49" ht="15.5" x14ac:dyDescent="0.35">
      <c r="A84" t="s">
        <v>1477</v>
      </c>
      <c r="B84" s="830">
        <v>892</v>
      </c>
      <c r="C84" s="800"/>
      <c r="D84" s="115" t="s">
        <v>1476</v>
      </c>
      <c r="E84" s="846"/>
      <c r="F84" s="1"/>
      <c r="G84" s="1224"/>
      <c r="H84" s="1224"/>
      <c r="I84" s="1428">
        <f>G84-H84</f>
        <v>0</v>
      </c>
      <c r="J84" s="757"/>
      <c r="K84" s="1181"/>
      <c r="L84" s="754"/>
      <c r="M84" s="755"/>
      <c r="N84" s="758"/>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W84" s="609"/>
    </row>
    <row r="85" spans="1:49" ht="15.5" x14ac:dyDescent="0.35">
      <c r="A85" t="s">
        <v>1478</v>
      </c>
      <c r="B85" s="830">
        <v>893</v>
      </c>
      <c r="C85" s="800"/>
      <c r="D85" s="115" t="s">
        <v>1476</v>
      </c>
      <c r="E85" s="846"/>
      <c r="F85" s="1"/>
      <c r="G85" s="1224"/>
      <c r="H85" s="1224"/>
      <c r="I85" s="1428">
        <f t="shared" si="21"/>
        <v>0</v>
      </c>
      <c r="J85" s="757"/>
      <c r="K85" s="1181"/>
      <c r="L85" s="754"/>
      <c r="M85" s="755"/>
      <c r="N85" s="758"/>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W85" s="609"/>
    </row>
    <row r="86" spans="1:49" ht="15.5" x14ac:dyDescent="0.35">
      <c r="A86" t="s">
        <v>1479</v>
      </c>
      <c r="B86" s="830">
        <v>894</v>
      </c>
      <c r="C86" s="800"/>
      <c r="D86" s="115" t="s">
        <v>1476</v>
      </c>
      <c r="E86" s="846"/>
      <c r="F86" s="1"/>
      <c r="G86" s="1224"/>
      <c r="H86" s="1224"/>
      <c r="I86" s="1428">
        <f t="shared" si="21"/>
        <v>0</v>
      </c>
      <c r="J86" s="757"/>
      <c r="K86" s="1181"/>
      <c r="L86" s="754"/>
      <c r="M86" s="755"/>
      <c r="N86" s="758"/>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W86" s="609"/>
    </row>
    <row r="87" spans="1:49" ht="15.5" x14ac:dyDescent="0.35">
      <c r="A87" t="s">
        <v>1480</v>
      </c>
      <c r="B87" s="830">
        <v>895</v>
      </c>
      <c r="C87" s="800"/>
      <c r="D87" s="115" t="s">
        <v>1476</v>
      </c>
      <c r="E87" s="846"/>
      <c r="F87" s="1"/>
      <c r="G87" s="1224"/>
      <c r="H87" s="1224"/>
      <c r="I87" s="1428">
        <f t="shared" si="21"/>
        <v>0</v>
      </c>
      <c r="J87" s="757"/>
      <c r="K87" s="1181"/>
      <c r="L87" s="754"/>
      <c r="M87" s="755"/>
      <c r="N87" s="758"/>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W87" s="609"/>
    </row>
    <row r="88" spans="1:49" ht="15.5" x14ac:dyDescent="0.35">
      <c r="A88" s="847" t="s">
        <v>1481</v>
      </c>
      <c r="B88" s="848">
        <v>896</v>
      </c>
      <c r="C88" s="849" t="s">
        <v>1482</v>
      </c>
      <c r="D88" s="768"/>
      <c r="E88" s="760"/>
      <c r="F88" s="345"/>
      <c r="G88" s="1225">
        <f t="shared" ref="G88:H88" si="31">SUM(G61:G87)</f>
        <v>0</v>
      </c>
      <c r="H88" s="1225">
        <f t="shared" si="31"/>
        <v>0</v>
      </c>
      <c r="I88" s="1428">
        <f>SUM(I61:I87)</f>
        <v>0</v>
      </c>
      <c r="J88" s="757"/>
      <c r="K88" s="1181" t="str">
        <f t="shared" si="22"/>
        <v/>
      </c>
      <c r="L88" s="754" t="str">
        <f t="shared" si="23"/>
        <v/>
      </c>
      <c r="M88" s="755" t="str">
        <f t="shared" si="24"/>
        <v/>
      </c>
      <c r="N88" s="758"/>
      <c r="U88" s="609"/>
      <c r="V88" s="609"/>
      <c r="W88" s="609"/>
      <c r="X88" s="609"/>
      <c r="Y88" s="609"/>
      <c r="Z88" s="609"/>
      <c r="AA88" s="609"/>
      <c r="AB88" s="609"/>
      <c r="AC88" s="609"/>
      <c r="AD88" s="609">
        <f>VLOOKUP("TSR"&amp;$B88,data_val_parameters,8,0)/100</f>
        <v>0.4</v>
      </c>
      <c r="AE88" s="609">
        <f>VLOOKUP("TSR"&amp;$B88,data_val_parameters,7,0)</f>
        <v>10000</v>
      </c>
      <c r="AF88" s="609" t="e">
        <f>VLOOKUP(LA_code,data_prev_year,MATCH("TSR"&amp;$B88&amp;"1",data_prev_year_headers,0),0)</f>
        <v>#N/A</v>
      </c>
      <c r="AG88" s="609" t="e">
        <f t="shared" si="25"/>
        <v>#N/A</v>
      </c>
      <c r="AH88" s="609" t="e">
        <f t="shared" si="26"/>
        <v>#N/A</v>
      </c>
      <c r="AI88" s="609" t="e">
        <f t="shared" si="27"/>
        <v>#N/A</v>
      </c>
      <c r="AJ88" s="609" t="e">
        <f t="shared" si="28"/>
        <v>#N/A</v>
      </c>
      <c r="AK88" s="609" t="e">
        <f t="shared" si="29"/>
        <v>#N/A</v>
      </c>
      <c r="AL88" s="609" t="e">
        <f t="shared" si="30"/>
        <v>#N/A</v>
      </c>
      <c r="AM88" s="609" t="str">
        <f t="shared" si="14"/>
        <v/>
      </c>
      <c r="AN88" s="609"/>
      <c r="AO88" s="609"/>
      <c r="AP88" s="609"/>
      <c r="AW88" s="609"/>
    </row>
    <row r="89" spans="1:49" ht="15.5" x14ac:dyDescent="0.35">
      <c r="A89" s="280" t="s">
        <v>325</v>
      </c>
      <c r="B89" s="848">
        <v>897</v>
      </c>
      <c r="C89" s="849" t="s">
        <v>1483</v>
      </c>
      <c r="D89" s="768"/>
      <c r="E89" s="760"/>
      <c r="F89" s="345"/>
      <c r="G89" s="345"/>
      <c r="H89" s="345"/>
      <c r="I89" s="839">
        <f>I105</f>
        <v>0</v>
      </c>
      <c r="J89" s="757"/>
      <c r="K89" s="1181" t="str">
        <f>IF(ISERROR(L89),"",IF((L89="Error"),"add explanation",IF((L89="Warning"),"add explanation","")))</f>
        <v/>
      </c>
      <c r="L89" s="754" t="str">
        <f>IF(AM89="Warning","Warning","")</f>
        <v/>
      </c>
      <c r="M89" s="755" t="str">
        <f>IF($L89="Warning","This year's figure is over "&amp;AE89/1000&amp;" million and "&amp;(AD89*100)&amp;"% different to "&amp;TEXT(AF89,"#,###")&amp;" last year, please explain","")</f>
        <v/>
      </c>
      <c r="N89" s="758"/>
      <c r="U89" s="609"/>
      <c r="V89" s="609"/>
      <c r="W89" s="609"/>
      <c r="X89" s="609"/>
      <c r="Y89" s="609"/>
      <c r="Z89" s="609"/>
      <c r="AA89" s="609"/>
      <c r="AB89" s="609"/>
      <c r="AC89" s="609"/>
      <c r="AD89" s="609">
        <f>VLOOKUP("TSR"&amp;$B89,data_val_parameters,8,0)/100</f>
        <v>0.4</v>
      </c>
      <c r="AE89" s="609">
        <f>VLOOKUP("TSR"&amp;$B89,data_val_parameters,7,0)</f>
        <v>10000</v>
      </c>
      <c r="AF89" s="609" t="e">
        <f>VLOOKUP(LA_code,data_prev_year,MATCH("TSR"&amp;$B89&amp;"1",data_prev_year_headers,0),0)</f>
        <v>#N/A</v>
      </c>
      <c r="AG89" s="609" t="e">
        <f t="shared" si="25"/>
        <v>#N/A</v>
      </c>
      <c r="AH89" s="609" t="e">
        <f t="shared" si="26"/>
        <v>#N/A</v>
      </c>
      <c r="AI89" s="609" t="e">
        <f t="shared" si="27"/>
        <v>#N/A</v>
      </c>
      <c r="AJ89" s="609" t="e">
        <f t="shared" si="28"/>
        <v>#N/A</v>
      </c>
      <c r="AK89" s="609" t="e">
        <f t="shared" si="29"/>
        <v>#N/A</v>
      </c>
      <c r="AL89" s="609" t="e">
        <f t="shared" si="30"/>
        <v>#N/A</v>
      </c>
      <c r="AM89" s="609" t="str">
        <f>IF(OR(I89=0),"",IF(AND(AK89="Warning",AL89="Warning"),"Warning",""))</f>
        <v/>
      </c>
      <c r="AN89" s="609"/>
      <c r="AO89" s="609"/>
      <c r="AP89" s="609"/>
      <c r="AW89" s="609"/>
    </row>
    <row r="90" spans="1:49" ht="15.5" x14ac:dyDescent="0.35">
      <c r="A90" t="s">
        <v>140</v>
      </c>
      <c r="B90" s="848">
        <v>898</v>
      </c>
      <c r="C90" s="849" t="s">
        <v>1484</v>
      </c>
      <c r="D90" s="768"/>
      <c r="E90" s="850"/>
      <c r="F90" s="726"/>
      <c r="G90" s="840"/>
      <c r="H90" s="851"/>
      <c r="I90" s="852">
        <f>SUM(I88:I89)</f>
        <v>0</v>
      </c>
      <c r="J90" s="758"/>
      <c r="K90" s="1181" t="str">
        <f>IF(ISERROR(L90),"",IF((L90="Error"),"add explanation",IF((L90="Warning"),"add explanation","")))</f>
        <v/>
      </c>
      <c r="L90" s="754" t="str">
        <f>IF(AM90="Warning","Warning","")</f>
        <v/>
      </c>
      <c r="M90" s="755" t="str">
        <f>IF($L90="Warning","This year's figure is over "&amp;AE90/1000&amp;" million and "&amp;(AD90*100)&amp;"% different to "&amp;TEXT(AF90,"#,###")&amp;" last year, please explain","")</f>
        <v/>
      </c>
      <c r="N90" s="758"/>
      <c r="O90" s="726"/>
      <c r="U90" s="609"/>
      <c r="V90" s="609"/>
      <c r="W90" s="609"/>
      <c r="X90" s="609"/>
      <c r="Y90" s="609"/>
      <c r="Z90" s="609"/>
      <c r="AA90" s="609"/>
      <c r="AB90" s="609"/>
      <c r="AC90" s="609"/>
      <c r="AD90" s="609">
        <f>VLOOKUP("TSR"&amp;$B90,data_val_parameters,8,0)/100</f>
        <v>0.4</v>
      </c>
      <c r="AE90" s="609">
        <f>VLOOKUP("TSR"&amp;$B90,data_val_parameters,7,0)</f>
        <v>10000</v>
      </c>
      <c r="AF90" s="609" t="e">
        <f>VLOOKUP(LA_code,data_prev_year,MATCH("TSR"&amp;$B90&amp;"1",data_prev_year_headers,0),0)</f>
        <v>#N/A</v>
      </c>
      <c r="AG90" s="609" t="e">
        <f t="shared" si="25"/>
        <v>#N/A</v>
      </c>
      <c r="AH90" s="609" t="e">
        <f t="shared" si="26"/>
        <v>#N/A</v>
      </c>
      <c r="AI90" s="609" t="e">
        <f t="shared" si="27"/>
        <v>#N/A</v>
      </c>
      <c r="AJ90" s="609" t="e">
        <f t="shared" si="28"/>
        <v>#N/A</v>
      </c>
      <c r="AK90" s="609" t="e">
        <f t="shared" si="29"/>
        <v>#N/A</v>
      </c>
      <c r="AL90" s="609" t="e">
        <f t="shared" si="30"/>
        <v>#N/A</v>
      </c>
      <c r="AM90" s="609" t="str">
        <f t="shared" si="14"/>
        <v/>
      </c>
      <c r="AN90" s="609"/>
      <c r="AO90" s="609"/>
      <c r="AP90" s="609"/>
      <c r="AW90" s="609"/>
    </row>
    <row r="91" spans="1:49" ht="15.5" x14ac:dyDescent="0.35">
      <c r="B91" s="768"/>
      <c r="C91" s="768"/>
      <c r="D91" s="768"/>
      <c r="E91" s="850"/>
      <c r="F91" s="726"/>
      <c r="G91" s="726"/>
      <c r="H91" s="726"/>
      <c r="I91" s="104" t="s">
        <v>743</v>
      </c>
      <c r="J91" s="758"/>
      <c r="K91" s="1188"/>
      <c r="L91" s="758"/>
      <c r="M91" s="758"/>
      <c r="N91" s="758"/>
      <c r="O91" s="726"/>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W91" s="609"/>
    </row>
    <row r="92" spans="1:49" ht="15.5" x14ac:dyDescent="0.35">
      <c r="B92" s="788"/>
      <c r="C92" s="788"/>
      <c r="D92" s="788"/>
      <c r="E92" s="111"/>
      <c r="F92" s="1"/>
      <c r="G92" s="1"/>
      <c r="H92" s="1"/>
      <c r="I92" s="795"/>
      <c r="J92" s="795"/>
      <c r="K92" s="980"/>
      <c r="L92" s="1"/>
      <c r="M92" s="1"/>
      <c r="N92" s="1"/>
      <c r="O92" s="1"/>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W92" s="609"/>
    </row>
    <row r="93" spans="1:49" ht="15.5" x14ac:dyDescent="0.35">
      <c r="B93" s="853"/>
      <c r="C93" s="853"/>
      <c r="D93" s="853"/>
      <c r="E93" s="853"/>
      <c r="F93" s="854"/>
      <c r="G93" s="854"/>
      <c r="H93" s="854"/>
      <c r="I93" s="855"/>
      <c r="J93" s="855"/>
      <c r="K93" s="1190"/>
      <c r="L93" s="854"/>
      <c r="M93" s="854"/>
      <c r="N93" s="854"/>
      <c r="O93" s="854"/>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W93" s="609"/>
    </row>
    <row r="94" spans="1:49" ht="15.5" hidden="1" x14ac:dyDescent="0.35">
      <c r="A94" t="s">
        <v>1485</v>
      </c>
      <c r="B94" s="111"/>
      <c r="C94" s="111"/>
      <c r="D94" s="952" t="s">
        <v>44</v>
      </c>
      <c r="E94" s="111"/>
      <c r="F94" s="1"/>
      <c r="G94" s="1"/>
      <c r="H94" s="345" t="s">
        <v>1486</v>
      </c>
      <c r="I94" s="811" t="s">
        <v>1487</v>
      </c>
      <c r="J94" s="795"/>
      <c r="K94" s="980"/>
      <c r="L94" s="1"/>
      <c r="M94" s="1"/>
      <c r="N94" s="1"/>
      <c r="O94" s="1"/>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W94" s="609"/>
    </row>
    <row r="95" spans="1:49" ht="18" x14ac:dyDescent="0.4">
      <c r="B95" s="759" t="s">
        <v>1488</v>
      </c>
      <c r="C95" s="759"/>
      <c r="D95" s="759"/>
      <c r="E95" s="111"/>
      <c r="H95" s="77" t="s">
        <v>1489</v>
      </c>
      <c r="I95" s="856" t="s">
        <v>1490</v>
      </c>
      <c r="K95" s="980"/>
      <c r="L95" s="1"/>
      <c r="M95" s="1"/>
      <c r="N95" s="1"/>
      <c r="O95" s="1"/>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W95" s="609"/>
    </row>
    <row r="96" spans="1:49" ht="15.5" x14ac:dyDescent="0.35">
      <c r="E96" s="111"/>
      <c r="H96" s="77" t="s">
        <v>1491</v>
      </c>
      <c r="I96" s="856" t="s">
        <v>1491</v>
      </c>
      <c r="K96" s="980"/>
      <c r="L96" s="1"/>
      <c r="M96" s="1"/>
      <c r="N96" s="1"/>
      <c r="O96" s="1"/>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W96" s="609"/>
    </row>
    <row r="97" spans="1:49" ht="15.5" x14ac:dyDescent="0.35">
      <c r="B97" s="111"/>
      <c r="C97" s="111"/>
      <c r="D97" s="111"/>
      <c r="E97" s="111"/>
      <c r="H97" s="77" t="s">
        <v>1492</v>
      </c>
      <c r="I97" s="856" t="s">
        <v>1492</v>
      </c>
      <c r="K97" s="980"/>
      <c r="L97" s="1"/>
      <c r="M97" s="1"/>
      <c r="N97" s="1"/>
      <c r="O97" s="1"/>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W97" s="609"/>
    </row>
    <row r="98" spans="1:49" ht="15.5" x14ac:dyDescent="0.35">
      <c r="B98" s="111"/>
      <c r="C98" s="111"/>
      <c r="D98" s="111"/>
      <c r="E98" s="111"/>
      <c r="H98" s="771" t="s">
        <v>60</v>
      </c>
      <c r="I98" s="771" t="s">
        <v>60</v>
      </c>
      <c r="K98" s="980"/>
      <c r="L98" s="1"/>
      <c r="M98" s="1"/>
      <c r="N98" s="1"/>
      <c r="O98" s="1"/>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W98" s="609"/>
    </row>
    <row r="99" spans="1:49" ht="15.5" x14ac:dyDescent="0.35">
      <c r="B99" t="str">
        <f>CONCATENATE(E99," ",F99)</f>
        <v xml:space="preserve"> </v>
      </c>
      <c r="E99" s="111"/>
      <c r="I99" s="795"/>
      <c r="K99" s="980"/>
      <c r="L99" s="1"/>
      <c r="M99" s="1"/>
      <c r="N99" s="1"/>
      <c r="O99" s="1"/>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W99" s="609"/>
    </row>
    <row r="100" spans="1:49" ht="15.5" x14ac:dyDescent="0.35">
      <c r="A100" t="s">
        <v>303</v>
      </c>
      <c r="B100" s="831">
        <v>931</v>
      </c>
      <c r="C100" s="785" t="s">
        <v>304</v>
      </c>
      <c r="D100" s="3"/>
      <c r="E100" s="111"/>
      <c r="H100" s="1224"/>
      <c r="I100" s="1224"/>
      <c r="K100" s="1181" t="str">
        <f t="shared" ref="K100" si="32">IF(ISERROR(L100),"",IF((L100="Error"),"add explanation",IF((L100="Warning"),"add explanation","")))</f>
        <v/>
      </c>
      <c r="L100" s="754" t="str">
        <f>IF(OR(AM100="Warning",AW100="Warning"),"Warning","")</f>
        <v/>
      </c>
      <c r="M100" s="755" t="str">
        <f>IF($AM100="Warning","This year's External Trading accounts figure is over "&amp;AE100/1000&amp;" million and "&amp;(AD100*100)&amp;"% different to "&amp;TEXT(AF100,"#,###")&amp;" last year, please explain","")</f>
        <v/>
      </c>
      <c r="N100" s="690" t="str">
        <f>IF($AW100="Warning","This year's Internal Trading accounts figure is over "&amp;AO100/1000&amp;" million and "&amp;(AN100*100)&amp;"% different to "&amp;TEXT(AP100,"#,###")&amp;" last year, please explain","")</f>
        <v/>
      </c>
      <c r="O100" s="1"/>
      <c r="U100" s="609"/>
      <c r="V100" s="609"/>
      <c r="W100" s="609"/>
      <c r="X100" s="609"/>
      <c r="Y100" s="609"/>
      <c r="Z100" s="609"/>
      <c r="AA100" s="609"/>
      <c r="AB100" s="609"/>
      <c r="AC100" s="609"/>
      <c r="AD100" s="609">
        <f t="shared" ref="AD100:AD105" si="33">VLOOKUP("TSR"&amp;$B100,data_val_parameters,8,0)/100</f>
        <v>0.4</v>
      </c>
      <c r="AE100" s="609">
        <f t="shared" ref="AE100:AE105" si="34">VLOOKUP("TSR"&amp;$B100,data_val_parameters,7,0)</f>
        <v>10000</v>
      </c>
      <c r="AF100" s="609" t="e">
        <f t="shared" ref="AF100:AF105" si="35">VLOOKUP(LA_code,data_prev_year,MATCH("TSR"&amp;$B100&amp;"2",data_prev_year_headers,0),0)</f>
        <v>#N/A</v>
      </c>
      <c r="AG100" s="609" t="e">
        <f t="shared" si="25"/>
        <v>#N/A</v>
      </c>
      <c r="AH100" s="609" t="e">
        <f t="shared" si="26"/>
        <v>#N/A</v>
      </c>
      <c r="AI100" s="609" t="e">
        <f t="shared" si="27"/>
        <v>#N/A</v>
      </c>
      <c r="AJ100" s="609" t="e">
        <f t="shared" si="28"/>
        <v>#N/A</v>
      </c>
      <c r="AK100" s="609" t="e">
        <f>IF(OR(H100&lt;AH100,H100&gt;AG100),"Warning","")</f>
        <v>#N/A</v>
      </c>
      <c r="AL100" s="609" t="e">
        <f t="shared" ref="AL100:AL105" si="36">IF(OR(H100&gt;(AI100),H100&lt;(AJ100)),"Warning","")</f>
        <v>#N/A</v>
      </c>
      <c r="AM100" s="609" t="str">
        <f t="shared" ref="AM100:AM105" si="37">IF(OR(H100=0),"",IF(AND(AK100="Warning",AL100="Warning"),"Warning",""))</f>
        <v/>
      </c>
      <c r="AN100" s="609">
        <f t="shared" ref="AN100:AN105" si="38">VLOOKUP("TSR"&amp;$B100,data_val_parameters,8,0)/100</f>
        <v>0.4</v>
      </c>
      <c r="AO100" s="609">
        <f t="shared" ref="AO100:AO105" si="39">VLOOKUP("TSR"&amp;$B100,data_val_parameters,7,0)</f>
        <v>10000</v>
      </c>
      <c r="AP100" s="609" t="e">
        <f t="shared" ref="AP100:AP105" si="40">VLOOKUP(LA_code,data_prev_year,MATCH("TSR"&amp;$B100&amp;"2",data_prev_year_headers,0),0)</f>
        <v>#N/A</v>
      </c>
      <c r="AQ100" t="e">
        <f t="shared" ref="AQ100:AQ105" si="41">AP100+AO100</f>
        <v>#N/A</v>
      </c>
      <c r="AR100" t="e">
        <f t="shared" ref="AR100:AR105" si="42">AP100-AO100</f>
        <v>#N/A</v>
      </c>
      <c r="AS100" t="e">
        <f t="shared" ref="AS100:AS105" si="43">AP100+(AP100*AN100)</f>
        <v>#N/A</v>
      </c>
      <c r="AT100" t="e">
        <f t="shared" ref="AT100:AT105" si="44">AP100-(AP100*AN100)</f>
        <v>#N/A</v>
      </c>
      <c r="AU100" t="e">
        <f>IF(OR(I100&lt;AR100,I100&gt;AQ100),"Warning","")</f>
        <v>#N/A</v>
      </c>
      <c r="AV100" t="e">
        <f>IF(OR(I100&gt;(AS100),I100&lt;(AT100)),"Warning","")</f>
        <v>#N/A</v>
      </c>
      <c r="AW100" s="609" t="str">
        <f>IF(OR(I100=0),"",IF(AND(AU100="Warning",AV100="Warning"),"Warning",""))</f>
        <v/>
      </c>
    </row>
    <row r="101" spans="1:49" ht="15.5" x14ac:dyDescent="0.35">
      <c r="A101" t="s">
        <v>305</v>
      </c>
      <c r="B101" s="831">
        <v>933</v>
      </c>
      <c r="C101" s="785" t="s">
        <v>306</v>
      </c>
      <c r="D101" s="3"/>
      <c r="E101" s="111"/>
      <c r="F101" s="1"/>
      <c r="G101" s="1"/>
      <c r="H101" s="1224"/>
      <c r="I101" s="1224"/>
      <c r="K101" s="1181" t="str">
        <f t="shared" ref="K101:K105" si="45">IF(ISERROR(L101),"",IF((L101="Error"),"add explanation",IF((L101="Warning"),"add explanation","")))</f>
        <v/>
      </c>
      <c r="L101" s="754" t="e">
        <f t="shared" ref="L101:L105" si="46">IF(OR(AM101="Warning",AW101="Warning"),"Warning","")</f>
        <v>#N/A</v>
      </c>
      <c r="M101" s="755" t="str">
        <f t="shared" ref="M101:M105" si="47">IF($AM101="Warning","This year's External Trading accounts figure is over "&amp;AE101/1000&amp;" million and "&amp;(AD101*100)&amp;"% different to "&amp;TEXT(AF101,"#,###")&amp;" last year, please explain","")</f>
        <v/>
      </c>
      <c r="N101" s="690" t="e">
        <f t="shared" ref="N101:N105" si="48">IF($AW101="Warning","This year's Internal Trading accounts figure is over "&amp;AO101/1000&amp;" million and "&amp;(AN101*100)&amp;"% different to "&amp;TEXT(AP101,"#,###")&amp;" last year, please explain","")</f>
        <v>#N/A</v>
      </c>
      <c r="O101" s="1"/>
      <c r="U101" s="609"/>
      <c r="V101" s="609"/>
      <c r="W101" s="609"/>
      <c r="X101" s="609"/>
      <c r="Y101" s="609"/>
      <c r="Z101" s="609"/>
      <c r="AA101" s="609"/>
      <c r="AB101" s="609"/>
      <c r="AC101" s="609"/>
      <c r="AD101" s="609">
        <f t="shared" si="33"/>
        <v>0.4</v>
      </c>
      <c r="AE101" s="609">
        <f t="shared" si="34"/>
        <v>10000</v>
      </c>
      <c r="AF101" s="609" t="e">
        <f t="shared" si="35"/>
        <v>#N/A</v>
      </c>
      <c r="AG101" s="609" t="e">
        <f t="shared" si="25"/>
        <v>#N/A</v>
      </c>
      <c r="AH101" s="609" t="e">
        <f t="shared" si="26"/>
        <v>#N/A</v>
      </c>
      <c r="AI101" s="609" t="e">
        <f t="shared" si="27"/>
        <v>#N/A</v>
      </c>
      <c r="AJ101" s="609" t="e">
        <f t="shared" si="28"/>
        <v>#N/A</v>
      </c>
      <c r="AK101" s="609" t="e">
        <f t="shared" ref="AK101:AK105" si="49">IF(OR(H101&lt;AH101,H101&gt;AG101),"Warning","")</f>
        <v>#N/A</v>
      </c>
      <c r="AL101" s="609" t="e">
        <f t="shared" si="36"/>
        <v>#N/A</v>
      </c>
      <c r="AM101" s="609" t="str">
        <f t="shared" si="37"/>
        <v/>
      </c>
      <c r="AN101" s="609">
        <f t="shared" si="38"/>
        <v>0.4</v>
      </c>
      <c r="AO101" s="609">
        <f t="shared" si="39"/>
        <v>10000</v>
      </c>
      <c r="AP101" s="609" t="e">
        <f t="shared" si="40"/>
        <v>#N/A</v>
      </c>
      <c r="AQ101" t="e">
        <f t="shared" si="41"/>
        <v>#N/A</v>
      </c>
      <c r="AR101" t="e">
        <f t="shared" si="42"/>
        <v>#N/A</v>
      </c>
      <c r="AS101" t="e">
        <f t="shared" si="43"/>
        <v>#N/A</v>
      </c>
      <c r="AT101" t="e">
        <f t="shared" si="44"/>
        <v>#N/A</v>
      </c>
      <c r="AU101" t="e">
        <f>IF(OR(I101&lt;AR101,I101&gt;AQ101),"Warning","")</f>
        <v>#N/A</v>
      </c>
      <c r="AV101" t="e">
        <f>IF(OR(I101&gt;(AS101),I101&lt;(AT101)),"Warning","")</f>
        <v>#N/A</v>
      </c>
      <c r="AW101" s="609" t="e">
        <f>IF(OR(101=0),"",IF(AND(AU101="Warning",AV101="Warning"),"Warning",""))</f>
        <v>#N/A</v>
      </c>
    </row>
    <row r="102" spans="1:49" ht="15.5" x14ac:dyDescent="0.35">
      <c r="A102" t="s">
        <v>311</v>
      </c>
      <c r="B102" s="831">
        <v>934</v>
      </c>
      <c r="C102" s="836" t="s">
        <v>312</v>
      </c>
      <c r="D102" s="763"/>
      <c r="E102" s="760"/>
      <c r="F102" s="1"/>
      <c r="G102" s="1"/>
      <c r="H102" s="1224"/>
      <c r="I102" s="1224"/>
      <c r="K102" s="1181" t="str">
        <f t="shared" si="45"/>
        <v/>
      </c>
      <c r="L102" s="754" t="str">
        <f t="shared" si="46"/>
        <v/>
      </c>
      <c r="M102" s="755" t="str">
        <f t="shared" si="47"/>
        <v/>
      </c>
      <c r="N102" s="690" t="str">
        <f t="shared" si="48"/>
        <v/>
      </c>
      <c r="O102" s="1"/>
      <c r="U102" s="609"/>
      <c r="V102" s="609"/>
      <c r="W102" s="609"/>
      <c r="X102" s="609"/>
      <c r="Y102" s="609"/>
      <c r="Z102" s="609"/>
      <c r="AA102" s="609"/>
      <c r="AB102" s="609"/>
      <c r="AC102" s="609"/>
      <c r="AD102" s="609">
        <f t="shared" si="33"/>
        <v>0.4</v>
      </c>
      <c r="AE102" s="609">
        <f t="shared" si="34"/>
        <v>10000</v>
      </c>
      <c r="AF102" s="609" t="e">
        <f t="shared" si="35"/>
        <v>#N/A</v>
      </c>
      <c r="AG102" s="609" t="e">
        <f t="shared" si="25"/>
        <v>#N/A</v>
      </c>
      <c r="AH102" s="609" t="e">
        <f t="shared" si="26"/>
        <v>#N/A</v>
      </c>
      <c r="AI102" s="609" t="e">
        <f t="shared" si="27"/>
        <v>#N/A</v>
      </c>
      <c r="AJ102" s="609" t="e">
        <f t="shared" si="28"/>
        <v>#N/A</v>
      </c>
      <c r="AK102" s="609" t="e">
        <f t="shared" si="49"/>
        <v>#N/A</v>
      </c>
      <c r="AL102" s="609" t="e">
        <f t="shared" si="36"/>
        <v>#N/A</v>
      </c>
      <c r="AM102" s="609" t="str">
        <f t="shared" si="37"/>
        <v/>
      </c>
      <c r="AN102" s="609">
        <f t="shared" si="38"/>
        <v>0.4</v>
      </c>
      <c r="AO102" s="609">
        <f t="shared" si="39"/>
        <v>10000</v>
      </c>
      <c r="AP102" s="609" t="e">
        <f t="shared" si="40"/>
        <v>#N/A</v>
      </c>
      <c r="AQ102" t="e">
        <f t="shared" si="41"/>
        <v>#N/A</v>
      </c>
      <c r="AR102" t="e">
        <f t="shared" si="42"/>
        <v>#N/A</v>
      </c>
      <c r="AS102" t="e">
        <f t="shared" si="43"/>
        <v>#N/A</v>
      </c>
      <c r="AT102" t="e">
        <f t="shared" si="44"/>
        <v>#N/A</v>
      </c>
      <c r="AU102" t="e">
        <f t="shared" ref="AU102:AU105" si="50">IF(OR(I102&lt;AR102,I102&gt;AQ102),"Warning","")</f>
        <v>#N/A</v>
      </c>
      <c r="AV102" t="e">
        <f t="shared" ref="AV102:AV105" si="51">IF(OR(I102&gt;(AS102),I102&lt;(AT102)),"Warning","")</f>
        <v>#N/A</v>
      </c>
      <c r="AW102" s="609" t="str">
        <f>IF(OR(I102=0),"",IF(AND(AU102="Warning",AV102="Warning"),"Warning",""))</f>
        <v/>
      </c>
    </row>
    <row r="103" spans="1:49" ht="15.5" x14ac:dyDescent="0.35">
      <c r="A103" t="s">
        <v>321</v>
      </c>
      <c r="B103" s="831">
        <v>935</v>
      </c>
      <c r="C103" s="836" t="s">
        <v>322</v>
      </c>
      <c r="D103" s="763"/>
      <c r="E103" s="760"/>
      <c r="F103" s="345"/>
      <c r="G103" s="345"/>
      <c r="H103" s="1224"/>
      <c r="I103" s="1224"/>
      <c r="K103" s="1181" t="str">
        <f t="shared" si="45"/>
        <v/>
      </c>
      <c r="L103" s="754" t="str">
        <f t="shared" si="46"/>
        <v/>
      </c>
      <c r="M103" s="755" t="str">
        <f t="shared" si="47"/>
        <v/>
      </c>
      <c r="N103" s="690" t="str">
        <f t="shared" si="48"/>
        <v/>
      </c>
      <c r="O103" s="1"/>
      <c r="U103" s="609"/>
      <c r="V103" s="609"/>
      <c r="W103" s="609"/>
      <c r="X103" s="609"/>
      <c r="Y103" s="609"/>
      <c r="Z103" s="609"/>
      <c r="AA103" s="609"/>
      <c r="AB103" s="609"/>
      <c r="AC103" s="609"/>
      <c r="AD103" s="609">
        <f t="shared" si="33"/>
        <v>0.4</v>
      </c>
      <c r="AE103" s="609">
        <f t="shared" si="34"/>
        <v>10000</v>
      </c>
      <c r="AF103" s="609" t="e">
        <f t="shared" si="35"/>
        <v>#N/A</v>
      </c>
      <c r="AG103" s="609" t="e">
        <f t="shared" si="25"/>
        <v>#N/A</v>
      </c>
      <c r="AH103" s="609" t="e">
        <f t="shared" si="26"/>
        <v>#N/A</v>
      </c>
      <c r="AI103" s="609" t="e">
        <f t="shared" si="27"/>
        <v>#N/A</v>
      </c>
      <c r="AJ103" s="609" t="e">
        <f t="shared" si="28"/>
        <v>#N/A</v>
      </c>
      <c r="AK103" s="609" t="e">
        <f t="shared" si="49"/>
        <v>#N/A</v>
      </c>
      <c r="AL103" s="609" t="e">
        <f t="shared" si="36"/>
        <v>#N/A</v>
      </c>
      <c r="AM103" s="609" t="str">
        <f t="shared" si="37"/>
        <v/>
      </c>
      <c r="AN103" s="609">
        <f t="shared" si="38"/>
        <v>0.4</v>
      </c>
      <c r="AO103" s="609">
        <f t="shared" si="39"/>
        <v>10000</v>
      </c>
      <c r="AP103" s="609" t="e">
        <f t="shared" si="40"/>
        <v>#N/A</v>
      </c>
      <c r="AQ103" t="e">
        <f t="shared" si="41"/>
        <v>#N/A</v>
      </c>
      <c r="AR103" t="e">
        <f t="shared" si="42"/>
        <v>#N/A</v>
      </c>
      <c r="AS103" t="e">
        <f t="shared" si="43"/>
        <v>#N/A</v>
      </c>
      <c r="AT103" t="e">
        <f t="shared" si="44"/>
        <v>#N/A</v>
      </c>
      <c r="AU103" t="e">
        <f t="shared" si="50"/>
        <v>#N/A</v>
      </c>
      <c r="AV103" t="e">
        <f t="shared" si="51"/>
        <v>#N/A</v>
      </c>
      <c r="AW103" s="609" t="str">
        <f>IF(OR(I103=0),"",IF(AND(AU103="Warning",AV103="Warning"),"Warning",""))</f>
        <v/>
      </c>
    </row>
    <row r="104" spans="1:49" ht="15.5" x14ac:dyDescent="0.35">
      <c r="A104" t="s">
        <v>323</v>
      </c>
      <c r="B104" s="831">
        <v>936</v>
      </c>
      <c r="C104" s="836" t="s">
        <v>324</v>
      </c>
      <c r="D104" s="763"/>
      <c r="E104" s="763"/>
      <c r="F104" s="345"/>
      <c r="G104" s="345"/>
      <c r="H104" s="1224"/>
      <c r="I104" s="1224"/>
      <c r="K104" s="1181" t="str">
        <f t="shared" si="45"/>
        <v/>
      </c>
      <c r="L104" s="754" t="str">
        <f t="shared" si="46"/>
        <v/>
      </c>
      <c r="M104" s="755" t="str">
        <f t="shared" si="47"/>
        <v/>
      </c>
      <c r="N104" s="690" t="str">
        <f t="shared" si="48"/>
        <v/>
      </c>
      <c r="O104" s="1"/>
      <c r="U104" s="609"/>
      <c r="V104" s="609"/>
      <c r="W104" s="609"/>
      <c r="X104" s="609"/>
      <c r="Y104" s="609"/>
      <c r="Z104" s="609"/>
      <c r="AA104" s="609"/>
      <c r="AB104" s="609"/>
      <c r="AC104" s="609"/>
      <c r="AD104" s="609">
        <f t="shared" si="33"/>
        <v>0.4</v>
      </c>
      <c r="AE104" s="609">
        <f t="shared" si="34"/>
        <v>10000</v>
      </c>
      <c r="AF104" s="609" t="e">
        <f t="shared" si="35"/>
        <v>#N/A</v>
      </c>
      <c r="AG104" s="609" t="e">
        <f t="shared" si="25"/>
        <v>#N/A</v>
      </c>
      <c r="AH104" s="609" t="e">
        <f t="shared" si="26"/>
        <v>#N/A</v>
      </c>
      <c r="AI104" s="609" t="e">
        <f t="shared" si="27"/>
        <v>#N/A</v>
      </c>
      <c r="AJ104" s="609" t="e">
        <f t="shared" si="28"/>
        <v>#N/A</v>
      </c>
      <c r="AK104" s="609" t="e">
        <f t="shared" si="49"/>
        <v>#N/A</v>
      </c>
      <c r="AL104" s="609" t="e">
        <f t="shared" si="36"/>
        <v>#N/A</v>
      </c>
      <c r="AM104" s="609" t="str">
        <f t="shared" si="37"/>
        <v/>
      </c>
      <c r="AN104" s="609">
        <f t="shared" si="38"/>
        <v>0.4</v>
      </c>
      <c r="AO104" s="609">
        <f t="shared" si="39"/>
        <v>10000</v>
      </c>
      <c r="AP104" s="609" t="e">
        <f t="shared" si="40"/>
        <v>#N/A</v>
      </c>
      <c r="AQ104" t="e">
        <f t="shared" si="41"/>
        <v>#N/A</v>
      </c>
      <c r="AR104" t="e">
        <f t="shared" si="42"/>
        <v>#N/A</v>
      </c>
      <c r="AS104" t="e">
        <f t="shared" si="43"/>
        <v>#N/A</v>
      </c>
      <c r="AT104" t="e">
        <f t="shared" si="44"/>
        <v>#N/A</v>
      </c>
      <c r="AU104" t="e">
        <f t="shared" si="50"/>
        <v>#N/A</v>
      </c>
      <c r="AV104" t="e">
        <f t="shared" si="51"/>
        <v>#N/A</v>
      </c>
      <c r="AW104" s="609" t="str">
        <f>IF(OR(I104=0),"",IF(AND(AU104="Warning",AV104="Warning"),"Warning",""))</f>
        <v/>
      </c>
    </row>
    <row r="105" spans="1:49" ht="15.5" x14ac:dyDescent="0.35">
      <c r="A105" t="s">
        <v>1493</v>
      </c>
      <c r="B105" s="838">
        <v>939</v>
      </c>
      <c r="C105" s="838" t="s">
        <v>1494</v>
      </c>
      <c r="D105" s="794"/>
      <c r="E105" s="857"/>
      <c r="F105" s="34"/>
      <c r="G105" s="34"/>
      <c r="H105" s="1225">
        <f>SUM(H100:H104)</f>
        <v>0</v>
      </c>
      <c r="I105" s="1225">
        <f>SUM(I100:I104)</f>
        <v>0</v>
      </c>
      <c r="K105" s="1181" t="str">
        <f t="shared" si="45"/>
        <v/>
      </c>
      <c r="L105" s="754" t="str">
        <f t="shared" si="46"/>
        <v/>
      </c>
      <c r="M105" s="755" t="str">
        <f t="shared" si="47"/>
        <v/>
      </c>
      <c r="N105" s="690" t="str">
        <f t="shared" si="48"/>
        <v/>
      </c>
      <c r="O105" s="34"/>
      <c r="U105" s="609"/>
      <c r="V105" s="609"/>
      <c r="W105" s="609"/>
      <c r="X105" s="609"/>
      <c r="Y105" s="609"/>
      <c r="Z105" s="609"/>
      <c r="AA105" s="609"/>
      <c r="AB105" s="609"/>
      <c r="AC105" s="609"/>
      <c r="AD105" s="609">
        <f t="shared" si="33"/>
        <v>0.4</v>
      </c>
      <c r="AE105" s="609">
        <f t="shared" si="34"/>
        <v>10000</v>
      </c>
      <c r="AF105" s="609" t="e">
        <f t="shared" si="35"/>
        <v>#N/A</v>
      </c>
      <c r="AG105" s="609" t="e">
        <f t="shared" si="25"/>
        <v>#N/A</v>
      </c>
      <c r="AH105" s="609" t="e">
        <f t="shared" si="26"/>
        <v>#N/A</v>
      </c>
      <c r="AI105" s="609" t="e">
        <f t="shared" si="27"/>
        <v>#N/A</v>
      </c>
      <c r="AJ105" s="609" t="e">
        <f t="shared" si="28"/>
        <v>#N/A</v>
      </c>
      <c r="AK105" s="609" t="e">
        <f t="shared" si="49"/>
        <v>#N/A</v>
      </c>
      <c r="AL105" s="609" t="e">
        <f t="shared" si="36"/>
        <v>#N/A</v>
      </c>
      <c r="AM105" s="609" t="str">
        <f t="shared" si="37"/>
        <v/>
      </c>
      <c r="AN105" s="609">
        <f t="shared" si="38"/>
        <v>0.4</v>
      </c>
      <c r="AO105" s="609">
        <f t="shared" si="39"/>
        <v>10000</v>
      </c>
      <c r="AP105" s="609" t="e">
        <f t="shared" si="40"/>
        <v>#N/A</v>
      </c>
      <c r="AQ105" t="e">
        <f t="shared" si="41"/>
        <v>#N/A</v>
      </c>
      <c r="AR105" t="e">
        <f t="shared" si="42"/>
        <v>#N/A</v>
      </c>
      <c r="AS105" t="e">
        <f t="shared" si="43"/>
        <v>#N/A</v>
      </c>
      <c r="AT105" t="e">
        <f t="shared" si="44"/>
        <v>#N/A</v>
      </c>
      <c r="AU105" t="e">
        <f t="shared" si="50"/>
        <v>#N/A</v>
      </c>
      <c r="AV105" t="e">
        <f t="shared" si="51"/>
        <v>#N/A</v>
      </c>
      <c r="AW105" s="609" t="str">
        <f>IF(OR(I105=0),"",IF(AND(AU105="Warning",AV105="Warning"),"Warning",""))</f>
        <v/>
      </c>
    </row>
    <row r="106" spans="1:49" ht="15.5" x14ac:dyDescent="0.35">
      <c r="B106" s="858" t="s">
        <v>1495</v>
      </c>
      <c r="C106" s="858"/>
      <c r="D106" s="817"/>
      <c r="E106" s="111"/>
      <c r="F106" s="1"/>
      <c r="G106" s="1"/>
      <c r="H106" s="1"/>
      <c r="I106" s="859" t="str">
        <f>IF(H105&lt;&gt;I56,"The above figure must equal line 697","")</f>
        <v/>
      </c>
      <c r="J106" s="859" t="str">
        <f>IF(I105&lt;&gt;I89,"The above figure must equal line 897","")</f>
        <v/>
      </c>
      <c r="K106" s="1"/>
      <c r="L106" s="1"/>
      <c r="M106" s="1"/>
      <c r="N106" s="1"/>
      <c r="O106" s="1"/>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W106" s="609"/>
    </row>
    <row r="107" spans="1:49" ht="15.5" x14ac:dyDescent="0.35">
      <c r="B107" s="111"/>
      <c r="C107" s="111"/>
      <c r="D107" s="111"/>
      <c r="E107" s="111"/>
      <c r="F107" s="1"/>
      <c r="G107" s="1"/>
      <c r="H107" s="1"/>
      <c r="I107" s="841" t="str">
        <f>IF(H105=I56,"","ERROR: Line 939 col 1 must equal line 697. ")</f>
        <v/>
      </c>
      <c r="J107" s="795"/>
      <c r="K107" s="1"/>
      <c r="L107" s="1"/>
      <c r="M107" s="1"/>
      <c r="N107" s="1"/>
      <c r="O107" s="1"/>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W107" s="609"/>
    </row>
    <row r="108" spans="1:49" ht="15.5" x14ac:dyDescent="0.35">
      <c r="B108" s="860"/>
      <c r="C108" s="860"/>
      <c r="D108" s="860"/>
      <c r="E108" s="111"/>
      <c r="F108" s="1"/>
      <c r="G108" s="1"/>
      <c r="H108" s="1"/>
      <c r="I108" s="795"/>
      <c r="J108" s="795"/>
      <c r="K108" s="1"/>
      <c r="L108" s="1"/>
      <c r="M108" s="1"/>
      <c r="N108" s="1"/>
      <c r="O108" s="1"/>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W108" s="609"/>
    </row>
    <row r="109" spans="1:49" ht="15.5" x14ac:dyDescent="0.35">
      <c r="B109" s="111"/>
      <c r="C109" s="111"/>
      <c r="D109" s="111"/>
      <c r="E109" s="111"/>
      <c r="F109" s="1"/>
      <c r="G109" s="1"/>
      <c r="H109" s="1"/>
      <c r="I109" s="795"/>
      <c r="J109" s="795"/>
      <c r="K109" s="1"/>
      <c r="L109" s="1"/>
      <c r="M109" s="1"/>
      <c r="N109" s="1"/>
      <c r="O109" s="1"/>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W109" s="609"/>
    </row>
    <row r="110" spans="1:49" ht="15.5" x14ac:dyDescent="0.35">
      <c r="B110" s="111"/>
      <c r="C110" s="111"/>
      <c r="D110" s="111"/>
      <c r="E110" s="111"/>
      <c r="F110" s="1"/>
      <c r="G110" s="1"/>
      <c r="H110" s="1"/>
      <c r="I110" s="795"/>
      <c r="J110" s="795"/>
      <c r="K110" s="1"/>
      <c r="L110" s="1"/>
      <c r="M110" s="1"/>
      <c r="N110" s="1"/>
      <c r="O110" s="1"/>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W110" s="609"/>
    </row>
    <row r="111" spans="1:49" x14ac:dyDescent="0.25">
      <c r="B111" s="22"/>
      <c r="C111" s="22"/>
      <c r="D111" s="22"/>
      <c r="E111" s="22"/>
      <c r="F111" s="22"/>
      <c r="G111" s="22"/>
      <c r="H111" s="22"/>
      <c r="I111" s="22"/>
      <c r="J111" s="22"/>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W111" s="609"/>
    </row>
    <row r="112" spans="1:49" ht="15.5" x14ac:dyDescent="0.35">
      <c r="O112" s="77"/>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W112" s="609"/>
    </row>
    <row r="113" spans="21:49" x14ac:dyDescent="0.25">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W113" s="609"/>
    </row>
    <row r="114" spans="21:49" x14ac:dyDescent="0.25">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W114" s="609"/>
    </row>
    <row r="115" spans="21:49" x14ac:dyDescent="0.25">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W115" s="609"/>
    </row>
    <row r="116" spans="21:49" x14ac:dyDescent="0.25">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W116" s="609"/>
    </row>
    <row r="117" spans="21:49" x14ac:dyDescent="0.25">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W117" s="609"/>
    </row>
    <row r="118" spans="21:49" x14ac:dyDescent="0.25">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W118" s="609"/>
    </row>
    <row r="119" spans="21:49" x14ac:dyDescent="0.25">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W119" s="609"/>
    </row>
    <row r="120" spans="21:49" x14ac:dyDescent="0.25"/>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7">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1:L90">
    <cfRule type="containsText" dxfId="8" priority="4" operator="containsText" text="Information">
      <formula>NOT(ISERROR(SEARCH("Information",L61)))</formula>
    </cfRule>
    <cfRule type="containsText" dxfId="7" priority="5" operator="containsText" text="Warning">
      <formula>NOT(ISERROR(SEARCH("Warning",L61)))</formula>
    </cfRule>
    <cfRule type="containsText" dxfId="6" priority="6" operator="containsText" text="Error">
      <formula>NOT(ISERROR(SEARCH("Error",L61)))</formula>
    </cfRule>
  </conditionalFormatting>
  <conditionalFormatting sqref="L100:L105">
    <cfRule type="containsText" dxfId="5" priority="1" operator="containsText" text="Information">
      <formula>NOT(ISERROR(SEARCH("Information",L100)))</formula>
    </cfRule>
    <cfRule type="containsText" dxfId="4" priority="2" operator="containsText" text="Warning">
      <formula>NOT(ISERROR(SEARCH("Warning",L100)))</formula>
    </cfRule>
    <cfRule type="containsText" dxfId="3" priority="3" operator="containsText" text="Error">
      <formula>NOT(ISERROR(SEARCH("Error",L100)))</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89" xr:uid="{00000000-0002-0000-0A00-000000000000}"/>
    <dataValidation allowBlank="1" showInputMessage="1" showErrorMessage="1" promptTitle="Line 697" prompt="Please complete the breakdown for External Trading Account capital items on lines 931 to 936" sqref="I56"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7" display="Memo!C577" xr:uid="{89B40CFC-EFFE-46DE-8073-9980BCAF0060}"/>
    <hyperlink ref="K55" location="Memo!C583" display="Memo!C583" xr:uid="{DFCA2202-10D4-4F1F-BA63-B0C2390DF35E}"/>
    <hyperlink ref="K56" location="Memo!C584" display="Memo!C584" xr:uid="{64F49E1C-2512-4698-AF62-C5CAB9AF957E}"/>
    <hyperlink ref="K57" location="Memo!C585" display="Memo!C585" xr:uid="{5EC05E95-332A-48DB-9C91-C5EF0B90EA52}"/>
    <hyperlink ref="K61" location="Memo!C586" display="Memo!C586" xr:uid="{FFA10A2C-FEBF-4B18-8642-C3299033DFAC}"/>
    <hyperlink ref="K62" location="Memo!C587" display="Memo!C587" xr:uid="{C0CEDF55-B226-4DBA-AD0B-397E42AD3A13}"/>
    <hyperlink ref="K63" location="Memo!C588" display="Memo!C588" xr:uid="{80FB307C-EA3C-4AB4-B9B4-91A32DB49C8A}"/>
    <hyperlink ref="K64" location="Memo!C589" display="Memo!C589" xr:uid="{9D00BACB-EC59-4994-B244-A9EE5CB122F2}"/>
    <hyperlink ref="K65" location="Memo!C590" display="Memo!C590" xr:uid="{2BA710C0-1613-4EB9-998E-4A8BB433763D}"/>
    <hyperlink ref="K66" location="Memo!C591" display="Memo!C591" xr:uid="{C4ADB735-DB2D-4ED7-AD53-2697E45987D5}"/>
    <hyperlink ref="K67" location="Memo!C592" display="Memo!C592" xr:uid="{13EE7E91-6109-48A6-9D37-804E6503FF6C}"/>
    <hyperlink ref="K68" location="Memo!C593" display="Memo!C593" xr:uid="{4742C91A-D6BF-456E-AC91-3116A356951F}"/>
    <hyperlink ref="K69" location="Memo!C594" display="Memo!C594" xr:uid="{C791CCF6-60F9-4424-8367-54434FEA903C}"/>
    <hyperlink ref="K70" location="Memo!C595" display="Memo!C595" xr:uid="{E676C92F-2753-457B-880D-37F8626F9DEC}"/>
    <hyperlink ref="K71" location="Memo!C596" display="Memo!C596" xr:uid="{624D98F1-A6CC-4951-A2A5-82E185143805}"/>
    <hyperlink ref="K72" location="Memo!C597" display="Memo!C597" xr:uid="{4833E5CB-3812-494D-BEF4-5DC84ED0CCE2}"/>
    <hyperlink ref="K73" location="Memo!C598" display="Memo!C598" xr:uid="{0214FB48-5741-4FB4-9DD0-FA63EC87A4A4}"/>
    <hyperlink ref="K74" location="Memo!C599" display="Memo!C599" xr:uid="{B8193C49-A654-4498-864B-AED29F0B4B67}"/>
    <hyperlink ref="K75" location="Memo!C600" display="Memo!C600" xr:uid="{CB721FFF-58DC-4876-98DF-A7FBE93269AA}"/>
    <hyperlink ref="K76" location="Memo!C601" display="Memo!C601" xr:uid="{C4943BF4-34E1-44E8-A678-522C57BC749B}"/>
    <hyperlink ref="K77" location="Memo!C602" display="Memo!C602" xr:uid="{B667309F-1678-4111-B0DB-58F0D3EDC974}"/>
    <hyperlink ref="K78" location="Memo!C603" display="Memo!C603" xr:uid="{CA2119C1-A28D-4813-94D1-5571BB994033}"/>
    <hyperlink ref="K79" location="Memo!C604" display="Memo!C604" xr:uid="{1390FAB6-45EF-4BFA-AFAA-2FA7F892E648}"/>
    <hyperlink ref="K80" location="Memo!C605" display="Memo!C605" xr:uid="{8D6CDA34-A3C8-44DE-9586-78488CEF3029}"/>
    <hyperlink ref="K81" location="Memo!C606" display="Memo!C606" xr:uid="{DD30F311-510A-4B40-9EA4-31BF8B924881}"/>
    <hyperlink ref="K82" location="Memo!C607" display="Memo!C607" xr:uid="{1213CD6C-17FB-4163-B7ED-62C529763A55}"/>
    <hyperlink ref="K88" location="Memo!C613" display="Memo!C613" xr:uid="{0C275F92-3602-4563-889F-EC45236FDC78}"/>
    <hyperlink ref="K89" location="Memo!C614" display="Memo!C614" xr:uid="{5AAF4F16-60E2-449A-B6D9-F6A013375552}"/>
    <hyperlink ref="K90" location="Memo!C615" display="Memo!C615" xr:uid="{661DFC9E-D78C-4BF4-91E4-498EDFCDBB1B}"/>
    <hyperlink ref="K100" location="Memo!C616" display="Memo!C616" xr:uid="{DC1C4631-B919-454D-8837-02096AF29C9E}"/>
    <hyperlink ref="K101" location="Memo!C617" display="Memo!C617" xr:uid="{BC1E2C04-EFBF-40F7-993E-672A6798DE73}"/>
    <hyperlink ref="K102" location="Memo!C618" display="Memo!C618" xr:uid="{AFAA4CF6-94C5-4196-AEB2-A458D7887D01}"/>
    <hyperlink ref="K103" location="Memo!C619" display="Memo!C619" xr:uid="{E2AEFA45-B375-47D2-A8AF-E6465ED2098E}"/>
    <hyperlink ref="K104" location="Memo!C620" display="Memo!C620" xr:uid="{AA4D79CF-BA49-4126-AE28-FC0F0B9290A7}"/>
    <hyperlink ref="K105" location="Memo!C621" display="Memo!C621" xr:uid="{AC7C77ED-ACCE-450C-8BBE-5EA4809987AB}"/>
    <hyperlink ref="K33:K90" location="Memo!C594" display="Memo!C594" xr:uid="{41C9C2C7-0C25-43C9-85D0-34A119A9E98C}"/>
    <hyperlink ref="K100:K105" location="Memo!C594" display="Memo!C594" xr:uid="{EC5E34AA-6F26-49E8-A3CC-7C48F10FDB4F}"/>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T134"/>
  <sheetViews>
    <sheetView showGridLines="0" topLeftCell="B1" zoomScale="80" zoomScaleNormal="80" workbookViewId="0">
      <pane ySplit="2" topLeftCell="A3" activePane="bottomLeft" state="frozen"/>
      <selection pane="bottomLeft" activeCell="B2" sqref="B2"/>
    </sheetView>
  </sheetViews>
  <sheetFormatPr defaultColWidth="0" defaultRowHeight="12.5" x14ac:dyDescent="0.25"/>
  <cols>
    <col min="1" max="1" width="20.81640625" hidden="1" customWidth="1"/>
    <col min="2" max="2" width="8.7265625" customWidth="1"/>
    <col min="3" max="3" width="92.54296875" customWidth="1"/>
    <col min="4" max="14" width="16.7265625" customWidth="1"/>
    <col min="15" max="18" width="12.54296875" customWidth="1"/>
    <col min="19" max="20" width="0" hidden="1" customWidth="1"/>
    <col min="21" max="16384" width="12.54296875" hidden="1"/>
  </cols>
  <sheetData>
    <row r="1" spans="1:19" ht="31.5" hidden="1" customHeight="1" x14ac:dyDescent="0.25">
      <c r="A1" s="280" t="s">
        <v>1496</v>
      </c>
      <c r="C1" s="93" t="s">
        <v>387</v>
      </c>
      <c r="D1" s="280" t="s">
        <v>1497</v>
      </c>
      <c r="E1" s="280" t="s">
        <v>74</v>
      </c>
      <c r="F1" s="280" t="s">
        <v>77</v>
      </c>
      <c r="G1" s="280" t="s">
        <v>1498</v>
      </c>
      <c r="H1" s="280" t="s">
        <v>1499</v>
      </c>
      <c r="I1" s="280" t="s">
        <v>843</v>
      </c>
      <c r="J1" s="280" t="s">
        <v>89</v>
      </c>
      <c r="K1" t="s">
        <v>1500</v>
      </c>
      <c r="L1" s="280" t="s">
        <v>101</v>
      </c>
      <c r="M1" s="280" t="s">
        <v>104</v>
      </c>
      <c r="N1" t="s">
        <v>1501</v>
      </c>
    </row>
    <row r="2" spans="1:19" ht="68.25" customHeight="1" x14ac:dyDescent="0.25">
      <c r="A2" s="280" t="s">
        <v>1502</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944"/>
      <c r="N2" s="944"/>
    </row>
    <row r="3" spans="1:19" ht="12.75" customHeight="1" x14ac:dyDescent="0.35">
      <c r="B3" s="721"/>
      <c r="C3" s="722"/>
      <c r="D3" s="1"/>
      <c r="E3" s="1"/>
      <c r="F3" s="22"/>
      <c r="G3" s="724"/>
    </row>
    <row r="4" spans="1:19" ht="27.75" customHeight="1" x14ac:dyDescent="0.6">
      <c r="B4" s="721"/>
      <c r="C4" s="722"/>
      <c r="D4" s="1"/>
      <c r="E4" s="1"/>
      <c r="L4" s="725" t="str">
        <f>"SAR "&amp;YearForm</f>
        <v>SAR 2025-26</v>
      </c>
    </row>
    <row r="5" spans="1:19" ht="12.75" customHeight="1" x14ac:dyDescent="0.35">
      <c r="B5" s="721"/>
      <c r="C5" s="722"/>
      <c r="D5" s="1"/>
      <c r="E5" s="1"/>
    </row>
    <row r="6" spans="1:19" ht="12.75" customHeight="1" x14ac:dyDescent="0.35">
      <c r="B6" s="721"/>
      <c r="C6" s="722"/>
      <c r="D6" s="1"/>
      <c r="E6" s="1"/>
    </row>
    <row r="7" spans="1:19" ht="12.75" customHeight="1" x14ac:dyDescent="0.35">
      <c r="B7" s="721"/>
      <c r="C7" s="722"/>
      <c r="D7" s="1"/>
      <c r="E7" s="1"/>
    </row>
    <row r="8" spans="1:19" ht="12.75" customHeight="1" x14ac:dyDescent="0.35">
      <c r="B8" s="721"/>
      <c r="C8" s="722"/>
      <c r="D8" s="1"/>
      <c r="E8" s="1"/>
    </row>
    <row r="9" spans="1:19" ht="12.75" customHeight="1" x14ac:dyDescent="0.35">
      <c r="B9" s="721"/>
      <c r="C9" s="722"/>
      <c r="D9" s="1"/>
      <c r="E9" s="1"/>
    </row>
    <row r="10" spans="1:19" ht="33" customHeight="1" x14ac:dyDescent="0.25">
      <c r="B10" s="1517" t="s">
        <v>54</v>
      </c>
      <c r="C10" s="1517"/>
      <c r="D10" s="1517"/>
      <c r="E10" s="1517"/>
      <c r="F10" s="1517"/>
      <c r="G10" s="1517"/>
      <c r="H10" s="1517"/>
      <c r="I10" s="1517"/>
      <c r="J10" s="1517"/>
      <c r="K10" s="1517"/>
      <c r="L10" s="1517"/>
      <c r="M10" s="99"/>
      <c r="N10" s="99"/>
      <c r="O10" s="99"/>
      <c r="P10" s="99"/>
      <c r="Q10" s="99"/>
      <c r="R10" s="99"/>
      <c r="S10" s="99"/>
    </row>
    <row r="11" spans="1:19" ht="33" customHeight="1" x14ac:dyDescent="0.25">
      <c r="B11" s="1518" t="str">
        <f>"SAR - SUBJECTIVE ANALYSIS RETURN "&amp;YearForm</f>
        <v>SAR - SUBJECTIVE ANALYSIS RETURN 2025-26</v>
      </c>
      <c r="C11" s="1519"/>
      <c r="D11" s="1519"/>
      <c r="E11" s="1519"/>
      <c r="F11" s="1519"/>
      <c r="G11" s="1519"/>
      <c r="H11" s="1519"/>
      <c r="I11" s="1519"/>
      <c r="J11" s="1519"/>
      <c r="K11" s="1519"/>
      <c r="L11" s="1519"/>
      <c r="M11" s="99"/>
      <c r="N11" s="99"/>
      <c r="O11" s="99"/>
      <c r="P11" s="99"/>
      <c r="Q11" s="99"/>
      <c r="R11" s="99"/>
      <c r="S11" s="99"/>
    </row>
    <row r="12" spans="1:19" ht="14.15" customHeight="1" x14ac:dyDescent="0.35">
      <c r="B12" s="721"/>
      <c r="C12" s="722"/>
      <c r="D12" s="1"/>
      <c r="E12" s="1"/>
    </row>
    <row r="13" spans="1:19"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row>
    <row r="14" spans="1:19" ht="12" customHeight="1" x14ac:dyDescent="0.3">
      <c r="B14" s="22"/>
      <c r="C14" s="22"/>
      <c r="D14" s="22"/>
      <c r="E14" s="22"/>
      <c r="F14" s="22"/>
      <c r="G14" s="22"/>
      <c r="H14" s="22"/>
      <c r="I14" s="22"/>
      <c r="J14" s="22"/>
      <c r="K14" s="726"/>
      <c r="L14" s="22"/>
      <c r="M14" s="22"/>
      <c r="N14" s="22"/>
      <c r="O14" s="22"/>
    </row>
    <row r="15" spans="1:19" ht="21" customHeight="1" x14ac:dyDescent="0.25">
      <c r="B15" s="1524" t="s">
        <v>725</v>
      </c>
      <c r="C15" s="1524"/>
      <c r="D15" s="1524"/>
      <c r="E15" s="1524"/>
      <c r="F15" s="1524"/>
      <c r="G15" s="1524"/>
      <c r="H15" s="1524"/>
      <c r="I15" s="1524"/>
      <c r="J15" s="1524"/>
      <c r="K15" s="1524"/>
      <c r="L15" s="1524"/>
      <c r="M15" s="1524"/>
      <c r="N15" s="981"/>
      <c r="O15" s="345"/>
    </row>
    <row r="16" spans="1:19" ht="21" customHeight="1" x14ac:dyDescent="0.25">
      <c r="B16" s="1516" t="s">
        <v>57</v>
      </c>
      <c r="C16" s="1516"/>
      <c r="D16" s="1516"/>
      <c r="E16" s="1516"/>
      <c r="F16" s="1516"/>
      <c r="G16" s="1516"/>
      <c r="H16" s="1516"/>
      <c r="I16" s="1516"/>
      <c r="J16" s="1516"/>
      <c r="K16" s="1516"/>
      <c r="L16" s="1516"/>
      <c r="M16" s="1516"/>
      <c r="N16" s="22"/>
      <c r="O16" s="22"/>
    </row>
    <row r="17" spans="2:15" ht="20" x14ac:dyDescent="0.35">
      <c r="B17" s="727"/>
      <c r="C17" s="728"/>
      <c r="D17" s="728"/>
      <c r="E17" s="22"/>
      <c r="F17" s="729"/>
      <c r="G17" s="22"/>
      <c r="H17" s="22"/>
      <c r="I17" s="730"/>
      <c r="J17" s="731"/>
      <c r="K17" s="726"/>
      <c r="L17" s="22"/>
      <c r="M17" s="22"/>
      <c r="N17" s="22"/>
      <c r="O17" s="22"/>
    </row>
    <row r="18" spans="2:15" ht="32.15" customHeight="1" x14ac:dyDescent="0.35">
      <c r="B18" s="861"/>
      <c r="C18" s="862"/>
      <c r="D18" s="862"/>
      <c r="E18" s="736"/>
      <c r="F18" s="736"/>
      <c r="G18" s="736"/>
      <c r="H18" s="736"/>
      <c r="I18" s="736"/>
      <c r="J18" s="736"/>
      <c r="K18" s="726"/>
      <c r="L18" s="22"/>
      <c r="M18" s="22"/>
      <c r="N18" s="22"/>
      <c r="O18" s="22"/>
    </row>
    <row r="19" spans="2:15" ht="20.149999999999999" customHeight="1" x14ac:dyDescent="0.35">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26"/>
      <c r="L19" s="22"/>
      <c r="M19" s="22"/>
      <c r="N19" s="22"/>
      <c r="O19" s="22"/>
    </row>
    <row r="20" spans="2:15" ht="12" customHeight="1" x14ac:dyDescent="0.35">
      <c r="B20" s="735"/>
      <c r="C20" s="735"/>
      <c r="D20" s="735"/>
      <c r="E20" s="736"/>
      <c r="F20" s="736"/>
      <c r="G20" s="736"/>
      <c r="H20" s="736"/>
      <c r="I20" s="736"/>
      <c r="J20" s="736"/>
      <c r="K20" s="726"/>
      <c r="L20" s="22"/>
      <c r="M20" s="22"/>
      <c r="N20" s="22"/>
      <c r="O20" s="22"/>
    </row>
    <row r="21" spans="2:15" ht="25" x14ac:dyDescent="0.5">
      <c r="B21" s="737" t="str">
        <f>RS!$B$21</f>
        <v>Please select your authority name on Title page</v>
      </c>
      <c r="C21" s="739"/>
      <c r="G21" s="762"/>
      <c r="H21" s="762"/>
    </row>
    <row r="22" spans="2:15" ht="18" x14ac:dyDescent="0.4">
      <c r="B22" s="740" t="str">
        <f>ContactDetails!C25</f>
        <v>E-code</v>
      </c>
      <c r="C22" s="739"/>
      <c r="E22" s="863"/>
      <c r="G22" s="863"/>
      <c r="H22" s="863"/>
    </row>
    <row r="23" spans="2:15" ht="18" x14ac:dyDescent="0.4">
      <c r="B23" s="741"/>
      <c r="C23" s="739"/>
      <c r="D23" s="864"/>
      <c r="E23" s="863"/>
      <c r="F23" s="864"/>
      <c r="G23" s="863"/>
      <c r="H23" s="863"/>
    </row>
    <row r="24" spans="2:15" ht="15.5" x14ac:dyDescent="0.35">
      <c r="B24" s="745"/>
      <c r="C24" s="746"/>
      <c r="D24" s="747"/>
      <c r="E24" s="803"/>
      <c r="F24" s="864"/>
      <c r="G24" s="863"/>
      <c r="H24" s="863"/>
    </row>
    <row r="25" spans="2:15" ht="36.65" customHeight="1" thickBot="1" x14ac:dyDescent="0.45">
      <c r="B25" s="741"/>
      <c r="C25" s="739"/>
      <c r="D25" s="865"/>
      <c r="E25" s="866" t="s">
        <v>1503</v>
      </c>
      <c r="F25" s="867"/>
      <c r="G25" s="1525" t="s">
        <v>1504</v>
      </c>
      <c r="H25" s="1525"/>
      <c r="I25" s="1525"/>
      <c r="J25" s="868"/>
      <c r="K25" s="868"/>
      <c r="L25" s="868"/>
    </row>
    <row r="26" spans="2:15" ht="15.5" x14ac:dyDescent="0.35">
      <c r="C26" s="742"/>
      <c r="D26" s="345"/>
      <c r="E26" s="345"/>
      <c r="F26" s="856" t="s">
        <v>1505</v>
      </c>
      <c r="G26" s="856"/>
      <c r="H26" s="856"/>
      <c r="I26" s="856"/>
      <c r="J26" s="856" t="s">
        <v>1506</v>
      </c>
      <c r="K26" s="856" t="s">
        <v>1507</v>
      </c>
      <c r="L26" s="345"/>
      <c r="M26" s="869"/>
      <c r="N26" s="869"/>
    </row>
    <row r="27" spans="2:15" ht="15.5" x14ac:dyDescent="0.35">
      <c r="D27" s="345"/>
      <c r="E27" s="345"/>
      <c r="F27" s="856" t="s">
        <v>1508</v>
      </c>
      <c r="G27" s="1031" t="s">
        <v>1509</v>
      </c>
      <c r="H27" s="1031" t="s">
        <v>1510</v>
      </c>
      <c r="I27" s="1031"/>
      <c r="J27" s="870" t="s">
        <v>1511</v>
      </c>
      <c r="K27" s="856" t="s">
        <v>1512</v>
      </c>
      <c r="L27" s="345"/>
      <c r="M27" s="771" t="s">
        <v>1513</v>
      </c>
      <c r="N27" s="856" t="s">
        <v>1514</v>
      </c>
    </row>
    <row r="28" spans="2:15" ht="15.5" x14ac:dyDescent="0.35">
      <c r="D28" s="771" t="s">
        <v>1515</v>
      </c>
      <c r="E28" s="856" t="s">
        <v>1516</v>
      </c>
      <c r="F28" s="77" t="s">
        <v>1517</v>
      </c>
      <c r="G28" s="1032" t="s">
        <v>1518</v>
      </c>
      <c r="H28" s="1032" t="s">
        <v>1518</v>
      </c>
      <c r="I28" s="1032" t="s">
        <v>1519</v>
      </c>
      <c r="J28" s="871" t="s">
        <v>1520</v>
      </c>
      <c r="K28" s="856" t="s">
        <v>1521</v>
      </c>
      <c r="L28" s="856" t="s">
        <v>1522</v>
      </c>
      <c r="M28" s="771" t="s">
        <v>1523</v>
      </c>
      <c r="N28" s="856" t="s">
        <v>1524</v>
      </c>
    </row>
    <row r="29" spans="2:15" ht="15.5" x14ac:dyDescent="0.35">
      <c r="B29" s="748"/>
      <c r="C29" s="22"/>
      <c r="D29" s="856" t="s">
        <v>1525</v>
      </c>
      <c r="E29" s="856" t="s">
        <v>1511</v>
      </c>
      <c r="F29" s="77" t="s">
        <v>1511</v>
      </c>
      <c r="G29" s="1031" t="s">
        <v>1526</v>
      </c>
      <c r="H29" s="1031" t="s">
        <v>1526</v>
      </c>
      <c r="I29" s="1031" t="s">
        <v>1527</v>
      </c>
      <c r="J29" s="872" t="s">
        <v>1528</v>
      </c>
      <c r="K29" s="77" t="s">
        <v>1511</v>
      </c>
      <c r="L29" s="856" t="s">
        <v>1511</v>
      </c>
      <c r="M29" s="856" t="s">
        <v>1511</v>
      </c>
      <c r="N29" s="856" t="s">
        <v>1511</v>
      </c>
    </row>
    <row r="30" spans="2:15" ht="15.5" x14ac:dyDescent="0.35">
      <c r="B30" s="745"/>
      <c r="C30" s="1"/>
      <c r="D30" s="765"/>
      <c r="E30" s="765"/>
      <c r="F30" s="765"/>
      <c r="G30" s="1033"/>
      <c r="H30" s="1033"/>
      <c r="I30" s="1033"/>
      <c r="J30" s="765"/>
      <c r="K30" s="765"/>
      <c r="L30" s="765"/>
      <c r="M30" s="765"/>
      <c r="N30" s="765"/>
    </row>
    <row r="31" spans="2:15" ht="15.5" x14ac:dyDescent="0.35">
      <c r="B31" s="745"/>
      <c r="C31" s="1"/>
      <c r="D31" s="825" t="s">
        <v>60</v>
      </c>
      <c r="E31" s="825" t="s">
        <v>60</v>
      </c>
      <c r="F31" s="825" t="s">
        <v>60</v>
      </c>
      <c r="G31" s="1034" t="s">
        <v>60</v>
      </c>
      <c r="H31" s="1034" t="s">
        <v>60</v>
      </c>
      <c r="I31" s="1034" t="s">
        <v>60</v>
      </c>
      <c r="J31" s="825" t="s">
        <v>60</v>
      </c>
      <c r="K31" s="825" t="s">
        <v>60</v>
      </c>
      <c r="L31" s="825" t="s">
        <v>60</v>
      </c>
      <c r="M31" s="825" t="s">
        <v>60</v>
      </c>
      <c r="N31" s="825" t="s">
        <v>60</v>
      </c>
    </row>
    <row r="32" spans="2:15" ht="13" x14ac:dyDescent="0.3">
      <c r="D32" s="873" t="s">
        <v>1529</v>
      </c>
      <c r="E32" s="826" t="s">
        <v>462</v>
      </c>
      <c r="F32" s="826" t="s">
        <v>1530</v>
      </c>
      <c r="G32" s="1035" t="s">
        <v>1531</v>
      </c>
      <c r="H32" s="1035" t="s">
        <v>1532</v>
      </c>
      <c r="I32" s="1035" t="s">
        <v>1533</v>
      </c>
      <c r="J32" s="826" t="s">
        <v>466</v>
      </c>
      <c r="K32" s="826" t="s">
        <v>1534</v>
      </c>
      <c r="L32" s="826" t="s">
        <v>1535</v>
      </c>
      <c r="M32" s="826" t="s">
        <v>1536</v>
      </c>
      <c r="N32" s="826" t="s">
        <v>1537</v>
      </c>
    </row>
    <row r="33" spans="1:14" ht="13" x14ac:dyDescent="0.3">
      <c r="D33" s="742"/>
      <c r="E33" s="742"/>
      <c r="F33" s="742"/>
      <c r="G33" s="742"/>
      <c r="H33" s="742"/>
      <c r="I33" s="742"/>
      <c r="J33" s="742"/>
      <c r="K33" s="742"/>
      <c r="L33" s="742"/>
      <c r="M33" s="345"/>
      <c r="N33" s="345"/>
    </row>
    <row r="34" spans="1:14" ht="18" x14ac:dyDescent="0.4">
      <c r="B34" s="874" t="s">
        <v>1538</v>
      </c>
      <c r="D34" s="742"/>
      <c r="E34" s="742"/>
      <c r="F34" s="742"/>
      <c r="G34" s="742"/>
      <c r="H34" s="742"/>
      <c r="I34" s="742"/>
      <c r="J34" s="742"/>
      <c r="K34" s="742"/>
      <c r="L34" s="742"/>
    </row>
    <row r="35" spans="1:14" ht="15.5" x14ac:dyDescent="0.35">
      <c r="C35" s="795"/>
      <c r="D35" s="757"/>
      <c r="E35" s="778"/>
      <c r="F35" s="757"/>
      <c r="G35" s="757"/>
      <c r="H35" s="757"/>
      <c r="I35" s="757"/>
      <c r="J35" s="778"/>
      <c r="K35" s="778"/>
      <c r="L35" s="757"/>
      <c r="M35" s="778"/>
    </row>
    <row r="36" spans="1:14" ht="15.5" x14ac:dyDescent="0.35">
      <c r="B36" s="820" t="s">
        <v>1539</v>
      </c>
      <c r="C36" s="1"/>
    </row>
    <row r="37" spans="1:14" ht="15.5" x14ac:dyDescent="0.35">
      <c r="A37" t="s">
        <v>1540</v>
      </c>
      <c r="B37" s="761" t="s">
        <v>1541</v>
      </c>
      <c r="C37" s="1"/>
      <c r="D37" s="1226">
        <f>SUM(E37:N37)</f>
        <v>0</v>
      </c>
      <c r="E37" s="1222"/>
      <c r="F37" s="1222"/>
      <c r="G37" s="1222"/>
      <c r="H37" s="1222"/>
      <c r="I37" s="1222"/>
      <c r="J37" s="1222"/>
      <c r="K37" s="1222"/>
      <c r="L37" s="1222"/>
      <c r="M37" s="1222"/>
      <c r="N37" s="1222"/>
    </row>
    <row r="38" spans="1:14" ht="15.5" x14ac:dyDescent="0.35">
      <c r="A38" t="s">
        <v>1542</v>
      </c>
      <c r="B38" s="761" t="s">
        <v>1543</v>
      </c>
      <c r="C38" s="875"/>
      <c r="D38" s="1226">
        <f>SUM(E38:N38)</f>
        <v>0</v>
      </c>
      <c r="E38" s="1222"/>
      <c r="F38" s="1222"/>
      <c r="G38" s="1222"/>
      <c r="H38" s="1222"/>
      <c r="I38" s="1222"/>
      <c r="J38" s="1222"/>
      <c r="K38" s="1222"/>
      <c r="L38" s="1222"/>
      <c r="M38" s="1222"/>
      <c r="N38" s="1222"/>
    </row>
    <row r="39" spans="1:14" ht="15.5" x14ac:dyDescent="0.35">
      <c r="A39" t="s">
        <v>1544</v>
      </c>
      <c r="B39" s="761" t="s">
        <v>1545</v>
      </c>
      <c r="C39" s="875"/>
      <c r="D39" s="1226">
        <f>SUM(E39:N39)</f>
        <v>0</v>
      </c>
      <c r="E39" s="1222"/>
      <c r="F39" s="1222"/>
      <c r="G39" s="1222"/>
      <c r="H39" s="1222"/>
      <c r="I39" s="1222"/>
      <c r="J39" s="1222"/>
      <c r="K39" s="1222"/>
      <c r="L39" s="1222"/>
      <c r="M39" s="1222"/>
      <c r="N39" s="1222"/>
    </row>
    <row r="40" spans="1:14" ht="15.5" x14ac:dyDescent="0.35">
      <c r="A40" t="s">
        <v>1546</v>
      </c>
      <c r="B40" s="761" t="s">
        <v>1547</v>
      </c>
      <c r="C40" s="875"/>
      <c r="D40" s="1226">
        <f>SUM(E40:N40)</f>
        <v>0</v>
      </c>
      <c r="E40" s="1222"/>
      <c r="F40" s="1222"/>
      <c r="G40" s="1222"/>
      <c r="H40" s="1222"/>
      <c r="I40" s="1222"/>
      <c r="J40" s="1222"/>
      <c r="K40" s="1222"/>
      <c r="L40" s="1222"/>
      <c r="M40" s="1222"/>
      <c r="N40" s="1222"/>
    </row>
    <row r="41" spans="1:14" ht="15.5" x14ac:dyDescent="0.35">
      <c r="A41" t="s">
        <v>1548</v>
      </c>
      <c r="B41" s="813" t="s">
        <v>1549</v>
      </c>
      <c r="C41" s="876"/>
      <c r="D41" s="1223">
        <f>SUM(D37:D40)</f>
        <v>0</v>
      </c>
      <c r="E41" s="1223">
        <f t="shared" ref="E41:L41" si="0">SUM(E37:E40)</f>
        <v>0</v>
      </c>
      <c r="F41" s="1223">
        <f t="shared" si="0"/>
        <v>0</v>
      </c>
      <c r="G41" s="1223">
        <f t="shared" si="0"/>
        <v>0</v>
      </c>
      <c r="H41" s="1223">
        <f t="shared" si="0"/>
        <v>0</v>
      </c>
      <c r="I41" s="1223">
        <f t="shared" si="0"/>
        <v>0</v>
      </c>
      <c r="J41" s="1223">
        <f t="shared" si="0"/>
        <v>0</v>
      </c>
      <c r="K41" s="1223">
        <f t="shared" si="0"/>
        <v>0</v>
      </c>
      <c r="L41" s="1223">
        <f t="shared" si="0"/>
        <v>0</v>
      </c>
      <c r="M41" s="1223">
        <f>SUM(M37:M40)</f>
        <v>0</v>
      </c>
      <c r="N41" s="1223">
        <f>SUM(N37:N40)</f>
        <v>0</v>
      </c>
    </row>
    <row r="42" spans="1:14" ht="15.5" x14ac:dyDescent="0.35">
      <c r="B42" s="729"/>
      <c r="C42" s="877"/>
      <c r="D42" s="757"/>
      <c r="E42" s="758"/>
      <c r="F42" s="757"/>
      <c r="G42" s="757"/>
      <c r="H42" s="757"/>
      <c r="I42" s="757"/>
      <c r="J42" s="758"/>
      <c r="K42" s="758"/>
      <c r="L42" s="757"/>
      <c r="M42" s="758"/>
      <c r="N42" s="1"/>
    </row>
    <row r="43" spans="1:14" ht="15.5" x14ac:dyDescent="0.35">
      <c r="B43" s="820" t="s">
        <v>1550</v>
      </c>
      <c r="C43" s="1"/>
      <c r="D43" s="757"/>
      <c r="E43" s="758"/>
      <c r="F43" s="757"/>
      <c r="G43" s="757"/>
      <c r="H43" s="757"/>
      <c r="I43" s="757"/>
      <c r="J43" s="758"/>
      <c r="K43" s="758"/>
      <c r="L43" s="757"/>
      <c r="M43" s="758"/>
      <c r="N43" s="1"/>
    </row>
    <row r="44" spans="1:14" ht="15.5" x14ac:dyDescent="0.35">
      <c r="A44" t="s">
        <v>1551</v>
      </c>
      <c r="B44" s="761" t="s">
        <v>1552</v>
      </c>
      <c r="C44" s="875"/>
      <c r="D44" s="1226">
        <f>SUM(E44:N44)</f>
        <v>0</v>
      </c>
      <c r="E44" s="1222"/>
      <c r="F44" s="1222"/>
      <c r="G44" s="1222"/>
      <c r="H44" s="1222"/>
      <c r="I44" s="1222"/>
      <c r="J44" s="1222"/>
      <c r="K44" s="1222"/>
      <c r="L44" s="1222"/>
      <c r="M44" s="1222"/>
      <c r="N44" s="1222"/>
    </row>
    <row r="45" spans="1:14" ht="15.5" x14ac:dyDescent="0.35">
      <c r="A45" t="s">
        <v>1553</v>
      </c>
      <c r="B45" s="761" t="s">
        <v>1554</v>
      </c>
      <c r="C45" s="875"/>
      <c r="D45" s="1226">
        <f>SUM(E45:N45)</f>
        <v>0</v>
      </c>
      <c r="E45" s="1222"/>
      <c r="F45" s="1222"/>
      <c r="G45" s="1222"/>
      <c r="H45" s="1222"/>
      <c r="I45" s="1222"/>
      <c r="J45" s="1222"/>
      <c r="K45" s="1222"/>
      <c r="L45" s="1222"/>
      <c r="M45" s="1222"/>
      <c r="N45" s="1222"/>
    </row>
    <row r="46" spans="1:14" ht="15.5" x14ac:dyDescent="0.35">
      <c r="A46" t="s">
        <v>1555</v>
      </c>
      <c r="B46" s="761" t="s">
        <v>1556</v>
      </c>
      <c r="C46" s="875"/>
      <c r="D46" s="1226">
        <f>SUM(E46:N46)</f>
        <v>0</v>
      </c>
      <c r="E46" s="1222"/>
      <c r="F46" s="1222"/>
      <c r="G46" s="1222"/>
      <c r="H46" s="1222"/>
      <c r="I46" s="1222"/>
      <c r="J46" s="1222"/>
      <c r="K46" s="1222"/>
      <c r="L46" s="1222"/>
      <c r="M46" s="1222"/>
      <c r="N46" s="1222"/>
    </row>
    <row r="47" spans="1:14" ht="15.5" x14ac:dyDescent="0.35">
      <c r="A47" t="s">
        <v>1557</v>
      </c>
      <c r="B47" s="761" t="s">
        <v>1558</v>
      </c>
      <c r="C47" s="875"/>
      <c r="D47" s="1226">
        <f>SUM(E47:N47)</f>
        <v>0</v>
      </c>
      <c r="E47" s="1222"/>
      <c r="F47" s="1222"/>
      <c r="G47" s="1222"/>
      <c r="H47" s="1222"/>
      <c r="I47" s="1222"/>
      <c r="J47" s="1222"/>
      <c r="K47" s="1222"/>
      <c r="L47" s="1222"/>
      <c r="M47" s="1222"/>
      <c r="N47" s="1222"/>
    </row>
    <row r="48" spans="1:14" ht="15.5" x14ac:dyDescent="0.35">
      <c r="A48" t="s">
        <v>1559</v>
      </c>
      <c r="B48" s="813" t="s">
        <v>1560</v>
      </c>
      <c r="C48" s="877"/>
      <c r="D48" s="1223">
        <f>SUM(D44:D47)</f>
        <v>0</v>
      </c>
      <c r="E48" s="1223">
        <f t="shared" ref="E48:L48" si="1">SUM(E44:E47)</f>
        <v>0</v>
      </c>
      <c r="F48" s="1223">
        <f t="shared" si="1"/>
        <v>0</v>
      </c>
      <c r="G48" s="1223">
        <f t="shared" si="1"/>
        <v>0</v>
      </c>
      <c r="H48" s="1223">
        <f t="shared" si="1"/>
        <v>0</v>
      </c>
      <c r="I48" s="1223">
        <f t="shared" si="1"/>
        <v>0</v>
      </c>
      <c r="J48" s="1223">
        <f t="shared" si="1"/>
        <v>0</v>
      </c>
      <c r="K48" s="1223">
        <f t="shared" si="1"/>
        <v>0</v>
      </c>
      <c r="L48" s="1223">
        <f t="shared" si="1"/>
        <v>0</v>
      </c>
      <c r="M48" s="1223">
        <f>SUM(M44:M47)</f>
        <v>0</v>
      </c>
      <c r="N48" s="1223">
        <f>SUM(N44:N47)</f>
        <v>0</v>
      </c>
    </row>
    <row r="49" spans="1:14" ht="15.5" x14ac:dyDescent="0.35">
      <c r="B49" s="878"/>
      <c r="C49" s="765"/>
      <c r="D49" s="757"/>
      <c r="E49" s="758"/>
      <c r="F49" s="757"/>
      <c r="G49" s="757"/>
      <c r="H49" s="757"/>
      <c r="I49" s="757"/>
      <c r="J49" s="758"/>
      <c r="K49" s="758"/>
      <c r="L49" s="757"/>
      <c r="M49" s="758"/>
    </row>
    <row r="50" spans="1:14" ht="15.5" x14ac:dyDescent="0.35">
      <c r="B50" s="820" t="s">
        <v>1561</v>
      </c>
      <c r="C50" s="1"/>
      <c r="D50" s="757"/>
      <c r="E50" s="758"/>
      <c r="F50" s="757"/>
      <c r="G50" s="757"/>
      <c r="H50" s="757"/>
      <c r="I50" s="757"/>
      <c r="J50" s="758"/>
      <c r="K50" s="758"/>
      <c r="L50" s="757"/>
      <c r="M50" s="758"/>
    </row>
    <row r="51" spans="1:14" ht="15.5" x14ac:dyDescent="0.35">
      <c r="A51" t="s">
        <v>1562</v>
      </c>
      <c r="B51" s="761" t="s">
        <v>1563</v>
      </c>
      <c r="C51" s="875"/>
      <c r="D51" s="1226">
        <f>SUM(E51:N51)</f>
        <v>0</v>
      </c>
      <c r="E51" s="1222"/>
      <c r="F51" s="1222"/>
      <c r="G51" s="1222"/>
      <c r="H51" s="1222"/>
      <c r="I51" s="1222"/>
      <c r="J51" s="1222"/>
      <c r="K51" s="1222"/>
      <c r="L51" s="1222"/>
      <c r="M51" s="1222"/>
      <c r="N51" s="1222"/>
    </row>
    <row r="52" spans="1:14" ht="15.5" x14ac:dyDescent="0.35">
      <c r="A52" t="s">
        <v>1564</v>
      </c>
      <c r="B52" s="761" t="s">
        <v>1565</v>
      </c>
      <c r="C52" s="875"/>
      <c r="D52" s="1226">
        <f>SUM(E52:N52)</f>
        <v>0</v>
      </c>
      <c r="E52" s="1222"/>
      <c r="F52" s="1222"/>
      <c r="G52" s="1222"/>
      <c r="H52" s="1222"/>
      <c r="I52" s="1222"/>
      <c r="J52" s="1222"/>
      <c r="K52" s="1222"/>
      <c r="L52" s="1222"/>
      <c r="M52" s="1222"/>
      <c r="N52" s="1222"/>
    </row>
    <row r="53" spans="1:14" ht="15.5" x14ac:dyDescent="0.35">
      <c r="A53" t="s">
        <v>1566</v>
      </c>
      <c r="B53" s="761" t="s">
        <v>1567</v>
      </c>
      <c r="C53" s="875"/>
      <c r="D53" s="1226">
        <f>SUM(E53:N53)</f>
        <v>0</v>
      </c>
      <c r="E53" s="1222"/>
      <c r="F53" s="1222"/>
      <c r="G53" s="1222"/>
      <c r="H53" s="1222"/>
      <c r="I53" s="1222"/>
      <c r="J53" s="1222"/>
      <c r="K53" s="1222"/>
      <c r="L53" s="1222"/>
      <c r="M53" s="1222"/>
      <c r="N53" s="1222"/>
    </row>
    <row r="54" spans="1:14" ht="15.5" x14ac:dyDescent="0.35">
      <c r="A54" t="s">
        <v>1568</v>
      </c>
      <c r="B54" s="761" t="s">
        <v>1569</v>
      </c>
      <c r="C54" s="875"/>
      <c r="D54" s="1226">
        <f>SUM(E54:N54)</f>
        <v>0</v>
      </c>
      <c r="E54" s="1222"/>
      <c r="F54" s="1222"/>
      <c r="G54" s="1222"/>
      <c r="H54" s="1222"/>
      <c r="I54" s="1222"/>
      <c r="J54" s="1222"/>
      <c r="K54" s="1222"/>
      <c r="L54" s="1222"/>
      <c r="M54" s="1222"/>
      <c r="N54" s="1222"/>
    </row>
    <row r="55" spans="1:14" ht="15.5" x14ac:dyDescent="0.35">
      <c r="A55" t="s">
        <v>1570</v>
      </c>
      <c r="B55" s="778" t="s">
        <v>1571</v>
      </c>
      <c r="C55" s="877"/>
      <c r="D55" s="1223">
        <f>SUM(D51:D54)</f>
        <v>0</v>
      </c>
      <c r="E55" s="1223">
        <f t="shared" ref="E55:L55" si="2">SUM(E51:E54)</f>
        <v>0</v>
      </c>
      <c r="F55" s="1223">
        <f t="shared" si="2"/>
        <v>0</v>
      </c>
      <c r="G55" s="1223">
        <f t="shared" si="2"/>
        <v>0</v>
      </c>
      <c r="H55" s="1223">
        <f t="shared" si="2"/>
        <v>0</v>
      </c>
      <c r="I55" s="1223">
        <f t="shared" si="2"/>
        <v>0</v>
      </c>
      <c r="J55" s="1223">
        <f t="shared" si="2"/>
        <v>0</v>
      </c>
      <c r="K55" s="1223">
        <f t="shared" si="2"/>
        <v>0</v>
      </c>
      <c r="L55" s="1223">
        <f t="shared" si="2"/>
        <v>0</v>
      </c>
      <c r="M55" s="1223">
        <f>SUM(M51:M54)</f>
        <v>0</v>
      </c>
      <c r="N55" s="1223">
        <f>SUM(N51:N54)</f>
        <v>0</v>
      </c>
    </row>
    <row r="56" spans="1:14" ht="15.5" x14ac:dyDescent="0.35">
      <c r="B56" s="3"/>
      <c r="C56" s="1"/>
      <c r="D56" s="757"/>
      <c r="E56" s="758"/>
      <c r="F56" s="757"/>
      <c r="G56" s="757"/>
      <c r="H56" s="757"/>
      <c r="I56" s="757"/>
      <c r="J56" s="758"/>
      <c r="K56" s="758"/>
      <c r="L56" s="757"/>
      <c r="M56" s="758"/>
      <c r="N56" s="1"/>
    </row>
    <row r="57" spans="1:14" ht="15.5" x14ac:dyDescent="0.35">
      <c r="A57" t="s">
        <v>1572</v>
      </c>
      <c r="B57" s="761" t="s">
        <v>1573</v>
      </c>
      <c r="C57" s="879"/>
      <c r="D57" s="1226">
        <f>SUM(E57:N57)</f>
        <v>0</v>
      </c>
      <c r="E57" s="1222"/>
      <c r="F57" s="1222"/>
      <c r="G57" s="1222"/>
      <c r="H57" s="1222"/>
      <c r="I57" s="1222"/>
      <c r="J57" s="1222"/>
      <c r="K57" s="1222"/>
      <c r="L57" s="1222"/>
      <c r="M57" s="1222"/>
      <c r="N57" s="1222"/>
    </row>
    <row r="58" spans="1:14" ht="15.5" x14ac:dyDescent="0.35">
      <c r="B58" s="3"/>
      <c r="C58" s="1"/>
      <c r="D58" s="757"/>
      <c r="E58" s="758"/>
      <c r="F58" s="757"/>
      <c r="G58" s="757"/>
      <c r="H58" s="757"/>
      <c r="I58" s="757"/>
      <c r="J58" s="758"/>
      <c r="K58" s="758"/>
      <c r="L58" s="757"/>
      <c r="M58" s="758"/>
    </row>
    <row r="59" spans="1:14" ht="18" x14ac:dyDescent="0.4">
      <c r="A59" t="s">
        <v>1497</v>
      </c>
      <c r="B59" s="834" t="s">
        <v>1574</v>
      </c>
      <c r="C59" s="880"/>
      <c r="D59" s="1227">
        <f>SUM(D41,D48,D55,D57:D57)</f>
        <v>0</v>
      </c>
      <c r="E59" s="1227">
        <f t="shared" ref="E59:L59" si="3">SUM(E41,E48,E55,E57:E57)</f>
        <v>0</v>
      </c>
      <c r="F59" s="1227">
        <f t="shared" si="3"/>
        <v>0</v>
      </c>
      <c r="G59" s="1227">
        <f t="shared" si="3"/>
        <v>0</v>
      </c>
      <c r="H59" s="1227">
        <f t="shared" si="3"/>
        <v>0</v>
      </c>
      <c r="I59" s="1227">
        <f t="shared" si="3"/>
        <v>0</v>
      </c>
      <c r="J59" s="1227">
        <f t="shared" si="3"/>
        <v>0</v>
      </c>
      <c r="K59" s="1227">
        <f t="shared" si="3"/>
        <v>0</v>
      </c>
      <c r="L59" s="1227">
        <f t="shared" si="3"/>
        <v>0</v>
      </c>
      <c r="M59" s="1227">
        <f>SUM(M41,M48,M55,M57:M57)</f>
        <v>0</v>
      </c>
      <c r="N59" s="1227">
        <f>SUM(N41,N48,N55,N57:N57)</f>
        <v>0</v>
      </c>
    </row>
    <row r="60" spans="1:14" ht="18" x14ac:dyDescent="0.4">
      <c r="B60" s="874"/>
      <c r="C60" s="881" t="s">
        <v>1575</v>
      </c>
      <c r="D60" s="882"/>
      <c r="E60" s="882" t="str">
        <f>IF(ABS('RO1'!$E$41-E59)&lt;2,"",'RO1'!$E$41)</f>
        <v/>
      </c>
      <c r="F60" s="882" t="str">
        <f>IF(ABS('RO2'!$E$65-F59)&lt;2,"",'RO2'!$E$65)</f>
        <v/>
      </c>
      <c r="G60" s="882" t="str">
        <f>IF(ABS('RO3'!$E$45-G59)&lt;2,"",'RO3'!$E$45)</f>
        <v/>
      </c>
      <c r="H60" s="882" t="str">
        <f>IF(ABS('RO3'!$E$85-H59)&lt;2,"",'RO3'!$E$85)</f>
        <v/>
      </c>
      <c r="I60" s="882" t="str">
        <f>IF(ABS('RO3'!$E$121-I59)&lt;2,"",'RO3'!$E$121)</f>
        <v/>
      </c>
      <c r="J60" s="882" t="str">
        <f>IF(ABS('RO4'!$E$65-J59)&lt;2,"",'RO4'!$E$65)</f>
        <v/>
      </c>
      <c r="K60" s="882" t="str">
        <f>IF(ABS('RO5'!$E$140-K59)&lt;2,"",'RO5'!$E$140)</f>
        <v/>
      </c>
      <c r="L60" s="882" t="str">
        <f>IF(ABS('RO6'!$E$33-L59)&lt;2,"",'RO6'!$E$33)</f>
        <v/>
      </c>
      <c r="M60" s="882" t="str">
        <f>IF(ABS('RO6'!$E$46-M59)&lt;2,"",'RO6'!$E$46)</f>
        <v/>
      </c>
      <c r="N60" s="882" t="str">
        <f>IF(ABS(SUM('RO6'!$E$93,'RO6'!$E$121)-N59)&lt;2,"",SUM('RO6'!$E$93,'RO6'!$E$121))</f>
        <v/>
      </c>
    </row>
    <row r="61" spans="1:14" ht="18" x14ac:dyDescent="0.4">
      <c r="B61" s="874"/>
      <c r="C61" s="881"/>
      <c r="D61" s="882"/>
      <c r="E61" s="882"/>
      <c r="F61" s="882"/>
      <c r="G61" s="882"/>
      <c r="H61" s="882"/>
      <c r="I61" s="882"/>
      <c r="J61" s="882"/>
      <c r="K61" s="882"/>
      <c r="L61" s="882"/>
      <c r="M61" s="882"/>
      <c r="N61" s="882"/>
    </row>
    <row r="62" spans="1:14" ht="18" hidden="1" x14ac:dyDescent="0.4">
      <c r="A62" s="280" t="s">
        <v>1576</v>
      </c>
      <c r="B62" s="874"/>
      <c r="C62" s="93" t="s">
        <v>44</v>
      </c>
      <c r="D62" s="883" t="s">
        <v>1497</v>
      </c>
      <c r="E62" s="882"/>
      <c r="F62" s="883" t="s">
        <v>1498</v>
      </c>
      <c r="G62" s="883" t="s">
        <v>1499</v>
      </c>
      <c r="H62" s="883" t="s">
        <v>101</v>
      </c>
      <c r="I62" s="883" t="s">
        <v>110</v>
      </c>
      <c r="J62" s="882"/>
      <c r="K62" s="882"/>
      <c r="L62" s="882"/>
      <c r="M62" s="882"/>
      <c r="N62" s="882"/>
    </row>
    <row r="63" spans="1:14" ht="33" customHeight="1" x14ac:dyDescent="0.4">
      <c r="A63" s="280" t="s">
        <v>1577</v>
      </c>
      <c r="B63" s="977" t="s">
        <v>1578</v>
      </c>
      <c r="C63" s="978"/>
      <c r="D63" s="808"/>
      <c r="E63" s="884"/>
      <c r="F63" s="1526"/>
      <c r="G63" s="1526"/>
      <c r="H63" s="885"/>
      <c r="I63" s="885"/>
      <c r="J63" s="885"/>
      <c r="K63" s="885"/>
      <c r="L63" s="885"/>
    </row>
    <row r="64" spans="1:14" ht="18" x14ac:dyDescent="0.4">
      <c r="B64" s="886" t="s">
        <v>1579</v>
      </c>
      <c r="C64" s="887"/>
      <c r="D64" s="888" t="s">
        <v>1515</v>
      </c>
      <c r="E64" s="889"/>
      <c r="F64" s="890" t="s">
        <v>1509</v>
      </c>
      <c r="G64" s="890" t="s">
        <v>1510</v>
      </c>
      <c r="H64" s="890" t="s">
        <v>1522</v>
      </c>
      <c r="I64" s="890" t="s">
        <v>1580</v>
      </c>
      <c r="J64" s="885"/>
      <c r="K64" s="885"/>
      <c r="L64" s="885"/>
      <c r="M64" s="885"/>
    </row>
    <row r="65" spans="1:9" ht="18" x14ac:dyDescent="0.4">
      <c r="B65" s="891"/>
      <c r="C65" s="887"/>
      <c r="D65" s="890" t="s">
        <v>1525</v>
      </c>
      <c r="E65" s="889"/>
      <c r="F65" s="979" t="s">
        <v>1581</v>
      </c>
      <c r="G65" s="979" t="s">
        <v>1581</v>
      </c>
      <c r="H65" s="890" t="s">
        <v>1511</v>
      </c>
      <c r="I65" s="890" t="s">
        <v>1511</v>
      </c>
    </row>
    <row r="66" spans="1:9" ht="15.5" x14ac:dyDescent="0.35">
      <c r="B66" s="980"/>
      <c r="C66" s="893"/>
      <c r="D66" s="894"/>
      <c r="E66" s="267"/>
      <c r="F66" s="894"/>
      <c r="G66" s="894"/>
      <c r="H66" s="894"/>
      <c r="I66" s="894"/>
    </row>
    <row r="67" spans="1:9" ht="15.5" x14ac:dyDescent="0.35">
      <c r="B67" s="895"/>
      <c r="C67" s="893"/>
      <c r="D67" s="825" t="s">
        <v>60</v>
      </c>
      <c r="E67" s="267"/>
      <c r="F67" s="825" t="s">
        <v>60</v>
      </c>
      <c r="G67" s="825" t="s">
        <v>60</v>
      </c>
      <c r="H67" s="825" t="s">
        <v>60</v>
      </c>
      <c r="I67" s="825" t="s">
        <v>60</v>
      </c>
    </row>
    <row r="68" spans="1:9" ht="15.5" x14ac:dyDescent="0.35">
      <c r="B68" s="895" t="s">
        <v>1582</v>
      </c>
      <c r="C68" s="893"/>
      <c r="E68" s="267"/>
      <c r="F68" s="896"/>
      <c r="G68" s="896"/>
      <c r="H68" s="267"/>
      <c r="I68" s="267"/>
    </row>
    <row r="69" spans="1:9" ht="15.5" x14ac:dyDescent="0.35">
      <c r="A69" t="s">
        <v>1583</v>
      </c>
      <c r="B69" s="897" t="s">
        <v>1584</v>
      </c>
      <c r="C69" s="898"/>
      <c r="D69" s="1228"/>
      <c r="E69" s="267"/>
      <c r="F69" s="1228"/>
      <c r="G69" s="1228"/>
      <c r="H69" s="1228"/>
      <c r="I69" s="1229">
        <f t="shared" ref="I69:I78" si="4">D69-SUM(F69:H69)</f>
        <v>0</v>
      </c>
    </row>
    <row r="70" spans="1:9" ht="15.5" x14ac:dyDescent="0.35">
      <c r="A70" t="s">
        <v>1585</v>
      </c>
      <c r="B70" s="897" t="s">
        <v>1586</v>
      </c>
      <c r="C70" s="899"/>
      <c r="D70" s="1228"/>
      <c r="E70" s="267"/>
      <c r="F70" s="1228"/>
      <c r="G70" s="1228"/>
      <c r="H70" s="1228"/>
      <c r="I70" s="1229">
        <f t="shared" si="4"/>
        <v>0</v>
      </c>
    </row>
    <row r="71" spans="1:9" ht="15.5" x14ac:dyDescent="0.35">
      <c r="A71" t="s">
        <v>1587</v>
      </c>
      <c r="B71" s="897" t="s">
        <v>1588</v>
      </c>
      <c r="C71" s="900"/>
      <c r="D71" s="1228"/>
      <c r="E71" s="267"/>
      <c r="F71" s="1228"/>
      <c r="G71" s="1228"/>
      <c r="H71" s="1228"/>
      <c r="I71" s="1229">
        <f t="shared" si="4"/>
        <v>0</v>
      </c>
    </row>
    <row r="72" spans="1:9" ht="15.5" x14ac:dyDescent="0.35">
      <c r="A72" t="s">
        <v>1589</v>
      </c>
      <c r="B72" s="897" t="s">
        <v>1590</v>
      </c>
      <c r="C72" s="900"/>
      <c r="D72" s="1228"/>
      <c r="E72" s="267"/>
      <c r="F72" s="1228"/>
      <c r="G72" s="1228"/>
      <c r="H72" s="1228"/>
      <c r="I72" s="1229">
        <f t="shared" si="4"/>
        <v>0</v>
      </c>
    </row>
    <row r="73" spans="1:9" ht="15.5" x14ac:dyDescent="0.35">
      <c r="A73" t="s">
        <v>1591</v>
      </c>
      <c r="B73" s="897" t="s">
        <v>1592</v>
      </c>
      <c r="C73" s="899"/>
      <c r="D73" s="1228"/>
      <c r="E73" s="267"/>
      <c r="F73" s="1228"/>
      <c r="G73" s="1228"/>
      <c r="H73" s="1228"/>
      <c r="I73" s="1229">
        <f t="shared" si="4"/>
        <v>0</v>
      </c>
    </row>
    <row r="74" spans="1:9" ht="15.5" x14ac:dyDescent="0.35">
      <c r="A74" t="s">
        <v>1593</v>
      </c>
      <c r="B74" s="897" t="s">
        <v>1594</v>
      </c>
      <c r="C74" s="900"/>
      <c r="D74" s="1228"/>
      <c r="E74" s="267"/>
      <c r="F74" s="1228"/>
      <c r="G74" s="1228"/>
      <c r="H74" s="1228"/>
      <c r="I74" s="1229">
        <f t="shared" si="4"/>
        <v>0</v>
      </c>
    </row>
    <row r="75" spans="1:9" ht="15.5" x14ac:dyDescent="0.35">
      <c r="A75" t="s">
        <v>1595</v>
      </c>
      <c r="B75" s="897" t="s">
        <v>1596</v>
      </c>
      <c r="C75" s="899"/>
      <c r="D75" s="1228"/>
      <c r="E75" s="267"/>
      <c r="F75" s="1228"/>
      <c r="G75" s="1228"/>
      <c r="H75" s="1228"/>
      <c r="I75" s="1229">
        <f t="shared" si="4"/>
        <v>0</v>
      </c>
    </row>
    <row r="76" spans="1:9" ht="15.5" x14ac:dyDescent="0.35">
      <c r="A76" t="s">
        <v>1597</v>
      </c>
      <c r="B76" s="897" t="s">
        <v>1598</v>
      </c>
      <c r="C76" s="899"/>
      <c r="D76" s="1228"/>
      <c r="E76" s="267"/>
      <c r="F76" s="1228"/>
      <c r="G76" s="1228"/>
      <c r="H76" s="1228"/>
      <c r="I76" s="1229">
        <f t="shared" si="4"/>
        <v>0</v>
      </c>
    </row>
    <row r="77" spans="1:9" ht="15.5" x14ac:dyDescent="0.35">
      <c r="A77" t="s">
        <v>1599</v>
      </c>
      <c r="B77" s="897" t="s">
        <v>1600</v>
      </c>
      <c r="C77" s="899"/>
      <c r="D77" s="1228"/>
      <c r="E77" s="267"/>
      <c r="F77" s="1228"/>
      <c r="G77" s="1228"/>
      <c r="H77" s="1228"/>
      <c r="I77" s="1229">
        <f t="shared" si="4"/>
        <v>0</v>
      </c>
    </row>
    <row r="78" spans="1:9" ht="15.5" x14ac:dyDescent="0.35">
      <c r="A78" t="s">
        <v>1601</v>
      </c>
      <c r="B78" s="897" t="s">
        <v>1602</v>
      </c>
      <c r="C78" s="900"/>
      <c r="D78" s="1228"/>
      <c r="E78" s="267"/>
      <c r="F78" s="1228"/>
      <c r="G78" s="1228"/>
      <c r="H78" s="1228"/>
      <c r="I78" s="1229">
        <f t="shared" si="4"/>
        <v>0</v>
      </c>
    </row>
    <row r="79" spans="1:9" ht="15.5" x14ac:dyDescent="0.35">
      <c r="A79" t="s">
        <v>1603</v>
      </c>
      <c r="B79" s="901" t="s">
        <v>1604</v>
      </c>
      <c r="C79" s="902"/>
      <c r="D79" s="1230">
        <f>SUM(D69:D78)</f>
        <v>0</v>
      </c>
      <c r="E79" s="896"/>
      <c r="F79" s="1230">
        <f>SUM(F69:F78)</f>
        <v>0</v>
      </c>
      <c r="G79" s="1230">
        <f>SUM(G69:G78)</f>
        <v>0</v>
      </c>
      <c r="H79" s="1230">
        <f>SUM(H69:H78)</f>
        <v>0</v>
      </c>
      <c r="I79" s="1230">
        <f>SUM(I69:I78)</f>
        <v>0</v>
      </c>
    </row>
    <row r="80" spans="1:9" ht="15.5" x14ac:dyDescent="0.35">
      <c r="B80" s="903"/>
      <c r="C80" s="892"/>
      <c r="D80" s="267"/>
      <c r="E80" s="267"/>
      <c r="F80" s="901"/>
      <c r="G80" s="901"/>
      <c r="H80" s="267"/>
      <c r="I80" s="267"/>
    </row>
    <row r="81" spans="1:9" ht="15.5" x14ac:dyDescent="0.35">
      <c r="B81" s="904" t="s">
        <v>1605</v>
      </c>
      <c r="C81" s="893"/>
      <c r="D81" s="267"/>
      <c r="E81" s="267"/>
      <c r="F81" s="901"/>
      <c r="G81" s="901"/>
      <c r="H81" s="267"/>
      <c r="I81" s="267"/>
    </row>
    <row r="82" spans="1:9" ht="15.5" x14ac:dyDescent="0.35">
      <c r="A82" t="s">
        <v>1606</v>
      </c>
      <c r="B82" s="897" t="s">
        <v>1607</v>
      </c>
      <c r="C82" s="899"/>
      <c r="D82" s="1228"/>
      <c r="E82" s="267"/>
      <c r="F82" s="1228"/>
      <c r="G82" s="1228"/>
      <c r="H82" s="1228"/>
      <c r="I82" s="1229">
        <f t="shared" ref="I82:I87" si="5">D82-SUM(F82:H82)</f>
        <v>0</v>
      </c>
    </row>
    <row r="83" spans="1:9" ht="15.5" x14ac:dyDescent="0.35">
      <c r="A83" t="s">
        <v>1608</v>
      </c>
      <c r="B83" s="897" t="s">
        <v>1609</v>
      </c>
      <c r="C83" s="899"/>
      <c r="D83" s="1228"/>
      <c r="E83" s="267"/>
      <c r="F83" s="1228"/>
      <c r="G83" s="1228"/>
      <c r="H83" s="1228"/>
      <c r="I83" s="1229">
        <f t="shared" si="5"/>
        <v>0</v>
      </c>
    </row>
    <row r="84" spans="1:9" ht="15.5" x14ac:dyDescent="0.35">
      <c r="A84" t="s">
        <v>1610</v>
      </c>
      <c r="B84" s="897" t="s">
        <v>1611</v>
      </c>
      <c r="C84" s="900"/>
      <c r="D84" s="1228"/>
      <c r="E84" s="267"/>
      <c r="F84" s="1228"/>
      <c r="G84" s="1228"/>
      <c r="H84" s="1228"/>
      <c r="I84" s="1229">
        <f t="shared" si="5"/>
        <v>0</v>
      </c>
    </row>
    <row r="85" spans="1:9" ht="15.5" x14ac:dyDescent="0.35">
      <c r="A85" t="s">
        <v>1612</v>
      </c>
      <c r="B85" s="897" t="s">
        <v>1613</v>
      </c>
      <c r="C85" s="899"/>
      <c r="D85" s="1228"/>
      <c r="E85" s="267"/>
      <c r="F85" s="1228"/>
      <c r="G85" s="1228"/>
      <c r="H85" s="1228"/>
      <c r="I85" s="1229">
        <f t="shared" si="5"/>
        <v>0</v>
      </c>
    </row>
    <row r="86" spans="1:9" ht="15.5" x14ac:dyDescent="0.35">
      <c r="A86" t="s">
        <v>1614</v>
      </c>
      <c r="B86" s="897" t="s">
        <v>1615</v>
      </c>
      <c r="C86" s="899"/>
      <c r="D86" s="1228"/>
      <c r="E86" s="267"/>
      <c r="F86" s="1228"/>
      <c r="G86" s="1228"/>
      <c r="H86" s="1228"/>
      <c r="I86" s="1229">
        <f t="shared" si="5"/>
        <v>0</v>
      </c>
    </row>
    <row r="87" spans="1:9" ht="15.5" x14ac:dyDescent="0.35">
      <c r="A87" t="s">
        <v>1616</v>
      </c>
      <c r="B87" s="897" t="s">
        <v>1617</v>
      </c>
      <c r="C87" s="899"/>
      <c r="D87" s="1228"/>
      <c r="E87" s="267"/>
      <c r="F87" s="1228"/>
      <c r="G87" s="1228"/>
      <c r="H87" s="1228"/>
      <c r="I87" s="1229">
        <f t="shared" si="5"/>
        <v>0</v>
      </c>
    </row>
    <row r="88" spans="1:9" ht="15.5" x14ac:dyDescent="0.35">
      <c r="A88" t="s">
        <v>1618</v>
      </c>
      <c r="B88" s="901" t="s">
        <v>1619</v>
      </c>
      <c r="C88" s="902"/>
      <c r="D88" s="1230">
        <f>SUM(D82:D87)</f>
        <v>0</v>
      </c>
      <c r="E88" s="896"/>
      <c r="F88" s="1230">
        <f>SUM(F82:F87)</f>
        <v>0</v>
      </c>
      <c r="G88" s="1230">
        <f>SUM(G82:G87)</f>
        <v>0</v>
      </c>
      <c r="H88" s="1230">
        <f>SUM(H82:H87)</f>
        <v>0</v>
      </c>
      <c r="I88" s="1230">
        <f>SUM(I82:I87)</f>
        <v>0</v>
      </c>
    </row>
    <row r="89" spans="1:9" ht="15.5" x14ac:dyDescent="0.35">
      <c r="B89" s="903"/>
      <c r="C89" s="892"/>
      <c r="D89" s="267"/>
      <c r="E89" s="267"/>
      <c r="F89" s="901"/>
      <c r="G89" s="901"/>
      <c r="H89" s="267"/>
      <c r="I89" s="267"/>
    </row>
    <row r="90" spans="1:9" ht="15.5" x14ac:dyDescent="0.35">
      <c r="B90" s="895" t="s">
        <v>1620</v>
      </c>
      <c r="C90" s="893"/>
      <c r="D90" s="267"/>
      <c r="E90" s="267"/>
      <c r="F90" s="901"/>
      <c r="G90" s="901"/>
      <c r="H90" s="267"/>
      <c r="I90" s="267"/>
    </row>
    <row r="91" spans="1:9" ht="15.5" x14ac:dyDescent="0.35">
      <c r="A91" t="s">
        <v>1621</v>
      </c>
      <c r="B91" s="897" t="s">
        <v>1622</v>
      </c>
      <c r="C91" s="898"/>
      <c r="D91" s="1228"/>
      <c r="E91" s="267"/>
      <c r="F91" s="1228"/>
      <c r="G91" s="1228"/>
      <c r="H91" s="1228"/>
      <c r="I91" s="1229">
        <f t="shared" ref="I91:I102" si="6">D91-SUM(F91:H91)</f>
        <v>0</v>
      </c>
    </row>
    <row r="92" spans="1:9" ht="15.5" x14ac:dyDescent="0.35">
      <c r="A92" t="s">
        <v>1623</v>
      </c>
      <c r="B92" s="897" t="s">
        <v>1624</v>
      </c>
      <c r="C92" s="900"/>
      <c r="D92" s="1228"/>
      <c r="E92" s="267"/>
      <c r="F92" s="1228"/>
      <c r="G92" s="1228"/>
      <c r="H92" s="1228"/>
      <c r="I92" s="1229">
        <f t="shared" si="6"/>
        <v>0</v>
      </c>
    </row>
    <row r="93" spans="1:9" ht="15.5" x14ac:dyDescent="0.35">
      <c r="A93" t="s">
        <v>1625</v>
      </c>
      <c r="B93" s="897" t="s">
        <v>1626</v>
      </c>
      <c r="C93" s="899"/>
      <c r="D93" s="1228"/>
      <c r="E93" s="267"/>
      <c r="F93" s="1228"/>
      <c r="G93" s="1228"/>
      <c r="H93" s="1228"/>
      <c r="I93" s="1229">
        <f t="shared" si="6"/>
        <v>0</v>
      </c>
    </row>
    <row r="94" spans="1:9" ht="15.5" x14ac:dyDescent="0.35">
      <c r="A94" t="s">
        <v>1627</v>
      </c>
      <c r="B94" s="897" t="s">
        <v>1628</v>
      </c>
      <c r="C94" s="899"/>
      <c r="D94" s="1228"/>
      <c r="E94" s="267"/>
      <c r="F94" s="1228"/>
      <c r="G94" s="1228"/>
      <c r="H94" s="1228"/>
      <c r="I94" s="1229">
        <f t="shared" si="6"/>
        <v>0</v>
      </c>
    </row>
    <row r="95" spans="1:9" ht="15.5" x14ac:dyDescent="0.35">
      <c r="A95" t="s">
        <v>1629</v>
      </c>
      <c r="B95" s="897" t="s">
        <v>1630</v>
      </c>
      <c r="C95" s="898"/>
      <c r="D95" s="1228"/>
      <c r="E95" s="267"/>
      <c r="F95" s="1228"/>
      <c r="G95" s="1228"/>
      <c r="H95" s="1228"/>
      <c r="I95" s="1229">
        <f t="shared" si="6"/>
        <v>0</v>
      </c>
    </row>
    <row r="96" spans="1:9" ht="15.5" x14ac:dyDescent="0.35">
      <c r="A96" t="s">
        <v>1631</v>
      </c>
      <c r="B96" s="897" t="s">
        <v>1632</v>
      </c>
      <c r="C96" s="899"/>
      <c r="D96" s="1228"/>
      <c r="E96" s="267"/>
      <c r="F96" s="1228"/>
      <c r="G96" s="1228"/>
      <c r="H96" s="1228"/>
      <c r="I96" s="1229">
        <f t="shared" si="6"/>
        <v>0</v>
      </c>
    </row>
    <row r="97" spans="1:9" ht="15.5" x14ac:dyDescent="0.35">
      <c r="A97" t="s">
        <v>1633</v>
      </c>
      <c r="B97" s="897" t="s">
        <v>1634</v>
      </c>
      <c r="C97" s="892"/>
      <c r="D97" s="1228"/>
      <c r="E97" s="267"/>
      <c r="F97" s="1228"/>
      <c r="G97" s="1228"/>
      <c r="H97" s="1228"/>
      <c r="I97" s="1229">
        <f t="shared" si="6"/>
        <v>0</v>
      </c>
    </row>
    <row r="98" spans="1:9" ht="15.5" x14ac:dyDescent="0.35">
      <c r="A98" t="s">
        <v>1635</v>
      </c>
      <c r="B98" s="897" t="s">
        <v>1636</v>
      </c>
      <c r="C98" s="900"/>
      <c r="D98" s="1228"/>
      <c r="E98" s="267"/>
      <c r="F98" s="1228"/>
      <c r="G98" s="1228"/>
      <c r="H98" s="1228"/>
      <c r="I98" s="1229">
        <f t="shared" si="6"/>
        <v>0</v>
      </c>
    </row>
    <row r="99" spans="1:9" ht="15.5" x14ac:dyDescent="0.35">
      <c r="A99" t="s">
        <v>1637</v>
      </c>
      <c r="B99" s="897" t="s">
        <v>1638</v>
      </c>
      <c r="C99" s="899"/>
      <c r="D99" s="1228"/>
      <c r="E99" s="267"/>
      <c r="F99" s="1228"/>
      <c r="G99" s="1228"/>
      <c r="H99" s="1228"/>
      <c r="I99" s="1229">
        <f t="shared" si="6"/>
        <v>0</v>
      </c>
    </row>
    <row r="100" spans="1:9" ht="15.5" x14ac:dyDescent="0.35">
      <c r="A100" t="s">
        <v>1639</v>
      </c>
      <c r="B100" s="897" t="s">
        <v>1640</v>
      </c>
      <c r="C100" s="899"/>
      <c r="D100" s="1228"/>
      <c r="E100" s="267"/>
      <c r="F100" s="1228"/>
      <c r="G100" s="1228"/>
      <c r="H100" s="1228"/>
      <c r="I100" s="1229">
        <f t="shared" si="6"/>
        <v>0</v>
      </c>
    </row>
    <row r="101" spans="1:9" ht="15.5" x14ac:dyDescent="0.35">
      <c r="A101" t="s">
        <v>1641</v>
      </c>
      <c r="B101" s="897" t="s">
        <v>1642</v>
      </c>
      <c r="C101" s="898"/>
      <c r="D101" s="1228"/>
      <c r="E101" s="267"/>
      <c r="F101" s="1228"/>
      <c r="G101" s="1228"/>
      <c r="H101" s="1228"/>
      <c r="I101" s="1229">
        <f t="shared" si="6"/>
        <v>0</v>
      </c>
    </row>
    <row r="102" spans="1:9" ht="15.5" x14ac:dyDescent="0.35">
      <c r="A102" t="s">
        <v>1643</v>
      </c>
      <c r="B102" s="897" t="s">
        <v>1644</v>
      </c>
      <c r="C102" s="898"/>
      <c r="D102" s="1228"/>
      <c r="E102" s="267"/>
      <c r="F102" s="1228"/>
      <c r="G102" s="1228"/>
      <c r="H102" s="1228"/>
      <c r="I102" s="1229">
        <f t="shared" si="6"/>
        <v>0</v>
      </c>
    </row>
    <row r="103" spans="1:9" ht="15.5" x14ac:dyDescent="0.35">
      <c r="A103" t="s">
        <v>1645</v>
      </c>
      <c r="B103" s="901" t="s">
        <v>1646</v>
      </c>
      <c r="C103" s="902"/>
      <c r="D103" s="1230">
        <f>SUM(D91:D102)</f>
        <v>0</v>
      </c>
      <c r="E103" s="896"/>
      <c r="F103" s="1230">
        <f>SUM(F91:F102)</f>
        <v>0</v>
      </c>
      <c r="G103" s="1230">
        <f>SUM(G91:G102)</f>
        <v>0</v>
      </c>
      <c r="H103" s="1230">
        <f>SUM(H91:H102)</f>
        <v>0</v>
      </c>
      <c r="I103" s="1230">
        <f>SUM(I91:I102)</f>
        <v>0</v>
      </c>
    </row>
    <row r="104" spans="1:9" ht="15.5" x14ac:dyDescent="0.35">
      <c r="B104" s="903"/>
      <c r="C104" s="892"/>
      <c r="D104" s="267"/>
      <c r="E104" s="268"/>
      <c r="F104" s="893"/>
      <c r="G104" s="893"/>
      <c r="H104" s="893"/>
      <c r="I104" s="893"/>
    </row>
    <row r="105" spans="1:9" ht="15.5" x14ac:dyDescent="0.35">
      <c r="B105" s="895" t="s">
        <v>1647</v>
      </c>
      <c r="C105" s="893"/>
      <c r="D105" s="267"/>
      <c r="E105" s="268"/>
      <c r="F105" s="893"/>
      <c r="G105" s="893"/>
      <c r="H105" s="893"/>
      <c r="I105" s="893"/>
    </row>
    <row r="106" spans="1:9" ht="15.5" x14ac:dyDescent="0.35">
      <c r="A106" t="s">
        <v>1648</v>
      </c>
      <c r="B106" s="897" t="s">
        <v>1649</v>
      </c>
      <c r="C106" s="899"/>
      <c r="D106" s="1228"/>
      <c r="E106" s="267"/>
      <c r="F106" s="1228"/>
      <c r="G106" s="1228"/>
      <c r="H106" s="1228"/>
      <c r="I106" s="1229">
        <f t="shared" ref="I106:I111" si="7">D106-SUM(F106:H106)</f>
        <v>0</v>
      </c>
    </row>
    <row r="107" spans="1:9" ht="15.5" x14ac:dyDescent="0.35">
      <c r="A107" t="s">
        <v>1650</v>
      </c>
      <c r="B107" s="897" t="s">
        <v>1651</v>
      </c>
      <c r="C107" s="899"/>
      <c r="D107" s="1228"/>
      <c r="E107" s="267"/>
      <c r="F107" s="1228"/>
      <c r="G107" s="1228"/>
      <c r="H107" s="1228"/>
      <c r="I107" s="1229">
        <f t="shared" si="7"/>
        <v>0</v>
      </c>
    </row>
    <row r="108" spans="1:9" ht="15.5" x14ac:dyDescent="0.35">
      <c r="A108" t="s">
        <v>1652</v>
      </c>
      <c r="B108" s="897" t="s">
        <v>1653</v>
      </c>
      <c r="C108" s="899"/>
      <c r="D108" s="1228"/>
      <c r="E108" s="267"/>
      <c r="F108" s="1228"/>
      <c r="G108" s="1228"/>
      <c r="H108" s="1228"/>
      <c r="I108" s="1229">
        <f t="shared" si="7"/>
        <v>0</v>
      </c>
    </row>
    <row r="109" spans="1:9" ht="15.5" x14ac:dyDescent="0.35">
      <c r="A109" t="s">
        <v>1654</v>
      </c>
      <c r="B109" s="897" t="s">
        <v>1655</v>
      </c>
      <c r="C109" s="899"/>
      <c r="D109" s="1228"/>
      <c r="E109" s="267"/>
      <c r="F109" s="1228"/>
      <c r="G109" s="1228"/>
      <c r="H109" s="1228"/>
      <c r="I109" s="1229">
        <f t="shared" si="7"/>
        <v>0</v>
      </c>
    </row>
    <row r="110" spans="1:9" ht="15.5" x14ac:dyDescent="0.35">
      <c r="A110" t="s">
        <v>1656</v>
      </c>
      <c r="B110" s="897" t="s">
        <v>1657</v>
      </c>
      <c r="C110" s="899"/>
      <c r="D110" s="1228"/>
      <c r="E110" s="267"/>
      <c r="F110" s="1228"/>
      <c r="G110" s="1228"/>
      <c r="H110" s="1228"/>
      <c r="I110" s="1229">
        <f t="shared" si="7"/>
        <v>0</v>
      </c>
    </row>
    <row r="111" spans="1:9" ht="15.5" x14ac:dyDescent="0.35">
      <c r="A111" t="s">
        <v>1658</v>
      </c>
      <c r="B111" s="897" t="s">
        <v>1659</v>
      </c>
      <c r="C111" s="899"/>
      <c r="D111" s="1228"/>
      <c r="E111" s="267"/>
      <c r="F111" s="1228"/>
      <c r="G111" s="1228"/>
      <c r="H111" s="1228"/>
      <c r="I111" s="1229">
        <f t="shared" si="7"/>
        <v>0</v>
      </c>
    </row>
    <row r="112" spans="1:9" ht="15.5" x14ac:dyDescent="0.35">
      <c r="A112" t="s">
        <v>1660</v>
      </c>
      <c r="B112" s="901" t="s">
        <v>1661</v>
      </c>
      <c r="C112" s="902"/>
      <c r="D112" s="1230">
        <f>SUM(D106:D111)</f>
        <v>0</v>
      </c>
      <c r="E112" s="896"/>
      <c r="F112" s="1230">
        <f>SUM(F106:F111)</f>
        <v>0</v>
      </c>
      <c r="G112" s="1230">
        <f>SUM(G106:G111)</f>
        <v>0</v>
      </c>
      <c r="H112" s="1230">
        <f>SUM(H106:H111)</f>
        <v>0</v>
      </c>
      <c r="I112" s="1230">
        <f>SUM(I106:I111)</f>
        <v>0</v>
      </c>
    </row>
    <row r="113" spans="1:9" ht="15.5" x14ac:dyDescent="0.35">
      <c r="B113" s="903"/>
      <c r="C113" s="892"/>
      <c r="D113" s="267"/>
      <c r="E113" s="268"/>
      <c r="F113" s="893"/>
      <c r="G113" s="893"/>
      <c r="H113" s="893"/>
      <c r="I113" s="893"/>
    </row>
    <row r="114" spans="1:9" ht="15.5" x14ac:dyDescent="0.35">
      <c r="A114" t="s">
        <v>1662</v>
      </c>
      <c r="B114" s="897" t="s">
        <v>1663</v>
      </c>
      <c r="C114" s="900"/>
      <c r="D114" s="1228"/>
      <c r="E114" s="267"/>
      <c r="F114" s="1228"/>
      <c r="G114" s="1228"/>
      <c r="H114" s="1228"/>
      <c r="I114" s="1229">
        <f>D114-SUM(F114:H114)</f>
        <v>0</v>
      </c>
    </row>
    <row r="115" spans="1:9" ht="15.5" x14ac:dyDescent="0.35">
      <c r="B115" s="903"/>
      <c r="C115" s="892"/>
      <c r="D115" s="905"/>
      <c r="E115" s="268"/>
      <c r="F115" s="893"/>
      <c r="G115" s="893"/>
      <c r="H115" s="893"/>
      <c r="I115" s="893"/>
    </row>
    <row r="116" spans="1:9" ht="15.5" x14ac:dyDescent="0.35">
      <c r="A116" t="s">
        <v>1664</v>
      </c>
      <c r="B116" s="897" t="s">
        <v>1665</v>
      </c>
      <c r="C116" s="899"/>
      <c r="D116" s="1231">
        <f>'RO6'!$F$91</f>
        <v>0</v>
      </c>
      <c r="E116" s="267"/>
      <c r="F116" s="1228"/>
      <c r="G116" s="1228"/>
      <c r="H116" s="1228"/>
      <c r="I116" s="1229">
        <f>D116-SUM(F116:H116)</f>
        <v>0</v>
      </c>
    </row>
    <row r="117" spans="1:9" ht="15.5" x14ac:dyDescent="0.35">
      <c r="B117" s="903"/>
      <c r="C117" s="892"/>
      <c r="D117" s="267"/>
      <c r="E117" s="268"/>
      <c r="F117" s="893"/>
      <c r="G117" s="893"/>
      <c r="H117" s="893"/>
      <c r="I117" s="893"/>
    </row>
    <row r="118" spans="1:9" ht="18" x14ac:dyDescent="0.4">
      <c r="A118" t="s">
        <v>1666</v>
      </c>
      <c r="B118" s="889" t="s">
        <v>1667</v>
      </c>
      <c r="C118" s="906"/>
      <c r="D118" s="1232">
        <f>SUM(D79,D88,D103,D112,D114,D116)</f>
        <v>0</v>
      </c>
      <c r="E118" s="907"/>
      <c r="F118" s="1232">
        <f>SUM(F79,F88,F103,F112,F114,F116)</f>
        <v>0</v>
      </c>
      <c r="G118" s="1232">
        <f>SUM(G79,G88,G103,G112,G114,G116)</f>
        <v>0</v>
      </c>
      <c r="H118" s="1232">
        <f>SUM(H79,H88,H103,H112,H114,H116)</f>
        <v>0</v>
      </c>
      <c r="I118" s="1232">
        <f>SUM(I79,I88,I103,I112,I114,I116)</f>
        <v>0</v>
      </c>
    </row>
    <row r="119" spans="1:9" ht="18" x14ac:dyDescent="0.4">
      <c r="B119" s="908" t="s">
        <v>1668</v>
      </c>
      <c r="C119" s="893"/>
      <c r="D119" s="931" t="str">
        <f>IF(ABS(RSX!$F$45-D118)&lt;3,"","RSX total running expenses: "&amp;TEXT(RSX!$F$45,"#,##0"))</f>
        <v/>
      </c>
      <c r="E119" s="909"/>
      <c r="F119" s="934" t="str">
        <f>IF(ABS(RSX!$F$34-F118)&lt;3,"","RSX Children Social Care running expenses: "&amp;TEXT(RSX!$F$34,"#,##0"))</f>
        <v/>
      </c>
      <c r="G119" s="934" t="str">
        <f>IF(ABS(RSX!$F$35-G118)&lt;3,"","RSX Adult Social Care running expenses: "&amp;TEXT(RSX!$F$35,"#,##0"))</f>
        <v/>
      </c>
      <c r="H119" s="934" t="str">
        <f>IF(ABS(RSX!$F$41-H118)&lt;3,"","RSX Police running expenses: "&amp;TEXT(RSX!$F$41,"#,##0"))</f>
        <v/>
      </c>
      <c r="I119" s="934" t="str">
        <f>IF(ABS(SUM(RSX!F32:F33,RSX!F36:F40,RSX!F42:F44)-I118)&lt;3,"","RSX All other services running expenses: "&amp;TEXT(SUM(RSX!F32:F33,RSX!F36:F40,RSX!F42:F44),"#,##0"))</f>
        <v/>
      </c>
    </row>
    <row r="120" spans="1:9" ht="18" x14ac:dyDescent="0.4">
      <c r="B120" s="892"/>
      <c r="C120" s="893"/>
      <c r="D120" s="932" t="str">
        <f>IF((ABS(RSX!$F$45-D118)&lt;3),"","RSX Cross-Check - Must match total running expenses (total non employee expenditure)")</f>
        <v/>
      </c>
      <c r="E120" s="268"/>
      <c r="F120" s="934" t="str">
        <f>IF((ABS(RSX!$F$34-F118)&lt;3),"","RSX Cross-Check - Must Match Children Social Care running expenses (total non employee expenditure)")</f>
        <v/>
      </c>
      <c r="G120" s="934" t="str">
        <f>IF((ABS(RSX!$F$35-G118)&lt;3),"","RSX Cross-Check - Must Match Adult Social Care running expenses (total non employee expenditure)")</f>
        <v/>
      </c>
      <c r="H120" s="934" t="str">
        <f>IF((ABS(RSX!$F$41-H118)&lt;3),"","RSX Cross-Check - Must Match Police running expenses (total non employee expenditure)")</f>
        <v/>
      </c>
      <c r="I120" s="934" t="str">
        <f>IF((ABS(SUM(RSX!F32:F33,RSX!F36:F40,RSX!F42:F44)-I118)&lt;3),"","RSX Cross-Check - Must Match All other services running expenses (total non employee expenditure)")</f>
        <v/>
      </c>
    </row>
    <row r="121" spans="1:9" ht="15.5" x14ac:dyDescent="0.35">
      <c r="B121" s="892"/>
      <c r="C121" s="893"/>
      <c r="D121" s="933" t="str">
        <f>IF(ABS(RSX!$F$45-D118)&lt;3,"","For more information, please see the SAR guidance notes on cross check validation for line 63.")</f>
        <v/>
      </c>
      <c r="E121" s="268"/>
      <c r="F121" s="933" t="str">
        <f>IF(ABS(RSX!$F$34-F118)&lt;3,"","For more information, please see the SAR guidance notes on cross check validation for line 63.")</f>
        <v/>
      </c>
      <c r="G121" s="935" t="str">
        <f>IF((ABS(RSX!$F$35-G118)&lt;3),"","For more information, please see the SAR guidance notes on cross check validation for line 63.)")</f>
        <v/>
      </c>
      <c r="H121" s="935" t="str">
        <f>IF((ABS(RSX!$F$41-H118)&lt;3),"","For more information, please see the SAR guidance notes on cross check validation for line 63.)")</f>
        <v/>
      </c>
      <c r="I121" s="935" t="str">
        <f>IF((ABS(SUM(RSX!F32:F33,RSX!F36:F40,RSX!F42:F44)-I118)&lt;3),"","For more information, please see the SAR guidance notes on cross check validation for line 63.)")</f>
        <v/>
      </c>
    </row>
    <row r="122" spans="1:9" ht="15.5" x14ac:dyDescent="0.35">
      <c r="A122" s="280" t="s">
        <v>1669</v>
      </c>
      <c r="B122" s="892"/>
      <c r="C122" s="892" t="s">
        <v>44</v>
      </c>
      <c r="D122" s="267" t="s">
        <v>1497</v>
      </c>
      <c r="E122" s="268"/>
      <c r="F122" s="893"/>
      <c r="G122" s="893"/>
      <c r="H122" s="893"/>
    </row>
    <row r="123" spans="1:9" ht="18" x14ac:dyDescent="0.4">
      <c r="A123" s="280" t="s">
        <v>1502</v>
      </c>
      <c r="B123" s="886" t="s">
        <v>1670</v>
      </c>
      <c r="C123" s="893"/>
      <c r="D123" s="888" t="s">
        <v>1515</v>
      </c>
      <c r="E123" s="268"/>
      <c r="F123" s="936"/>
      <c r="G123" s="893"/>
      <c r="H123" s="893"/>
    </row>
    <row r="124" spans="1:9" ht="18" x14ac:dyDescent="0.4">
      <c r="B124" s="886"/>
      <c r="C124" s="893"/>
      <c r="D124" s="890" t="s">
        <v>1525</v>
      </c>
      <c r="E124" s="268"/>
      <c r="F124" s="936"/>
      <c r="G124" s="893"/>
      <c r="H124" s="893"/>
    </row>
    <row r="125" spans="1:9" ht="18" x14ac:dyDescent="0.4">
      <c r="B125" s="886"/>
      <c r="C125" s="893"/>
      <c r="D125" s="894"/>
      <c r="E125" s="268"/>
      <c r="F125" s="893"/>
      <c r="G125" s="937"/>
      <c r="H125" s="936"/>
    </row>
    <row r="126" spans="1:9" ht="18" x14ac:dyDescent="0.4">
      <c r="B126" s="886"/>
      <c r="C126" s="893"/>
      <c r="D126" s="825" t="s">
        <v>60</v>
      </c>
      <c r="E126" s="268"/>
      <c r="F126" s="893"/>
      <c r="G126" s="893"/>
      <c r="H126" s="893"/>
    </row>
    <row r="127" spans="1:9" ht="18" x14ac:dyDescent="0.4">
      <c r="B127" s="886"/>
      <c r="C127" s="893"/>
      <c r="D127" s="267"/>
      <c r="E127" s="268"/>
      <c r="F127" s="893"/>
      <c r="G127" s="893"/>
      <c r="H127" s="893"/>
    </row>
    <row r="128" spans="1:9" ht="15.5" x14ac:dyDescent="0.35">
      <c r="A128" t="s">
        <v>1671</v>
      </c>
      <c r="B128" s="897" t="s">
        <v>1672</v>
      </c>
      <c r="C128" s="912"/>
      <c r="D128" s="1228"/>
      <c r="E128" s="267"/>
      <c r="F128" s="267"/>
      <c r="G128" s="267"/>
      <c r="H128" s="267"/>
    </row>
    <row r="129" spans="1:8" ht="15.5" x14ac:dyDescent="0.35">
      <c r="A129" t="s">
        <v>1673</v>
      </c>
      <c r="B129" s="897" t="s">
        <v>1674</v>
      </c>
      <c r="C129" s="912"/>
      <c r="D129" s="1231">
        <f>'RO6'!$J$104+'RO6'!$J$105</f>
        <v>0</v>
      </c>
      <c r="E129" s="267"/>
      <c r="F129" s="267"/>
      <c r="G129" s="267"/>
      <c r="H129" s="267"/>
    </row>
    <row r="130" spans="1:8" ht="15.5" x14ac:dyDescent="0.35">
      <c r="A130" t="s">
        <v>1675</v>
      </c>
      <c r="B130" s="897" t="s">
        <v>1676</v>
      </c>
      <c r="C130" s="912"/>
      <c r="D130" s="1228"/>
      <c r="E130" s="267"/>
      <c r="F130" s="267"/>
      <c r="G130" s="267"/>
      <c r="H130" s="267"/>
    </row>
    <row r="131" spans="1:8" ht="18" x14ac:dyDescent="0.4">
      <c r="A131" t="s">
        <v>1677</v>
      </c>
      <c r="B131" s="889" t="s">
        <v>1678</v>
      </c>
      <c r="C131" s="906"/>
      <c r="D131" s="1232">
        <f>SUM(D128:D130)</f>
        <v>0</v>
      </c>
      <c r="E131" s="907"/>
      <c r="F131" s="907"/>
      <c r="G131" s="907"/>
      <c r="H131" s="907"/>
    </row>
    <row r="132" spans="1:8" ht="18" x14ac:dyDescent="0.4">
      <c r="B132" s="892"/>
      <c r="C132" s="893"/>
      <c r="D132" s="913" t="str">
        <f>IF(ABS(RSX!$K$45-D131)&lt;3,"","RSX total: "&amp;TEXT(RSX!$K$45,"#,##0"))</f>
        <v/>
      </c>
      <c r="E132" s="909"/>
      <c r="F132" s="909"/>
      <c r="G132" s="909"/>
      <c r="H132" s="909"/>
    </row>
    <row r="133" spans="1:8" ht="15.5" x14ac:dyDescent="0.35">
      <c r="B133" s="892"/>
      <c r="C133" s="893"/>
      <c r="D133" s="910" t="str">
        <f>IF((ABS(RSX!$K$45-D131)&lt;3),"","RSX Cross-Check - must match your Sales, Fees &amp; Charges plus Other Income")</f>
        <v/>
      </c>
      <c r="E133" s="268"/>
      <c r="F133" s="893"/>
      <c r="G133" s="893"/>
      <c r="H133" s="893"/>
    </row>
    <row r="134" spans="1:8" ht="15.5" x14ac:dyDescent="0.35">
      <c r="D134" s="911" t="str">
        <f>IF(ABS(RSX!$K$45-D131)&lt;3,"","For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4"/>
  <sheetViews>
    <sheetView showGridLines="0" zoomScale="80" zoomScaleNormal="80" workbookViewId="0">
      <pane ySplit="1" topLeftCell="A3" activePane="bottomLeft" state="frozen"/>
      <selection pane="bottomLeft"/>
    </sheetView>
  </sheetViews>
  <sheetFormatPr defaultColWidth="0" defaultRowHeight="12.5" zeroHeight="1" x14ac:dyDescent="0.25"/>
  <cols>
    <col min="1" max="1" width="19.54296875" style="317" customWidth="1"/>
    <col min="2" max="2" width="127" bestFit="1" customWidth="1"/>
    <col min="3" max="3" width="60.7265625" customWidth="1"/>
    <col min="4" max="17" width="8.7265625" customWidth="1"/>
    <col min="18" max="16384" width="8.7265625" hidden="1"/>
  </cols>
  <sheetData>
    <row r="1" spans="1:26" ht="46.5" customHeight="1" x14ac:dyDescent="0.25">
      <c r="A1"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494"/>
      <c r="C1" s="1494"/>
      <c r="D1" s="1494"/>
      <c r="E1" s="1494"/>
      <c r="F1" s="1494"/>
      <c r="G1" s="1494"/>
      <c r="H1" s="1494"/>
      <c r="I1" s="1494"/>
      <c r="J1" s="1494"/>
      <c r="K1" s="1494"/>
      <c r="L1" s="260"/>
      <c r="M1" s="260"/>
      <c r="N1" s="260"/>
      <c r="O1" s="260"/>
      <c r="P1" s="260"/>
      <c r="Q1" s="260"/>
      <c r="R1" s="260"/>
      <c r="S1" s="260"/>
      <c r="T1" s="260"/>
      <c r="U1" s="260"/>
      <c r="V1" s="260"/>
      <c r="W1" s="260"/>
      <c r="X1" s="260"/>
      <c r="Y1" s="260"/>
      <c r="Z1" s="260"/>
    </row>
    <row r="2" spans="1:26" s="79" customFormat="1" ht="36" hidden="1" customHeight="1" x14ac:dyDescent="0.25">
      <c r="A2" s="1161"/>
      <c r="B2" s="1014" t="s">
        <v>44</v>
      </c>
      <c r="C2" s="1015" t="s">
        <v>1378</v>
      </c>
      <c r="D2" s="1016"/>
      <c r="E2" s="1016"/>
      <c r="F2" s="1016"/>
      <c r="G2" s="1016"/>
      <c r="H2" s="1016"/>
      <c r="I2" s="1016"/>
      <c r="J2" s="1016"/>
      <c r="K2" s="1016"/>
    </row>
    <row r="3" spans="1:26" ht="36" customHeight="1" x14ac:dyDescent="0.25">
      <c r="A3" s="1162"/>
      <c r="B3" s="943" t="s">
        <v>1679</v>
      </c>
      <c r="C3" s="914"/>
      <c r="D3" s="914"/>
      <c r="E3" s="914"/>
      <c r="F3" s="914"/>
      <c r="G3" s="914"/>
      <c r="H3" s="914"/>
      <c r="I3" s="914"/>
      <c r="J3" s="914"/>
      <c r="K3" s="914"/>
      <c r="L3" s="260"/>
      <c r="M3" s="260"/>
      <c r="N3" s="260"/>
      <c r="O3" s="260"/>
      <c r="P3" s="260"/>
      <c r="Q3" s="260"/>
      <c r="R3" s="260"/>
      <c r="S3" s="260"/>
      <c r="T3" s="260"/>
      <c r="U3" s="260"/>
      <c r="V3" s="260"/>
      <c r="W3" s="260"/>
      <c r="X3" s="260"/>
      <c r="Y3" s="260"/>
      <c r="Z3" s="260"/>
    </row>
    <row r="4" spans="1:26" ht="18" x14ac:dyDescent="0.4">
      <c r="A4" s="407"/>
      <c r="B4" s="915" t="s">
        <v>1680</v>
      </c>
      <c r="C4" s="260"/>
      <c r="D4" s="260"/>
      <c r="E4" s="260"/>
      <c r="F4" s="260"/>
      <c r="G4" s="260"/>
      <c r="H4" s="260"/>
      <c r="I4" s="260"/>
      <c r="J4" s="260"/>
      <c r="K4" s="260"/>
      <c r="L4" s="260"/>
      <c r="M4" s="260"/>
      <c r="N4" s="260"/>
      <c r="O4" s="260"/>
      <c r="P4" s="260"/>
      <c r="Q4" s="260"/>
      <c r="R4" s="260"/>
      <c r="S4" s="260"/>
      <c r="T4" s="260"/>
      <c r="U4" s="260"/>
      <c r="V4" s="260"/>
      <c r="W4" s="260"/>
      <c r="X4" s="260"/>
      <c r="Y4" s="260"/>
      <c r="Z4" s="260"/>
    </row>
    <row r="5" spans="1:26" x14ac:dyDescent="0.25">
      <c r="A5" s="407"/>
      <c r="B5" s="260"/>
      <c r="C5" s="260"/>
      <c r="D5" s="260"/>
      <c r="E5" s="260"/>
      <c r="F5" s="260"/>
      <c r="G5" s="260"/>
      <c r="H5" s="260"/>
      <c r="I5" s="260"/>
      <c r="J5" s="260"/>
      <c r="K5" s="260"/>
      <c r="L5" s="260"/>
      <c r="M5" s="260"/>
      <c r="N5" s="260"/>
      <c r="O5" s="260"/>
      <c r="P5" s="260"/>
      <c r="Q5" s="260"/>
      <c r="R5" s="260"/>
      <c r="S5" s="260"/>
      <c r="T5" s="260"/>
      <c r="U5" s="260"/>
      <c r="V5" s="260"/>
      <c r="W5" s="260"/>
      <c r="X5" s="260"/>
      <c r="Y5" s="260"/>
      <c r="Z5" s="260"/>
    </row>
    <row r="6" spans="1:26" ht="15.5" x14ac:dyDescent="0.35">
      <c r="A6" s="407"/>
      <c r="B6" s="916" t="s">
        <v>1681</v>
      </c>
      <c r="C6" s="260"/>
      <c r="D6" s="260"/>
      <c r="E6" s="260"/>
      <c r="F6" s="260"/>
      <c r="G6" s="260"/>
      <c r="H6" s="260"/>
      <c r="I6" s="260"/>
      <c r="J6" s="260"/>
      <c r="K6" s="260"/>
      <c r="L6" s="260"/>
      <c r="M6" s="260"/>
      <c r="N6" s="260"/>
      <c r="O6" s="260"/>
      <c r="P6" s="260"/>
      <c r="Q6" s="260"/>
      <c r="R6" s="260"/>
      <c r="S6" s="260"/>
      <c r="T6" s="260"/>
      <c r="U6" s="260"/>
      <c r="V6" s="260"/>
      <c r="W6" s="260"/>
      <c r="X6" s="260"/>
      <c r="Y6" s="260"/>
      <c r="Z6" s="260"/>
    </row>
    <row r="7" spans="1:26" ht="15.5" x14ac:dyDescent="0.35">
      <c r="A7" s="407"/>
      <c r="B7" s="916" t="s">
        <v>1682</v>
      </c>
      <c r="C7" s="260"/>
      <c r="D7" s="260"/>
      <c r="E7" s="260"/>
      <c r="F7" s="260"/>
      <c r="G7" s="260"/>
      <c r="H7" s="260"/>
      <c r="I7" s="260"/>
      <c r="J7" s="260"/>
      <c r="K7" s="260"/>
      <c r="L7" s="260"/>
      <c r="M7" s="260"/>
      <c r="N7" s="260"/>
      <c r="O7" s="260"/>
      <c r="P7" s="260"/>
      <c r="Q7" s="260"/>
      <c r="R7" s="260"/>
      <c r="S7" s="260"/>
      <c r="T7" s="260"/>
      <c r="U7" s="260"/>
      <c r="V7" s="260"/>
      <c r="W7" s="260"/>
      <c r="X7" s="260"/>
      <c r="Y7" s="260"/>
      <c r="Z7" s="260"/>
    </row>
    <row r="8" spans="1:26" ht="15.5" x14ac:dyDescent="0.35">
      <c r="A8" s="407"/>
      <c r="B8" s="916"/>
      <c r="C8" s="260"/>
      <c r="D8" s="260"/>
      <c r="E8" s="260"/>
      <c r="F8" s="260"/>
      <c r="G8" s="260"/>
      <c r="H8" s="260"/>
      <c r="I8" s="260"/>
      <c r="J8" s="260"/>
      <c r="K8" s="260"/>
      <c r="L8" s="260"/>
      <c r="M8" s="260"/>
      <c r="N8" s="260"/>
      <c r="O8" s="260"/>
      <c r="P8" s="260"/>
      <c r="Q8" s="260"/>
      <c r="R8" s="260"/>
      <c r="S8" s="260"/>
      <c r="T8" s="260"/>
      <c r="U8" s="260"/>
      <c r="V8" s="260"/>
      <c r="W8" s="260"/>
      <c r="X8" s="260"/>
      <c r="Y8" s="260"/>
      <c r="Z8" s="260"/>
    </row>
    <row r="9" spans="1:26" ht="18.5" thickBot="1" x14ac:dyDescent="0.45">
      <c r="A9" s="407"/>
      <c r="B9" s="917" t="s">
        <v>1683</v>
      </c>
      <c r="C9" s="918"/>
      <c r="D9" s="260"/>
      <c r="E9" s="260"/>
      <c r="F9" s="260"/>
      <c r="G9" s="260"/>
      <c r="H9" s="260"/>
      <c r="I9" s="260"/>
      <c r="J9" s="260"/>
      <c r="K9" s="260"/>
      <c r="L9" s="260"/>
      <c r="M9" s="260"/>
      <c r="N9" s="260"/>
      <c r="O9" s="260"/>
      <c r="P9" s="260"/>
      <c r="Q9" s="260"/>
      <c r="R9" s="260"/>
      <c r="S9" s="260"/>
      <c r="T9" s="260"/>
      <c r="U9" s="260"/>
      <c r="V9" s="260"/>
      <c r="W9" s="260"/>
      <c r="X9" s="260"/>
      <c r="Y9" s="260"/>
      <c r="Z9" s="260"/>
    </row>
    <row r="10" spans="1:26" ht="36.5" thickBot="1" x14ac:dyDescent="0.3">
      <c r="A10" s="407"/>
      <c r="B10" s="919" t="s">
        <v>1684</v>
      </c>
      <c r="C10" s="920" t="s">
        <v>1685</v>
      </c>
      <c r="D10" s="260"/>
      <c r="E10" s="260"/>
      <c r="F10" s="260"/>
      <c r="G10" s="260"/>
      <c r="H10" s="260"/>
      <c r="I10" s="260"/>
      <c r="J10" s="260"/>
      <c r="K10" s="260"/>
      <c r="L10" s="260"/>
      <c r="M10" s="260"/>
      <c r="N10" s="260"/>
      <c r="O10" s="260"/>
      <c r="P10" s="260"/>
      <c r="Q10" s="260"/>
      <c r="R10" s="260"/>
      <c r="S10" s="260"/>
      <c r="T10" s="260"/>
      <c r="U10" s="260"/>
      <c r="V10" s="260"/>
      <c r="W10" s="260"/>
      <c r="X10" s="260"/>
      <c r="Y10" s="260"/>
      <c r="Z10" s="260"/>
    </row>
    <row r="11" spans="1:26" ht="15.5" x14ac:dyDescent="0.25">
      <c r="A11" s="407" t="s">
        <v>1686</v>
      </c>
      <c r="B11" s="276"/>
      <c r="C11" s="279"/>
      <c r="D11" s="260"/>
      <c r="E11" s="260"/>
      <c r="F11" s="260"/>
      <c r="G11" s="260"/>
      <c r="H11" s="260"/>
      <c r="I11" s="260"/>
      <c r="J11" s="260"/>
      <c r="K11" s="260"/>
      <c r="L11" s="260"/>
      <c r="M11" s="260"/>
      <c r="N11" s="260"/>
      <c r="O11" s="260"/>
      <c r="P11" s="260"/>
      <c r="Q11" s="260"/>
      <c r="R11" s="260"/>
      <c r="S11" s="260"/>
      <c r="T11" s="260"/>
      <c r="U11" s="260"/>
      <c r="V11" s="260"/>
      <c r="W11" s="260"/>
      <c r="X11" s="260"/>
      <c r="Y11" s="260"/>
      <c r="Z11" s="260"/>
    </row>
    <row r="12" spans="1:26" ht="15.5" x14ac:dyDescent="0.25">
      <c r="A12" s="407" t="s">
        <v>1687</v>
      </c>
      <c r="B12" s="276"/>
      <c r="C12" s="279"/>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spans="1:26" ht="15.5" x14ac:dyDescent="0.25">
      <c r="A13" s="407" t="s">
        <v>1688</v>
      </c>
      <c r="B13" s="276"/>
      <c r="C13" s="279"/>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ht="15.5" x14ac:dyDescent="0.25">
      <c r="A14" s="407" t="s">
        <v>1689</v>
      </c>
      <c r="B14" s="276"/>
      <c r="C14" s="279"/>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ht="15.5" x14ac:dyDescent="0.25">
      <c r="A15" s="407" t="s">
        <v>1690</v>
      </c>
      <c r="B15" s="276"/>
      <c r="C15" s="279"/>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spans="1:26" ht="15.5" x14ac:dyDescent="0.25">
      <c r="A16" s="407" t="s">
        <v>1691</v>
      </c>
      <c r="B16" s="276"/>
      <c r="C16" s="279"/>
      <c r="D16" s="260"/>
      <c r="E16" s="260"/>
      <c r="F16" s="260"/>
      <c r="G16" s="260"/>
      <c r="H16" s="260"/>
      <c r="I16" s="260"/>
      <c r="J16" s="260"/>
      <c r="K16" s="260"/>
      <c r="L16" s="260"/>
      <c r="M16" s="260"/>
      <c r="N16" s="260"/>
      <c r="O16" s="260"/>
      <c r="P16" s="260"/>
      <c r="Q16" s="260"/>
      <c r="R16" s="260"/>
      <c r="S16" s="260"/>
      <c r="T16" s="260"/>
      <c r="U16" s="260"/>
      <c r="V16" s="260"/>
      <c r="W16" s="260"/>
      <c r="X16" s="260"/>
      <c r="Y16" s="260"/>
      <c r="Z16" s="260"/>
    </row>
    <row r="17" spans="1:26" ht="15.5" x14ac:dyDescent="0.25">
      <c r="A17" s="407" t="s">
        <v>1692</v>
      </c>
      <c r="B17" s="276"/>
      <c r="C17" s="279"/>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ht="15.5" x14ac:dyDescent="0.25">
      <c r="A18" s="407" t="s">
        <v>1693</v>
      </c>
      <c r="B18" s="276"/>
      <c r="C18" s="279"/>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spans="1:26" ht="15.5" x14ac:dyDescent="0.25">
      <c r="A19" s="407" t="s">
        <v>1694</v>
      </c>
      <c r="B19" s="277"/>
      <c r="C19" s="1261"/>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spans="1:26" ht="15.5" x14ac:dyDescent="0.25">
      <c r="A20" s="407" t="s">
        <v>1695</v>
      </c>
      <c r="B20" s="1152"/>
      <c r="C20" s="279"/>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1:26" ht="15.5" x14ac:dyDescent="0.25">
      <c r="A21" s="407" t="s">
        <v>1696</v>
      </c>
      <c r="B21" s="1153"/>
      <c r="C21" s="279"/>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spans="1:26" ht="15.5" x14ac:dyDescent="0.25">
      <c r="A22" s="407" t="s">
        <v>1697</v>
      </c>
      <c r="B22" s="1153"/>
      <c r="C22" s="279"/>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ht="15.5" x14ac:dyDescent="0.25">
      <c r="A23" s="407" t="s">
        <v>1698</v>
      </c>
      <c r="B23" s="1153"/>
      <c r="C23" s="279"/>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ht="15.5" x14ac:dyDescent="0.25">
      <c r="A24" s="407" t="s">
        <v>1699</v>
      </c>
      <c r="B24" s="1153"/>
      <c r="C24" s="279"/>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spans="1:26" ht="16" thickBot="1" x14ac:dyDescent="0.3">
      <c r="A25" s="407" t="s">
        <v>1700</v>
      </c>
      <c r="B25" s="1262"/>
      <c r="C25" s="1261"/>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spans="1:26" ht="16" thickBot="1" x14ac:dyDescent="0.4">
      <c r="A26" s="407" t="s">
        <v>1701</v>
      </c>
      <c r="B26" s="1150" t="s">
        <v>1702</v>
      </c>
      <c r="C26" s="1151">
        <f>SUM(C11:C25)</f>
        <v>0</v>
      </c>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spans="1:26" ht="13" x14ac:dyDescent="0.3">
      <c r="A27" s="407"/>
      <c r="B27" s="260"/>
      <c r="C27" s="921" t="str">
        <f>IF(C26&lt;&gt;-RS!F53,"This total needs to match your total income in RS line 722","")</f>
        <v/>
      </c>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spans="1:26" x14ac:dyDescent="0.25">
      <c r="A28" s="407"/>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row>
    <row r="29" spans="1:26" s="79" customFormat="1" ht="15.5" hidden="1" x14ac:dyDescent="0.25">
      <c r="A29" s="1163"/>
      <c r="B29" s="1014" t="s">
        <v>44</v>
      </c>
      <c r="C29" s="1001" t="s">
        <v>1378</v>
      </c>
    </row>
    <row r="30" spans="1:26" ht="18" x14ac:dyDescent="0.4">
      <c r="A30" s="407"/>
      <c r="B30" s="915" t="s">
        <v>1703</v>
      </c>
      <c r="D30" s="260"/>
      <c r="E30" s="260"/>
      <c r="F30" s="260"/>
      <c r="G30" s="260"/>
      <c r="H30" s="260"/>
      <c r="I30" s="260"/>
      <c r="J30" s="260"/>
      <c r="K30" s="260"/>
      <c r="L30" s="260"/>
      <c r="M30" s="260"/>
      <c r="N30" s="260"/>
      <c r="O30" s="260"/>
      <c r="P30" s="260"/>
      <c r="Q30" s="260"/>
      <c r="R30" s="260"/>
      <c r="S30" s="260"/>
      <c r="T30" s="260"/>
      <c r="U30" s="260"/>
      <c r="V30" s="260"/>
      <c r="W30" s="260"/>
      <c r="X30" s="260"/>
      <c r="Y30" s="260"/>
      <c r="Z30" s="260"/>
    </row>
    <row r="31" spans="1:26" x14ac:dyDescent="0.25">
      <c r="A31" s="407"/>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ht="15.5" x14ac:dyDescent="0.35">
      <c r="A32" s="407"/>
      <c r="B32" s="916" t="s">
        <v>1704</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ht="15.5" x14ac:dyDescent="0.35">
      <c r="A33" s="407"/>
      <c r="B33" s="916" t="s">
        <v>1682</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row>
    <row r="34" spans="1:26" ht="15.5" x14ac:dyDescent="0.35">
      <c r="A34" s="407"/>
      <c r="B34" s="922"/>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row>
    <row r="35" spans="1:26" ht="18.5" thickBot="1" x14ac:dyDescent="0.45">
      <c r="A35" s="407"/>
      <c r="B35" s="917" t="s">
        <v>1705</v>
      </c>
      <c r="C35" s="918"/>
      <c r="D35" s="260"/>
      <c r="E35" s="260"/>
      <c r="F35" s="260"/>
      <c r="G35" s="260"/>
      <c r="H35" s="260"/>
      <c r="I35" s="260"/>
      <c r="J35" s="260"/>
      <c r="K35" s="260"/>
      <c r="L35" s="260"/>
      <c r="M35" s="260"/>
      <c r="N35" s="260"/>
      <c r="O35" s="260"/>
      <c r="P35" s="260"/>
      <c r="Q35" s="260"/>
      <c r="R35" s="260"/>
      <c r="S35" s="260"/>
      <c r="T35" s="260"/>
      <c r="U35" s="260"/>
      <c r="V35" s="260"/>
      <c r="W35" s="260"/>
      <c r="X35" s="260"/>
      <c r="Y35" s="260"/>
      <c r="Z35" s="260"/>
    </row>
    <row r="36" spans="1:26" ht="40.5" thickBot="1" x14ac:dyDescent="0.45">
      <c r="A36" s="407"/>
      <c r="B36" s="923" t="s">
        <v>1684</v>
      </c>
      <c r="C36" s="924" t="s">
        <v>1706</v>
      </c>
      <c r="D36" s="260"/>
      <c r="E36" s="260"/>
      <c r="F36" s="260"/>
      <c r="G36" s="260"/>
      <c r="H36" s="260"/>
      <c r="I36" s="260"/>
      <c r="J36" s="260"/>
      <c r="K36" s="260"/>
      <c r="L36" s="260"/>
      <c r="M36" s="260"/>
      <c r="N36" s="260"/>
      <c r="O36" s="260"/>
      <c r="P36" s="260"/>
      <c r="Q36" s="260"/>
      <c r="R36" s="260"/>
      <c r="S36" s="260"/>
      <c r="T36" s="260"/>
      <c r="U36" s="260"/>
      <c r="V36" s="260"/>
      <c r="W36" s="260"/>
      <c r="X36" s="260"/>
      <c r="Y36" s="260"/>
      <c r="Z36" s="260"/>
    </row>
    <row r="37" spans="1:26" ht="15.5" x14ac:dyDescent="0.25">
      <c r="A37" s="407" t="s">
        <v>1686</v>
      </c>
      <c r="B37" s="276"/>
      <c r="C37" s="278"/>
      <c r="D37" s="260"/>
      <c r="E37" s="260"/>
      <c r="F37" s="260"/>
      <c r="G37" s="260"/>
      <c r="H37" s="260"/>
      <c r="I37" s="260"/>
      <c r="J37" s="260"/>
      <c r="K37" s="260"/>
      <c r="L37" s="260"/>
      <c r="M37" s="260"/>
      <c r="N37" s="260"/>
      <c r="O37" s="260"/>
      <c r="P37" s="260"/>
      <c r="Q37" s="260"/>
      <c r="R37" s="260"/>
      <c r="S37" s="260"/>
      <c r="T37" s="260"/>
      <c r="U37" s="260"/>
      <c r="V37" s="260"/>
      <c r="W37" s="260"/>
      <c r="X37" s="260"/>
      <c r="Y37" s="260"/>
      <c r="Z37" s="260"/>
    </row>
    <row r="38" spans="1:26" ht="15.5" x14ac:dyDescent="0.25">
      <c r="A38" s="407" t="s">
        <v>1687</v>
      </c>
      <c r="B38" s="276"/>
      <c r="C38" s="278"/>
      <c r="D38" s="260"/>
      <c r="E38" s="260"/>
      <c r="F38" s="260"/>
      <c r="G38" s="260"/>
      <c r="H38" s="260"/>
      <c r="I38" s="260"/>
      <c r="J38" s="260"/>
      <c r="K38" s="260"/>
      <c r="L38" s="260"/>
      <c r="M38" s="260"/>
      <c r="N38" s="260"/>
      <c r="O38" s="260"/>
      <c r="P38" s="260"/>
      <c r="Q38" s="260"/>
      <c r="R38" s="260"/>
      <c r="S38" s="260"/>
      <c r="T38" s="260"/>
      <c r="U38" s="260"/>
      <c r="V38" s="260"/>
      <c r="W38" s="260"/>
      <c r="X38" s="260"/>
      <c r="Y38" s="260"/>
      <c r="Z38" s="260"/>
    </row>
    <row r="39" spans="1:26" ht="15.5" x14ac:dyDescent="0.25">
      <c r="A39" s="407" t="s">
        <v>1688</v>
      </c>
      <c r="B39" s="276"/>
      <c r="C39" s="278"/>
      <c r="D39" s="260"/>
      <c r="E39" s="260"/>
      <c r="F39" s="260"/>
      <c r="G39" s="260"/>
      <c r="H39" s="260"/>
      <c r="I39" s="260"/>
      <c r="J39" s="260"/>
      <c r="K39" s="260"/>
      <c r="L39" s="260"/>
      <c r="M39" s="260"/>
      <c r="N39" s="260"/>
      <c r="O39" s="260"/>
      <c r="P39" s="260"/>
      <c r="Q39" s="260"/>
      <c r="R39" s="260"/>
      <c r="S39" s="260"/>
      <c r="T39" s="260"/>
      <c r="U39" s="260"/>
      <c r="V39" s="260"/>
      <c r="W39" s="260"/>
      <c r="X39" s="260"/>
      <c r="Y39" s="260"/>
      <c r="Z39" s="260"/>
    </row>
    <row r="40" spans="1:26" ht="15.5" x14ac:dyDescent="0.25">
      <c r="A40" s="407" t="s">
        <v>1689</v>
      </c>
      <c r="B40" s="276"/>
      <c r="C40" s="278"/>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ht="15.5" x14ac:dyDescent="0.25">
      <c r="A41" s="407" t="s">
        <v>1690</v>
      </c>
      <c r="B41" s="276"/>
      <c r="C41" s="278"/>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ht="15.5" x14ac:dyDescent="0.25">
      <c r="A42" s="407" t="s">
        <v>1691</v>
      </c>
      <c r="B42" s="276"/>
      <c r="C42" s="278"/>
      <c r="D42" s="260"/>
      <c r="E42" s="260"/>
      <c r="F42" s="260"/>
      <c r="G42" s="260"/>
      <c r="H42" s="260"/>
      <c r="I42" s="260"/>
      <c r="J42" s="260"/>
      <c r="K42" s="260"/>
      <c r="L42" s="260"/>
      <c r="M42" s="260"/>
      <c r="N42" s="260"/>
      <c r="O42" s="260"/>
      <c r="P42" s="260"/>
      <c r="Q42" s="260"/>
      <c r="R42" s="260"/>
      <c r="S42" s="260"/>
      <c r="T42" s="260"/>
      <c r="U42" s="260"/>
      <c r="V42" s="260"/>
      <c r="W42" s="260"/>
      <c r="X42" s="260"/>
      <c r="Y42" s="260"/>
      <c r="Z42" s="260"/>
    </row>
    <row r="43" spans="1:26" ht="15.5" x14ac:dyDescent="0.25">
      <c r="A43" s="407" t="s">
        <v>1692</v>
      </c>
      <c r="B43" s="276"/>
      <c r="C43" s="278"/>
      <c r="D43" s="260"/>
      <c r="E43" s="260"/>
      <c r="F43" s="260"/>
      <c r="G43" s="260"/>
      <c r="H43" s="260"/>
      <c r="I43" s="260"/>
      <c r="J43" s="260"/>
      <c r="K43" s="260"/>
      <c r="L43" s="260"/>
      <c r="M43" s="260"/>
      <c r="N43" s="260"/>
      <c r="O43" s="260"/>
      <c r="P43" s="260"/>
      <c r="Q43" s="260"/>
      <c r="R43" s="260"/>
      <c r="S43" s="260"/>
      <c r="T43" s="260"/>
      <c r="U43" s="260"/>
      <c r="V43" s="260"/>
      <c r="W43" s="260"/>
      <c r="X43" s="260"/>
      <c r="Y43" s="260"/>
      <c r="Z43" s="260"/>
    </row>
    <row r="44" spans="1:26" ht="15.5" x14ac:dyDescent="0.25">
      <c r="A44" s="407" t="s">
        <v>1693</v>
      </c>
      <c r="B44" s="276"/>
      <c r="C44" s="278"/>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spans="1:26" ht="15.5" x14ac:dyDescent="0.25">
      <c r="A45" s="407" t="s">
        <v>1694</v>
      </c>
      <c r="B45" s="277"/>
      <c r="C45" s="1263"/>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spans="1:26" ht="15.5" x14ac:dyDescent="0.25">
      <c r="A46" s="407" t="s">
        <v>1695</v>
      </c>
      <c r="B46" s="1154"/>
      <c r="C46" s="1155"/>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spans="1:26" ht="15.5" x14ac:dyDescent="0.25">
      <c r="A47" s="407" t="s">
        <v>1696</v>
      </c>
      <c r="B47" s="1156"/>
      <c r="C47" s="1155"/>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ht="15.5" x14ac:dyDescent="0.25">
      <c r="A48" s="407" t="s">
        <v>1697</v>
      </c>
      <c r="B48" s="1156"/>
      <c r="C48" s="1155"/>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ht="15.5" x14ac:dyDescent="0.25">
      <c r="A49" s="407" t="s">
        <v>1698</v>
      </c>
      <c r="B49" s="1156"/>
      <c r="C49" s="1155"/>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spans="1:26" ht="15.5" x14ac:dyDescent="0.25">
      <c r="A50" s="407" t="s">
        <v>1699</v>
      </c>
      <c r="B50" s="1156"/>
      <c r="C50" s="1155"/>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spans="1:26" ht="16" thickBot="1" x14ac:dyDescent="0.3">
      <c r="A51" s="407" t="s">
        <v>1700</v>
      </c>
      <c r="B51" s="1157"/>
      <c r="C51" s="1158"/>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spans="1:26" ht="16" thickBot="1" x14ac:dyDescent="0.4">
      <c r="A52" s="407" t="s">
        <v>1701</v>
      </c>
      <c r="B52" s="1159" t="s">
        <v>1702</v>
      </c>
      <c r="C52" s="1160">
        <f>SUM(C37:C51)</f>
        <v>0</v>
      </c>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spans="1:26" ht="13" x14ac:dyDescent="0.3">
      <c r="A53" s="407"/>
      <c r="B53" s="260"/>
      <c r="C53" s="921" t="str">
        <f>IF(C52&lt;&gt;-RS!F54,"This needs to match your total income in RS line 724","")</f>
        <v/>
      </c>
      <c r="D53" s="260"/>
      <c r="E53" s="260"/>
      <c r="F53" s="260"/>
      <c r="G53" s="260"/>
      <c r="H53" s="260"/>
      <c r="I53" s="260"/>
      <c r="J53" s="260"/>
      <c r="K53" s="260"/>
      <c r="L53" s="260"/>
      <c r="M53" s="260"/>
      <c r="N53" s="260"/>
      <c r="O53" s="260"/>
      <c r="P53" s="260"/>
      <c r="Q53" s="260"/>
      <c r="R53" s="260"/>
      <c r="S53" s="260"/>
      <c r="T53" s="260"/>
      <c r="U53" s="260"/>
      <c r="V53" s="260"/>
      <c r="W53" s="260"/>
      <c r="X53" s="260"/>
      <c r="Y53" s="260"/>
      <c r="Z53" s="260"/>
    </row>
    <row r="54" spans="1:26" x14ac:dyDescent="0.25">
      <c r="A54" s="407"/>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row>
    <row r="55" spans="1:26" x14ac:dyDescent="0.25">
      <c r="A55" s="407"/>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x14ac:dyDescent="0.25">
      <c r="A56" s="407"/>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x14ac:dyDescent="0.25">
      <c r="A57" s="407"/>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row>
    <row r="58" spans="1:26" x14ac:dyDescent="0.25">
      <c r="A58" s="407"/>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row>
    <row r="59" spans="1:26" x14ac:dyDescent="0.25">
      <c r="A59" s="407"/>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row>
    <row r="60" spans="1:26" x14ac:dyDescent="0.25">
      <c r="A60" s="407"/>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row>
    <row r="61" spans="1:26" hidden="1" x14ac:dyDescent="0.25">
      <c r="A61" s="407"/>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row>
    <row r="62" spans="1:26" hidden="1" x14ac:dyDescent="0.25">
      <c r="A62" s="407"/>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row>
    <row r="63" spans="1:26" hidden="1" x14ac:dyDescent="0.25">
      <c r="A63" s="407"/>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row>
    <row r="64" spans="1:26" hidden="1" x14ac:dyDescent="0.25">
      <c r="A64" s="407"/>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row>
    <row r="65" spans="1:26" hidden="1" x14ac:dyDescent="0.25">
      <c r="A65" s="407"/>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1:26" hidden="1" x14ac:dyDescent="0.25">
      <c r="A66" s="407"/>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row>
    <row r="67" spans="1:26" hidden="1" x14ac:dyDescent="0.25">
      <c r="A67" s="407"/>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row>
    <row r="68" spans="1:26" hidden="1" x14ac:dyDescent="0.25">
      <c r="A68" s="407"/>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row>
    <row r="69" spans="1:26" hidden="1" x14ac:dyDescent="0.25">
      <c r="A69" s="407"/>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row>
    <row r="70" spans="1:26" hidden="1" x14ac:dyDescent="0.25">
      <c r="A70" s="407"/>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row>
    <row r="71" spans="1:26" hidden="1" x14ac:dyDescent="0.25">
      <c r="A71" s="407"/>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row>
    <row r="72" spans="1:26" hidden="1" x14ac:dyDescent="0.25">
      <c r="A72" s="407"/>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row>
    <row r="73" spans="1:26" hidden="1" x14ac:dyDescent="0.25">
      <c r="A73" s="407"/>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row>
    <row r="74" spans="1:26" hidden="1" x14ac:dyDescent="0.25">
      <c r="A74" s="407"/>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row>
    <row r="75" spans="1:26" hidden="1" x14ac:dyDescent="0.25">
      <c r="A75" s="40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row>
    <row r="76" spans="1:26" hidden="1" x14ac:dyDescent="0.25">
      <c r="A76" s="407"/>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row>
    <row r="77" spans="1:26" hidden="1" x14ac:dyDescent="0.25">
      <c r="A77" s="407"/>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row>
    <row r="78" spans="1:26" hidden="1" x14ac:dyDescent="0.25">
      <c r="A78" s="407"/>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row>
    <row r="79" spans="1:26" hidden="1" x14ac:dyDescent="0.25">
      <c r="A79" s="407"/>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row>
    <row r="80" spans="1:26" hidden="1" x14ac:dyDescent="0.25">
      <c r="A80" s="407"/>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row>
    <row r="81" spans="1:26" hidden="1" x14ac:dyDescent="0.25">
      <c r="A81" s="407"/>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row>
    <row r="82" spans="1:26" hidden="1" x14ac:dyDescent="0.25">
      <c r="A82" s="407"/>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row>
    <row r="83" spans="1:26" hidden="1" x14ac:dyDescent="0.25">
      <c r="A83" s="407"/>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row>
    <row r="84" spans="1:26" hidden="1" x14ac:dyDescent="0.25">
      <c r="A84" s="407"/>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row>
    <row r="85" spans="1:26" hidden="1" x14ac:dyDescent="0.25">
      <c r="A85" s="407"/>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row>
    <row r="86" spans="1:26" hidden="1" x14ac:dyDescent="0.25">
      <c r="A86" s="407"/>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row>
    <row r="87" spans="1:26" hidden="1" x14ac:dyDescent="0.25">
      <c r="A87" s="407"/>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row>
    <row r="88" spans="1:26" hidden="1" x14ac:dyDescent="0.25">
      <c r="A88" s="407"/>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row>
    <row r="89" spans="1:26" hidden="1" x14ac:dyDescent="0.25">
      <c r="A89" s="407"/>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row>
    <row r="90" spans="1:26" hidden="1" x14ac:dyDescent="0.25">
      <c r="A90" s="407"/>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row>
    <row r="91" spans="1:26" hidden="1" x14ac:dyDescent="0.25">
      <c r="A91" s="407"/>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row>
    <row r="92" spans="1:26" hidden="1" x14ac:dyDescent="0.25">
      <c r="A92" s="407"/>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row>
    <row r="93" spans="1:26" hidden="1" x14ac:dyDescent="0.25">
      <c r="A93" s="407"/>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row>
    <row r="94" spans="1:26" hidden="1" x14ac:dyDescent="0.25">
      <c r="A94" s="407"/>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row>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8"/>
  <sheetViews>
    <sheetView showGridLines="0" zoomScale="80" zoomScaleNormal="80" workbookViewId="0">
      <pane ySplit="1" topLeftCell="A2" activePane="bottomLeft" state="frozen"/>
      <selection activeCell="B1" sqref="B1"/>
      <selection pane="bottomLeft" activeCell="B1" sqref="B1"/>
    </sheetView>
  </sheetViews>
  <sheetFormatPr defaultColWidth="0" defaultRowHeight="12.5" zeroHeight="1" x14ac:dyDescent="0.25"/>
  <cols>
    <col min="1" max="1" width="1.81640625" style="565" hidden="1" customWidth="1"/>
    <col min="2" max="2" width="15.81640625" style="38" customWidth="1"/>
    <col min="3" max="3" width="6.7265625" style="38" customWidth="1"/>
    <col min="4" max="4" width="85.7265625" style="38" customWidth="1"/>
    <col min="5" max="8" width="16.7265625" style="38" customWidth="1"/>
    <col min="9" max="12" width="16.7265625" style="14" customWidth="1"/>
    <col min="13" max="13" width="2.7265625" style="14" customWidth="1"/>
    <col min="14" max="14" width="16.7265625" style="14" customWidth="1"/>
    <col min="15" max="15" width="2.7265625" style="14" customWidth="1"/>
    <col min="16" max="16" width="9.26953125" style="14" customWidth="1"/>
    <col min="17" max="17" width="9.26953125" style="14" hidden="1" customWidth="1"/>
    <col min="18" max="16384" width="8.7265625" style="14" hidden="1"/>
  </cols>
  <sheetData>
    <row r="1" spans="1:16" customFormat="1" ht="47.15" customHeight="1" x14ac:dyDescent="0.25">
      <c r="A1" s="926"/>
      <c r="B1" s="1536"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1" s="1537"/>
      <c r="D1" s="1537"/>
      <c r="E1" s="1537"/>
      <c r="F1" s="1537"/>
      <c r="G1" s="1537"/>
      <c r="H1" s="1537"/>
      <c r="I1" s="1537"/>
      <c r="J1" s="1537"/>
      <c r="K1" s="1537"/>
      <c r="L1" s="1537"/>
      <c r="M1" s="956"/>
      <c r="N1" s="944"/>
      <c r="O1" s="944"/>
    </row>
    <row r="2" spans="1:16" x14ac:dyDescent="0.25">
      <c r="B2" s="14"/>
      <c r="C2" s="14"/>
      <c r="D2" s="14"/>
      <c r="E2" s="14"/>
      <c r="F2" s="14"/>
      <c r="G2" s="14"/>
      <c r="H2" s="14"/>
    </row>
    <row r="3" spans="1:16" ht="27.75" customHeight="1" x14ac:dyDescent="0.6">
      <c r="B3" s="14"/>
      <c r="C3" s="14"/>
      <c r="D3" s="14"/>
      <c r="E3" s="14"/>
      <c r="F3" s="14"/>
      <c r="G3" s="14"/>
      <c r="H3" s="14"/>
      <c r="N3" s="725" t="str">
        <f>"RO "&amp;YearForm</f>
        <v>RO 2025-26</v>
      </c>
    </row>
    <row r="4" spans="1:16" x14ac:dyDescent="0.25">
      <c r="B4" s="14"/>
      <c r="C4" s="14"/>
      <c r="D4" s="14"/>
      <c r="E4" s="14"/>
      <c r="F4" s="14"/>
      <c r="G4" s="14"/>
      <c r="H4" s="14"/>
    </row>
    <row r="5" spans="1:16" x14ac:dyDescent="0.25">
      <c r="B5" s="14"/>
      <c r="C5" s="14"/>
      <c r="D5" s="14"/>
      <c r="E5" s="14"/>
      <c r="F5" s="14"/>
      <c r="G5" s="14"/>
      <c r="H5" s="14"/>
    </row>
    <row r="6" spans="1:16" x14ac:dyDescent="0.25">
      <c r="B6" s="14"/>
      <c r="C6" s="14"/>
      <c r="D6" s="14"/>
      <c r="E6" s="14"/>
      <c r="F6" s="14"/>
      <c r="G6" s="14"/>
      <c r="H6" s="14"/>
    </row>
    <row r="7" spans="1:16" x14ac:dyDescent="0.25">
      <c r="B7" s="14"/>
      <c r="C7" s="14"/>
      <c r="D7" s="14"/>
      <c r="E7" s="14"/>
      <c r="F7" s="14"/>
      <c r="G7" s="14"/>
      <c r="H7" s="14"/>
    </row>
    <row r="8" spans="1:16" ht="12.75" customHeight="1" x14ac:dyDescent="0.25">
      <c r="B8" s="927"/>
      <c r="C8" s="927"/>
      <c r="D8" s="927"/>
      <c r="E8" s="927"/>
      <c r="F8" s="927"/>
      <c r="G8" s="927"/>
      <c r="H8" s="927"/>
      <c r="I8" s="927"/>
      <c r="J8" s="927"/>
      <c r="K8" s="927"/>
      <c r="L8" s="927"/>
      <c r="M8" s="927"/>
      <c r="N8" s="927"/>
    </row>
    <row r="9" spans="1:16" ht="33" customHeight="1" x14ac:dyDescent="0.6">
      <c r="B9" s="1538" t="str">
        <f>"General Fund Revenue Account "&amp;YearForm</f>
        <v>General Fund Revenue Account 2025-26</v>
      </c>
      <c r="C9" s="1539"/>
      <c r="D9" s="1539"/>
      <c r="E9" s="1539"/>
      <c r="F9" s="1539"/>
      <c r="G9" s="1539"/>
      <c r="H9" s="1539"/>
      <c r="I9" s="1539"/>
      <c r="J9" s="1539"/>
      <c r="K9" s="1539"/>
      <c r="L9" s="1539"/>
      <c r="M9" s="1539"/>
      <c r="N9" s="1539"/>
      <c r="O9" s="928"/>
    </row>
    <row r="10" spans="1:16" ht="33" customHeight="1" x14ac:dyDescent="0.25">
      <c r="B10" s="1539" t="s">
        <v>2</v>
      </c>
      <c r="C10" s="1539"/>
      <c r="D10" s="1539"/>
      <c r="E10" s="1539"/>
      <c r="F10" s="1539"/>
      <c r="G10" s="1539"/>
      <c r="H10" s="1539"/>
      <c r="I10" s="1539"/>
      <c r="J10" s="1539"/>
      <c r="K10" s="1539"/>
      <c r="L10" s="1539"/>
      <c r="M10" s="1539"/>
      <c r="N10" s="1539"/>
      <c r="O10" s="927"/>
    </row>
    <row r="11" spans="1:16" customFormat="1" ht="14.15" customHeight="1" x14ac:dyDescent="0.35">
      <c r="A11" s="926"/>
      <c r="B11" s="721"/>
      <c r="C11" s="721"/>
      <c r="D11" s="721"/>
      <c r="E11" s="722"/>
      <c r="F11" s="723"/>
      <c r="G11" s="1"/>
      <c r="H11" s="1"/>
    </row>
    <row r="12" spans="1:16" customFormat="1" ht="18.75" customHeight="1" x14ac:dyDescent="0.4">
      <c r="A12" s="926"/>
      <c r="B12" s="1540"/>
      <c r="C12" s="1540"/>
      <c r="D12" s="1540"/>
      <c r="E12" s="1540"/>
      <c r="F12" s="1540"/>
      <c r="G12" s="1540"/>
      <c r="H12" s="1540"/>
      <c r="I12" s="1540"/>
      <c r="J12" s="1540"/>
      <c r="K12" s="1540"/>
      <c r="L12" s="1540"/>
      <c r="M12" s="1540"/>
      <c r="N12" s="1540"/>
    </row>
    <row r="13" spans="1:16" customFormat="1" ht="12" customHeight="1" x14ac:dyDescent="0.3">
      <c r="A13" s="926"/>
      <c r="B13" s="22"/>
      <c r="C13" s="22"/>
      <c r="D13" s="22"/>
      <c r="E13" s="22"/>
      <c r="F13" s="22"/>
      <c r="G13" s="22"/>
      <c r="H13" s="22"/>
      <c r="I13" s="22"/>
      <c r="J13" s="22"/>
      <c r="K13" s="726"/>
      <c r="L13" s="726"/>
      <c r="M13" s="22"/>
      <c r="N13" s="22"/>
      <c r="O13" s="22"/>
      <c r="P13" s="22"/>
    </row>
    <row r="14" spans="1:16" ht="13.5" x14ac:dyDescent="0.25">
      <c r="B14" s="14"/>
      <c r="C14" s="14"/>
      <c r="D14" s="15"/>
      <c r="E14" s="14"/>
      <c r="F14" s="14"/>
      <c r="G14" s="14"/>
      <c r="H14" s="14"/>
    </row>
    <row r="15" spans="1:16" ht="25" x14ac:dyDescent="0.5">
      <c r="B15" s="737" t="str">
        <f>RS!$B$21</f>
        <v>Please select your authority name on Title page</v>
      </c>
      <c r="C15" s="14"/>
      <c r="D15" s="14"/>
      <c r="E15" s="14"/>
      <c r="F15" s="14"/>
      <c r="G15" s="14"/>
      <c r="H15" s="14"/>
    </row>
    <row r="16" spans="1:16" ht="18" x14ac:dyDescent="0.4">
      <c r="B16" s="740" t="str">
        <f>ContactDetails!C25</f>
        <v>E-code</v>
      </c>
      <c r="C16" s="14"/>
      <c r="D16" s="14"/>
      <c r="E16" s="14"/>
      <c r="F16" s="14"/>
      <c r="G16" s="14"/>
      <c r="H16" s="14"/>
    </row>
    <row r="17" spans="1:15" ht="15.5" x14ac:dyDescent="0.35">
      <c r="B17" s="405"/>
      <c r="C17" s="14"/>
      <c r="D17" s="14"/>
      <c r="E17" s="14"/>
      <c r="F17" s="14"/>
      <c r="G17" s="14"/>
      <c r="H17" s="14"/>
    </row>
    <row r="18" spans="1:15" ht="18" hidden="1" x14ac:dyDescent="0.4">
      <c r="B18" s="116" t="s">
        <v>1707</v>
      </c>
      <c r="C18" s="14"/>
      <c r="D18" s="14"/>
      <c r="E18" s="14"/>
      <c r="F18" s="14"/>
      <c r="G18" s="14"/>
      <c r="H18" s="14"/>
    </row>
    <row r="19" spans="1:15" customFormat="1" ht="13" hidden="1" thickBot="1" x14ac:dyDescent="0.3">
      <c r="A19" s="926"/>
      <c r="B19" s="16"/>
      <c r="C19" s="16"/>
      <c r="D19" s="16"/>
      <c r="E19" s="16"/>
      <c r="F19" s="16"/>
      <c r="G19" s="16"/>
      <c r="H19" s="16"/>
      <c r="I19" s="16"/>
      <c r="J19" s="16"/>
      <c r="K19" s="16"/>
      <c r="L19" s="16"/>
      <c r="M19" s="16"/>
      <c r="N19" s="16"/>
      <c r="O19" s="16"/>
    </row>
    <row r="20" spans="1:15" customFormat="1" hidden="1" x14ac:dyDescent="0.25">
      <c r="A20" s="926"/>
      <c r="B20" s="38"/>
      <c r="C20" s="38"/>
      <c r="D20" s="38"/>
      <c r="E20" s="38"/>
      <c r="F20" s="38"/>
      <c r="G20" s="38"/>
      <c r="H20" s="38"/>
      <c r="I20" s="406"/>
      <c r="J20" s="406"/>
      <c r="K20" s="406"/>
      <c r="L20" s="406"/>
      <c r="M20" s="406"/>
      <c r="N20" s="406"/>
      <c r="O20" s="406"/>
    </row>
    <row r="21" spans="1:15" s="17" customFormat="1" hidden="1" x14ac:dyDescent="0.25">
      <c r="A21" s="565"/>
      <c r="B21" s="38"/>
      <c r="C21" s="38"/>
      <c r="D21" s="38"/>
      <c r="E21" s="38"/>
      <c r="F21" s="38"/>
      <c r="G21" s="38"/>
      <c r="H21" s="38"/>
      <c r="I21" s="406"/>
      <c r="J21" s="406"/>
      <c r="K21" s="406"/>
      <c r="L21" s="406"/>
      <c r="M21" s="406"/>
      <c r="N21" s="406"/>
      <c r="O21" s="406"/>
    </row>
    <row r="22" spans="1:15" s="17" customFormat="1" hidden="1" x14ac:dyDescent="0.25">
      <c r="A22" s="565"/>
      <c r="B22" s="38"/>
      <c r="C22" s="38"/>
      <c r="D22" s="38"/>
      <c r="E22" s="38"/>
      <c r="F22" s="38"/>
      <c r="G22" s="38"/>
      <c r="H22" s="38"/>
      <c r="I22" s="406"/>
      <c r="J22" s="406"/>
      <c r="K22" s="406"/>
      <c r="L22" s="406"/>
      <c r="M22" s="406"/>
      <c r="N22" s="406"/>
      <c r="O22" s="406"/>
    </row>
    <row r="23" spans="1:15" s="17" customFormat="1" hidden="1" x14ac:dyDescent="0.25">
      <c r="A23" s="565"/>
      <c r="B23" s="38"/>
      <c r="C23" s="38"/>
      <c r="D23" s="38"/>
      <c r="E23" s="38"/>
      <c r="F23" s="38"/>
      <c r="G23" s="38"/>
      <c r="H23" s="38"/>
      <c r="I23" s="406"/>
      <c r="J23" s="406"/>
      <c r="K23" s="406"/>
      <c r="L23" s="406"/>
      <c r="M23" s="406"/>
      <c r="N23" s="406"/>
      <c r="O23" s="406"/>
    </row>
    <row r="24" spans="1:15" s="17" customFormat="1" hidden="1" x14ac:dyDescent="0.25">
      <c r="A24" s="565"/>
      <c r="B24" s="38"/>
      <c r="C24" s="38"/>
      <c r="D24" s="38"/>
      <c r="E24" s="38"/>
      <c r="F24" s="38"/>
      <c r="G24" s="38"/>
      <c r="H24" s="38"/>
      <c r="I24" s="406"/>
      <c r="J24" s="406"/>
      <c r="K24" s="406"/>
      <c r="L24" s="406"/>
      <c r="M24" s="406"/>
      <c r="N24" s="406"/>
      <c r="O24" s="406"/>
    </row>
    <row r="25" spans="1:15" s="17" customFormat="1" hidden="1" x14ac:dyDescent="0.25">
      <c r="A25" s="565"/>
      <c r="B25" s="38"/>
      <c r="C25" s="38"/>
      <c r="D25" s="38"/>
      <c r="E25" s="38"/>
      <c r="F25" s="38"/>
      <c r="G25" s="38"/>
      <c r="H25" s="38"/>
      <c r="I25" s="406"/>
      <c r="J25" s="406"/>
      <c r="K25" s="406"/>
      <c r="L25" s="406"/>
      <c r="M25" s="406"/>
      <c r="N25" s="406"/>
      <c r="O25" s="406"/>
    </row>
    <row r="26" spans="1:15" s="17" customFormat="1" hidden="1" x14ac:dyDescent="0.25">
      <c r="A26" s="565"/>
      <c r="B26" s="38"/>
      <c r="C26" s="38"/>
      <c r="D26" s="38"/>
      <c r="E26" s="38"/>
      <c r="F26" s="38"/>
      <c r="G26" s="38"/>
      <c r="H26" s="38"/>
      <c r="I26" s="406"/>
      <c r="J26" s="406"/>
      <c r="K26" s="406"/>
      <c r="L26" s="406"/>
      <c r="M26" s="406"/>
      <c r="N26" s="406"/>
      <c r="O26" s="406"/>
    </row>
    <row r="27" spans="1:15" s="17" customFormat="1" hidden="1" x14ac:dyDescent="0.25">
      <c r="A27" s="565"/>
      <c r="B27" s="38"/>
      <c r="C27" s="38"/>
      <c r="D27" s="38"/>
      <c r="E27" s="38"/>
      <c r="F27" s="38"/>
      <c r="G27" s="38"/>
      <c r="H27" s="38"/>
      <c r="I27" s="406"/>
      <c r="J27" s="406"/>
      <c r="K27" s="406"/>
      <c r="L27" s="406"/>
      <c r="M27" s="406"/>
      <c r="N27" s="406"/>
      <c r="O27" s="406"/>
    </row>
    <row r="28" spans="1:15" s="17" customFormat="1" hidden="1" x14ac:dyDescent="0.25">
      <c r="A28" s="565"/>
      <c r="B28" s="38"/>
      <c r="C28" s="38"/>
      <c r="D28" s="38"/>
      <c r="E28" s="38"/>
      <c r="F28" s="38"/>
      <c r="G28" s="38"/>
      <c r="H28" s="38"/>
      <c r="I28" s="406"/>
      <c r="J28" s="406"/>
      <c r="K28" s="406"/>
      <c r="L28" s="406"/>
      <c r="M28" s="406"/>
      <c r="N28" s="406"/>
      <c r="O28" s="406"/>
    </row>
    <row r="29" spans="1:15" s="17" customFormat="1" hidden="1" x14ac:dyDescent="0.25">
      <c r="A29" s="565"/>
      <c r="B29" s="38"/>
      <c r="C29" s="38"/>
      <c r="D29" s="38"/>
      <c r="E29" s="38"/>
      <c r="F29" s="38"/>
      <c r="G29" s="38"/>
      <c r="H29" s="38"/>
      <c r="I29" s="406"/>
      <c r="J29" s="406"/>
      <c r="K29" s="406"/>
      <c r="L29" s="406"/>
      <c r="M29" s="406"/>
      <c r="N29" s="406"/>
      <c r="O29" s="406"/>
    </row>
    <row r="30" spans="1:15" s="17" customFormat="1" hidden="1" x14ac:dyDescent="0.25">
      <c r="A30" s="565"/>
      <c r="B30" s="38"/>
      <c r="C30" s="38"/>
      <c r="D30" s="38"/>
      <c r="E30" s="38"/>
      <c r="F30" s="38"/>
      <c r="G30" s="38"/>
      <c r="H30" s="38"/>
      <c r="I30" s="406"/>
      <c r="J30" s="406"/>
      <c r="K30" s="406"/>
      <c r="L30" s="406"/>
      <c r="M30" s="406"/>
      <c r="N30" s="406"/>
      <c r="O30" s="406"/>
    </row>
    <row r="31" spans="1:15" s="17" customFormat="1" ht="56.25" customHeight="1" x14ac:dyDescent="0.4">
      <c r="A31" s="565"/>
      <c r="B31" s="1544" t="s">
        <v>1708</v>
      </c>
      <c r="C31" s="1545"/>
      <c r="D31" s="1545"/>
      <c r="E31" s="1545"/>
      <c r="F31" s="1545"/>
      <c r="G31" s="1545"/>
      <c r="H31" s="1545"/>
      <c r="I31" s="1545"/>
      <c r="J31" s="1545"/>
      <c r="K31" s="1545"/>
      <c r="L31" s="1545"/>
      <c r="M31" s="406"/>
      <c r="N31" s="406"/>
      <c r="O31" s="406"/>
    </row>
    <row r="32" spans="1:15" s="17" customFormat="1" ht="13" thickBot="1" x14ac:dyDescent="0.3">
      <c r="A32" s="565"/>
      <c r="B32" s="16"/>
      <c r="C32" s="16"/>
      <c r="D32" s="16"/>
      <c r="E32" s="16"/>
      <c r="F32" s="16"/>
      <c r="G32" s="16"/>
      <c r="H32" s="16"/>
      <c r="I32" s="16"/>
      <c r="J32" s="16"/>
      <c r="K32" s="16"/>
      <c r="L32" s="16"/>
      <c r="M32" s="16"/>
      <c r="N32" s="16"/>
      <c r="O32" s="16"/>
    </row>
    <row r="33" spans="1:12" s="17" customFormat="1" x14ac:dyDescent="0.25">
      <c r="A33" s="565"/>
      <c r="B33" s="38"/>
      <c r="C33" s="38"/>
      <c r="D33" s="38"/>
      <c r="E33" s="38"/>
      <c r="F33" s="38"/>
      <c r="G33" s="38"/>
      <c r="H33" s="38"/>
      <c r="I33" s="406"/>
      <c r="J33" s="406"/>
      <c r="K33" s="406"/>
      <c r="L33" s="406"/>
    </row>
    <row r="34" spans="1:12" s="17" customFormat="1" ht="15.5" x14ac:dyDescent="0.35">
      <c r="A34" s="565"/>
      <c r="B34" s="1233" t="s">
        <v>1709</v>
      </c>
      <c r="C34" s="1233" t="s">
        <v>1710</v>
      </c>
      <c r="D34" s="1541" t="s">
        <v>1711</v>
      </c>
      <c r="E34" s="1542"/>
      <c r="F34" s="1542"/>
      <c r="G34" s="1542"/>
      <c r="H34" s="1542"/>
      <c r="I34" s="1542"/>
      <c r="J34" s="1542"/>
      <c r="K34" s="1543"/>
      <c r="L34" s="1234"/>
    </row>
    <row r="35" spans="1:12" s="17" customFormat="1" ht="15.5" x14ac:dyDescent="0.35">
      <c r="A35" s="423" t="s">
        <v>1712</v>
      </c>
      <c r="B35" s="1429">
        <v>190</v>
      </c>
      <c r="C35" s="1430" t="s">
        <v>52</v>
      </c>
      <c r="D35" s="1530"/>
      <c r="E35" s="1531"/>
      <c r="F35" s="1531"/>
      <c r="G35" s="1531"/>
      <c r="H35" s="1531"/>
      <c r="I35" s="1531"/>
      <c r="J35" s="1531"/>
      <c r="K35" s="1532"/>
      <c r="L35" s="1126" t="s">
        <v>1713</v>
      </c>
    </row>
    <row r="36" spans="1:12" s="17" customFormat="1" ht="15.5" x14ac:dyDescent="0.35">
      <c r="A36" s="423" t="s">
        <v>1714</v>
      </c>
      <c r="B36" s="929">
        <v>290</v>
      </c>
      <c r="C36" s="1168" t="s">
        <v>52</v>
      </c>
      <c r="D36" s="1530"/>
      <c r="E36" s="1531"/>
      <c r="F36" s="1531"/>
      <c r="G36" s="1531"/>
      <c r="H36" s="1531"/>
      <c r="I36" s="1531"/>
      <c r="J36" s="1531"/>
      <c r="K36" s="1532"/>
      <c r="L36" s="1126" t="s">
        <v>1713</v>
      </c>
    </row>
    <row r="37" spans="1:12" s="17" customFormat="1" ht="15.5" x14ac:dyDescent="0.35">
      <c r="A37" s="423" t="s">
        <v>1715</v>
      </c>
      <c r="B37" s="929">
        <v>330</v>
      </c>
      <c r="C37" s="1168" t="s">
        <v>52</v>
      </c>
      <c r="D37" s="1530"/>
      <c r="E37" s="1531"/>
      <c r="F37" s="1531"/>
      <c r="G37" s="1531"/>
      <c r="H37" s="1531"/>
      <c r="I37" s="1531"/>
      <c r="J37" s="1531"/>
      <c r="K37" s="1532"/>
      <c r="L37" s="1126" t="s">
        <v>1713</v>
      </c>
    </row>
    <row r="38" spans="1:12" s="17" customFormat="1" ht="15.5" x14ac:dyDescent="0.35">
      <c r="A38" s="423" t="s">
        <v>1716</v>
      </c>
      <c r="B38" s="929">
        <v>360</v>
      </c>
      <c r="C38" s="1168" t="s">
        <v>52</v>
      </c>
      <c r="D38" s="1530"/>
      <c r="E38" s="1531"/>
      <c r="F38" s="1531"/>
      <c r="G38" s="1531"/>
      <c r="H38" s="1531"/>
      <c r="I38" s="1531"/>
      <c r="J38" s="1531"/>
      <c r="K38" s="1532"/>
      <c r="L38" s="1126" t="s">
        <v>1713</v>
      </c>
    </row>
    <row r="39" spans="1:12" s="17" customFormat="1" ht="15.5" x14ac:dyDescent="0.35">
      <c r="A39" s="423" t="s">
        <v>1717</v>
      </c>
      <c r="B39" s="929">
        <v>390</v>
      </c>
      <c r="C39" s="1168" t="s">
        <v>52</v>
      </c>
      <c r="D39" s="1530"/>
      <c r="E39" s="1531"/>
      <c r="F39" s="1531"/>
      <c r="G39" s="1531"/>
      <c r="H39" s="1531"/>
      <c r="I39" s="1531"/>
      <c r="J39" s="1531"/>
      <c r="K39" s="1532"/>
      <c r="L39" s="1126" t="s">
        <v>1713</v>
      </c>
    </row>
    <row r="40" spans="1:12" s="17" customFormat="1" ht="15.5" x14ac:dyDescent="0.35">
      <c r="A40" s="423" t="s">
        <v>1718</v>
      </c>
      <c r="B40" s="929">
        <v>490</v>
      </c>
      <c r="C40" s="1168" t="s">
        <v>52</v>
      </c>
      <c r="D40" s="1530"/>
      <c r="E40" s="1531"/>
      <c r="F40" s="1531"/>
      <c r="G40" s="1531"/>
      <c r="H40" s="1531"/>
      <c r="I40" s="1531"/>
      <c r="J40" s="1531"/>
      <c r="K40" s="1532"/>
      <c r="L40" s="1126" t="s">
        <v>1713</v>
      </c>
    </row>
    <row r="41" spans="1:12" s="17" customFormat="1" ht="15.5" x14ac:dyDescent="0.35">
      <c r="A41" s="423" t="s">
        <v>1719</v>
      </c>
      <c r="B41" s="929">
        <v>509</v>
      </c>
      <c r="C41" s="1168" t="s">
        <v>52</v>
      </c>
      <c r="D41" s="1530"/>
      <c r="E41" s="1531"/>
      <c r="F41" s="1531"/>
      <c r="G41" s="1531"/>
      <c r="H41" s="1531"/>
      <c r="I41" s="1531"/>
      <c r="J41" s="1531"/>
      <c r="K41" s="1532"/>
      <c r="L41" s="1126" t="s">
        <v>1713</v>
      </c>
    </row>
    <row r="42" spans="1:12" s="17" customFormat="1" ht="15.5" x14ac:dyDescent="0.35">
      <c r="A42" s="423" t="s">
        <v>1720</v>
      </c>
      <c r="B42" s="929">
        <v>590</v>
      </c>
      <c r="C42" s="1168" t="s">
        <v>52</v>
      </c>
      <c r="D42" s="1530"/>
      <c r="E42" s="1531"/>
      <c r="F42" s="1531"/>
      <c r="G42" s="1531"/>
      <c r="H42" s="1531"/>
      <c r="I42" s="1531"/>
      <c r="J42" s="1531"/>
      <c r="K42" s="1532"/>
      <c r="L42" s="1126" t="s">
        <v>1713</v>
      </c>
    </row>
    <row r="43" spans="1:12" s="17" customFormat="1" ht="15.5" x14ac:dyDescent="0.35">
      <c r="A43" s="423" t="s">
        <v>1721</v>
      </c>
      <c r="B43" s="929">
        <v>599</v>
      </c>
      <c r="C43" s="1168" t="s">
        <v>52</v>
      </c>
      <c r="D43" s="1530"/>
      <c r="E43" s="1531"/>
      <c r="F43" s="1531"/>
      <c r="G43" s="1531"/>
      <c r="H43" s="1531"/>
      <c r="I43" s="1531"/>
      <c r="J43" s="1531"/>
      <c r="K43" s="1532"/>
      <c r="L43" s="1126" t="s">
        <v>1713</v>
      </c>
    </row>
    <row r="44" spans="1:12" s="17" customFormat="1" ht="15.5" x14ac:dyDescent="0.35">
      <c r="A44" s="423" t="s">
        <v>1722</v>
      </c>
      <c r="B44" s="929">
        <v>601</v>
      </c>
      <c r="C44" s="1168" t="s">
        <v>52</v>
      </c>
      <c r="D44" s="1530"/>
      <c r="E44" s="1531"/>
      <c r="F44" s="1531"/>
      <c r="G44" s="1531"/>
      <c r="H44" s="1531"/>
      <c r="I44" s="1531"/>
      <c r="J44" s="1531"/>
      <c r="K44" s="1532"/>
      <c r="L44" s="1126" t="s">
        <v>1713</v>
      </c>
    </row>
    <row r="45" spans="1:12" s="17" customFormat="1" ht="15.5" x14ac:dyDescent="0.35">
      <c r="A45" s="423" t="s">
        <v>1723</v>
      </c>
      <c r="B45" s="929">
        <v>602</v>
      </c>
      <c r="C45" s="1168" t="s">
        <v>52</v>
      </c>
      <c r="D45" s="1530"/>
      <c r="E45" s="1531"/>
      <c r="F45" s="1531"/>
      <c r="G45" s="1531"/>
      <c r="H45" s="1531"/>
      <c r="I45" s="1531"/>
      <c r="J45" s="1531"/>
      <c r="K45" s="1532"/>
      <c r="L45" s="1126" t="s">
        <v>1713</v>
      </c>
    </row>
    <row r="46" spans="1:12" s="17" customFormat="1" ht="15.5" x14ac:dyDescent="0.35">
      <c r="A46" s="423" t="s">
        <v>1724</v>
      </c>
      <c r="B46" s="929">
        <v>690</v>
      </c>
      <c r="C46" s="1168" t="s">
        <v>52</v>
      </c>
      <c r="D46" s="1530"/>
      <c r="E46" s="1531"/>
      <c r="F46" s="1531"/>
      <c r="G46" s="1531"/>
      <c r="H46" s="1531"/>
      <c r="I46" s="1531"/>
      <c r="J46" s="1531"/>
      <c r="K46" s="1532"/>
      <c r="L46" s="1126" t="s">
        <v>1713</v>
      </c>
    </row>
    <row r="47" spans="1:12" s="17" customFormat="1" ht="15.5" x14ac:dyDescent="0.35">
      <c r="A47" s="423" t="s">
        <v>1725</v>
      </c>
      <c r="B47" s="929">
        <v>698</v>
      </c>
      <c r="C47" s="1168" t="s">
        <v>52</v>
      </c>
      <c r="D47" s="1530"/>
      <c r="E47" s="1531"/>
      <c r="F47" s="1531"/>
      <c r="G47" s="1531"/>
      <c r="H47" s="1531"/>
      <c r="I47" s="1531"/>
      <c r="J47" s="1531"/>
      <c r="K47" s="1532"/>
      <c r="L47" s="1126" t="s">
        <v>1713</v>
      </c>
    </row>
    <row r="48" spans="1:12" s="17" customFormat="1" ht="15.5" x14ac:dyDescent="0.35">
      <c r="A48" s="423" t="s">
        <v>1726</v>
      </c>
      <c r="B48" s="929">
        <v>699</v>
      </c>
      <c r="C48" s="1168" t="s">
        <v>52</v>
      </c>
      <c r="D48" s="1530"/>
      <c r="E48" s="1531"/>
      <c r="F48" s="1531"/>
      <c r="G48" s="1531"/>
      <c r="H48" s="1531"/>
      <c r="I48" s="1531"/>
      <c r="J48" s="1531"/>
      <c r="K48" s="1532"/>
      <c r="L48" s="1126" t="s">
        <v>1713</v>
      </c>
    </row>
    <row r="49" spans="1:12" s="17" customFormat="1" ht="15.5" x14ac:dyDescent="0.35">
      <c r="A49" s="423" t="s">
        <v>1727</v>
      </c>
      <c r="B49" s="929">
        <v>711</v>
      </c>
      <c r="C49" s="1168" t="s">
        <v>52</v>
      </c>
      <c r="D49" s="1530"/>
      <c r="E49" s="1531"/>
      <c r="F49" s="1531"/>
      <c r="G49" s="1531"/>
      <c r="H49" s="1531"/>
      <c r="I49" s="1531"/>
      <c r="J49" s="1531"/>
      <c r="K49" s="1532"/>
      <c r="L49" s="1126" t="s">
        <v>1713</v>
      </c>
    </row>
    <row r="50" spans="1:12" s="17" customFormat="1" ht="15.5" x14ac:dyDescent="0.35">
      <c r="A50" s="423" t="s">
        <v>1728</v>
      </c>
      <c r="B50" s="929">
        <v>712</v>
      </c>
      <c r="C50" s="1168" t="s">
        <v>52</v>
      </c>
      <c r="D50" s="1530"/>
      <c r="E50" s="1531"/>
      <c r="F50" s="1531"/>
      <c r="G50" s="1531"/>
      <c r="H50" s="1531"/>
      <c r="I50" s="1531"/>
      <c r="J50" s="1531"/>
      <c r="K50" s="1532"/>
      <c r="L50" s="1126" t="s">
        <v>1713</v>
      </c>
    </row>
    <row r="51" spans="1:12" s="17" customFormat="1" ht="15.5" x14ac:dyDescent="0.35">
      <c r="A51" s="423" t="s">
        <v>1729</v>
      </c>
      <c r="B51" s="929">
        <v>713</v>
      </c>
      <c r="C51" s="1168" t="s">
        <v>52</v>
      </c>
      <c r="D51" s="1530"/>
      <c r="E51" s="1531"/>
      <c r="F51" s="1531"/>
      <c r="G51" s="1531"/>
      <c r="H51" s="1531"/>
      <c r="I51" s="1531"/>
      <c r="J51" s="1531"/>
      <c r="K51" s="1532"/>
      <c r="L51" s="1126" t="s">
        <v>1713</v>
      </c>
    </row>
    <row r="52" spans="1:12" s="17" customFormat="1" ht="15.5" x14ac:dyDescent="0.35">
      <c r="A52" s="423" t="s">
        <v>1730</v>
      </c>
      <c r="B52" s="929">
        <v>714</v>
      </c>
      <c r="C52" s="1168" t="s">
        <v>52</v>
      </c>
      <c r="D52" s="1530"/>
      <c r="E52" s="1531"/>
      <c r="F52" s="1531"/>
      <c r="G52" s="1531"/>
      <c r="H52" s="1531"/>
      <c r="I52" s="1531"/>
      <c r="J52" s="1531"/>
      <c r="K52" s="1532"/>
      <c r="L52" s="1126" t="s">
        <v>1713</v>
      </c>
    </row>
    <row r="53" spans="1:12" s="17" customFormat="1" ht="15.5" x14ac:dyDescent="0.35">
      <c r="A53" s="423" t="s">
        <v>1731</v>
      </c>
      <c r="B53" s="929">
        <v>718</v>
      </c>
      <c r="C53" s="1168" t="s">
        <v>52</v>
      </c>
      <c r="D53" s="1530"/>
      <c r="E53" s="1531"/>
      <c r="F53" s="1531"/>
      <c r="G53" s="1531"/>
      <c r="H53" s="1531"/>
      <c r="I53" s="1531"/>
      <c r="J53" s="1531"/>
      <c r="K53" s="1532"/>
      <c r="L53" s="1126" t="s">
        <v>1713</v>
      </c>
    </row>
    <row r="54" spans="1:12" s="17" customFormat="1" ht="15.5" x14ac:dyDescent="0.35">
      <c r="A54" s="423" t="s">
        <v>1732</v>
      </c>
      <c r="B54" s="929">
        <v>721</v>
      </c>
      <c r="C54" s="1168" t="s">
        <v>52</v>
      </c>
      <c r="D54" s="1530"/>
      <c r="E54" s="1531"/>
      <c r="F54" s="1531"/>
      <c r="G54" s="1531"/>
      <c r="H54" s="1531"/>
      <c r="I54" s="1531"/>
      <c r="J54" s="1531"/>
      <c r="K54" s="1532"/>
      <c r="L54" s="1126" t="s">
        <v>1713</v>
      </c>
    </row>
    <row r="55" spans="1:12" s="17" customFormat="1" ht="15.5" x14ac:dyDescent="0.35">
      <c r="A55" s="423" t="s">
        <v>1733</v>
      </c>
      <c r="B55" s="929">
        <v>722</v>
      </c>
      <c r="C55" s="1168" t="s">
        <v>52</v>
      </c>
      <c r="D55" s="1530"/>
      <c r="E55" s="1531"/>
      <c r="F55" s="1531"/>
      <c r="G55" s="1531"/>
      <c r="H55" s="1531"/>
      <c r="I55" s="1531"/>
      <c r="J55" s="1531"/>
      <c r="K55" s="1532"/>
      <c r="L55" s="1126" t="s">
        <v>1713</v>
      </c>
    </row>
    <row r="56" spans="1:12" s="17" customFormat="1" ht="15.5" x14ac:dyDescent="0.35">
      <c r="A56" s="423" t="s">
        <v>1734</v>
      </c>
      <c r="B56" s="929">
        <v>724</v>
      </c>
      <c r="C56" s="1168" t="s">
        <v>52</v>
      </c>
      <c r="D56" s="1530"/>
      <c r="E56" s="1531"/>
      <c r="F56" s="1531"/>
      <c r="G56" s="1531"/>
      <c r="H56" s="1531"/>
      <c r="I56" s="1531"/>
      <c r="J56" s="1531"/>
      <c r="K56" s="1532"/>
      <c r="L56" s="1126" t="s">
        <v>1713</v>
      </c>
    </row>
    <row r="57" spans="1:12" s="17" customFormat="1" ht="15.5" x14ac:dyDescent="0.35">
      <c r="A57" s="423" t="s">
        <v>1735</v>
      </c>
      <c r="B57" s="929">
        <v>727</v>
      </c>
      <c r="C57" s="1168" t="s">
        <v>52</v>
      </c>
      <c r="D57" s="1530"/>
      <c r="E57" s="1531"/>
      <c r="F57" s="1531"/>
      <c r="G57" s="1531"/>
      <c r="H57" s="1531"/>
      <c r="I57" s="1531"/>
      <c r="J57" s="1531"/>
      <c r="K57" s="1532"/>
      <c r="L57" s="1126" t="s">
        <v>1713</v>
      </c>
    </row>
    <row r="58" spans="1:12" s="17" customFormat="1" ht="15.5" x14ac:dyDescent="0.35">
      <c r="A58" s="423" t="s">
        <v>1736</v>
      </c>
      <c r="B58" s="929">
        <v>728</v>
      </c>
      <c r="C58" s="1168" t="s">
        <v>52</v>
      </c>
      <c r="D58" s="1530"/>
      <c r="E58" s="1531"/>
      <c r="F58" s="1531"/>
      <c r="G58" s="1531"/>
      <c r="H58" s="1531"/>
      <c r="I58" s="1531"/>
      <c r="J58" s="1531"/>
      <c r="K58" s="1532"/>
      <c r="L58" s="1126" t="s">
        <v>1713</v>
      </c>
    </row>
    <row r="59" spans="1:12" s="17" customFormat="1" ht="15.5" x14ac:dyDescent="0.35">
      <c r="A59" s="423" t="s">
        <v>1737</v>
      </c>
      <c r="B59" s="929">
        <v>731</v>
      </c>
      <c r="C59" s="1168" t="s">
        <v>52</v>
      </c>
      <c r="D59" s="1530"/>
      <c r="E59" s="1531"/>
      <c r="F59" s="1531"/>
      <c r="G59" s="1531"/>
      <c r="H59" s="1531"/>
      <c r="I59" s="1531"/>
      <c r="J59" s="1531"/>
      <c r="K59" s="1532"/>
      <c r="L59" s="1126" t="s">
        <v>1713</v>
      </c>
    </row>
    <row r="60" spans="1:12" s="17" customFormat="1" ht="15.5" x14ac:dyDescent="0.35">
      <c r="A60" s="423" t="s">
        <v>1738</v>
      </c>
      <c r="B60" s="929">
        <v>732</v>
      </c>
      <c r="C60" s="1168" t="s">
        <v>52</v>
      </c>
      <c r="D60" s="1530"/>
      <c r="E60" s="1531"/>
      <c r="F60" s="1531"/>
      <c r="G60" s="1531"/>
      <c r="H60" s="1531"/>
      <c r="I60" s="1531"/>
      <c r="J60" s="1531"/>
      <c r="K60" s="1532"/>
      <c r="L60" s="1126" t="s">
        <v>1713</v>
      </c>
    </row>
    <row r="61" spans="1:12" s="17" customFormat="1" ht="15.5" x14ac:dyDescent="0.35">
      <c r="A61" s="423" t="s">
        <v>1739</v>
      </c>
      <c r="B61" s="929">
        <v>741</v>
      </c>
      <c r="C61" s="1168" t="s">
        <v>52</v>
      </c>
      <c r="D61" s="1530"/>
      <c r="E61" s="1531"/>
      <c r="F61" s="1531"/>
      <c r="G61" s="1531"/>
      <c r="H61" s="1531"/>
      <c r="I61" s="1531"/>
      <c r="J61" s="1531"/>
      <c r="K61" s="1532"/>
      <c r="L61" s="1126" t="s">
        <v>1713</v>
      </c>
    </row>
    <row r="62" spans="1:12" s="17" customFormat="1" ht="15.5" x14ac:dyDescent="0.35">
      <c r="A62" s="423" t="s">
        <v>1740</v>
      </c>
      <c r="B62" s="929">
        <v>742</v>
      </c>
      <c r="C62" s="1168" t="s">
        <v>52</v>
      </c>
      <c r="D62" s="1530"/>
      <c r="E62" s="1531"/>
      <c r="F62" s="1531"/>
      <c r="G62" s="1531"/>
      <c r="H62" s="1531"/>
      <c r="I62" s="1531"/>
      <c r="J62" s="1531"/>
      <c r="K62" s="1532"/>
      <c r="L62" s="1126" t="s">
        <v>1713</v>
      </c>
    </row>
    <row r="63" spans="1:12" s="17" customFormat="1" ht="15.5" x14ac:dyDescent="0.35">
      <c r="A63" s="423" t="s">
        <v>1741</v>
      </c>
      <c r="B63" s="929">
        <v>747</v>
      </c>
      <c r="C63" s="1168" t="s">
        <v>52</v>
      </c>
      <c r="D63" s="1530"/>
      <c r="E63" s="1531"/>
      <c r="F63" s="1531"/>
      <c r="G63" s="1531"/>
      <c r="H63" s="1531"/>
      <c r="I63" s="1531"/>
      <c r="J63" s="1531"/>
      <c r="K63" s="1532"/>
      <c r="L63" s="1126" t="s">
        <v>1713</v>
      </c>
    </row>
    <row r="64" spans="1:12" s="17" customFormat="1" ht="15.5" x14ac:dyDescent="0.35">
      <c r="A64" s="423" t="s">
        <v>1742</v>
      </c>
      <c r="B64" s="929">
        <v>748</v>
      </c>
      <c r="C64" s="1168" t="s">
        <v>52</v>
      </c>
      <c r="D64" s="1530"/>
      <c r="E64" s="1531"/>
      <c r="F64" s="1531"/>
      <c r="G64" s="1531"/>
      <c r="H64" s="1531"/>
      <c r="I64" s="1531"/>
      <c r="J64" s="1531"/>
      <c r="K64" s="1532"/>
      <c r="L64" s="1126" t="s">
        <v>1713</v>
      </c>
    </row>
    <row r="65" spans="1:12" s="17" customFormat="1" ht="15.5" x14ac:dyDescent="0.35">
      <c r="A65" s="423" t="s">
        <v>1743</v>
      </c>
      <c r="B65" s="929">
        <v>749</v>
      </c>
      <c r="C65" s="1168" t="s">
        <v>52</v>
      </c>
      <c r="D65" s="1530"/>
      <c r="E65" s="1531"/>
      <c r="F65" s="1531"/>
      <c r="G65" s="1531"/>
      <c r="H65" s="1531"/>
      <c r="I65" s="1531"/>
      <c r="J65" s="1531"/>
      <c r="K65" s="1532"/>
      <c r="L65" s="1126" t="s">
        <v>1713</v>
      </c>
    </row>
    <row r="66" spans="1:12" s="17" customFormat="1" ht="15.5" x14ac:dyDescent="0.35">
      <c r="A66" s="423" t="s">
        <v>1744</v>
      </c>
      <c r="B66" s="929">
        <v>759</v>
      </c>
      <c r="C66" s="1168" t="s">
        <v>52</v>
      </c>
      <c r="D66" s="1530"/>
      <c r="E66" s="1531"/>
      <c r="F66" s="1531"/>
      <c r="G66" s="1531"/>
      <c r="H66" s="1531"/>
      <c r="I66" s="1531"/>
      <c r="J66" s="1531"/>
      <c r="K66" s="1532"/>
      <c r="L66" s="1126" t="s">
        <v>1713</v>
      </c>
    </row>
    <row r="67" spans="1:12" s="17" customFormat="1" ht="15.5" x14ac:dyDescent="0.35">
      <c r="A67" s="423" t="s">
        <v>1745</v>
      </c>
      <c r="B67" s="929">
        <v>765</v>
      </c>
      <c r="C67" s="1168" t="s">
        <v>52</v>
      </c>
      <c r="D67" s="1530"/>
      <c r="E67" s="1531"/>
      <c r="F67" s="1531"/>
      <c r="G67" s="1531"/>
      <c r="H67" s="1531"/>
      <c r="I67" s="1531"/>
      <c r="J67" s="1531"/>
      <c r="K67" s="1532"/>
      <c r="L67" s="1126" t="s">
        <v>1713</v>
      </c>
    </row>
    <row r="68" spans="1:12" s="17" customFormat="1" ht="15.5" x14ac:dyDescent="0.35">
      <c r="A68" s="423" t="s">
        <v>1746</v>
      </c>
      <c r="B68" s="929">
        <v>766</v>
      </c>
      <c r="C68" s="1168" t="s">
        <v>52</v>
      </c>
      <c r="D68" s="1530"/>
      <c r="E68" s="1531"/>
      <c r="F68" s="1531"/>
      <c r="G68" s="1531"/>
      <c r="H68" s="1531"/>
      <c r="I68" s="1531"/>
      <c r="J68" s="1531"/>
      <c r="K68" s="1532"/>
      <c r="L68" s="1126" t="s">
        <v>1713</v>
      </c>
    </row>
    <row r="69" spans="1:12" s="17" customFormat="1" ht="15.5" x14ac:dyDescent="0.35">
      <c r="A69" s="423" t="s">
        <v>1747</v>
      </c>
      <c r="B69" s="929">
        <v>767</v>
      </c>
      <c r="C69" s="1168" t="s">
        <v>52</v>
      </c>
      <c r="D69" s="1530"/>
      <c r="E69" s="1531"/>
      <c r="F69" s="1531"/>
      <c r="G69" s="1531"/>
      <c r="H69" s="1531"/>
      <c r="I69" s="1531"/>
      <c r="J69" s="1531"/>
      <c r="K69" s="1532"/>
      <c r="L69" s="1126" t="s">
        <v>1713</v>
      </c>
    </row>
    <row r="70" spans="1:12" s="17" customFormat="1" ht="15.5" x14ac:dyDescent="0.35">
      <c r="A70" s="423" t="s">
        <v>1748</v>
      </c>
      <c r="B70" s="929">
        <v>768</v>
      </c>
      <c r="C70" s="1168" t="s">
        <v>52</v>
      </c>
      <c r="D70" s="1530"/>
      <c r="E70" s="1531"/>
      <c r="F70" s="1531"/>
      <c r="G70" s="1531"/>
      <c r="H70" s="1531"/>
      <c r="I70" s="1531"/>
      <c r="J70" s="1531"/>
      <c r="K70" s="1532"/>
      <c r="L70" s="1126" t="s">
        <v>1713</v>
      </c>
    </row>
    <row r="71" spans="1:12" s="17" customFormat="1" ht="15.5" x14ac:dyDescent="0.35">
      <c r="A71" s="423" t="s">
        <v>1749</v>
      </c>
      <c r="B71" s="929">
        <v>771</v>
      </c>
      <c r="C71" s="1168" t="s">
        <v>52</v>
      </c>
      <c r="D71" s="1530"/>
      <c r="E71" s="1531"/>
      <c r="F71" s="1531"/>
      <c r="G71" s="1531"/>
      <c r="H71" s="1531"/>
      <c r="I71" s="1531"/>
      <c r="J71" s="1531"/>
      <c r="K71" s="1532"/>
      <c r="L71" s="1126" t="s">
        <v>1713</v>
      </c>
    </row>
    <row r="72" spans="1:12" s="17" customFormat="1" ht="15.5" x14ac:dyDescent="0.35">
      <c r="A72" s="423" t="s">
        <v>1750</v>
      </c>
      <c r="B72" s="929">
        <v>773</v>
      </c>
      <c r="C72" s="1168" t="s">
        <v>52</v>
      </c>
      <c r="D72" s="1530"/>
      <c r="E72" s="1531"/>
      <c r="F72" s="1531"/>
      <c r="G72" s="1531"/>
      <c r="H72" s="1531"/>
      <c r="I72" s="1531"/>
      <c r="J72" s="1531"/>
      <c r="K72" s="1532"/>
      <c r="L72" s="1126" t="s">
        <v>1713</v>
      </c>
    </row>
    <row r="73" spans="1:12" s="17" customFormat="1" ht="15.5" x14ac:dyDescent="0.35">
      <c r="A73" s="423" t="s">
        <v>1751</v>
      </c>
      <c r="B73" s="929">
        <v>776</v>
      </c>
      <c r="C73" s="1168" t="s">
        <v>52</v>
      </c>
      <c r="D73" s="1530"/>
      <c r="E73" s="1531"/>
      <c r="F73" s="1531"/>
      <c r="G73" s="1531"/>
      <c r="H73" s="1531"/>
      <c r="I73" s="1531"/>
      <c r="J73" s="1531"/>
      <c r="K73" s="1532"/>
      <c r="L73" s="1126" t="s">
        <v>1713</v>
      </c>
    </row>
    <row r="74" spans="1:12" s="17" customFormat="1" ht="15.5" x14ac:dyDescent="0.35">
      <c r="A74" s="423" t="s">
        <v>1752</v>
      </c>
      <c r="B74" s="929">
        <v>781</v>
      </c>
      <c r="C74" s="1168" t="s">
        <v>52</v>
      </c>
      <c r="D74" s="1530"/>
      <c r="E74" s="1531"/>
      <c r="F74" s="1531"/>
      <c r="G74" s="1531"/>
      <c r="H74" s="1531"/>
      <c r="I74" s="1531"/>
      <c r="J74" s="1531"/>
      <c r="K74" s="1532"/>
      <c r="L74" s="1126" t="s">
        <v>1713</v>
      </c>
    </row>
    <row r="75" spans="1:12" s="17" customFormat="1" ht="15.5" x14ac:dyDescent="0.35">
      <c r="A75" s="423" t="s">
        <v>1753</v>
      </c>
      <c r="B75" s="929">
        <v>783</v>
      </c>
      <c r="C75" s="1168" t="s">
        <v>52</v>
      </c>
      <c r="D75" s="1530"/>
      <c r="E75" s="1531"/>
      <c r="F75" s="1531"/>
      <c r="G75" s="1531"/>
      <c r="H75" s="1531"/>
      <c r="I75" s="1531"/>
      <c r="J75" s="1531"/>
      <c r="K75" s="1532"/>
      <c r="L75" s="1126" t="s">
        <v>1713</v>
      </c>
    </row>
    <row r="76" spans="1:12" s="17" customFormat="1" ht="15.5" x14ac:dyDescent="0.35">
      <c r="A76" s="423" t="s">
        <v>1754</v>
      </c>
      <c r="B76" s="929">
        <v>785</v>
      </c>
      <c r="C76" s="1168" t="s">
        <v>52</v>
      </c>
      <c r="D76" s="1530"/>
      <c r="E76" s="1531"/>
      <c r="F76" s="1531"/>
      <c r="G76" s="1531"/>
      <c r="H76" s="1531"/>
      <c r="I76" s="1531"/>
      <c r="J76" s="1531"/>
      <c r="K76" s="1532"/>
      <c r="L76" s="1126" t="s">
        <v>1713</v>
      </c>
    </row>
    <row r="77" spans="1:12" s="17" customFormat="1" ht="15.5" x14ac:dyDescent="0.35">
      <c r="A77" s="423" t="s">
        <v>1755</v>
      </c>
      <c r="B77" s="929">
        <v>786</v>
      </c>
      <c r="C77" s="1168" t="s">
        <v>52</v>
      </c>
      <c r="D77" s="1530"/>
      <c r="E77" s="1531"/>
      <c r="F77" s="1531"/>
      <c r="G77" s="1531"/>
      <c r="H77" s="1531"/>
      <c r="I77" s="1531"/>
      <c r="J77" s="1531"/>
      <c r="K77" s="1532"/>
      <c r="L77" s="1126" t="s">
        <v>1713</v>
      </c>
    </row>
    <row r="78" spans="1:12" s="17" customFormat="1" ht="15.5" x14ac:dyDescent="0.35">
      <c r="A78" s="423" t="s">
        <v>1756</v>
      </c>
      <c r="B78" s="929">
        <v>820</v>
      </c>
      <c r="C78" s="1168" t="s">
        <v>52</v>
      </c>
      <c r="D78" s="1530"/>
      <c r="E78" s="1531"/>
      <c r="F78" s="1531"/>
      <c r="G78" s="1531"/>
      <c r="H78" s="1531"/>
      <c r="I78" s="1531"/>
      <c r="J78" s="1531"/>
      <c r="K78" s="1532"/>
      <c r="L78" s="1126" t="s">
        <v>1713</v>
      </c>
    </row>
    <row r="79" spans="1:12" s="17" customFormat="1" ht="15.5" x14ac:dyDescent="0.35">
      <c r="A79" s="423" t="s">
        <v>1757</v>
      </c>
      <c r="B79" s="929">
        <v>821</v>
      </c>
      <c r="C79" s="1168" t="s">
        <v>52</v>
      </c>
      <c r="D79" s="1530"/>
      <c r="E79" s="1531"/>
      <c r="F79" s="1531"/>
      <c r="G79" s="1531"/>
      <c r="H79" s="1531"/>
      <c r="I79" s="1531"/>
      <c r="J79" s="1531"/>
      <c r="K79" s="1532"/>
      <c r="L79" s="1126" t="s">
        <v>1713</v>
      </c>
    </row>
    <row r="80" spans="1:12" s="17" customFormat="1" ht="15.5" x14ac:dyDescent="0.35">
      <c r="A80" s="423" t="s">
        <v>1758</v>
      </c>
      <c r="B80" s="929">
        <v>822</v>
      </c>
      <c r="C80" s="1168" t="s">
        <v>52</v>
      </c>
      <c r="D80" s="1530"/>
      <c r="E80" s="1531"/>
      <c r="F80" s="1531"/>
      <c r="G80" s="1531"/>
      <c r="H80" s="1531"/>
      <c r="I80" s="1531"/>
      <c r="J80" s="1531"/>
      <c r="K80" s="1532"/>
      <c r="L80" s="1126" t="s">
        <v>1713</v>
      </c>
    </row>
    <row r="81" spans="1:12" s="17" customFormat="1" ht="15.5" x14ac:dyDescent="0.35">
      <c r="A81" s="423" t="s">
        <v>1759</v>
      </c>
      <c r="B81" s="929">
        <v>823</v>
      </c>
      <c r="C81" s="1168" t="s">
        <v>52</v>
      </c>
      <c r="D81" s="1530"/>
      <c r="E81" s="1531"/>
      <c r="F81" s="1531"/>
      <c r="G81" s="1531"/>
      <c r="H81" s="1531"/>
      <c r="I81" s="1531"/>
      <c r="J81" s="1531"/>
      <c r="K81" s="1532"/>
      <c r="L81" s="1126" t="s">
        <v>1713</v>
      </c>
    </row>
    <row r="82" spans="1:12" s="17" customFormat="1" ht="15.5" x14ac:dyDescent="0.35">
      <c r="A82" s="423" t="s">
        <v>1760</v>
      </c>
      <c r="B82" s="929">
        <v>824</v>
      </c>
      <c r="C82" s="1168" t="s">
        <v>52</v>
      </c>
      <c r="D82" s="1530"/>
      <c r="E82" s="1531"/>
      <c r="F82" s="1531"/>
      <c r="G82" s="1531"/>
      <c r="H82" s="1531"/>
      <c r="I82" s="1531"/>
      <c r="J82" s="1531"/>
      <c r="K82" s="1532"/>
      <c r="L82" s="1126" t="s">
        <v>1713</v>
      </c>
    </row>
    <row r="83" spans="1:12" s="17" customFormat="1" ht="15.5" x14ac:dyDescent="0.35">
      <c r="A83" s="423" t="s">
        <v>1761</v>
      </c>
      <c r="B83" s="929">
        <v>825</v>
      </c>
      <c r="C83" s="1168" t="s">
        <v>52</v>
      </c>
      <c r="D83" s="1530"/>
      <c r="E83" s="1531"/>
      <c r="F83" s="1531"/>
      <c r="G83" s="1531"/>
      <c r="H83" s="1531"/>
      <c r="I83" s="1531"/>
      <c r="J83" s="1531"/>
      <c r="K83" s="1532"/>
      <c r="L83" s="1126" t="s">
        <v>1713</v>
      </c>
    </row>
    <row r="84" spans="1:12" s="17" customFormat="1" ht="15.5" x14ac:dyDescent="0.35">
      <c r="A84" s="423" t="s">
        <v>1762</v>
      </c>
      <c r="B84" s="929">
        <v>826</v>
      </c>
      <c r="C84" s="1168" t="s">
        <v>52</v>
      </c>
      <c r="D84" s="1530"/>
      <c r="E84" s="1531"/>
      <c r="F84" s="1531"/>
      <c r="G84" s="1531"/>
      <c r="H84" s="1531"/>
      <c r="I84" s="1531"/>
      <c r="J84" s="1531"/>
      <c r="K84" s="1532"/>
      <c r="L84" s="1126" t="s">
        <v>1713</v>
      </c>
    </row>
    <row r="85" spans="1:12" s="17" customFormat="1" ht="15.5" x14ac:dyDescent="0.35">
      <c r="A85" s="423" t="s">
        <v>1763</v>
      </c>
      <c r="B85" s="929">
        <v>827</v>
      </c>
      <c r="C85" s="1168" t="s">
        <v>52</v>
      </c>
      <c r="D85" s="1530"/>
      <c r="E85" s="1531"/>
      <c r="F85" s="1531"/>
      <c r="G85" s="1531"/>
      <c r="H85" s="1531"/>
      <c r="I85" s="1531"/>
      <c r="J85" s="1531"/>
      <c r="K85" s="1532"/>
      <c r="L85" s="1126" t="s">
        <v>1713</v>
      </c>
    </row>
    <row r="86" spans="1:12" s="17" customFormat="1" ht="15.5" x14ac:dyDescent="0.35">
      <c r="A86" s="423" t="s">
        <v>1764</v>
      </c>
      <c r="B86" s="929">
        <v>828</v>
      </c>
      <c r="C86" s="1168" t="s">
        <v>52</v>
      </c>
      <c r="D86" s="1530"/>
      <c r="E86" s="1531"/>
      <c r="F86" s="1531"/>
      <c r="G86" s="1531"/>
      <c r="H86" s="1531"/>
      <c r="I86" s="1531"/>
      <c r="J86" s="1531"/>
      <c r="K86" s="1532"/>
      <c r="L86" s="1126" t="s">
        <v>1713</v>
      </c>
    </row>
    <row r="87" spans="1:12" s="17" customFormat="1" ht="15.5" x14ac:dyDescent="0.35">
      <c r="A87" s="423" t="s">
        <v>1765</v>
      </c>
      <c r="B87" s="929">
        <v>829</v>
      </c>
      <c r="C87" s="1168" t="s">
        <v>52</v>
      </c>
      <c r="D87" s="1530"/>
      <c r="E87" s="1531"/>
      <c r="F87" s="1531"/>
      <c r="G87" s="1531"/>
      <c r="H87" s="1531"/>
      <c r="I87" s="1531"/>
      <c r="J87" s="1531"/>
      <c r="K87" s="1532"/>
      <c r="L87" s="1126" t="s">
        <v>1713</v>
      </c>
    </row>
    <row r="88" spans="1:12" s="17" customFormat="1" ht="15.5" x14ac:dyDescent="0.35">
      <c r="A88" s="423" t="s">
        <v>1766</v>
      </c>
      <c r="B88" s="929">
        <v>788</v>
      </c>
      <c r="C88" s="1168" t="s">
        <v>52</v>
      </c>
      <c r="D88" s="1530"/>
      <c r="E88" s="1531"/>
      <c r="F88" s="1531"/>
      <c r="G88" s="1531"/>
      <c r="H88" s="1531"/>
      <c r="I88" s="1531"/>
      <c r="J88" s="1531"/>
      <c r="K88" s="1532"/>
      <c r="L88" s="1126" t="s">
        <v>1713</v>
      </c>
    </row>
    <row r="89" spans="1:12" s="17" customFormat="1" ht="15.5" x14ac:dyDescent="0.35">
      <c r="A89" s="423" t="s">
        <v>1767</v>
      </c>
      <c r="B89" s="929">
        <v>789</v>
      </c>
      <c r="C89" s="1168" t="s">
        <v>52</v>
      </c>
      <c r="D89" s="1530"/>
      <c r="E89" s="1531"/>
      <c r="F89" s="1531"/>
      <c r="G89" s="1531"/>
      <c r="H89" s="1531"/>
      <c r="I89" s="1531"/>
      <c r="J89" s="1531"/>
      <c r="K89" s="1532"/>
      <c r="L89" s="1126" t="s">
        <v>1713</v>
      </c>
    </row>
    <row r="90" spans="1:12" s="17" customFormat="1" ht="15.5" x14ac:dyDescent="0.35">
      <c r="A90" s="423" t="s">
        <v>1768</v>
      </c>
      <c r="B90" s="929">
        <v>790</v>
      </c>
      <c r="C90" s="1168" t="s">
        <v>52</v>
      </c>
      <c r="D90" s="1530"/>
      <c r="E90" s="1531"/>
      <c r="F90" s="1531"/>
      <c r="G90" s="1531"/>
      <c r="H90" s="1531"/>
      <c r="I90" s="1531"/>
      <c r="J90" s="1531"/>
      <c r="K90" s="1532"/>
      <c r="L90" s="1126" t="s">
        <v>1713</v>
      </c>
    </row>
    <row r="91" spans="1:12" s="17" customFormat="1" ht="15.5" x14ac:dyDescent="0.35">
      <c r="A91" s="423" t="s">
        <v>1769</v>
      </c>
      <c r="B91" s="929">
        <v>791</v>
      </c>
      <c r="C91" s="1168" t="s">
        <v>52</v>
      </c>
      <c r="D91" s="1530"/>
      <c r="E91" s="1531"/>
      <c r="F91" s="1531"/>
      <c r="G91" s="1531"/>
      <c r="H91" s="1531"/>
      <c r="I91" s="1531"/>
      <c r="J91" s="1531"/>
      <c r="K91" s="1532"/>
      <c r="L91" s="1126" t="s">
        <v>1713</v>
      </c>
    </row>
    <row r="92" spans="1:12" s="17" customFormat="1" ht="15.5" x14ac:dyDescent="0.35">
      <c r="A92" s="423" t="s">
        <v>1770</v>
      </c>
      <c r="B92" s="929">
        <v>793</v>
      </c>
      <c r="C92" s="1168" t="s">
        <v>52</v>
      </c>
      <c r="D92" s="1530"/>
      <c r="E92" s="1531"/>
      <c r="F92" s="1531"/>
      <c r="G92" s="1531"/>
      <c r="H92" s="1531"/>
      <c r="I92" s="1531"/>
      <c r="J92" s="1531"/>
      <c r="K92" s="1532"/>
      <c r="L92" s="1126" t="s">
        <v>1713</v>
      </c>
    </row>
    <row r="93" spans="1:12" s="17" customFormat="1" ht="15.5" x14ac:dyDescent="0.35">
      <c r="A93" s="423" t="s">
        <v>1771</v>
      </c>
      <c r="B93" s="929">
        <v>794</v>
      </c>
      <c r="C93" s="1168" t="s">
        <v>52</v>
      </c>
      <c r="D93" s="1530"/>
      <c r="E93" s="1531"/>
      <c r="F93" s="1531"/>
      <c r="G93" s="1531"/>
      <c r="H93" s="1531"/>
      <c r="I93" s="1531"/>
      <c r="J93" s="1531"/>
      <c r="K93" s="1532"/>
      <c r="L93" s="1126" t="s">
        <v>1713</v>
      </c>
    </row>
    <row r="94" spans="1:12" s="17" customFormat="1" ht="15.5" x14ac:dyDescent="0.35">
      <c r="A94" s="423" t="s">
        <v>1772</v>
      </c>
      <c r="B94" s="929">
        <v>795</v>
      </c>
      <c r="C94" s="1168" t="s">
        <v>52</v>
      </c>
      <c r="D94" s="1530"/>
      <c r="E94" s="1531"/>
      <c r="F94" s="1531"/>
      <c r="G94" s="1531"/>
      <c r="H94" s="1531"/>
      <c r="I94" s="1531"/>
      <c r="J94" s="1531"/>
      <c r="K94" s="1532"/>
      <c r="L94" s="1126" t="s">
        <v>1713</v>
      </c>
    </row>
    <row r="95" spans="1:12" s="17" customFormat="1" ht="15.5" x14ac:dyDescent="0.35">
      <c r="A95" s="423" t="s">
        <v>1773</v>
      </c>
      <c r="B95" s="929">
        <v>796</v>
      </c>
      <c r="C95" s="1168" t="s">
        <v>52</v>
      </c>
      <c r="D95" s="1530"/>
      <c r="E95" s="1531"/>
      <c r="F95" s="1531"/>
      <c r="G95" s="1531"/>
      <c r="H95" s="1531"/>
      <c r="I95" s="1531"/>
      <c r="J95" s="1531"/>
      <c r="K95" s="1532"/>
      <c r="L95" s="1126" t="s">
        <v>1713</v>
      </c>
    </row>
    <row r="96" spans="1:12" s="17" customFormat="1" ht="15.5" x14ac:dyDescent="0.35">
      <c r="A96" s="423" t="s">
        <v>1774</v>
      </c>
      <c r="B96" s="929">
        <v>797</v>
      </c>
      <c r="C96" s="1168" t="s">
        <v>52</v>
      </c>
      <c r="D96" s="1530"/>
      <c r="E96" s="1531"/>
      <c r="F96" s="1531"/>
      <c r="G96" s="1531"/>
      <c r="H96" s="1531"/>
      <c r="I96" s="1531"/>
      <c r="J96" s="1531"/>
      <c r="K96" s="1532"/>
      <c r="L96" s="1126" t="s">
        <v>1713</v>
      </c>
    </row>
    <row r="97" spans="1:12" s="17" customFormat="1" ht="15.5" x14ac:dyDescent="0.35">
      <c r="A97" s="423" t="s">
        <v>1775</v>
      </c>
      <c r="B97" s="929">
        <v>800</v>
      </c>
      <c r="C97" s="1168" t="s">
        <v>52</v>
      </c>
      <c r="D97" s="1530"/>
      <c r="E97" s="1531"/>
      <c r="F97" s="1531"/>
      <c r="G97" s="1531"/>
      <c r="H97" s="1531"/>
      <c r="I97" s="1531"/>
      <c r="J97" s="1531"/>
      <c r="K97" s="1532"/>
      <c r="L97" s="1126" t="s">
        <v>1713</v>
      </c>
    </row>
    <row r="98" spans="1:12" s="17" customFormat="1" ht="15.5" x14ac:dyDescent="0.35">
      <c r="A98" s="423" t="s">
        <v>1776</v>
      </c>
      <c r="B98" s="929">
        <v>803</v>
      </c>
      <c r="C98" s="1168" t="s">
        <v>52</v>
      </c>
      <c r="D98" s="1530"/>
      <c r="E98" s="1531"/>
      <c r="F98" s="1531"/>
      <c r="G98" s="1531"/>
      <c r="H98" s="1531"/>
      <c r="I98" s="1531"/>
      <c r="J98" s="1531"/>
      <c r="K98" s="1532"/>
      <c r="L98" s="1126" t="s">
        <v>1713</v>
      </c>
    </row>
    <row r="99" spans="1:12" s="17" customFormat="1" ht="15.5" x14ac:dyDescent="0.35">
      <c r="A99" s="423" t="s">
        <v>1777</v>
      </c>
      <c r="B99" s="929">
        <v>804</v>
      </c>
      <c r="C99" s="1168" t="s">
        <v>52</v>
      </c>
      <c r="D99" s="1530"/>
      <c r="E99" s="1531"/>
      <c r="F99" s="1531"/>
      <c r="G99" s="1531"/>
      <c r="H99" s="1531"/>
      <c r="I99" s="1531"/>
      <c r="J99" s="1531"/>
      <c r="K99" s="1532"/>
      <c r="L99" s="1126" t="s">
        <v>1713</v>
      </c>
    </row>
    <row r="100" spans="1:12" s="17" customFormat="1" ht="15.5" x14ac:dyDescent="0.35">
      <c r="A100" s="423" t="s">
        <v>1778</v>
      </c>
      <c r="B100" s="929">
        <v>805</v>
      </c>
      <c r="C100" s="1168" t="s">
        <v>52</v>
      </c>
      <c r="D100" s="1530"/>
      <c r="E100" s="1531"/>
      <c r="F100" s="1531"/>
      <c r="G100" s="1531"/>
      <c r="H100" s="1531"/>
      <c r="I100" s="1531"/>
      <c r="J100" s="1531"/>
      <c r="K100" s="1532"/>
      <c r="L100" s="1126" t="s">
        <v>1713</v>
      </c>
    </row>
    <row r="101" spans="1:12" s="17" customFormat="1" ht="15.5" x14ac:dyDescent="0.35">
      <c r="A101" s="423" t="s">
        <v>1779</v>
      </c>
      <c r="B101" s="929">
        <v>806</v>
      </c>
      <c r="C101" s="1168" t="s">
        <v>52</v>
      </c>
      <c r="D101" s="1530"/>
      <c r="E101" s="1531"/>
      <c r="F101" s="1531"/>
      <c r="G101" s="1531"/>
      <c r="H101" s="1531"/>
      <c r="I101" s="1531"/>
      <c r="J101" s="1531"/>
      <c r="K101" s="1532"/>
      <c r="L101" s="1126" t="s">
        <v>1713</v>
      </c>
    </row>
    <row r="102" spans="1:12" s="17" customFormat="1" ht="15.5" x14ac:dyDescent="0.35">
      <c r="A102" s="423" t="s">
        <v>1780</v>
      </c>
      <c r="B102" s="929">
        <v>811</v>
      </c>
      <c r="C102" s="1168" t="s">
        <v>52</v>
      </c>
      <c r="D102" s="1530"/>
      <c r="E102" s="1531"/>
      <c r="F102" s="1531"/>
      <c r="G102" s="1531"/>
      <c r="H102" s="1531"/>
      <c r="I102" s="1531"/>
      <c r="J102" s="1531"/>
      <c r="K102" s="1532"/>
      <c r="L102" s="1126" t="s">
        <v>1713</v>
      </c>
    </row>
    <row r="103" spans="1:12" s="17" customFormat="1" ht="15.5" x14ac:dyDescent="0.35">
      <c r="A103" s="423" t="s">
        <v>1781</v>
      </c>
      <c r="B103" s="929">
        <v>813</v>
      </c>
      <c r="C103" s="1168" t="s">
        <v>52</v>
      </c>
      <c r="D103" s="1530"/>
      <c r="E103" s="1531"/>
      <c r="F103" s="1531"/>
      <c r="G103" s="1531"/>
      <c r="H103" s="1531"/>
      <c r="I103" s="1531"/>
      <c r="J103" s="1531"/>
      <c r="K103" s="1532"/>
      <c r="L103" s="1126" t="s">
        <v>1713</v>
      </c>
    </row>
    <row r="104" spans="1:12" s="17" customFormat="1" ht="15.5" x14ac:dyDescent="0.35">
      <c r="A104" s="423" t="s">
        <v>1782</v>
      </c>
      <c r="B104" s="929">
        <v>814</v>
      </c>
      <c r="C104" s="1168" t="s">
        <v>52</v>
      </c>
      <c r="D104" s="1530"/>
      <c r="E104" s="1531"/>
      <c r="F104" s="1531"/>
      <c r="G104" s="1531"/>
      <c r="H104" s="1531"/>
      <c r="I104" s="1531"/>
      <c r="J104" s="1531"/>
      <c r="K104" s="1532"/>
      <c r="L104" s="1126" t="s">
        <v>1713</v>
      </c>
    </row>
    <row r="105" spans="1:12" s="17" customFormat="1" ht="15.5" x14ac:dyDescent="0.35">
      <c r="A105" s="423" t="s">
        <v>1783</v>
      </c>
      <c r="B105" s="929">
        <v>815</v>
      </c>
      <c r="C105" s="1168" t="s">
        <v>52</v>
      </c>
      <c r="D105" s="1530"/>
      <c r="E105" s="1531"/>
      <c r="F105" s="1531"/>
      <c r="G105" s="1531"/>
      <c r="H105" s="1531"/>
      <c r="I105" s="1531"/>
      <c r="J105" s="1531"/>
      <c r="K105" s="1532"/>
      <c r="L105" s="1126" t="s">
        <v>1713</v>
      </c>
    </row>
    <row r="106" spans="1:12" s="17" customFormat="1" ht="15.5" x14ac:dyDescent="0.35">
      <c r="A106" s="423" t="s">
        <v>1784</v>
      </c>
      <c r="B106" s="929">
        <v>816</v>
      </c>
      <c r="C106" s="1168" t="s">
        <v>52</v>
      </c>
      <c r="D106" s="1530"/>
      <c r="E106" s="1531"/>
      <c r="F106" s="1531"/>
      <c r="G106" s="1531"/>
      <c r="H106" s="1531"/>
      <c r="I106" s="1531"/>
      <c r="J106" s="1531"/>
      <c r="K106" s="1532"/>
      <c r="L106" s="1126" t="s">
        <v>1713</v>
      </c>
    </row>
    <row r="107" spans="1:12" s="17" customFormat="1" ht="15.5" x14ac:dyDescent="0.35">
      <c r="A107" s="423" t="s">
        <v>1785</v>
      </c>
      <c r="B107" s="929">
        <v>851</v>
      </c>
      <c r="C107" s="1168" t="s">
        <v>52</v>
      </c>
      <c r="D107" s="1530"/>
      <c r="E107" s="1531"/>
      <c r="F107" s="1531"/>
      <c r="G107" s="1531"/>
      <c r="H107" s="1531"/>
      <c r="I107" s="1531"/>
      <c r="J107" s="1531"/>
      <c r="K107" s="1532"/>
      <c r="L107" s="1126" t="s">
        <v>1713</v>
      </c>
    </row>
    <row r="108" spans="1:12" s="17" customFormat="1" ht="15.5" x14ac:dyDescent="0.35">
      <c r="A108" s="423" t="s">
        <v>1786</v>
      </c>
      <c r="B108" s="929">
        <v>856</v>
      </c>
      <c r="C108" s="1168" t="s">
        <v>52</v>
      </c>
      <c r="D108" s="1530"/>
      <c r="E108" s="1531"/>
      <c r="F108" s="1531"/>
      <c r="G108" s="1531"/>
      <c r="H108" s="1531"/>
      <c r="I108" s="1531"/>
      <c r="J108" s="1531"/>
      <c r="K108" s="1532"/>
      <c r="L108" s="1126" t="s">
        <v>1713</v>
      </c>
    </row>
    <row r="109" spans="1:12" s="17" customFormat="1" ht="15.5" x14ac:dyDescent="0.35">
      <c r="A109" s="423" t="s">
        <v>1787</v>
      </c>
      <c r="B109" s="929">
        <v>870</v>
      </c>
      <c r="C109" s="1168" t="s">
        <v>52</v>
      </c>
      <c r="D109" s="1530"/>
      <c r="E109" s="1531"/>
      <c r="F109" s="1531"/>
      <c r="G109" s="1531"/>
      <c r="H109" s="1531"/>
      <c r="I109" s="1531"/>
      <c r="J109" s="1531"/>
      <c r="K109" s="1532"/>
      <c r="L109" s="1126" t="s">
        <v>1713</v>
      </c>
    </row>
    <row r="110" spans="1:12" s="17" customFormat="1" ht="15.5" x14ac:dyDescent="0.35">
      <c r="A110" s="423" t="s">
        <v>1788</v>
      </c>
      <c r="B110" s="929">
        <v>880</v>
      </c>
      <c r="C110" s="1168" t="s">
        <v>52</v>
      </c>
      <c r="D110" s="1530"/>
      <c r="E110" s="1531"/>
      <c r="F110" s="1531"/>
      <c r="G110" s="1531"/>
      <c r="H110" s="1531"/>
      <c r="I110" s="1531"/>
      <c r="J110" s="1531"/>
      <c r="K110" s="1532"/>
      <c r="L110" s="1126" t="s">
        <v>1713</v>
      </c>
    </row>
    <row r="111" spans="1:12" s="17" customFormat="1" ht="15.5" x14ac:dyDescent="0.35">
      <c r="A111" s="423" t="s">
        <v>1789</v>
      </c>
      <c r="B111" s="929">
        <v>885</v>
      </c>
      <c r="C111" s="1168" t="s">
        <v>52</v>
      </c>
      <c r="D111" s="1530"/>
      <c r="E111" s="1531"/>
      <c r="F111" s="1531"/>
      <c r="G111" s="1531"/>
      <c r="H111" s="1531"/>
      <c r="I111" s="1531"/>
      <c r="J111" s="1531"/>
      <c r="K111" s="1532"/>
      <c r="L111" s="1126" t="s">
        <v>1713</v>
      </c>
    </row>
    <row r="112" spans="1:12" s="17" customFormat="1" ht="15.5" x14ac:dyDescent="0.35">
      <c r="A112" s="423" t="s">
        <v>1790</v>
      </c>
      <c r="B112" s="929">
        <v>890</v>
      </c>
      <c r="C112" s="1168" t="s">
        <v>52</v>
      </c>
      <c r="D112" s="1530"/>
      <c r="E112" s="1531"/>
      <c r="F112" s="1531"/>
      <c r="G112" s="1531"/>
      <c r="H112" s="1531"/>
      <c r="I112" s="1531"/>
      <c r="J112" s="1531"/>
      <c r="K112" s="1532"/>
      <c r="L112" s="1126" t="s">
        <v>1713</v>
      </c>
    </row>
    <row r="113" spans="1:12" s="17" customFormat="1" ht="15.5" x14ac:dyDescent="0.35">
      <c r="A113" s="423" t="s">
        <v>1791</v>
      </c>
      <c r="B113" s="929">
        <v>911</v>
      </c>
      <c r="C113" s="1168" t="s">
        <v>52</v>
      </c>
      <c r="D113" s="1530"/>
      <c r="E113" s="1531"/>
      <c r="F113" s="1531"/>
      <c r="G113" s="1531"/>
      <c r="H113" s="1531"/>
      <c r="I113" s="1531"/>
      <c r="J113" s="1531"/>
      <c r="K113" s="1532"/>
      <c r="L113" s="1126" t="s">
        <v>1713</v>
      </c>
    </row>
    <row r="114" spans="1:12" s="17" customFormat="1" ht="15.5" x14ac:dyDescent="0.35">
      <c r="A114" s="93" t="s">
        <v>1792</v>
      </c>
      <c r="B114" s="929">
        <v>912</v>
      </c>
      <c r="C114" s="1168" t="s">
        <v>52</v>
      </c>
      <c r="D114" s="713"/>
      <c r="E114" s="714"/>
      <c r="F114" s="714"/>
      <c r="G114" s="714"/>
      <c r="H114" s="714"/>
      <c r="I114" s="714"/>
      <c r="J114" s="714"/>
      <c r="K114" s="715"/>
      <c r="L114" s="1126" t="s">
        <v>1713</v>
      </c>
    </row>
    <row r="115" spans="1:12" s="17" customFormat="1" ht="15.5" x14ac:dyDescent="0.35">
      <c r="A115" s="423" t="s">
        <v>1793</v>
      </c>
      <c r="B115" s="929">
        <v>913</v>
      </c>
      <c r="C115" s="1168" t="s">
        <v>52</v>
      </c>
      <c r="D115" s="1530"/>
      <c r="E115" s="1531"/>
      <c r="F115" s="1531"/>
      <c r="G115" s="1531"/>
      <c r="H115" s="1531"/>
      <c r="I115" s="1531"/>
      <c r="J115" s="1531"/>
      <c r="K115" s="1532"/>
      <c r="L115" s="1126" t="s">
        <v>1713</v>
      </c>
    </row>
    <row r="116" spans="1:12" s="17" customFormat="1" ht="15.5" x14ac:dyDescent="0.35">
      <c r="A116" s="423" t="s">
        <v>1794</v>
      </c>
      <c r="B116" s="929">
        <v>914</v>
      </c>
      <c r="C116" s="1168" t="s">
        <v>52</v>
      </c>
      <c r="D116" s="1530"/>
      <c r="E116" s="1531"/>
      <c r="F116" s="1531"/>
      <c r="G116" s="1531"/>
      <c r="H116" s="1531"/>
      <c r="I116" s="1531"/>
      <c r="J116" s="1531"/>
      <c r="K116" s="1532"/>
      <c r="L116" s="1126" t="s">
        <v>1713</v>
      </c>
    </row>
    <row r="117" spans="1:12" s="17" customFormat="1" ht="15.5" x14ac:dyDescent="0.35">
      <c r="A117" s="423" t="s">
        <v>1795</v>
      </c>
      <c r="B117" s="929">
        <v>915</v>
      </c>
      <c r="C117" s="1168" t="s">
        <v>52</v>
      </c>
      <c r="D117" s="1530"/>
      <c r="E117" s="1531"/>
      <c r="F117" s="1531"/>
      <c r="G117" s="1531"/>
      <c r="H117" s="1531"/>
      <c r="I117" s="1531"/>
      <c r="J117" s="1531"/>
      <c r="K117" s="1532"/>
      <c r="L117" s="1126" t="s">
        <v>1713</v>
      </c>
    </row>
    <row r="118" spans="1:12" s="17" customFormat="1" ht="15.5" x14ac:dyDescent="0.35">
      <c r="A118" s="423" t="s">
        <v>1796</v>
      </c>
      <c r="B118" s="929">
        <v>1023</v>
      </c>
      <c r="C118" s="1168" t="s">
        <v>52</v>
      </c>
      <c r="D118" s="1530"/>
      <c r="E118" s="1531"/>
      <c r="F118" s="1531"/>
      <c r="G118" s="1531"/>
      <c r="H118" s="1531"/>
      <c r="I118" s="1531"/>
      <c r="J118" s="1531"/>
      <c r="K118" s="1532"/>
      <c r="L118" s="1126" t="s">
        <v>1713</v>
      </c>
    </row>
    <row r="119" spans="1:12" s="17" customFormat="1" ht="15.5" x14ac:dyDescent="0.35">
      <c r="A119" s="423" t="s">
        <v>1797</v>
      </c>
      <c r="B119" s="929">
        <v>1024</v>
      </c>
      <c r="C119" s="1168" t="s">
        <v>52</v>
      </c>
      <c r="D119" s="1530"/>
      <c r="E119" s="1531"/>
      <c r="F119" s="1531"/>
      <c r="G119" s="1531"/>
      <c r="H119" s="1531"/>
      <c r="I119" s="1531"/>
      <c r="J119" s="1531"/>
      <c r="K119" s="1532"/>
      <c r="L119" s="1126" t="s">
        <v>1713</v>
      </c>
    </row>
    <row r="120" spans="1:12" s="17" customFormat="1" ht="15.5" x14ac:dyDescent="0.35">
      <c r="A120" s="423" t="s">
        <v>1798</v>
      </c>
      <c r="B120" s="929">
        <v>1025</v>
      </c>
      <c r="C120" s="1168" t="s">
        <v>52</v>
      </c>
      <c r="D120" s="1530"/>
      <c r="E120" s="1531"/>
      <c r="F120" s="1531"/>
      <c r="G120" s="1531"/>
      <c r="H120" s="1531"/>
      <c r="I120" s="1531"/>
      <c r="J120" s="1531"/>
      <c r="K120" s="1532"/>
      <c r="L120" s="1126" t="s">
        <v>1713</v>
      </c>
    </row>
    <row r="121" spans="1:12" s="17" customFormat="1" ht="15.5" x14ac:dyDescent="0.35">
      <c r="A121" s="423" t="s">
        <v>1799</v>
      </c>
      <c r="B121" s="929">
        <v>1026</v>
      </c>
      <c r="C121" s="1168" t="s">
        <v>52</v>
      </c>
      <c r="D121" s="1530"/>
      <c r="E121" s="1531"/>
      <c r="F121" s="1531"/>
      <c r="G121" s="1531"/>
      <c r="H121" s="1531"/>
      <c r="I121" s="1531"/>
      <c r="J121" s="1531"/>
      <c r="K121" s="1532"/>
      <c r="L121" s="1126" t="s">
        <v>1713</v>
      </c>
    </row>
    <row r="122" spans="1:12" s="17" customFormat="1" ht="15.5" x14ac:dyDescent="0.35">
      <c r="A122" s="423" t="s">
        <v>1800</v>
      </c>
      <c r="B122" s="929">
        <v>1027</v>
      </c>
      <c r="C122" s="1168" t="s">
        <v>52</v>
      </c>
      <c r="D122" s="1530"/>
      <c r="E122" s="1531"/>
      <c r="F122" s="1531"/>
      <c r="G122" s="1531"/>
      <c r="H122" s="1531"/>
      <c r="I122" s="1531"/>
      <c r="J122" s="1531"/>
      <c r="K122" s="1532"/>
      <c r="L122" s="1126" t="s">
        <v>1713</v>
      </c>
    </row>
    <row r="123" spans="1:12" s="17" customFormat="1" ht="15.5" x14ac:dyDescent="0.35">
      <c r="A123" s="423" t="s">
        <v>1801</v>
      </c>
      <c r="B123" s="929">
        <v>916</v>
      </c>
      <c r="C123" s="1168" t="s">
        <v>52</v>
      </c>
      <c r="D123" s="1530"/>
      <c r="E123" s="1531"/>
      <c r="F123" s="1531"/>
      <c r="G123" s="1531"/>
      <c r="H123" s="1531"/>
      <c r="I123" s="1531"/>
      <c r="J123" s="1531"/>
      <c r="K123" s="1532"/>
      <c r="L123" s="1126" t="s">
        <v>1713</v>
      </c>
    </row>
    <row r="124" spans="1:12" s="17" customFormat="1" ht="15.5" x14ac:dyDescent="0.35">
      <c r="A124" s="423" t="s">
        <v>1802</v>
      </c>
      <c r="B124" s="929">
        <v>920</v>
      </c>
      <c r="C124" s="1168" t="s">
        <v>52</v>
      </c>
      <c r="D124" s="1530"/>
      <c r="E124" s="1531"/>
      <c r="F124" s="1531"/>
      <c r="G124" s="1531"/>
      <c r="H124" s="1531"/>
      <c r="I124" s="1531"/>
      <c r="J124" s="1531"/>
      <c r="K124" s="1532"/>
      <c r="L124" s="1126" t="s">
        <v>1713</v>
      </c>
    </row>
    <row r="125" spans="1:12" s="17" customFormat="1" ht="15.5" x14ac:dyDescent="0.35">
      <c r="A125" s="423" t="s">
        <v>1803</v>
      </c>
      <c r="B125" s="929">
        <v>931</v>
      </c>
      <c r="C125" s="1168" t="s">
        <v>52</v>
      </c>
      <c r="D125" s="1530"/>
      <c r="E125" s="1531"/>
      <c r="F125" s="1531"/>
      <c r="G125" s="1531"/>
      <c r="H125" s="1531"/>
      <c r="I125" s="1531"/>
      <c r="J125" s="1531"/>
      <c r="K125" s="1532"/>
      <c r="L125" s="1126" t="s">
        <v>1713</v>
      </c>
    </row>
    <row r="126" spans="1:12" s="17" customFormat="1" ht="15.5" x14ac:dyDescent="0.35">
      <c r="A126" s="423" t="s">
        <v>1804</v>
      </c>
      <c r="B126" s="929">
        <v>933</v>
      </c>
      <c r="C126" s="1168" t="s">
        <v>52</v>
      </c>
      <c r="D126" s="1530"/>
      <c r="E126" s="1531"/>
      <c r="F126" s="1531"/>
      <c r="G126" s="1531"/>
      <c r="H126" s="1531"/>
      <c r="I126" s="1531"/>
      <c r="J126" s="1531"/>
      <c r="K126" s="1532"/>
      <c r="L126" s="1126" t="s">
        <v>1713</v>
      </c>
    </row>
    <row r="127" spans="1:12" s="17" customFormat="1" ht="15.5" x14ac:dyDescent="0.35">
      <c r="A127" s="423" t="s">
        <v>1805</v>
      </c>
      <c r="B127" s="929">
        <v>943</v>
      </c>
      <c r="C127" s="1168" t="s">
        <v>52</v>
      </c>
      <c r="D127" s="1530"/>
      <c r="E127" s="1531"/>
      <c r="F127" s="1531"/>
      <c r="G127" s="1531"/>
      <c r="H127" s="1531"/>
      <c r="I127" s="1531"/>
      <c r="J127" s="1531"/>
      <c r="K127" s="1532"/>
      <c r="L127" s="1126" t="s">
        <v>1713</v>
      </c>
    </row>
    <row r="128" spans="1:12" s="17" customFormat="1" ht="15.5" x14ac:dyDescent="0.35">
      <c r="A128" s="423" t="s">
        <v>1806</v>
      </c>
      <c r="B128" s="929">
        <v>944</v>
      </c>
      <c r="C128" s="1168" t="s">
        <v>52</v>
      </c>
      <c r="D128" s="1530"/>
      <c r="E128" s="1531"/>
      <c r="F128" s="1531"/>
      <c r="G128" s="1531"/>
      <c r="H128" s="1531"/>
      <c r="I128" s="1531"/>
      <c r="J128" s="1531"/>
      <c r="K128" s="1532"/>
      <c r="L128" s="1126" t="s">
        <v>1713</v>
      </c>
    </row>
    <row r="129" spans="1:12" s="17" customFormat="1" ht="15.5" x14ac:dyDescent="0.35">
      <c r="A129" s="423" t="s">
        <v>1807</v>
      </c>
      <c r="B129" s="929">
        <v>934</v>
      </c>
      <c r="C129" s="1168" t="s">
        <v>52</v>
      </c>
      <c r="D129" s="1530"/>
      <c r="E129" s="1531"/>
      <c r="F129" s="1531"/>
      <c r="G129" s="1531"/>
      <c r="H129" s="1531"/>
      <c r="I129" s="1531"/>
      <c r="J129" s="1531"/>
      <c r="K129" s="1532"/>
      <c r="L129" s="1126" t="s">
        <v>1713</v>
      </c>
    </row>
    <row r="130" spans="1:12" s="17" customFormat="1" ht="15.5" x14ac:dyDescent="0.35">
      <c r="A130" s="423" t="s">
        <v>1808</v>
      </c>
      <c r="B130" s="929">
        <v>945</v>
      </c>
      <c r="C130" s="1168" t="s">
        <v>52</v>
      </c>
      <c r="D130" s="1530"/>
      <c r="E130" s="1531"/>
      <c r="F130" s="1531"/>
      <c r="G130" s="1531"/>
      <c r="H130" s="1531"/>
      <c r="I130" s="1531"/>
      <c r="J130" s="1531"/>
      <c r="K130" s="1532"/>
      <c r="L130" s="1126" t="s">
        <v>1713</v>
      </c>
    </row>
    <row r="131" spans="1:12" s="17" customFormat="1" ht="15.5" x14ac:dyDescent="0.35">
      <c r="A131" s="423" t="s">
        <v>1809</v>
      </c>
      <c r="B131" s="929">
        <v>946</v>
      </c>
      <c r="C131" s="1168" t="s">
        <v>52</v>
      </c>
      <c r="D131" s="1530"/>
      <c r="E131" s="1531"/>
      <c r="F131" s="1531"/>
      <c r="G131" s="1531"/>
      <c r="H131" s="1531"/>
      <c r="I131" s="1531"/>
      <c r="J131" s="1531"/>
      <c r="K131" s="1532"/>
      <c r="L131" s="1126" t="s">
        <v>1713</v>
      </c>
    </row>
    <row r="132" spans="1:12" s="17" customFormat="1" ht="15.5" x14ac:dyDescent="0.35">
      <c r="A132" s="423" t="s">
        <v>1810</v>
      </c>
      <c r="B132" s="929">
        <v>947</v>
      </c>
      <c r="C132" s="1168" t="s">
        <v>52</v>
      </c>
      <c r="D132" s="1530"/>
      <c r="E132" s="1531"/>
      <c r="F132" s="1531"/>
      <c r="G132" s="1531"/>
      <c r="H132" s="1531"/>
      <c r="I132" s="1531"/>
      <c r="J132" s="1531"/>
      <c r="K132" s="1532"/>
      <c r="L132" s="1126" t="s">
        <v>1713</v>
      </c>
    </row>
    <row r="133" spans="1:12" s="17" customFormat="1" ht="15.5" x14ac:dyDescent="0.35">
      <c r="A133" s="423" t="s">
        <v>1811</v>
      </c>
      <c r="B133" s="929">
        <v>948</v>
      </c>
      <c r="C133" s="1168" t="s">
        <v>52</v>
      </c>
      <c r="D133" s="1530"/>
      <c r="E133" s="1531"/>
      <c r="F133" s="1531"/>
      <c r="G133" s="1531"/>
      <c r="H133" s="1531"/>
      <c r="I133" s="1531"/>
      <c r="J133" s="1531"/>
      <c r="K133" s="1532"/>
      <c r="L133" s="1126" t="s">
        <v>1713</v>
      </c>
    </row>
    <row r="134" spans="1:12" s="17" customFormat="1" ht="15.5" x14ac:dyDescent="0.35">
      <c r="A134" s="423" t="s">
        <v>1812</v>
      </c>
      <c r="B134" s="929">
        <v>935</v>
      </c>
      <c r="C134" s="1168" t="s">
        <v>52</v>
      </c>
      <c r="D134" s="1530"/>
      <c r="E134" s="1531"/>
      <c r="F134" s="1531"/>
      <c r="G134" s="1531"/>
      <c r="H134" s="1531"/>
      <c r="I134" s="1531"/>
      <c r="J134" s="1531"/>
      <c r="K134" s="1532"/>
      <c r="L134" s="1126" t="s">
        <v>1713</v>
      </c>
    </row>
    <row r="135" spans="1:12" s="17" customFormat="1" ht="15.5" x14ac:dyDescent="0.35">
      <c r="A135" s="423" t="s">
        <v>1813</v>
      </c>
      <c r="B135" s="929">
        <v>936</v>
      </c>
      <c r="C135" s="1168" t="s">
        <v>52</v>
      </c>
      <c r="D135" s="1530"/>
      <c r="E135" s="1531"/>
      <c r="F135" s="1531"/>
      <c r="G135" s="1531"/>
      <c r="H135" s="1531"/>
      <c r="I135" s="1531"/>
      <c r="J135" s="1531"/>
      <c r="K135" s="1532"/>
      <c r="L135" s="1126" t="s">
        <v>1713</v>
      </c>
    </row>
    <row r="136" spans="1:12" s="17" customFormat="1" ht="15.5" x14ac:dyDescent="0.35">
      <c r="A136" s="423" t="s">
        <v>1814</v>
      </c>
      <c r="B136" s="929">
        <v>939</v>
      </c>
      <c r="C136" s="1168" t="s">
        <v>52</v>
      </c>
      <c r="D136" s="1530"/>
      <c r="E136" s="1531"/>
      <c r="F136" s="1531"/>
      <c r="G136" s="1531"/>
      <c r="H136" s="1531"/>
      <c r="I136" s="1531"/>
      <c r="J136" s="1531"/>
      <c r="K136" s="1532"/>
      <c r="L136" s="1126" t="s">
        <v>1713</v>
      </c>
    </row>
    <row r="137" spans="1:12" s="17" customFormat="1" ht="15.5" x14ac:dyDescent="0.35">
      <c r="A137" s="423" t="s">
        <v>1815</v>
      </c>
      <c r="B137" s="929">
        <v>941</v>
      </c>
      <c r="C137" s="1168" t="s">
        <v>52</v>
      </c>
      <c r="D137" s="1530"/>
      <c r="E137" s="1531"/>
      <c r="F137" s="1531"/>
      <c r="G137" s="1531"/>
      <c r="H137" s="1531"/>
      <c r="I137" s="1531"/>
      <c r="J137" s="1531"/>
      <c r="K137" s="1532"/>
      <c r="L137" s="1126" t="s">
        <v>1713</v>
      </c>
    </row>
    <row r="138" spans="1:12" s="17" customFormat="1" ht="15.5" x14ac:dyDescent="0.35">
      <c r="A138" s="423" t="s">
        <v>1816</v>
      </c>
      <c r="B138" s="929">
        <v>942</v>
      </c>
      <c r="C138" s="1168" t="s">
        <v>52</v>
      </c>
      <c r="D138" s="1530"/>
      <c r="E138" s="1531"/>
      <c r="F138" s="1531"/>
      <c r="G138" s="1531"/>
      <c r="H138" s="1531"/>
      <c r="I138" s="1531"/>
      <c r="J138" s="1531"/>
      <c r="K138" s="1532"/>
      <c r="L138" s="1126" t="s">
        <v>1713</v>
      </c>
    </row>
    <row r="139" spans="1:12" s="17" customFormat="1" ht="15.5" x14ac:dyDescent="0.35">
      <c r="A139" s="423" t="s">
        <v>1817</v>
      </c>
      <c r="B139" s="929">
        <v>960</v>
      </c>
      <c r="C139" s="1168" t="s">
        <v>52</v>
      </c>
      <c r="D139" s="1530"/>
      <c r="E139" s="1531"/>
      <c r="F139" s="1531"/>
      <c r="G139" s="1531"/>
      <c r="H139" s="1531"/>
      <c r="I139" s="1531"/>
      <c r="J139" s="1531"/>
      <c r="K139" s="1532"/>
      <c r="L139" s="1126" t="s">
        <v>1713</v>
      </c>
    </row>
    <row r="140" spans="1:12" s="17" customFormat="1" ht="15.5" x14ac:dyDescent="0.35">
      <c r="A140" s="423" t="s">
        <v>1818</v>
      </c>
      <c r="B140" s="929">
        <v>980</v>
      </c>
      <c r="C140" s="1168" t="s">
        <v>52</v>
      </c>
      <c r="D140" s="1530"/>
      <c r="E140" s="1531"/>
      <c r="F140" s="1531"/>
      <c r="G140" s="1531"/>
      <c r="H140" s="1531"/>
      <c r="I140" s="1531"/>
      <c r="J140" s="1531"/>
      <c r="K140" s="1532"/>
      <c r="L140" s="1126" t="s">
        <v>1713</v>
      </c>
    </row>
    <row r="141" spans="1:12" s="17" customFormat="1" ht="15.5" x14ac:dyDescent="0.35">
      <c r="A141" s="423" t="s">
        <v>1819</v>
      </c>
      <c r="B141" s="929">
        <v>981</v>
      </c>
      <c r="C141" s="1168" t="s">
        <v>52</v>
      </c>
      <c r="D141" s="1530"/>
      <c r="E141" s="1531"/>
      <c r="F141" s="1531"/>
      <c r="G141" s="1531"/>
      <c r="H141" s="1531"/>
      <c r="I141" s="1531"/>
      <c r="J141" s="1531"/>
      <c r="K141" s="1532"/>
      <c r="L141" s="1126" t="s">
        <v>1713</v>
      </c>
    </row>
    <row r="142" spans="1:12" s="17" customFormat="1" ht="15.5" x14ac:dyDescent="0.35">
      <c r="A142" s="423" t="s">
        <v>1820</v>
      </c>
      <c r="B142" s="929">
        <v>982</v>
      </c>
      <c r="C142" s="1168" t="s">
        <v>52</v>
      </c>
      <c r="D142" s="1530"/>
      <c r="E142" s="1531"/>
      <c r="F142" s="1531"/>
      <c r="G142" s="1531"/>
      <c r="H142" s="1531"/>
      <c r="I142" s="1531"/>
      <c r="J142" s="1531"/>
      <c r="K142" s="1532"/>
      <c r="L142" s="1126" t="s">
        <v>1713</v>
      </c>
    </row>
    <row r="143" spans="1:12" s="17" customFormat="1" ht="15.5" x14ac:dyDescent="0.35">
      <c r="A143" s="423" t="s">
        <v>1821</v>
      </c>
      <c r="B143" s="929">
        <v>983</v>
      </c>
      <c r="C143" s="1168" t="s">
        <v>52</v>
      </c>
      <c r="D143" s="1530"/>
      <c r="E143" s="1531"/>
      <c r="F143" s="1531"/>
      <c r="G143" s="1531"/>
      <c r="H143" s="1531"/>
      <c r="I143" s="1531"/>
      <c r="J143" s="1531"/>
      <c r="K143" s="1532"/>
      <c r="L143" s="1126" t="s">
        <v>1713</v>
      </c>
    </row>
    <row r="144" spans="1:12" s="17" customFormat="1" ht="15.5" x14ac:dyDescent="0.35">
      <c r="A144" s="423" t="s">
        <v>1822</v>
      </c>
      <c r="B144" s="929">
        <v>994</v>
      </c>
      <c r="C144" s="1168" t="s">
        <v>52</v>
      </c>
      <c r="D144" s="1530"/>
      <c r="E144" s="1531"/>
      <c r="F144" s="1531"/>
      <c r="G144" s="1531"/>
      <c r="H144" s="1531"/>
      <c r="I144" s="1531"/>
      <c r="J144" s="1531"/>
      <c r="K144" s="1532"/>
      <c r="L144" s="1126" t="s">
        <v>1713</v>
      </c>
    </row>
    <row r="145" spans="1:12" s="17" customFormat="1" ht="15.5" x14ac:dyDescent="0.35">
      <c r="A145" s="423" t="s">
        <v>1823</v>
      </c>
      <c r="B145" s="929">
        <v>995</v>
      </c>
      <c r="C145" s="1168" t="s">
        <v>52</v>
      </c>
      <c r="D145" s="1530"/>
      <c r="E145" s="1531"/>
      <c r="F145" s="1531"/>
      <c r="G145" s="1531"/>
      <c r="H145" s="1531"/>
      <c r="I145" s="1531"/>
      <c r="J145" s="1531"/>
      <c r="K145" s="1532"/>
      <c r="L145" s="1126" t="s">
        <v>1713</v>
      </c>
    </row>
    <row r="146" spans="1:12" s="17" customFormat="1" ht="15.5" x14ac:dyDescent="0.35">
      <c r="A146" s="423" t="s">
        <v>1824</v>
      </c>
      <c r="B146" s="929">
        <v>996</v>
      </c>
      <c r="C146" s="1168" t="s">
        <v>52</v>
      </c>
      <c r="D146" s="1530"/>
      <c r="E146" s="1531"/>
      <c r="F146" s="1531"/>
      <c r="G146" s="1531"/>
      <c r="H146" s="1531"/>
      <c r="I146" s="1531"/>
      <c r="J146" s="1531"/>
      <c r="K146" s="1532"/>
      <c r="L146" s="1126" t="s">
        <v>1713</v>
      </c>
    </row>
    <row r="147" spans="1:12" s="17" customFormat="1" ht="15.5" x14ac:dyDescent="0.35">
      <c r="A147" s="423" t="s">
        <v>1825</v>
      </c>
      <c r="B147" s="929">
        <v>997</v>
      </c>
      <c r="C147" s="1168" t="s">
        <v>52</v>
      </c>
      <c r="D147" s="1530"/>
      <c r="E147" s="1531"/>
      <c r="F147" s="1531"/>
      <c r="G147" s="1531"/>
      <c r="H147" s="1531"/>
      <c r="I147" s="1531"/>
      <c r="J147" s="1531"/>
      <c r="K147" s="1532"/>
      <c r="L147" s="1126" t="s">
        <v>1713</v>
      </c>
    </row>
    <row r="148" spans="1:12" s="17" customFormat="1" ht="15.5" x14ac:dyDescent="0.35">
      <c r="A148" s="423" t="s">
        <v>1826</v>
      </c>
      <c r="B148" s="929">
        <v>190</v>
      </c>
      <c r="C148" s="1168" t="s">
        <v>448</v>
      </c>
      <c r="D148" s="1530"/>
      <c r="E148" s="1531"/>
      <c r="F148" s="1531"/>
      <c r="G148" s="1531"/>
      <c r="H148" s="1531"/>
      <c r="I148" s="1531"/>
      <c r="J148" s="1531"/>
      <c r="K148" s="1532"/>
      <c r="L148" s="1126" t="s">
        <v>1713</v>
      </c>
    </row>
    <row r="149" spans="1:12" s="17" customFormat="1" ht="15.5" x14ac:dyDescent="0.35">
      <c r="A149" s="423" t="s">
        <v>1827</v>
      </c>
      <c r="B149" s="929">
        <v>290</v>
      </c>
      <c r="C149" s="1168" t="s">
        <v>448</v>
      </c>
      <c r="D149" s="1530"/>
      <c r="E149" s="1531"/>
      <c r="F149" s="1531"/>
      <c r="G149" s="1531"/>
      <c r="H149" s="1531"/>
      <c r="I149" s="1531"/>
      <c r="J149" s="1531"/>
      <c r="K149" s="1532"/>
      <c r="L149" s="1126" t="s">
        <v>1713</v>
      </c>
    </row>
    <row r="150" spans="1:12" s="17" customFormat="1" ht="15.5" x14ac:dyDescent="0.35">
      <c r="A150" s="423" t="s">
        <v>1828</v>
      </c>
      <c r="B150" s="929">
        <v>330</v>
      </c>
      <c r="C150" s="1168" t="s">
        <v>448</v>
      </c>
      <c r="D150" s="1530"/>
      <c r="E150" s="1531"/>
      <c r="F150" s="1531"/>
      <c r="G150" s="1531"/>
      <c r="H150" s="1531"/>
      <c r="I150" s="1531"/>
      <c r="J150" s="1531"/>
      <c r="K150" s="1532"/>
      <c r="L150" s="1126" t="s">
        <v>1713</v>
      </c>
    </row>
    <row r="151" spans="1:12" s="17" customFormat="1" ht="15.5" x14ac:dyDescent="0.35">
      <c r="A151" s="423" t="s">
        <v>1829</v>
      </c>
      <c r="B151" s="929">
        <v>360</v>
      </c>
      <c r="C151" s="1168" t="s">
        <v>448</v>
      </c>
      <c r="D151" s="1530"/>
      <c r="E151" s="1531"/>
      <c r="F151" s="1531"/>
      <c r="G151" s="1531"/>
      <c r="H151" s="1531"/>
      <c r="I151" s="1531"/>
      <c r="J151" s="1531"/>
      <c r="K151" s="1532"/>
      <c r="L151" s="1126" t="s">
        <v>1713</v>
      </c>
    </row>
    <row r="152" spans="1:12" s="17" customFormat="1" ht="15.5" x14ac:dyDescent="0.35">
      <c r="A152" s="423" t="s">
        <v>1830</v>
      </c>
      <c r="B152" s="929">
        <v>390</v>
      </c>
      <c r="C152" s="1168" t="s">
        <v>448</v>
      </c>
      <c r="D152" s="1530"/>
      <c r="E152" s="1531"/>
      <c r="F152" s="1531"/>
      <c r="G152" s="1531"/>
      <c r="H152" s="1531"/>
      <c r="I152" s="1531"/>
      <c r="J152" s="1531"/>
      <c r="K152" s="1532"/>
      <c r="L152" s="1126" t="s">
        <v>1713</v>
      </c>
    </row>
    <row r="153" spans="1:12" s="17" customFormat="1" ht="15.5" x14ac:dyDescent="0.35">
      <c r="A153" s="423" t="s">
        <v>1831</v>
      </c>
      <c r="B153" s="929">
        <v>490</v>
      </c>
      <c r="C153" s="1168" t="s">
        <v>448</v>
      </c>
      <c r="D153" s="1530"/>
      <c r="E153" s="1531"/>
      <c r="F153" s="1531"/>
      <c r="G153" s="1531"/>
      <c r="H153" s="1531"/>
      <c r="I153" s="1531"/>
      <c r="J153" s="1531"/>
      <c r="K153" s="1532"/>
      <c r="L153" s="1126" t="s">
        <v>1713</v>
      </c>
    </row>
    <row r="154" spans="1:12" s="17" customFormat="1" ht="15.5" x14ac:dyDescent="0.35">
      <c r="A154" s="423" t="s">
        <v>1832</v>
      </c>
      <c r="B154" s="929">
        <v>509</v>
      </c>
      <c r="C154" s="1168" t="s">
        <v>448</v>
      </c>
      <c r="D154" s="1530"/>
      <c r="E154" s="1531"/>
      <c r="F154" s="1531"/>
      <c r="G154" s="1531"/>
      <c r="H154" s="1531"/>
      <c r="I154" s="1531"/>
      <c r="J154" s="1531"/>
      <c r="K154" s="1532"/>
      <c r="L154" s="1126" t="s">
        <v>1713</v>
      </c>
    </row>
    <row r="155" spans="1:12" s="17" customFormat="1" ht="15.5" x14ac:dyDescent="0.35">
      <c r="A155" s="423" t="s">
        <v>1833</v>
      </c>
      <c r="B155" s="929">
        <v>590</v>
      </c>
      <c r="C155" s="1168" t="s">
        <v>448</v>
      </c>
      <c r="D155" s="1530"/>
      <c r="E155" s="1531"/>
      <c r="F155" s="1531"/>
      <c r="G155" s="1531"/>
      <c r="H155" s="1531"/>
      <c r="I155" s="1531"/>
      <c r="J155" s="1531"/>
      <c r="K155" s="1532"/>
      <c r="L155" s="1126" t="s">
        <v>1713</v>
      </c>
    </row>
    <row r="156" spans="1:12" s="17" customFormat="1" ht="15.5" x14ac:dyDescent="0.35">
      <c r="A156" s="423" t="s">
        <v>1834</v>
      </c>
      <c r="B156" s="929">
        <v>599</v>
      </c>
      <c r="C156" s="1168" t="s">
        <v>448</v>
      </c>
      <c r="D156" s="1530"/>
      <c r="E156" s="1531"/>
      <c r="F156" s="1531"/>
      <c r="G156" s="1531"/>
      <c r="H156" s="1531"/>
      <c r="I156" s="1531"/>
      <c r="J156" s="1531"/>
      <c r="K156" s="1532"/>
      <c r="L156" s="1126" t="s">
        <v>1713</v>
      </c>
    </row>
    <row r="157" spans="1:12" s="17" customFormat="1" ht="15.5" x14ac:dyDescent="0.35">
      <c r="A157" s="423" t="s">
        <v>1835</v>
      </c>
      <c r="B157" s="929">
        <v>601</v>
      </c>
      <c r="C157" s="1168" t="s">
        <v>448</v>
      </c>
      <c r="D157" s="1530"/>
      <c r="E157" s="1531"/>
      <c r="F157" s="1531"/>
      <c r="G157" s="1531"/>
      <c r="H157" s="1531"/>
      <c r="I157" s="1531"/>
      <c r="J157" s="1531"/>
      <c r="K157" s="1532"/>
      <c r="L157" s="1126" t="s">
        <v>1713</v>
      </c>
    </row>
    <row r="158" spans="1:12" s="17" customFormat="1" ht="15.5" x14ac:dyDescent="0.35">
      <c r="A158" s="423" t="s">
        <v>1836</v>
      </c>
      <c r="B158" s="929">
        <v>602</v>
      </c>
      <c r="C158" s="1168" t="s">
        <v>448</v>
      </c>
      <c r="D158" s="1530"/>
      <c r="E158" s="1531"/>
      <c r="F158" s="1531"/>
      <c r="G158" s="1531"/>
      <c r="H158" s="1531"/>
      <c r="I158" s="1531"/>
      <c r="J158" s="1531"/>
      <c r="K158" s="1532"/>
      <c r="L158" s="1126" t="s">
        <v>1713</v>
      </c>
    </row>
    <row r="159" spans="1:12" s="17" customFormat="1" ht="15.5" x14ac:dyDescent="0.35">
      <c r="A159" s="423" t="s">
        <v>1837</v>
      </c>
      <c r="B159" s="929">
        <v>690</v>
      </c>
      <c r="C159" s="1168" t="s">
        <v>448</v>
      </c>
      <c r="D159" s="1530"/>
      <c r="E159" s="1531"/>
      <c r="F159" s="1531"/>
      <c r="G159" s="1531"/>
      <c r="H159" s="1531"/>
      <c r="I159" s="1531"/>
      <c r="J159" s="1531"/>
      <c r="K159" s="1532"/>
      <c r="L159" s="1126" t="s">
        <v>1713</v>
      </c>
    </row>
    <row r="160" spans="1:12" s="17" customFormat="1" ht="15.5" x14ac:dyDescent="0.35">
      <c r="A160" s="423" t="s">
        <v>1838</v>
      </c>
      <c r="B160" s="929">
        <v>698</v>
      </c>
      <c r="C160" s="1168" t="s">
        <v>448</v>
      </c>
      <c r="D160" s="1530"/>
      <c r="E160" s="1531"/>
      <c r="F160" s="1531"/>
      <c r="G160" s="1531"/>
      <c r="H160" s="1531"/>
      <c r="I160" s="1531"/>
      <c r="J160" s="1531"/>
      <c r="K160" s="1532"/>
      <c r="L160" s="1126" t="s">
        <v>1713</v>
      </c>
    </row>
    <row r="161" spans="1:12" s="17" customFormat="1" ht="15.5" x14ac:dyDescent="0.35">
      <c r="A161" s="423" t="s">
        <v>1839</v>
      </c>
      <c r="B161" s="929">
        <v>699</v>
      </c>
      <c r="C161" s="1168" t="s">
        <v>448</v>
      </c>
      <c r="D161" s="1530"/>
      <c r="E161" s="1531"/>
      <c r="F161" s="1531"/>
      <c r="G161" s="1531"/>
      <c r="H161" s="1531"/>
      <c r="I161" s="1531"/>
      <c r="J161" s="1531"/>
      <c r="K161" s="1532"/>
      <c r="L161" s="1126" t="s">
        <v>1713</v>
      </c>
    </row>
    <row r="162" spans="1:12" s="17" customFormat="1" ht="15.5" x14ac:dyDescent="0.35">
      <c r="A162" s="423" t="s">
        <v>1840</v>
      </c>
      <c r="B162" s="929">
        <v>102</v>
      </c>
      <c r="C162" s="1168" t="s">
        <v>475</v>
      </c>
      <c r="D162" s="1530"/>
      <c r="E162" s="1531"/>
      <c r="F162" s="1531"/>
      <c r="G162" s="1531"/>
      <c r="H162" s="1531"/>
      <c r="I162" s="1531"/>
      <c r="J162" s="1531"/>
      <c r="K162" s="1532"/>
      <c r="L162" s="1126" t="s">
        <v>1713</v>
      </c>
    </row>
    <row r="163" spans="1:12" s="17" customFormat="1" ht="15.5" x14ac:dyDescent="0.35">
      <c r="A163" s="423" t="s">
        <v>1841</v>
      </c>
      <c r="B163" s="929">
        <v>103</v>
      </c>
      <c r="C163" s="1168" t="s">
        <v>475</v>
      </c>
      <c r="D163" s="1530"/>
      <c r="E163" s="1531"/>
      <c r="F163" s="1531"/>
      <c r="G163" s="1531"/>
      <c r="H163" s="1531"/>
      <c r="I163" s="1531"/>
      <c r="J163" s="1531"/>
      <c r="K163" s="1532"/>
      <c r="L163" s="1126" t="s">
        <v>1713</v>
      </c>
    </row>
    <row r="164" spans="1:12" s="17" customFormat="1" ht="18" customHeight="1" x14ac:dyDescent="0.35">
      <c r="A164" s="423" t="s">
        <v>1842</v>
      </c>
      <c r="B164" s="929">
        <v>107</v>
      </c>
      <c r="C164" s="1168" t="s">
        <v>475</v>
      </c>
      <c r="D164" s="1530"/>
      <c r="E164" s="1531"/>
      <c r="F164" s="1531"/>
      <c r="G164" s="1531"/>
      <c r="H164" s="1531"/>
      <c r="I164" s="1531"/>
      <c r="J164" s="1531"/>
      <c r="K164" s="1532"/>
      <c r="L164" s="1126" t="s">
        <v>1713</v>
      </c>
    </row>
    <row r="165" spans="1:12" s="17" customFormat="1" ht="18" customHeight="1" x14ac:dyDescent="0.35">
      <c r="A165" s="423" t="s">
        <v>1843</v>
      </c>
      <c r="B165" s="929">
        <v>108</v>
      </c>
      <c r="C165" s="1168" t="s">
        <v>475</v>
      </c>
      <c r="D165" s="713"/>
      <c r="E165" s="714"/>
      <c r="F165" s="714"/>
      <c r="G165" s="714"/>
      <c r="H165" s="714"/>
      <c r="I165" s="714"/>
      <c r="J165" s="714"/>
      <c r="K165" s="715"/>
      <c r="L165" s="1126" t="s">
        <v>1713</v>
      </c>
    </row>
    <row r="166" spans="1:12" s="17" customFormat="1" ht="18" customHeight="1" x14ac:dyDescent="0.35">
      <c r="A166" s="423" t="s">
        <v>1844</v>
      </c>
      <c r="B166" s="929">
        <v>109</v>
      </c>
      <c r="C166" s="1168" t="s">
        <v>475</v>
      </c>
      <c r="D166" s="713"/>
      <c r="E166" s="714"/>
      <c r="F166" s="714"/>
      <c r="G166" s="714"/>
      <c r="H166" s="714"/>
      <c r="I166" s="714"/>
      <c r="J166" s="714"/>
      <c r="K166" s="715"/>
      <c r="L166" s="1126" t="s">
        <v>1713</v>
      </c>
    </row>
    <row r="167" spans="1:12" s="17" customFormat="1" ht="18" customHeight="1" x14ac:dyDescent="0.35">
      <c r="A167" s="423" t="s">
        <v>1845</v>
      </c>
      <c r="B167" s="929">
        <v>201</v>
      </c>
      <c r="C167" s="1168" t="s">
        <v>475</v>
      </c>
      <c r="D167" s="713"/>
      <c r="E167" s="714"/>
      <c r="F167" s="714"/>
      <c r="G167" s="714"/>
      <c r="H167" s="714"/>
      <c r="I167" s="714"/>
      <c r="J167" s="714"/>
      <c r="K167" s="715"/>
      <c r="L167" s="1126" t="s">
        <v>1713</v>
      </c>
    </row>
    <row r="168" spans="1:12" s="17" customFormat="1" ht="15.5" x14ac:dyDescent="0.35">
      <c r="A168" s="423" t="s">
        <v>1846</v>
      </c>
      <c r="B168" s="929">
        <v>313</v>
      </c>
      <c r="C168" s="1168" t="s">
        <v>475</v>
      </c>
      <c r="D168" s="1530"/>
      <c r="E168" s="1531"/>
      <c r="F168" s="1531"/>
      <c r="G168" s="1531"/>
      <c r="H168" s="1531"/>
      <c r="I168" s="1531"/>
      <c r="J168" s="1531"/>
      <c r="K168" s="1532"/>
      <c r="L168" s="1126" t="s">
        <v>1713</v>
      </c>
    </row>
    <row r="169" spans="1:12" s="17" customFormat="1" ht="15.5" x14ac:dyDescent="0.35">
      <c r="A169" s="423" t="s">
        <v>1847</v>
      </c>
      <c r="B169" s="929">
        <v>315</v>
      </c>
      <c r="C169" s="1168" t="s">
        <v>475</v>
      </c>
      <c r="D169" s="713"/>
      <c r="E169" s="714"/>
      <c r="F169" s="714"/>
      <c r="G169" s="714"/>
      <c r="H169" s="714"/>
      <c r="I169" s="714"/>
      <c r="J169" s="714"/>
      <c r="K169" s="715"/>
      <c r="L169" s="1126" t="s">
        <v>1713</v>
      </c>
    </row>
    <row r="170" spans="1:12" s="17" customFormat="1" ht="15.5" x14ac:dyDescent="0.35">
      <c r="A170" s="423" t="s">
        <v>1848</v>
      </c>
      <c r="B170" s="929">
        <v>317</v>
      </c>
      <c r="C170" s="1168" t="s">
        <v>475</v>
      </c>
      <c r="D170" s="1530"/>
      <c r="E170" s="1531"/>
      <c r="F170" s="1531"/>
      <c r="G170" s="1531"/>
      <c r="H170" s="1531"/>
      <c r="I170" s="1531"/>
      <c r="J170" s="1531"/>
      <c r="K170" s="1532"/>
      <c r="L170" s="1126" t="s">
        <v>1713</v>
      </c>
    </row>
    <row r="171" spans="1:12" s="17" customFormat="1" ht="15.5" x14ac:dyDescent="0.35">
      <c r="A171" s="423" t="s">
        <v>1849</v>
      </c>
      <c r="B171" s="929">
        <v>323</v>
      </c>
      <c r="C171" s="1168" t="s">
        <v>475</v>
      </c>
      <c r="D171" s="1530"/>
      <c r="E171" s="1531"/>
      <c r="F171" s="1531"/>
      <c r="G171" s="1531"/>
      <c r="H171" s="1531"/>
      <c r="I171" s="1531"/>
      <c r="J171" s="1531"/>
      <c r="K171" s="1532"/>
      <c r="L171" s="1126" t="s">
        <v>1713</v>
      </c>
    </row>
    <row r="172" spans="1:12" s="17" customFormat="1" ht="15.5" x14ac:dyDescent="0.35">
      <c r="A172" s="423" t="s">
        <v>1850</v>
      </c>
      <c r="B172" s="929">
        <v>326</v>
      </c>
      <c r="C172" s="1168" t="s">
        <v>475</v>
      </c>
      <c r="D172" s="713"/>
      <c r="E172" s="714"/>
      <c r="F172" s="714"/>
      <c r="G172" s="714"/>
      <c r="H172" s="714"/>
      <c r="I172" s="714"/>
      <c r="J172" s="714"/>
      <c r="K172" s="715"/>
      <c r="L172" s="1126" t="s">
        <v>1713</v>
      </c>
    </row>
    <row r="173" spans="1:12" s="17" customFormat="1" ht="15.5" x14ac:dyDescent="0.35">
      <c r="A173" s="566" t="s">
        <v>1851</v>
      </c>
      <c r="B173" s="929">
        <v>331</v>
      </c>
      <c r="C173" s="1168" t="s">
        <v>475</v>
      </c>
      <c r="D173" s="713"/>
      <c r="E173" s="714"/>
      <c r="F173" s="714"/>
      <c r="G173" s="714"/>
      <c r="H173" s="714"/>
      <c r="I173" s="714"/>
      <c r="J173" s="714"/>
      <c r="K173" s="715"/>
      <c r="L173" s="1126" t="s">
        <v>1713</v>
      </c>
    </row>
    <row r="174" spans="1:12" s="17" customFormat="1" ht="15.5" x14ac:dyDescent="0.35">
      <c r="A174" s="566" t="s">
        <v>1852</v>
      </c>
      <c r="B174" s="929">
        <v>332</v>
      </c>
      <c r="C174" s="1168" t="s">
        <v>475</v>
      </c>
      <c r="D174" s="713"/>
      <c r="E174" s="714"/>
      <c r="F174" s="714"/>
      <c r="G174" s="714"/>
      <c r="H174" s="714"/>
      <c r="I174" s="714"/>
      <c r="J174" s="714"/>
      <c r="K174" s="715"/>
      <c r="L174" s="1126" t="s">
        <v>1713</v>
      </c>
    </row>
    <row r="175" spans="1:12" s="17" customFormat="1" ht="15.5" x14ac:dyDescent="0.35">
      <c r="A175" s="566" t="s">
        <v>1853</v>
      </c>
      <c r="B175" s="929">
        <v>342</v>
      </c>
      <c r="C175" s="1168" t="s">
        <v>475</v>
      </c>
      <c r="D175" s="713"/>
      <c r="E175" s="714"/>
      <c r="F175" s="714"/>
      <c r="G175" s="714"/>
      <c r="H175" s="714"/>
      <c r="I175" s="714"/>
      <c r="J175" s="714"/>
      <c r="K175" s="715"/>
      <c r="L175" s="1126" t="s">
        <v>1713</v>
      </c>
    </row>
    <row r="176" spans="1:12" s="17" customFormat="1" ht="15.5" x14ac:dyDescent="0.35">
      <c r="A176" s="423" t="s">
        <v>1854</v>
      </c>
      <c r="B176" s="929">
        <v>401</v>
      </c>
      <c r="C176" s="1168" t="s">
        <v>475</v>
      </c>
      <c r="D176" s="1530"/>
      <c r="E176" s="1531"/>
      <c r="F176" s="1531"/>
      <c r="G176" s="1531"/>
      <c r="H176" s="1531"/>
      <c r="I176" s="1531"/>
      <c r="J176" s="1531"/>
      <c r="K176" s="1532"/>
      <c r="L176" s="1126" t="s">
        <v>1713</v>
      </c>
    </row>
    <row r="177" spans="1:12" s="17" customFormat="1" ht="15.5" x14ac:dyDescent="0.35">
      <c r="A177" s="423" t="s">
        <v>1855</v>
      </c>
      <c r="B177" s="929">
        <v>406</v>
      </c>
      <c r="C177" s="1168" t="s">
        <v>475</v>
      </c>
      <c r="D177" s="1530"/>
      <c r="E177" s="1531"/>
      <c r="F177" s="1531"/>
      <c r="G177" s="1531"/>
      <c r="H177" s="1531"/>
      <c r="I177" s="1531"/>
      <c r="J177" s="1531"/>
      <c r="K177" s="1532"/>
      <c r="L177" s="1126" t="s">
        <v>1713</v>
      </c>
    </row>
    <row r="178" spans="1:12" s="17" customFormat="1" ht="15.5" x14ac:dyDescent="0.35">
      <c r="A178" s="423" t="s">
        <v>1856</v>
      </c>
      <c r="B178" s="929">
        <v>540</v>
      </c>
      <c r="C178" s="1168" t="s">
        <v>475</v>
      </c>
      <c r="D178" s="1530"/>
      <c r="E178" s="1531"/>
      <c r="F178" s="1531"/>
      <c r="G178" s="1531"/>
      <c r="H178" s="1531"/>
      <c r="I178" s="1531"/>
      <c r="J178" s="1531"/>
      <c r="K178" s="1532"/>
      <c r="L178" s="1126" t="s">
        <v>1713</v>
      </c>
    </row>
    <row r="179" spans="1:12" s="17" customFormat="1" ht="15.5" x14ac:dyDescent="0.35">
      <c r="A179" s="423" t="s">
        <v>1857</v>
      </c>
      <c r="B179" s="929">
        <v>541</v>
      </c>
      <c r="C179" s="1168" t="s">
        <v>475</v>
      </c>
      <c r="D179" s="714"/>
      <c r="E179" s="714"/>
      <c r="F179" s="714"/>
      <c r="G179" s="714"/>
      <c r="H179" s="714"/>
      <c r="I179" s="714"/>
      <c r="J179" s="714"/>
      <c r="K179" s="714"/>
      <c r="L179" s="1126" t="s">
        <v>1713</v>
      </c>
    </row>
    <row r="180" spans="1:12" s="17" customFormat="1" ht="15.5" x14ac:dyDescent="0.35">
      <c r="A180" s="423" t="s">
        <v>1858</v>
      </c>
      <c r="B180" s="929">
        <v>545</v>
      </c>
      <c r="C180" s="1168" t="s">
        <v>475</v>
      </c>
      <c r="D180" s="437"/>
      <c r="E180" s="437"/>
      <c r="F180" s="437"/>
      <c r="G180" s="437"/>
      <c r="H180" s="437"/>
      <c r="I180" s="437"/>
      <c r="J180" s="437"/>
      <c r="K180" s="437"/>
      <c r="L180" s="1126" t="s">
        <v>1713</v>
      </c>
    </row>
    <row r="181" spans="1:12" s="17" customFormat="1" ht="15.5" x14ac:dyDescent="0.35">
      <c r="A181" s="423" t="s">
        <v>1859</v>
      </c>
      <c r="B181" s="929">
        <v>576</v>
      </c>
      <c r="C181" s="1168" t="s">
        <v>475</v>
      </c>
      <c r="D181" s="437"/>
      <c r="E181" s="437"/>
      <c r="F181" s="437"/>
      <c r="G181" s="437"/>
      <c r="H181" s="437"/>
      <c r="I181" s="437"/>
      <c r="J181" s="437"/>
      <c r="K181" s="437"/>
      <c r="L181" s="1126" t="s">
        <v>1713</v>
      </c>
    </row>
    <row r="182" spans="1:12" s="17" customFormat="1" ht="15.5" x14ac:dyDescent="0.35">
      <c r="A182" s="93" t="s">
        <v>1860</v>
      </c>
      <c r="B182" s="929">
        <v>656</v>
      </c>
      <c r="C182" s="1168" t="s">
        <v>475</v>
      </c>
      <c r="D182" s="437"/>
      <c r="E182" s="437"/>
      <c r="F182" s="437"/>
      <c r="G182" s="437"/>
      <c r="H182" s="437"/>
      <c r="I182" s="437"/>
      <c r="J182" s="437"/>
      <c r="K182" s="437"/>
      <c r="L182" s="1126" t="s">
        <v>1713</v>
      </c>
    </row>
    <row r="183" spans="1:12" s="17" customFormat="1" ht="15.5" x14ac:dyDescent="0.35">
      <c r="A183" s="423" t="s">
        <v>1861</v>
      </c>
      <c r="B183" s="929">
        <v>698</v>
      </c>
      <c r="C183" s="1168" t="s">
        <v>475</v>
      </c>
      <c r="D183" s="1530"/>
      <c r="E183" s="1531"/>
      <c r="F183" s="1531"/>
      <c r="G183" s="1531"/>
      <c r="H183" s="1531"/>
      <c r="I183" s="1531"/>
      <c r="J183" s="1531"/>
      <c r="K183" s="1532"/>
      <c r="L183" s="1126" t="s">
        <v>1713</v>
      </c>
    </row>
    <row r="184" spans="1:12" s="17" customFormat="1" ht="15.5" x14ac:dyDescent="0.35">
      <c r="A184" s="423" t="s">
        <v>1862</v>
      </c>
      <c r="B184" s="929">
        <v>699</v>
      </c>
      <c r="C184" s="1168" t="s">
        <v>475</v>
      </c>
      <c r="D184" s="1530"/>
      <c r="E184" s="1531"/>
      <c r="F184" s="1531"/>
      <c r="G184" s="1531"/>
      <c r="H184" s="1531"/>
      <c r="I184" s="1531"/>
      <c r="J184" s="1531"/>
      <c r="K184" s="1532"/>
      <c r="L184" s="1126" t="s">
        <v>1713</v>
      </c>
    </row>
    <row r="185" spans="1:12" s="17" customFormat="1" ht="15.5" x14ac:dyDescent="0.35">
      <c r="A185" s="423" t="s">
        <v>1863</v>
      </c>
      <c r="B185" s="929">
        <v>715</v>
      </c>
      <c r="C185" s="1168" t="s">
        <v>475</v>
      </c>
      <c r="D185" s="1530"/>
      <c r="E185" s="1531"/>
      <c r="F185" s="1531"/>
      <c r="G185" s="1531"/>
      <c r="H185" s="1531"/>
      <c r="I185" s="1531"/>
      <c r="J185" s="1531"/>
      <c r="K185" s="1532"/>
      <c r="L185" s="1126" t="s">
        <v>1713</v>
      </c>
    </row>
    <row r="186" spans="1:12" s="17" customFormat="1" ht="15.5" x14ac:dyDescent="0.35">
      <c r="A186" s="423" t="s">
        <v>1864</v>
      </c>
      <c r="B186" s="929">
        <v>716</v>
      </c>
      <c r="C186" s="1168" t="s">
        <v>475</v>
      </c>
      <c r="D186" s="1530"/>
      <c r="E186" s="1531"/>
      <c r="F186" s="1531"/>
      <c r="G186" s="1531"/>
      <c r="H186" s="1531"/>
      <c r="I186" s="1531"/>
      <c r="J186" s="1531"/>
      <c r="K186" s="1532"/>
      <c r="L186" s="1126" t="s">
        <v>1713</v>
      </c>
    </row>
    <row r="187" spans="1:12" s="17" customFormat="1" ht="15.5" x14ac:dyDescent="0.35">
      <c r="A187" s="423" t="s">
        <v>1865</v>
      </c>
      <c r="B187" s="929">
        <v>745</v>
      </c>
      <c r="C187" s="1168" t="s">
        <v>475</v>
      </c>
      <c r="D187" s="1530"/>
      <c r="E187" s="1531"/>
      <c r="F187" s="1531"/>
      <c r="G187" s="1531"/>
      <c r="H187" s="1531"/>
      <c r="I187" s="1531"/>
      <c r="J187" s="1531"/>
      <c r="K187" s="1532"/>
      <c r="L187" s="1126" t="s">
        <v>1713</v>
      </c>
    </row>
    <row r="188" spans="1:12" s="17" customFormat="1" ht="15.5" x14ac:dyDescent="0.35">
      <c r="A188" s="423" t="s">
        <v>1866</v>
      </c>
      <c r="B188" s="929">
        <v>746</v>
      </c>
      <c r="C188" s="1168" t="s">
        <v>475</v>
      </c>
      <c r="D188" s="1530"/>
      <c r="E188" s="1531"/>
      <c r="F188" s="1531"/>
      <c r="G188" s="1531"/>
      <c r="H188" s="1531"/>
      <c r="I188" s="1531"/>
      <c r="J188" s="1531"/>
      <c r="K188" s="1532"/>
      <c r="L188" s="1126" t="s">
        <v>1713</v>
      </c>
    </row>
    <row r="189" spans="1:12" s="17" customFormat="1" ht="15.5" x14ac:dyDescent="0.35">
      <c r="A189" s="423" t="s">
        <v>1867</v>
      </c>
      <c r="B189" s="929">
        <v>747</v>
      </c>
      <c r="C189" s="1168" t="s">
        <v>475</v>
      </c>
      <c r="D189" s="1530"/>
      <c r="E189" s="1531"/>
      <c r="F189" s="1531"/>
      <c r="G189" s="1531"/>
      <c r="H189" s="1531"/>
      <c r="I189" s="1531"/>
      <c r="J189" s="1531"/>
      <c r="K189" s="1532"/>
      <c r="L189" s="1126" t="s">
        <v>1713</v>
      </c>
    </row>
    <row r="190" spans="1:12" s="17" customFormat="1" ht="15.5" x14ac:dyDescent="0.35">
      <c r="A190" s="423" t="s">
        <v>1868</v>
      </c>
      <c r="B190" s="929">
        <v>798</v>
      </c>
      <c r="C190" s="1168" t="s">
        <v>475</v>
      </c>
      <c r="D190" s="1530"/>
      <c r="E190" s="1531"/>
      <c r="F190" s="1531"/>
      <c r="G190" s="1531"/>
      <c r="H190" s="1531"/>
      <c r="I190" s="1531"/>
      <c r="J190" s="1531"/>
      <c r="K190" s="1532"/>
      <c r="L190" s="1126" t="s">
        <v>1713</v>
      </c>
    </row>
    <row r="191" spans="1:12" s="17" customFormat="1" ht="15.5" x14ac:dyDescent="0.35">
      <c r="A191" s="423" t="s">
        <v>1869</v>
      </c>
      <c r="B191" s="929">
        <v>799</v>
      </c>
      <c r="C191" s="1168" t="s">
        <v>475</v>
      </c>
      <c r="D191" s="1530"/>
      <c r="E191" s="1531"/>
      <c r="F191" s="1531"/>
      <c r="G191" s="1531"/>
      <c r="H191" s="1531"/>
      <c r="I191" s="1531"/>
      <c r="J191" s="1531"/>
      <c r="K191" s="1532"/>
      <c r="L191" s="1126" t="s">
        <v>1713</v>
      </c>
    </row>
    <row r="192" spans="1:12" s="17" customFormat="1" ht="15.5" x14ac:dyDescent="0.35">
      <c r="A192" s="423" t="s">
        <v>1870</v>
      </c>
      <c r="B192" s="929">
        <v>800</v>
      </c>
      <c r="C192" s="1168" t="s">
        <v>475</v>
      </c>
      <c r="D192" s="1530"/>
      <c r="E192" s="1531"/>
      <c r="F192" s="1531"/>
      <c r="G192" s="1531"/>
      <c r="H192" s="1531"/>
      <c r="I192" s="1531"/>
      <c r="J192" s="1531"/>
      <c r="K192" s="1532"/>
      <c r="L192" s="1126" t="s">
        <v>1713</v>
      </c>
    </row>
    <row r="193" spans="1:12" s="17" customFormat="1" ht="15.5" x14ac:dyDescent="0.35">
      <c r="A193" s="423" t="s">
        <v>1871</v>
      </c>
      <c r="B193" s="929">
        <v>801</v>
      </c>
      <c r="C193" s="1168" t="s">
        <v>475</v>
      </c>
      <c r="D193" s="1530"/>
      <c r="E193" s="1531"/>
      <c r="F193" s="1531"/>
      <c r="G193" s="1531"/>
      <c r="H193" s="1531"/>
      <c r="I193" s="1531"/>
      <c r="J193" s="1531"/>
      <c r="K193" s="1532"/>
      <c r="L193" s="1126" t="s">
        <v>1713</v>
      </c>
    </row>
    <row r="194" spans="1:12" s="17" customFormat="1" ht="15.5" x14ac:dyDescent="0.35">
      <c r="A194" s="423" t="s">
        <v>1872</v>
      </c>
      <c r="B194" s="929">
        <v>802</v>
      </c>
      <c r="C194" s="1168" t="s">
        <v>475</v>
      </c>
      <c r="D194" s="1530"/>
      <c r="E194" s="1531"/>
      <c r="F194" s="1531"/>
      <c r="G194" s="1531"/>
      <c r="H194" s="1531"/>
      <c r="I194" s="1531"/>
      <c r="J194" s="1531"/>
      <c r="K194" s="1532"/>
      <c r="L194" s="1126" t="s">
        <v>1713</v>
      </c>
    </row>
    <row r="195" spans="1:12" s="17" customFormat="1" ht="15.5" x14ac:dyDescent="0.35">
      <c r="A195" s="423" t="s">
        <v>1873</v>
      </c>
      <c r="B195" s="929">
        <v>803</v>
      </c>
      <c r="C195" s="1168" t="s">
        <v>475</v>
      </c>
      <c r="D195" s="1530"/>
      <c r="E195" s="1531"/>
      <c r="F195" s="1531"/>
      <c r="G195" s="1531"/>
      <c r="H195" s="1531"/>
      <c r="I195" s="1531"/>
      <c r="J195" s="1531"/>
      <c r="K195" s="1532"/>
      <c r="L195" s="1126" t="s">
        <v>1713</v>
      </c>
    </row>
    <row r="196" spans="1:12" s="17" customFormat="1" ht="15.5" x14ac:dyDescent="0.35">
      <c r="A196" s="423" t="s">
        <v>1874</v>
      </c>
      <c r="B196" s="929">
        <v>806</v>
      </c>
      <c r="C196" s="1168" t="s">
        <v>475</v>
      </c>
      <c r="D196" s="1530"/>
      <c r="E196" s="1531"/>
      <c r="F196" s="1531"/>
      <c r="G196" s="1531"/>
      <c r="H196" s="1531"/>
      <c r="I196" s="1531"/>
      <c r="J196" s="1531"/>
      <c r="K196" s="1532"/>
      <c r="L196" s="1126" t="s">
        <v>1713</v>
      </c>
    </row>
    <row r="197" spans="1:12" s="17" customFormat="1" ht="15.5" x14ac:dyDescent="0.35">
      <c r="A197" s="423" t="s">
        <v>1875</v>
      </c>
      <c r="B197" s="929">
        <v>807</v>
      </c>
      <c r="C197" s="1168" t="s">
        <v>475</v>
      </c>
      <c r="D197" s="1530"/>
      <c r="E197" s="1531"/>
      <c r="F197" s="1531"/>
      <c r="G197" s="1531"/>
      <c r="H197" s="1531"/>
      <c r="I197" s="1531"/>
      <c r="J197" s="1531"/>
      <c r="K197" s="1532"/>
      <c r="L197" s="1126" t="s">
        <v>1713</v>
      </c>
    </row>
    <row r="198" spans="1:12" s="17" customFormat="1" ht="15.5" x14ac:dyDescent="0.35">
      <c r="A198" s="423" t="s">
        <v>1876</v>
      </c>
      <c r="B198" s="929">
        <v>808</v>
      </c>
      <c r="C198" s="1168" t="s">
        <v>475</v>
      </c>
      <c r="D198" s="1530"/>
      <c r="E198" s="1531"/>
      <c r="F198" s="1531"/>
      <c r="G198" s="1531"/>
      <c r="H198" s="1531"/>
      <c r="I198" s="1531"/>
      <c r="J198" s="1531"/>
      <c r="K198" s="1532"/>
      <c r="L198" s="1126" t="s">
        <v>1713</v>
      </c>
    </row>
    <row r="199" spans="1:12" s="17" customFormat="1" ht="15.5" x14ac:dyDescent="0.35">
      <c r="A199" s="423" t="s">
        <v>1877</v>
      </c>
      <c r="B199" s="929">
        <v>809</v>
      </c>
      <c r="C199" s="1168" t="s">
        <v>475</v>
      </c>
      <c r="D199" s="1530"/>
      <c r="E199" s="1531"/>
      <c r="F199" s="1531"/>
      <c r="G199" s="1531"/>
      <c r="H199" s="1531"/>
      <c r="I199" s="1531"/>
      <c r="J199" s="1531"/>
      <c r="K199" s="1532"/>
      <c r="L199" s="1126" t="s">
        <v>1713</v>
      </c>
    </row>
    <row r="200" spans="1:12" s="17" customFormat="1" ht="15.5" x14ac:dyDescent="0.35">
      <c r="A200" s="423" t="s">
        <v>1878</v>
      </c>
      <c r="B200" s="929">
        <v>810</v>
      </c>
      <c r="C200" s="1168" t="s">
        <v>475</v>
      </c>
      <c r="D200" s="1530"/>
      <c r="E200" s="1531"/>
      <c r="F200" s="1531"/>
      <c r="G200" s="1531"/>
      <c r="H200" s="1531"/>
      <c r="I200" s="1531"/>
      <c r="J200" s="1531"/>
      <c r="K200" s="1532"/>
      <c r="L200" s="1126" t="s">
        <v>1713</v>
      </c>
    </row>
    <row r="201" spans="1:12" s="17" customFormat="1" ht="15.5" x14ac:dyDescent="0.35">
      <c r="A201" s="423" t="s">
        <v>1879</v>
      </c>
      <c r="B201" s="929">
        <v>812</v>
      </c>
      <c r="C201" s="1168" t="s">
        <v>475</v>
      </c>
      <c r="D201" s="1530"/>
      <c r="E201" s="1531"/>
      <c r="F201" s="1531"/>
      <c r="G201" s="1531"/>
      <c r="H201" s="1531"/>
      <c r="I201" s="1531"/>
      <c r="J201" s="1531"/>
      <c r="K201" s="1532"/>
      <c r="L201" s="1126" t="s">
        <v>1713</v>
      </c>
    </row>
    <row r="202" spans="1:12" s="17" customFormat="1" ht="15.5" x14ac:dyDescent="0.35">
      <c r="A202" s="423" t="s">
        <v>1880</v>
      </c>
      <c r="B202" s="929">
        <v>813</v>
      </c>
      <c r="C202" s="1168" t="s">
        <v>475</v>
      </c>
      <c r="D202" s="1530"/>
      <c r="E202" s="1531"/>
      <c r="F202" s="1531"/>
      <c r="G202" s="1531"/>
      <c r="H202" s="1531"/>
      <c r="I202" s="1531"/>
      <c r="J202" s="1531"/>
      <c r="K202" s="1532"/>
      <c r="L202" s="1126" t="s">
        <v>1713</v>
      </c>
    </row>
    <row r="203" spans="1:12" s="17" customFormat="1" ht="15.5" x14ac:dyDescent="0.35">
      <c r="A203" s="423" t="s">
        <v>1881</v>
      </c>
      <c r="B203" s="929">
        <v>814</v>
      </c>
      <c r="C203" s="1168" t="s">
        <v>475</v>
      </c>
      <c r="D203" s="1530"/>
      <c r="E203" s="1531"/>
      <c r="F203" s="1531"/>
      <c r="G203" s="1531"/>
      <c r="H203" s="1531"/>
      <c r="I203" s="1531"/>
      <c r="J203" s="1531"/>
      <c r="K203" s="1532"/>
      <c r="L203" s="1126" t="s">
        <v>1713</v>
      </c>
    </row>
    <row r="204" spans="1:12" s="17" customFormat="1" ht="15.5" x14ac:dyDescent="0.35">
      <c r="A204" s="423" t="s">
        <v>1882</v>
      </c>
      <c r="B204" s="929">
        <v>817</v>
      </c>
      <c r="C204" s="1168" t="s">
        <v>475</v>
      </c>
      <c r="D204" s="1530"/>
      <c r="E204" s="1531"/>
      <c r="F204" s="1531"/>
      <c r="G204" s="1531"/>
      <c r="H204" s="1531"/>
      <c r="I204" s="1531"/>
      <c r="J204" s="1531"/>
      <c r="K204" s="1532"/>
      <c r="L204" s="1126" t="s">
        <v>1713</v>
      </c>
    </row>
    <row r="205" spans="1:12" s="17" customFormat="1" ht="15.5" x14ac:dyDescent="0.35">
      <c r="A205" s="423" t="s">
        <v>1883</v>
      </c>
      <c r="B205" s="929">
        <v>823</v>
      </c>
      <c r="C205" s="1168" t="s">
        <v>475</v>
      </c>
      <c r="D205" s="1530"/>
      <c r="E205" s="1531"/>
      <c r="F205" s="1531"/>
      <c r="G205" s="1531"/>
      <c r="H205" s="1531"/>
      <c r="I205" s="1531"/>
      <c r="J205" s="1531"/>
      <c r="K205" s="1532"/>
      <c r="L205" s="1126" t="s">
        <v>1713</v>
      </c>
    </row>
    <row r="206" spans="1:12" s="17" customFormat="1" ht="15.5" x14ac:dyDescent="0.35">
      <c r="A206" s="423" t="s">
        <v>1884</v>
      </c>
      <c r="B206" s="929">
        <v>836</v>
      </c>
      <c r="C206" s="1168" t="s">
        <v>475</v>
      </c>
      <c r="D206" s="1530"/>
      <c r="E206" s="1531"/>
      <c r="F206" s="1531"/>
      <c r="G206" s="1531"/>
      <c r="H206" s="1531"/>
      <c r="I206" s="1531"/>
      <c r="J206" s="1531"/>
      <c r="K206" s="1532"/>
      <c r="L206" s="1126" t="s">
        <v>1713</v>
      </c>
    </row>
    <row r="207" spans="1:12" s="17" customFormat="1" ht="15.5" x14ac:dyDescent="0.35">
      <c r="A207" s="423" t="s">
        <v>1885</v>
      </c>
      <c r="B207" s="929">
        <v>839</v>
      </c>
      <c r="C207" s="1168" t="s">
        <v>475</v>
      </c>
      <c r="D207" s="1530"/>
      <c r="E207" s="1531"/>
      <c r="F207" s="1531"/>
      <c r="G207" s="1531"/>
      <c r="H207" s="1531"/>
      <c r="I207" s="1531"/>
      <c r="J207" s="1531"/>
      <c r="K207" s="1532"/>
      <c r="L207" s="1126" t="s">
        <v>1713</v>
      </c>
    </row>
    <row r="208" spans="1:12" s="17" customFormat="1" ht="15.5" x14ac:dyDescent="0.35">
      <c r="A208" s="423" t="s">
        <v>1886</v>
      </c>
      <c r="B208" s="929">
        <v>840</v>
      </c>
      <c r="C208" s="1168" t="s">
        <v>475</v>
      </c>
      <c r="D208" s="1530"/>
      <c r="E208" s="1531"/>
      <c r="F208" s="1531"/>
      <c r="G208" s="1531"/>
      <c r="H208" s="1531"/>
      <c r="I208" s="1531"/>
      <c r="J208" s="1531"/>
      <c r="K208" s="1532"/>
      <c r="L208" s="1126" t="s">
        <v>1713</v>
      </c>
    </row>
    <row r="209" spans="1:12" s="17" customFormat="1" ht="15.5" x14ac:dyDescent="0.35">
      <c r="A209" s="423" t="s">
        <v>1887</v>
      </c>
      <c r="B209" s="929">
        <v>843</v>
      </c>
      <c r="C209" s="1168" t="s">
        <v>475</v>
      </c>
      <c r="D209" s="1530"/>
      <c r="E209" s="1531"/>
      <c r="F209" s="1531"/>
      <c r="G209" s="1531"/>
      <c r="H209" s="1531"/>
      <c r="I209" s="1531"/>
      <c r="J209" s="1531"/>
      <c r="K209" s="1532"/>
      <c r="L209" s="1126" t="s">
        <v>1713</v>
      </c>
    </row>
    <row r="210" spans="1:12" s="17" customFormat="1" ht="15.5" x14ac:dyDescent="0.35">
      <c r="A210" s="423" t="s">
        <v>1888</v>
      </c>
      <c r="B210" s="929">
        <v>844</v>
      </c>
      <c r="C210" s="1168" t="s">
        <v>475</v>
      </c>
      <c r="D210" s="1530"/>
      <c r="E210" s="1531"/>
      <c r="F210" s="1531"/>
      <c r="G210" s="1531"/>
      <c r="H210" s="1531"/>
      <c r="I210" s="1531"/>
      <c r="J210" s="1531"/>
      <c r="K210" s="1532"/>
      <c r="L210" s="1126" t="s">
        <v>1713</v>
      </c>
    </row>
    <row r="211" spans="1:12" s="17" customFormat="1" ht="15.5" x14ac:dyDescent="0.35">
      <c r="A211" s="423" t="s">
        <v>1889</v>
      </c>
      <c r="B211" s="929">
        <v>845</v>
      </c>
      <c r="C211" s="1168" t="s">
        <v>475</v>
      </c>
      <c r="D211" s="1530"/>
      <c r="E211" s="1531"/>
      <c r="F211" s="1531"/>
      <c r="G211" s="1531"/>
      <c r="H211" s="1531"/>
      <c r="I211" s="1531"/>
      <c r="J211" s="1531"/>
      <c r="K211" s="1532"/>
      <c r="L211" s="1126" t="s">
        <v>1713</v>
      </c>
    </row>
    <row r="212" spans="1:12" s="17" customFormat="1" ht="15.5" x14ac:dyDescent="0.35">
      <c r="A212" s="423" t="s">
        <v>1890</v>
      </c>
      <c r="B212" s="929">
        <v>846</v>
      </c>
      <c r="C212" s="1168" t="s">
        <v>475</v>
      </c>
      <c r="D212" s="1530"/>
      <c r="E212" s="1531"/>
      <c r="F212" s="1531"/>
      <c r="G212" s="1531"/>
      <c r="H212" s="1531"/>
      <c r="I212" s="1531"/>
      <c r="J212" s="1531"/>
      <c r="K212" s="1532"/>
      <c r="L212" s="1126" t="s">
        <v>1713</v>
      </c>
    </row>
    <row r="213" spans="1:12" s="17" customFormat="1" ht="15.5" x14ac:dyDescent="0.35">
      <c r="A213" s="423" t="s">
        <v>1891</v>
      </c>
      <c r="B213" s="929">
        <v>847</v>
      </c>
      <c r="C213" s="1168" t="s">
        <v>475</v>
      </c>
      <c r="D213" s="1530"/>
      <c r="E213" s="1531"/>
      <c r="F213" s="1531"/>
      <c r="G213" s="1531"/>
      <c r="H213" s="1531"/>
      <c r="I213" s="1531"/>
      <c r="J213" s="1531"/>
      <c r="K213" s="1532"/>
      <c r="L213" s="1126" t="s">
        <v>1713</v>
      </c>
    </row>
    <row r="214" spans="1:12" s="17" customFormat="1" ht="15.5" x14ac:dyDescent="0.35">
      <c r="A214" s="423" t="s">
        <v>1892</v>
      </c>
      <c r="B214" s="929">
        <v>848</v>
      </c>
      <c r="C214" s="1168" t="s">
        <v>475</v>
      </c>
      <c r="D214" s="1530"/>
      <c r="E214" s="1531"/>
      <c r="F214" s="1531"/>
      <c r="G214" s="1531"/>
      <c r="H214" s="1531"/>
      <c r="I214" s="1531"/>
      <c r="J214" s="1531"/>
      <c r="K214" s="1532"/>
      <c r="L214" s="1126" t="s">
        <v>1713</v>
      </c>
    </row>
    <row r="215" spans="1:12" s="17" customFormat="1" ht="15.5" x14ac:dyDescent="0.35">
      <c r="A215" s="423" t="s">
        <v>1893</v>
      </c>
      <c r="B215" s="929">
        <v>849</v>
      </c>
      <c r="C215" s="1168" t="s">
        <v>475</v>
      </c>
      <c r="D215" s="1530"/>
      <c r="E215" s="1531"/>
      <c r="F215" s="1531"/>
      <c r="G215" s="1531"/>
      <c r="H215" s="1531"/>
      <c r="I215" s="1531"/>
      <c r="J215" s="1531"/>
      <c r="K215" s="1532"/>
      <c r="L215" s="1126" t="s">
        <v>1713</v>
      </c>
    </row>
    <row r="216" spans="1:12" s="17" customFormat="1" ht="15.5" x14ac:dyDescent="0.35">
      <c r="A216" s="423" t="s">
        <v>1894</v>
      </c>
      <c r="B216" s="929">
        <v>850</v>
      </c>
      <c r="C216" s="1168" t="s">
        <v>475</v>
      </c>
      <c r="D216" s="1530"/>
      <c r="E216" s="1531"/>
      <c r="F216" s="1531"/>
      <c r="G216" s="1531"/>
      <c r="H216" s="1531"/>
      <c r="I216" s="1531"/>
      <c r="J216" s="1531"/>
      <c r="K216" s="1532"/>
      <c r="L216" s="1126" t="s">
        <v>1713</v>
      </c>
    </row>
    <row r="217" spans="1:12" s="17" customFormat="1" ht="15.5" x14ac:dyDescent="0.35">
      <c r="A217" s="423" t="s">
        <v>1895</v>
      </c>
      <c r="B217" s="929">
        <v>851</v>
      </c>
      <c r="C217" s="1168" t="s">
        <v>475</v>
      </c>
      <c r="D217" s="1530"/>
      <c r="E217" s="1531"/>
      <c r="F217" s="1531"/>
      <c r="G217" s="1531"/>
      <c r="H217" s="1531"/>
      <c r="I217" s="1531"/>
      <c r="J217" s="1531"/>
      <c r="K217" s="1532"/>
      <c r="L217" s="1126" t="s">
        <v>1713</v>
      </c>
    </row>
    <row r="218" spans="1:12" s="17" customFormat="1" ht="15.5" x14ac:dyDescent="0.35">
      <c r="A218" s="423" t="s">
        <v>1896</v>
      </c>
      <c r="B218" s="929">
        <v>852</v>
      </c>
      <c r="C218" s="1168" t="s">
        <v>475</v>
      </c>
      <c r="D218" s="1530"/>
      <c r="E218" s="1531"/>
      <c r="F218" s="1531"/>
      <c r="G218" s="1531"/>
      <c r="H218" s="1531"/>
      <c r="I218" s="1531"/>
      <c r="J218" s="1531"/>
      <c r="K218" s="1532"/>
      <c r="L218" s="1126" t="s">
        <v>1713</v>
      </c>
    </row>
    <row r="219" spans="1:12" s="17" customFormat="1" ht="15.5" x14ac:dyDescent="0.35">
      <c r="A219" s="423" t="s">
        <v>1897</v>
      </c>
      <c r="B219" s="929">
        <v>853</v>
      </c>
      <c r="C219" s="1168" t="s">
        <v>475</v>
      </c>
      <c r="D219" s="1530"/>
      <c r="E219" s="1531"/>
      <c r="F219" s="1531"/>
      <c r="G219" s="1531"/>
      <c r="H219" s="1531"/>
      <c r="I219" s="1531"/>
      <c r="J219" s="1531"/>
      <c r="K219" s="1532"/>
      <c r="L219" s="1126" t="s">
        <v>1713</v>
      </c>
    </row>
    <row r="220" spans="1:12" s="17" customFormat="1" ht="15.5" x14ac:dyDescent="0.35">
      <c r="A220" s="423" t="s">
        <v>1898</v>
      </c>
      <c r="B220" s="929">
        <v>854</v>
      </c>
      <c r="C220" s="1168" t="s">
        <v>475</v>
      </c>
      <c r="D220" s="1530"/>
      <c r="E220" s="1531"/>
      <c r="F220" s="1531"/>
      <c r="G220" s="1531"/>
      <c r="H220" s="1531"/>
      <c r="I220" s="1531"/>
      <c r="J220" s="1531"/>
      <c r="K220" s="1532"/>
      <c r="L220" s="1126" t="s">
        <v>1713</v>
      </c>
    </row>
    <row r="221" spans="1:12" s="17" customFormat="1" ht="15.5" x14ac:dyDescent="0.35">
      <c r="A221" s="423" t="s">
        <v>1899</v>
      </c>
      <c r="B221" s="929">
        <v>855</v>
      </c>
      <c r="C221" s="1168" t="s">
        <v>475</v>
      </c>
      <c r="D221" s="1530"/>
      <c r="E221" s="1531"/>
      <c r="F221" s="1531"/>
      <c r="G221" s="1531"/>
      <c r="H221" s="1531"/>
      <c r="I221" s="1531"/>
      <c r="J221" s="1531"/>
      <c r="K221" s="1532"/>
      <c r="L221" s="1126" t="s">
        <v>1713</v>
      </c>
    </row>
    <row r="222" spans="1:12" s="17" customFormat="1" ht="15.5" x14ac:dyDescent="0.35">
      <c r="A222" s="423" t="s">
        <v>1900</v>
      </c>
      <c r="B222" s="929">
        <v>856</v>
      </c>
      <c r="C222" s="1168" t="s">
        <v>475</v>
      </c>
      <c r="D222" s="1530"/>
      <c r="E222" s="1531"/>
      <c r="F222" s="1531"/>
      <c r="G222" s="1531"/>
      <c r="H222" s="1531"/>
      <c r="I222" s="1531"/>
      <c r="J222" s="1531"/>
      <c r="K222" s="1532"/>
      <c r="L222" s="1126" t="s">
        <v>1713</v>
      </c>
    </row>
    <row r="223" spans="1:12" s="17" customFormat="1" ht="15.5" x14ac:dyDescent="0.35">
      <c r="A223" s="423" t="s">
        <v>1901</v>
      </c>
      <c r="B223" s="929">
        <v>857</v>
      </c>
      <c r="C223" s="1168" t="s">
        <v>475</v>
      </c>
      <c r="D223" s="1530"/>
      <c r="E223" s="1531"/>
      <c r="F223" s="1531"/>
      <c r="G223" s="1531"/>
      <c r="H223" s="1531"/>
      <c r="I223" s="1531"/>
      <c r="J223" s="1531"/>
      <c r="K223" s="1532"/>
      <c r="L223" s="1126" t="s">
        <v>1713</v>
      </c>
    </row>
    <row r="224" spans="1:12" s="17" customFormat="1" ht="15.5" x14ac:dyDescent="0.35">
      <c r="A224" s="423" t="s">
        <v>1902</v>
      </c>
      <c r="B224" s="929">
        <v>858</v>
      </c>
      <c r="C224" s="1168" t="s">
        <v>475</v>
      </c>
      <c r="D224" s="1530"/>
      <c r="E224" s="1531"/>
      <c r="F224" s="1531"/>
      <c r="G224" s="1531"/>
      <c r="H224" s="1531"/>
      <c r="I224" s="1531"/>
      <c r="J224" s="1531"/>
      <c r="K224" s="1532"/>
      <c r="L224" s="1126" t="s">
        <v>1713</v>
      </c>
    </row>
    <row r="225" spans="1:12" s="17" customFormat="1" ht="15.5" x14ac:dyDescent="0.35">
      <c r="A225" s="423" t="s">
        <v>1903</v>
      </c>
      <c r="B225" s="929">
        <v>859</v>
      </c>
      <c r="C225" s="1168" t="s">
        <v>475</v>
      </c>
      <c r="D225" s="1530"/>
      <c r="E225" s="1531"/>
      <c r="F225" s="1531"/>
      <c r="G225" s="1531"/>
      <c r="H225" s="1531"/>
      <c r="I225" s="1531"/>
      <c r="J225" s="1531"/>
      <c r="K225" s="1532"/>
      <c r="L225" s="1126" t="s">
        <v>1713</v>
      </c>
    </row>
    <row r="226" spans="1:12" s="17" customFormat="1" ht="15.5" x14ac:dyDescent="0.35">
      <c r="A226" s="423" t="s">
        <v>1904</v>
      </c>
      <c r="B226" s="929">
        <v>860</v>
      </c>
      <c r="C226" s="1168" t="s">
        <v>475</v>
      </c>
      <c r="D226" s="1530"/>
      <c r="E226" s="1531"/>
      <c r="F226" s="1531"/>
      <c r="G226" s="1531"/>
      <c r="H226" s="1531"/>
      <c r="I226" s="1531"/>
      <c r="J226" s="1531"/>
      <c r="K226" s="1532"/>
      <c r="L226" s="1126" t="s">
        <v>1713</v>
      </c>
    </row>
    <row r="227" spans="1:12" s="17" customFormat="1" ht="15.5" x14ac:dyDescent="0.35">
      <c r="A227" s="423" t="s">
        <v>1905</v>
      </c>
      <c r="B227" s="929">
        <v>861</v>
      </c>
      <c r="C227" s="1168" t="s">
        <v>475</v>
      </c>
      <c r="D227" s="1530"/>
      <c r="E227" s="1531"/>
      <c r="F227" s="1531"/>
      <c r="G227" s="1531"/>
      <c r="H227" s="1531"/>
      <c r="I227" s="1531"/>
      <c r="J227" s="1531"/>
      <c r="K227" s="1532"/>
      <c r="L227" s="1126" t="s">
        <v>1713</v>
      </c>
    </row>
    <row r="228" spans="1:12" s="17" customFormat="1" ht="15.5" x14ac:dyDescent="0.35">
      <c r="A228" s="423" t="s">
        <v>1906</v>
      </c>
      <c r="B228" s="929">
        <v>862</v>
      </c>
      <c r="C228" s="1168" t="s">
        <v>475</v>
      </c>
      <c r="D228" s="1530"/>
      <c r="E228" s="1531"/>
      <c r="F228" s="1531"/>
      <c r="G228" s="1531"/>
      <c r="H228" s="1531"/>
      <c r="I228" s="1531"/>
      <c r="J228" s="1531"/>
      <c r="K228" s="1532"/>
      <c r="L228" s="1126" t="s">
        <v>1713</v>
      </c>
    </row>
    <row r="229" spans="1:12" s="17" customFormat="1" ht="15.5" x14ac:dyDescent="0.35">
      <c r="A229" s="423" t="s">
        <v>1907</v>
      </c>
      <c r="B229" s="929">
        <v>863</v>
      </c>
      <c r="C229" s="1168" t="s">
        <v>475</v>
      </c>
      <c r="D229" s="1530"/>
      <c r="E229" s="1531"/>
      <c r="F229" s="1531"/>
      <c r="G229" s="1531"/>
      <c r="H229" s="1531"/>
      <c r="I229" s="1531"/>
      <c r="J229" s="1531"/>
      <c r="K229" s="1532"/>
      <c r="L229" s="1126" t="s">
        <v>1713</v>
      </c>
    </row>
    <row r="230" spans="1:12" s="17" customFormat="1" ht="15.5" x14ac:dyDescent="0.35">
      <c r="A230" s="423" t="s">
        <v>1908</v>
      </c>
      <c r="B230" s="929">
        <v>864</v>
      </c>
      <c r="C230" s="1168" t="s">
        <v>475</v>
      </c>
      <c r="D230" s="1530"/>
      <c r="E230" s="1531"/>
      <c r="F230" s="1531"/>
      <c r="G230" s="1531"/>
      <c r="H230" s="1531"/>
      <c r="I230" s="1531"/>
      <c r="J230" s="1531"/>
      <c r="K230" s="1532"/>
      <c r="L230" s="1126" t="s">
        <v>1713</v>
      </c>
    </row>
    <row r="231" spans="1:12" s="17" customFormat="1" ht="15.5" x14ac:dyDescent="0.35">
      <c r="A231" s="423" t="s">
        <v>1909</v>
      </c>
      <c r="B231" s="929">
        <v>865</v>
      </c>
      <c r="C231" s="1168" t="s">
        <v>475</v>
      </c>
      <c r="D231" s="1530"/>
      <c r="E231" s="1531"/>
      <c r="F231" s="1531"/>
      <c r="G231" s="1531"/>
      <c r="H231" s="1531"/>
      <c r="I231" s="1531"/>
      <c r="J231" s="1531"/>
      <c r="K231" s="1532"/>
      <c r="L231" s="1126" t="s">
        <v>1713</v>
      </c>
    </row>
    <row r="232" spans="1:12" s="17" customFormat="1" ht="15.5" x14ac:dyDescent="0.35">
      <c r="A232" s="423" t="s">
        <v>1910</v>
      </c>
      <c r="B232" s="929">
        <v>866</v>
      </c>
      <c r="C232" s="1168" t="s">
        <v>475</v>
      </c>
      <c r="D232" s="1530"/>
      <c r="E232" s="1531"/>
      <c r="F232" s="1531"/>
      <c r="G232" s="1531"/>
      <c r="H232" s="1531"/>
      <c r="I232" s="1531"/>
      <c r="J232" s="1531"/>
      <c r="K232" s="1532"/>
      <c r="L232" s="1126" t="s">
        <v>1713</v>
      </c>
    </row>
    <row r="233" spans="1:12" s="17" customFormat="1" ht="15.5" x14ac:dyDescent="0.35">
      <c r="A233" s="423" t="s">
        <v>1911</v>
      </c>
      <c r="B233" s="929">
        <v>867</v>
      </c>
      <c r="C233" s="1168" t="s">
        <v>475</v>
      </c>
      <c r="D233" s="1530"/>
      <c r="E233" s="1531"/>
      <c r="F233" s="1531"/>
      <c r="G233" s="1531"/>
      <c r="H233" s="1531"/>
      <c r="I233" s="1531"/>
      <c r="J233" s="1531"/>
      <c r="K233" s="1532"/>
      <c r="L233" s="1126" t="s">
        <v>1713</v>
      </c>
    </row>
    <row r="234" spans="1:12" s="17" customFormat="1" ht="15.5" x14ac:dyDescent="0.35">
      <c r="A234" s="423" t="s">
        <v>1912</v>
      </c>
      <c r="B234" s="929">
        <v>868</v>
      </c>
      <c r="C234" s="1168" t="s">
        <v>475</v>
      </c>
      <c r="D234" s="1530"/>
      <c r="E234" s="1531"/>
      <c r="F234" s="1531"/>
      <c r="G234" s="1531"/>
      <c r="H234" s="1531"/>
      <c r="I234" s="1531"/>
      <c r="J234" s="1531"/>
      <c r="K234" s="1532"/>
      <c r="L234" s="1126" t="s">
        <v>1713</v>
      </c>
    </row>
    <row r="235" spans="1:12" s="17" customFormat="1" ht="15.5" x14ac:dyDescent="0.35">
      <c r="A235" s="423" t="s">
        <v>1913</v>
      </c>
      <c r="B235" s="929">
        <v>869</v>
      </c>
      <c r="C235" s="1168" t="s">
        <v>475</v>
      </c>
      <c r="D235" s="1530"/>
      <c r="E235" s="1531"/>
      <c r="F235" s="1531"/>
      <c r="G235" s="1531"/>
      <c r="H235" s="1531"/>
      <c r="I235" s="1531"/>
      <c r="J235" s="1531"/>
      <c r="K235" s="1532"/>
      <c r="L235" s="1126" t="s">
        <v>1713</v>
      </c>
    </row>
    <row r="236" spans="1:12" s="17" customFormat="1" ht="15.5" x14ac:dyDescent="0.35">
      <c r="A236" s="423" t="s">
        <v>1914</v>
      </c>
      <c r="B236" s="929">
        <v>870</v>
      </c>
      <c r="C236" s="1168" t="s">
        <v>475</v>
      </c>
      <c r="D236" s="1533"/>
      <c r="E236" s="1534"/>
      <c r="F236" s="1534"/>
      <c r="G236" s="1534"/>
      <c r="H236" s="1534"/>
      <c r="I236" s="1534"/>
      <c r="J236" s="1534"/>
      <c r="K236" s="1535"/>
      <c r="L236" s="1126" t="s">
        <v>1713</v>
      </c>
    </row>
    <row r="237" spans="1:12" s="17" customFormat="1" ht="15.5" x14ac:dyDescent="0.35">
      <c r="A237" s="423" t="s">
        <v>1915</v>
      </c>
      <c r="B237" s="929">
        <v>871</v>
      </c>
      <c r="C237" s="1168" t="s">
        <v>475</v>
      </c>
      <c r="D237" s="716"/>
      <c r="E237" s="717"/>
      <c r="F237" s="717"/>
      <c r="G237" s="717"/>
      <c r="H237" s="717"/>
      <c r="I237" s="717"/>
      <c r="J237" s="717"/>
      <c r="K237" s="718"/>
      <c r="L237" s="1126" t="s">
        <v>1713</v>
      </c>
    </row>
    <row r="238" spans="1:12" s="17" customFormat="1" ht="15.5" x14ac:dyDescent="0.35">
      <c r="A238" s="423" t="s">
        <v>1916</v>
      </c>
      <c r="B238" s="929">
        <v>872</v>
      </c>
      <c r="C238" s="1168" t="s">
        <v>475</v>
      </c>
      <c r="D238" s="716"/>
      <c r="E238" s="717"/>
      <c r="F238" s="717"/>
      <c r="G238" s="717"/>
      <c r="H238" s="717"/>
      <c r="I238" s="717"/>
      <c r="J238" s="717"/>
      <c r="K238" s="718"/>
      <c r="L238" s="1126" t="s">
        <v>1713</v>
      </c>
    </row>
    <row r="239" spans="1:12" s="17" customFormat="1" ht="15.5" x14ac:dyDescent="0.35">
      <c r="A239" s="423" t="s">
        <v>1917</v>
      </c>
      <c r="B239" s="929">
        <v>873</v>
      </c>
      <c r="C239" s="1168" t="s">
        <v>475</v>
      </c>
      <c r="D239" s="716"/>
      <c r="E239" s="717"/>
      <c r="F239" s="717"/>
      <c r="G239" s="717"/>
      <c r="H239" s="717"/>
      <c r="I239" s="717"/>
      <c r="J239" s="717"/>
      <c r="K239" s="718"/>
      <c r="L239" s="1126" t="s">
        <v>1713</v>
      </c>
    </row>
    <row r="240" spans="1:12" s="17" customFormat="1" ht="15.5" x14ac:dyDescent="0.35">
      <c r="A240" s="423" t="s">
        <v>1918</v>
      </c>
      <c r="B240" s="929">
        <v>874</v>
      </c>
      <c r="C240" s="1168" t="s">
        <v>475</v>
      </c>
      <c r="D240" s="716"/>
      <c r="E240" s="717"/>
      <c r="F240" s="717"/>
      <c r="G240" s="717"/>
      <c r="H240" s="717"/>
      <c r="I240" s="717"/>
      <c r="J240" s="717"/>
      <c r="K240" s="718"/>
      <c r="L240" s="1126" t="s">
        <v>1713</v>
      </c>
    </row>
    <row r="241" spans="1:12" s="17" customFormat="1" ht="15.5" x14ac:dyDescent="0.35">
      <c r="A241" s="423" t="s">
        <v>1919</v>
      </c>
      <c r="B241" s="929">
        <v>875</v>
      </c>
      <c r="C241" s="1168" t="s">
        <v>475</v>
      </c>
      <c r="D241" s="716"/>
      <c r="E241" s="717"/>
      <c r="F241" s="717"/>
      <c r="G241" s="717"/>
      <c r="H241" s="717"/>
      <c r="I241" s="717"/>
      <c r="J241" s="717"/>
      <c r="K241" s="718"/>
      <c r="L241" s="1126" t="s">
        <v>1713</v>
      </c>
    </row>
    <row r="242" spans="1:12" s="17" customFormat="1" ht="15.5" x14ac:dyDescent="0.35">
      <c r="A242" s="423" t="s">
        <v>1920</v>
      </c>
      <c r="B242" s="929">
        <v>876</v>
      </c>
      <c r="C242" s="1168" t="s">
        <v>475</v>
      </c>
      <c r="D242" s="716"/>
      <c r="E242" s="717"/>
      <c r="F242" s="717"/>
      <c r="G242" s="717"/>
      <c r="H242" s="717"/>
      <c r="I242" s="717"/>
      <c r="J242" s="717"/>
      <c r="K242" s="718"/>
      <c r="L242" s="1126" t="s">
        <v>1713</v>
      </c>
    </row>
    <row r="243" spans="1:12" s="17" customFormat="1" ht="15.5" x14ac:dyDescent="0.35">
      <c r="A243" s="423" t="s">
        <v>1921</v>
      </c>
      <c r="B243" s="929">
        <v>877</v>
      </c>
      <c r="C243" s="1168" t="s">
        <v>475</v>
      </c>
      <c r="D243" s="716"/>
      <c r="E243" s="717"/>
      <c r="F243" s="717"/>
      <c r="G243" s="717"/>
      <c r="H243" s="717"/>
      <c r="I243" s="717"/>
      <c r="J243" s="717"/>
      <c r="K243" s="718"/>
      <c r="L243" s="1126" t="s">
        <v>1713</v>
      </c>
    </row>
    <row r="244" spans="1:12" s="17" customFormat="1" ht="15.5" x14ac:dyDescent="0.35">
      <c r="A244" s="423" t="s">
        <v>1922</v>
      </c>
      <c r="B244" s="929">
        <v>878</v>
      </c>
      <c r="C244" s="1168" t="s">
        <v>475</v>
      </c>
      <c r="D244" s="716"/>
      <c r="E244" s="717"/>
      <c r="F244" s="717"/>
      <c r="G244" s="717"/>
      <c r="H244" s="717"/>
      <c r="I244" s="717"/>
      <c r="J244" s="717"/>
      <c r="K244" s="718"/>
      <c r="L244" s="1126" t="s">
        <v>1713</v>
      </c>
    </row>
    <row r="245" spans="1:12" s="17" customFormat="1" ht="15.5" x14ac:dyDescent="0.35">
      <c r="A245" s="423" t="s">
        <v>1923</v>
      </c>
      <c r="B245" s="929">
        <v>879</v>
      </c>
      <c r="C245" s="1168" t="s">
        <v>475</v>
      </c>
      <c r="D245" s="716"/>
      <c r="E245" s="717"/>
      <c r="F245" s="717"/>
      <c r="G245" s="717"/>
      <c r="H245" s="717"/>
      <c r="I245" s="717"/>
      <c r="J245" s="717"/>
      <c r="K245" s="718"/>
      <c r="L245" s="1126" t="s">
        <v>1713</v>
      </c>
    </row>
    <row r="246" spans="1:12" s="17" customFormat="1" ht="15.5" x14ac:dyDescent="0.35">
      <c r="A246" s="423" t="s">
        <v>1924</v>
      </c>
      <c r="B246" s="929">
        <v>880</v>
      </c>
      <c r="C246" s="1168" t="s">
        <v>475</v>
      </c>
      <c r="D246" s="716"/>
      <c r="E246" s="717"/>
      <c r="F246" s="717"/>
      <c r="G246" s="717"/>
      <c r="H246" s="717"/>
      <c r="I246" s="717"/>
      <c r="J246" s="717"/>
      <c r="K246" s="718"/>
      <c r="L246" s="1126" t="s">
        <v>1713</v>
      </c>
    </row>
    <row r="247" spans="1:12" s="17" customFormat="1" ht="15.5" x14ac:dyDescent="0.35">
      <c r="A247" s="423" t="s">
        <v>1925</v>
      </c>
      <c r="B247" s="929">
        <v>881</v>
      </c>
      <c r="C247" s="1168" t="s">
        <v>475</v>
      </c>
      <c r="D247" s="716"/>
      <c r="E247" s="717"/>
      <c r="F247" s="717"/>
      <c r="G247" s="717"/>
      <c r="H247" s="717"/>
      <c r="I247" s="717"/>
      <c r="J247" s="717"/>
      <c r="K247" s="718"/>
      <c r="L247" s="1126" t="s">
        <v>1713</v>
      </c>
    </row>
    <row r="248" spans="1:12" s="17" customFormat="1" ht="15.5" x14ac:dyDescent="0.35">
      <c r="A248" s="423" t="s">
        <v>1926</v>
      </c>
      <c r="B248" s="929">
        <v>882</v>
      </c>
      <c r="C248" s="1168" t="s">
        <v>475</v>
      </c>
      <c r="D248" s="716"/>
      <c r="E248" s="717"/>
      <c r="F248" s="717"/>
      <c r="G248" s="717"/>
      <c r="H248" s="717"/>
      <c r="I248" s="717"/>
      <c r="J248" s="717"/>
      <c r="K248" s="718"/>
      <c r="L248" s="1126" t="s">
        <v>1713</v>
      </c>
    </row>
    <row r="249" spans="1:12" s="17" customFormat="1" ht="15.5" x14ac:dyDescent="0.35">
      <c r="A249" s="423" t="s">
        <v>1927</v>
      </c>
      <c r="B249" s="929">
        <v>883</v>
      </c>
      <c r="C249" s="1168" t="s">
        <v>475</v>
      </c>
      <c r="D249" s="716"/>
      <c r="E249" s="717"/>
      <c r="F249" s="717"/>
      <c r="G249" s="717"/>
      <c r="H249" s="717"/>
      <c r="I249" s="717"/>
      <c r="J249" s="717"/>
      <c r="K249" s="718"/>
      <c r="L249" s="1126" t="s">
        <v>1713</v>
      </c>
    </row>
    <row r="250" spans="1:12" s="17" customFormat="1" ht="15.5" x14ac:dyDescent="0.35">
      <c r="A250" s="423" t="s">
        <v>1928</v>
      </c>
      <c r="B250" s="929">
        <v>884</v>
      </c>
      <c r="C250" s="1168" t="s">
        <v>475</v>
      </c>
      <c r="D250" s="716"/>
      <c r="E250" s="717"/>
      <c r="F250" s="717"/>
      <c r="G250" s="717"/>
      <c r="H250" s="717"/>
      <c r="I250" s="717"/>
      <c r="J250" s="717"/>
      <c r="K250" s="718"/>
      <c r="L250" s="1126" t="s">
        <v>1713</v>
      </c>
    </row>
    <row r="251" spans="1:12" s="17" customFormat="1" ht="15.5" x14ac:dyDescent="0.35">
      <c r="A251" s="423" t="s">
        <v>1929</v>
      </c>
      <c r="B251" s="929">
        <v>885</v>
      </c>
      <c r="C251" s="1168" t="s">
        <v>475</v>
      </c>
      <c r="D251" s="716"/>
      <c r="E251" s="717"/>
      <c r="F251" s="717"/>
      <c r="G251" s="717"/>
      <c r="H251" s="717"/>
      <c r="I251" s="717"/>
      <c r="J251" s="717"/>
      <c r="K251" s="718"/>
      <c r="L251" s="1126" t="s">
        <v>1713</v>
      </c>
    </row>
    <row r="252" spans="1:12" s="17" customFormat="1" ht="15.5" x14ac:dyDescent="0.35">
      <c r="A252" s="423" t="s">
        <v>1930</v>
      </c>
      <c r="B252" s="929">
        <v>886</v>
      </c>
      <c r="C252" s="1168" t="s">
        <v>475</v>
      </c>
      <c r="D252" s="716"/>
      <c r="E252" s="717"/>
      <c r="F252" s="717"/>
      <c r="G252" s="717"/>
      <c r="H252" s="717"/>
      <c r="I252" s="717"/>
      <c r="J252" s="717"/>
      <c r="K252" s="718"/>
      <c r="L252" s="1126" t="s">
        <v>1713</v>
      </c>
    </row>
    <row r="253" spans="1:12" s="17" customFormat="1" ht="15.5" x14ac:dyDescent="0.35">
      <c r="A253" s="423" t="s">
        <v>1931</v>
      </c>
      <c r="B253" s="929">
        <v>887</v>
      </c>
      <c r="C253" s="1168" t="s">
        <v>475</v>
      </c>
      <c r="D253" s="716"/>
      <c r="E253" s="717"/>
      <c r="F253" s="717"/>
      <c r="G253" s="717"/>
      <c r="H253" s="717"/>
      <c r="I253" s="717"/>
      <c r="J253" s="717"/>
      <c r="K253" s="718"/>
      <c r="L253" s="1126" t="s">
        <v>1713</v>
      </c>
    </row>
    <row r="254" spans="1:12" s="17" customFormat="1" ht="15.5" x14ac:dyDescent="0.35">
      <c r="A254" s="423" t="s">
        <v>1932</v>
      </c>
      <c r="B254" s="929">
        <v>888</v>
      </c>
      <c r="C254" s="1168" t="s">
        <v>475</v>
      </c>
      <c r="D254" s="716"/>
      <c r="E254" s="717"/>
      <c r="F254" s="717"/>
      <c r="G254" s="717"/>
      <c r="H254" s="717"/>
      <c r="I254" s="717"/>
      <c r="J254" s="717"/>
      <c r="K254" s="718"/>
      <c r="L254" s="1126" t="s">
        <v>1713</v>
      </c>
    </row>
    <row r="255" spans="1:12" s="17" customFormat="1" ht="15.5" x14ac:dyDescent="0.35">
      <c r="A255" s="423" t="s">
        <v>1933</v>
      </c>
      <c r="B255" s="929">
        <v>889</v>
      </c>
      <c r="C255" s="1168" t="s">
        <v>475</v>
      </c>
      <c r="D255" s="716"/>
      <c r="E255" s="717"/>
      <c r="F255" s="717"/>
      <c r="G255" s="717"/>
      <c r="H255" s="717"/>
      <c r="I255" s="717"/>
      <c r="J255" s="717"/>
      <c r="K255" s="718"/>
      <c r="L255" s="1126" t="s">
        <v>1713</v>
      </c>
    </row>
    <row r="256" spans="1:12" s="17" customFormat="1" ht="15.5" x14ac:dyDescent="0.35">
      <c r="A256" s="423" t="s">
        <v>1934</v>
      </c>
      <c r="B256" s="929">
        <v>890</v>
      </c>
      <c r="C256" s="1168" t="s">
        <v>475</v>
      </c>
      <c r="D256" s="716"/>
      <c r="E256" s="717"/>
      <c r="F256" s="717"/>
      <c r="G256" s="717"/>
      <c r="H256" s="717"/>
      <c r="I256" s="717"/>
      <c r="J256" s="717"/>
      <c r="K256" s="718"/>
      <c r="L256" s="1126" t="s">
        <v>1713</v>
      </c>
    </row>
    <row r="257" spans="1:12" s="17" customFormat="1" ht="15.5" x14ac:dyDescent="0.35">
      <c r="A257" s="423" t="s">
        <v>1935</v>
      </c>
      <c r="B257" s="929">
        <v>891</v>
      </c>
      <c r="C257" s="1168" t="s">
        <v>475</v>
      </c>
      <c r="D257" s="716"/>
      <c r="E257" s="717"/>
      <c r="F257" s="717"/>
      <c r="G257" s="717"/>
      <c r="H257" s="717"/>
      <c r="I257" s="717"/>
      <c r="J257" s="717"/>
      <c r="K257" s="718"/>
      <c r="L257" s="1126" t="s">
        <v>1713</v>
      </c>
    </row>
    <row r="258" spans="1:12" s="17" customFormat="1" ht="15.5" x14ac:dyDescent="0.35">
      <c r="A258" s="423" t="s">
        <v>1936</v>
      </c>
      <c r="B258" s="929">
        <v>892</v>
      </c>
      <c r="C258" s="1168" t="s">
        <v>475</v>
      </c>
      <c r="D258" s="716"/>
      <c r="E258" s="717"/>
      <c r="F258" s="717"/>
      <c r="G258" s="717"/>
      <c r="H258" s="717"/>
      <c r="I258" s="717"/>
      <c r="J258" s="717"/>
      <c r="K258" s="718"/>
      <c r="L258" s="1126" t="s">
        <v>1713</v>
      </c>
    </row>
    <row r="259" spans="1:12" s="17" customFormat="1" ht="15.5" x14ac:dyDescent="0.35">
      <c r="A259" s="423" t="s">
        <v>1937</v>
      </c>
      <c r="B259" s="929">
        <v>893</v>
      </c>
      <c r="C259" s="1168" t="s">
        <v>475</v>
      </c>
      <c r="D259" s="716"/>
      <c r="E259" s="717"/>
      <c r="F259" s="717"/>
      <c r="G259" s="717"/>
      <c r="H259" s="717"/>
      <c r="I259" s="717"/>
      <c r="J259" s="717"/>
      <c r="K259" s="718"/>
      <c r="L259" s="1126" t="s">
        <v>1713</v>
      </c>
    </row>
    <row r="260" spans="1:12" s="17" customFormat="1" ht="15.5" x14ac:dyDescent="0.35">
      <c r="A260" s="423" t="s">
        <v>1938</v>
      </c>
      <c r="B260" s="929">
        <v>894</v>
      </c>
      <c r="C260" s="1168" t="s">
        <v>475</v>
      </c>
      <c r="D260" s="716"/>
      <c r="E260" s="717"/>
      <c r="F260" s="717"/>
      <c r="G260" s="717"/>
      <c r="H260" s="717"/>
      <c r="I260" s="717"/>
      <c r="J260" s="717"/>
      <c r="K260" s="718"/>
      <c r="L260" s="1126" t="s">
        <v>1713</v>
      </c>
    </row>
    <row r="261" spans="1:12" s="17" customFormat="1" ht="15.5" x14ac:dyDescent="0.35">
      <c r="A261" s="423" t="s">
        <v>1939</v>
      </c>
      <c r="B261" s="929">
        <v>895</v>
      </c>
      <c r="C261" s="1168" t="s">
        <v>475</v>
      </c>
      <c r="D261" s="716"/>
      <c r="E261" s="717"/>
      <c r="F261" s="717"/>
      <c r="G261" s="717"/>
      <c r="H261" s="717"/>
      <c r="I261" s="717"/>
      <c r="J261" s="717"/>
      <c r="K261" s="718"/>
      <c r="L261" s="1126" t="s">
        <v>1713</v>
      </c>
    </row>
    <row r="262" spans="1:12" s="17" customFormat="1" ht="15.5" x14ac:dyDescent="0.35">
      <c r="A262" s="423" t="s">
        <v>1940</v>
      </c>
      <c r="B262" s="929">
        <v>896</v>
      </c>
      <c r="C262" s="1168" t="s">
        <v>475</v>
      </c>
      <c r="D262" s="716"/>
      <c r="E262" s="717"/>
      <c r="F262" s="717"/>
      <c r="G262" s="717"/>
      <c r="H262" s="717"/>
      <c r="I262" s="717"/>
      <c r="J262" s="717"/>
      <c r="K262" s="718"/>
      <c r="L262" s="1126" t="s">
        <v>1713</v>
      </c>
    </row>
    <row r="263" spans="1:12" s="17" customFormat="1" ht="15.5" x14ac:dyDescent="0.35">
      <c r="A263" s="423" t="s">
        <v>1941</v>
      </c>
      <c r="B263" s="929">
        <v>897</v>
      </c>
      <c r="C263" s="1168" t="s">
        <v>475</v>
      </c>
      <c r="D263" s="716"/>
      <c r="E263" s="717"/>
      <c r="F263" s="717"/>
      <c r="G263" s="717"/>
      <c r="H263" s="717"/>
      <c r="I263" s="717"/>
      <c r="J263" s="717"/>
      <c r="K263" s="718"/>
      <c r="L263" s="1126" t="s">
        <v>1713</v>
      </c>
    </row>
    <row r="264" spans="1:12" s="17" customFormat="1" ht="15.5" x14ac:dyDescent="0.35">
      <c r="A264" s="423" t="s">
        <v>1942</v>
      </c>
      <c r="B264" s="929">
        <v>898</v>
      </c>
      <c r="C264" s="1168" t="s">
        <v>475</v>
      </c>
      <c r="D264" s="1530"/>
      <c r="E264" s="1531"/>
      <c r="F264" s="1531"/>
      <c r="G264" s="1531"/>
      <c r="H264" s="1531"/>
      <c r="I264" s="1531"/>
      <c r="J264" s="1531"/>
      <c r="K264" s="1532"/>
      <c r="L264" s="1126" t="s">
        <v>1713</v>
      </c>
    </row>
    <row r="265" spans="1:12" s="17" customFormat="1" ht="15.5" x14ac:dyDescent="0.35">
      <c r="A265" s="423" t="s">
        <v>1943</v>
      </c>
      <c r="B265" s="929">
        <v>899</v>
      </c>
      <c r="C265" s="1168" t="s">
        <v>475</v>
      </c>
      <c r="D265" s="1530"/>
      <c r="E265" s="1531"/>
      <c r="F265" s="1531"/>
      <c r="G265" s="1531"/>
      <c r="H265" s="1531"/>
      <c r="I265" s="1531"/>
      <c r="J265" s="1531"/>
      <c r="K265" s="1532"/>
      <c r="L265" s="1126" t="s">
        <v>1713</v>
      </c>
    </row>
    <row r="266" spans="1:12" s="17" customFormat="1" ht="15.5" x14ac:dyDescent="0.35">
      <c r="A266" s="423" t="s">
        <v>1944</v>
      </c>
      <c r="B266" s="929">
        <v>901</v>
      </c>
      <c r="C266" s="1168" t="s">
        <v>475</v>
      </c>
      <c r="D266" s="1530"/>
      <c r="E266" s="1531"/>
      <c r="F266" s="1531"/>
      <c r="G266" s="1531"/>
      <c r="H266" s="1531"/>
      <c r="I266" s="1531"/>
      <c r="J266" s="1531"/>
      <c r="K266" s="1532"/>
      <c r="L266" s="1126" t="s">
        <v>1713</v>
      </c>
    </row>
    <row r="267" spans="1:12" s="17" customFormat="1" ht="15.5" x14ac:dyDescent="0.35">
      <c r="A267" s="423" t="s">
        <v>1945</v>
      </c>
      <c r="B267" s="929">
        <v>902</v>
      </c>
      <c r="C267" s="1168" t="s">
        <v>475</v>
      </c>
      <c r="D267" s="1530"/>
      <c r="E267" s="1531"/>
      <c r="F267" s="1531"/>
      <c r="G267" s="1531"/>
      <c r="H267" s="1531"/>
      <c r="I267" s="1531"/>
      <c r="J267" s="1531"/>
      <c r="K267" s="1532"/>
      <c r="L267" s="1126" t="s">
        <v>1713</v>
      </c>
    </row>
    <row r="268" spans="1:12" s="17" customFormat="1" ht="15.5" x14ac:dyDescent="0.35">
      <c r="A268" s="423" t="s">
        <v>1946</v>
      </c>
      <c r="B268" s="929">
        <v>906</v>
      </c>
      <c r="C268" s="1168" t="s">
        <v>475</v>
      </c>
      <c r="D268" s="1530"/>
      <c r="E268" s="1531"/>
      <c r="F268" s="1531"/>
      <c r="G268" s="1531"/>
      <c r="H268" s="1531"/>
      <c r="I268" s="1531"/>
      <c r="J268" s="1531"/>
      <c r="K268" s="1532"/>
      <c r="L268" s="1126" t="s">
        <v>1713</v>
      </c>
    </row>
    <row r="269" spans="1:12" s="17" customFormat="1" ht="15.5" x14ac:dyDescent="0.35">
      <c r="A269" s="423" t="s">
        <v>1947</v>
      </c>
      <c r="B269" s="929">
        <v>910</v>
      </c>
      <c r="C269" s="1168" t="s">
        <v>475</v>
      </c>
      <c r="D269" s="1530"/>
      <c r="E269" s="1531"/>
      <c r="F269" s="1531"/>
      <c r="G269" s="1531"/>
      <c r="H269" s="1531"/>
      <c r="I269" s="1531"/>
      <c r="J269" s="1531"/>
      <c r="K269" s="1532"/>
      <c r="L269" s="1126" t="s">
        <v>1713</v>
      </c>
    </row>
    <row r="270" spans="1:12" s="17" customFormat="1" ht="15.5" x14ac:dyDescent="0.35">
      <c r="A270" s="423" t="s">
        <v>1948</v>
      </c>
      <c r="B270" s="929">
        <v>911</v>
      </c>
      <c r="C270" s="1168" t="s">
        <v>475</v>
      </c>
      <c r="D270" s="1530"/>
      <c r="E270" s="1531"/>
      <c r="F270" s="1531"/>
      <c r="G270" s="1531"/>
      <c r="H270" s="1531"/>
      <c r="I270" s="1531"/>
      <c r="J270" s="1531"/>
      <c r="K270" s="1532"/>
      <c r="L270" s="1126" t="s">
        <v>1713</v>
      </c>
    </row>
    <row r="271" spans="1:12" s="17" customFormat="1" ht="15.5" x14ac:dyDescent="0.35">
      <c r="A271" s="423" t="s">
        <v>1949</v>
      </c>
      <c r="B271" s="929">
        <v>912</v>
      </c>
      <c r="C271" s="1168" t="s">
        <v>475</v>
      </c>
      <c r="D271" s="1530"/>
      <c r="E271" s="1531"/>
      <c r="F271" s="1531"/>
      <c r="G271" s="1531"/>
      <c r="H271" s="1531"/>
      <c r="I271" s="1531"/>
      <c r="J271" s="1531"/>
      <c r="K271" s="1532"/>
      <c r="L271" s="1126" t="s">
        <v>1713</v>
      </c>
    </row>
    <row r="272" spans="1:12" s="17" customFormat="1" ht="15.5" x14ac:dyDescent="0.35">
      <c r="A272" s="423" t="s">
        <v>1950</v>
      </c>
      <c r="B272" s="929">
        <v>913</v>
      </c>
      <c r="C272" s="1168" t="s">
        <v>475</v>
      </c>
      <c r="D272" s="1530"/>
      <c r="E272" s="1531"/>
      <c r="F272" s="1531"/>
      <c r="G272" s="1531"/>
      <c r="H272" s="1531"/>
      <c r="I272" s="1531"/>
      <c r="J272" s="1531"/>
      <c r="K272" s="1532"/>
      <c r="L272" s="1126" t="s">
        <v>1713</v>
      </c>
    </row>
    <row r="273" spans="1:12" s="17" customFormat="1" ht="15.5" x14ac:dyDescent="0.35">
      <c r="A273" s="423" t="s">
        <v>1951</v>
      </c>
      <c r="B273" s="929">
        <v>914</v>
      </c>
      <c r="C273" s="1168" t="s">
        <v>475</v>
      </c>
      <c r="D273" s="1530"/>
      <c r="E273" s="1531"/>
      <c r="F273" s="1531"/>
      <c r="G273" s="1531"/>
      <c r="H273" s="1531"/>
      <c r="I273" s="1531"/>
      <c r="J273" s="1531"/>
      <c r="K273" s="1532"/>
      <c r="L273" s="1126" t="s">
        <v>1713</v>
      </c>
    </row>
    <row r="274" spans="1:12" s="17" customFormat="1" ht="15.5" x14ac:dyDescent="0.35">
      <c r="A274" s="423" t="s">
        <v>1952</v>
      </c>
      <c r="B274" s="929">
        <v>915</v>
      </c>
      <c r="C274" s="1168" t="s">
        <v>475</v>
      </c>
      <c r="D274" s="1530"/>
      <c r="E274" s="1531"/>
      <c r="F274" s="1531"/>
      <c r="G274" s="1531"/>
      <c r="H274" s="1531"/>
      <c r="I274" s="1531"/>
      <c r="J274" s="1531"/>
      <c r="K274" s="1532"/>
      <c r="L274" s="1126" t="s">
        <v>1713</v>
      </c>
    </row>
    <row r="275" spans="1:12" s="17" customFormat="1" ht="15.5" x14ac:dyDescent="0.35">
      <c r="A275" s="423" t="s">
        <v>1953</v>
      </c>
      <c r="B275" s="929">
        <v>916</v>
      </c>
      <c r="C275" s="1168" t="s">
        <v>475</v>
      </c>
      <c r="D275" s="1530"/>
      <c r="E275" s="1531"/>
      <c r="F275" s="1531"/>
      <c r="G275" s="1531"/>
      <c r="H275" s="1531"/>
      <c r="I275" s="1531"/>
      <c r="J275" s="1531"/>
      <c r="K275" s="1532"/>
      <c r="L275" s="1126" t="s">
        <v>1713</v>
      </c>
    </row>
    <row r="276" spans="1:12" s="17" customFormat="1" ht="15.5" x14ac:dyDescent="0.35">
      <c r="A276" s="423" t="s">
        <v>1954</v>
      </c>
      <c r="B276" s="929">
        <v>917</v>
      </c>
      <c r="C276" s="1168" t="s">
        <v>475</v>
      </c>
      <c r="D276" s="1530"/>
      <c r="E276" s="1531"/>
      <c r="F276" s="1531"/>
      <c r="G276" s="1531"/>
      <c r="H276" s="1531"/>
      <c r="I276" s="1531"/>
      <c r="J276" s="1531"/>
      <c r="K276" s="1532"/>
      <c r="L276" s="1126" t="s">
        <v>1713</v>
      </c>
    </row>
    <row r="277" spans="1:12" s="17" customFormat="1" ht="15.5" x14ac:dyDescent="0.35">
      <c r="A277" s="423" t="s">
        <v>1955</v>
      </c>
      <c r="B277" s="929">
        <v>918</v>
      </c>
      <c r="C277" s="1168" t="s">
        <v>475</v>
      </c>
      <c r="D277" s="1530"/>
      <c r="E277" s="1531"/>
      <c r="F277" s="1531"/>
      <c r="G277" s="1531"/>
      <c r="H277" s="1531"/>
      <c r="I277" s="1531"/>
      <c r="J277" s="1531"/>
      <c r="K277" s="1532"/>
      <c r="L277" s="1126" t="s">
        <v>1713</v>
      </c>
    </row>
    <row r="278" spans="1:12" s="17" customFormat="1" ht="15.5" x14ac:dyDescent="0.35">
      <c r="A278" s="423" t="s">
        <v>1956</v>
      </c>
      <c r="B278" s="929">
        <v>919</v>
      </c>
      <c r="C278" s="1168" t="s">
        <v>475</v>
      </c>
      <c r="D278" s="1530"/>
      <c r="E278" s="1531"/>
      <c r="F278" s="1531"/>
      <c r="G278" s="1531"/>
      <c r="H278" s="1531"/>
      <c r="I278" s="1531"/>
      <c r="J278" s="1531"/>
      <c r="K278" s="1532"/>
      <c r="L278" s="1126" t="s">
        <v>1713</v>
      </c>
    </row>
    <row r="279" spans="1:12" s="17" customFormat="1" ht="15.5" x14ac:dyDescent="0.35">
      <c r="A279" s="423" t="s">
        <v>1957</v>
      </c>
      <c r="B279" s="929">
        <v>920</v>
      </c>
      <c r="C279" s="1168" t="s">
        <v>475</v>
      </c>
      <c r="D279" s="1530"/>
      <c r="E279" s="1531"/>
      <c r="F279" s="1531"/>
      <c r="G279" s="1531"/>
      <c r="H279" s="1531"/>
      <c r="I279" s="1531"/>
      <c r="J279" s="1531"/>
      <c r="K279" s="1532"/>
      <c r="L279" s="1126" t="s">
        <v>1713</v>
      </c>
    </row>
    <row r="280" spans="1:12" s="17" customFormat="1" ht="15.5" x14ac:dyDescent="0.35">
      <c r="A280" s="423" t="s">
        <v>1958</v>
      </c>
      <c r="B280" s="929">
        <v>921</v>
      </c>
      <c r="C280" s="1168" t="s">
        <v>475</v>
      </c>
      <c r="D280" s="1530"/>
      <c r="E280" s="1531"/>
      <c r="F280" s="1531"/>
      <c r="G280" s="1531"/>
      <c r="H280" s="1531"/>
      <c r="I280" s="1531"/>
      <c r="J280" s="1531"/>
      <c r="K280" s="1532"/>
      <c r="L280" s="1126" t="s">
        <v>1713</v>
      </c>
    </row>
    <row r="281" spans="1:12" s="17" customFormat="1" ht="15.5" x14ac:dyDescent="0.35">
      <c r="A281" s="423" t="s">
        <v>1959</v>
      </c>
      <c r="B281" s="929">
        <v>922</v>
      </c>
      <c r="C281" s="1168" t="s">
        <v>475</v>
      </c>
      <c r="D281" s="1530"/>
      <c r="E281" s="1531"/>
      <c r="F281" s="1531"/>
      <c r="G281" s="1531"/>
      <c r="H281" s="1531"/>
      <c r="I281" s="1531"/>
      <c r="J281" s="1531"/>
      <c r="K281" s="1532"/>
      <c r="L281" s="1126" t="s">
        <v>1713</v>
      </c>
    </row>
    <row r="282" spans="1:12" s="17" customFormat="1" ht="15.5" x14ac:dyDescent="0.35">
      <c r="A282" s="423" t="s">
        <v>1960</v>
      </c>
      <c r="B282" s="929">
        <v>923</v>
      </c>
      <c r="C282" s="1168" t="s">
        <v>475</v>
      </c>
      <c r="D282" s="1530"/>
      <c r="E282" s="1531"/>
      <c r="F282" s="1531"/>
      <c r="G282" s="1531"/>
      <c r="H282" s="1531"/>
      <c r="I282" s="1531"/>
      <c r="J282" s="1531"/>
      <c r="K282" s="1532"/>
      <c r="L282" s="1126" t="s">
        <v>1713</v>
      </c>
    </row>
    <row r="283" spans="1:12" s="17" customFormat="1" ht="15.5" x14ac:dyDescent="0.35">
      <c r="A283" s="423" t="s">
        <v>1961</v>
      </c>
      <c r="B283" s="929">
        <v>924</v>
      </c>
      <c r="C283" s="1168" t="s">
        <v>475</v>
      </c>
      <c r="D283" s="1530"/>
      <c r="E283" s="1531"/>
      <c r="F283" s="1531"/>
      <c r="G283" s="1531"/>
      <c r="H283" s="1531"/>
      <c r="I283" s="1531"/>
      <c r="J283" s="1531"/>
      <c r="K283" s="1532"/>
      <c r="L283" s="1126" t="s">
        <v>1713</v>
      </c>
    </row>
    <row r="284" spans="1:12" s="17" customFormat="1" ht="15.5" x14ac:dyDescent="0.35">
      <c r="A284" s="423" t="s">
        <v>1962</v>
      </c>
      <c r="B284" s="929">
        <v>925</v>
      </c>
      <c r="C284" s="1168" t="s">
        <v>475</v>
      </c>
      <c r="D284" s="1530"/>
      <c r="E284" s="1531"/>
      <c r="F284" s="1531"/>
      <c r="G284" s="1531"/>
      <c r="H284" s="1531"/>
      <c r="I284" s="1531"/>
      <c r="J284" s="1531"/>
      <c r="K284" s="1532"/>
      <c r="L284" s="1126" t="s">
        <v>1713</v>
      </c>
    </row>
    <row r="285" spans="1:12" s="17" customFormat="1" ht="15.5" x14ac:dyDescent="0.35">
      <c r="A285" s="423" t="s">
        <v>1963</v>
      </c>
      <c r="B285" s="929">
        <v>926</v>
      </c>
      <c r="C285" s="1168" t="s">
        <v>475</v>
      </c>
      <c r="D285" s="713"/>
      <c r="E285" s="714"/>
      <c r="F285" s="714"/>
      <c r="G285" s="714"/>
      <c r="H285" s="714"/>
      <c r="I285" s="714"/>
      <c r="J285" s="714"/>
      <c r="K285" s="715"/>
      <c r="L285" s="1126" t="s">
        <v>1713</v>
      </c>
    </row>
    <row r="286" spans="1:12" s="17" customFormat="1" ht="15.5" x14ac:dyDescent="0.35">
      <c r="A286" s="423" t="s">
        <v>1964</v>
      </c>
      <c r="B286" s="929">
        <v>927</v>
      </c>
      <c r="C286" s="1168" t="s">
        <v>475</v>
      </c>
      <c r="D286" s="713"/>
      <c r="E286" s="714"/>
      <c r="F286" s="714"/>
      <c r="G286" s="714"/>
      <c r="H286" s="714"/>
      <c r="I286" s="714"/>
      <c r="J286" s="714"/>
      <c r="K286" s="715"/>
      <c r="L286" s="1126" t="s">
        <v>1713</v>
      </c>
    </row>
    <row r="287" spans="1:12" s="17" customFormat="1" ht="15.5" x14ac:dyDescent="0.35">
      <c r="A287" s="423" t="s">
        <v>1965</v>
      </c>
      <c r="B287" s="929">
        <v>928</v>
      </c>
      <c r="C287" s="1168" t="s">
        <v>475</v>
      </c>
      <c r="D287" s="713"/>
      <c r="E287" s="714"/>
      <c r="F287" s="714"/>
      <c r="G287" s="714"/>
      <c r="H287" s="714"/>
      <c r="I287" s="714"/>
      <c r="J287" s="714"/>
      <c r="K287" s="715"/>
      <c r="L287" s="1126" t="s">
        <v>1713</v>
      </c>
    </row>
    <row r="288" spans="1:12" s="17" customFormat="1" ht="15.5" x14ac:dyDescent="0.35">
      <c r="A288" s="423" t="s">
        <v>1966</v>
      </c>
      <c r="B288" s="929">
        <v>929</v>
      </c>
      <c r="C288" s="1168" t="s">
        <v>475</v>
      </c>
      <c r="D288" s="713"/>
      <c r="E288" s="714"/>
      <c r="F288" s="714"/>
      <c r="G288" s="714"/>
      <c r="H288" s="714"/>
      <c r="I288" s="714"/>
      <c r="J288" s="714"/>
      <c r="K288" s="715"/>
      <c r="L288" s="1126" t="s">
        <v>1713</v>
      </c>
    </row>
    <row r="289" spans="1:12" s="17" customFormat="1" ht="15.5" x14ac:dyDescent="0.35">
      <c r="A289" s="423" t="s">
        <v>1967</v>
      </c>
      <c r="B289" s="929">
        <v>930</v>
      </c>
      <c r="C289" s="1168" t="s">
        <v>475</v>
      </c>
      <c r="D289" s="713"/>
      <c r="E289" s="714"/>
      <c r="F289" s="714"/>
      <c r="G289" s="714"/>
      <c r="H289" s="714"/>
      <c r="I289" s="714"/>
      <c r="J289" s="714"/>
      <c r="K289" s="715"/>
      <c r="L289" s="1126" t="s">
        <v>1713</v>
      </c>
    </row>
    <row r="290" spans="1:12" s="17" customFormat="1" ht="15.5" x14ac:dyDescent="0.35">
      <c r="A290" s="423" t="s">
        <v>1968</v>
      </c>
      <c r="B290" s="929">
        <v>931</v>
      </c>
      <c r="C290" s="1168" t="s">
        <v>475</v>
      </c>
      <c r="D290" s="713"/>
      <c r="E290" s="714"/>
      <c r="F290" s="714"/>
      <c r="G290" s="714"/>
      <c r="H290" s="714"/>
      <c r="I290" s="714"/>
      <c r="J290" s="714"/>
      <c r="K290" s="715"/>
      <c r="L290" s="1126" t="s">
        <v>1713</v>
      </c>
    </row>
    <row r="291" spans="1:12" s="17" customFormat="1" ht="15.5" x14ac:dyDescent="0.35">
      <c r="A291" s="423" t="s">
        <v>1969</v>
      </c>
      <c r="B291" s="929">
        <v>932</v>
      </c>
      <c r="C291" s="1168" t="s">
        <v>475</v>
      </c>
      <c r="D291" s="713"/>
      <c r="E291" s="714"/>
      <c r="F291" s="714"/>
      <c r="G291" s="714"/>
      <c r="H291" s="714"/>
      <c r="I291" s="714"/>
      <c r="J291" s="714"/>
      <c r="K291" s="715"/>
      <c r="L291" s="1126" t="s">
        <v>1713</v>
      </c>
    </row>
    <row r="292" spans="1:12" s="17" customFormat="1" ht="15.5" x14ac:dyDescent="0.35">
      <c r="A292" s="423" t="s">
        <v>1970</v>
      </c>
      <c r="B292" s="929">
        <v>933</v>
      </c>
      <c r="C292" s="1168" t="s">
        <v>475</v>
      </c>
      <c r="D292" s="713"/>
      <c r="E292" s="714"/>
      <c r="F292" s="714"/>
      <c r="G292" s="714"/>
      <c r="H292" s="714"/>
      <c r="I292" s="714"/>
      <c r="J292" s="714"/>
      <c r="K292" s="715"/>
      <c r="L292" s="1126" t="s">
        <v>1713</v>
      </c>
    </row>
    <row r="293" spans="1:12" s="17" customFormat="1" ht="15.5" x14ac:dyDescent="0.35">
      <c r="A293" s="423" t="s">
        <v>1971</v>
      </c>
      <c r="B293" s="929">
        <v>934</v>
      </c>
      <c r="C293" s="1168" t="s">
        <v>475</v>
      </c>
      <c r="D293" s="713"/>
      <c r="E293" s="714"/>
      <c r="F293" s="714"/>
      <c r="G293" s="714"/>
      <c r="H293" s="714"/>
      <c r="I293" s="714"/>
      <c r="J293" s="714"/>
      <c r="K293" s="715"/>
      <c r="L293" s="1126" t="s">
        <v>1713</v>
      </c>
    </row>
    <row r="294" spans="1:12" s="17" customFormat="1" ht="15.5" x14ac:dyDescent="0.35">
      <c r="A294" s="423" t="s">
        <v>1972</v>
      </c>
      <c r="B294" s="929">
        <v>935</v>
      </c>
      <c r="C294" s="1168" t="s">
        <v>475</v>
      </c>
      <c r="D294" s="713"/>
      <c r="E294" s="714"/>
      <c r="F294" s="714"/>
      <c r="G294" s="714"/>
      <c r="H294" s="714"/>
      <c r="I294" s="714"/>
      <c r="J294" s="714"/>
      <c r="K294" s="715"/>
      <c r="L294" s="1126" t="s">
        <v>1713</v>
      </c>
    </row>
    <row r="295" spans="1:12" s="17" customFormat="1" ht="15.5" x14ac:dyDescent="0.35">
      <c r="A295" s="423" t="s">
        <v>1973</v>
      </c>
      <c r="B295" s="929">
        <v>936</v>
      </c>
      <c r="C295" s="1168" t="s">
        <v>475</v>
      </c>
      <c r="D295" s="713"/>
      <c r="E295" s="714"/>
      <c r="F295" s="714"/>
      <c r="G295" s="714"/>
      <c r="H295" s="714"/>
      <c r="I295" s="714"/>
      <c r="J295" s="714"/>
      <c r="K295" s="715"/>
      <c r="L295" s="1126" t="s">
        <v>1713</v>
      </c>
    </row>
    <row r="296" spans="1:12" s="17" customFormat="1" ht="15.5" x14ac:dyDescent="0.35">
      <c r="A296" s="423" t="s">
        <v>1974</v>
      </c>
      <c r="B296" s="929">
        <v>937</v>
      </c>
      <c r="C296" s="1168" t="s">
        <v>475</v>
      </c>
      <c r="D296" s="713"/>
      <c r="E296" s="714"/>
      <c r="F296" s="714"/>
      <c r="G296" s="714"/>
      <c r="H296" s="714"/>
      <c r="I296" s="714"/>
      <c r="J296" s="714"/>
      <c r="K296" s="715"/>
      <c r="L296" s="1126" t="s">
        <v>1713</v>
      </c>
    </row>
    <row r="297" spans="1:12" s="17" customFormat="1" ht="15.5" x14ac:dyDescent="0.35">
      <c r="A297" s="423" t="s">
        <v>1975</v>
      </c>
      <c r="B297" s="929">
        <v>938</v>
      </c>
      <c r="C297" s="1168" t="s">
        <v>475</v>
      </c>
      <c r="D297" s="713"/>
      <c r="E297" s="714"/>
      <c r="F297" s="714"/>
      <c r="G297" s="714"/>
      <c r="H297" s="714"/>
      <c r="I297" s="714"/>
      <c r="J297" s="714"/>
      <c r="K297" s="715"/>
      <c r="L297" s="1126" t="s">
        <v>1713</v>
      </c>
    </row>
    <row r="298" spans="1:12" s="17" customFormat="1" ht="15.5" x14ac:dyDescent="0.35">
      <c r="A298" s="423" t="s">
        <v>1976</v>
      </c>
      <c r="B298" s="929">
        <v>939</v>
      </c>
      <c r="C298" s="1168" t="s">
        <v>475</v>
      </c>
      <c r="D298" s="713"/>
      <c r="E298" s="714"/>
      <c r="F298" s="714"/>
      <c r="G298" s="714"/>
      <c r="H298" s="714"/>
      <c r="I298" s="714"/>
      <c r="J298" s="714"/>
      <c r="K298" s="715"/>
      <c r="L298" s="1126" t="s">
        <v>1713</v>
      </c>
    </row>
    <row r="299" spans="1:12" s="17" customFormat="1" ht="15.5" x14ac:dyDescent="0.35">
      <c r="A299" s="423" t="s">
        <v>1977</v>
      </c>
      <c r="B299" s="929">
        <v>940</v>
      </c>
      <c r="C299" s="1168" t="s">
        <v>475</v>
      </c>
      <c r="D299" s="713"/>
      <c r="E299" s="714"/>
      <c r="F299" s="714"/>
      <c r="G299" s="714"/>
      <c r="H299" s="714"/>
      <c r="I299" s="714"/>
      <c r="J299" s="714"/>
      <c r="K299" s="715"/>
      <c r="L299" s="1126" t="s">
        <v>1713</v>
      </c>
    </row>
    <row r="300" spans="1:12" s="17" customFormat="1" ht="15.5" x14ac:dyDescent="0.35">
      <c r="A300" s="423" t="s">
        <v>1978</v>
      </c>
      <c r="B300" s="929">
        <v>941</v>
      </c>
      <c r="C300" s="1168" t="s">
        <v>475</v>
      </c>
      <c r="D300" s="713"/>
      <c r="E300" s="714"/>
      <c r="F300" s="714"/>
      <c r="G300" s="714"/>
      <c r="H300" s="714"/>
      <c r="I300" s="714"/>
      <c r="J300" s="714"/>
      <c r="K300" s="715"/>
      <c r="L300" s="1126" t="s">
        <v>1713</v>
      </c>
    </row>
    <row r="301" spans="1:12" s="17" customFormat="1" ht="15.5" x14ac:dyDescent="0.35">
      <c r="A301" s="423" t="s">
        <v>1979</v>
      </c>
      <c r="B301" s="929">
        <v>942</v>
      </c>
      <c r="C301" s="1168" t="s">
        <v>475</v>
      </c>
      <c r="D301" s="713"/>
      <c r="E301" s="714"/>
      <c r="F301" s="714"/>
      <c r="G301" s="714"/>
      <c r="H301" s="714"/>
      <c r="I301" s="714"/>
      <c r="J301" s="714"/>
      <c r="K301" s="715"/>
      <c r="L301" s="1126" t="s">
        <v>1713</v>
      </c>
    </row>
    <row r="302" spans="1:12" s="17" customFormat="1" ht="15.5" x14ac:dyDescent="0.35">
      <c r="A302" s="423" t="s">
        <v>1980</v>
      </c>
      <c r="B302" s="929">
        <v>943</v>
      </c>
      <c r="C302" s="1168" t="s">
        <v>475</v>
      </c>
      <c r="D302" s="713"/>
      <c r="E302" s="714"/>
      <c r="F302" s="714"/>
      <c r="G302" s="714"/>
      <c r="H302" s="714"/>
      <c r="I302" s="714"/>
      <c r="J302" s="714"/>
      <c r="K302" s="715"/>
      <c r="L302" s="1126" t="s">
        <v>1713</v>
      </c>
    </row>
    <row r="303" spans="1:12" s="17" customFormat="1" ht="15.5" x14ac:dyDescent="0.35">
      <c r="A303" s="423" t="s">
        <v>1981</v>
      </c>
      <c r="B303" s="929">
        <v>944</v>
      </c>
      <c r="C303" s="1168" t="s">
        <v>475</v>
      </c>
      <c r="D303" s="713"/>
      <c r="E303" s="714"/>
      <c r="F303" s="714"/>
      <c r="G303" s="714"/>
      <c r="H303" s="714"/>
      <c r="I303" s="714"/>
      <c r="J303" s="714"/>
      <c r="K303" s="715"/>
      <c r="L303" s="1126" t="s">
        <v>1713</v>
      </c>
    </row>
    <row r="304" spans="1:12" s="17" customFormat="1" ht="15.5" x14ac:dyDescent="0.35">
      <c r="A304" s="423" t="s">
        <v>1982</v>
      </c>
      <c r="B304" s="929">
        <v>945</v>
      </c>
      <c r="C304" s="1168" t="s">
        <v>475</v>
      </c>
      <c r="D304" s="713"/>
      <c r="E304" s="714"/>
      <c r="F304" s="714"/>
      <c r="G304" s="714"/>
      <c r="H304" s="714"/>
      <c r="I304" s="714"/>
      <c r="J304" s="714"/>
      <c r="K304" s="715"/>
      <c r="L304" s="1126" t="s">
        <v>1713</v>
      </c>
    </row>
    <row r="305" spans="1:12" s="17" customFormat="1" ht="15.5" x14ac:dyDescent="0.35">
      <c r="A305" s="423" t="s">
        <v>1983</v>
      </c>
      <c r="B305" s="929">
        <v>946</v>
      </c>
      <c r="C305" s="1168" t="s">
        <v>475</v>
      </c>
      <c r="D305" s="713"/>
      <c r="E305" s="714"/>
      <c r="F305" s="714"/>
      <c r="G305" s="714"/>
      <c r="H305" s="714"/>
      <c r="I305" s="714"/>
      <c r="J305" s="714"/>
      <c r="K305" s="715"/>
      <c r="L305" s="1126" t="s">
        <v>1713</v>
      </c>
    </row>
    <row r="306" spans="1:12" s="17" customFormat="1" ht="15.5" x14ac:dyDescent="0.35">
      <c r="A306" s="423" t="s">
        <v>1984</v>
      </c>
      <c r="B306" s="929">
        <v>947</v>
      </c>
      <c r="C306" s="1168" t="s">
        <v>475</v>
      </c>
      <c r="D306" s="713"/>
      <c r="E306" s="714"/>
      <c r="F306" s="714"/>
      <c r="G306" s="714"/>
      <c r="H306" s="714"/>
      <c r="I306" s="714"/>
      <c r="J306" s="714"/>
      <c r="K306" s="715"/>
      <c r="L306" s="1126" t="s">
        <v>1713</v>
      </c>
    </row>
    <row r="307" spans="1:12" s="17" customFormat="1" ht="15.5" x14ac:dyDescent="0.35">
      <c r="A307" s="423" t="s">
        <v>1985</v>
      </c>
      <c r="B307" s="929">
        <v>948</v>
      </c>
      <c r="C307" s="1168" t="s">
        <v>475</v>
      </c>
      <c r="D307" s="713"/>
      <c r="E307" s="714"/>
      <c r="F307" s="714"/>
      <c r="G307" s="714"/>
      <c r="H307" s="714"/>
      <c r="I307" s="714"/>
      <c r="J307" s="714"/>
      <c r="K307" s="715"/>
      <c r="L307" s="1126" t="s">
        <v>1713</v>
      </c>
    </row>
    <row r="308" spans="1:12" s="17" customFormat="1" ht="15.5" x14ac:dyDescent="0.35">
      <c r="A308" s="423" t="s">
        <v>1986</v>
      </c>
      <c r="B308" s="929">
        <v>949</v>
      </c>
      <c r="C308" s="1168" t="s">
        <v>475</v>
      </c>
      <c r="D308" s="713"/>
      <c r="E308" s="714"/>
      <c r="F308" s="714"/>
      <c r="G308" s="714"/>
      <c r="H308" s="714"/>
      <c r="I308" s="714"/>
      <c r="J308" s="714"/>
      <c r="K308" s="715"/>
      <c r="L308" s="1126" t="s">
        <v>1713</v>
      </c>
    </row>
    <row r="309" spans="1:12" s="17" customFormat="1" ht="15.5" x14ac:dyDescent="0.35">
      <c r="A309" s="423" t="s">
        <v>1987</v>
      </c>
      <c r="B309" s="929">
        <v>950</v>
      </c>
      <c r="C309" s="1168" t="s">
        <v>475</v>
      </c>
      <c r="D309" s="713"/>
      <c r="E309" s="714"/>
      <c r="F309" s="714"/>
      <c r="G309" s="714"/>
      <c r="H309" s="714"/>
      <c r="I309" s="714"/>
      <c r="J309" s="714"/>
      <c r="K309" s="715"/>
      <c r="L309" s="1126" t="s">
        <v>1713</v>
      </c>
    </row>
    <row r="310" spans="1:12" s="17" customFormat="1" ht="15.5" x14ac:dyDescent="0.35">
      <c r="A310" s="423" t="s">
        <v>1988</v>
      </c>
      <c r="B310" s="929">
        <v>951</v>
      </c>
      <c r="C310" s="1168" t="s">
        <v>475</v>
      </c>
      <c r="D310" s="713"/>
      <c r="E310" s="714"/>
      <c r="F310" s="714"/>
      <c r="G310" s="714"/>
      <c r="H310" s="714"/>
      <c r="I310" s="714"/>
      <c r="J310" s="714"/>
      <c r="K310" s="715"/>
      <c r="L310" s="1126" t="s">
        <v>1713</v>
      </c>
    </row>
    <row r="311" spans="1:12" s="17" customFormat="1" ht="15.5" x14ac:dyDescent="0.35">
      <c r="A311" s="423" t="s">
        <v>1989</v>
      </c>
      <c r="B311" s="929">
        <v>952</v>
      </c>
      <c r="C311" s="1168" t="s">
        <v>475</v>
      </c>
      <c r="D311" s="713"/>
      <c r="E311" s="714"/>
      <c r="F311" s="714"/>
      <c r="G311" s="714"/>
      <c r="H311" s="714"/>
      <c r="I311" s="714"/>
      <c r="J311" s="714"/>
      <c r="K311" s="715"/>
      <c r="L311" s="1126" t="s">
        <v>1713</v>
      </c>
    </row>
    <row r="312" spans="1:12" s="17" customFormat="1" ht="15.5" x14ac:dyDescent="0.35">
      <c r="A312" s="423" t="s">
        <v>1990</v>
      </c>
      <c r="B312" s="929">
        <v>953</v>
      </c>
      <c r="C312" s="1168" t="s">
        <v>475</v>
      </c>
      <c r="D312" s="713"/>
      <c r="E312" s="714"/>
      <c r="F312" s="714"/>
      <c r="G312" s="714"/>
      <c r="H312" s="714"/>
      <c r="I312" s="714"/>
      <c r="J312" s="714"/>
      <c r="K312" s="715"/>
      <c r="L312" s="1126" t="s">
        <v>1713</v>
      </c>
    </row>
    <row r="313" spans="1:12" s="17" customFormat="1" ht="15.5" x14ac:dyDescent="0.35">
      <c r="A313" s="423" t="s">
        <v>1991</v>
      </c>
      <c r="B313" s="929">
        <v>954</v>
      </c>
      <c r="C313" s="1168" t="s">
        <v>475</v>
      </c>
      <c r="D313" s="713"/>
      <c r="E313" s="714"/>
      <c r="F313" s="714"/>
      <c r="G313" s="714"/>
      <c r="H313" s="714"/>
      <c r="I313" s="714"/>
      <c r="J313" s="714"/>
      <c r="K313" s="715"/>
      <c r="L313" s="1126" t="s">
        <v>1713</v>
      </c>
    </row>
    <row r="314" spans="1:12" s="17" customFormat="1" ht="15.5" x14ac:dyDescent="0.35">
      <c r="A314" s="423" t="s">
        <v>1992</v>
      </c>
      <c r="B314" s="929">
        <v>955</v>
      </c>
      <c r="C314" s="1168" t="s">
        <v>475</v>
      </c>
      <c r="D314" s="713"/>
      <c r="E314" s="714"/>
      <c r="F314" s="714"/>
      <c r="G314" s="714"/>
      <c r="H314" s="714"/>
      <c r="I314" s="714"/>
      <c r="J314" s="714"/>
      <c r="K314" s="715"/>
      <c r="L314" s="1126" t="s">
        <v>1713</v>
      </c>
    </row>
    <row r="315" spans="1:12" s="17" customFormat="1" ht="15.5" x14ac:dyDescent="0.35">
      <c r="A315" s="423" t="s">
        <v>1993</v>
      </c>
      <c r="B315" s="929">
        <v>956</v>
      </c>
      <c r="C315" s="1168" t="s">
        <v>475</v>
      </c>
      <c r="D315" s="713"/>
      <c r="E315" s="714"/>
      <c r="F315" s="714"/>
      <c r="G315" s="714"/>
      <c r="H315" s="714"/>
      <c r="I315" s="714"/>
      <c r="J315" s="714"/>
      <c r="K315" s="715"/>
      <c r="L315" s="1126" t="s">
        <v>1713</v>
      </c>
    </row>
    <row r="316" spans="1:12" s="17" customFormat="1" ht="15.5" x14ac:dyDescent="0.35">
      <c r="A316" s="423" t="s">
        <v>1994</v>
      </c>
      <c r="B316" s="929">
        <v>957</v>
      </c>
      <c r="C316" s="1168" t="s">
        <v>475</v>
      </c>
      <c r="D316" s="713"/>
      <c r="E316" s="714"/>
      <c r="F316" s="714"/>
      <c r="G316" s="714"/>
      <c r="H316" s="714"/>
      <c r="I316" s="714"/>
      <c r="J316" s="714"/>
      <c r="K316" s="715"/>
      <c r="L316" s="1126" t="s">
        <v>1713</v>
      </c>
    </row>
    <row r="317" spans="1:12" s="17" customFormat="1" ht="15.5" x14ac:dyDescent="0.35">
      <c r="A317" s="423" t="s">
        <v>1995</v>
      </c>
      <c r="B317" s="929">
        <v>958</v>
      </c>
      <c r="C317" s="1168" t="s">
        <v>475</v>
      </c>
      <c r="D317" s="713"/>
      <c r="E317" s="714"/>
      <c r="F317" s="714"/>
      <c r="G317" s="714"/>
      <c r="H317" s="714"/>
      <c r="I317" s="714"/>
      <c r="J317" s="714"/>
      <c r="K317" s="715"/>
      <c r="L317" s="1126" t="s">
        <v>1713</v>
      </c>
    </row>
    <row r="318" spans="1:12" s="17" customFormat="1" ht="15.5" x14ac:dyDescent="0.35">
      <c r="A318" s="423" t="s">
        <v>1996</v>
      </c>
      <c r="B318" s="929">
        <v>959</v>
      </c>
      <c r="C318" s="1168" t="s">
        <v>475</v>
      </c>
      <c r="D318" s="713"/>
      <c r="E318" s="714"/>
      <c r="F318" s="714"/>
      <c r="G318" s="714"/>
      <c r="H318" s="714"/>
      <c r="I318" s="714"/>
      <c r="J318" s="714"/>
      <c r="K318" s="715"/>
      <c r="L318" s="1126" t="s">
        <v>1713</v>
      </c>
    </row>
    <row r="319" spans="1:12" s="17" customFormat="1" ht="15.5" x14ac:dyDescent="0.35">
      <c r="A319" s="423" t="s">
        <v>1997</v>
      </c>
      <c r="B319" s="929">
        <v>960</v>
      </c>
      <c r="C319" s="1168" t="s">
        <v>475</v>
      </c>
      <c r="D319" s="713"/>
      <c r="E319" s="714"/>
      <c r="F319" s="714"/>
      <c r="G319" s="714"/>
      <c r="H319" s="714"/>
      <c r="I319" s="714"/>
      <c r="J319" s="714"/>
      <c r="K319" s="715"/>
      <c r="L319" s="1126" t="s">
        <v>1713</v>
      </c>
    </row>
    <row r="320" spans="1:12" s="17" customFormat="1" ht="15.5" x14ac:dyDescent="0.35">
      <c r="A320" s="423" t="s">
        <v>1998</v>
      </c>
      <c r="B320" s="929">
        <v>998</v>
      </c>
      <c r="C320" s="1168" t="s">
        <v>475</v>
      </c>
      <c r="D320" s="1530"/>
      <c r="E320" s="1531"/>
      <c r="F320" s="1531"/>
      <c r="G320" s="1531"/>
      <c r="H320" s="1531"/>
      <c r="I320" s="1531"/>
      <c r="J320" s="1531"/>
      <c r="K320" s="1532"/>
      <c r="L320" s="1126" t="s">
        <v>1713</v>
      </c>
    </row>
    <row r="321" spans="1:12" s="17" customFormat="1" ht="15.5" x14ac:dyDescent="0.35">
      <c r="A321" s="423" t="s">
        <v>1999</v>
      </c>
      <c r="B321" s="929">
        <v>999</v>
      </c>
      <c r="C321" s="1168" t="s">
        <v>475</v>
      </c>
      <c r="D321" s="1530"/>
      <c r="E321" s="1531"/>
      <c r="F321" s="1531"/>
      <c r="G321" s="1531"/>
      <c r="H321" s="1531"/>
      <c r="I321" s="1531"/>
      <c r="J321" s="1531"/>
      <c r="K321" s="1532"/>
      <c r="L321" s="1126" t="s">
        <v>1713</v>
      </c>
    </row>
    <row r="322" spans="1:12" s="17" customFormat="1" ht="15.5" x14ac:dyDescent="0.35">
      <c r="A322" s="423" t="s">
        <v>2000</v>
      </c>
      <c r="B322" s="929">
        <v>10</v>
      </c>
      <c r="C322" s="1168" t="s">
        <v>2001</v>
      </c>
      <c r="D322" s="1530"/>
      <c r="E322" s="1531"/>
      <c r="F322" s="1531"/>
      <c r="G322" s="1531"/>
      <c r="H322" s="1531"/>
      <c r="I322" s="1531"/>
      <c r="J322" s="1531"/>
      <c r="K322" s="1532"/>
      <c r="L322" s="1126" t="s">
        <v>1713</v>
      </c>
    </row>
    <row r="323" spans="1:12" s="17" customFormat="1" ht="15.5" x14ac:dyDescent="0.35">
      <c r="A323" s="423" t="s">
        <v>2002</v>
      </c>
      <c r="B323" s="929">
        <v>20</v>
      </c>
      <c r="C323" s="1168" t="s">
        <v>2001</v>
      </c>
      <c r="D323" s="1530"/>
      <c r="E323" s="1531"/>
      <c r="F323" s="1531"/>
      <c r="G323" s="1531"/>
      <c r="H323" s="1531"/>
      <c r="I323" s="1531"/>
      <c r="J323" s="1531"/>
      <c r="K323" s="1532"/>
      <c r="L323" s="1126" t="s">
        <v>1713</v>
      </c>
    </row>
    <row r="324" spans="1:12" s="17" customFormat="1" ht="15.5" x14ac:dyDescent="0.35">
      <c r="A324" s="423" t="s">
        <v>2003</v>
      </c>
      <c r="B324" s="929">
        <v>30</v>
      </c>
      <c r="C324" s="1168" t="s">
        <v>2001</v>
      </c>
      <c r="D324" s="1530"/>
      <c r="E324" s="1531"/>
      <c r="F324" s="1531"/>
      <c r="G324" s="1531"/>
      <c r="H324" s="1531"/>
      <c r="I324" s="1531"/>
      <c r="J324" s="1531"/>
      <c r="K324" s="1532"/>
      <c r="L324" s="1126" t="s">
        <v>1713</v>
      </c>
    </row>
    <row r="325" spans="1:12" s="17" customFormat="1" ht="15.5" x14ac:dyDescent="0.35">
      <c r="A325" s="423" t="s">
        <v>2004</v>
      </c>
      <c r="B325" s="929">
        <v>40</v>
      </c>
      <c r="C325" s="1168" t="s">
        <v>2001</v>
      </c>
      <c r="D325" s="1530"/>
      <c r="E325" s="1531"/>
      <c r="F325" s="1531"/>
      <c r="G325" s="1531"/>
      <c r="H325" s="1531"/>
      <c r="I325" s="1531"/>
      <c r="J325" s="1531"/>
      <c r="K325" s="1532"/>
      <c r="L325" s="1126" t="s">
        <v>1713</v>
      </c>
    </row>
    <row r="326" spans="1:12" s="17" customFormat="1" ht="15.5" x14ac:dyDescent="0.35">
      <c r="A326" s="423" t="s">
        <v>2005</v>
      </c>
      <c r="B326" s="929">
        <v>45</v>
      </c>
      <c r="C326" s="1168" t="s">
        <v>2001</v>
      </c>
      <c r="D326" s="1530"/>
      <c r="E326" s="1531"/>
      <c r="F326" s="1531"/>
      <c r="G326" s="1531"/>
      <c r="H326" s="1531"/>
      <c r="I326" s="1531"/>
      <c r="J326" s="1531"/>
      <c r="K326" s="1532"/>
      <c r="L326" s="1126" t="s">
        <v>1713</v>
      </c>
    </row>
    <row r="327" spans="1:12" s="17" customFormat="1" ht="15.5" x14ac:dyDescent="0.35">
      <c r="A327" s="423" t="s">
        <v>2006</v>
      </c>
      <c r="B327" s="929">
        <v>65</v>
      </c>
      <c r="C327" s="1168" t="s">
        <v>2001</v>
      </c>
      <c r="D327" s="1530"/>
      <c r="E327" s="1531"/>
      <c r="F327" s="1531"/>
      <c r="G327" s="1531"/>
      <c r="H327" s="1531"/>
      <c r="I327" s="1531"/>
      <c r="J327" s="1531"/>
      <c r="K327" s="1532"/>
      <c r="L327" s="1126" t="s">
        <v>1713</v>
      </c>
    </row>
    <row r="328" spans="1:12" s="17" customFormat="1" ht="15.5" x14ac:dyDescent="0.35">
      <c r="A328" s="423" t="s">
        <v>2007</v>
      </c>
      <c r="B328" s="929">
        <v>90</v>
      </c>
      <c r="C328" s="1168" t="s">
        <v>2001</v>
      </c>
      <c r="D328" s="1530"/>
      <c r="E328" s="1531"/>
      <c r="F328" s="1531"/>
      <c r="G328" s="1531"/>
      <c r="H328" s="1531"/>
      <c r="I328" s="1531"/>
      <c r="J328" s="1531"/>
      <c r="K328" s="1532"/>
      <c r="L328" s="1126" t="s">
        <v>1713</v>
      </c>
    </row>
    <row r="329" spans="1:12" s="17" customFormat="1" ht="15.5" x14ac:dyDescent="0.35">
      <c r="A329" s="93" t="s">
        <v>2008</v>
      </c>
      <c r="B329" s="929">
        <v>1901</v>
      </c>
      <c r="C329" s="1168" t="s">
        <v>2001</v>
      </c>
      <c r="D329" s="713"/>
      <c r="E329" s="714"/>
      <c r="F329" s="714"/>
      <c r="G329" s="714"/>
      <c r="H329" s="714"/>
      <c r="I329" s="714"/>
      <c r="J329" s="714"/>
      <c r="K329" s="715"/>
      <c r="L329" s="1126" t="s">
        <v>1713</v>
      </c>
    </row>
    <row r="330" spans="1:12" s="17" customFormat="1" ht="15.5" x14ac:dyDescent="0.35">
      <c r="A330" s="93" t="s">
        <v>748</v>
      </c>
      <c r="B330" s="929">
        <v>1902</v>
      </c>
      <c r="C330" s="1168" t="s">
        <v>2001</v>
      </c>
      <c r="D330" s="713"/>
      <c r="E330" s="714"/>
      <c r="F330" s="714"/>
      <c r="G330" s="714"/>
      <c r="H330" s="714"/>
      <c r="I330" s="714"/>
      <c r="J330" s="714"/>
      <c r="K330" s="715"/>
      <c r="L330" s="1126" t="s">
        <v>1713</v>
      </c>
    </row>
    <row r="331" spans="1:12" s="17" customFormat="1" ht="15.5" x14ac:dyDescent="0.35">
      <c r="A331" s="423" t="s">
        <v>2009</v>
      </c>
      <c r="B331" s="929">
        <v>11</v>
      </c>
      <c r="C331" s="1168" t="s">
        <v>2010</v>
      </c>
      <c r="D331" s="1530"/>
      <c r="E331" s="1531"/>
      <c r="F331" s="1531"/>
      <c r="G331" s="1531"/>
      <c r="H331" s="1531"/>
      <c r="I331" s="1531"/>
      <c r="J331" s="1531"/>
      <c r="K331" s="1532"/>
      <c r="L331" s="1126" t="s">
        <v>1713</v>
      </c>
    </row>
    <row r="332" spans="1:12" s="17" customFormat="1" ht="15.5" x14ac:dyDescent="0.35">
      <c r="A332" s="423" t="s">
        <v>2011</v>
      </c>
      <c r="B332" s="929">
        <v>12</v>
      </c>
      <c r="C332" s="1168" t="s">
        <v>2010</v>
      </c>
      <c r="D332" s="1530"/>
      <c r="E332" s="1531"/>
      <c r="F332" s="1531"/>
      <c r="G332" s="1531"/>
      <c r="H332" s="1531"/>
      <c r="I332" s="1531"/>
      <c r="J332" s="1531"/>
      <c r="K332" s="1532"/>
      <c r="L332" s="1126" t="s">
        <v>1713</v>
      </c>
    </row>
    <row r="333" spans="1:12" s="17" customFormat="1" ht="15.5" x14ac:dyDescent="0.35">
      <c r="A333" s="423" t="s">
        <v>2012</v>
      </c>
      <c r="B333" s="929">
        <v>31</v>
      </c>
      <c r="C333" s="1168" t="s">
        <v>2010</v>
      </c>
      <c r="D333" s="1530"/>
      <c r="E333" s="1531"/>
      <c r="F333" s="1531"/>
      <c r="G333" s="1531"/>
      <c r="H333" s="1531"/>
      <c r="I333" s="1531"/>
      <c r="J333" s="1531"/>
      <c r="K333" s="1532"/>
      <c r="L333" s="1126" t="s">
        <v>1713</v>
      </c>
    </row>
    <row r="334" spans="1:12" s="17" customFormat="1" ht="15.5" x14ac:dyDescent="0.35">
      <c r="A334" s="423" t="s">
        <v>2013</v>
      </c>
      <c r="B334" s="929">
        <v>32</v>
      </c>
      <c r="C334" s="1168" t="s">
        <v>2010</v>
      </c>
      <c r="D334" s="1530"/>
      <c r="E334" s="1531"/>
      <c r="F334" s="1531"/>
      <c r="G334" s="1531"/>
      <c r="H334" s="1531"/>
      <c r="I334" s="1531"/>
      <c r="J334" s="1531"/>
      <c r="K334" s="1532"/>
      <c r="L334" s="1126" t="s">
        <v>1713</v>
      </c>
    </row>
    <row r="335" spans="1:12" s="17" customFormat="1" ht="15.5" x14ac:dyDescent="0.35">
      <c r="A335" s="423" t="s">
        <v>2014</v>
      </c>
      <c r="B335" s="929">
        <v>33</v>
      </c>
      <c r="C335" s="1168" t="s">
        <v>2010</v>
      </c>
      <c r="D335" s="1530"/>
      <c r="E335" s="1531"/>
      <c r="F335" s="1531"/>
      <c r="G335" s="1531"/>
      <c r="H335" s="1531"/>
      <c r="I335" s="1531"/>
      <c r="J335" s="1531"/>
      <c r="K335" s="1532"/>
      <c r="L335" s="1126" t="s">
        <v>1713</v>
      </c>
    </row>
    <row r="336" spans="1:12" s="17" customFormat="1" ht="15.5" x14ac:dyDescent="0.35">
      <c r="A336" s="423" t="s">
        <v>2015</v>
      </c>
      <c r="B336" s="929">
        <v>41</v>
      </c>
      <c r="C336" s="1168" t="s">
        <v>2010</v>
      </c>
      <c r="D336" s="1530"/>
      <c r="E336" s="1531"/>
      <c r="F336" s="1531"/>
      <c r="G336" s="1531"/>
      <c r="H336" s="1531"/>
      <c r="I336" s="1531"/>
      <c r="J336" s="1531"/>
      <c r="K336" s="1532"/>
      <c r="L336" s="1126" t="s">
        <v>1713</v>
      </c>
    </row>
    <row r="337" spans="1:12" s="17" customFormat="1" ht="15.5" x14ac:dyDescent="0.35">
      <c r="A337" s="423" t="s">
        <v>2016</v>
      </c>
      <c r="B337" s="929">
        <v>44</v>
      </c>
      <c r="C337" s="1168" t="s">
        <v>2010</v>
      </c>
      <c r="D337" s="1530"/>
      <c r="E337" s="1531"/>
      <c r="F337" s="1531"/>
      <c r="G337" s="1531"/>
      <c r="H337" s="1531"/>
      <c r="I337" s="1531"/>
      <c r="J337" s="1531"/>
      <c r="K337" s="1532"/>
      <c r="L337" s="1126" t="s">
        <v>1713</v>
      </c>
    </row>
    <row r="338" spans="1:12" s="17" customFormat="1" ht="15.5" x14ac:dyDescent="0.35">
      <c r="A338" s="423" t="s">
        <v>2017</v>
      </c>
      <c r="B338" s="929">
        <v>48</v>
      </c>
      <c r="C338" s="1168" t="s">
        <v>2010</v>
      </c>
      <c r="D338" s="1530"/>
      <c r="E338" s="1531"/>
      <c r="F338" s="1531"/>
      <c r="G338" s="1531"/>
      <c r="H338" s="1531"/>
      <c r="I338" s="1531"/>
      <c r="J338" s="1531"/>
      <c r="K338" s="1532"/>
      <c r="L338" s="1126" t="s">
        <v>1713</v>
      </c>
    </row>
    <row r="339" spans="1:12" s="17" customFormat="1" ht="15.5" x14ac:dyDescent="0.35">
      <c r="A339" s="423" t="s">
        <v>2018</v>
      </c>
      <c r="B339" s="929">
        <v>49</v>
      </c>
      <c r="C339" s="1168" t="s">
        <v>2010</v>
      </c>
      <c r="D339" s="1530"/>
      <c r="E339" s="1531"/>
      <c r="F339" s="1531"/>
      <c r="G339" s="1531"/>
      <c r="H339" s="1531"/>
      <c r="I339" s="1531"/>
      <c r="J339" s="1531"/>
      <c r="K339" s="1532"/>
      <c r="L339" s="1126" t="s">
        <v>1713</v>
      </c>
    </row>
    <row r="340" spans="1:12" s="17" customFormat="1" ht="15.5" x14ac:dyDescent="0.35">
      <c r="A340" s="423" t="s">
        <v>2019</v>
      </c>
      <c r="B340" s="929">
        <v>51</v>
      </c>
      <c r="C340" s="1168" t="s">
        <v>2010</v>
      </c>
      <c r="D340" s="1530"/>
      <c r="E340" s="1531"/>
      <c r="F340" s="1531"/>
      <c r="G340" s="1531"/>
      <c r="H340" s="1531"/>
      <c r="I340" s="1531"/>
      <c r="J340" s="1531"/>
      <c r="K340" s="1532"/>
      <c r="L340" s="1126" t="s">
        <v>1713</v>
      </c>
    </row>
    <row r="341" spans="1:12" s="17" customFormat="1" ht="15.5" x14ac:dyDescent="0.35">
      <c r="A341" s="423" t="s">
        <v>2020</v>
      </c>
      <c r="B341" s="929">
        <v>52</v>
      </c>
      <c r="C341" s="1168" t="s">
        <v>2010</v>
      </c>
      <c r="D341" s="1530"/>
      <c r="E341" s="1531"/>
      <c r="F341" s="1531"/>
      <c r="G341" s="1531"/>
      <c r="H341" s="1531"/>
      <c r="I341" s="1531"/>
      <c r="J341" s="1531"/>
      <c r="K341" s="1532"/>
      <c r="L341" s="1126" t="s">
        <v>1713</v>
      </c>
    </row>
    <row r="342" spans="1:12" s="17" customFormat="1" ht="15.5" x14ac:dyDescent="0.35">
      <c r="A342" s="423" t="s">
        <v>2021</v>
      </c>
      <c r="B342" s="929">
        <v>54</v>
      </c>
      <c r="C342" s="1168" t="s">
        <v>2010</v>
      </c>
      <c r="D342" s="1530"/>
      <c r="E342" s="1531"/>
      <c r="F342" s="1531"/>
      <c r="G342" s="1531"/>
      <c r="H342" s="1531"/>
      <c r="I342" s="1531"/>
      <c r="J342" s="1531"/>
      <c r="K342" s="1532"/>
      <c r="L342" s="1126" t="s">
        <v>1713</v>
      </c>
    </row>
    <row r="343" spans="1:12" s="17" customFormat="1" ht="15.5" x14ac:dyDescent="0.35">
      <c r="A343" s="423" t="s">
        <v>2022</v>
      </c>
      <c r="B343" s="929">
        <v>58</v>
      </c>
      <c r="C343" s="1168" t="s">
        <v>2010</v>
      </c>
      <c r="D343" s="1530"/>
      <c r="E343" s="1531"/>
      <c r="F343" s="1531"/>
      <c r="G343" s="1531"/>
      <c r="H343" s="1531"/>
      <c r="I343" s="1531"/>
      <c r="J343" s="1531"/>
      <c r="K343" s="1532"/>
      <c r="L343" s="1126" t="s">
        <v>1713</v>
      </c>
    </row>
    <row r="344" spans="1:12" s="17" customFormat="1" ht="15.5" x14ac:dyDescent="0.35">
      <c r="A344" s="423" t="s">
        <v>2023</v>
      </c>
      <c r="B344" s="929">
        <v>61</v>
      </c>
      <c r="C344" s="1168" t="s">
        <v>2010</v>
      </c>
      <c r="D344" s="1530"/>
      <c r="E344" s="1531"/>
      <c r="F344" s="1531"/>
      <c r="G344" s="1531"/>
      <c r="H344" s="1531"/>
      <c r="I344" s="1531"/>
      <c r="J344" s="1531"/>
      <c r="K344" s="1532"/>
      <c r="L344" s="1126" t="s">
        <v>1713</v>
      </c>
    </row>
    <row r="345" spans="1:12" s="17" customFormat="1" ht="15.5" x14ac:dyDescent="0.35">
      <c r="A345" s="423" t="s">
        <v>2024</v>
      </c>
      <c r="B345" s="929">
        <v>62</v>
      </c>
      <c r="C345" s="1168" t="s">
        <v>2010</v>
      </c>
      <c r="D345" s="1530"/>
      <c r="E345" s="1531"/>
      <c r="F345" s="1531"/>
      <c r="G345" s="1531"/>
      <c r="H345" s="1531"/>
      <c r="I345" s="1531"/>
      <c r="J345" s="1531"/>
      <c r="K345" s="1532"/>
      <c r="L345" s="1126" t="s">
        <v>1713</v>
      </c>
    </row>
    <row r="346" spans="1:12" s="17" customFormat="1" ht="15.5" x14ac:dyDescent="0.35">
      <c r="A346" s="423" t="s">
        <v>2025</v>
      </c>
      <c r="B346" s="929">
        <v>71</v>
      </c>
      <c r="C346" s="1168" t="s">
        <v>2010</v>
      </c>
      <c r="D346" s="1530"/>
      <c r="E346" s="1531"/>
      <c r="F346" s="1531"/>
      <c r="G346" s="1531"/>
      <c r="H346" s="1531"/>
      <c r="I346" s="1531"/>
      <c r="J346" s="1531"/>
      <c r="K346" s="1532"/>
      <c r="L346" s="1126" t="s">
        <v>1713</v>
      </c>
    </row>
    <row r="347" spans="1:12" s="17" customFormat="1" ht="15.5" x14ac:dyDescent="0.35">
      <c r="A347" s="423" t="s">
        <v>2026</v>
      </c>
      <c r="B347" s="929">
        <v>72</v>
      </c>
      <c r="C347" s="1168" t="s">
        <v>2010</v>
      </c>
      <c r="D347" s="1530"/>
      <c r="E347" s="1531"/>
      <c r="F347" s="1531"/>
      <c r="G347" s="1531"/>
      <c r="H347" s="1531"/>
      <c r="I347" s="1531"/>
      <c r="J347" s="1531"/>
      <c r="K347" s="1532"/>
      <c r="L347" s="1126" t="s">
        <v>1713</v>
      </c>
    </row>
    <row r="348" spans="1:12" s="17" customFormat="1" ht="15.5" x14ac:dyDescent="0.35">
      <c r="A348" s="423" t="s">
        <v>2027</v>
      </c>
      <c r="B348" s="929">
        <v>73</v>
      </c>
      <c r="C348" s="1168" t="s">
        <v>2010</v>
      </c>
      <c r="D348" s="1530"/>
      <c r="E348" s="1531"/>
      <c r="F348" s="1531"/>
      <c r="G348" s="1531"/>
      <c r="H348" s="1531"/>
      <c r="I348" s="1531"/>
      <c r="J348" s="1531"/>
      <c r="K348" s="1532"/>
      <c r="L348" s="1126" t="s">
        <v>1713</v>
      </c>
    </row>
    <row r="349" spans="1:12" s="17" customFormat="1" ht="15.5" x14ac:dyDescent="0.35">
      <c r="A349" s="423" t="s">
        <v>2028</v>
      </c>
      <c r="B349" s="929">
        <v>74</v>
      </c>
      <c r="C349" s="1168" t="s">
        <v>2010</v>
      </c>
      <c r="D349" s="1530"/>
      <c r="E349" s="1531"/>
      <c r="F349" s="1531"/>
      <c r="G349" s="1531"/>
      <c r="H349" s="1531"/>
      <c r="I349" s="1531"/>
      <c r="J349" s="1531"/>
      <c r="K349" s="1532"/>
      <c r="L349" s="1126" t="s">
        <v>1713</v>
      </c>
    </row>
    <row r="350" spans="1:12" s="17" customFormat="1" ht="15.5" x14ac:dyDescent="0.35">
      <c r="A350" s="423" t="s">
        <v>2029</v>
      </c>
      <c r="B350" s="929">
        <v>75</v>
      </c>
      <c r="C350" s="1168" t="s">
        <v>2010</v>
      </c>
      <c r="D350" s="1530"/>
      <c r="E350" s="1531"/>
      <c r="F350" s="1531"/>
      <c r="G350" s="1531"/>
      <c r="H350" s="1531"/>
      <c r="I350" s="1531"/>
      <c r="J350" s="1531"/>
      <c r="K350" s="1532"/>
      <c r="L350" s="1126" t="s">
        <v>1713</v>
      </c>
    </row>
    <row r="351" spans="1:12" s="17" customFormat="1" ht="15.5" x14ac:dyDescent="0.35">
      <c r="A351" s="423" t="s">
        <v>2030</v>
      </c>
      <c r="B351" s="929">
        <v>76</v>
      </c>
      <c r="C351" s="1168" t="s">
        <v>2010</v>
      </c>
      <c r="D351" s="1530"/>
      <c r="E351" s="1531"/>
      <c r="F351" s="1531"/>
      <c r="G351" s="1531"/>
      <c r="H351" s="1531"/>
      <c r="I351" s="1531"/>
      <c r="J351" s="1531"/>
      <c r="K351" s="1532"/>
      <c r="L351" s="1126" t="s">
        <v>1713</v>
      </c>
    </row>
    <row r="352" spans="1:12" s="17" customFormat="1" ht="15.5" x14ac:dyDescent="0.35">
      <c r="A352" s="423" t="s">
        <v>2031</v>
      </c>
      <c r="B352" s="929">
        <v>80</v>
      </c>
      <c r="C352" s="1168" t="s">
        <v>2010</v>
      </c>
      <c r="D352" s="1530"/>
      <c r="E352" s="1531"/>
      <c r="F352" s="1531"/>
      <c r="G352" s="1531"/>
      <c r="H352" s="1531"/>
      <c r="I352" s="1531"/>
      <c r="J352" s="1531"/>
      <c r="K352" s="1532"/>
      <c r="L352" s="1126" t="s">
        <v>1713</v>
      </c>
    </row>
    <row r="353" spans="1:12" s="17" customFormat="1" ht="15.5" x14ac:dyDescent="0.35">
      <c r="A353" s="423" t="s">
        <v>2032</v>
      </c>
      <c r="B353" s="929">
        <v>90</v>
      </c>
      <c r="C353" s="1168" t="s">
        <v>2010</v>
      </c>
      <c r="D353" s="1530"/>
      <c r="E353" s="1531"/>
      <c r="F353" s="1531"/>
      <c r="G353" s="1531"/>
      <c r="H353" s="1531"/>
      <c r="I353" s="1531"/>
      <c r="J353" s="1531"/>
      <c r="K353" s="1532"/>
      <c r="L353" s="1126" t="s">
        <v>1713</v>
      </c>
    </row>
    <row r="354" spans="1:12" s="17" customFormat="1" ht="15.5" x14ac:dyDescent="0.35">
      <c r="A354" s="423" t="s">
        <v>2033</v>
      </c>
      <c r="B354" s="929">
        <v>130</v>
      </c>
      <c r="C354" s="1168" t="s">
        <v>2010</v>
      </c>
      <c r="D354" s="1530"/>
      <c r="E354" s="1531"/>
      <c r="F354" s="1531"/>
      <c r="G354" s="1531"/>
      <c r="H354" s="1531"/>
      <c r="I354" s="1531"/>
      <c r="J354" s="1531"/>
      <c r="K354" s="1532"/>
      <c r="L354" s="1126" t="s">
        <v>1713</v>
      </c>
    </row>
    <row r="355" spans="1:12" s="17" customFormat="1" ht="15.5" x14ac:dyDescent="0.35">
      <c r="A355" s="423" t="s">
        <v>2034</v>
      </c>
      <c r="B355" s="929">
        <v>172</v>
      </c>
      <c r="C355" s="1168" t="s">
        <v>2010</v>
      </c>
      <c r="D355" s="1530"/>
      <c r="E355" s="1531"/>
      <c r="F355" s="1531"/>
      <c r="G355" s="1531"/>
      <c r="H355" s="1531"/>
      <c r="I355" s="1531"/>
      <c r="J355" s="1531"/>
      <c r="K355" s="1532"/>
      <c r="L355" s="1126" t="s">
        <v>1713</v>
      </c>
    </row>
    <row r="356" spans="1:12" s="17" customFormat="1" ht="15.5" x14ac:dyDescent="0.35">
      <c r="A356" s="423" t="s">
        <v>2035</v>
      </c>
      <c r="B356" s="929">
        <v>173</v>
      </c>
      <c r="C356" s="1168" t="s">
        <v>2010</v>
      </c>
      <c r="D356" s="1530"/>
      <c r="E356" s="1531"/>
      <c r="F356" s="1531"/>
      <c r="G356" s="1531"/>
      <c r="H356" s="1531"/>
      <c r="I356" s="1531"/>
      <c r="J356" s="1531"/>
      <c r="K356" s="1532"/>
      <c r="L356" s="1126" t="s">
        <v>1713</v>
      </c>
    </row>
    <row r="357" spans="1:12" s="17" customFormat="1" ht="15.5" x14ac:dyDescent="0.35">
      <c r="A357" s="423" t="s">
        <v>2036</v>
      </c>
      <c r="B357" s="929">
        <v>174</v>
      </c>
      <c r="C357" s="1168" t="s">
        <v>2010</v>
      </c>
      <c r="D357" s="1530"/>
      <c r="E357" s="1531"/>
      <c r="F357" s="1531"/>
      <c r="G357" s="1531"/>
      <c r="H357" s="1531"/>
      <c r="I357" s="1531"/>
      <c r="J357" s="1531"/>
      <c r="K357" s="1532"/>
      <c r="L357" s="1126" t="s">
        <v>1713</v>
      </c>
    </row>
    <row r="358" spans="1:12" s="17" customFormat="1" ht="15.5" x14ac:dyDescent="0.35">
      <c r="A358" s="423" t="s">
        <v>2037</v>
      </c>
      <c r="B358" s="929">
        <v>141</v>
      </c>
      <c r="C358" s="1168" t="s">
        <v>2010</v>
      </c>
      <c r="D358" s="1530"/>
      <c r="E358" s="1531"/>
      <c r="F358" s="1531"/>
      <c r="G358" s="1531"/>
      <c r="H358" s="1531"/>
      <c r="I358" s="1531"/>
      <c r="J358" s="1531"/>
      <c r="K358" s="1532"/>
      <c r="L358" s="1126" t="s">
        <v>1713</v>
      </c>
    </row>
    <row r="359" spans="1:12" s="17" customFormat="1" ht="15.5" x14ac:dyDescent="0.35">
      <c r="A359" s="423" t="s">
        <v>2038</v>
      </c>
      <c r="B359" s="929">
        <v>144</v>
      </c>
      <c r="C359" s="1168" t="s">
        <v>2010</v>
      </c>
      <c r="D359" s="1530"/>
      <c r="E359" s="1531"/>
      <c r="F359" s="1531"/>
      <c r="G359" s="1531"/>
      <c r="H359" s="1531"/>
      <c r="I359" s="1531"/>
      <c r="J359" s="1531"/>
      <c r="K359" s="1532"/>
      <c r="L359" s="1126" t="s">
        <v>1713</v>
      </c>
    </row>
    <row r="360" spans="1:12" s="17" customFormat="1" ht="15.5" x14ac:dyDescent="0.35">
      <c r="A360" s="423" t="s">
        <v>2039</v>
      </c>
      <c r="B360" s="929">
        <v>161</v>
      </c>
      <c r="C360" s="1168" t="s">
        <v>2010</v>
      </c>
      <c r="D360" s="1530"/>
      <c r="E360" s="1531"/>
      <c r="F360" s="1531"/>
      <c r="G360" s="1531"/>
      <c r="H360" s="1531"/>
      <c r="I360" s="1531"/>
      <c r="J360" s="1531"/>
      <c r="K360" s="1532"/>
      <c r="L360" s="1126" t="s">
        <v>1713</v>
      </c>
    </row>
    <row r="361" spans="1:12" s="17" customFormat="1" ht="15.5" x14ac:dyDescent="0.35">
      <c r="A361" s="423" t="s">
        <v>2040</v>
      </c>
      <c r="B361" s="929">
        <v>162</v>
      </c>
      <c r="C361" s="1168" t="s">
        <v>2010</v>
      </c>
      <c r="D361" s="1530"/>
      <c r="E361" s="1531"/>
      <c r="F361" s="1531"/>
      <c r="G361" s="1531"/>
      <c r="H361" s="1531"/>
      <c r="I361" s="1531"/>
      <c r="J361" s="1531"/>
      <c r="K361" s="1532"/>
      <c r="L361" s="1126" t="s">
        <v>1713</v>
      </c>
    </row>
    <row r="362" spans="1:12" s="17" customFormat="1" ht="15.5" x14ac:dyDescent="0.35">
      <c r="A362" s="423" t="s">
        <v>2041</v>
      </c>
      <c r="B362" s="929">
        <v>101</v>
      </c>
      <c r="C362" s="1168" t="s">
        <v>2010</v>
      </c>
      <c r="D362" s="1530"/>
      <c r="E362" s="1531"/>
      <c r="F362" s="1531"/>
      <c r="G362" s="1531"/>
      <c r="H362" s="1531"/>
      <c r="I362" s="1531"/>
      <c r="J362" s="1531"/>
      <c r="K362" s="1532"/>
      <c r="L362" s="1126" t="s">
        <v>1713</v>
      </c>
    </row>
    <row r="363" spans="1:12" s="17" customFormat="1" ht="15.5" x14ac:dyDescent="0.35">
      <c r="A363" s="423" t="s">
        <v>2042</v>
      </c>
      <c r="B363" s="929">
        <v>102</v>
      </c>
      <c r="C363" s="1168" t="s">
        <v>2010</v>
      </c>
      <c r="D363" s="1530"/>
      <c r="E363" s="1531"/>
      <c r="F363" s="1531"/>
      <c r="G363" s="1531"/>
      <c r="H363" s="1531"/>
      <c r="I363" s="1531"/>
      <c r="J363" s="1531"/>
      <c r="K363" s="1532"/>
      <c r="L363" s="1126" t="s">
        <v>1713</v>
      </c>
    </row>
    <row r="364" spans="1:12" s="17" customFormat="1" ht="15.5" x14ac:dyDescent="0.35">
      <c r="A364" s="423" t="s">
        <v>2043</v>
      </c>
      <c r="B364" s="929">
        <v>103</v>
      </c>
      <c r="C364" s="1168" t="s">
        <v>2010</v>
      </c>
      <c r="D364" s="1530"/>
      <c r="E364" s="1531"/>
      <c r="F364" s="1531"/>
      <c r="G364" s="1531"/>
      <c r="H364" s="1531"/>
      <c r="I364" s="1531"/>
      <c r="J364" s="1531"/>
      <c r="K364" s="1532"/>
      <c r="L364" s="1126" t="s">
        <v>1713</v>
      </c>
    </row>
    <row r="365" spans="1:12" s="17" customFormat="1" ht="15.5" x14ac:dyDescent="0.35">
      <c r="A365" s="423" t="s">
        <v>2044</v>
      </c>
      <c r="B365" s="929">
        <v>104</v>
      </c>
      <c r="C365" s="1168" t="s">
        <v>2010</v>
      </c>
      <c r="D365" s="1530"/>
      <c r="E365" s="1531"/>
      <c r="F365" s="1531"/>
      <c r="G365" s="1531"/>
      <c r="H365" s="1531"/>
      <c r="I365" s="1531"/>
      <c r="J365" s="1531"/>
      <c r="K365" s="1532"/>
      <c r="L365" s="1126" t="s">
        <v>1713</v>
      </c>
    </row>
    <row r="366" spans="1:12" s="17" customFormat="1" ht="15.5" x14ac:dyDescent="0.35">
      <c r="A366" s="566" t="s">
        <v>2045</v>
      </c>
      <c r="B366" s="929">
        <v>1901</v>
      </c>
      <c r="C366" s="1168" t="s">
        <v>2010</v>
      </c>
      <c r="D366" s="713"/>
      <c r="E366" s="714"/>
      <c r="F366" s="714"/>
      <c r="G366" s="714"/>
      <c r="H366" s="714"/>
      <c r="I366" s="714"/>
      <c r="J366" s="714"/>
      <c r="K366" s="715"/>
      <c r="L366" s="1126" t="s">
        <v>1713</v>
      </c>
    </row>
    <row r="367" spans="1:12" s="17" customFormat="1" ht="15.5" x14ac:dyDescent="0.35">
      <c r="A367" s="566" t="s">
        <v>808</v>
      </c>
      <c r="B367" s="929">
        <v>1902</v>
      </c>
      <c r="C367" s="1168" t="s">
        <v>2010</v>
      </c>
      <c r="D367" s="713"/>
      <c r="E367" s="714"/>
      <c r="F367" s="714"/>
      <c r="G367" s="714"/>
      <c r="H367" s="714"/>
      <c r="I367" s="714"/>
      <c r="J367" s="714"/>
      <c r="K367" s="715"/>
      <c r="L367" s="1126" t="s">
        <v>1713</v>
      </c>
    </row>
    <row r="368" spans="1:12" s="17" customFormat="1" ht="15.5" x14ac:dyDescent="0.35">
      <c r="A368" s="423" t="s">
        <v>2046</v>
      </c>
      <c r="B368" s="929">
        <v>10</v>
      </c>
      <c r="C368" s="1168" t="s">
        <v>2047</v>
      </c>
      <c r="D368" s="1530"/>
      <c r="E368" s="1531"/>
      <c r="F368" s="1531"/>
      <c r="G368" s="1531"/>
      <c r="H368" s="1531"/>
      <c r="I368" s="1531"/>
      <c r="J368" s="1531"/>
      <c r="K368" s="1532"/>
      <c r="L368" s="1126" t="s">
        <v>1713</v>
      </c>
    </row>
    <row r="369" spans="1:12" s="17" customFormat="1" ht="15.5" x14ac:dyDescent="0.35">
      <c r="A369" s="423" t="s">
        <v>2048</v>
      </c>
      <c r="B369" s="929">
        <v>13</v>
      </c>
      <c r="C369" s="1168" t="s">
        <v>2047</v>
      </c>
      <c r="D369" s="1530"/>
      <c r="E369" s="1531"/>
      <c r="F369" s="1531"/>
      <c r="G369" s="1531"/>
      <c r="H369" s="1531"/>
      <c r="I369" s="1531"/>
      <c r="J369" s="1531"/>
      <c r="K369" s="1532"/>
      <c r="L369" s="1126" t="s">
        <v>1713</v>
      </c>
    </row>
    <row r="370" spans="1:12" s="17" customFormat="1" ht="15.5" x14ac:dyDescent="0.35">
      <c r="A370" s="423" t="s">
        <v>2049</v>
      </c>
      <c r="B370" s="929">
        <v>15</v>
      </c>
      <c r="C370" s="1168" t="s">
        <v>2047</v>
      </c>
      <c r="D370" s="1530"/>
      <c r="E370" s="1531"/>
      <c r="F370" s="1531"/>
      <c r="G370" s="1531"/>
      <c r="H370" s="1531"/>
      <c r="I370" s="1531"/>
      <c r="J370" s="1531"/>
      <c r="K370" s="1532"/>
      <c r="L370" s="1126" t="s">
        <v>1713</v>
      </c>
    </row>
    <row r="371" spans="1:12" s="17" customFormat="1" ht="15.5" x14ac:dyDescent="0.35">
      <c r="A371" s="93" t="s">
        <v>2050</v>
      </c>
      <c r="B371" s="929">
        <v>16</v>
      </c>
      <c r="C371" s="1168" t="s">
        <v>2047</v>
      </c>
      <c r="D371" s="713"/>
      <c r="E371" s="714"/>
      <c r="F371" s="714"/>
      <c r="G371" s="714"/>
      <c r="H371" s="714"/>
      <c r="I371" s="714"/>
      <c r="J371" s="714"/>
      <c r="K371" s="715"/>
      <c r="L371" s="1126" t="s">
        <v>1713</v>
      </c>
    </row>
    <row r="372" spans="1:12" s="17" customFormat="1" ht="15.5" x14ac:dyDescent="0.35">
      <c r="A372" s="93" t="s">
        <v>2051</v>
      </c>
      <c r="B372" s="929">
        <v>17</v>
      </c>
      <c r="C372" s="1168" t="s">
        <v>2047</v>
      </c>
      <c r="D372" s="713"/>
      <c r="E372" s="714"/>
      <c r="F372" s="714"/>
      <c r="G372" s="714"/>
      <c r="H372" s="714"/>
      <c r="I372" s="714"/>
      <c r="J372" s="714"/>
      <c r="K372" s="715"/>
      <c r="L372" s="1126" t="s">
        <v>1713</v>
      </c>
    </row>
    <row r="373" spans="1:12" s="17" customFormat="1" ht="15.5" x14ac:dyDescent="0.35">
      <c r="A373" s="93" t="s">
        <v>2052</v>
      </c>
      <c r="B373" s="929">
        <v>18</v>
      </c>
      <c r="C373" s="1168" t="s">
        <v>2047</v>
      </c>
      <c r="D373" s="713"/>
      <c r="E373" s="714"/>
      <c r="F373" s="714"/>
      <c r="G373" s="714"/>
      <c r="H373" s="714"/>
      <c r="I373" s="714"/>
      <c r="J373" s="714"/>
      <c r="K373" s="715"/>
      <c r="L373" s="1126" t="s">
        <v>1713</v>
      </c>
    </row>
    <row r="374" spans="1:12" s="17" customFormat="1" ht="15.5" x14ac:dyDescent="0.35">
      <c r="A374" s="93" t="s">
        <v>2053</v>
      </c>
      <c r="B374" s="929">
        <v>19</v>
      </c>
      <c r="C374" s="1168" t="s">
        <v>2047</v>
      </c>
      <c r="D374" s="713"/>
      <c r="E374" s="714"/>
      <c r="F374" s="714"/>
      <c r="G374" s="714"/>
      <c r="H374" s="714"/>
      <c r="I374" s="714"/>
      <c r="J374" s="714"/>
      <c r="K374" s="715"/>
      <c r="L374" s="1126" t="s">
        <v>1713</v>
      </c>
    </row>
    <row r="375" spans="1:12" s="17" customFormat="1" ht="15.5" x14ac:dyDescent="0.35">
      <c r="A375" s="423" t="s">
        <v>2054</v>
      </c>
      <c r="B375" s="929">
        <v>22</v>
      </c>
      <c r="C375" s="1168" t="s">
        <v>2047</v>
      </c>
      <c r="D375" s="1530"/>
      <c r="E375" s="1531"/>
      <c r="F375" s="1531"/>
      <c r="G375" s="1531"/>
      <c r="H375" s="1531"/>
      <c r="I375" s="1531"/>
      <c r="J375" s="1531"/>
      <c r="K375" s="1532"/>
      <c r="L375" s="1126" t="s">
        <v>1713</v>
      </c>
    </row>
    <row r="376" spans="1:12" s="17" customFormat="1" ht="15.5" x14ac:dyDescent="0.35">
      <c r="A376" s="423" t="s">
        <v>2055</v>
      </c>
      <c r="B376" s="929">
        <v>23</v>
      </c>
      <c r="C376" s="1168" t="s">
        <v>2047</v>
      </c>
      <c r="D376" s="1530"/>
      <c r="E376" s="1531"/>
      <c r="F376" s="1531"/>
      <c r="G376" s="1531"/>
      <c r="H376" s="1531"/>
      <c r="I376" s="1531"/>
      <c r="J376" s="1531"/>
      <c r="K376" s="1532"/>
      <c r="L376" s="1126" t="s">
        <v>1713</v>
      </c>
    </row>
    <row r="377" spans="1:12" s="17" customFormat="1" ht="15.5" x14ac:dyDescent="0.35">
      <c r="A377" s="423" t="s">
        <v>2056</v>
      </c>
      <c r="B377" s="929">
        <v>25</v>
      </c>
      <c r="C377" s="1168" t="s">
        <v>2047</v>
      </c>
      <c r="D377" s="1530"/>
      <c r="E377" s="1531"/>
      <c r="F377" s="1531"/>
      <c r="G377" s="1531"/>
      <c r="H377" s="1531"/>
      <c r="I377" s="1531"/>
      <c r="J377" s="1531"/>
      <c r="K377" s="1532"/>
      <c r="L377" s="1126" t="s">
        <v>1713</v>
      </c>
    </row>
    <row r="378" spans="1:12" s="17" customFormat="1" ht="15.5" x14ac:dyDescent="0.35">
      <c r="A378" s="423" t="s">
        <v>2057</v>
      </c>
      <c r="B378" s="929">
        <v>26</v>
      </c>
      <c r="C378" s="1168" t="s">
        <v>2047</v>
      </c>
      <c r="D378" s="1530"/>
      <c r="E378" s="1531"/>
      <c r="F378" s="1531"/>
      <c r="G378" s="1531"/>
      <c r="H378" s="1531"/>
      <c r="I378" s="1531"/>
      <c r="J378" s="1531"/>
      <c r="K378" s="1532"/>
      <c r="L378" s="1126" t="s">
        <v>1713</v>
      </c>
    </row>
    <row r="379" spans="1:12" ht="15.5" x14ac:dyDescent="0.35">
      <c r="A379" s="423" t="s">
        <v>2058</v>
      </c>
      <c r="B379" s="929">
        <v>27</v>
      </c>
      <c r="C379" s="1168" t="s">
        <v>2047</v>
      </c>
      <c r="D379" s="1530"/>
      <c r="E379" s="1531"/>
      <c r="F379" s="1531"/>
      <c r="G379" s="1531"/>
      <c r="H379" s="1531"/>
      <c r="I379" s="1531"/>
      <c r="J379" s="1531"/>
      <c r="K379" s="1532"/>
      <c r="L379" s="1126" t="s">
        <v>1713</v>
      </c>
    </row>
    <row r="380" spans="1:12" ht="15.5" x14ac:dyDescent="0.35">
      <c r="A380" s="423" t="s">
        <v>2059</v>
      </c>
      <c r="B380" s="929">
        <v>30</v>
      </c>
      <c r="C380" s="1168" t="s">
        <v>2047</v>
      </c>
      <c r="D380" s="1530"/>
      <c r="E380" s="1531"/>
      <c r="F380" s="1531"/>
      <c r="G380" s="1531"/>
      <c r="H380" s="1531"/>
      <c r="I380" s="1531"/>
      <c r="J380" s="1531"/>
      <c r="K380" s="1532"/>
      <c r="L380" s="1126" t="s">
        <v>1713</v>
      </c>
    </row>
    <row r="381" spans="1:12" ht="15.5" x14ac:dyDescent="0.35">
      <c r="A381" s="566" t="s">
        <v>2060</v>
      </c>
      <c r="B381" s="929">
        <v>301</v>
      </c>
      <c r="C381" s="1168" t="s">
        <v>2047</v>
      </c>
      <c r="D381" s="713"/>
      <c r="E381" s="714"/>
      <c r="F381" s="714"/>
      <c r="G381" s="714"/>
      <c r="H381" s="714"/>
      <c r="I381" s="714"/>
      <c r="J381" s="714"/>
      <c r="K381" s="715"/>
      <c r="L381" s="1126" t="s">
        <v>1713</v>
      </c>
    </row>
    <row r="382" spans="1:12" ht="15.5" x14ac:dyDescent="0.35">
      <c r="A382" s="566" t="s">
        <v>878</v>
      </c>
      <c r="B382" s="929">
        <v>302</v>
      </c>
      <c r="C382" s="1168" t="s">
        <v>2047</v>
      </c>
      <c r="D382" s="713"/>
      <c r="E382" s="714"/>
      <c r="F382" s="714"/>
      <c r="G382" s="714"/>
      <c r="H382" s="714"/>
      <c r="I382" s="714"/>
      <c r="J382" s="714"/>
      <c r="K382" s="715"/>
      <c r="L382" s="1126" t="s">
        <v>1713</v>
      </c>
    </row>
    <row r="383" spans="1:12" ht="15.5" x14ac:dyDescent="0.35">
      <c r="A383" s="423" t="s">
        <v>2061</v>
      </c>
      <c r="B383" s="929">
        <v>32</v>
      </c>
      <c r="C383" s="1168" t="s">
        <v>2047</v>
      </c>
      <c r="D383" s="1530"/>
      <c r="E383" s="1531"/>
      <c r="F383" s="1531"/>
      <c r="G383" s="1531"/>
      <c r="H383" s="1531"/>
      <c r="I383" s="1531"/>
      <c r="J383" s="1531"/>
      <c r="K383" s="1532"/>
      <c r="L383" s="1126" t="s">
        <v>1713</v>
      </c>
    </row>
    <row r="384" spans="1:12" ht="15.5" x14ac:dyDescent="0.35">
      <c r="A384" s="423" t="s">
        <v>2062</v>
      </c>
      <c r="B384" s="929">
        <v>33</v>
      </c>
      <c r="C384" s="1168" t="s">
        <v>2047</v>
      </c>
      <c r="D384" s="1530"/>
      <c r="E384" s="1531"/>
      <c r="F384" s="1531"/>
      <c r="G384" s="1531"/>
      <c r="H384" s="1531"/>
      <c r="I384" s="1531"/>
      <c r="J384" s="1531"/>
      <c r="K384" s="1532"/>
      <c r="L384" s="1126" t="s">
        <v>1713</v>
      </c>
    </row>
    <row r="385" spans="1:12" ht="15.5" x14ac:dyDescent="0.35">
      <c r="A385" s="423" t="s">
        <v>2063</v>
      </c>
      <c r="B385" s="929">
        <v>34</v>
      </c>
      <c r="C385" s="1168" t="s">
        <v>2047</v>
      </c>
      <c r="D385" s="1530"/>
      <c r="E385" s="1531"/>
      <c r="F385" s="1531"/>
      <c r="G385" s="1531"/>
      <c r="H385" s="1531"/>
      <c r="I385" s="1531"/>
      <c r="J385" s="1531"/>
      <c r="K385" s="1532"/>
      <c r="L385" s="1126" t="s">
        <v>1713</v>
      </c>
    </row>
    <row r="386" spans="1:12" ht="15.5" x14ac:dyDescent="0.35">
      <c r="A386" s="423" t="s">
        <v>2064</v>
      </c>
      <c r="B386" s="929">
        <v>35</v>
      </c>
      <c r="C386" s="1168" t="s">
        <v>2047</v>
      </c>
      <c r="D386" s="1530"/>
      <c r="E386" s="1531"/>
      <c r="F386" s="1531"/>
      <c r="G386" s="1531"/>
      <c r="H386" s="1531"/>
      <c r="I386" s="1531"/>
      <c r="J386" s="1531"/>
      <c r="K386" s="1532"/>
      <c r="L386" s="1126" t="s">
        <v>1713</v>
      </c>
    </row>
    <row r="387" spans="1:12" ht="15.5" x14ac:dyDescent="0.35">
      <c r="A387" s="423" t="s">
        <v>2065</v>
      </c>
      <c r="B387" s="929">
        <v>36</v>
      </c>
      <c r="C387" s="1168" t="s">
        <v>2047</v>
      </c>
      <c r="D387" s="1530"/>
      <c r="E387" s="1531"/>
      <c r="F387" s="1531"/>
      <c r="G387" s="1531"/>
      <c r="H387" s="1531"/>
      <c r="I387" s="1531"/>
      <c r="J387" s="1531"/>
      <c r="K387" s="1532"/>
      <c r="L387" s="1126" t="s">
        <v>1713</v>
      </c>
    </row>
    <row r="388" spans="1:12" ht="15.5" x14ac:dyDescent="0.35">
      <c r="A388" s="423" t="s">
        <v>2066</v>
      </c>
      <c r="B388" s="929">
        <v>37</v>
      </c>
      <c r="C388" s="1168" t="s">
        <v>2047</v>
      </c>
      <c r="D388" s="1530"/>
      <c r="E388" s="1531"/>
      <c r="F388" s="1531"/>
      <c r="G388" s="1531"/>
      <c r="H388" s="1531"/>
      <c r="I388" s="1531"/>
      <c r="J388" s="1531"/>
      <c r="K388" s="1532"/>
      <c r="L388" s="1126" t="s">
        <v>1713</v>
      </c>
    </row>
    <row r="389" spans="1:12" ht="15.5" x14ac:dyDescent="0.35">
      <c r="A389" s="423" t="s">
        <v>2067</v>
      </c>
      <c r="B389" s="929">
        <v>40</v>
      </c>
      <c r="C389" s="1168" t="s">
        <v>2047</v>
      </c>
      <c r="D389" s="1530"/>
      <c r="E389" s="1531"/>
      <c r="F389" s="1531"/>
      <c r="G389" s="1531"/>
      <c r="H389" s="1531"/>
      <c r="I389" s="1531"/>
      <c r="J389" s="1531"/>
      <c r="K389" s="1532"/>
      <c r="L389" s="1126" t="s">
        <v>1713</v>
      </c>
    </row>
    <row r="390" spans="1:12" ht="15.5" x14ac:dyDescent="0.35">
      <c r="A390" s="423" t="s">
        <v>2068</v>
      </c>
      <c r="B390" s="929">
        <v>41</v>
      </c>
      <c r="C390" s="1168" t="s">
        <v>2047</v>
      </c>
      <c r="D390" s="1530"/>
      <c r="E390" s="1531"/>
      <c r="F390" s="1531"/>
      <c r="G390" s="1531"/>
      <c r="H390" s="1531"/>
      <c r="I390" s="1531"/>
      <c r="J390" s="1531"/>
      <c r="K390" s="1532"/>
      <c r="L390" s="1126" t="s">
        <v>1713</v>
      </c>
    </row>
    <row r="391" spans="1:12" ht="15.5" x14ac:dyDescent="0.35">
      <c r="A391" s="423" t="s">
        <v>2069</v>
      </c>
      <c r="B391" s="929">
        <v>44</v>
      </c>
      <c r="C391" s="1168" t="s">
        <v>2047</v>
      </c>
      <c r="D391" s="1530"/>
      <c r="E391" s="1531"/>
      <c r="F391" s="1531"/>
      <c r="G391" s="1531"/>
      <c r="H391" s="1531"/>
      <c r="I391" s="1531"/>
      <c r="J391" s="1531"/>
      <c r="K391" s="1532"/>
      <c r="L391" s="1126" t="s">
        <v>1713</v>
      </c>
    </row>
    <row r="392" spans="1:12" ht="15.5" x14ac:dyDescent="0.35">
      <c r="A392" s="423" t="s">
        <v>2070</v>
      </c>
      <c r="B392" s="929">
        <v>45</v>
      </c>
      <c r="C392" s="1168" t="s">
        <v>2047</v>
      </c>
      <c r="D392" s="1530"/>
      <c r="E392" s="1531"/>
      <c r="F392" s="1531"/>
      <c r="G392" s="1531"/>
      <c r="H392" s="1531"/>
      <c r="I392" s="1531"/>
      <c r="J392" s="1531"/>
      <c r="K392" s="1532"/>
      <c r="L392" s="1126" t="s">
        <v>1713</v>
      </c>
    </row>
    <row r="393" spans="1:12" ht="15.5" x14ac:dyDescent="0.35">
      <c r="A393" s="423" t="s">
        <v>2071</v>
      </c>
      <c r="B393" s="929">
        <v>48</v>
      </c>
      <c r="C393" s="1168" t="s">
        <v>2047</v>
      </c>
      <c r="D393" s="1530"/>
      <c r="E393" s="1531"/>
      <c r="F393" s="1531"/>
      <c r="G393" s="1531"/>
      <c r="H393" s="1531"/>
      <c r="I393" s="1531"/>
      <c r="J393" s="1531"/>
      <c r="K393" s="1532"/>
      <c r="L393" s="1126" t="s">
        <v>1713</v>
      </c>
    </row>
    <row r="394" spans="1:12" ht="15.5" x14ac:dyDescent="0.35">
      <c r="A394" s="423" t="s">
        <v>2072</v>
      </c>
      <c r="B394" s="929">
        <v>49</v>
      </c>
      <c r="C394" s="1168" t="s">
        <v>2047</v>
      </c>
      <c r="D394" s="1530"/>
      <c r="E394" s="1531"/>
      <c r="F394" s="1531"/>
      <c r="G394" s="1531"/>
      <c r="H394" s="1531"/>
      <c r="I394" s="1531"/>
      <c r="J394" s="1531"/>
      <c r="K394" s="1532"/>
      <c r="L394" s="1126" t="s">
        <v>1713</v>
      </c>
    </row>
    <row r="395" spans="1:12" ht="15.5" x14ac:dyDescent="0.35">
      <c r="A395" s="423" t="s">
        <v>2073</v>
      </c>
      <c r="B395" s="929">
        <v>50</v>
      </c>
      <c r="C395" s="1168" t="s">
        <v>2047</v>
      </c>
      <c r="D395" s="1530"/>
      <c r="E395" s="1531"/>
      <c r="F395" s="1531"/>
      <c r="G395" s="1531"/>
      <c r="H395" s="1531"/>
      <c r="I395" s="1531"/>
      <c r="J395" s="1531"/>
      <c r="K395" s="1532"/>
      <c r="L395" s="1126" t="s">
        <v>1713</v>
      </c>
    </row>
    <row r="396" spans="1:12" ht="15.5" x14ac:dyDescent="0.35">
      <c r="A396" s="423" t="s">
        <v>2074</v>
      </c>
      <c r="B396" s="929">
        <v>51</v>
      </c>
      <c r="C396" s="1168" t="s">
        <v>2047</v>
      </c>
      <c r="D396" s="1530"/>
      <c r="E396" s="1531"/>
      <c r="F396" s="1531"/>
      <c r="G396" s="1531"/>
      <c r="H396" s="1531"/>
      <c r="I396" s="1531"/>
      <c r="J396" s="1531"/>
      <c r="K396" s="1532"/>
      <c r="L396" s="1126" t="s">
        <v>1713</v>
      </c>
    </row>
    <row r="397" spans="1:12" ht="15.5" x14ac:dyDescent="0.35">
      <c r="A397" s="423" t="s">
        <v>2075</v>
      </c>
      <c r="B397" s="929">
        <v>53</v>
      </c>
      <c r="C397" s="1168" t="s">
        <v>2047</v>
      </c>
      <c r="D397" s="1530"/>
      <c r="E397" s="1531"/>
      <c r="F397" s="1531"/>
      <c r="G397" s="1531"/>
      <c r="H397" s="1531"/>
      <c r="I397" s="1531"/>
      <c r="J397" s="1531"/>
      <c r="K397" s="1532"/>
      <c r="L397" s="1126" t="s">
        <v>1713</v>
      </c>
    </row>
    <row r="398" spans="1:12" ht="15.5" x14ac:dyDescent="0.35">
      <c r="A398" s="423" t="s">
        <v>2076</v>
      </c>
      <c r="B398" s="929">
        <v>54</v>
      </c>
      <c r="C398" s="1168" t="s">
        <v>2047</v>
      </c>
      <c r="D398" s="1530"/>
      <c r="E398" s="1531"/>
      <c r="F398" s="1531"/>
      <c r="G398" s="1531"/>
      <c r="H398" s="1531"/>
      <c r="I398" s="1531"/>
      <c r="J398" s="1531"/>
      <c r="K398" s="1532"/>
      <c r="L398" s="1126" t="s">
        <v>1713</v>
      </c>
    </row>
    <row r="399" spans="1:12" ht="15.5" x14ac:dyDescent="0.35">
      <c r="A399" s="423" t="s">
        <v>2077</v>
      </c>
      <c r="B399" s="929">
        <v>55</v>
      </c>
      <c r="C399" s="1168" t="s">
        <v>2047</v>
      </c>
      <c r="D399" s="1530"/>
      <c r="E399" s="1531"/>
      <c r="F399" s="1531"/>
      <c r="G399" s="1531"/>
      <c r="H399" s="1531"/>
      <c r="I399" s="1531"/>
      <c r="J399" s="1531"/>
      <c r="K399" s="1532"/>
      <c r="L399" s="1126" t="s">
        <v>1713</v>
      </c>
    </row>
    <row r="400" spans="1:12" ht="15.5" x14ac:dyDescent="0.35">
      <c r="A400" s="423" t="s">
        <v>2078</v>
      </c>
      <c r="B400" s="929">
        <v>56</v>
      </c>
      <c r="C400" s="1168" t="s">
        <v>2047</v>
      </c>
      <c r="D400" s="1530"/>
      <c r="E400" s="1531"/>
      <c r="F400" s="1531"/>
      <c r="G400" s="1531"/>
      <c r="H400" s="1531"/>
      <c r="I400" s="1531"/>
      <c r="J400" s="1531"/>
      <c r="K400" s="1532"/>
      <c r="L400" s="1126" t="s">
        <v>1713</v>
      </c>
    </row>
    <row r="401" spans="1:12" ht="15.5" x14ac:dyDescent="0.35">
      <c r="A401" s="423" t="s">
        <v>2079</v>
      </c>
      <c r="B401" s="929">
        <v>60</v>
      </c>
      <c r="C401" s="1168" t="s">
        <v>2047</v>
      </c>
      <c r="D401" s="1530"/>
      <c r="E401" s="1531"/>
      <c r="F401" s="1531"/>
      <c r="G401" s="1531"/>
      <c r="H401" s="1531"/>
      <c r="I401" s="1531"/>
      <c r="J401" s="1531"/>
      <c r="K401" s="1532"/>
      <c r="L401" s="1126" t="s">
        <v>1713</v>
      </c>
    </row>
    <row r="402" spans="1:12" ht="15.5" x14ac:dyDescent="0.35">
      <c r="A402" s="566" t="s">
        <v>2080</v>
      </c>
      <c r="B402" s="929">
        <v>601</v>
      </c>
      <c r="C402" s="1168" t="s">
        <v>2047</v>
      </c>
      <c r="D402" s="713"/>
      <c r="E402" s="714"/>
      <c r="F402" s="714"/>
      <c r="G402" s="714"/>
      <c r="H402" s="714"/>
      <c r="I402" s="714"/>
      <c r="J402" s="714"/>
      <c r="K402" s="715"/>
      <c r="L402" s="1126" t="s">
        <v>1713</v>
      </c>
    </row>
    <row r="403" spans="1:12" ht="15.5" x14ac:dyDescent="0.35">
      <c r="A403" s="566" t="s">
        <v>2081</v>
      </c>
      <c r="B403" s="929">
        <v>602</v>
      </c>
      <c r="C403" s="1168" t="s">
        <v>2047</v>
      </c>
      <c r="D403" s="713"/>
      <c r="E403" s="714"/>
      <c r="F403" s="714"/>
      <c r="G403" s="714"/>
      <c r="H403" s="714"/>
      <c r="I403" s="714"/>
      <c r="J403" s="714"/>
      <c r="K403" s="715"/>
      <c r="L403" s="1126" t="s">
        <v>1713</v>
      </c>
    </row>
    <row r="404" spans="1:12" ht="15.5" x14ac:dyDescent="0.35">
      <c r="A404" s="566" t="s">
        <v>2082</v>
      </c>
      <c r="B404" s="929">
        <v>603</v>
      </c>
      <c r="C404" s="1168" t="s">
        <v>2047</v>
      </c>
      <c r="D404" s="713"/>
      <c r="E404" s="714"/>
      <c r="F404" s="714"/>
      <c r="G404" s="714"/>
      <c r="H404" s="714"/>
      <c r="I404" s="714"/>
      <c r="J404" s="714"/>
      <c r="K404" s="715"/>
      <c r="L404" s="1126" t="s">
        <v>1713</v>
      </c>
    </row>
    <row r="405" spans="1:12" ht="15.5" x14ac:dyDescent="0.35">
      <c r="A405" s="566" t="s">
        <v>2083</v>
      </c>
      <c r="B405" s="929">
        <v>604</v>
      </c>
      <c r="C405" s="1168" t="s">
        <v>2047</v>
      </c>
      <c r="D405" s="713"/>
      <c r="E405" s="714"/>
      <c r="F405" s="714"/>
      <c r="G405" s="714"/>
      <c r="H405" s="714"/>
      <c r="I405" s="714"/>
      <c r="J405" s="714"/>
      <c r="K405" s="715"/>
      <c r="L405" s="1126" t="s">
        <v>1713</v>
      </c>
    </row>
    <row r="406" spans="1:12" ht="15.5" x14ac:dyDescent="0.35">
      <c r="A406" s="423" t="s">
        <v>2084</v>
      </c>
      <c r="B406" s="929">
        <v>61</v>
      </c>
      <c r="C406" s="1168" t="s">
        <v>2047</v>
      </c>
      <c r="D406" s="1530"/>
      <c r="E406" s="1531"/>
      <c r="F406" s="1531"/>
      <c r="G406" s="1531"/>
      <c r="H406" s="1531"/>
      <c r="I406" s="1531"/>
      <c r="J406" s="1531"/>
      <c r="K406" s="1532"/>
      <c r="L406" s="1126" t="s">
        <v>1713</v>
      </c>
    </row>
    <row r="407" spans="1:12" ht="15.5" x14ac:dyDescent="0.35">
      <c r="A407" s="423" t="s">
        <v>2085</v>
      </c>
      <c r="B407" s="929">
        <v>62</v>
      </c>
      <c r="C407" s="1168" t="s">
        <v>2047</v>
      </c>
      <c r="D407" s="1530"/>
      <c r="E407" s="1531"/>
      <c r="F407" s="1531"/>
      <c r="G407" s="1531"/>
      <c r="H407" s="1531"/>
      <c r="I407" s="1531"/>
      <c r="J407" s="1531"/>
      <c r="K407" s="1532"/>
      <c r="L407" s="1126" t="s">
        <v>1713</v>
      </c>
    </row>
    <row r="408" spans="1:12" ht="15.5" x14ac:dyDescent="0.35">
      <c r="A408" s="423" t="s">
        <v>2086</v>
      </c>
      <c r="B408" s="929">
        <v>63</v>
      </c>
      <c r="C408" s="1168" t="s">
        <v>2047</v>
      </c>
      <c r="D408" s="1530"/>
      <c r="E408" s="1531"/>
      <c r="F408" s="1531"/>
      <c r="G408" s="1531"/>
      <c r="H408" s="1531"/>
      <c r="I408" s="1531"/>
      <c r="J408" s="1531"/>
      <c r="K408" s="1532"/>
      <c r="L408" s="1126" t="s">
        <v>1713</v>
      </c>
    </row>
    <row r="409" spans="1:12" ht="15.5" x14ac:dyDescent="0.35">
      <c r="A409" s="423" t="s">
        <v>2087</v>
      </c>
      <c r="B409" s="929">
        <v>65</v>
      </c>
      <c r="C409" s="1168" t="s">
        <v>2047</v>
      </c>
      <c r="D409" s="1530"/>
      <c r="E409" s="1531"/>
      <c r="F409" s="1531"/>
      <c r="G409" s="1531"/>
      <c r="H409" s="1531"/>
      <c r="I409" s="1531"/>
      <c r="J409" s="1531"/>
      <c r="K409" s="1532"/>
      <c r="L409" s="1126" t="s">
        <v>1713</v>
      </c>
    </row>
    <row r="410" spans="1:12" ht="15.5" x14ac:dyDescent="0.35">
      <c r="A410" s="423" t="s">
        <v>2088</v>
      </c>
      <c r="B410" s="929">
        <v>66</v>
      </c>
      <c r="C410" s="1168" t="s">
        <v>2047</v>
      </c>
      <c r="D410" s="1530"/>
      <c r="E410" s="1531"/>
      <c r="F410" s="1531"/>
      <c r="G410" s="1531"/>
      <c r="H410" s="1531"/>
      <c r="I410" s="1531"/>
      <c r="J410" s="1531"/>
      <c r="K410" s="1532"/>
      <c r="L410" s="1126" t="s">
        <v>1713</v>
      </c>
    </row>
    <row r="411" spans="1:12" ht="15.5" x14ac:dyDescent="0.35">
      <c r="A411" s="423" t="s">
        <v>2089</v>
      </c>
      <c r="B411" s="929">
        <v>68</v>
      </c>
      <c r="C411" s="1168" t="s">
        <v>2047</v>
      </c>
      <c r="D411" s="1530"/>
      <c r="E411" s="1531"/>
      <c r="F411" s="1531"/>
      <c r="G411" s="1531"/>
      <c r="H411" s="1531"/>
      <c r="I411" s="1531"/>
      <c r="J411" s="1531"/>
      <c r="K411" s="1532"/>
      <c r="L411" s="1126" t="s">
        <v>1713</v>
      </c>
    </row>
    <row r="412" spans="1:12" ht="15.5" x14ac:dyDescent="0.35">
      <c r="A412" s="423" t="s">
        <v>2090</v>
      </c>
      <c r="B412" s="929">
        <v>70</v>
      </c>
      <c r="C412" s="1168" t="s">
        <v>2047</v>
      </c>
      <c r="D412" s="1530"/>
      <c r="E412" s="1531"/>
      <c r="F412" s="1531"/>
      <c r="G412" s="1531"/>
      <c r="H412" s="1531"/>
      <c r="I412" s="1531"/>
      <c r="J412" s="1531"/>
      <c r="K412" s="1532"/>
      <c r="L412" s="1126" t="s">
        <v>1713</v>
      </c>
    </row>
    <row r="413" spans="1:12" ht="15.5" x14ac:dyDescent="0.35">
      <c r="A413" s="423" t="s">
        <v>2091</v>
      </c>
      <c r="B413" s="929">
        <v>71</v>
      </c>
      <c r="C413" s="1168" t="s">
        <v>2047</v>
      </c>
      <c r="D413" s="1530"/>
      <c r="E413" s="1531"/>
      <c r="F413" s="1531"/>
      <c r="G413" s="1531"/>
      <c r="H413" s="1531"/>
      <c r="I413" s="1531"/>
      <c r="J413" s="1531"/>
      <c r="K413" s="1532"/>
      <c r="L413" s="1126" t="s">
        <v>1713</v>
      </c>
    </row>
    <row r="414" spans="1:12" ht="15.5" x14ac:dyDescent="0.35">
      <c r="A414" s="423" t="s">
        <v>2092</v>
      </c>
      <c r="B414" s="929">
        <v>72</v>
      </c>
      <c r="C414" s="1168" t="s">
        <v>2047</v>
      </c>
      <c r="D414" s="1530"/>
      <c r="E414" s="1531"/>
      <c r="F414" s="1531"/>
      <c r="G414" s="1531"/>
      <c r="H414" s="1531"/>
      <c r="I414" s="1531"/>
      <c r="J414" s="1531"/>
      <c r="K414" s="1532"/>
      <c r="L414" s="1126" t="s">
        <v>1713</v>
      </c>
    </row>
    <row r="415" spans="1:12" ht="15.5" x14ac:dyDescent="0.35">
      <c r="A415" s="423" t="s">
        <v>2093</v>
      </c>
      <c r="B415" s="929">
        <v>73</v>
      </c>
      <c r="C415" s="1168" t="s">
        <v>2047</v>
      </c>
      <c r="D415" s="1530"/>
      <c r="E415" s="1531"/>
      <c r="F415" s="1531"/>
      <c r="G415" s="1531"/>
      <c r="H415" s="1531"/>
      <c r="I415" s="1531"/>
      <c r="J415" s="1531"/>
      <c r="K415" s="1532"/>
      <c r="L415" s="1126" t="s">
        <v>1713</v>
      </c>
    </row>
    <row r="416" spans="1:12" ht="15.5" x14ac:dyDescent="0.35">
      <c r="A416" s="423" t="s">
        <v>2094</v>
      </c>
      <c r="B416" s="929">
        <v>74</v>
      </c>
      <c r="C416" s="1168" t="s">
        <v>2047</v>
      </c>
      <c r="D416" s="1530"/>
      <c r="E416" s="1531"/>
      <c r="F416" s="1531"/>
      <c r="G416" s="1531"/>
      <c r="H416" s="1531"/>
      <c r="I416" s="1531"/>
      <c r="J416" s="1531"/>
      <c r="K416" s="1532"/>
      <c r="L416" s="1126" t="s">
        <v>1713</v>
      </c>
    </row>
    <row r="417" spans="1:12" ht="15.5" x14ac:dyDescent="0.35">
      <c r="A417" s="423" t="s">
        <v>2095</v>
      </c>
      <c r="B417" s="929">
        <v>76</v>
      </c>
      <c r="C417" s="1168" t="s">
        <v>2047</v>
      </c>
      <c r="D417" s="1530"/>
      <c r="E417" s="1531"/>
      <c r="F417" s="1531"/>
      <c r="G417" s="1531"/>
      <c r="H417" s="1531"/>
      <c r="I417" s="1531"/>
      <c r="J417" s="1531"/>
      <c r="K417" s="1532"/>
      <c r="L417" s="1126" t="s">
        <v>1713</v>
      </c>
    </row>
    <row r="418" spans="1:12" ht="15.5" x14ac:dyDescent="0.35">
      <c r="A418" s="423" t="s">
        <v>2096</v>
      </c>
      <c r="B418" s="929">
        <v>78</v>
      </c>
      <c r="C418" s="1168" t="s">
        <v>2047</v>
      </c>
      <c r="D418" s="1530"/>
      <c r="E418" s="1531"/>
      <c r="F418" s="1531"/>
      <c r="G418" s="1531"/>
      <c r="H418" s="1531"/>
      <c r="I418" s="1531"/>
      <c r="J418" s="1531"/>
      <c r="K418" s="1532"/>
      <c r="L418" s="1126" t="s">
        <v>1713</v>
      </c>
    </row>
    <row r="419" spans="1:12" ht="15.5" x14ac:dyDescent="0.35">
      <c r="A419" s="423" t="s">
        <v>2097</v>
      </c>
      <c r="B419" s="929">
        <v>80</v>
      </c>
      <c r="C419" s="1168" t="s">
        <v>2047</v>
      </c>
      <c r="D419" s="1530"/>
      <c r="E419" s="1531"/>
      <c r="F419" s="1531"/>
      <c r="G419" s="1531"/>
      <c r="H419" s="1531"/>
      <c r="I419" s="1531"/>
      <c r="J419" s="1531"/>
      <c r="K419" s="1532"/>
      <c r="L419" s="1126" t="s">
        <v>1713</v>
      </c>
    </row>
    <row r="420" spans="1:12" ht="15.5" x14ac:dyDescent="0.35">
      <c r="A420" s="423" t="s">
        <v>2098</v>
      </c>
      <c r="B420" s="929">
        <v>81</v>
      </c>
      <c r="C420" s="1168" t="s">
        <v>2047</v>
      </c>
      <c r="D420" s="1530"/>
      <c r="E420" s="1531"/>
      <c r="F420" s="1531"/>
      <c r="G420" s="1531"/>
      <c r="H420" s="1531"/>
      <c r="I420" s="1531"/>
      <c r="J420" s="1531"/>
      <c r="K420" s="1532"/>
      <c r="L420" s="1126" t="s">
        <v>1713</v>
      </c>
    </row>
    <row r="421" spans="1:12" ht="15.5" x14ac:dyDescent="0.35">
      <c r="A421" s="423" t="s">
        <v>2099</v>
      </c>
      <c r="B421" s="929">
        <v>82</v>
      </c>
      <c r="C421" s="1168" t="s">
        <v>2047</v>
      </c>
      <c r="D421" s="1530"/>
      <c r="E421" s="1531"/>
      <c r="F421" s="1531"/>
      <c r="G421" s="1531"/>
      <c r="H421" s="1531"/>
      <c r="I421" s="1531"/>
      <c r="J421" s="1531"/>
      <c r="K421" s="1532"/>
      <c r="L421" s="1126" t="s">
        <v>1713</v>
      </c>
    </row>
    <row r="422" spans="1:12" ht="15.5" x14ac:dyDescent="0.35">
      <c r="A422" s="423" t="s">
        <v>2100</v>
      </c>
      <c r="B422" s="929">
        <v>83</v>
      </c>
      <c r="C422" s="1168" t="s">
        <v>2047</v>
      </c>
      <c r="D422" s="1530"/>
      <c r="E422" s="1531"/>
      <c r="F422" s="1531"/>
      <c r="G422" s="1531"/>
      <c r="H422" s="1531"/>
      <c r="I422" s="1531"/>
      <c r="J422" s="1531"/>
      <c r="K422" s="1532"/>
      <c r="L422" s="1126" t="s">
        <v>1713</v>
      </c>
    </row>
    <row r="423" spans="1:12" ht="15.5" x14ac:dyDescent="0.35">
      <c r="A423" s="423" t="s">
        <v>2101</v>
      </c>
      <c r="B423" s="929">
        <v>84</v>
      </c>
      <c r="C423" s="1168" t="s">
        <v>2047</v>
      </c>
      <c r="D423" s="1530"/>
      <c r="E423" s="1531"/>
      <c r="F423" s="1531"/>
      <c r="G423" s="1531"/>
      <c r="H423" s="1531"/>
      <c r="I423" s="1531"/>
      <c r="J423" s="1531"/>
      <c r="K423" s="1532"/>
      <c r="L423" s="1126" t="s">
        <v>1713</v>
      </c>
    </row>
    <row r="424" spans="1:12" ht="15.5" x14ac:dyDescent="0.35">
      <c r="A424" s="423" t="s">
        <v>2102</v>
      </c>
      <c r="B424" s="929">
        <v>85</v>
      </c>
      <c r="C424" s="1168" t="s">
        <v>2047</v>
      </c>
      <c r="D424" s="1530"/>
      <c r="E424" s="1531"/>
      <c r="F424" s="1531"/>
      <c r="G424" s="1531"/>
      <c r="H424" s="1531"/>
      <c r="I424" s="1531"/>
      <c r="J424" s="1531"/>
      <c r="K424" s="1532"/>
      <c r="L424" s="1126" t="s">
        <v>1713</v>
      </c>
    </row>
    <row r="425" spans="1:12" ht="15.5" x14ac:dyDescent="0.35">
      <c r="A425" s="423" t="s">
        <v>2103</v>
      </c>
      <c r="B425" s="929">
        <v>86</v>
      </c>
      <c r="C425" s="1168" t="s">
        <v>2047</v>
      </c>
      <c r="D425" s="1530"/>
      <c r="E425" s="1531"/>
      <c r="F425" s="1531"/>
      <c r="G425" s="1531"/>
      <c r="H425" s="1531"/>
      <c r="I425" s="1531"/>
      <c r="J425" s="1531"/>
      <c r="K425" s="1532"/>
      <c r="L425" s="1126" t="s">
        <v>1713</v>
      </c>
    </row>
    <row r="426" spans="1:12" ht="15.5" x14ac:dyDescent="0.35">
      <c r="A426" s="423" t="s">
        <v>2104</v>
      </c>
      <c r="B426" s="929">
        <v>87</v>
      </c>
      <c r="C426" s="1168" t="s">
        <v>2047</v>
      </c>
      <c r="D426" s="1530"/>
      <c r="E426" s="1531"/>
      <c r="F426" s="1531"/>
      <c r="G426" s="1531"/>
      <c r="H426" s="1531"/>
      <c r="I426" s="1531"/>
      <c r="J426" s="1531"/>
      <c r="K426" s="1532"/>
      <c r="L426" s="1126" t="s">
        <v>1713</v>
      </c>
    </row>
    <row r="427" spans="1:12" ht="15.5" x14ac:dyDescent="0.35">
      <c r="A427" s="423" t="s">
        <v>2105</v>
      </c>
      <c r="B427" s="929">
        <v>89</v>
      </c>
      <c r="C427" s="1168" t="s">
        <v>2047</v>
      </c>
      <c r="D427" s="1530"/>
      <c r="E427" s="1531"/>
      <c r="F427" s="1531"/>
      <c r="G427" s="1531"/>
      <c r="H427" s="1531"/>
      <c r="I427" s="1531"/>
      <c r="J427" s="1531"/>
      <c r="K427" s="1532"/>
      <c r="L427" s="1126" t="s">
        <v>1713</v>
      </c>
    </row>
    <row r="428" spans="1:12" ht="15.5" x14ac:dyDescent="0.35">
      <c r="A428" s="423" t="s">
        <v>2106</v>
      </c>
      <c r="B428" s="929">
        <v>90</v>
      </c>
      <c r="C428" s="1168" t="s">
        <v>2047</v>
      </c>
      <c r="D428" s="1530"/>
      <c r="E428" s="1531"/>
      <c r="F428" s="1531"/>
      <c r="G428" s="1531"/>
      <c r="H428" s="1531"/>
      <c r="I428" s="1531"/>
      <c r="J428" s="1531"/>
      <c r="K428" s="1532"/>
      <c r="L428" s="1126" t="s">
        <v>1713</v>
      </c>
    </row>
    <row r="429" spans="1:12" ht="15.5" x14ac:dyDescent="0.35">
      <c r="A429" s="566" t="s">
        <v>2107</v>
      </c>
      <c r="B429" s="929">
        <v>1901</v>
      </c>
      <c r="C429" s="1168" t="s">
        <v>2047</v>
      </c>
      <c r="D429" s="713"/>
      <c r="E429" s="714"/>
      <c r="F429" s="714"/>
      <c r="G429" s="714"/>
      <c r="H429" s="714"/>
      <c r="I429" s="714"/>
      <c r="J429" s="714"/>
      <c r="K429" s="715"/>
      <c r="L429" s="1126" t="s">
        <v>1713</v>
      </c>
    </row>
    <row r="430" spans="1:12" ht="15.5" x14ac:dyDescent="0.35">
      <c r="A430" s="566" t="s">
        <v>993</v>
      </c>
      <c r="B430" s="929">
        <v>1902</v>
      </c>
      <c r="C430" s="1168" t="s">
        <v>2047</v>
      </c>
      <c r="D430" s="713"/>
      <c r="E430" s="714"/>
      <c r="F430" s="714"/>
      <c r="G430" s="714"/>
      <c r="H430" s="714"/>
      <c r="I430" s="714"/>
      <c r="J430" s="714"/>
      <c r="K430" s="715"/>
      <c r="L430" s="1126" t="s">
        <v>1713</v>
      </c>
    </row>
    <row r="431" spans="1:12" ht="15.5" x14ac:dyDescent="0.35">
      <c r="A431" s="423" t="s">
        <v>2108</v>
      </c>
      <c r="B431" s="929">
        <v>93</v>
      </c>
      <c r="C431" s="1168" t="s">
        <v>2047</v>
      </c>
      <c r="D431" s="1530"/>
      <c r="E431" s="1531"/>
      <c r="F431" s="1531"/>
      <c r="G431" s="1531"/>
      <c r="H431" s="1531"/>
      <c r="I431" s="1531"/>
      <c r="J431" s="1531"/>
      <c r="K431" s="1532"/>
      <c r="L431" s="1126" t="s">
        <v>1713</v>
      </c>
    </row>
    <row r="432" spans="1:12" ht="15.5" x14ac:dyDescent="0.35">
      <c r="A432" s="423" t="s">
        <v>2109</v>
      </c>
      <c r="B432" s="929">
        <v>94</v>
      </c>
      <c r="C432" s="1168" t="s">
        <v>2047</v>
      </c>
      <c r="D432" s="1530"/>
      <c r="E432" s="1531"/>
      <c r="F432" s="1531"/>
      <c r="G432" s="1531"/>
      <c r="H432" s="1531"/>
      <c r="I432" s="1531"/>
      <c r="J432" s="1531"/>
      <c r="K432" s="1532"/>
      <c r="L432" s="1126" t="s">
        <v>1713</v>
      </c>
    </row>
    <row r="433" spans="1:12" ht="15.5" x14ac:dyDescent="0.35">
      <c r="A433" s="423" t="s">
        <v>2110</v>
      </c>
      <c r="B433" s="929">
        <v>95</v>
      </c>
      <c r="C433" s="1168" t="s">
        <v>2047</v>
      </c>
      <c r="D433" s="1530"/>
      <c r="E433" s="1531"/>
      <c r="F433" s="1531"/>
      <c r="G433" s="1531"/>
      <c r="H433" s="1531"/>
      <c r="I433" s="1531"/>
      <c r="J433" s="1531"/>
      <c r="K433" s="1532"/>
      <c r="L433" s="1126" t="s">
        <v>1713</v>
      </c>
    </row>
    <row r="434" spans="1:12" ht="15.5" x14ac:dyDescent="0.35">
      <c r="A434" s="423" t="s">
        <v>2111</v>
      </c>
      <c r="B434" s="929">
        <v>96</v>
      </c>
      <c r="C434" s="1168" t="s">
        <v>2047</v>
      </c>
      <c r="D434" s="1530"/>
      <c r="E434" s="1531"/>
      <c r="F434" s="1531"/>
      <c r="G434" s="1531"/>
      <c r="H434" s="1531"/>
      <c r="I434" s="1531"/>
      <c r="J434" s="1531"/>
      <c r="K434" s="1532"/>
      <c r="L434" s="1126" t="s">
        <v>1713</v>
      </c>
    </row>
    <row r="435" spans="1:12" ht="15.5" x14ac:dyDescent="0.35">
      <c r="A435" s="423" t="s">
        <v>2112</v>
      </c>
      <c r="B435" s="929">
        <v>98</v>
      </c>
      <c r="C435" s="1168" t="s">
        <v>2047</v>
      </c>
      <c r="D435" s="1530"/>
      <c r="E435" s="1531"/>
      <c r="F435" s="1531"/>
      <c r="G435" s="1531"/>
      <c r="H435" s="1531"/>
      <c r="I435" s="1531"/>
      <c r="J435" s="1531"/>
      <c r="K435" s="1532"/>
      <c r="L435" s="1126" t="s">
        <v>1713</v>
      </c>
    </row>
    <row r="436" spans="1:12" ht="15.5" x14ac:dyDescent="0.35">
      <c r="A436" s="423" t="s">
        <v>2113</v>
      </c>
      <c r="B436" s="929">
        <v>99</v>
      </c>
      <c r="C436" s="1168" t="s">
        <v>2047</v>
      </c>
      <c r="D436" s="713"/>
      <c r="E436" s="714"/>
      <c r="F436" s="714"/>
      <c r="G436" s="714"/>
      <c r="H436" s="714"/>
      <c r="I436" s="714"/>
      <c r="J436" s="714"/>
      <c r="K436" s="715"/>
      <c r="L436" s="1126" t="s">
        <v>1713</v>
      </c>
    </row>
    <row r="437" spans="1:12" ht="15.5" x14ac:dyDescent="0.35">
      <c r="A437" s="423" t="s">
        <v>2114</v>
      </c>
      <c r="B437" s="929">
        <v>10</v>
      </c>
      <c r="C437" s="1168" t="s">
        <v>2115</v>
      </c>
      <c r="D437" s="1530"/>
      <c r="E437" s="1531"/>
      <c r="F437" s="1531"/>
      <c r="G437" s="1531"/>
      <c r="H437" s="1531"/>
      <c r="I437" s="1531"/>
      <c r="J437" s="1531"/>
      <c r="K437" s="1532"/>
      <c r="L437" s="1126" t="s">
        <v>1713</v>
      </c>
    </row>
    <row r="438" spans="1:12" ht="15.5" x14ac:dyDescent="0.35">
      <c r="A438" s="423" t="s">
        <v>2116</v>
      </c>
      <c r="B438" s="929">
        <v>20</v>
      </c>
      <c r="C438" s="1168" t="s">
        <v>2115</v>
      </c>
      <c r="D438" s="1530"/>
      <c r="E438" s="1531"/>
      <c r="F438" s="1531"/>
      <c r="G438" s="1531"/>
      <c r="H438" s="1531"/>
      <c r="I438" s="1531"/>
      <c r="J438" s="1531"/>
      <c r="K438" s="1532"/>
      <c r="L438" s="1126" t="s">
        <v>1713</v>
      </c>
    </row>
    <row r="439" spans="1:12" ht="15.5" x14ac:dyDescent="0.35">
      <c r="A439" s="423" t="s">
        <v>2117</v>
      </c>
      <c r="B439" s="929">
        <v>31</v>
      </c>
      <c r="C439" s="1168" t="s">
        <v>2115</v>
      </c>
      <c r="D439" s="1530"/>
      <c r="E439" s="1531"/>
      <c r="F439" s="1531"/>
      <c r="G439" s="1531"/>
      <c r="H439" s="1531"/>
      <c r="I439" s="1531"/>
      <c r="J439" s="1531"/>
      <c r="K439" s="1532"/>
      <c r="L439" s="1126" t="s">
        <v>1713</v>
      </c>
    </row>
    <row r="440" spans="1:12" ht="15.5" x14ac:dyDescent="0.35">
      <c r="A440" s="423" t="s">
        <v>2118</v>
      </c>
      <c r="B440" s="929">
        <v>38</v>
      </c>
      <c r="C440" s="1168" t="s">
        <v>2115</v>
      </c>
      <c r="D440" s="1530"/>
      <c r="E440" s="1531"/>
      <c r="F440" s="1531"/>
      <c r="G440" s="1531"/>
      <c r="H440" s="1531"/>
      <c r="I440" s="1531"/>
      <c r="J440" s="1531"/>
      <c r="K440" s="1532"/>
      <c r="L440" s="1126" t="s">
        <v>1713</v>
      </c>
    </row>
    <row r="441" spans="1:12" ht="15.5" x14ac:dyDescent="0.35">
      <c r="A441" s="423" t="s">
        <v>2119</v>
      </c>
      <c r="B441" s="929">
        <v>80</v>
      </c>
      <c r="C441" s="1168" t="s">
        <v>2115</v>
      </c>
      <c r="D441" s="1530"/>
      <c r="E441" s="1531"/>
      <c r="F441" s="1531"/>
      <c r="G441" s="1531"/>
      <c r="H441" s="1531"/>
      <c r="I441" s="1531"/>
      <c r="J441" s="1531"/>
      <c r="K441" s="1532"/>
      <c r="L441" s="1126" t="s">
        <v>1713</v>
      </c>
    </row>
    <row r="442" spans="1:12" ht="15.5" x14ac:dyDescent="0.35">
      <c r="A442" s="423" t="s">
        <v>2120</v>
      </c>
      <c r="B442" s="929">
        <v>81</v>
      </c>
      <c r="C442" s="1168" t="s">
        <v>2115</v>
      </c>
      <c r="D442" s="1530"/>
      <c r="E442" s="1531"/>
      <c r="F442" s="1531"/>
      <c r="G442" s="1531"/>
      <c r="H442" s="1531"/>
      <c r="I442" s="1531"/>
      <c r="J442" s="1531"/>
      <c r="K442" s="1532"/>
      <c r="L442" s="1126" t="s">
        <v>1713</v>
      </c>
    </row>
    <row r="443" spans="1:12" ht="15.5" x14ac:dyDescent="0.35">
      <c r="A443" s="423" t="s">
        <v>2121</v>
      </c>
      <c r="B443" s="929">
        <v>82</v>
      </c>
      <c r="C443" s="1168" t="s">
        <v>2115</v>
      </c>
      <c r="D443" s="1530"/>
      <c r="E443" s="1531"/>
      <c r="F443" s="1531"/>
      <c r="G443" s="1531"/>
      <c r="H443" s="1531"/>
      <c r="I443" s="1531"/>
      <c r="J443" s="1531"/>
      <c r="K443" s="1532"/>
      <c r="L443" s="1126" t="s">
        <v>1713</v>
      </c>
    </row>
    <row r="444" spans="1:12" ht="15.5" x14ac:dyDescent="0.35">
      <c r="A444" s="423" t="s">
        <v>2122</v>
      </c>
      <c r="B444" s="929">
        <v>83</v>
      </c>
      <c r="C444" s="1168" t="s">
        <v>2115</v>
      </c>
      <c r="D444" s="1530"/>
      <c r="E444" s="1531"/>
      <c r="F444" s="1531"/>
      <c r="G444" s="1531"/>
      <c r="H444" s="1531"/>
      <c r="I444" s="1531"/>
      <c r="J444" s="1531"/>
      <c r="K444" s="1532"/>
      <c r="L444" s="1126" t="s">
        <v>1713</v>
      </c>
    </row>
    <row r="445" spans="1:12" ht="15.5" x14ac:dyDescent="0.35">
      <c r="A445" s="423" t="s">
        <v>2123</v>
      </c>
      <c r="B445" s="929">
        <v>84</v>
      </c>
      <c r="C445" s="1168" t="s">
        <v>2115</v>
      </c>
      <c r="D445" s="1530"/>
      <c r="E445" s="1531"/>
      <c r="F445" s="1531"/>
      <c r="G445" s="1531"/>
      <c r="H445" s="1531"/>
      <c r="I445" s="1531"/>
      <c r="J445" s="1531"/>
      <c r="K445" s="1532"/>
      <c r="L445" s="1126" t="s">
        <v>1713</v>
      </c>
    </row>
    <row r="446" spans="1:12" ht="15.5" x14ac:dyDescent="0.35">
      <c r="A446" s="423" t="s">
        <v>2124</v>
      </c>
      <c r="B446" s="929">
        <v>85</v>
      </c>
      <c r="C446" s="1168" t="s">
        <v>2115</v>
      </c>
      <c r="D446" s="1530"/>
      <c r="E446" s="1531"/>
      <c r="F446" s="1531"/>
      <c r="G446" s="1531"/>
      <c r="H446" s="1531"/>
      <c r="I446" s="1531"/>
      <c r="J446" s="1531"/>
      <c r="K446" s="1532"/>
      <c r="L446" s="1126" t="s">
        <v>1713</v>
      </c>
    </row>
    <row r="447" spans="1:12" ht="15.5" x14ac:dyDescent="0.35">
      <c r="A447" s="423" t="s">
        <v>2125</v>
      </c>
      <c r="B447" s="929">
        <v>86</v>
      </c>
      <c r="C447" s="1168" t="s">
        <v>2115</v>
      </c>
      <c r="D447" s="1530"/>
      <c r="E447" s="1531"/>
      <c r="F447" s="1531"/>
      <c r="G447" s="1531"/>
      <c r="H447" s="1531"/>
      <c r="I447" s="1531"/>
      <c r="J447" s="1531"/>
      <c r="K447" s="1532"/>
      <c r="L447" s="1126" t="s">
        <v>1713</v>
      </c>
    </row>
    <row r="448" spans="1:12" ht="15.5" x14ac:dyDescent="0.35">
      <c r="A448" s="423" t="s">
        <v>2126</v>
      </c>
      <c r="B448" s="929">
        <v>87</v>
      </c>
      <c r="C448" s="1168" t="s">
        <v>2115</v>
      </c>
      <c r="D448" s="1530"/>
      <c r="E448" s="1531"/>
      <c r="F448" s="1531"/>
      <c r="G448" s="1531"/>
      <c r="H448" s="1531"/>
      <c r="I448" s="1531"/>
      <c r="J448" s="1531"/>
      <c r="K448" s="1532"/>
      <c r="L448" s="1126" t="s">
        <v>1713</v>
      </c>
    </row>
    <row r="449" spans="1:12" ht="15.5" x14ac:dyDescent="0.35">
      <c r="A449" s="423" t="s">
        <v>2127</v>
      </c>
      <c r="B449" s="929">
        <v>88</v>
      </c>
      <c r="C449" s="1168" t="s">
        <v>2115</v>
      </c>
      <c r="D449" s="1530"/>
      <c r="E449" s="1531"/>
      <c r="F449" s="1531"/>
      <c r="G449" s="1531"/>
      <c r="H449" s="1531"/>
      <c r="I449" s="1531"/>
      <c r="J449" s="1531"/>
      <c r="K449" s="1532"/>
      <c r="L449" s="1126" t="s">
        <v>1713</v>
      </c>
    </row>
    <row r="450" spans="1:12" ht="15.5" x14ac:dyDescent="0.35">
      <c r="A450" s="423" t="s">
        <v>2128</v>
      </c>
      <c r="B450" s="929">
        <v>89</v>
      </c>
      <c r="C450" s="1168" t="s">
        <v>2115</v>
      </c>
      <c r="D450" s="1530"/>
      <c r="E450" s="1531"/>
      <c r="F450" s="1531"/>
      <c r="G450" s="1531"/>
      <c r="H450" s="1531"/>
      <c r="I450" s="1531"/>
      <c r="J450" s="1531"/>
      <c r="K450" s="1532"/>
      <c r="L450" s="1126" t="s">
        <v>1713</v>
      </c>
    </row>
    <row r="451" spans="1:12" ht="15.5" x14ac:dyDescent="0.35">
      <c r="A451" s="423" t="s">
        <v>2129</v>
      </c>
      <c r="B451" s="929">
        <v>51</v>
      </c>
      <c r="C451" s="1168" t="s">
        <v>2115</v>
      </c>
      <c r="D451" s="1530"/>
      <c r="E451" s="1531"/>
      <c r="F451" s="1531"/>
      <c r="G451" s="1531"/>
      <c r="H451" s="1531"/>
      <c r="I451" s="1531"/>
      <c r="J451" s="1531"/>
      <c r="K451" s="1532"/>
      <c r="L451" s="1126" t="s">
        <v>1713</v>
      </c>
    </row>
    <row r="452" spans="1:12" ht="15.5" x14ac:dyDescent="0.35">
      <c r="A452" s="423" t="s">
        <v>2130</v>
      </c>
      <c r="B452" s="929">
        <v>52</v>
      </c>
      <c r="C452" s="1168" t="s">
        <v>2115</v>
      </c>
      <c r="D452" s="1530"/>
      <c r="E452" s="1531"/>
      <c r="F452" s="1531"/>
      <c r="G452" s="1531"/>
      <c r="H452" s="1531"/>
      <c r="I452" s="1531"/>
      <c r="J452" s="1531"/>
      <c r="K452" s="1532"/>
      <c r="L452" s="1126" t="s">
        <v>1713</v>
      </c>
    </row>
    <row r="453" spans="1:12" ht="15.5" x14ac:dyDescent="0.35">
      <c r="A453" s="423" t="s">
        <v>2131</v>
      </c>
      <c r="B453" s="929">
        <v>53</v>
      </c>
      <c r="C453" s="1168" t="s">
        <v>2115</v>
      </c>
      <c r="D453" s="1530"/>
      <c r="E453" s="1531"/>
      <c r="F453" s="1531"/>
      <c r="G453" s="1531"/>
      <c r="H453" s="1531"/>
      <c r="I453" s="1531"/>
      <c r="J453" s="1531"/>
      <c r="K453" s="1532"/>
      <c r="L453" s="1126" t="s">
        <v>1713</v>
      </c>
    </row>
    <row r="454" spans="1:12" ht="15.5" x14ac:dyDescent="0.35">
      <c r="A454" s="423" t="s">
        <v>2132</v>
      </c>
      <c r="B454" s="929">
        <v>57</v>
      </c>
      <c r="C454" s="1168" t="s">
        <v>2115</v>
      </c>
      <c r="D454" s="1530"/>
      <c r="E454" s="1531"/>
      <c r="F454" s="1531"/>
      <c r="G454" s="1531"/>
      <c r="H454" s="1531"/>
      <c r="I454" s="1531"/>
      <c r="J454" s="1531"/>
      <c r="K454" s="1532"/>
      <c r="L454" s="1126" t="s">
        <v>1713</v>
      </c>
    </row>
    <row r="455" spans="1:12" ht="15.5" x14ac:dyDescent="0.35">
      <c r="A455" s="423" t="s">
        <v>2133</v>
      </c>
      <c r="B455" s="929">
        <v>60</v>
      </c>
      <c r="C455" s="1168" t="s">
        <v>2115</v>
      </c>
      <c r="D455" s="1530"/>
      <c r="E455" s="1531"/>
      <c r="F455" s="1531"/>
      <c r="G455" s="1531"/>
      <c r="H455" s="1531"/>
      <c r="I455" s="1531"/>
      <c r="J455" s="1531"/>
      <c r="K455" s="1532"/>
      <c r="L455" s="1126" t="s">
        <v>1713</v>
      </c>
    </row>
    <row r="456" spans="1:12" ht="15.5" x14ac:dyDescent="0.35">
      <c r="A456" s="423" t="s">
        <v>2134</v>
      </c>
      <c r="B456" s="929">
        <v>75</v>
      </c>
      <c r="C456" s="1168" t="s">
        <v>2115</v>
      </c>
      <c r="D456" s="1530"/>
      <c r="E456" s="1531"/>
      <c r="F456" s="1531"/>
      <c r="G456" s="1531"/>
      <c r="H456" s="1531"/>
      <c r="I456" s="1531"/>
      <c r="J456" s="1531"/>
      <c r="K456" s="1532"/>
      <c r="L456" s="1126" t="s">
        <v>1713</v>
      </c>
    </row>
    <row r="457" spans="1:12" ht="15.5" x14ac:dyDescent="0.35">
      <c r="A457" s="423" t="s">
        <v>2135</v>
      </c>
      <c r="B457" s="929">
        <v>78</v>
      </c>
      <c r="C457" s="1168" t="s">
        <v>2115</v>
      </c>
      <c r="D457" s="1530"/>
      <c r="E457" s="1531"/>
      <c r="F457" s="1531"/>
      <c r="G457" s="1531"/>
      <c r="H457" s="1531"/>
      <c r="I457" s="1531"/>
      <c r="J457" s="1531"/>
      <c r="K457" s="1532"/>
      <c r="L457" s="1126" t="s">
        <v>1713</v>
      </c>
    </row>
    <row r="458" spans="1:12" ht="15.5" x14ac:dyDescent="0.35">
      <c r="A458" s="423" t="s">
        <v>2136</v>
      </c>
      <c r="B458" s="929">
        <v>90</v>
      </c>
      <c r="C458" s="1168" t="s">
        <v>2115</v>
      </c>
      <c r="D458" s="1530"/>
      <c r="E458" s="1531"/>
      <c r="F458" s="1531"/>
      <c r="G458" s="1531"/>
      <c r="H458" s="1531"/>
      <c r="I458" s="1531"/>
      <c r="J458" s="1531"/>
      <c r="K458" s="1532"/>
      <c r="L458" s="1126" t="s">
        <v>1713</v>
      </c>
    </row>
    <row r="459" spans="1:12" ht="15.5" x14ac:dyDescent="0.35">
      <c r="A459" s="93" t="s">
        <v>2137</v>
      </c>
      <c r="B459" s="929">
        <v>1901</v>
      </c>
      <c r="C459" s="1168" t="s">
        <v>2115</v>
      </c>
      <c r="D459" s="713"/>
      <c r="E459" s="714"/>
      <c r="F459" s="714"/>
      <c r="G459" s="714"/>
      <c r="H459" s="714"/>
      <c r="I459" s="714"/>
      <c r="J459" s="714"/>
      <c r="K459" s="715"/>
      <c r="L459" s="1126" t="s">
        <v>1713</v>
      </c>
    </row>
    <row r="460" spans="1:12" ht="15.5" x14ac:dyDescent="0.35">
      <c r="A460" s="93" t="s">
        <v>1061</v>
      </c>
      <c r="B460" s="929">
        <v>1902</v>
      </c>
      <c r="C460" s="1168" t="s">
        <v>2115</v>
      </c>
      <c r="D460" s="713"/>
      <c r="E460" s="714"/>
      <c r="F460" s="714"/>
      <c r="G460" s="714"/>
      <c r="H460" s="714"/>
      <c r="I460" s="714"/>
      <c r="J460" s="714"/>
      <c r="K460" s="715"/>
      <c r="L460" s="1126" t="s">
        <v>1713</v>
      </c>
    </row>
    <row r="461" spans="1:12" ht="15.5" x14ac:dyDescent="0.35">
      <c r="A461" s="423" t="s">
        <v>2138</v>
      </c>
      <c r="B461" s="929">
        <v>101</v>
      </c>
      <c r="C461" s="1168" t="s">
        <v>2115</v>
      </c>
      <c r="D461" s="1530"/>
      <c r="E461" s="1531"/>
      <c r="F461" s="1531"/>
      <c r="G461" s="1531"/>
      <c r="H461" s="1531"/>
      <c r="I461" s="1531"/>
      <c r="J461" s="1531"/>
      <c r="K461" s="1532"/>
      <c r="L461" s="1126" t="s">
        <v>1713</v>
      </c>
    </row>
    <row r="462" spans="1:12" ht="15.5" x14ac:dyDescent="0.35">
      <c r="A462" s="423" t="s">
        <v>2139</v>
      </c>
      <c r="B462" s="929">
        <v>102</v>
      </c>
      <c r="C462" s="1168" t="s">
        <v>2115</v>
      </c>
      <c r="D462" s="1530"/>
      <c r="E462" s="1531"/>
      <c r="F462" s="1531"/>
      <c r="G462" s="1531"/>
      <c r="H462" s="1531"/>
      <c r="I462" s="1531"/>
      <c r="J462" s="1531"/>
      <c r="K462" s="1532"/>
      <c r="L462" s="1126" t="s">
        <v>1713</v>
      </c>
    </row>
    <row r="463" spans="1:12" ht="15.5" x14ac:dyDescent="0.35">
      <c r="A463" s="423" t="s">
        <v>2140</v>
      </c>
      <c r="B463" s="929">
        <v>103</v>
      </c>
      <c r="C463" s="1168" t="s">
        <v>2115</v>
      </c>
      <c r="D463" s="1530"/>
      <c r="E463" s="1531"/>
      <c r="F463" s="1531"/>
      <c r="G463" s="1531"/>
      <c r="H463" s="1531"/>
      <c r="I463" s="1531"/>
      <c r="J463" s="1531"/>
      <c r="K463" s="1532"/>
      <c r="L463" s="1126" t="s">
        <v>1713</v>
      </c>
    </row>
    <row r="464" spans="1:12" ht="15.5" x14ac:dyDescent="0.35">
      <c r="A464" s="423" t="s">
        <v>2141</v>
      </c>
      <c r="B464" s="929">
        <v>104</v>
      </c>
      <c r="C464" s="1168" t="s">
        <v>2115</v>
      </c>
      <c r="D464" s="1530"/>
      <c r="E464" s="1531"/>
      <c r="F464" s="1531"/>
      <c r="G464" s="1531"/>
      <c r="H464" s="1531"/>
      <c r="I464" s="1531"/>
      <c r="J464" s="1531"/>
      <c r="K464" s="1532"/>
      <c r="L464" s="1126" t="s">
        <v>1713</v>
      </c>
    </row>
    <row r="465" spans="1:12" ht="15.5" x14ac:dyDescent="0.35">
      <c r="A465" s="423" t="s">
        <v>2142</v>
      </c>
      <c r="B465" s="929">
        <v>105</v>
      </c>
      <c r="C465" s="1168" t="s">
        <v>2115</v>
      </c>
      <c r="D465" s="1530"/>
      <c r="E465" s="1531"/>
      <c r="F465" s="1531"/>
      <c r="G465" s="1531"/>
      <c r="H465" s="1531"/>
      <c r="I465" s="1531"/>
      <c r="J465" s="1531"/>
      <c r="K465" s="1532"/>
      <c r="L465" s="1126" t="s">
        <v>1713</v>
      </c>
    </row>
    <row r="466" spans="1:12" ht="15.5" x14ac:dyDescent="0.35">
      <c r="A466" s="423" t="s">
        <v>2143</v>
      </c>
      <c r="B466" s="929">
        <v>106</v>
      </c>
      <c r="C466" s="1168" t="s">
        <v>2115</v>
      </c>
      <c r="D466" s="1530"/>
      <c r="E466" s="1531"/>
      <c r="F466" s="1531"/>
      <c r="G466" s="1531"/>
      <c r="H466" s="1531"/>
      <c r="I466" s="1531"/>
      <c r="J466" s="1531"/>
      <c r="K466" s="1532"/>
      <c r="L466" s="1126" t="s">
        <v>1713</v>
      </c>
    </row>
    <row r="467" spans="1:12" ht="15.5" x14ac:dyDescent="0.35">
      <c r="A467" s="423" t="s">
        <v>2144</v>
      </c>
      <c r="B467" s="929">
        <v>107</v>
      </c>
      <c r="C467" s="1168" t="s">
        <v>2115</v>
      </c>
      <c r="D467" s="1530"/>
      <c r="E467" s="1531"/>
      <c r="F467" s="1531"/>
      <c r="G467" s="1531"/>
      <c r="H467" s="1531"/>
      <c r="I467" s="1531"/>
      <c r="J467" s="1531"/>
      <c r="K467" s="1532"/>
      <c r="L467" s="1126" t="s">
        <v>1713</v>
      </c>
    </row>
    <row r="468" spans="1:12" ht="15.5" x14ac:dyDescent="0.35">
      <c r="A468" s="423" t="s">
        <v>2145</v>
      </c>
      <c r="B468" s="929">
        <v>108</v>
      </c>
      <c r="C468" s="1168" t="s">
        <v>2115</v>
      </c>
      <c r="D468" s="1530"/>
      <c r="E468" s="1531"/>
      <c r="F468" s="1531"/>
      <c r="G468" s="1531"/>
      <c r="H468" s="1531"/>
      <c r="I468" s="1531"/>
      <c r="J468" s="1531"/>
      <c r="K468" s="1532"/>
      <c r="L468" s="1126" t="s">
        <v>1713</v>
      </c>
    </row>
    <row r="469" spans="1:12" ht="15.5" x14ac:dyDescent="0.35">
      <c r="A469" s="423" t="s">
        <v>2146</v>
      </c>
      <c r="B469" s="929">
        <v>111</v>
      </c>
      <c r="C469" s="1168" t="s">
        <v>2115</v>
      </c>
      <c r="D469" s="1530"/>
      <c r="E469" s="1531"/>
      <c r="F469" s="1531"/>
      <c r="G469" s="1531"/>
      <c r="H469" s="1531"/>
      <c r="I469" s="1531"/>
      <c r="J469" s="1531"/>
      <c r="K469" s="1532"/>
      <c r="L469" s="1126" t="s">
        <v>1713</v>
      </c>
    </row>
    <row r="470" spans="1:12" ht="15.5" x14ac:dyDescent="0.35">
      <c r="A470" s="423" t="s">
        <v>2147</v>
      </c>
      <c r="B470" s="929">
        <v>115</v>
      </c>
      <c r="C470" s="1168" t="s">
        <v>2115</v>
      </c>
      <c r="D470" s="1530"/>
      <c r="E470" s="1531"/>
      <c r="F470" s="1531"/>
      <c r="G470" s="1531"/>
      <c r="H470" s="1531"/>
      <c r="I470" s="1531"/>
      <c r="J470" s="1531"/>
      <c r="K470" s="1532"/>
      <c r="L470" s="1126" t="s">
        <v>1713</v>
      </c>
    </row>
    <row r="471" spans="1:12" ht="15.5" x14ac:dyDescent="0.35">
      <c r="A471" s="423" t="s">
        <v>2148</v>
      </c>
      <c r="B471" s="929">
        <v>121</v>
      </c>
      <c r="C471" s="1168" t="s">
        <v>2115</v>
      </c>
      <c r="D471" s="1530"/>
      <c r="E471" s="1531"/>
      <c r="F471" s="1531"/>
      <c r="G471" s="1531"/>
      <c r="H471" s="1531"/>
      <c r="I471" s="1531"/>
      <c r="J471" s="1531"/>
      <c r="K471" s="1532"/>
      <c r="L471" s="1126" t="s">
        <v>1713</v>
      </c>
    </row>
    <row r="472" spans="1:12" ht="15.5" x14ac:dyDescent="0.35">
      <c r="A472" s="423" t="s">
        <v>2149</v>
      </c>
      <c r="B472" s="929">
        <v>122</v>
      </c>
      <c r="C472" s="1168" t="s">
        <v>2115</v>
      </c>
      <c r="D472" s="1530"/>
      <c r="E472" s="1531"/>
      <c r="F472" s="1531"/>
      <c r="G472" s="1531"/>
      <c r="H472" s="1531"/>
      <c r="I472" s="1531"/>
      <c r="J472" s="1531"/>
      <c r="K472" s="1532"/>
      <c r="L472" s="1126" t="s">
        <v>1713</v>
      </c>
    </row>
    <row r="473" spans="1:12" ht="15.5" x14ac:dyDescent="0.35">
      <c r="A473" s="423" t="s">
        <v>2150</v>
      </c>
      <c r="B473" s="929">
        <v>123</v>
      </c>
      <c r="C473" s="1168" t="s">
        <v>2115</v>
      </c>
      <c r="D473" s="1530"/>
      <c r="E473" s="1531"/>
      <c r="F473" s="1531"/>
      <c r="G473" s="1531"/>
      <c r="H473" s="1531"/>
      <c r="I473" s="1531"/>
      <c r="J473" s="1531"/>
      <c r="K473" s="1532"/>
      <c r="L473" s="1126" t="s">
        <v>1713</v>
      </c>
    </row>
    <row r="474" spans="1:12" ht="15.5" x14ac:dyDescent="0.35">
      <c r="A474" s="423" t="s">
        <v>2151</v>
      </c>
      <c r="B474" s="929">
        <v>124</v>
      </c>
      <c r="C474" s="1168" t="s">
        <v>2115</v>
      </c>
      <c r="D474" s="1530"/>
      <c r="E474" s="1531"/>
      <c r="F474" s="1531"/>
      <c r="G474" s="1531"/>
      <c r="H474" s="1531"/>
      <c r="I474" s="1531"/>
      <c r="J474" s="1531"/>
      <c r="K474" s="1532"/>
      <c r="L474" s="1126" t="s">
        <v>1713</v>
      </c>
    </row>
    <row r="475" spans="1:12" ht="15.5" x14ac:dyDescent="0.35">
      <c r="A475" s="423" t="s">
        <v>2152</v>
      </c>
      <c r="B475" s="929">
        <v>125</v>
      </c>
      <c r="C475" s="1168" t="s">
        <v>2115</v>
      </c>
      <c r="D475" s="1530"/>
      <c r="E475" s="1531"/>
      <c r="F475" s="1531"/>
      <c r="G475" s="1531"/>
      <c r="H475" s="1531"/>
      <c r="I475" s="1531"/>
      <c r="J475" s="1531"/>
      <c r="K475" s="1532"/>
      <c r="L475" s="1126" t="s">
        <v>1713</v>
      </c>
    </row>
    <row r="476" spans="1:12" ht="15.5" x14ac:dyDescent="0.35">
      <c r="A476" s="423" t="s">
        <v>1094</v>
      </c>
      <c r="B476" s="929">
        <v>126</v>
      </c>
      <c r="C476" s="1168" t="s">
        <v>2115</v>
      </c>
      <c r="D476" s="713"/>
      <c r="E476" s="714"/>
      <c r="F476" s="714"/>
      <c r="G476" s="714"/>
      <c r="H476" s="714"/>
      <c r="I476" s="714"/>
      <c r="J476" s="714"/>
      <c r="K476" s="715"/>
      <c r="L476" s="1126" t="s">
        <v>1713</v>
      </c>
    </row>
    <row r="477" spans="1:12" ht="15.5" x14ac:dyDescent="0.35">
      <c r="A477" s="423" t="s">
        <v>2153</v>
      </c>
      <c r="B477" s="929">
        <v>127</v>
      </c>
      <c r="C477" s="1168" t="s">
        <v>2115</v>
      </c>
      <c r="D477" s="1530"/>
      <c r="E477" s="1531"/>
      <c r="F477" s="1531"/>
      <c r="G477" s="1531"/>
      <c r="H477" s="1531"/>
      <c r="I477" s="1531"/>
      <c r="J477" s="1531"/>
      <c r="K477" s="1532"/>
      <c r="L477" s="1126" t="s">
        <v>1713</v>
      </c>
    </row>
    <row r="478" spans="1:12" ht="15.5" x14ac:dyDescent="0.35">
      <c r="A478" s="423" t="s">
        <v>2154</v>
      </c>
      <c r="B478" s="929">
        <v>128</v>
      </c>
      <c r="C478" s="1168" t="s">
        <v>2115</v>
      </c>
      <c r="D478" s="1530"/>
      <c r="E478" s="1531"/>
      <c r="F478" s="1531"/>
      <c r="G478" s="1531"/>
      <c r="H478" s="1531"/>
      <c r="I478" s="1531"/>
      <c r="J478" s="1531"/>
      <c r="K478" s="1532"/>
      <c r="L478" s="1126" t="s">
        <v>1713</v>
      </c>
    </row>
    <row r="479" spans="1:12" ht="15.5" x14ac:dyDescent="0.35">
      <c r="A479" s="423" t="s">
        <v>2155</v>
      </c>
      <c r="B479" s="929">
        <v>129</v>
      </c>
      <c r="C479" s="1168" t="s">
        <v>2115</v>
      </c>
      <c r="D479" s="1530"/>
      <c r="E479" s="1531"/>
      <c r="F479" s="1531"/>
      <c r="G479" s="1531"/>
      <c r="H479" s="1531"/>
      <c r="I479" s="1531"/>
      <c r="J479" s="1531"/>
      <c r="K479" s="1532"/>
      <c r="L479" s="1126" t="s">
        <v>1713</v>
      </c>
    </row>
    <row r="480" spans="1:12" ht="15.5" x14ac:dyDescent="0.35">
      <c r="A480" s="423" t="s">
        <v>2156</v>
      </c>
      <c r="B480" s="929">
        <v>130</v>
      </c>
      <c r="C480" s="1168" t="s">
        <v>2115</v>
      </c>
      <c r="D480" s="1530"/>
      <c r="E480" s="1531"/>
      <c r="F480" s="1531"/>
      <c r="G480" s="1531"/>
      <c r="H480" s="1531"/>
      <c r="I480" s="1531"/>
      <c r="J480" s="1531"/>
      <c r="K480" s="1532"/>
      <c r="L480" s="1126" t="s">
        <v>1713</v>
      </c>
    </row>
    <row r="481" spans="1:12" ht="15.5" x14ac:dyDescent="0.35">
      <c r="A481" s="423" t="s">
        <v>2157</v>
      </c>
      <c r="B481" s="929">
        <v>131</v>
      </c>
      <c r="C481" s="1168" t="s">
        <v>2115</v>
      </c>
      <c r="D481" s="1530"/>
      <c r="E481" s="1531"/>
      <c r="F481" s="1531"/>
      <c r="G481" s="1531"/>
      <c r="H481" s="1531"/>
      <c r="I481" s="1531"/>
      <c r="J481" s="1531"/>
      <c r="K481" s="1532"/>
      <c r="L481" s="1126" t="s">
        <v>1713</v>
      </c>
    </row>
    <row r="482" spans="1:12" ht="15.5" x14ac:dyDescent="0.35">
      <c r="A482" s="423" t="s">
        <v>2158</v>
      </c>
      <c r="B482" s="929">
        <v>133</v>
      </c>
      <c r="C482" s="1168" t="s">
        <v>2115</v>
      </c>
      <c r="D482" s="1530"/>
      <c r="E482" s="1531"/>
      <c r="F482" s="1531"/>
      <c r="G482" s="1531"/>
      <c r="H482" s="1531"/>
      <c r="I482" s="1531"/>
      <c r="J482" s="1531"/>
      <c r="K482" s="1532"/>
      <c r="L482" s="1126" t="s">
        <v>1713</v>
      </c>
    </row>
    <row r="483" spans="1:12" ht="15.5" x14ac:dyDescent="0.35">
      <c r="A483" s="423" t="s">
        <v>2159</v>
      </c>
      <c r="B483" s="929">
        <v>135</v>
      </c>
      <c r="C483" s="1168" t="s">
        <v>2115</v>
      </c>
      <c r="D483" s="1530"/>
      <c r="E483" s="1531"/>
      <c r="F483" s="1531"/>
      <c r="G483" s="1531"/>
      <c r="H483" s="1531"/>
      <c r="I483" s="1531"/>
      <c r="J483" s="1531"/>
      <c r="K483" s="1532"/>
      <c r="L483" s="1126" t="s">
        <v>1713</v>
      </c>
    </row>
    <row r="484" spans="1:12" ht="15.5" x14ac:dyDescent="0.35">
      <c r="A484" s="423" t="s">
        <v>2160</v>
      </c>
      <c r="B484" s="929">
        <v>140</v>
      </c>
      <c r="C484" s="1168" t="s">
        <v>2115</v>
      </c>
      <c r="D484" s="1530"/>
      <c r="E484" s="1531"/>
      <c r="F484" s="1531"/>
      <c r="G484" s="1531"/>
      <c r="H484" s="1531"/>
      <c r="I484" s="1531"/>
      <c r="J484" s="1531"/>
      <c r="K484" s="1532"/>
      <c r="L484" s="1126" t="s">
        <v>1713</v>
      </c>
    </row>
    <row r="485" spans="1:12" ht="15.5" x14ac:dyDescent="0.35">
      <c r="A485" s="423" t="s">
        <v>2161</v>
      </c>
      <c r="B485" s="929">
        <v>146</v>
      </c>
      <c r="C485" s="1168" t="s">
        <v>2115</v>
      </c>
      <c r="D485" s="1530"/>
      <c r="E485" s="1531"/>
      <c r="F485" s="1531"/>
      <c r="G485" s="1531"/>
      <c r="H485" s="1531"/>
      <c r="I485" s="1531"/>
      <c r="J485" s="1531"/>
      <c r="K485" s="1532"/>
      <c r="L485" s="1126" t="s">
        <v>1713</v>
      </c>
    </row>
    <row r="486" spans="1:12" ht="15.5" x14ac:dyDescent="0.35">
      <c r="A486" s="423" t="s">
        <v>2162</v>
      </c>
      <c r="B486" s="929">
        <v>111</v>
      </c>
      <c r="C486" s="1168" t="s">
        <v>2163</v>
      </c>
      <c r="D486" s="1530"/>
      <c r="E486" s="1531"/>
      <c r="F486" s="1531"/>
      <c r="G486" s="1531"/>
      <c r="H486" s="1531"/>
      <c r="I486" s="1531"/>
      <c r="J486" s="1531"/>
      <c r="K486" s="1532"/>
      <c r="L486" s="1126" t="s">
        <v>1713</v>
      </c>
    </row>
    <row r="487" spans="1:12" ht="15.5" x14ac:dyDescent="0.35">
      <c r="A487" s="423" t="s">
        <v>2164</v>
      </c>
      <c r="B487" s="929">
        <v>112</v>
      </c>
      <c r="C487" s="1168" t="s">
        <v>2163</v>
      </c>
      <c r="D487" s="1530"/>
      <c r="E487" s="1531"/>
      <c r="F487" s="1531"/>
      <c r="G487" s="1531"/>
      <c r="H487" s="1531"/>
      <c r="I487" s="1531"/>
      <c r="J487" s="1531"/>
      <c r="K487" s="1532"/>
      <c r="L487" s="1126" t="s">
        <v>1713</v>
      </c>
    </row>
    <row r="488" spans="1:12" ht="15.5" x14ac:dyDescent="0.35">
      <c r="A488" s="423" t="s">
        <v>2165</v>
      </c>
      <c r="B488" s="929">
        <v>113</v>
      </c>
      <c r="C488" s="1168" t="s">
        <v>2163</v>
      </c>
      <c r="D488" s="1530"/>
      <c r="E488" s="1531"/>
      <c r="F488" s="1531"/>
      <c r="G488" s="1531"/>
      <c r="H488" s="1531"/>
      <c r="I488" s="1531"/>
      <c r="J488" s="1531"/>
      <c r="K488" s="1532"/>
      <c r="L488" s="1126" t="s">
        <v>1713</v>
      </c>
    </row>
    <row r="489" spans="1:12" ht="15.5" x14ac:dyDescent="0.35">
      <c r="A489" s="423" t="s">
        <v>2166</v>
      </c>
      <c r="B489" s="929">
        <v>114</v>
      </c>
      <c r="C489" s="1168" t="s">
        <v>2163</v>
      </c>
      <c r="D489" s="1530"/>
      <c r="E489" s="1531"/>
      <c r="F489" s="1531"/>
      <c r="G489" s="1531"/>
      <c r="H489" s="1531"/>
      <c r="I489" s="1531"/>
      <c r="J489" s="1531"/>
      <c r="K489" s="1532"/>
      <c r="L489" s="1126" t="s">
        <v>1713</v>
      </c>
    </row>
    <row r="490" spans="1:12" ht="15.5" x14ac:dyDescent="0.35">
      <c r="A490" s="423" t="s">
        <v>2167</v>
      </c>
      <c r="B490" s="929">
        <v>115</v>
      </c>
      <c r="C490" s="1168" t="s">
        <v>2163</v>
      </c>
      <c r="D490" s="1530"/>
      <c r="E490" s="1531"/>
      <c r="F490" s="1531"/>
      <c r="G490" s="1531"/>
      <c r="H490" s="1531"/>
      <c r="I490" s="1531"/>
      <c r="J490" s="1531"/>
      <c r="K490" s="1532"/>
      <c r="L490" s="1126" t="s">
        <v>1713</v>
      </c>
    </row>
    <row r="491" spans="1:12" ht="15.5" x14ac:dyDescent="0.35">
      <c r="A491" s="423" t="s">
        <v>2168</v>
      </c>
      <c r="B491" s="929">
        <v>121</v>
      </c>
      <c r="C491" s="1168" t="s">
        <v>2163</v>
      </c>
      <c r="D491" s="1530"/>
      <c r="E491" s="1531"/>
      <c r="F491" s="1531"/>
      <c r="G491" s="1531"/>
      <c r="H491" s="1531"/>
      <c r="I491" s="1531"/>
      <c r="J491" s="1531"/>
      <c r="K491" s="1532"/>
      <c r="L491" s="1126" t="s">
        <v>1713</v>
      </c>
    </row>
    <row r="492" spans="1:12" ht="15.5" x14ac:dyDescent="0.35">
      <c r="A492" s="423" t="s">
        <v>2169</v>
      </c>
      <c r="B492" s="929">
        <v>122</v>
      </c>
      <c r="C492" s="1168" t="s">
        <v>2163</v>
      </c>
      <c r="D492" s="1530"/>
      <c r="E492" s="1531"/>
      <c r="F492" s="1531"/>
      <c r="G492" s="1531"/>
      <c r="H492" s="1531"/>
      <c r="I492" s="1531"/>
      <c r="J492" s="1531"/>
      <c r="K492" s="1532"/>
      <c r="L492" s="1126" t="s">
        <v>1713</v>
      </c>
    </row>
    <row r="493" spans="1:12" ht="15.5" x14ac:dyDescent="0.35">
      <c r="A493" s="423" t="s">
        <v>2170</v>
      </c>
      <c r="B493" s="929">
        <v>123</v>
      </c>
      <c r="C493" s="1168" t="s">
        <v>2163</v>
      </c>
      <c r="D493" s="1530"/>
      <c r="E493" s="1531"/>
      <c r="F493" s="1531"/>
      <c r="G493" s="1531"/>
      <c r="H493" s="1531"/>
      <c r="I493" s="1531"/>
      <c r="J493" s="1531"/>
      <c r="K493" s="1532"/>
      <c r="L493" s="1126" t="s">
        <v>1713</v>
      </c>
    </row>
    <row r="494" spans="1:12" ht="15.5" x14ac:dyDescent="0.35">
      <c r="A494" s="423" t="s">
        <v>2171</v>
      </c>
      <c r="B494" s="929">
        <v>129</v>
      </c>
      <c r="C494" s="1168" t="s">
        <v>2163</v>
      </c>
      <c r="D494" s="1530"/>
      <c r="E494" s="1531"/>
      <c r="F494" s="1531"/>
      <c r="G494" s="1531"/>
      <c r="H494" s="1531"/>
      <c r="I494" s="1531"/>
      <c r="J494" s="1531"/>
      <c r="K494" s="1532"/>
      <c r="L494" s="1126" t="s">
        <v>1713</v>
      </c>
    </row>
    <row r="495" spans="1:12" ht="15.5" x14ac:dyDescent="0.35">
      <c r="A495" s="423" t="s">
        <v>2172</v>
      </c>
      <c r="B495" s="929">
        <v>131</v>
      </c>
      <c r="C495" s="1168" t="s">
        <v>2163</v>
      </c>
      <c r="D495" s="1530"/>
      <c r="E495" s="1531"/>
      <c r="F495" s="1531"/>
      <c r="G495" s="1531"/>
      <c r="H495" s="1531"/>
      <c r="I495" s="1531"/>
      <c r="J495" s="1531"/>
      <c r="K495" s="1532"/>
      <c r="L495" s="1126" t="s">
        <v>1713</v>
      </c>
    </row>
    <row r="496" spans="1:12" ht="15.5" x14ac:dyDescent="0.35">
      <c r="A496" s="423" t="s">
        <v>2173</v>
      </c>
      <c r="B496" s="929">
        <v>137</v>
      </c>
      <c r="C496" s="1168" t="s">
        <v>2163</v>
      </c>
      <c r="D496" s="1530"/>
      <c r="E496" s="1531"/>
      <c r="F496" s="1531"/>
      <c r="G496" s="1531"/>
      <c r="H496" s="1531"/>
      <c r="I496" s="1531"/>
      <c r="J496" s="1531"/>
      <c r="K496" s="1532"/>
      <c r="L496" s="1126" t="s">
        <v>1713</v>
      </c>
    </row>
    <row r="497" spans="1:12" ht="15.5" x14ac:dyDescent="0.35">
      <c r="A497" s="423" t="s">
        <v>2174</v>
      </c>
      <c r="B497" s="929">
        <v>140</v>
      </c>
      <c r="C497" s="1168" t="s">
        <v>2163</v>
      </c>
      <c r="D497" s="1530"/>
      <c r="E497" s="1531"/>
      <c r="F497" s="1531"/>
      <c r="G497" s="1531"/>
      <c r="H497" s="1531"/>
      <c r="I497" s="1531"/>
      <c r="J497" s="1531"/>
      <c r="K497" s="1532"/>
      <c r="L497" s="1126" t="s">
        <v>1713</v>
      </c>
    </row>
    <row r="498" spans="1:12" ht="15.5" x14ac:dyDescent="0.35">
      <c r="A498" s="423" t="s">
        <v>2175</v>
      </c>
      <c r="B498" s="929">
        <v>150</v>
      </c>
      <c r="C498" s="1168" t="s">
        <v>2163</v>
      </c>
      <c r="D498" s="1530"/>
      <c r="E498" s="1531"/>
      <c r="F498" s="1531"/>
      <c r="G498" s="1531"/>
      <c r="H498" s="1531"/>
      <c r="I498" s="1531"/>
      <c r="J498" s="1531"/>
      <c r="K498" s="1532"/>
      <c r="L498" s="1126" t="s">
        <v>1713</v>
      </c>
    </row>
    <row r="499" spans="1:12" ht="15.5" x14ac:dyDescent="0.35">
      <c r="A499" s="423" t="s">
        <v>2176</v>
      </c>
      <c r="B499" s="929">
        <v>190</v>
      </c>
      <c r="C499" s="1168" t="s">
        <v>2163</v>
      </c>
      <c r="D499" s="1530"/>
      <c r="E499" s="1531"/>
      <c r="F499" s="1531"/>
      <c r="G499" s="1531"/>
      <c r="H499" s="1531"/>
      <c r="I499" s="1531"/>
      <c r="J499" s="1531"/>
      <c r="K499" s="1532"/>
      <c r="L499" s="1126" t="s">
        <v>1713</v>
      </c>
    </row>
    <row r="500" spans="1:12" ht="15.5" x14ac:dyDescent="0.35">
      <c r="A500" s="566" t="s">
        <v>2177</v>
      </c>
      <c r="B500" s="929">
        <v>1191</v>
      </c>
      <c r="C500" s="1168" t="s">
        <v>2163</v>
      </c>
      <c r="D500" s="713"/>
      <c r="E500" s="714"/>
      <c r="F500" s="714"/>
      <c r="G500" s="714"/>
      <c r="H500" s="714"/>
      <c r="I500" s="714"/>
      <c r="J500" s="714"/>
      <c r="K500" s="715"/>
      <c r="L500" s="1126" t="s">
        <v>1713</v>
      </c>
    </row>
    <row r="501" spans="1:12" ht="15.5" x14ac:dyDescent="0.35">
      <c r="A501" s="566" t="s">
        <v>1150</v>
      </c>
      <c r="B501" s="929">
        <v>1192</v>
      </c>
      <c r="C501" s="1168" t="s">
        <v>2163</v>
      </c>
      <c r="D501" s="713"/>
      <c r="E501" s="714"/>
      <c r="F501" s="714"/>
      <c r="G501" s="714"/>
      <c r="H501" s="714"/>
      <c r="I501" s="714"/>
      <c r="J501" s="714"/>
      <c r="K501" s="715"/>
      <c r="L501" s="1126" t="s">
        <v>1713</v>
      </c>
    </row>
    <row r="502" spans="1:12" ht="15.5" x14ac:dyDescent="0.35">
      <c r="A502" s="423" t="s">
        <v>2178</v>
      </c>
      <c r="B502" s="929">
        <v>210</v>
      </c>
      <c r="C502" s="1168" t="s">
        <v>2163</v>
      </c>
      <c r="D502" s="1530"/>
      <c r="E502" s="1531"/>
      <c r="F502" s="1531"/>
      <c r="G502" s="1531"/>
      <c r="H502" s="1531"/>
      <c r="I502" s="1531"/>
      <c r="J502" s="1531"/>
      <c r="K502" s="1532"/>
      <c r="L502" s="1126" t="s">
        <v>1713</v>
      </c>
    </row>
    <row r="503" spans="1:12" ht="15.5" x14ac:dyDescent="0.35">
      <c r="A503" s="423" t="s">
        <v>2179</v>
      </c>
      <c r="B503" s="929">
        <v>219</v>
      </c>
      <c r="C503" s="1168" t="s">
        <v>2163</v>
      </c>
      <c r="D503" s="1530"/>
      <c r="E503" s="1531"/>
      <c r="F503" s="1531"/>
      <c r="G503" s="1531"/>
      <c r="H503" s="1531"/>
      <c r="I503" s="1531"/>
      <c r="J503" s="1531"/>
      <c r="K503" s="1532"/>
      <c r="L503" s="1126" t="s">
        <v>1713</v>
      </c>
    </row>
    <row r="504" spans="1:12" ht="15.5" x14ac:dyDescent="0.35">
      <c r="A504" s="423" t="s">
        <v>2180</v>
      </c>
      <c r="B504" s="929">
        <v>220</v>
      </c>
      <c r="C504" s="1168" t="s">
        <v>2163</v>
      </c>
      <c r="D504" s="1530"/>
      <c r="E504" s="1531"/>
      <c r="F504" s="1531"/>
      <c r="G504" s="1531"/>
      <c r="H504" s="1531"/>
      <c r="I504" s="1531"/>
      <c r="J504" s="1531"/>
      <c r="K504" s="1532"/>
      <c r="L504" s="1126" t="s">
        <v>1713</v>
      </c>
    </row>
    <row r="505" spans="1:12" ht="15.5" x14ac:dyDescent="0.35">
      <c r="A505" s="423" t="s">
        <v>2181</v>
      </c>
      <c r="B505" s="929">
        <v>221</v>
      </c>
      <c r="C505" s="1168" t="s">
        <v>2163</v>
      </c>
      <c r="D505" s="1530"/>
      <c r="E505" s="1531"/>
      <c r="F505" s="1531"/>
      <c r="G505" s="1531"/>
      <c r="H505" s="1531"/>
      <c r="I505" s="1531"/>
      <c r="J505" s="1531"/>
      <c r="K505" s="1532"/>
      <c r="L505" s="1126" t="s">
        <v>1713</v>
      </c>
    </row>
    <row r="506" spans="1:12" ht="15.5" x14ac:dyDescent="0.35">
      <c r="A506" s="423" t="s">
        <v>2182</v>
      </c>
      <c r="B506" s="929">
        <v>222</v>
      </c>
      <c r="C506" s="1168" t="s">
        <v>2163</v>
      </c>
      <c r="D506" s="1530"/>
      <c r="E506" s="1531"/>
      <c r="F506" s="1531"/>
      <c r="G506" s="1531"/>
      <c r="H506" s="1531"/>
      <c r="I506" s="1531"/>
      <c r="J506" s="1531"/>
      <c r="K506" s="1532"/>
      <c r="L506" s="1126" t="s">
        <v>1713</v>
      </c>
    </row>
    <row r="507" spans="1:12" ht="15.5" x14ac:dyDescent="0.35">
      <c r="A507" s="423" t="s">
        <v>2183</v>
      </c>
      <c r="B507" s="929">
        <v>223</v>
      </c>
      <c r="C507" s="1168" t="s">
        <v>2163</v>
      </c>
      <c r="D507" s="1530"/>
      <c r="E507" s="1531"/>
      <c r="F507" s="1531"/>
      <c r="G507" s="1531"/>
      <c r="H507" s="1531"/>
      <c r="I507" s="1531"/>
      <c r="J507" s="1531"/>
      <c r="K507" s="1532"/>
      <c r="L507" s="1126" t="s">
        <v>1713</v>
      </c>
    </row>
    <row r="508" spans="1:12" ht="15.5" x14ac:dyDescent="0.35">
      <c r="A508" s="423" t="s">
        <v>2184</v>
      </c>
      <c r="B508" s="929">
        <v>224</v>
      </c>
      <c r="C508" s="1168" t="s">
        <v>2163</v>
      </c>
      <c r="D508" s="1530"/>
      <c r="E508" s="1531"/>
      <c r="F508" s="1531"/>
      <c r="G508" s="1531"/>
      <c r="H508" s="1531"/>
      <c r="I508" s="1531"/>
      <c r="J508" s="1531"/>
      <c r="K508" s="1532"/>
      <c r="L508" s="1126" t="s">
        <v>1713</v>
      </c>
    </row>
    <row r="509" spans="1:12" ht="15.5" x14ac:dyDescent="0.35">
      <c r="A509" s="423" t="s">
        <v>2185</v>
      </c>
      <c r="B509" s="929">
        <v>225</v>
      </c>
      <c r="C509" s="1168" t="s">
        <v>2163</v>
      </c>
      <c r="D509" s="1530"/>
      <c r="E509" s="1531"/>
      <c r="F509" s="1531"/>
      <c r="G509" s="1531"/>
      <c r="H509" s="1531"/>
      <c r="I509" s="1531"/>
      <c r="J509" s="1531"/>
      <c r="K509" s="1532"/>
      <c r="L509" s="1126" t="s">
        <v>1713</v>
      </c>
    </row>
    <row r="510" spans="1:12" ht="15.5" x14ac:dyDescent="0.35">
      <c r="A510" s="423" t="s">
        <v>2186</v>
      </c>
      <c r="B510" s="929">
        <v>226</v>
      </c>
      <c r="C510" s="1168" t="s">
        <v>2163</v>
      </c>
      <c r="D510" s="1530"/>
      <c r="E510" s="1531"/>
      <c r="F510" s="1531"/>
      <c r="G510" s="1531"/>
      <c r="H510" s="1531"/>
      <c r="I510" s="1531"/>
      <c r="J510" s="1531"/>
      <c r="K510" s="1532"/>
      <c r="L510" s="1126" t="s">
        <v>1713</v>
      </c>
    </row>
    <row r="511" spans="1:12" ht="15.5" x14ac:dyDescent="0.35">
      <c r="A511" s="423" t="s">
        <v>2187</v>
      </c>
      <c r="B511" s="929">
        <v>227</v>
      </c>
      <c r="C511" s="1168" t="s">
        <v>2163</v>
      </c>
      <c r="D511" s="1530"/>
      <c r="E511" s="1531"/>
      <c r="F511" s="1531"/>
      <c r="G511" s="1531"/>
      <c r="H511" s="1531"/>
      <c r="I511" s="1531"/>
      <c r="J511" s="1531"/>
      <c r="K511" s="1532"/>
      <c r="L511" s="1126" t="s">
        <v>1713</v>
      </c>
    </row>
    <row r="512" spans="1:12" ht="15.5" x14ac:dyDescent="0.35">
      <c r="A512" s="423" t="s">
        <v>2188</v>
      </c>
      <c r="B512" s="929">
        <v>228</v>
      </c>
      <c r="C512" s="1168" t="s">
        <v>2163</v>
      </c>
      <c r="D512" s="1530"/>
      <c r="E512" s="1531"/>
      <c r="F512" s="1531"/>
      <c r="G512" s="1531"/>
      <c r="H512" s="1531"/>
      <c r="I512" s="1531"/>
      <c r="J512" s="1531"/>
      <c r="K512" s="1532"/>
      <c r="L512" s="1126" t="s">
        <v>1713</v>
      </c>
    </row>
    <row r="513" spans="1:12" ht="15.5" x14ac:dyDescent="0.35">
      <c r="A513" s="423" t="s">
        <v>2189</v>
      </c>
      <c r="B513" s="929">
        <v>229</v>
      </c>
      <c r="C513" s="1168" t="s">
        <v>2163</v>
      </c>
      <c r="D513" s="1530"/>
      <c r="E513" s="1531"/>
      <c r="F513" s="1531"/>
      <c r="G513" s="1531"/>
      <c r="H513" s="1531"/>
      <c r="I513" s="1531"/>
      <c r="J513" s="1531"/>
      <c r="K513" s="1532"/>
      <c r="L513" s="1126" t="s">
        <v>1713</v>
      </c>
    </row>
    <row r="514" spans="1:12" ht="15.5" x14ac:dyDescent="0.35">
      <c r="A514" s="423" t="s">
        <v>2190</v>
      </c>
      <c r="B514" s="929">
        <v>230</v>
      </c>
      <c r="C514" s="1168" t="s">
        <v>2163</v>
      </c>
      <c r="D514" s="1530"/>
      <c r="E514" s="1531"/>
      <c r="F514" s="1531"/>
      <c r="G514" s="1531"/>
      <c r="H514" s="1531"/>
      <c r="I514" s="1531"/>
      <c r="J514" s="1531"/>
      <c r="K514" s="1532"/>
      <c r="L514" s="1126" t="s">
        <v>1713</v>
      </c>
    </row>
    <row r="515" spans="1:12" ht="15.5" x14ac:dyDescent="0.35">
      <c r="A515" s="423" t="s">
        <v>2191</v>
      </c>
      <c r="B515" s="929">
        <v>231</v>
      </c>
      <c r="C515" s="1168" t="s">
        <v>2163</v>
      </c>
      <c r="D515" s="1530"/>
      <c r="E515" s="1531"/>
      <c r="F515" s="1531"/>
      <c r="G515" s="1531"/>
      <c r="H515" s="1531"/>
      <c r="I515" s="1531"/>
      <c r="J515" s="1531"/>
      <c r="K515" s="1532"/>
      <c r="L515" s="1126" t="s">
        <v>1713</v>
      </c>
    </row>
    <row r="516" spans="1:12" ht="15.5" x14ac:dyDescent="0.35">
      <c r="A516" s="423" t="s">
        <v>2192</v>
      </c>
      <c r="B516" s="929">
        <v>232</v>
      </c>
      <c r="C516" s="1168" t="s">
        <v>2163</v>
      </c>
      <c r="D516" s="1530"/>
      <c r="E516" s="1531"/>
      <c r="F516" s="1531"/>
      <c r="G516" s="1531"/>
      <c r="H516" s="1531"/>
      <c r="I516" s="1531"/>
      <c r="J516" s="1531"/>
      <c r="K516" s="1532"/>
      <c r="L516" s="1126" t="s">
        <v>1713</v>
      </c>
    </row>
    <row r="517" spans="1:12" ht="15.5" x14ac:dyDescent="0.35">
      <c r="A517" s="423" t="s">
        <v>2193</v>
      </c>
      <c r="B517" s="929">
        <v>233</v>
      </c>
      <c r="C517" s="1168" t="s">
        <v>2163</v>
      </c>
      <c r="D517" s="1530"/>
      <c r="E517" s="1531"/>
      <c r="F517" s="1531"/>
      <c r="G517" s="1531"/>
      <c r="H517" s="1531"/>
      <c r="I517" s="1531"/>
      <c r="J517" s="1531"/>
      <c r="K517" s="1532"/>
      <c r="L517" s="1126" t="s">
        <v>1713</v>
      </c>
    </row>
    <row r="518" spans="1:12" ht="15.5" x14ac:dyDescent="0.35">
      <c r="A518" s="423" t="s">
        <v>2194</v>
      </c>
      <c r="B518" s="929">
        <v>241</v>
      </c>
      <c r="C518" s="1168" t="s">
        <v>2163</v>
      </c>
      <c r="D518" s="1530"/>
      <c r="E518" s="1531"/>
      <c r="F518" s="1531"/>
      <c r="G518" s="1531"/>
      <c r="H518" s="1531"/>
      <c r="I518" s="1531"/>
      <c r="J518" s="1531"/>
      <c r="K518" s="1532"/>
      <c r="L518" s="1126" t="s">
        <v>1713</v>
      </c>
    </row>
    <row r="519" spans="1:12" ht="15.5" x14ac:dyDescent="0.35">
      <c r="A519" s="423" t="s">
        <v>2195</v>
      </c>
      <c r="B519" s="929">
        <v>243</v>
      </c>
      <c r="C519" s="1168" t="s">
        <v>2163</v>
      </c>
      <c r="D519" s="1530"/>
      <c r="E519" s="1531"/>
      <c r="F519" s="1531"/>
      <c r="G519" s="1531"/>
      <c r="H519" s="1531"/>
      <c r="I519" s="1531"/>
      <c r="J519" s="1531"/>
      <c r="K519" s="1532"/>
      <c r="L519" s="1126" t="s">
        <v>1713</v>
      </c>
    </row>
    <row r="520" spans="1:12" ht="15.5" x14ac:dyDescent="0.35">
      <c r="A520" s="423" t="s">
        <v>2196</v>
      </c>
      <c r="B520" s="929">
        <v>244</v>
      </c>
      <c r="C520" s="1168" t="s">
        <v>2163</v>
      </c>
      <c r="D520" s="1530"/>
      <c r="E520" s="1531"/>
      <c r="F520" s="1531"/>
      <c r="G520" s="1531"/>
      <c r="H520" s="1531"/>
      <c r="I520" s="1531"/>
      <c r="J520" s="1531"/>
      <c r="K520" s="1532"/>
      <c r="L520" s="1126" t="s">
        <v>1713</v>
      </c>
    </row>
    <row r="521" spans="1:12" ht="15.5" x14ac:dyDescent="0.35">
      <c r="A521" s="423" t="s">
        <v>2197</v>
      </c>
      <c r="B521" s="929">
        <v>247</v>
      </c>
      <c r="C521" s="1168" t="s">
        <v>2163</v>
      </c>
      <c r="D521" s="1530"/>
      <c r="E521" s="1531"/>
      <c r="F521" s="1531"/>
      <c r="G521" s="1531"/>
      <c r="H521" s="1531"/>
      <c r="I521" s="1531"/>
      <c r="J521" s="1531"/>
      <c r="K521" s="1532"/>
      <c r="L521" s="1126" t="s">
        <v>1713</v>
      </c>
    </row>
    <row r="522" spans="1:12" ht="15.5" x14ac:dyDescent="0.35">
      <c r="A522" s="423" t="s">
        <v>2198</v>
      </c>
      <c r="B522" s="929">
        <v>250</v>
      </c>
      <c r="C522" s="1168" t="s">
        <v>2163</v>
      </c>
      <c r="D522" s="1530"/>
      <c r="E522" s="1531"/>
      <c r="F522" s="1531"/>
      <c r="G522" s="1531"/>
      <c r="H522" s="1531"/>
      <c r="I522" s="1531"/>
      <c r="J522" s="1531"/>
      <c r="K522" s="1532"/>
      <c r="L522" s="1126" t="s">
        <v>1713</v>
      </c>
    </row>
    <row r="523" spans="1:12" ht="15.5" x14ac:dyDescent="0.35">
      <c r="A523" s="423" t="s">
        <v>2199</v>
      </c>
      <c r="B523" s="929">
        <v>270</v>
      </c>
      <c r="C523" s="1168" t="s">
        <v>2163</v>
      </c>
      <c r="D523" s="1530"/>
      <c r="E523" s="1531"/>
      <c r="F523" s="1531"/>
      <c r="G523" s="1531"/>
      <c r="H523" s="1531"/>
      <c r="I523" s="1531"/>
      <c r="J523" s="1531"/>
      <c r="K523" s="1532"/>
      <c r="L523" s="1126" t="s">
        <v>1713</v>
      </c>
    </row>
    <row r="524" spans="1:12" ht="15.5" x14ac:dyDescent="0.35">
      <c r="A524" s="423" t="s">
        <v>2200</v>
      </c>
      <c r="B524" s="929">
        <v>281</v>
      </c>
      <c r="C524" s="1168" t="s">
        <v>2163</v>
      </c>
      <c r="D524" s="1530"/>
      <c r="E524" s="1531"/>
      <c r="F524" s="1531"/>
      <c r="G524" s="1531"/>
      <c r="H524" s="1531"/>
      <c r="I524" s="1531"/>
      <c r="J524" s="1531"/>
      <c r="K524" s="1532"/>
      <c r="L524" s="1126" t="s">
        <v>1713</v>
      </c>
    </row>
    <row r="525" spans="1:12" ht="15.5" x14ac:dyDescent="0.35">
      <c r="A525" s="423" t="s">
        <v>2201</v>
      </c>
      <c r="B525" s="929">
        <v>282</v>
      </c>
      <c r="C525" s="1168" t="s">
        <v>2163</v>
      </c>
      <c r="D525" s="1530"/>
      <c r="E525" s="1531"/>
      <c r="F525" s="1531"/>
      <c r="G525" s="1531"/>
      <c r="H525" s="1531"/>
      <c r="I525" s="1531"/>
      <c r="J525" s="1531"/>
      <c r="K525" s="1532"/>
      <c r="L525" s="1126" t="s">
        <v>1713</v>
      </c>
    </row>
    <row r="526" spans="1:12" ht="15.5" x14ac:dyDescent="0.35">
      <c r="A526" s="423" t="s">
        <v>2202</v>
      </c>
      <c r="B526" s="929">
        <v>283</v>
      </c>
      <c r="C526" s="1168" t="s">
        <v>2163</v>
      </c>
      <c r="D526" s="1530"/>
      <c r="E526" s="1531"/>
      <c r="F526" s="1531"/>
      <c r="G526" s="1531"/>
      <c r="H526" s="1531"/>
      <c r="I526" s="1531"/>
      <c r="J526" s="1531"/>
      <c r="K526" s="1532"/>
      <c r="L526" s="1126" t="s">
        <v>1713</v>
      </c>
    </row>
    <row r="527" spans="1:12" ht="15.5" x14ac:dyDescent="0.35">
      <c r="A527" s="423" t="s">
        <v>2203</v>
      </c>
      <c r="B527" s="929">
        <v>284</v>
      </c>
      <c r="C527" s="1168" t="s">
        <v>2163</v>
      </c>
      <c r="D527" s="1530"/>
      <c r="E527" s="1531"/>
      <c r="F527" s="1531"/>
      <c r="G527" s="1531"/>
      <c r="H527" s="1531"/>
      <c r="I527" s="1531"/>
      <c r="J527" s="1531"/>
      <c r="K527" s="1532"/>
      <c r="L527" s="1126" t="s">
        <v>1713</v>
      </c>
    </row>
    <row r="528" spans="1:12" ht="15.5" x14ac:dyDescent="0.35">
      <c r="A528" s="423" t="s">
        <v>2204</v>
      </c>
      <c r="B528" s="929">
        <v>285</v>
      </c>
      <c r="C528" s="1168" t="s">
        <v>2163</v>
      </c>
      <c r="D528" s="1530"/>
      <c r="E528" s="1531"/>
      <c r="F528" s="1531"/>
      <c r="G528" s="1531"/>
      <c r="H528" s="1531"/>
      <c r="I528" s="1531"/>
      <c r="J528" s="1531"/>
      <c r="K528" s="1532"/>
      <c r="L528" s="1126" t="s">
        <v>1713</v>
      </c>
    </row>
    <row r="529" spans="1:12" ht="15.5" x14ac:dyDescent="0.35">
      <c r="A529" s="423" t="s">
        <v>2205</v>
      </c>
      <c r="B529" s="929">
        <v>286</v>
      </c>
      <c r="C529" s="1168" t="s">
        <v>2163</v>
      </c>
      <c r="D529" s="1530"/>
      <c r="E529" s="1531"/>
      <c r="F529" s="1531"/>
      <c r="G529" s="1531"/>
      <c r="H529" s="1531"/>
      <c r="I529" s="1531"/>
      <c r="J529" s="1531"/>
      <c r="K529" s="1532"/>
      <c r="L529" s="1126" t="s">
        <v>1713</v>
      </c>
    </row>
    <row r="530" spans="1:12" ht="15.5" x14ac:dyDescent="0.35">
      <c r="A530" s="423" t="s">
        <v>2206</v>
      </c>
      <c r="B530" s="929">
        <v>290</v>
      </c>
      <c r="C530" s="1168" t="s">
        <v>2163</v>
      </c>
      <c r="D530" s="1530"/>
      <c r="E530" s="1531"/>
      <c r="F530" s="1531"/>
      <c r="G530" s="1531"/>
      <c r="H530" s="1531"/>
      <c r="I530" s="1531"/>
      <c r="J530" s="1531"/>
      <c r="K530" s="1532"/>
      <c r="L530" s="1126" t="s">
        <v>1713</v>
      </c>
    </row>
    <row r="531" spans="1:12" ht="15.5" x14ac:dyDescent="0.35">
      <c r="A531" s="566" t="s">
        <v>2207</v>
      </c>
      <c r="B531" s="929">
        <v>1291</v>
      </c>
      <c r="C531" s="1168" t="s">
        <v>2163</v>
      </c>
      <c r="D531" s="713"/>
      <c r="E531" s="714"/>
      <c r="F531" s="714"/>
      <c r="G531" s="714"/>
      <c r="H531" s="714"/>
      <c r="I531" s="714"/>
      <c r="J531" s="714"/>
      <c r="K531" s="715"/>
      <c r="L531" s="1126" t="s">
        <v>1713</v>
      </c>
    </row>
    <row r="532" spans="1:12" ht="15.5" x14ac:dyDescent="0.35">
      <c r="A532" s="566" t="s">
        <v>1217</v>
      </c>
      <c r="B532" s="929">
        <v>1292</v>
      </c>
      <c r="C532" s="1168" t="s">
        <v>2163</v>
      </c>
      <c r="D532" s="713"/>
      <c r="E532" s="714"/>
      <c r="F532" s="714"/>
      <c r="G532" s="714"/>
      <c r="H532" s="714"/>
      <c r="I532" s="714"/>
      <c r="J532" s="714"/>
      <c r="K532" s="715"/>
      <c r="L532" s="1126" t="s">
        <v>1713</v>
      </c>
    </row>
    <row r="533" spans="1:12" ht="15.5" x14ac:dyDescent="0.35">
      <c r="A533" s="423" t="s">
        <v>2208</v>
      </c>
      <c r="B533" s="929">
        <v>310</v>
      </c>
      <c r="C533" s="1168" t="s">
        <v>2163</v>
      </c>
      <c r="D533" s="1530"/>
      <c r="E533" s="1531"/>
      <c r="F533" s="1531"/>
      <c r="G533" s="1531"/>
      <c r="H533" s="1531"/>
      <c r="I533" s="1531"/>
      <c r="J533" s="1531"/>
      <c r="K533" s="1532"/>
      <c r="L533" s="1126" t="s">
        <v>1713</v>
      </c>
    </row>
    <row r="534" spans="1:12" ht="15.5" x14ac:dyDescent="0.35">
      <c r="A534" s="423" t="s">
        <v>2209</v>
      </c>
      <c r="B534" s="929">
        <v>320</v>
      </c>
      <c r="C534" s="1168" t="s">
        <v>2163</v>
      </c>
      <c r="D534" s="1530"/>
      <c r="E534" s="1531"/>
      <c r="F534" s="1531"/>
      <c r="G534" s="1531"/>
      <c r="H534" s="1531"/>
      <c r="I534" s="1531"/>
      <c r="J534" s="1531"/>
      <c r="K534" s="1532"/>
      <c r="L534" s="1126" t="s">
        <v>1713</v>
      </c>
    </row>
    <row r="535" spans="1:12" ht="15.5" x14ac:dyDescent="0.35">
      <c r="A535" s="423" t="s">
        <v>2210</v>
      </c>
      <c r="B535" s="929">
        <v>335</v>
      </c>
      <c r="C535" s="1168" t="s">
        <v>2163</v>
      </c>
      <c r="D535" s="1530"/>
      <c r="E535" s="1531"/>
      <c r="F535" s="1531"/>
      <c r="G535" s="1531"/>
      <c r="H535" s="1531"/>
      <c r="I535" s="1531"/>
      <c r="J535" s="1531"/>
      <c r="K535" s="1532"/>
      <c r="L535" s="1126" t="s">
        <v>1713</v>
      </c>
    </row>
    <row r="536" spans="1:12" ht="15.5" x14ac:dyDescent="0.35">
      <c r="A536" s="423" t="s">
        <v>2211</v>
      </c>
      <c r="B536" s="929">
        <v>338</v>
      </c>
      <c r="C536" s="1168" t="s">
        <v>2163</v>
      </c>
      <c r="D536" s="1530"/>
      <c r="E536" s="1531"/>
      <c r="F536" s="1531"/>
      <c r="G536" s="1531"/>
      <c r="H536" s="1531"/>
      <c r="I536" s="1531"/>
      <c r="J536" s="1531"/>
      <c r="K536" s="1532"/>
      <c r="L536" s="1126" t="s">
        <v>1713</v>
      </c>
    </row>
    <row r="537" spans="1:12" ht="15.5" x14ac:dyDescent="0.35">
      <c r="A537" s="423" t="s">
        <v>2212</v>
      </c>
      <c r="B537" s="929">
        <v>340</v>
      </c>
      <c r="C537" s="1168" t="s">
        <v>2163</v>
      </c>
      <c r="D537" s="1530"/>
      <c r="E537" s="1531"/>
      <c r="F537" s="1531"/>
      <c r="G537" s="1531"/>
      <c r="H537" s="1531"/>
      <c r="I537" s="1531"/>
      <c r="J537" s="1531"/>
      <c r="K537" s="1532"/>
      <c r="L537" s="1126" t="s">
        <v>1713</v>
      </c>
    </row>
    <row r="538" spans="1:12" ht="15.5" x14ac:dyDescent="0.35">
      <c r="A538" s="423" t="s">
        <v>2213</v>
      </c>
      <c r="B538" s="929">
        <v>350</v>
      </c>
      <c r="C538" s="1168" t="s">
        <v>2163</v>
      </c>
      <c r="D538" s="1530"/>
      <c r="E538" s="1531"/>
      <c r="F538" s="1531"/>
      <c r="G538" s="1531"/>
      <c r="H538" s="1531"/>
      <c r="I538" s="1531"/>
      <c r="J538" s="1531"/>
      <c r="K538" s="1532"/>
      <c r="L538" s="1126" t="s">
        <v>1713</v>
      </c>
    </row>
    <row r="539" spans="1:12" ht="15.5" x14ac:dyDescent="0.35">
      <c r="A539" s="423" t="s">
        <v>2214</v>
      </c>
      <c r="B539" s="929">
        <v>351</v>
      </c>
      <c r="C539" s="1168" t="s">
        <v>2163</v>
      </c>
      <c r="D539" s="1530"/>
      <c r="E539" s="1531"/>
      <c r="F539" s="1531"/>
      <c r="G539" s="1531"/>
      <c r="H539" s="1531"/>
      <c r="I539" s="1531"/>
      <c r="J539" s="1531"/>
      <c r="K539" s="1532"/>
      <c r="L539" s="1126" t="s">
        <v>1713</v>
      </c>
    </row>
    <row r="540" spans="1:12" ht="15.5" x14ac:dyDescent="0.35">
      <c r="A540" s="423" t="s">
        <v>2215</v>
      </c>
      <c r="B540" s="929">
        <v>352</v>
      </c>
      <c r="C540" s="1168" t="s">
        <v>2163</v>
      </c>
      <c r="D540" s="1530"/>
      <c r="E540" s="1531"/>
      <c r="F540" s="1531"/>
      <c r="G540" s="1531"/>
      <c r="H540" s="1531"/>
      <c r="I540" s="1531"/>
      <c r="J540" s="1531"/>
      <c r="K540" s="1532"/>
      <c r="L540" s="1126" t="s">
        <v>1713</v>
      </c>
    </row>
    <row r="541" spans="1:12" ht="15.5" x14ac:dyDescent="0.35">
      <c r="A541" s="423" t="s">
        <v>2216</v>
      </c>
      <c r="B541" s="929">
        <v>360</v>
      </c>
      <c r="C541" s="1168" t="s">
        <v>2163</v>
      </c>
      <c r="D541" s="1530"/>
      <c r="E541" s="1531"/>
      <c r="F541" s="1531"/>
      <c r="G541" s="1531"/>
      <c r="H541" s="1531"/>
      <c r="I541" s="1531"/>
      <c r="J541" s="1531"/>
      <c r="K541" s="1532"/>
      <c r="L541" s="1126" t="s">
        <v>1713</v>
      </c>
    </row>
    <row r="542" spans="1:12" ht="15.5" x14ac:dyDescent="0.35">
      <c r="A542" s="423" t="s">
        <v>2217</v>
      </c>
      <c r="B542" s="929">
        <v>390</v>
      </c>
      <c r="C542" s="1168" t="s">
        <v>2163</v>
      </c>
      <c r="D542" s="1530"/>
      <c r="E542" s="1531"/>
      <c r="F542" s="1531"/>
      <c r="G542" s="1531"/>
      <c r="H542" s="1531"/>
      <c r="I542" s="1531"/>
      <c r="J542" s="1531"/>
      <c r="K542" s="1532"/>
      <c r="L542" s="1126" t="s">
        <v>1713</v>
      </c>
    </row>
    <row r="543" spans="1:12" ht="15.5" x14ac:dyDescent="0.35">
      <c r="A543" s="566" t="s">
        <v>2218</v>
      </c>
      <c r="B543" s="929">
        <v>1391</v>
      </c>
      <c r="C543" s="1168" t="s">
        <v>2163</v>
      </c>
      <c r="D543" s="713"/>
      <c r="E543" s="714"/>
      <c r="F543" s="714"/>
      <c r="G543" s="714"/>
      <c r="H543" s="714"/>
      <c r="I543" s="714"/>
      <c r="J543" s="714"/>
      <c r="K543" s="715"/>
      <c r="L543" s="1126" t="s">
        <v>1713</v>
      </c>
    </row>
    <row r="544" spans="1:12" ht="15.5" x14ac:dyDescent="0.35">
      <c r="A544" s="566" t="s">
        <v>1243</v>
      </c>
      <c r="B544" s="929">
        <v>1392</v>
      </c>
      <c r="C544" s="1168" t="s">
        <v>2163</v>
      </c>
      <c r="D544" s="713"/>
      <c r="E544" s="714"/>
      <c r="F544" s="714"/>
      <c r="G544" s="714"/>
      <c r="H544" s="714"/>
      <c r="I544" s="714"/>
      <c r="J544" s="714"/>
      <c r="K544" s="715"/>
      <c r="L544" s="1126" t="s">
        <v>1713</v>
      </c>
    </row>
    <row r="545" spans="1:12" ht="15.5" x14ac:dyDescent="0.35">
      <c r="A545" s="423" t="s">
        <v>2219</v>
      </c>
      <c r="B545" s="929">
        <v>400</v>
      </c>
      <c r="C545" s="1168" t="s">
        <v>2163</v>
      </c>
      <c r="D545" s="1530"/>
      <c r="E545" s="1531"/>
      <c r="F545" s="1531"/>
      <c r="G545" s="1531"/>
      <c r="H545" s="1531"/>
      <c r="I545" s="1531"/>
      <c r="J545" s="1531"/>
      <c r="K545" s="1532"/>
      <c r="L545" s="1126" t="s">
        <v>1713</v>
      </c>
    </row>
    <row r="546" spans="1:12" ht="15.5" x14ac:dyDescent="0.35">
      <c r="A546" s="566" t="s">
        <v>2220</v>
      </c>
      <c r="B546" s="929">
        <v>1401</v>
      </c>
      <c r="C546" s="1168" t="s">
        <v>2163</v>
      </c>
      <c r="D546" s="713"/>
      <c r="E546" s="714"/>
      <c r="F546" s="714"/>
      <c r="G546" s="714"/>
      <c r="H546" s="714"/>
      <c r="I546" s="714"/>
      <c r="J546" s="714"/>
      <c r="K546" s="715"/>
      <c r="L546" s="1126" t="s">
        <v>1713</v>
      </c>
    </row>
    <row r="547" spans="1:12" ht="15.5" x14ac:dyDescent="0.35">
      <c r="A547" s="566" t="s">
        <v>1249</v>
      </c>
      <c r="B547" s="929">
        <v>1402</v>
      </c>
      <c r="C547" s="1168" t="s">
        <v>2163</v>
      </c>
      <c r="D547" s="713"/>
      <c r="E547" s="714"/>
      <c r="F547" s="714"/>
      <c r="G547" s="714"/>
      <c r="H547" s="714"/>
      <c r="I547" s="714"/>
      <c r="J547" s="714"/>
      <c r="K547" s="715"/>
      <c r="L547" s="1126" t="s">
        <v>1713</v>
      </c>
    </row>
    <row r="548" spans="1:12" ht="15.5" x14ac:dyDescent="0.35">
      <c r="A548" s="423" t="s">
        <v>2221</v>
      </c>
      <c r="B548" s="929">
        <v>100</v>
      </c>
      <c r="C548" s="1168" t="s">
        <v>2222</v>
      </c>
      <c r="D548" s="1530"/>
      <c r="E548" s="1531"/>
      <c r="F548" s="1531"/>
      <c r="G548" s="1531"/>
      <c r="H548" s="1531"/>
      <c r="I548" s="1531"/>
      <c r="J548" s="1531"/>
      <c r="K548" s="1532"/>
      <c r="L548" s="1126" t="s">
        <v>1713</v>
      </c>
    </row>
    <row r="549" spans="1:12" ht="15.5" x14ac:dyDescent="0.35">
      <c r="A549" s="566" t="s">
        <v>2223</v>
      </c>
      <c r="B549" s="929">
        <v>1291</v>
      </c>
      <c r="C549" s="1168" t="s">
        <v>2222</v>
      </c>
      <c r="D549" s="713"/>
      <c r="E549" s="714"/>
      <c r="F549" s="714"/>
      <c r="G549" s="714"/>
      <c r="H549" s="714"/>
      <c r="I549" s="714"/>
      <c r="J549" s="714"/>
      <c r="K549" s="715"/>
      <c r="L549" s="1126" t="s">
        <v>1713</v>
      </c>
    </row>
    <row r="550" spans="1:12" ht="15.5" x14ac:dyDescent="0.35">
      <c r="A550" s="566" t="s">
        <v>1258</v>
      </c>
      <c r="B550" s="929">
        <v>1292</v>
      </c>
      <c r="C550" s="1168" t="s">
        <v>2222</v>
      </c>
      <c r="D550" s="713"/>
      <c r="E550" s="714"/>
      <c r="F550" s="714"/>
      <c r="G550" s="714"/>
      <c r="H550" s="714"/>
      <c r="I550" s="714"/>
      <c r="J550" s="714"/>
      <c r="K550" s="715"/>
      <c r="L550" s="1126" t="s">
        <v>1713</v>
      </c>
    </row>
    <row r="551" spans="1:12" ht="15.5" x14ac:dyDescent="0.35">
      <c r="A551" s="423" t="s">
        <v>2224</v>
      </c>
      <c r="B551" s="929">
        <v>210</v>
      </c>
      <c r="C551" s="1168" t="s">
        <v>2222</v>
      </c>
      <c r="D551" s="1530"/>
      <c r="E551" s="1531"/>
      <c r="F551" s="1531"/>
      <c r="G551" s="1531"/>
      <c r="H551" s="1531"/>
      <c r="I551" s="1531"/>
      <c r="J551" s="1531"/>
      <c r="K551" s="1532"/>
      <c r="L551" s="1126" t="s">
        <v>1713</v>
      </c>
    </row>
    <row r="552" spans="1:12" ht="15.5" x14ac:dyDescent="0.35">
      <c r="A552" s="423" t="s">
        <v>2225</v>
      </c>
      <c r="B552" s="929">
        <v>220</v>
      </c>
      <c r="C552" s="1168" t="s">
        <v>2222</v>
      </c>
      <c r="D552" s="1530"/>
      <c r="E552" s="1531"/>
      <c r="F552" s="1531"/>
      <c r="G552" s="1531"/>
      <c r="H552" s="1531"/>
      <c r="I552" s="1531"/>
      <c r="J552" s="1531"/>
      <c r="K552" s="1532"/>
      <c r="L552" s="1126" t="s">
        <v>1713</v>
      </c>
    </row>
    <row r="553" spans="1:12" ht="15.5" x14ac:dyDescent="0.35">
      <c r="A553" s="423" t="s">
        <v>2226</v>
      </c>
      <c r="B553" s="929">
        <v>230</v>
      </c>
      <c r="C553" s="1168" t="s">
        <v>2222</v>
      </c>
      <c r="D553" s="1530"/>
      <c r="E553" s="1531"/>
      <c r="F553" s="1531"/>
      <c r="G553" s="1531"/>
      <c r="H553" s="1531"/>
      <c r="I553" s="1531"/>
      <c r="J553" s="1531"/>
      <c r="K553" s="1532"/>
      <c r="L553" s="1126" t="s">
        <v>1713</v>
      </c>
    </row>
    <row r="554" spans="1:12" ht="15.5" x14ac:dyDescent="0.35">
      <c r="A554" s="423" t="s">
        <v>2227</v>
      </c>
      <c r="B554" s="929">
        <v>290</v>
      </c>
      <c r="C554" s="1168" t="s">
        <v>2222</v>
      </c>
      <c r="D554" s="1530"/>
      <c r="E554" s="1531"/>
      <c r="F554" s="1531"/>
      <c r="G554" s="1531"/>
      <c r="H554" s="1531"/>
      <c r="I554" s="1531"/>
      <c r="J554" s="1531"/>
      <c r="K554" s="1532"/>
      <c r="L554" s="1126" t="s">
        <v>1713</v>
      </c>
    </row>
    <row r="555" spans="1:12" ht="15.5" x14ac:dyDescent="0.35">
      <c r="A555" s="566" t="s">
        <v>2228</v>
      </c>
      <c r="B555" s="929">
        <v>1391</v>
      </c>
      <c r="C555" s="1168" t="s">
        <v>2222</v>
      </c>
      <c r="D555" s="713"/>
      <c r="E555" s="714"/>
      <c r="F555" s="714"/>
      <c r="G555" s="714"/>
      <c r="H555" s="714"/>
      <c r="I555" s="714"/>
      <c r="J555" s="714"/>
      <c r="K555" s="715"/>
      <c r="L555" s="1126" t="s">
        <v>1713</v>
      </c>
    </row>
    <row r="556" spans="1:12" ht="15.5" x14ac:dyDescent="0.35">
      <c r="A556" s="566" t="s">
        <v>1271</v>
      </c>
      <c r="B556" s="929">
        <v>1392</v>
      </c>
      <c r="C556" s="1168" t="s">
        <v>2222</v>
      </c>
      <c r="D556" s="713"/>
      <c r="E556" s="714"/>
      <c r="F556" s="714"/>
      <c r="G556" s="714"/>
      <c r="H556" s="714"/>
      <c r="I556" s="714"/>
      <c r="J556" s="714"/>
      <c r="K556" s="715"/>
      <c r="L556" s="1126" t="s">
        <v>1713</v>
      </c>
    </row>
    <row r="557" spans="1:12" ht="15.5" x14ac:dyDescent="0.35">
      <c r="A557" s="423" t="s">
        <v>2229</v>
      </c>
      <c r="B557" s="929">
        <v>410</v>
      </c>
      <c r="C557" s="1168" t="s">
        <v>2222</v>
      </c>
      <c r="D557" s="1530"/>
      <c r="E557" s="1531"/>
      <c r="F557" s="1531"/>
      <c r="G557" s="1531"/>
      <c r="H557" s="1531"/>
      <c r="I557" s="1531"/>
      <c r="J557" s="1531"/>
      <c r="K557" s="1532"/>
      <c r="L557" s="1126" t="s">
        <v>1713</v>
      </c>
    </row>
    <row r="558" spans="1:12" ht="15.5" x14ac:dyDescent="0.35">
      <c r="A558" s="423" t="s">
        <v>2230</v>
      </c>
      <c r="B558" s="929">
        <v>421</v>
      </c>
      <c r="C558" s="1168" t="s">
        <v>2222</v>
      </c>
      <c r="D558" s="1530"/>
      <c r="E558" s="1531"/>
      <c r="F558" s="1531"/>
      <c r="G558" s="1531"/>
      <c r="H558" s="1531"/>
      <c r="I558" s="1531"/>
      <c r="J558" s="1531"/>
      <c r="K558" s="1532"/>
      <c r="L558" s="1126" t="s">
        <v>1713</v>
      </c>
    </row>
    <row r="559" spans="1:12" ht="15.5" x14ac:dyDescent="0.35">
      <c r="A559" s="423" t="s">
        <v>2231</v>
      </c>
      <c r="B559" s="929">
        <v>422</v>
      </c>
      <c r="C559" s="1168" t="s">
        <v>2222</v>
      </c>
      <c r="D559" s="1530"/>
      <c r="E559" s="1531"/>
      <c r="F559" s="1531"/>
      <c r="G559" s="1531"/>
      <c r="H559" s="1531"/>
      <c r="I559" s="1531"/>
      <c r="J559" s="1531"/>
      <c r="K559" s="1532"/>
      <c r="L559" s="1126" t="s">
        <v>1713</v>
      </c>
    </row>
    <row r="560" spans="1:12" ht="15.5" x14ac:dyDescent="0.35">
      <c r="A560" s="423" t="s">
        <v>2232</v>
      </c>
      <c r="B560" s="929">
        <v>423</v>
      </c>
      <c r="C560" s="1168" t="s">
        <v>2222</v>
      </c>
      <c r="D560" s="1530"/>
      <c r="E560" s="1531"/>
      <c r="F560" s="1531"/>
      <c r="G560" s="1531"/>
      <c r="H560" s="1531"/>
      <c r="I560" s="1531"/>
      <c r="J560" s="1531"/>
      <c r="K560" s="1532"/>
      <c r="L560" s="1126" t="s">
        <v>1713</v>
      </c>
    </row>
    <row r="561" spans="1:12" ht="15.5" x14ac:dyDescent="0.35">
      <c r="A561" s="423" t="s">
        <v>2233</v>
      </c>
      <c r="B561" s="929">
        <v>425</v>
      </c>
      <c r="C561" s="1168" t="s">
        <v>2222</v>
      </c>
      <c r="D561" s="1530"/>
      <c r="E561" s="1531"/>
      <c r="F561" s="1531"/>
      <c r="G561" s="1531"/>
      <c r="H561" s="1531"/>
      <c r="I561" s="1531"/>
      <c r="J561" s="1531"/>
      <c r="K561" s="1532"/>
      <c r="L561" s="1126" t="s">
        <v>1713</v>
      </c>
    </row>
    <row r="562" spans="1:12" ht="15.5" x14ac:dyDescent="0.35">
      <c r="A562" s="423" t="s">
        <v>2234</v>
      </c>
      <c r="B562" s="929">
        <v>426</v>
      </c>
      <c r="C562" s="1168" t="s">
        <v>2222</v>
      </c>
      <c r="D562" s="1530"/>
      <c r="E562" s="1531"/>
      <c r="F562" s="1531"/>
      <c r="G562" s="1531"/>
      <c r="H562" s="1531"/>
      <c r="I562" s="1531"/>
      <c r="J562" s="1531"/>
      <c r="K562" s="1532"/>
      <c r="L562" s="1126" t="s">
        <v>1713</v>
      </c>
    </row>
    <row r="563" spans="1:12" ht="15.5" x14ac:dyDescent="0.35">
      <c r="A563" s="423" t="s">
        <v>2235</v>
      </c>
      <c r="B563" s="929">
        <v>428</v>
      </c>
      <c r="C563" s="1168" t="s">
        <v>2222</v>
      </c>
      <c r="D563" s="1530"/>
      <c r="E563" s="1531"/>
      <c r="F563" s="1531"/>
      <c r="G563" s="1531"/>
      <c r="H563" s="1531"/>
      <c r="I563" s="1531"/>
      <c r="J563" s="1531"/>
      <c r="K563" s="1532"/>
      <c r="L563" s="1126" t="s">
        <v>1713</v>
      </c>
    </row>
    <row r="564" spans="1:12" ht="15.5" x14ac:dyDescent="0.35">
      <c r="A564" s="423" t="s">
        <v>2236</v>
      </c>
      <c r="B564" s="929">
        <v>430</v>
      </c>
      <c r="C564" s="1168" t="s">
        <v>2222</v>
      </c>
      <c r="D564" s="1530"/>
      <c r="E564" s="1531"/>
      <c r="F564" s="1531"/>
      <c r="G564" s="1531"/>
      <c r="H564" s="1531"/>
      <c r="I564" s="1531"/>
      <c r="J564" s="1531"/>
      <c r="K564" s="1532"/>
      <c r="L564" s="1126" t="s">
        <v>1713</v>
      </c>
    </row>
    <row r="565" spans="1:12" ht="15.5" x14ac:dyDescent="0.35">
      <c r="A565" s="423" t="s">
        <v>2237</v>
      </c>
      <c r="B565" s="929">
        <v>441</v>
      </c>
      <c r="C565" s="1168" t="s">
        <v>2222</v>
      </c>
      <c r="D565" s="1530"/>
      <c r="E565" s="1531"/>
      <c r="F565" s="1531"/>
      <c r="G565" s="1531"/>
      <c r="H565" s="1531"/>
      <c r="I565" s="1531"/>
      <c r="J565" s="1531"/>
      <c r="K565" s="1532"/>
      <c r="L565" s="1126" t="s">
        <v>1713</v>
      </c>
    </row>
    <row r="566" spans="1:12" ht="15.5" x14ac:dyDescent="0.35">
      <c r="A566" s="423" t="s">
        <v>2238</v>
      </c>
      <c r="B566" s="929">
        <v>442</v>
      </c>
      <c r="C566" s="1168" t="s">
        <v>2222</v>
      </c>
      <c r="D566" s="1530"/>
      <c r="E566" s="1531"/>
      <c r="F566" s="1531"/>
      <c r="G566" s="1531"/>
      <c r="H566" s="1531"/>
      <c r="I566" s="1531"/>
      <c r="J566" s="1531"/>
      <c r="K566" s="1532"/>
      <c r="L566" s="1126" t="s">
        <v>1713</v>
      </c>
    </row>
    <row r="567" spans="1:12" ht="15.5" x14ac:dyDescent="0.35">
      <c r="A567" s="423" t="s">
        <v>2239</v>
      </c>
      <c r="B567" s="929">
        <v>450</v>
      </c>
      <c r="C567" s="1168" t="s">
        <v>2222</v>
      </c>
      <c r="D567" s="1530"/>
      <c r="E567" s="1531"/>
      <c r="F567" s="1531"/>
      <c r="G567" s="1531"/>
      <c r="H567" s="1531"/>
      <c r="I567" s="1531"/>
      <c r="J567" s="1531"/>
      <c r="K567" s="1532"/>
      <c r="L567" s="1126" t="s">
        <v>1713</v>
      </c>
    </row>
    <row r="568" spans="1:12" ht="15.5" x14ac:dyDescent="0.35">
      <c r="A568" s="423" t="s">
        <v>2240</v>
      </c>
      <c r="B568" s="929">
        <v>460</v>
      </c>
      <c r="C568" s="1168" t="s">
        <v>2222</v>
      </c>
      <c r="D568" s="1530"/>
      <c r="E568" s="1531"/>
      <c r="F568" s="1531"/>
      <c r="G568" s="1531"/>
      <c r="H568" s="1531"/>
      <c r="I568" s="1531"/>
      <c r="J568" s="1531"/>
      <c r="K568" s="1532"/>
      <c r="L568" s="1126" t="s">
        <v>1713</v>
      </c>
    </row>
    <row r="569" spans="1:12" ht="15.5" x14ac:dyDescent="0.35">
      <c r="A569" s="423" t="s">
        <v>2241</v>
      </c>
      <c r="B569" s="929">
        <v>465</v>
      </c>
      <c r="C569" s="1168" t="s">
        <v>2222</v>
      </c>
      <c r="D569" s="1530"/>
      <c r="E569" s="1531"/>
      <c r="F569" s="1531"/>
      <c r="G569" s="1531"/>
      <c r="H569" s="1531"/>
      <c r="I569" s="1531"/>
      <c r="J569" s="1531"/>
      <c r="K569" s="1532"/>
      <c r="L569" s="1126" t="s">
        <v>1713</v>
      </c>
    </row>
    <row r="570" spans="1:12" ht="15.5" x14ac:dyDescent="0.35">
      <c r="A570" s="423" t="s">
        <v>2242</v>
      </c>
      <c r="B570" s="929">
        <v>470</v>
      </c>
      <c r="C570" s="1168" t="s">
        <v>2222</v>
      </c>
      <c r="D570" s="1530"/>
      <c r="E570" s="1531"/>
      <c r="F570" s="1531"/>
      <c r="G570" s="1531"/>
      <c r="H570" s="1531"/>
      <c r="I570" s="1531"/>
      <c r="J570" s="1531"/>
      <c r="K570" s="1532"/>
      <c r="L570" s="1126" t="s">
        <v>1713</v>
      </c>
    </row>
    <row r="571" spans="1:12" ht="15.5" x14ac:dyDescent="0.35">
      <c r="A571" s="423" t="s">
        <v>2243</v>
      </c>
      <c r="B571" s="929">
        <v>475</v>
      </c>
      <c r="C571" s="1168" t="s">
        <v>2222</v>
      </c>
      <c r="D571" s="1530"/>
      <c r="E571" s="1531"/>
      <c r="F571" s="1531"/>
      <c r="G571" s="1531"/>
      <c r="H571" s="1531"/>
      <c r="I571" s="1531"/>
      <c r="J571" s="1531"/>
      <c r="K571" s="1532"/>
      <c r="L571" s="1126" t="s">
        <v>1713</v>
      </c>
    </row>
    <row r="572" spans="1:12" ht="15.5" x14ac:dyDescent="0.35">
      <c r="A572" s="423" t="s">
        <v>2244</v>
      </c>
      <c r="B572" s="929">
        <v>476</v>
      </c>
      <c r="C572" s="1168" t="s">
        <v>2222</v>
      </c>
      <c r="D572" s="1530"/>
      <c r="E572" s="1531"/>
      <c r="F572" s="1531"/>
      <c r="G572" s="1531"/>
      <c r="H572" s="1531"/>
      <c r="I572" s="1531"/>
      <c r="J572" s="1531"/>
      <c r="K572" s="1532"/>
      <c r="L572" s="1126" t="s">
        <v>1713</v>
      </c>
    </row>
    <row r="573" spans="1:12" ht="15.5" x14ac:dyDescent="0.35">
      <c r="A573" s="423" t="s">
        <v>2245</v>
      </c>
      <c r="B573" s="929">
        <v>481</v>
      </c>
      <c r="C573" s="1168" t="s">
        <v>2222</v>
      </c>
      <c r="D573" s="1530"/>
      <c r="E573" s="1531"/>
      <c r="F573" s="1531"/>
      <c r="G573" s="1531"/>
      <c r="H573" s="1531"/>
      <c r="I573" s="1531"/>
      <c r="J573" s="1531"/>
      <c r="K573" s="1532"/>
      <c r="L573" s="1126" t="s">
        <v>1713</v>
      </c>
    </row>
    <row r="574" spans="1:12" ht="15.5" x14ac:dyDescent="0.35">
      <c r="A574" s="423" t="s">
        <v>2246</v>
      </c>
      <c r="B574" s="929">
        <v>482</v>
      </c>
      <c r="C574" s="1168" t="s">
        <v>2222</v>
      </c>
      <c r="D574" s="1530"/>
      <c r="E574" s="1531"/>
      <c r="F574" s="1531"/>
      <c r="G574" s="1531"/>
      <c r="H574" s="1531"/>
      <c r="I574" s="1531"/>
      <c r="J574" s="1531"/>
      <c r="K574" s="1532"/>
      <c r="L574" s="1126" t="s">
        <v>1713</v>
      </c>
    </row>
    <row r="575" spans="1:12" ht="15.5" x14ac:dyDescent="0.35">
      <c r="A575" s="423" t="s">
        <v>2247</v>
      </c>
      <c r="B575" s="929">
        <v>484</v>
      </c>
      <c r="C575" s="1168" t="s">
        <v>2222</v>
      </c>
      <c r="D575" s="1530"/>
      <c r="E575" s="1531"/>
      <c r="F575" s="1531"/>
      <c r="G575" s="1531"/>
      <c r="H575" s="1531"/>
      <c r="I575" s="1531"/>
      <c r="J575" s="1531"/>
      <c r="K575" s="1532"/>
      <c r="L575" s="1126" t="s">
        <v>1713</v>
      </c>
    </row>
    <row r="576" spans="1:12" ht="15.5" x14ac:dyDescent="0.35">
      <c r="A576" s="423" t="s">
        <v>2248</v>
      </c>
      <c r="B576" s="929">
        <v>489</v>
      </c>
      <c r="C576" s="1168" t="s">
        <v>2222</v>
      </c>
      <c r="D576" s="1530"/>
      <c r="E576" s="1531"/>
      <c r="F576" s="1531"/>
      <c r="G576" s="1531"/>
      <c r="H576" s="1531"/>
      <c r="I576" s="1531"/>
      <c r="J576" s="1531"/>
      <c r="K576" s="1532"/>
      <c r="L576" s="1126" t="s">
        <v>1713</v>
      </c>
    </row>
    <row r="577" spans="1:12" ht="15.5" x14ac:dyDescent="0.35">
      <c r="A577" s="423" t="s">
        <v>2249</v>
      </c>
      <c r="B577" s="929">
        <v>490</v>
      </c>
      <c r="C577" s="1168" t="s">
        <v>2222</v>
      </c>
      <c r="D577" s="1530"/>
      <c r="E577" s="1531"/>
      <c r="F577" s="1531"/>
      <c r="G577" s="1531"/>
      <c r="H577" s="1531"/>
      <c r="I577" s="1531"/>
      <c r="J577" s="1531"/>
      <c r="K577" s="1532"/>
      <c r="L577" s="1126" t="s">
        <v>1713</v>
      </c>
    </row>
    <row r="578" spans="1:12" ht="15.5" x14ac:dyDescent="0.35">
      <c r="A578" s="566" t="s">
        <v>2250</v>
      </c>
      <c r="B578" s="929">
        <v>1491</v>
      </c>
      <c r="C578" s="1168" t="s">
        <v>2222</v>
      </c>
      <c r="D578" s="713"/>
      <c r="E578" s="714"/>
      <c r="F578" s="714"/>
      <c r="G578" s="714"/>
      <c r="H578" s="714"/>
      <c r="I578" s="714"/>
      <c r="J578" s="714"/>
      <c r="K578" s="715"/>
      <c r="L578" s="1126" t="s">
        <v>1713</v>
      </c>
    </row>
    <row r="579" spans="1:12" ht="15.5" x14ac:dyDescent="0.35">
      <c r="A579" s="566" t="s">
        <v>1324</v>
      </c>
      <c r="B579" s="929">
        <v>1492</v>
      </c>
      <c r="C579" s="1168" t="s">
        <v>2222</v>
      </c>
      <c r="D579" s="713"/>
      <c r="E579" s="714"/>
      <c r="F579" s="714"/>
      <c r="G579" s="714"/>
      <c r="H579" s="714"/>
      <c r="I579" s="714"/>
      <c r="J579" s="714"/>
      <c r="K579" s="715"/>
      <c r="L579" s="1126" t="s">
        <v>1713</v>
      </c>
    </row>
    <row r="580" spans="1:12" ht="15.5" x14ac:dyDescent="0.35">
      <c r="A580" s="423" t="s">
        <v>2251</v>
      </c>
      <c r="B580" s="929">
        <v>491</v>
      </c>
      <c r="C580" s="1168" t="s">
        <v>2222</v>
      </c>
      <c r="D580" s="1530"/>
      <c r="E580" s="1531"/>
      <c r="F580" s="1531"/>
      <c r="G580" s="1531"/>
      <c r="H580" s="1531"/>
      <c r="I580" s="1531"/>
      <c r="J580" s="1531"/>
      <c r="K580" s="1532"/>
      <c r="L580" s="1126" t="s">
        <v>1713</v>
      </c>
    </row>
    <row r="581" spans="1:12" ht="15.5" x14ac:dyDescent="0.35">
      <c r="A581" s="423" t="s">
        <v>2252</v>
      </c>
      <c r="B581" s="929">
        <v>492</v>
      </c>
      <c r="C581" s="1168" t="s">
        <v>2222</v>
      </c>
      <c r="D581" s="1530"/>
      <c r="E581" s="1531"/>
      <c r="F581" s="1531"/>
      <c r="G581" s="1531"/>
      <c r="H581" s="1531"/>
      <c r="I581" s="1531"/>
      <c r="J581" s="1531"/>
      <c r="K581" s="1532"/>
      <c r="L581" s="1126" t="s">
        <v>1713</v>
      </c>
    </row>
    <row r="582" spans="1:12" ht="15.5" x14ac:dyDescent="0.35">
      <c r="A582" s="423" t="s">
        <v>2253</v>
      </c>
      <c r="B582" s="929">
        <v>493</v>
      </c>
      <c r="C582" s="1168" t="s">
        <v>2222</v>
      </c>
      <c r="D582" s="1530"/>
      <c r="E582" s="1531"/>
      <c r="F582" s="1531"/>
      <c r="G582" s="1531"/>
      <c r="H582" s="1531"/>
      <c r="I582" s="1531"/>
      <c r="J582" s="1531"/>
      <c r="K582" s="1532"/>
      <c r="L582" s="1126" t="s">
        <v>1713</v>
      </c>
    </row>
    <row r="583" spans="1:12" ht="15.5" x14ac:dyDescent="0.35">
      <c r="A583" s="423" t="s">
        <v>2254</v>
      </c>
      <c r="B583" s="929">
        <v>494</v>
      </c>
      <c r="C583" s="1168" t="s">
        <v>2222</v>
      </c>
      <c r="D583" s="1530"/>
      <c r="E583" s="1531"/>
      <c r="F583" s="1531"/>
      <c r="G583" s="1531"/>
      <c r="H583" s="1531"/>
      <c r="I583" s="1531"/>
      <c r="J583" s="1531"/>
      <c r="K583" s="1532"/>
      <c r="L583" s="1126" t="s">
        <v>1713</v>
      </c>
    </row>
    <row r="584" spans="1:12" ht="15.5" x14ac:dyDescent="0.35">
      <c r="A584" s="423" t="s">
        <v>2255</v>
      </c>
      <c r="B584" s="929">
        <v>495</v>
      </c>
      <c r="C584" s="1168" t="s">
        <v>2222</v>
      </c>
      <c r="D584" s="1530"/>
      <c r="E584" s="1531"/>
      <c r="F584" s="1531"/>
      <c r="G584" s="1531"/>
      <c r="H584" s="1531"/>
      <c r="I584" s="1531"/>
      <c r="J584" s="1531"/>
      <c r="K584" s="1532"/>
      <c r="L584" s="1126" t="s">
        <v>1713</v>
      </c>
    </row>
    <row r="585" spans="1:12" ht="15.5" x14ac:dyDescent="0.35">
      <c r="A585" s="423" t="s">
        <v>1338</v>
      </c>
      <c r="B585" s="929">
        <v>496</v>
      </c>
      <c r="C585" s="1168" t="s">
        <v>2222</v>
      </c>
      <c r="D585" s="1533"/>
      <c r="E585" s="1534"/>
      <c r="F585" s="1534"/>
      <c r="G585" s="1534"/>
      <c r="H585" s="1534"/>
      <c r="I585" s="1534"/>
      <c r="J585" s="1534"/>
      <c r="K585" s="1535"/>
      <c r="L585" s="1126" t="s">
        <v>1713</v>
      </c>
    </row>
    <row r="586" spans="1:12" ht="15.5" x14ac:dyDescent="0.35">
      <c r="A586" s="423" t="s">
        <v>2256</v>
      </c>
      <c r="B586" s="929">
        <v>500</v>
      </c>
      <c r="C586" s="1168" t="s">
        <v>2222</v>
      </c>
      <c r="D586" s="1530"/>
      <c r="E586" s="1531"/>
      <c r="F586" s="1531"/>
      <c r="G586" s="1531"/>
      <c r="H586" s="1531"/>
      <c r="I586" s="1531"/>
      <c r="J586" s="1531"/>
      <c r="K586" s="1532"/>
      <c r="L586" s="1126" t="s">
        <v>1713</v>
      </c>
    </row>
    <row r="587" spans="1:12" ht="15.5" x14ac:dyDescent="0.35">
      <c r="A587" s="566" t="s">
        <v>2257</v>
      </c>
      <c r="B587" s="929">
        <v>1501</v>
      </c>
      <c r="C587" s="1168" t="s">
        <v>2222</v>
      </c>
      <c r="D587" s="713"/>
      <c r="E587" s="714"/>
      <c r="F587" s="714"/>
      <c r="G587" s="714"/>
      <c r="H587" s="714"/>
      <c r="I587" s="714"/>
      <c r="J587" s="714"/>
      <c r="K587" s="715"/>
      <c r="L587" s="1126" t="s">
        <v>1713</v>
      </c>
    </row>
    <row r="588" spans="1:12" ht="15.5" x14ac:dyDescent="0.35">
      <c r="A588" s="566" t="s">
        <v>1350</v>
      </c>
      <c r="B588" s="929">
        <v>1502</v>
      </c>
      <c r="C588" s="1168" t="s">
        <v>2222</v>
      </c>
      <c r="D588" s="713"/>
      <c r="E588" s="714"/>
      <c r="F588" s="714"/>
      <c r="G588" s="714"/>
      <c r="H588" s="714"/>
      <c r="I588" s="714"/>
      <c r="J588" s="714"/>
      <c r="K588" s="715"/>
      <c r="L588" s="1126" t="s">
        <v>1713</v>
      </c>
    </row>
    <row r="589" spans="1:12" ht="15.5" x14ac:dyDescent="0.35">
      <c r="A589" s="423" t="s">
        <v>2258</v>
      </c>
      <c r="B589" s="929">
        <v>501</v>
      </c>
      <c r="C589" s="1168" t="s">
        <v>2222</v>
      </c>
      <c r="D589" s="1530"/>
      <c r="E589" s="1531"/>
      <c r="F589" s="1531"/>
      <c r="G589" s="1531"/>
      <c r="H589" s="1531"/>
      <c r="I589" s="1531"/>
      <c r="J589" s="1531"/>
      <c r="K589" s="1532"/>
      <c r="L589" s="1126" t="s">
        <v>1713</v>
      </c>
    </row>
    <row r="590" spans="1:12" ht="15.5" x14ac:dyDescent="0.35">
      <c r="A590" s="423" t="s">
        <v>2259</v>
      </c>
      <c r="B590" s="929">
        <v>502</v>
      </c>
      <c r="C590" s="1168" t="s">
        <v>2222</v>
      </c>
      <c r="D590" s="1530"/>
      <c r="E590" s="1531"/>
      <c r="F590" s="1531"/>
      <c r="G590" s="1531"/>
      <c r="H590" s="1531"/>
      <c r="I590" s="1531"/>
      <c r="J590" s="1531"/>
      <c r="K590" s="1532"/>
      <c r="L590" s="1126" t="s">
        <v>1713</v>
      </c>
    </row>
    <row r="591" spans="1:12" ht="15.5" x14ac:dyDescent="0.35">
      <c r="A591" s="423" t="s">
        <v>2260</v>
      </c>
      <c r="B591" s="929">
        <v>503</v>
      </c>
      <c r="C591" s="1168" t="s">
        <v>2222</v>
      </c>
      <c r="D591" s="1530"/>
      <c r="E591" s="1531"/>
      <c r="F591" s="1531"/>
      <c r="G591" s="1531"/>
      <c r="H591" s="1531"/>
      <c r="I591" s="1531"/>
      <c r="J591" s="1531"/>
      <c r="K591" s="1532"/>
      <c r="L591" s="1126" t="s">
        <v>1713</v>
      </c>
    </row>
    <row r="592" spans="1:12" ht="15.5" x14ac:dyDescent="0.35">
      <c r="A592" s="423" t="s">
        <v>2261</v>
      </c>
      <c r="B592" s="929">
        <v>504</v>
      </c>
      <c r="C592" s="1168" t="s">
        <v>2222</v>
      </c>
      <c r="D592" s="1530"/>
      <c r="E592" s="1531"/>
      <c r="F592" s="1531"/>
      <c r="G592" s="1531"/>
      <c r="H592" s="1531"/>
      <c r="I592" s="1531"/>
      <c r="J592" s="1531"/>
      <c r="K592" s="1532"/>
      <c r="L592" s="1126" t="s">
        <v>1713</v>
      </c>
    </row>
    <row r="593" spans="1:12" ht="15.5" x14ac:dyDescent="0.35">
      <c r="A593" s="423" t="s">
        <v>2262</v>
      </c>
      <c r="B593" s="929">
        <v>505</v>
      </c>
      <c r="C593" s="1168" t="s">
        <v>2222</v>
      </c>
      <c r="D593" s="1530"/>
      <c r="E593" s="1531"/>
      <c r="F593" s="1531"/>
      <c r="G593" s="1531"/>
      <c r="H593" s="1531"/>
      <c r="I593" s="1531"/>
      <c r="J593" s="1531"/>
      <c r="K593" s="1532"/>
      <c r="L593" s="1126" t="s">
        <v>1713</v>
      </c>
    </row>
    <row r="594" spans="1:12" ht="15.5" x14ac:dyDescent="0.35">
      <c r="A594" s="423" t="s">
        <v>2263</v>
      </c>
      <c r="B594" s="929">
        <v>506</v>
      </c>
      <c r="C594" s="1168" t="s">
        <v>2222</v>
      </c>
      <c r="D594" s="1530"/>
      <c r="E594" s="1531"/>
      <c r="F594" s="1531"/>
      <c r="G594" s="1531"/>
      <c r="H594" s="1531"/>
      <c r="I594" s="1531"/>
      <c r="J594" s="1531"/>
      <c r="K594" s="1532"/>
      <c r="L594" s="1126" t="s">
        <v>1713</v>
      </c>
    </row>
    <row r="595" spans="1:12" ht="15.5" x14ac:dyDescent="0.35">
      <c r="A595" s="423" t="s">
        <v>2264</v>
      </c>
      <c r="B595" s="929">
        <v>507</v>
      </c>
      <c r="C595" s="1168" t="s">
        <v>2222</v>
      </c>
      <c r="D595" s="1530"/>
      <c r="E595" s="1531"/>
      <c r="F595" s="1531"/>
      <c r="G595" s="1531"/>
      <c r="H595" s="1531"/>
      <c r="I595" s="1531"/>
      <c r="J595" s="1531"/>
      <c r="K595" s="1532"/>
      <c r="L595" s="1126" t="s">
        <v>1713</v>
      </c>
    </row>
    <row r="596" spans="1:12" ht="15.5" x14ac:dyDescent="0.35">
      <c r="A596" s="423" t="s">
        <v>2265</v>
      </c>
      <c r="B596" s="929">
        <v>508</v>
      </c>
      <c r="C596" s="1168" t="s">
        <v>2222</v>
      </c>
      <c r="D596" s="1530"/>
      <c r="E596" s="1531"/>
      <c r="F596" s="1531"/>
      <c r="G596" s="1531"/>
      <c r="H596" s="1531"/>
      <c r="I596" s="1531"/>
      <c r="J596" s="1531"/>
      <c r="K596" s="1532"/>
      <c r="L596" s="1126" t="s">
        <v>1713</v>
      </c>
    </row>
    <row r="597" spans="1:12" ht="15.5" x14ac:dyDescent="0.35">
      <c r="A597" s="423" t="s">
        <v>2266</v>
      </c>
      <c r="B597" s="929">
        <v>509</v>
      </c>
      <c r="C597" s="1168" t="s">
        <v>2222</v>
      </c>
      <c r="D597" s="1530"/>
      <c r="E597" s="1531"/>
      <c r="F597" s="1531"/>
      <c r="G597" s="1531"/>
      <c r="H597" s="1531"/>
      <c r="I597" s="1531"/>
      <c r="J597" s="1531"/>
      <c r="K597" s="1532"/>
      <c r="L597" s="1126" t="s">
        <v>1713</v>
      </c>
    </row>
    <row r="598" spans="1:12" ht="15.5" x14ac:dyDescent="0.35">
      <c r="A598" s="423" t="s">
        <v>2267</v>
      </c>
      <c r="B598" s="929">
        <v>510</v>
      </c>
      <c r="C598" s="1168" t="s">
        <v>2222</v>
      </c>
      <c r="D598" s="1530"/>
      <c r="E598" s="1531"/>
      <c r="F598" s="1531"/>
      <c r="G598" s="1531"/>
      <c r="H598" s="1531"/>
      <c r="I598" s="1531"/>
      <c r="J598" s="1531"/>
      <c r="K598" s="1532"/>
      <c r="L598" s="1126" t="s">
        <v>1713</v>
      </c>
    </row>
    <row r="599" spans="1:12" ht="15.5" x14ac:dyDescent="0.35">
      <c r="A599" s="423" t="s">
        <v>2268</v>
      </c>
      <c r="B599" s="929">
        <v>511</v>
      </c>
      <c r="C599" s="1168" t="s">
        <v>2222</v>
      </c>
      <c r="D599" s="1530"/>
      <c r="E599" s="1531"/>
      <c r="F599" s="1531"/>
      <c r="G599" s="1531"/>
      <c r="H599" s="1531"/>
      <c r="I599" s="1531"/>
      <c r="J599" s="1531"/>
      <c r="K599" s="1532"/>
      <c r="L599" s="1126" t="s">
        <v>1713</v>
      </c>
    </row>
    <row r="600" spans="1:12" ht="15.5" x14ac:dyDescent="0.35">
      <c r="A600" s="423" t="s">
        <v>2269</v>
      </c>
      <c r="B600" s="929">
        <v>512</v>
      </c>
      <c r="C600" s="1168" t="s">
        <v>2222</v>
      </c>
      <c r="D600" s="1530"/>
      <c r="E600" s="1531"/>
      <c r="F600" s="1531"/>
      <c r="G600" s="1531"/>
      <c r="H600" s="1531"/>
      <c r="I600" s="1531"/>
      <c r="J600" s="1531"/>
      <c r="K600" s="1532"/>
      <c r="L600" s="1126" t="s">
        <v>1713</v>
      </c>
    </row>
    <row r="601" spans="1:12" ht="15.5" x14ac:dyDescent="0.35">
      <c r="A601" s="423" t="s">
        <v>2270</v>
      </c>
      <c r="B601" s="929">
        <v>513</v>
      </c>
      <c r="C601" s="1168" t="s">
        <v>2222</v>
      </c>
      <c r="D601" s="1530"/>
      <c r="E601" s="1531"/>
      <c r="F601" s="1531"/>
      <c r="G601" s="1531"/>
      <c r="H601" s="1531"/>
      <c r="I601" s="1531"/>
      <c r="J601" s="1531"/>
      <c r="K601" s="1532"/>
      <c r="L601" s="1126" t="s">
        <v>1713</v>
      </c>
    </row>
    <row r="602" spans="1:12" ht="15.5" x14ac:dyDescent="0.35">
      <c r="A602" s="423" t="s">
        <v>2271</v>
      </c>
      <c r="B602" s="929">
        <v>514</v>
      </c>
      <c r="C602" s="1168" t="s">
        <v>2222</v>
      </c>
      <c r="D602" s="1530"/>
      <c r="E602" s="1531"/>
      <c r="F602" s="1531"/>
      <c r="G602" s="1531"/>
      <c r="H602" s="1531"/>
      <c r="I602" s="1531"/>
      <c r="J602" s="1531"/>
      <c r="K602" s="1532"/>
      <c r="L602" s="1126" t="s">
        <v>1713</v>
      </c>
    </row>
    <row r="603" spans="1:12" ht="15.5" x14ac:dyDescent="0.35">
      <c r="A603" s="423" t="s">
        <v>2272</v>
      </c>
      <c r="B603" s="929">
        <v>515</v>
      </c>
      <c r="C603" s="1168" t="s">
        <v>2222</v>
      </c>
      <c r="D603" s="1530"/>
      <c r="E603" s="1531"/>
      <c r="F603" s="1531"/>
      <c r="G603" s="1531"/>
      <c r="H603" s="1531"/>
      <c r="I603" s="1531"/>
      <c r="J603" s="1531"/>
      <c r="K603" s="1532"/>
      <c r="L603" s="1126" t="s">
        <v>1713</v>
      </c>
    </row>
    <row r="604" spans="1:12" ht="15.5" x14ac:dyDescent="0.35">
      <c r="A604" s="423" t="s">
        <v>2273</v>
      </c>
      <c r="B604" s="929">
        <v>516</v>
      </c>
      <c r="C604" s="1168" t="s">
        <v>2222</v>
      </c>
      <c r="D604" s="1530"/>
      <c r="E604" s="1531"/>
      <c r="F604" s="1531"/>
      <c r="G604" s="1531"/>
      <c r="H604" s="1531"/>
      <c r="I604" s="1531"/>
      <c r="J604" s="1531"/>
      <c r="K604" s="1532"/>
      <c r="L604" s="1126" t="s">
        <v>1713</v>
      </c>
    </row>
    <row r="605" spans="1:12" ht="15.5" x14ac:dyDescent="0.35">
      <c r="A605" s="423" t="s">
        <v>2274</v>
      </c>
      <c r="B605" s="929">
        <v>517</v>
      </c>
      <c r="C605" s="1168" t="s">
        <v>2222</v>
      </c>
      <c r="D605" s="1530"/>
      <c r="E605" s="1531"/>
      <c r="F605" s="1531"/>
      <c r="G605" s="1531"/>
      <c r="H605" s="1531"/>
      <c r="I605" s="1531"/>
      <c r="J605" s="1531"/>
      <c r="K605" s="1532"/>
      <c r="L605" s="1126" t="s">
        <v>1713</v>
      </c>
    </row>
    <row r="606" spans="1:12" ht="15.5" x14ac:dyDescent="0.35">
      <c r="A606" s="423" t="s">
        <v>2275</v>
      </c>
      <c r="B606" s="929">
        <v>518</v>
      </c>
      <c r="C606" s="1168" t="s">
        <v>2222</v>
      </c>
      <c r="D606" s="1530"/>
      <c r="E606" s="1531"/>
      <c r="F606" s="1531"/>
      <c r="G606" s="1531"/>
      <c r="H606" s="1531"/>
      <c r="I606" s="1531"/>
      <c r="J606" s="1531"/>
      <c r="K606" s="1532"/>
      <c r="L606" s="1126" t="s">
        <v>1713</v>
      </c>
    </row>
    <row r="607" spans="1:12" ht="15.5" x14ac:dyDescent="0.35">
      <c r="A607" s="423" t="s">
        <v>2276</v>
      </c>
      <c r="B607" s="929">
        <v>519</v>
      </c>
      <c r="C607" s="1168" t="s">
        <v>2222</v>
      </c>
      <c r="D607" s="1530"/>
      <c r="E607" s="1531"/>
      <c r="F607" s="1531"/>
      <c r="G607" s="1531"/>
      <c r="H607" s="1531"/>
      <c r="I607" s="1531"/>
      <c r="J607" s="1531"/>
      <c r="K607" s="1532"/>
      <c r="L607" s="1126" t="s">
        <v>1713</v>
      </c>
    </row>
    <row r="608" spans="1:12" ht="15.5" x14ac:dyDescent="0.35">
      <c r="A608" s="423" t="s">
        <v>2277</v>
      </c>
      <c r="B608" s="929">
        <v>520</v>
      </c>
      <c r="C608" s="1168" t="s">
        <v>2222</v>
      </c>
      <c r="D608" s="1530"/>
      <c r="E608" s="1531"/>
      <c r="F608" s="1531"/>
      <c r="G608" s="1531"/>
      <c r="H608" s="1531"/>
      <c r="I608" s="1531"/>
      <c r="J608" s="1531"/>
      <c r="K608" s="1532"/>
      <c r="L608" s="1126" t="s">
        <v>1713</v>
      </c>
    </row>
    <row r="609" spans="1:12" ht="15.5" x14ac:dyDescent="0.35">
      <c r="A609" s="423" t="s">
        <v>2278</v>
      </c>
      <c r="B609" s="929">
        <v>590</v>
      </c>
      <c r="C609" s="1168" t="s">
        <v>2222</v>
      </c>
      <c r="D609" s="1530"/>
      <c r="E609" s="1531"/>
      <c r="F609" s="1531"/>
      <c r="G609" s="1531"/>
      <c r="H609" s="1531"/>
      <c r="I609" s="1531"/>
      <c r="J609" s="1531"/>
      <c r="K609" s="1532"/>
      <c r="L609" s="1126" t="s">
        <v>1713</v>
      </c>
    </row>
    <row r="610" spans="1:12" ht="15.5" x14ac:dyDescent="0.35">
      <c r="A610" s="423" t="s">
        <v>2279</v>
      </c>
      <c r="B610" s="929">
        <v>260</v>
      </c>
      <c r="C610" s="1168" t="s">
        <v>1381</v>
      </c>
      <c r="D610" s="1530"/>
      <c r="E610" s="1531"/>
      <c r="F610" s="1531"/>
      <c r="G610" s="1531"/>
      <c r="H610" s="1531"/>
      <c r="I610" s="1531"/>
      <c r="J610" s="1531"/>
      <c r="K610" s="1532"/>
      <c r="L610" s="1126" t="s">
        <v>1713</v>
      </c>
    </row>
    <row r="611" spans="1:12" ht="15.5" x14ac:dyDescent="0.35">
      <c r="A611" s="423" t="s">
        <v>2280</v>
      </c>
      <c r="B611" s="929">
        <v>281</v>
      </c>
      <c r="C611" s="1168" t="s">
        <v>1381</v>
      </c>
      <c r="D611" s="1530"/>
      <c r="E611" s="1531"/>
      <c r="F611" s="1531"/>
      <c r="G611" s="1531"/>
      <c r="H611" s="1531"/>
      <c r="I611" s="1531"/>
      <c r="J611" s="1531"/>
      <c r="K611" s="1532"/>
      <c r="L611" s="1126" t="s">
        <v>1713</v>
      </c>
    </row>
    <row r="612" spans="1:12" ht="15.5" x14ac:dyDescent="0.35">
      <c r="A612" s="423" t="s">
        <v>2281</v>
      </c>
      <c r="B612" s="929">
        <v>282</v>
      </c>
      <c r="C612" s="1168" t="s">
        <v>1381</v>
      </c>
      <c r="D612" s="1530"/>
      <c r="E612" s="1531"/>
      <c r="F612" s="1531"/>
      <c r="G612" s="1531"/>
      <c r="H612" s="1531"/>
      <c r="I612" s="1531"/>
      <c r="J612" s="1531"/>
      <c r="K612" s="1532"/>
      <c r="L612" s="1126" t="s">
        <v>1713</v>
      </c>
    </row>
    <row r="613" spans="1:12" ht="15.5" x14ac:dyDescent="0.35">
      <c r="A613" s="423" t="s">
        <v>2282</v>
      </c>
      <c r="B613" s="929">
        <v>283</v>
      </c>
      <c r="C613" s="1168" t="s">
        <v>1381</v>
      </c>
      <c r="D613" s="1530"/>
      <c r="E613" s="1531"/>
      <c r="F613" s="1531"/>
      <c r="G613" s="1531"/>
      <c r="H613" s="1531"/>
      <c r="I613" s="1531"/>
      <c r="J613" s="1531"/>
      <c r="K613" s="1532"/>
      <c r="L613" s="1126" t="s">
        <v>1713</v>
      </c>
    </row>
    <row r="614" spans="1:12" ht="15.5" x14ac:dyDescent="0.35">
      <c r="A614" s="423" t="s">
        <v>2283</v>
      </c>
      <c r="B614" s="929">
        <v>284</v>
      </c>
      <c r="C614" s="1168" t="s">
        <v>1381</v>
      </c>
      <c r="D614" s="1530"/>
      <c r="E614" s="1531"/>
      <c r="F614" s="1531"/>
      <c r="G614" s="1531"/>
      <c r="H614" s="1531"/>
      <c r="I614" s="1531"/>
      <c r="J614" s="1531"/>
      <c r="K614" s="1532"/>
      <c r="L614" s="1126" t="s">
        <v>1713</v>
      </c>
    </row>
    <row r="615" spans="1:12" ht="15.5" x14ac:dyDescent="0.35">
      <c r="A615" s="423" t="s">
        <v>2284</v>
      </c>
      <c r="B615" s="929">
        <v>514</v>
      </c>
      <c r="C615" s="1168" t="s">
        <v>1381</v>
      </c>
      <c r="D615" s="1530"/>
      <c r="E615" s="1531"/>
      <c r="F615" s="1531"/>
      <c r="G615" s="1531"/>
      <c r="H615" s="1531"/>
      <c r="I615" s="1531"/>
      <c r="J615" s="1531"/>
      <c r="K615" s="1532"/>
      <c r="L615" s="1126" t="s">
        <v>1713</v>
      </c>
    </row>
    <row r="616" spans="1:12" ht="15.5" x14ac:dyDescent="0.35">
      <c r="A616" s="423" t="s">
        <v>2285</v>
      </c>
      <c r="B616" s="929">
        <v>515</v>
      </c>
      <c r="C616" s="1168" t="s">
        <v>1381</v>
      </c>
      <c r="D616" s="1530"/>
      <c r="E616" s="1531"/>
      <c r="F616" s="1531"/>
      <c r="G616" s="1531"/>
      <c r="H616" s="1531"/>
      <c r="I616" s="1531"/>
      <c r="J616" s="1531"/>
      <c r="K616" s="1532"/>
      <c r="L616" s="1126" t="s">
        <v>1713</v>
      </c>
    </row>
    <row r="617" spans="1:12" ht="15.5" x14ac:dyDescent="0.35">
      <c r="A617" s="423" t="s">
        <v>2286</v>
      </c>
      <c r="B617" s="929">
        <v>521</v>
      </c>
      <c r="C617" s="1168" t="s">
        <v>1381</v>
      </c>
      <c r="D617" s="1530"/>
      <c r="E617" s="1531"/>
      <c r="F617" s="1531"/>
      <c r="G617" s="1531"/>
      <c r="H617" s="1531"/>
      <c r="I617" s="1531"/>
      <c r="J617" s="1531"/>
      <c r="K617" s="1532"/>
      <c r="L617" s="1126" t="s">
        <v>1713</v>
      </c>
    </row>
    <row r="618" spans="1:12" ht="15.5" x14ac:dyDescent="0.35">
      <c r="A618" s="423" t="s">
        <v>2287</v>
      </c>
      <c r="B618" s="929">
        <v>525</v>
      </c>
      <c r="C618" s="1168" t="s">
        <v>1381</v>
      </c>
      <c r="D618" s="1530"/>
      <c r="E618" s="1531"/>
      <c r="F618" s="1531"/>
      <c r="G618" s="1531"/>
      <c r="H618" s="1531"/>
      <c r="I618" s="1531"/>
      <c r="J618" s="1531"/>
      <c r="K618" s="1532"/>
      <c r="L618" s="1126" t="s">
        <v>1713</v>
      </c>
    </row>
    <row r="619" spans="1:12" ht="15.5" x14ac:dyDescent="0.35">
      <c r="A619" s="423" t="s">
        <v>2288</v>
      </c>
      <c r="B619" s="929">
        <v>528</v>
      </c>
      <c r="C619" s="1168" t="s">
        <v>1381</v>
      </c>
      <c r="D619" s="1530"/>
      <c r="E619" s="1531"/>
      <c r="F619" s="1531"/>
      <c r="G619" s="1531"/>
      <c r="H619" s="1531"/>
      <c r="I619" s="1531"/>
      <c r="J619" s="1531"/>
      <c r="K619" s="1532"/>
      <c r="L619" s="1126" t="s">
        <v>1713</v>
      </c>
    </row>
    <row r="620" spans="1:12" ht="15.5" x14ac:dyDescent="0.35">
      <c r="A620" s="423" t="s">
        <v>2289</v>
      </c>
      <c r="B620" s="929">
        <v>535</v>
      </c>
      <c r="C620" s="1168" t="s">
        <v>1381</v>
      </c>
      <c r="D620" s="1530"/>
      <c r="E620" s="1531"/>
      <c r="F620" s="1531"/>
      <c r="G620" s="1531"/>
      <c r="H620" s="1531"/>
      <c r="I620" s="1531"/>
      <c r="J620" s="1531"/>
      <c r="K620" s="1532"/>
      <c r="L620" s="1126" t="s">
        <v>1713</v>
      </c>
    </row>
    <row r="621" spans="1:12" ht="15.5" x14ac:dyDescent="0.35">
      <c r="A621" s="423" t="s">
        <v>2290</v>
      </c>
      <c r="B621" s="929">
        <v>550</v>
      </c>
      <c r="C621" s="1168" t="s">
        <v>1381</v>
      </c>
      <c r="D621" s="1530"/>
      <c r="E621" s="1531"/>
      <c r="F621" s="1531"/>
      <c r="G621" s="1531"/>
      <c r="H621" s="1531"/>
      <c r="I621" s="1531"/>
      <c r="J621" s="1531"/>
      <c r="K621" s="1532"/>
      <c r="L621" s="1126" t="s">
        <v>1713</v>
      </c>
    </row>
    <row r="622" spans="1:12" ht="15.5" x14ac:dyDescent="0.35">
      <c r="A622" s="423" t="s">
        <v>2291</v>
      </c>
      <c r="B622" s="929">
        <v>580</v>
      </c>
      <c r="C622" s="1168" t="s">
        <v>1381</v>
      </c>
      <c r="D622" s="1530"/>
      <c r="E622" s="1531"/>
      <c r="F622" s="1531"/>
      <c r="G622" s="1531"/>
      <c r="H622" s="1531"/>
      <c r="I622" s="1531"/>
      <c r="J622" s="1531"/>
      <c r="K622" s="1532"/>
      <c r="L622" s="1126" t="s">
        <v>1713</v>
      </c>
    </row>
    <row r="623" spans="1:12" ht="15.5" x14ac:dyDescent="0.35">
      <c r="A623" s="423" t="s">
        <v>2292</v>
      </c>
      <c r="B623" s="929">
        <v>591</v>
      </c>
      <c r="C623" s="1168" t="s">
        <v>1381</v>
      </c>
      <c r="D623" s="1530"/>
      <c r="E623" s="1531"/>
      <c r="F623" s="1531"/>
      <c r="G623" s="1531"/>
      <c r="H623" s="1531"/>
      <c r="I623" s="1531"/>
      <c r="J623" s="1531"/>
      <c r="K623" s="1532"/>
      <c r="L623" s="1126" t="s">
        <v>1713</v>
      </c>
    </row>
    <row r="624" spans="1:12" ht="15.5" x14ac:dyDescent="0.35">
      <c r="A624" s="423" t="s">
        <v>2293</v>
      </c>
      <c r="B624" s="929">
        <v>594</v>
      </c>
      <c r="C624" s="1168" t="s">
        <v>1381</v>
      </c>
      <c r="D624" s="1530"/>
      <c r="E624" s="1531"/>
      <c r="F624" s="1531"/>
      <c r="G624" s="1531"/>
      <c r="H624" s="1531"/>
      <c r="I624" s="1531"/>
      <c r="J624" s="1531"/>
      <c r="K624" s="1532"/>
      <c r="L624" s="1126" t="s">
        <v>1713</v>
      </c>
    </row>
    <row r="625" spans="1:12" ht="15.5" x14ac:dyDescent="0.35">
      <c r="A625" s="423" t="s">
        <v>2294</v>
      </c>
      <c r="B625" s="929">
        <v>595</v>
      </c>
      <c r="C625" s="1168" t="s">
        <v>1381</v>
      </c>
      <c r="D625" s="1530"/>
      <c r="E625" s="1531"/>
      <c r="F625" s="1531"/>
      <c r="G625" s="1531"/>
      <c r="H625" s="1531"/>
      <c r="I625" s="1531"/>
      <c r="J625" s="1531"/>
      <c r="K625" s="1532"/>
      <c r="L625" s="1126" t="s">
        <v>1713</v>
      </c>
    </row>
    <row r="626" spans="1:12" ht="15.5" x14ac:dyDescent="0.35">
      <c r="A626" s="423" t="s">
        <v>2295</v>
      </c>
      <c r="B626" s="929">
        <v>597</v>
      </c>
      <c r="C626" s="1168" t="s">
        <v>1381</v>
      </c>
      <c r="D626" s="1530"/>
      <c r="E626" s="1531"/>
      <c r="F626" s="1531"/>
      <c r="G626" s="1531"/>
      <c r="H626" s="1531"/>
      <c r="I626" s="1531"/>
      <c r="J626" s="1531"/>
      <c r="K626" s="1532"/>
      <c r="L626" s="1126" t="s">
        <v>1713</v>
      </c>
    </row>
    <row r="627" spans="1:12" ht="15.5" x14ac:dyDescent="0.35">
      <c r="A627" s="423" t="s">
        <v>2296</v>
      </c>
      <c r="B627" s="929">
        <v>691</v>
      </c>
      <c r="C627" s="1168" t="s">
        <v>1381</v>
      </c>
      <c r="D627" s="1530"/>
      <c r="E627" s="1531"/>
      <c r="F627" s="1531"/>
      <c r="G627" s="1531"/>
      <c r="H627" s="1531"/>
      <c r="I627" s="1531"/>
      <c r="J627" s="1531"/>
      <c r="K627" s="1532"/>
      <c r="L627" s="1126" t="s">
        <v>1713</v>
      </c>
    </row>
    <row r="628" spans="1:12" ht="15.5" x14ac:dyDescent="0.35">
      <c r="A628" s="423" t="s">
        <v>2297</v>
      </c>
      <c r="B628" s="929">
        <v>692</v>
      </c>
      <c r="C628" s="1168" t="s">
        <v>1381</v>
      </c>
      <c r="D628" s="1530"/>
      <c r="E628" s="1531"/>
      <c r="F628" s="1531"/>
      <c r="G628" s="1531"/>
      <c r="H628" s="1531"/>
      <c r="I628" s="1531"/>
      <c r="J628" s="1531"/>
      <c r="K628" s="1532"/>
      <c r="L628" s="1126" t="s">
        <v>1713</v>
      </c>
    </row>
    <row r="629" spans="1:12" ht="15.5" x14ac:dyDescent="0.35">
      <c r="A629" s="423" t="s">
        <v>2298</v>
      </c>
      <c r="B629" s="929">
        <v>693</v>
      </c>
      <c r="C629" s="1168" t="s">
        <v>1381</v>
      </c>
      <c r="D629" s="1530"/>
      <c r="E629" s="1531"/>
      <c r="F629" s="1531"/>
      <c r="G629" s="1531"/>
      <c r="H629" s="1531"/>
      <c r="I629" s="1531"/>
      <c r="J629" s="1531"/>
      <c r="K629" s="1532"/>
      <c r="L629" s="1126" t="s">
        <v>1713</v>
      </c>
    </row>
    <row r="630" spans="1:12" ht="15.5" x14ac:dyDescent="0.35">
      <c r="A630" s="423" t="s">
        <v>2299</v>
      </c>
      <c r="B630" s="929">
        <v>694</v>
      </c>
      <c r="C630" s="1168" t="s">
        <v>1381</v>
      </c>
      <c r="D630" s="1530"/>
      <c r="E630" s="1531"/>
      <c r="F630" s="1531"/>
      <c r="G630" s="1531"/>
      <c r="H630" s="1531"/>
      <c r="I630" s="1531"/>
      <c r="J630" s="1531"/>
      <c r="K630" s="1532"/>
      <c r="L630" s="1126" t="s">
        <v>1713</v>
      </c>
    </row>
    <row r="631" spans="1:12" ht="15.5" x14ac:dyDescent="0.35">
      <c r="A631" s="423" t="s">
        <v>2300</v>
      </c>
      <c r="B631" s="929">
        <v>695</v>
      </c>
      <c r="C631" s="1168" t="s">
        <v>1381</v>
      </c>
      <c r="D631" s="1530"/>
      <c r="E631" s="1531"/>
      <c r="F631" s="1531"/>
      <c r="G631" s="1531"/>
      <c r="H631" s="1531"/>
      <c r="I631" s="1531"/>
      <c r="J631" s="1531"/>
      <c r="K631" s="1532"/>
      <c r="L631" s="1126" t="s">
        <v>1713</v>
      </c>
    </row>
    <row r="632" spans="1:12" ht="15.5" x14ac:dyDescent="0.35">
      <c r="A632" s="423" t="s">
        <v>2301</v>
      </c>
      <c r="B632" s="929">
        <v>696</v>
      </c>
      <c r="C632" s="1168" t="s">
        <v>1381</v>
      </c>
      <c r="D632" s="1530"/>
      <c r="E632" s="1531"/>
      <c r="F632" s="1531"/>
      <c r="G632" s="1531"/>
      <c r="H632" s="1531"/>
      <c r="I632" s="1531"/>
      <c r="J632" s="1531"/>
      <c r="K632" s="1532"/>
      <c r="L632" s="1126" t="s">
        <v>1713</v>
      </c>
    </row>
    <row r="633" spans="1:12" ht="15.5" x14ac:dyDescent="0.35">
      <c r="A633" s="423" t="s">
        <v>2302</v>
      </c>
      <c r="B633" s="929">
        <v>697</v>
      </c>
      <c r="C633" s="1168" t="s">
        <v>1381</v>
      </c>
      <c r="D633" s="1530"/>
      <c r="E633" s="1531"/>
      <c r="F633" s="1531"/>
      <c r="G633" s="1531"/>
      <c r="H633" s="1531"/>
      <c r="I633" s="1531"/>
      <c r="J633" s="1531"/>
      <c r="K633" s="1532"/>
      <c r="L633" s="1126" t="s">
        <v>1713</v>
      </c>
    </row>
    <row r="634" spans="1:12" ht="15.5" x14ac:dyDescent="0.35">
      <c r="A634" s="423" t="s">
        <v>2303</v>
      </c>
      <c r="B634" s="929">
        <v>698</v>
      </c>
      <c r="C634" s="1168" t="s">
        <v>1381</v>
      </c>
      <c r="D634" s="1530"/>
      <c r="E634" s="1531"/>
      <c r="F634" s="1531"/>
      <c r="G634" s="1531"/>
      <c r="H634" s="1531"/>
      <c r="I634" s="1531"/>
      <c r="J634" s="1531"/>
      <c r="K634" s="1532"/>
      <c r="L634" s="1126" t="s">
        <v>1713</v>
      </c>
    </row>
    <row r="635" spans="1:12" ht="15.5" x14ac:dyDescent="0.35">
      <c r="A635" s="423" t="s">
        <v>2304</v>
      </c>
      <c r="B635" s="929">
        <v>716</v>
      </c>
      <c r="C635" s="1168" t="s">
        <v>1381</v>
      </c>
      <c r="D635" s="1530"/>
      <c r="E635" s="1531"/>
      <c r="F635" s="1531"/>
      <c r="G635" s="1531"/>
      <c r="H635" s="1531"/>
      <c r="I635" s="1531"/>
      <c r="J635" s="1531"/>
      <c r="K635" s="1532"/>
      <c r="L635" s="1126" t="s">
        <v>1713</v>
      </c>
    </row>
    <row r="636" spans="1:12" ht="15.5" x14ac:dyDescent="0.35">
      <c r="A636" s="423" t="s">
        <v>2305</v>
      </c>
      <c r="B636" s="929">
        <v>717</v>
      </c>
      <c r="C636" s="1168" t="s">
        <v>1381</v>
      </c>
      <c r="D636" s="1530"/>
      <c r="E636" s="1531"/>
      <c r="F636" s="1531"/>
      <c r="G636" s="1531"/>
      <c r="H636" s="1531"/>
      <c r="I636" s="1531"/>
      <c r="J636" s="1531"/>
      <c r="K636" s="1532"/>
      <c r="L636" s="1126" t="s">
        <v>1713</v>
      </c>
    </row>
    <row r="637" spans="1:12" ht="15.5" x14ac:dyDescent="0.35">
      <c r="A637" s="423" t="s">
        <v>2306</v>
      </c>
      <c r="B637" s="929">
        <v>723</v>
      </c>
      <c r="C637" s="1168" t="s">
        <v>1381</v>
      </c>
      <c r="D637" s="1530"/>
      <c r="E637" s="1531"/>
      <c r="F637" s="1531"/>
      <c r="G637" s="1531"/>
      <c r="H637" s="1531"/>
      <c r="I637" s="1531"/>
      <c r="J637" s="1531"/>
      <c r="K637" s="1532"/>
      <c r="L637" s="1126" t="s">
        <v>1713</v>
      </c>
    </row>
    <row r="638" spans="1:12" ht="15.5" x14ac:dyDescent="0.35">
      <c r="A638" s="423" t="s">
        <v>2307</v>
      </c>
      <c r="B638" s="929">
        <v>726</v>
      </c>
      <c r="C638" s="1168" t="s">
        <v>1381</v>
      </c>
      <c r="D638" s="1530"/>
      <c r="E638" s="1531"/>
      <c r="F638" s="1531"/>
      <c r="G638" s="1531"/>
      <c r="H638" s="1531"/>
      <c r="I638" s="1531"/>
      <c r="J638" s="1531"/>
      <c r="K638" s="1532"/>
      <c r="L638" s="1126" t="s">
        <v>1713</v>
      </c>
    </row>
    <row r="639" spans="1:12" ht="15.5" x14ac:dyDescent="0.35">
      <c r="A639" s="423" t="s">
        <v>2308</v>
      </c>
      <c r="B639" s="929">
        <v>733</v>
      </c>
      <c r="C639" s="1168" t="s">
        <v>1381</v>
      </c>
      <c r="D639" s="1530"/>
      <c r="E639" s="1531"/>
      <c r="F639" s="1531"/>
      <c r="G639" s="1531"/>
      <c r="H639" s="1531"/>
      <c r="I639" s="1531"/>
      <c r="J639" s="1531"/>
      <c r="K639" s="1532"/>
      <c r="L639" s="1126" t="s">
        <v>1713</v>
      </c>
    </row>
    <row r="640" spans="1:12" ht="15.5" x14ac:dyDescent="0.35">
      <c r="A640" s="423" t="s">
        <v>2309</v>
      </c>
      <c r="B640" s="929">
        <v>734</v>
      </c>
      <c r="C640" s="1168" t="s">
        <v>1381</v>
      </c>
      <c r="D640" s="1530"/>
      <c r="E640" s="1531"/>
      <c r="F640" s="1531"/>
      <c r="G640" s="1531"/>
      <c r="H640" s="1531"/>
      <c r="I640" s="1531"/>
      <c r="J640" s="1531"/>
      <c r="K640" s="1532"/>
      <c r="L640" s="1126" t="s">
        <v>1713</v>
      </c>
    </row>
    <row r="641" spans="1:12" ht="15.5" x14ac:dyDescent="0.35">
      <c r="A641" s="423" t="s">
        <v>2310</v>
      </c>
      <c r="B641" s="929">
        <v>741</v>
      </c>
      <c r="C641" s="1168" t="s">
        <v>1381</v>
      </c>
      <c r="D641" s="1530"/>
      <c r="E641" s="1531"/>
      <c r="F641" s="1531"/>
      <c r="G641" s="1531"/>
      <c r="H641" s="1531"/>
      <c r="I641" s="1531"/>
      <c r="J641" s="1531"/>
      <c r="K641" s="1532"/>
      <c r="L641" s="1126" t="s">
        <v>1713</v>
      </c>
    </row>
    <row r="642" spans="1:12" ht="15.5" x14ac:dyDescent="0.35">
      <c r="A642" s="423" t="s">
        <v>2311</v>
      </c>
      <c r="B642" s="929">
        <v>752</v>
      </c>
      <c r="C642" s="1168" t="s">
        <v>1381</v>
      </c>
      <c r="D642" s="1530"/>
      <c r="E642" s="1531"/>
      <c r="F642" s="1531"/>
      <c r="G642" s="1531"/>
      <c r="H642" s="1531"/>
      <c r="I642" s="1531"/>
      <c r="J642" s="1531"/>
      <c r="K642" s="1532"/>
      <c r="L642" s="1126" t="s">
        <v>1713</v>
      </c>
    </row>
    <row r="643" spans="1:12" ht="15.5" x14ac:dyDescent="0.35">
      <c r="A643" s="423" t="s">
        <v>2312</v>
      </c>
      <c r="B643" s="929">
        <v>757</v>
      </c>
      <c r="C643" s="1168" t="s">
        <v>1381</v>
      </c>
      <c r="D643" s="1530"/>
      <c r="E643" s="1531"/>
      <c r="F643" s="1531"/>
      <c r="G643" s="1531"/>
      <c r="H643" s="1531"/>
      <c r="I643" s="1531"/>
      <c r="J643" s="1531"/>
      <c r="K643" s="1532"/>
      <c r="L643" s="1126" t="s">
        <v>1713</v>
      </c>
    </row>
    <row r="644" spans="1:12" ht="15.5" x14ac:dyDescent="0.35">
      <c r="A644" s="423" t="s">
        <v>2313</v>
      </c>
      <c r="B644" s="929">
        <v>810</v>
      </c>
      <c r="C644" s="1168" t="s">
        <v>1381</v>
      </c>
      <c r="D644" s="1530"/>
      <c r="E644" s="1531"/>
      <c r="F644" s="1531"/>
      <c r="G644" s="1531"/>
      <c r="H644" s="1531"/>
      <c r="I644" s="1531"/>
      <c r="J644" s="1531"/>
      <c r="K644" s="1532"/>
      <c r="L644" s="1126" t="s">
        <v>1713</v>
      </c>
    </row>
    <row r="645" spans="1:12" ht="15.5" x14ac:dyDescent="0.35">
      <c r="A645" s="423" t="s">
        <v>2314</v>
      </c>
      <c r="B645" s="929">
        <v>821</v>
      </c>
      <c r="C645" s="1168" t="s">
        <v>1381</v>
      </c>
      <c r="D645" s="1530"/>
      <c r="E645" s="1531"/>
      <c r="F645" s="1531"/>
      <c r="G645" s="1531"/>
      <c r="H645" s="1531"/>
      <c r="I645" s="1531"/>
      <c r="J645" s="1531"/>
      <c r="K645" s="1532"/>
      <c r="L645" s="1126" t="s">
        <v>1713</v>
      </c>
    </row>
    <row r="646" spans="1:12" ht="15.5" x14ac:dyDescent="0.35">
      <c r="A646" s="423" t="s">
        <v>2315</v>
      </c>
      <c r="B646" s="929">
        <v>825</v>
      </c>
      <c r="C646" s="1168" t="s">
        <v>1381</v>
      </c>
      <c r="D646" s="1530"/>
      <c r="E646" s="1531"/>
      <c r="F646" s="1531"/>
      <c r="G646" s="1531"/>
      <c r="H646" s="1531"/>
      <c r="I646" s="1531"/>
      <c r="J646" s="1531"/>
      <c r="K646" s="1532"/>
      <c r="L646" s="1126" t="s">
        <v>1713</v>
      </c>
    </row>
    <row r="647" spans="1:12" ht="15.5" x14ac:dyDescent="0.35">
      <c r="A647" s="423" t="s">
        <v>2316</v>
      </c>
      <c r="B647" s="929">
        <v>830</v>
      </c>
      <c r="C647" s="1168" t="s">
        <v>1381</v>
      </c>
      <c r="D647" s="1530"/>
      <c r="E647" s="1531"/>
      <c r="F647" s="1531"/>
      <c r="G647" s="1531"/>
      <c r="H647" s="1531"/>
      <c r="I647" s="1531"/>
      <c r="J647" s="1531"/>
      <c r="K647" s="1532"/>
      <c r="L647" s="1126" t="s">
        <v>1713</v>
      </c>
    </row>
    <row r="648" spans="1:12" ht="15.5" x14ac:dyDescent="0.35">
      <c r="A648" s="423" t="s">
        <v>2317</v>
      </c>
      <c r="B648" s="929">
        <v>841</v>
      </c>
      <c r="C648" s="1168" t="s">
        <v>1381</v>
      </c>
      <c r="D648" s="1530"/>
      <c r="E648" s="1531"/>
      <c r="F648" s="1531"/>
      <c r="G648" s="1531"/>
      <c r="H648" s="1531"/>
      <c r="I648" s="1531"/>
      <c r="J648" s="1531"/>
      <c r="K648" s="1532"/>
      <c r="L648" s="1126" t="s">
        <v>1713</v>
      </c>
    </row>
    <row r="649" spans="1:12" ht="15.5" x14ac:dyDescent="0.35">
      <c r="A649" s="423" t="s">
        <v>2318</v>
      </c>
      <c r="B649" s="929">
        <v>845</v>
      </c>
      <c r="C649" s="1168" t="s">
        <v>1381</v>
      </c>
      <c r="D649" s="1530"/>
      <c r="E649" s="1531"/>
      <c r="F649" s="1531"/>
      <c r="G649" s="1531"/>
      <c r="H649" s="1531"/>
      <c r="I649" s="1531"/>
      <c r="J649" s="1531"/>
      <c r="K649" s="1532"/>
      <c r="L649" s="1126" t="s">
        <v>1713</v>
      </c>
    </row>
    <row r="650" spans="1:12" ht="15.5" x14ac:dyDescent="0.35">
      <c r="A650" s="423" t="s">
        <v>2319</v>
      </c>
      <c r="B650" s="929">
        <v>850</v>
      </c>
      <c r="C650" s="1168" t="s">
        <v>1381</v>
      </c>
      <c r="D650" s="1530"/>
      <c r="E650" s="1531"/>
      <c r="F650" s="1531"/>
      <c r="G650" s="1531"/>
      <c r="H650" s="1531"/>
      <c r="I650" s="1531"/>
      <c r="J650" s="1531"/>
      <c r="K650" s="1532"/>
      <c r="L650" s="1126" t="s">
        <v>1713</v>
      </c>
    </row>
    <row r="651" spans="1:12" ht="15.5" x14ac:dyDescent="0.35">
      <c r="A651" s="423" t="s">
        <v>2320</v>
      </c>
      <c r="B651" s="929">
        <v>860</v>
      </c>
      <c r="C651" s="1168" t="s">
        <v>1381</v>
      </c>
      <c r="D651" s="1530"/>
      <c r="E651" s="1531"/>
      <c r="F651" s="1531"/>
      <c r="G651" s="1531"/>
      <c r="H651" s="1531"/>
      <c r="I651" s="1531"/>
      <c r="J651" s="1531"/>
      <c r="K651" s="1532"/>
      <c r="L651" s="1126" t="s">
        <v>1713</v>
      </c>
    </row>
    <row r="652" spans="1:12" ht="15.5" x14ac:dyDescent="0.35">
      <c r="A652" s="423" t="s">
        <v>2321</v>
      </c>
      <c r="B652" s="929">
        <v>871</v>
      </c>
      <c r="C652" s="1168" t="s">
        <v>1381</v>
      </c>
      <c r="D652" s="1530"/>
      <c r="E652" s="1531"/>
      <c r="F652" s="1531"/>
      <c r="G652" s="1531"/>
      <c r="H652" s="1531"/>
      <c r="I652" s="1531"/>
      <c r="J652" s="1531"/>
      <c r="K652" s="1532"/>
      <c r="L652" s="1126" t="s">
        <v>1713</v>
      </c>
    </row>
    <row r="653" spans="1:12" ht="15.5" x14ac:dyDescent="0.35">
      <c r="A653" s="423" t="s">
        <v>2322</v>
      </c>
      <c r="B653" s="929">
        <v>872</v>
      </c>
      <c r="C653" s="1168" t="s">
        <v>1381</v>
      </c>
      <c r="D653" s="1530"/>
      <c r="E653" s="1531"/>
      <c r="F653" s="1531"/>
      <c r="G653" s="1531"/>
      <c r="H653" s="1531"/>
      <c r="I653" s="1531"/>
      <c r="J653" s="1531"/>
      <c r="K653" s="1532"/>
      <c r="L653" s="1126" t="s">
        <v>1713</v>
      </c>
    </row>
    <row r="654" spans="1:12" ht="15.5" x14ac:dyDescent="0.35">
      <c r="A654" s="423" t="s">
        <v>2323</v>
      </c>
      <c r="B654" s="929">
        <v>873</v>
      </c>
      <c r="C654" s="1168" t="s">
        <v>1381</v>
      </c>
      <c r="D654" s="1530"/>
      <c r="E654" s="1531"/>
      <c r="F654" s="1531"/>
      <c r="G654" s="1531"/>
      <c r="H654" s="1531"/>
      <c r="I654" s="1531"/>
      <c r="J654" s="1531"/>
      <c r="K654" s="1532"/>
      <c r="L654" s="1126" t="s">
        <v>1713</v>
      </c>
    </row>
    <row r="655" spans="1:12" ht="15.5" x14ac:dyDescent="0.35">
      <c r="A655" s="423" t="s">
        <v>2324</v>
      </c>
      <c r="B655" s="929">
        <v>874</v>
      </c>
      <c r="C655" s="1168" t="s">
        <v>1381</v>
      </c>
      <c r="D655" s="1530"/>
      <c r="E655" s="1531"/>
      <c r="F655" s="1531"/>
      <c r="G655" s="1531"/>
      <c r="H655" s="1531"/>
      <c r="I655" s="1531"/>
      <c r="J655" s="1531"/>
      <c r="K655" s="1532"/>
      <c r="L655" s="1126" t="s">
        <v>1713</v>
      </c>
    </row>
    <row r="656" spans="1:12" ht="15.5" x14ac:dyDescent="0.35">
      <c r="A656" s="423" t="s">
        <v>2325</v>
      </c>
      <c r="B656" s="929">
        <v>875</v>
      </c>
      <c r="C656" s="1168" t="s">
        <v>1381</v>
      </c>
      <c r="D656" s="1530"/>
      <c r="E656" s="1531"/>
      <c r="F656" s="1531"/>
      <c r="G656" s="1531"/>
      <c r="H656" s="1531"/>
      <c r="I656" s="1531"/>
      <c r="J656" s="1531"/>
      <c r="K656" s="1532"/>
      <c r="L656" s="1126" t="s">
        <v>1713</v>
      </c>
    </row>
    <row r="657" spans="1:12" ht="15.5" x14ac:dyDescent="0.35">
      <c r="A657" s="423" t="s">
        <v>2326</v>
      </c>
      <c r="B657" s="929">
        <v>891</v>
      </c>
      <c r="C657" s="1168" t="s">
        <v>1381</v>
      </c>
      <c r="D657" s="1530"/>
      <c r="E657" s="1531"/>
      <c r="F657" s="1531"/>
      <c r="G657" s="1531"/>
      <c r="H657" s="1531"/>
      <c r="I657" s="1531"/>
      <c r="J657" s="1531"/>
      <c r="K657" s="1532"/>
      <c r="L657" s="1126" t="s">
        <v>1713</v>
      </c>
    </row>
    <row r="658" spans="1:12" ht="15.5" x14ac:dyDescent="0.35">
      <c r="A658" s="423" t="s">
        <v>2327</v>
      </c>
      <c r="B658" s="929">
        <v>892</v>
      </c>
      <c r="C658" s="1168" t="s">
        <v>1381</v>
      </c>
      <c r="D658" s="1530"/>
      <c r="E658" s="1531"/>
      <c r="F658" s="1531"/>
      <c r="G658" s="1531"/>
      <c r="H658" s="1531"/>
      <c r="I658" s="1531"/>
      <c r="J658" s="1531"/>
      <c r="K658" s="1532"/>
      <c r="L658" s="1126" t="s">
        <v>1713</v>
      </c>
    </row>
    <row r="659" spans="1:12" ht="15.5" x14ac:dyDescent="0.35">
      <c r="A659" s="423" t="s">
        <v>2328</v>
      </c>
      <c r="B659" s="929">
        <v>893</v>
      </c>
      <c r="C659" s="1168" t="s">
        <v>1381</v>
      </c>
      <c r="D659" s="1530"/>
      <c r="E659" s="1531"/>
      <c r="F659" s="1531"/>
      <c r="G659" s="1531"/>
      <c r="H659" s="1531"/>
      <c r="I659" s="1531"/>
      <c r="J659" s="1531"/>
      <c r="K659" s="1532"/>
      <c r="L659" s="1126" t="s">
        <v>1713</v>
      </c>
    </row>
    <row r="660" spans="1:12" ht="15.5" x14ac:dyDescent="0.35">
      <c r="A660" s="423" t="s">
        <v>2329</v>
      </c>
      <c r="B660" s="929">
        <v>894</v>
      </c>
      <c r="C660" s="1168" t="s">
        <v>1381</v>
      </c>
      <c r="D660" s="1530"/>
      <c r="E660" s="1531"/>
      <c r="F660" s="1531"/>
      <c r="G660" s="1531"/>
      <c r="H660" s="1531"/>
      <c r="I660" s="1531"/>
      <c r="J660" s="1531"/>
      <c r="K660" s="1532"/>
      <c r="L660" s="1126" t="s">
        <v>1713</v>
      </c>
    </row>
    <row r="661" spans="1:12" ht="15.5" x14ac:dyDescent="0.35">
      <c r="A661" s="423" t="s">
        <v>2330</v>
      </c>
      <c r="B661" s="929">
        <v>895</v>
      </c>
      <c r="C661" s="1168" t="s">
        <v>1381</v>
      </c>
      <c r="D661" s="1530"/>
      <c r="E661" s="1531"/>
      <c r="F661" s="1531"/>
      <c r="G661" s="1531"/>
      <c r="H661" s="1531"/>
      <c r="I661" s="1531"/>
      <c r="J661" s="1531"/>
      <c r="K661" s="1532"/>
      <c r="L661" s="1126" t="s">
        <v>1713</v>
      </c>
    </row>
    <row r="662" spans="1:12" ht="15.5" x14ac:dyDescent="0.35">
      <c r="A662" s="423" t="s">
        <v>2331</v>
      </c>
      <c r="B662" s="929">
        <v>896</v>
      </c>
      <c r="C662" s="1168" t="s">
        <v>1381</v>
      </c>
      <c r="D662" s="1530"/>
      <c r="E662" s="1531"/>
      <c r="F662" s="1531"/>
      <c r="G662" s="1531"/>
      <c r="H662" s="1531"/>
      <c r="I662" s="1531"/>
      <c r="J662" s="1531"/>
      <c r="K662" s="1532"/>
      <c r="L662" s="1126" t="s">
        <v>1713</v>
      </c>
    </row>
    <row r="663" spans="1:12" ht="15.5" x14ac:dyDescent="0.35">
      <c r="A663" s="423" t="s">
        <v>2332</v>
      </c>
      <c r="B663" s="929">
        <v>897</v>
      </c>
      <c r="C663" s="1168" t="s">
        <v>1381</v>
      </c>
      <c r="D663" s="1530"/>
      <c r="E663" s="1531"/>
      <c r="F663" s="1531"/>
      <c r="G663" s="1531"/>
      <c r="H663" s="1531"/>
      <c r="I663" s="1531"/>
      <c r="J663" s="1531"/>
      <c r="K663" s="1532"/>
      <c r="L663" s="1126" t="s">
        <v>1713</v>
      </c>
    </row>
    <row r="664" spans="1:12" ht="15.5" x14ac:dyDescent="0.35">
      <c r="A664" s="423" t="s">
        <v>2333</v>
      </c>
      <c r="B664" s="929">
        <v>898</v>
      </c>
      <c r="C664" s="1168" t="s">
        <v>1381</v>
      </c>
      <c r="D664" s="1530"/>
      <c r="E664" s="1531"/>
      <c r="F664" s="1531"/>
      <c r="G664" s="1531"/>
      <c r="H664" s="1531"/>
      <c r="I664" s="1531"/>
      <c r="J664" s="1531"/>
      <c r="K664" s="1532"/>
      <c r="L664" s="1126" t="s">
        <v>1713</v>
      </c>
    </row>
    <row r="665" spans="1:12" ht="15.5" x14ac:dyDescent="0.35">
      <c r="A665" s="423" t="s">
        <v>2334</v>
      </c>
      <c r="B665" s="929">
        <v>931</v>
      </c>
      <c r="C665" s="1168" t="s">
        <v>1381</v>
      </c>
      <c r="D665" s="1530"/>
      <c r="E665" s="1531"/>
      <c r="F665" s="1531"/>
      <c r="G665" s="1531"/>
      <c r="H665" s="1531"/>
      <c r="I665" s="1531"/>
      <c r="J665" s="1531"/>
      <c r="K665" s="1532"/>
      <c r="L665" s="1126" t="s">
        <v>1713</v>
      </c>
    </row>
    <row r="666" spans="1:12" ht="15.5" x14ac:dyDescent="0.35">
      <c r="A666" s="423" t="s">
        <v>2335</v>
      </c>
      <c r="B666" s="929">
        <v>933</v>
      </c>
      <c r="C666" s="1168" t="s">
        <v>1381</v>
      </c>
      <c r="D666" s="1530"/>
      <c r="E666" s="1531"/>
      <c r="F666" s="1531"/>
      <c r="G666" s="1531"/>
      <c r="H666" s="1531"/>
      <c r="I666" s="1531"/>
      <c r="J666" s="1531"/>
      <c r="K666" s="1532"/>
      <c r="L666" s="1126" t="s">
        <v>1713</v>
      </c>
    </row>
    <row r="667" spans="1:12" ht="15.5" x14ac:dyDescent="0.35">
      <c r="A667" s="423" t="s">
        <v>2336</v>
      </c>
      <c r="B667" s="929">
        <v>934</v>
      </c>
      <c r="C667" s="1168" t="s">
        <v>1381</v>
      </c>
      <c r="D667" s="1530"/>
      <c r="E667" s="1531"/>
      <c r="F667" s="1531"/>
      <c r="G667" s="1531"/>
      <c r="H667" s="1531"/>
      <c r="I667" s="1531"/>
      <c r="J667" s="1531"/>
      <c r="K667" s="1532"/>
      <c r="L667" s="1126" t="s">
        <v>1713</v>
      </c>
    </row>
    <row r="668" spans="1:12" ht="15.5" x14ac:dyDescent="0.35">
      <c r="A668" s="423" t="s">
        <v>2337</v>
      </c>
      <c r="B668" s="929">
        <v>935</v>
      </c>
      <c r="C668" s="1168" t="s">
        <v>1381</v>
      </c>
      <c r="D668" s="1530"/>
      <c r="E668" s="1531"/>
      <c r="F668" s="1531"/>
      <c r="G668" s="1531"/>
      <c r="H668" s="1531"/>
      <c r="I668" s="1531"/>
      <c r="J668" s="1531"/>
      <c r="K668" s="1532"/>
      <c r="L668" s="1126" t="s">
        <v>1713</v>
      </c>
    </row>
    <row r="669" spans="1:12" ht="15.5" x14ac:dyDescent="0.35">
      <c r="A669" s="423" t="s">
        <v>2338</v>
      </c>
      <c r="B669" s="929">
        <v>936</v>
      </c>
      <c r="C669" s="1168" t="s">
        <v>1381</v>
      </c>
      <c r="D669" s="1530"/>
      <c r="E669" s="1531"/>
      <c r="F669" s="1531"/>
      <c r="G669" s="1531"/>
      <c r="H669" s="1531"/>
      <c r="I669" s="1531"/>
      <c r="J669" s="1531"/>
      <c r="K669" s="1532"/>
      <c r="L669" s="1126" t="s">
        <v>1713</v>
      </c>
    </row>
    <row r="670" spans="1:12" ht="15.5" x14ac:dyDescent="0.35">
      <c r="A670" s="423" t="s">
        <v>2339</v>
      </c>
      <c r="B670" s="929">
        <v>939</v>
      </c>
      <c r="C670" s="1168" t="s">
        <v>1381</v>
      </c>
      <c r="D670" s="1530"/>
      <c r="E670" s="1531"/>
      <c r="F670" s="1531"/>
      <c r="G670" s="1531"/>
      <c r="H670" s="1531"/>
      <c r="I670" s="1531"/>
      <c r="J670" s="1531"/>
      <c r="K670" s="1532"/>
      <c r="L670" s="1126" t="s">
        <v>1713</v>
      </c>
    </row>
    <row r="671" spans="1:12" ht="15.5" x14ac:dyDescent="0.35">
      <c r="A671" s="423" t="s">
        <v>2340</v>
      </c>
      <c r="B671" s="929">
        <v>1</v>
      </c>
      <c r="C671" s="1168" t="s">
        <v>2341</v>
      </c>
      <c r="D671" s="1530"/>
      <c r="E671" s="1531"/>
      <c r="F671" s="1531"/>
      <c r="G671" s="1531"/>
      <c r="H671" s="1531"/>
      <c r="I671" s="1531"/>
      <c r="J671" s="1531"/>
      <c r="K671" s="1532"/>
      <c r="L671" s="1126" t="s">
        <v>1713</v>
      </c>
    </row>
    <row r="672" spans="1:12" ht="15.5" x14ac:dyDescent="0.35">
      <c r="A672" s="423" t="s">
        <v>2342</v>
      </c>
      <c r="B672" s="929">
        <v>2</v>
      </c>
      <c r="C672" s="1168" t="s">
        <v>2341</v>
      </c>
      <c r="D672" s="1530"/>
      <c r="E672" s="1531"/>
      <c r="F672" s="1531"/>
      <c r="G672" s="1531"/>
      <c r="H672" s="1531"/>
      <c r="I672" s="1531"/>
      <c r="J672" s="1531"/>
      <c r="K672" s="1532"/>
      <c r="L672" s="1126" t="s">
        <v>1713</v>
      </c>
    </row>
    <row r="673" spans="1:12" ht="15.5" x14ac:dyDescent="0.35">
      <c r="A673" s="423" t="s">
        <v>2343</v>
      </c>
      <c r="B673" s="929">
        <v>3</v>
      </c>
      <c r="C673" s="1168" t="s">
        <v>2341</v>
      </c>
      <c r="D673" s="1530"/>
      <c r="E673" s="1531"/>
      <c r="F673" s="1531"/>
      <c r="G673" s="1531"/>
      <c r="H673" s="1531"/>
      <c r="I673" s="1531"/>
      <c r="J673" s="1531"/>
      <c r="K673" s="1532"/>
      <c r="L673" s="1126" t="s">
        <v>1713</v>
      </c>
    </row>
    <row r="674" spans="1:12" ht="15.5" x14ac:dyDescent="0.35">
      <c r="A674" s="423" t="s">
        <v>2344</v>
      </c>
      <c r="B674" s="929">
        <v>4</v>
      </c>
      <c r="C674" s="1168" t="s">
        <v>2341</v>
      </c>
      <c r="D674" s="1530"/>
      <c r="E674" s="1531"/>
      <c r="F674" s="1531"/>
      <c r="G674" s="1531"/>
      <c r="H674" s="1531"/>
      <c r="I674" s="1531"/>
      <c r="J674" s="1531"/>
      <c r="K674" s="1532"/>
      <c r="L674" s="1126" t="s">
        <v>1713</v>
      </c>
    </row>
    <row r="675" spans="1:12" ht="15.5" x14ac:dyDescent="0.35">
      <c r="A675" s="423" t="s">
        <v>2345</v>
      </c>
      <c r="B675" s="929">
        <v>5</v>
      </c>
      <c r="C675" s="1168" t="s">
        <v>2341</v>
      </c>
      <c r="D675" s="1530"/>
      <c r="E675" s="1531"/>
      <c r="F675" s="1531"/>
      <c r="G675" s="1531"/>
      <c r="H675" s="1531"/>
      <c r="I675" s="1531"/>
      <c r="J675" s="1531"/>
      <c r="K675" s="1532"/>
      <c r="L675" s="1126" t="s">
        <v>1713</v>
      </c>
    </row>
    <row r="676" spans="1:12" ht="15.5" x14ac:dyDescent="0.35">
      <c r="A676" s="423" t="s">
        <v>2346</v>
      </c>
      <c r="B676" s="929">
        <v>6</v>
      </c>
      <c r="C676" s="1168" t="s">
        <v>2341</v>
      </c>
      <c r="D676" s="1530"/>
      <c r="E676" s="1531"/>
      <c r="F676" s="1531"/>
      <c r="G676" s="1531"/>
      <c r="H676" s="1531"/>
      <c r="I676" s="1531"/>
      <c r="J676" s="1531"/>
      <c r="K676" s="1532"/>
      <c r="L676" s="1126" t="s">
        <v>1713</v>
      </c>
    </row>
    <row r="677" spans="1:12" ht="15.5" x14ac:dyDescent="0.35">
      <c r="A677" s="423" t="s">
        <v>2347</v>
      </c>
      <c r="B677" s="929">
        <v>7</v>
      </c>
      <c r="C677" s="1168" t="s">
        <v>2341</v>
      </c>
      <c r="D677" s="1530"/>
      <c r="E677" s="1531"/>
      <c r="F677" s="1531"/>
      <c r="G677" s="1531"/>
      <c r="H677" s="1531"/>
      <c r="I677" s="1531"/>
      <c r="J677" s="1531"/>
      <c r="K677" s="1532"/>
      <c r="L677" s="1126" t="s">
        <v>1713</v>
      </c>
    </row>
    <row r="678" spans="1:12" ht="15.5" x14ac:dyDescent="0.35">
      <c r="A678" s="423" t="s">
        <v>2348</v>
      </c>
      <c r="B678" s="929">
        <v>8</v>
      </c>
      <c r="C678" s="1168" t="s">
        <v>2341</v>
      </c>
      <c r="D678" s="1530"/>
      <c r="E678" s="1531"/>
      <c r="F678" s="1531"/>
      <c r="G678" s="1531"/>
      <c r="H678" s="1531"/>
      <c r="I678" s="1531"/>
      <c r="J678" s="1531"/>
      <c r="K678" s="1532"/>
      <c r="L678" s="1126" t="s">
        <v>1713</v>
      </c>
    </row>
    <row r="679" spans="1:12" ht="15.5" x14ac:dyDescent="0.35">
      <c r="A679" s="423" t="s">
        <v>2349</v>
      </c>
      <c r="B679" s="929">
        <v>9</v>
      </c>
      <c r="C679" s="1168" t="s">
        <v>2341</v>
      </c>
      <c r="D679" s="1530"/>
      <c r="E679" s="1531"/>
      <c r="F679" s="1531"/>
      <c r="G679" s="1531"/>
      <c r="H679" s="1531"/>
      <c r="I679" s="1531"/>
      <c r="J679" s="1531"/>
      <c r="K679" s="1532"/>
      <c r="L679" s="1126" t="s">
        <v>1713</v>
      </c>
    </row>
    <row r="680" spans="1:12" ht="15.5" x14ac:dyDescent="0.35">
      <c r="A680" s="423" t="s">
        <v>2350</v>
      </c>
      <c r="B680" s="929">
        <v>10</v>
      </c>
      <c r="C680" s="1168" t="s">
        <v>2341</v>
      </c>
      <c r="D680" s="1530"/>
      <c r="E680" s="1531"/>
      <c r="F680" s="1531"/>
      <c r="G680" s="1531"/>
      <c r="H680" s="1531"/>
      <c r="I680" s="1531"/>
      <c r="J680" s="1531"/>
      <c r="K680" s="1532"/>
      <c r="L680" s="1126" t="s">
        <v>1713</v>
      </c>
    </row>
    <row r="681" spans="1:12" ht="15.5" x14ac:dyDescent="0.35">
      <c r="A681" s="423" t="s">
        <v>2351</v>
      </c>
      <c r="B681" s="929">
        <v>11</v>
      </c>
      <c r="C681" s="1168" t="s">
        <v>2341</v>
      </c>
      <c r="D681" s="1530"/>
      <c r="E681" s="1531"/>
      <c r="F681" s="1531"/>
      <c r="G681" s="1531"/>
      <c r="H681" s="1531"/>
      <c r="I681" s="1531"/>
      <c r="J681" s="1531"/>
      <c r="K681" s="1532"/>
      <c r="L681" s="1126" t="s">
        <v>1713</v>
      </c>
    </row>
    <row r="682" spans="1:12" ht="15.5" x14ac:dyDescent="0.35">
      <c r="A682" s="423" t="s">
        <v>2352</v>
      </c>
      <c r="B682" s="929">
        <v>12</v>
      </c>
      <c r="C682" s="1168" t="s">
        <v>2341</v>
      </c>
      <c r="D682" s="1530"/>
      <c r="E682" s="1531"/>
      <c r="F682" s="1531"/>
      <c r="G682" s="1531"/>
      <c r="H682" s="1531"/>
      <c r="I682" s="1531"/>
      <c r="J682" s="1531"/>
      <c r="K682" s="1532"/>
      <c r="L682" s="1126" t="s">
        <v>1713</v>
      </c>
    </row>
    <row r="683" spans="1:12" ht="15.5" x14ac:dyDescent="0.35">
      <c r="A683" s="423" t="s">
        <v>2353</v>
      </c>
      <c r="B683" s="929">
        <v>13</v>
      </c>
      <c r="C683" s="1168" t="s">
        <v>2341</v>
      </c>
      <c r="D683" s="1530"/>
      <c r="E683" s="1531"/>
      <c r="F683" s="1531"/>
      <c r="G683" s="1531"/>
      <c r="H683" s="1531"/>
      <c r="I683" s="1531"/>
      <c r="J683" s="1531"/>
      <c r="K683" s="1532"/>
      <c r="L683" s="1126" t="s">
        <v>1713</v>
      </c>
    </row>
    <row r="684" spans="1:12" ht="15.5" x14ac:dyDescent="0.35">
      <c r="A684" s="423" t="s">
        <v>2354</v>
      </c>
      <c r="B684" s="929">
        <v>14</v>
      </c>
      <c r="C684" s="1168" t="s">
        <v>2341</v>
      </c>
      <c r="D684" s="1530"/>
      <c r="E684" s="1531"/>
      <c r="F684" s="1531"/>
      <c r="G684" s="1531"/>
      <c r="H684" s="1531"/>
      <c r="I684" s="1531"/>
      <c r="J684" s="1531"/>
      <c r="K684" s="1532"/>
      <c r="L684" s="1126" t="s">
        <v>1713</v>
      </c>
    </row>
    <row r="685" spans="1:12" ht="15.5" x14ac:dyDescent="0.35">
      <c r="A685" s="423" t="s">
        <v>2355</v>
      </c>
      <c r="B685" s="929">
        <v>15</v>
      </c>
      <c r="C685" s="1168" t="s">
        <v>2341</v>
      </c>
      <c r="D685" s="1530"/>
      <c r="E685" s="1531"/>
      <c r="F685" s="1531"/>
      <c r="G685" s="1531"/>
      <c r="H685" s="1531"/>
      <c r="I685" s="1531"/>
      <c r="J685" s="1531"/>
      <c r="K685" s="1532"/>
      <c r="L685" s="1126" t="s">
        <v>1713</v>
      </c>
    </row>
    <row r="686" spans="1:12" ht="15.5" x14ac:dyDescent="0.35">
      <c r="A686" s="423" t="s">
        <v>2356</v>
      </c>
      <c r="B686" s="929">
        <v>16</v>
      </c>
      <c r="C686" s="1168" t="s">
        <v>2341</v>
      </c>
      <c r="D686" s="1530"/>
      <c r="E686" s="1531"/>
      <c r="F686" s="1531"/>
      <c r="G686" s="1531"/>
      <c r="H686" s="1531"/>
      <c r="I686" s="1531"/>
      <c r="J686" s="1531"/>
      <c r="K686" s="1532"/>
      <c r="L686" s="1126" t="s">
        <v>1713</v>
      </c>
    </row>
    <row r="687" spans="1:12" ht="15.5" x14ac:dyDescent="0.35">
      <c r="A687" s="423" t="s">
        <v>2357</v>
      </c>
      <c r="B687" s="929">
        <v>17</v>
      </c>
      <c r="C687" s="1168" t="s">
        <v>2341</v>
      </c>
      <c r="D687" s="1531"/>
      <c r="E687" s="1531"/>
      <c r="F687" s="1531"/>
      <c r="G687" s="1531"/>
      <c r="H687" s="1531"/>
      <c r="I687" s="1531"/>
      <c r="J687" s="1531"/>
      <c r="K687" s="1531"/>
      <c r="L687" s="1126" t="s">
        <v>1713</v>
      </c>
    </row>
    <row r="688" spans="1:12" ht="15" customHeight="1" x14ac:dyDescent="0.35">
      <c r="A688" s="423" t="s">
        <v>2358</v>
      </c>
      <c r="B688" s="929">
        <v>18</v>
      </c>
      <c r="C688" s="1168" t="s">
        <v>2341</v>
      </c>
      <c r="D688" s="1530"/>
      <c r="E688" s="1531"/>
      <c r="F688" s="1531"/>
      <c r="G688" s="1531"/>
      <c r="H688" s="1531"/>
      <c r="I688" s="1531"/>
      <c r="J688" s="1531"/>
      <c r="K688" s="1532"/>
      <c r="L688" s="1126" t="s">
        <v>1713</v>
      </c>
    </row>
    <row r="689" spans="1:12" ht="15" customHeight="1" x14ac:dyDescent="0.35">
      <c r="A689" s="423" t="s">
        <v>2359</v>
      </c>
      <c r="B689" s="929">
        <v>19</v>
      </c>
      <c r="C689" s="1168" t="s">
        <v>2341</v>
      </c>
      <c r="D689" s="1530"/>
      <c r="E689" s="1531"/>
      <c r="F689" s="1531"/>
      <c r="G689" s="1531"/>
      <c r="H689" s="1531"/>
      <c r="I689" s="1531"/>
      <c r="J689" s="1531"/>
      <c r="K689" s="1532"/>
      <c r="L689" s="1126" t="s">
        <v>1713</v>
      </c>
    </row>
    <row r="690" spans="1:12" ht="15" customHeight="1" x14ac:dyDescent="0.35">
      <c r="A690" s="423" t="s">
        <v>2360</v>
      </c>
      <c r="B690" s="929">
        <v>21</v>
      </c>
      <c r="C690" s="1168" t="s">
        <v>2341</v>
      </c>
      <c r="D690" s="1530"/>
      <c r="E690" s="1531"/>
      <c r="F690" s="1531"/>
      <c r="G690" s="1531"/>
      <c r="H690" s="1531"/>
      <c r="I690" s="1531"/>
      <c r="J690" s="1531"/>
      <c r="K690" s="1532"/>
      <c r="L690" s="1126" t="s">
        <v>1713</v>
      </c>
    </row>
    <row r="691" spans="1:12" ht="15" customHeight="1" x14ac:dyDescent="0.35">
      <c r="A691" s="423" t="s">
        <v>2361</v>
      </c>
      <c r="B691" s="929">
        <v>22</v>
      </c>
      <c r="C691" s="1168" t="s">
        <v>2341</v>
      </c>
      <c r="D691" s="1530"/>
      <c r="E691" s="1531"/>
      <c r="F691" s="1531"/>
      <c r="G691" s="1531"/>
      <c r="H691" s="1531"/>
      <c r="I691" s="1531"/>
      <c r="J691" s="1531"/>
      <c r="K691" s="1532"/>
      <c r="L691" s="1126" t="s">
        <v>1713</v>
      </c>
    </row>
    <row r="692" spans="1:12" ht="15" customHeight="1" x14ac:dyDescent="0.35">
      <c r="A692" s="423" t="s">
        <v>2362</v>
      </c>
      <c r="B692" s="929">
        <v>23</v>
      </c>
      <c r="C692" s="1168" t="s">
        <v>2341</v>
      </c>
      <c r="D692" s="1530"/>
      <c r="E692" s="1531"/>
      <c r="F692" s="1531"/>
      <c r="G692" s="1531"/>
      <c r="H692" s="1531"/>
      <c r="I692" s="1531"/>
      <c r="J692" s="1531"/>
      <c r="K692" s="1532"/>
      <c r="L692" s="1126" t="s">
        <v>1713</v>
      </c>
    </row>
    <row r="693" spans="1:12" ht="15" customHeight="1" x14ac:dyDescent="0.35">
      <c r="A693" s="423" t="s">
        <v>2363</v>
      </c>
      <c r="B693" s="929">
        <v>24</v>
      </c>
      <c r="C693" s="1168" t="s">
        <v>2341</v>
      </c>
      <c r="D693" s="1530"/>
      <c r="E693" s="1531"/>
      <c r="F693" s="1531"/>
      <c r="G693" s="1531"/>
      <c r="H693" s="1531"/>
      <c r="I693" s="1531"/>
      <c r="J693" s="1531"/>
      <c r="K693" s="1532"/>
      <c r="L693" s="1126" t="s">
        <v>1713</v>
      </c>
    </row>
    <row r="694" spans="1:12" ht="15" customHeight="1" x14ac:dyDescent="0.35">
      <c r="A694" s="423" t="s">
        <v>2364</v>
      </c>
      <c r="B694" s="929">
        <v>25</v>
      </c>
      <c r="C694" s="1168" t="s">
        <v>2341</v>
      </c>
      <c r="D694" s="1530"/>
      <c r="E694" s="1531"/>
      <c r="F694" s="1531"/>
      <c r="G694" s="1531"/>
      <c r="H694" s="1531"/>
      <c r="I694" s="1531"/>
      <c r="J694" s="1531"/>
      <c r="K694" s="1532"/>
      <c r="L694" s="1126" t="s">
        <v>1713</v>
      </c>
    </row>
    <row r="695" spans="1:12" ht="15" customHeight="1" x14ac:dyDescent="0.35">
      <c r="A695" s="423" t="s">
        <v>2365</v>
      </c>
      <c r="B695" s="929">
        <v>26</v>
      </c>
      <c r="C695" s="1168" t="s">
        <v>2341</v>
      </c>
      <c r="D695" s="1530"/>
      <c r="E695" s="1531"/>
      <c r="F695" s="1531"/>
      <c r="G695" s="1531"/>
      <c r="H695" s="1531"/>
      <c r="I695" s="1531"/>
      <c r="J695" s="1531"/>
      <c r="K695" s="1532"/>
      <c r="L695" s="1126" t="s">
        <v>1713</v>
      </c>
    </row>
    <row r="696" spans="1:12" ht="15" customHeight="1" x14ac:dyDescent="0.35">
      <c r="A696" s="423" t="s">
        <v>2366</v>
      </c>
      <c r="B696" s="929">
        <v>27</v>
      </c>
      <c r="C696" s="1168" t="s">
        <v>2341</v>
      </c>
      <c r="D696" s="1530"/>
      <c r="E696" s="1531"/>
      <c r="F696" s="1531"/>
      <c r="G696" s="1531"/>
      <c r="H696" s="1531"/>
      <c r="I696" s="1531"/>
      <c r="J696" s="1531"/>
      <c r="K696" s="1532"/>
      <c r="L696" s="1126" t="s">
        <v>1713</v>
      </c>
    </row>
    <row r="697" spans="1:12" ht="15" customHeight="1" x14ac:dyDescent="0.35">
      <c r="A697" s="423" t="s">
        <v>2367</v>
      </c>
      <c r="B697" s="929">
        <v>28</v>
      </c>
      <c r="C697" s="1168" t="s">
        <v>2341</v>
      </c>
      <c r="D697" s="1530"/>
      <c r="E697" s="1531"/>
      <c r="F697" s="1531"/>
      <c r="G697" s="1531"/>
      <c r="H697" s="1531"/>
      <c r="I697" s="1531"/>
      <c r="J697" s="1531"/>
      <c r="K697" s="1532"/>
      <c r="L697" s="1126" t="s">
        <v>1713</v>
      </c>
    </row>
    <row r="698" spans="1:12" ht="15" customHeight="1" x14ac:dyDescent="0.35">
      <c r="A698" s="423" t="s">
        <v>2368</v>
      </c>
      <c r="B698" s="929">
        <v>29</v>
      </c>
      <c r="C698" s="1168" t="s">
        <v>2341</v>
      </c>
      <c r="D698" s="1530"/>
      <c r="E698" s="1531"/>
      <c r="F698" s="1531"/>
      <c r="G698" s="1531"/>
      <c r="H698" s="1531"/>
      <c r="I698" s="1531"/>
      <c r="J698" s="1531"/>
      <c r="K698" s="1532"/>
      <c r="L698" s="1126" t="s">
        <v>1713</v>
      </c>
    </row>
    <row r="699" spans="1:12" ht="15" customHeight="1" x14ac:dyDescent="0.35">
      <c r="A699" s="423" t="s">
        <v>2369</v>
      </c>
      <c r="B699" s="929">
        <v>30</v>
      </c>
      <c r="C699" s="1168" t="s">
        <v>2341</v>
      </c>
      <c r="D699" s="1530"/>
      <c r="E699" s="1531"/>
      <c r="F699" s="1531"/>
      <c r="G699" s="1531"/>
      <c r="H699" s="1531"/>
      <c r="I699" s="1531"/>
      <c r="J699" s="1531"/>
      <c r="K699" s="1532"/>
      <c r="L699" s="1126" t="s">
        <v>1713</v>
      </c>
    </row>
    <row r="700" spans="1:12" ht="15" customHeight="1" x14ac:dyDescent="0.35">
      <c r="A700" s="423" t="s">
        <v>2370</v>
      </c>
      <c r="B700" s="929">
        <v>32</v>
      </c>
      <c r="C700" s="1168" t="s">
        <v>2341</v>
      </c>
      <c r="D700" s="1530"/>
      <c r="E700" s="1531"/>
      <c r="F700" s="1531"/>
      <c r="G700" s="1531"/>
      <c r="H700" s="1531"/>
      <c r="I700" s="1531"/>
      <c r="J700" s="1531"/>
      <c r="K700" s="1532"/>
      <c r="L700" s="1126" t="s">
        <v>1713</v>
      </c>
    </row>
    <row r="701" spans="1:12" ht="15" customHeight="1" x14ac:dyDescent="0.35">
      <c r="A701" s="423" t="s">
        <v>2371</v>
      </c>
      <c r="B701" s="929">
        <v>33</v>
      </c>
      <c r="C701" s="1168" t="s">
        <v>2341</v>
      </c>
      <c r="D701" s="1530"/>
      <c r="E701" s="1531"/>
      <c r="F701" s="1531"/>
      <c r="G701" s="1531"/>
      <c r="H701" s="1531"/>
      <c r="I701" s="1531"/>
      <c r="J701" s="1531"/>
      <c r="K701" s="1532"/>
      <c r="L701" s="1126" t="s">
        <v>1713</v>
      </c>
    </row>
    <row r="702" spans="1:12" ht="15" customHeight="1" x14ac:dyDescent="0.35">
      <c r="A702" s="423" t="s">
        <v>2372</v>
      </c>
      <c r="B702" s="929">
        <v>34</v>
      </c>
      <c r="C702" s="1168" t="s">
        <v>2341</v>
      </c>
      <c r="D702" s="1530"/>
      <c r="E702" s="1531"/>
      <c r="F702" s="1531"/>
      <c r="G702" s="1531"/>
      <c r="H702" s="1531"/>
      <c r="I702" s="1531"/>
      <c r="J702" s="1531"/>
      <c r="K702" s="1532"/>
      <c r="L702" s="1126" t="s">
        <v>1713</v>
      </c>
    </row>
    <row r="703" spans="1:12" ht="15" customHeight="1" x14ac:dyDescent="0.35">
      <c r="A703" s="423" t="s">
        <v>2373</v>
      </c>
      <c r="B703" s="929">
        <v>35</v>
      </c>
      <c r="C703" s="1168" t="s">
        <v>2341</v>
      </c>
      <c r="D703" s="1530"/>
      <c r="E703" s="1531"/>
      <c r="F703" s="1531"/>
      <c r="G703" s="1531"/>
      <c r="H703" s="1531"/>
      <c r="I703" s="1531"/>
      <c r="J703" s="1531"/>
      <c r="K703" s="1532"/>
      <c r="L703" s="1126" t="s">
        <v>1713</v>
      </c>
    </row>
    <row r="704" spans="1:12" ht="15" customHeight="1" x14ac:dyDescent="0.35">
      <c r="A704" s="423" t="s">
        <v>2374</v>
      </c>
      <c r="B704" s="929">
        <v>36</v>
      </c>
      <c r="C704" s="1168" t="s">
        <v>2341</v>
      </c>
      <c r="D704" s="1530"/>
      <c r="E704" s="1531"/>
      <c r="F704" s="1531"/>
      <c r="G704" s="1531"/>
      <c r="H704" s="1531"/>
      <c r="I704" s="1531"/>
      <c r="J704" s="1531"/>
      <c r="K704" s="1532"/>
      <c r="L704" s="1126" t="s">
        <v>1713</v>
      </c>
    </row>
    <row r="705" spans="1:12" ht="15" customHeight="1" x14ac:dyDescent="0.35">
      <c r="A705" s="423" t="s">
        <v>2375</v>
      </c>
      <c r="B705" s="929">
        <v>37</v>
      </c>
      <c r="C705" s="1168" t="s">
        <v>2341</v>
      </c>
      <c r="D705" s="1530"/>
      <c r="E705" s="1531"/>
      <c r="F705" s="1531"/>
      <c r="G705" s="1531"/>
      <c r="H705" s="1531"/>
      <c r="I705" s="1531"/>
      <c r="J705" s="1531"/>
      <c r="K705" s="1532"/>
      <c r="L705" s="1126" t="s">
        <v>1713</v>
      </c>
    </row>
    <row r="706" spans="1:12" ht="15" customHeight="1" x14ac:dyDescent="0.35">
      <c r="A706" s="423" t="s">
        <v>2376</v>
      </c>
      <c r="B706" s="929">
        <v>38</v>
      </c>
      <c r="C706" s="1168" t="s">
        <v>2341</v>
      </c>
      <c r="D706" s="1530"/>
      <c r="E706" s="1531"/>
      <c r="F706" s="1531"/>
      <c r="G706" s="1531"/>
      <c r="H706" s="1531"/>
      <c r="I706" s="1531"/>
      <c r="J706" s="1531"/>
      <c r="K706" s="1532"/>
      <c r="L706" s="1126" t="s">
        <v>1713</v>
      </c>
    </row>
    <row r="707" spans="1:12" ht="15" customHeight="1" x14ac:dyDescent="0.35">
      <c r="A707" s="423" t="s">
        <v>2377</v>
      </c>
      <c r="B707" s="929">
        <v>39</v>
      </c>
      <c r="C707" s="1168" t="s">
        <v>2341</v>
      </c>
      <c r="D707" s="1530"/>
      <c r="E707" s="1531"/>
      <c r="F707" s="1531"/>
      <c r="G707" s="1531"/>
      <c r="H707" s="1531"/>
      <c r="I707" s="1531"/>
      <c r="J707" s="1531"/>
      <c r="K707" s="1532"/>
      <c r="L707" s="1126" t="s">
        <v>1713</v>
      </c>
    </row>
    <row r="708" spans="1:12" ht="15" customHeight="1" x14ac:dyDescent="0.35">
      <c r="A708" s="423" t="s">
        <v>2378</v>
      </c>
      <c r="B708" s="929">
        <v>40</v>
      </c>
      <c r="C708" s="1168" t="s">
        <v>2341</v>
      </c>
      <c r="D708" s="1530"/>
      <c r="E708" s="1531"/>
      <c r="F708" s="1531"/>
      <c r="G708" s="1531"/>
      <c r="H708" s="1531"/>
      <c r="I708" s="1531"/>
      <c r="J708" s="1531"/>
      <c r="K708" s="1532"/>
      <c r="L708" s="1126" t="s">
        <v>1713</v>
      </c>
    </row>
    <row r="709" spans="1:12" ht="15" customHeight="1" x14ac:dyDescent="0.35">
      <c r="A709" s="423" t="s">
        <v>2379</v>
      </c>
      <c r="B709" s="929">
        <v>41</v>
      </c>
      <c r="C709" s="1168" t="s">
        <v>2341</v>
      </c>
      <c r="D709" s="1530"/>
      <c r="E709" s="1531"/>
      <c r="F709" s="1531"/>
      <c r="G709" s="1531"/>
      <c r="H709" s="1531"/>
      <c r="I709" s="1531"/>
      <c r="J709" s="1531"/>
      <c r="K709" s="1532"/>
      <c r="L709" s="1126" t="s">
        <v>1713</v>
      </c>
    </row>
    <row r="710" spans="1:12" ht="15" customHeight="1" x14ac:dyDescent="0.35">
      <c r="A710" s="423" t="s">
        <v>2380</v>
      </c>
      <c r="B710" s="929">
        <v>42</v>
      </c>
      <c r="C710" s="1168" t="s">
        <v>2341</v>
      </c>
      <c r="D710" s="1530"/>
      <c r="E710" s="1531"/>
      <c r="F710" s="1531"/>
      <c r="G710" s="1531"/>
      <c r="H710" s="1531"/>
      <c r="I710" s="1531"/>
      <c r="J710" s="1531"/>
      <c r="K710" s="1532"/>
      <c r="L710" s="1126" t="s">
        <v>1713</v>
      </c>
    </row>
    <row r="711" spans="1:12" ht="15" customHeight="1" x14ac:dyDescent="0.35">
      <c r="A711" s="423" t="s">
        <v>2381</v>
      </c>
      <c r="B711" s="929">
        <v>46</v>
      </c>
      <c r="C711" s="1168" t="s">
        <v>2341</v>
      </c>
      <c r="D711" s="1530"/>
      <c r="E711" s="1531"/>
      <c r="F711" s="1531"/>
      <c r="G711" s="1531"/>
      <c r="H711" s="1531"/>
      <c r="I711" s="1531"/>
      <c r="J711" s="1531"/>
      <c r="K711" s="1532"/>
      <c r="L711" s="1126" t="s">
        <v>1713</v>
      </c>
    </row>
    <row r="712" spans="1:12" ht="15" customHeight="1" x14ac:dyDescent="0.35">
      <c r="A712" s="423" t="s">
        <v>2382</v>
      </c>
      <c r="B712" s="929">
        <v>47</v>
      </c>
      <c r="C712" s="1168" t="s">
        <v>2341</v>
      </c>
      <c r="D712" s="1530"/>
      <c r="E712" s="1531"/>
      <c r="F712" s="1531"/>
      <c r="G712" s="1531"/>
      <c r="H712" s="1531"/>
      <c r="I712" s="1531"/>
      <c r="J712" s="1531"/>
      <c r="K712" s="1532"/>
      <c r="L712" s="1126" t="s">
        <v>1713</v>
      </c>
    </row>
    <row r="713" spans="1:12" ht="15" customHeight="1" x14ac:dyDescent="0.35">
      <c r="A713" s="423" t="s">
        <v>2383</v>
      </c>
      <c r="B713" s="929">
        <v>48</v>
      </c>
      <c r="C713" s="1168" t="s">
        <v>2341</v>
      </c>
      <c r="D713" s="1530"/>
      <c r="E713" s="1531"/>
      <c r="F713" s="1531"/>
      <c r="G713" s="1531"/>
      <c r="H713" s="1531"/>
      <c r="I713" s="1531"/>
      <c r="J713" s="1531"/>
      <c r="K713" s="1532"/>
      <c r="L713" s="1126" t="s">
        <v>1713</v>
      </c>
    </row>
    <row r="714" spans="1:12" ht="15" customHeight="1" x14ac:dyDescent="0.35">
      <c r="A714" s="423" t="s">
        <v>2384</v>
      </c>
      <c r="B714" s="929">
        <v>49</v>
      </c>
      <c r="C714" s="1168" t="s">
        <v>2341</v>
      </c>
      <c r="D714" s="1530"/>
      <c r="E714" s="1531"/>
      <c r="F714" s="1531"/>
      <c r="G714" s="1531"/>
      <c r="H714" s="1531"/>
      <c r="I714" s="1531"/>
      <c r="J714" s="1531"/>
      <c r="K714" s="1532"/>
      <c r="L714" s="1126" t="s">
        <v>1713</v>
      </c>
    </row>
    <row r="715" spans="1:12" ht="15" customHeight="1" x14ac:dyDescent="0.35">
      <c r="A715" s="423" t="s">
        <v>2385</v>
      </c>
      <c r="B715" s="929">
        <v>50</v>
      </c>
      <c r="C715" s="1168" t="s">
        <v>2341</v>
      </c>
      <c r="D715" s="1530"/>
      <c r="E715" s="1531"/>
      <c r="F715" s="1531"/>
      <c r="G715" s="1531"/>
      <c r="H715" s="1531"/>
      <c r="I715" s="1531"/>
      <c r="J715" s="1531"/>
      <c r="K715" s="1532"/>
      <c r="L715" s="1126" t="s">
        <v>1713</v>
      </c>
    </row>
    <row r="716" spans="1:12" ht="15" customHeight="1" x14ac:dyDescent="0.35">
      <c r="A716" s="423" t="s">
        <v>2386</v>
      </c>
      <c r="B716" s="929">
        <v>51</v>
      </c>
      <c r="C716" s="1168" t="s">
        <v>2341</v>
      </c>
      <c r="D716" s="1530"/>
      <c r="E716" s="1531"/>
      <c r="F716" s="1531"/>
      <c r="G716" s="1531"/>
      <c r="H716" s="1531"/>
      <c r="I716" s="1531"/>
      <c r="J716" s="1531"/>
      <c r="K716" s="1532"/>
      <c r="L716" s="1126" t="s">
        <v>1713</v>
      </c>
    </row>
    <row r="717" spans="1:12" ht="15" customHeight="1" x14ac:dyDescent="0.35">
      <c r="A717" s="423" t="s">
        <v>2387</v>
      </c>
      <c r="B717" s="929">
        <v>52</v>
      </c>
      <c r="C717" s="1168" t="s">
        <v>2341</v>
      </c>
      <c r="D717" s="1530"/>
      <c r="E717" s="1531"/>
      <c r="F717" s="1531"/>
      <c r="G717" s="1531"/>
      <c r="H717" s="1531"/>
      <c r="I717" s="1531"/>
      <c r="J717" s="1531"/>
      <c r="K717" s="1532"/>
      <c r="L717" s="1126" t="s">
        <v>1713</v>
      </c>
    </row>
    <row r="718" spans="1:12" ht="15" customHeight="1" x14ac:dyDescent="0.35">
      <c r="A718" s="423" t="s">
        <v>2388</v>
      </c>
      <c r="B718" s="929">
        <v>53</v>
      </c>
      <c r="C718" s="1168" t="s">
        <v>2341</v>
      </c>
      <c r="D718" s="1530"/>
      <c r="E718" s="1531"/>
      <c r="F718" s="1531"/>
      <c r="G718" s="1531"/>
      <c r="H718" s="1531"/>
      <c r="I718" s="1531"/>
      <c r="J718" s="1531"/>
      <c r="K718" s="1532"/>
      <c r="L718" s="1126" t="s">
        <v>1713</v>
      </c>
    </row>
    <row r="719" spans="1:12" ht="15" customHeight="1" x14ac:dyDescent="0.35">
      <c r="A719" s="423" t="s">
        <v>2389</v>
      </c>
      <c r="B719" s="929">
        <v>54</v>
      </c>
      <c r="C719" s="1168" t="s">
        <v>2341</v>
      </c>
      <c r="D719" s="1530"/>
      <c r="E719" s="1531"/>
      <c r="F719" s="1531"/>
      <c r="G719" s="1531"/>
      <c r="H719" s="1531"/>
      <c r="I719" s="1531"/>
      <c r="J719" s="1531"/>
      <c r="K719" s="1532"/>
      <c r="L719" s="1126" t="s">
        <v>1713</v>
      </c>
    </row>
    <row r="720" spans="1:12" ht="15" customHeight="1" x14ac:dyDescent="0.35">
      <c r="A720" s="423" t="s">
        <v>2390</v>
      </c>
      <c r="B720" s="929">
        <v>55</v>
      </c>
      <c r="C720" s="1168" t="s">
        <v>2341</v>
      </c>
      <c r="D720" s="1530"/>
      <c r="E720" s="1531"/>
      <c r="F720" s="1531"/>
      <c r="G720" s="1531"/>
      <c r="H720" s="1531"/>
      <c r="I720" s="1531"/>
      <c r="J720" s="1531"/>
      <c r="K720" s="1532"/>
      <c r="L720" s="1126" t="s">
        <v>1713</v>
      </c>
    </row>
    <row r="721" spans="1:12" ht="15" customHeight="1" x14ac:dyDescent="0.35">
      <c r="A721" s="423" t="s">
        <v>2391</v>
      </c>
      <c r="B721" s="929">
        <v>56</v>
      </c>
      <c r="C721" s="1168" t="s">
        <v>2341</v>
      </c>
      <c r="D721" s="1530"/>
      <c r="E721" s="1531"/>
      <c r="F721" s="1531"/>
      <c r="G721" s="1531"/>
      <c r="H721" s="1531"/>
      <c r="I721" s="1531"/>
      <c r="J721" s="1531"/>
      <c r="K721" s="1532"/>
      <c r="L721" s="1126" t="s">
        <v>1713</v>
      </c>
    </row>
    <row r="722" spans="1:12" ht="15" customHeight="1" x14ac:dyDescent="0.35">
      <c r="A722" s="423" t="s">
        <v>2392</v>
      </c>
      <c r="B722" s="929">
        <v>57</v>
      </c>
      <c r="C722" s="1168" t="s">
        <v>2341</v>
      </c>
      <c r="D722" s="1530"/>
      <c r="E722" s="1531"/>
      <c r="F722" s="1531"/>
      <c r="G722" s="1531"/>
      <c r="H722" s="1531"/>
      <c r="I722" s="1531"/>
      <c r="J722" s="1531"/>
      <c r="K722" s="1532"/>
      <c r="L722" s="1126" t="s">
        <v>1713</v>
      </c>
    </row>
    <row r="723" spans="1:12" ht="15" customHeight="1" x14ac:dyDescent="0.35">
      <c r="A723" s="423" t="s">
        <v>2393</v>
      </c>
      <c r="B723" s="929">
        <v>58</v>
      </c>
      <c r="C723" s="1168" t="s">
        <v>2341</v>
      </c>
      <c r="D723" s="1530"/>
      <c r="E723" s="1531"/>
      <c r="F723" s="1531"/>
      <c r="G723" s="1531"/>
      <c r="H723" s="1531"/>
      <c r="I723" s="1531"/>
      <c r="J723" s="1531"/>
      <c r="K723" s="1532"/>
      <c r="L723" s="1126" t="s">
        <v>1713</v>
      </c>
    </row>
    <row r="724" spans="1:12" ht="15" customHeight="1" x14ac:dyDescent="0.35">
      <c r="A724" s="423" t="s">
        <v>2394</v>
      </c>
      <c r="B724" s="929">
        <v>59</v>
      </c>
      <c r="C724" s="1168" t="s">
        <v>2341</v>
      </c>
      <c r="D724" s="1530"/>
      <c r="E724" s="1531"/>
      <c r="F724" s="1531"/>
      <c r="G724" s="1531"/>
      <c r="H724" s="1531"/>
      <c r="I724" s="1531"/>
      <c r="J724" s="1531"/>
      <c r="K724" s="1532"/>
      <c r="L724" s="1126" t="s">
        <v>1713</v>
      </c>
    </row>
    <row r="725" spans="1:12" ht="15" customHeight="1" x14ac:dyDescent="0.35">
      <c r="A725" s="423" t="s">
        <v>2395</v>
      </c>
      <c r="B725" s="929">
        <v>60</v>
      </c>
      <c r="C725" s="1168" t="s">
        <v>2341</v>
      </c>
      <c r="D725" s="1530"/>
      <c r="E725" s="1531"/>
      <c r="F725" s="1531"/>
      <c r="G725" s="1531"/>
      <c r="H725" s="1531"/>
      <c r="I725" s="1531"/>
      <c r="J725" s="1531"/>
      <c r="K725" s="1532"/>
      <c r="L725" s="1126" t="s">
        <v>1713</v>
      </c>
    </row>
    <row r="726" spans="1:12" ht="15" customHeight="1" x14ac:dyDescent="0.35">
      <c r="A726" s="423" t="s">
        <v>2396</v>
      </c>
      <c r="B726" s="929">
        <v>61</v>
      </c>
      <c r="C726" s="1168" t="s">
        <v>2341</v>
      </c>
      <c r="D726" s="1530"/>
      <c r="E726" s="1531"/>
      <c r="F726" s="1531"/>
      <c r="G726" s="1531"/>
      <c r="H726" s="1531"/>
      <c r="I726" s="1531"/>
      <c r="J726" s="1531"/>
      <c r="K726" s="1532"/>
      <c r="L726" s="1126" t="s">
        <v>1713</v>
      </c>
    </row>
    <row r="727" spans="1:12" ht="15" customHeight="1" x14ac:dyDescent="0.35">
      <c r="A727" s="423" t="s">
        <v>2397</v>
      </c>
      <c r="B727" s="929">
        <v>62</v>
      </c>
      <c r="C727" s="1168" t="s">
        <v>2341</v>
      </c>
      <c r="D727" s="1530"/>
      <c r="E727" s="1531"/>
      <c r="F727" s="1531"/>
      <c r="G727" s="1531"/>
      <c r="H727" s="1531"/>
      <c r="I727" s="1531"/>
      <c r="J727" s="1531"/>
      <c r="K727" s="1532"/>
      <c r="L727" s="1126" t="s">
        <v>1713</v>
      </c>
    </row>
    <row r="728" spans="1:12" ht="15" customHeight="1" x14ac:dyDescent="0.35">
      <c r="A728" s="423" t="s">
        <v>2398</v>
      </c>
      <c r="B728" s="929">
        <v>63</v>
      </c>
      <c r="C728" s="1168" t="s">
        <v>2341</v>
      </c>
      <c r="D728" s="1530"/>
      <c r="E728" s="1531"/>
      <c r="F728" s="1531"/>
      <c r="G728" s="1531"/>
      <c r="H728" s="1531"/>
      <c r="I728" s="1531"/>
      <c r="J728" s="1531"/>
      <c r="K728" s="1532"/>
      <c r="L728" s="1126" t="s">
        <v>1713</v>
      </c>
    </row>
    <row r="729" spans="1:12" ht="15" customHeight="1" x14ac:dyDescent="0.35">
      <c r="A729" s="423" t="s">
        <v>2399</v>
      </c>
      <c r="B729" s="929">
        <v>64</v>
      </c>
      <c r="C729" s="1168" t="s">
        <v>2341</v>
      </c>
      <c r="D729" s="1530"/>
      <c r="E729" s="1531"/>
      <c r="F729" s="1531"/>
      <c r="G729" s="1531"/>
      <c r="H729" s="1531"/>
      <c r="I729" s="1531"/>
      <c r="J729" s="1531"/>
      <c r="K729" s="1532"/>
      <c r="L729" s="1126" t="s">
        <v>1713</v>
      </c>
    </row>
    <row r="730" spans="1:12" ht="15" customHeight="1" x14ac:dyDescent="0.35">
      <c r="A730" s="423" t="s">
        <v>2400</v>
      </c>
      <c r="B730" s="929">
        <v>65</v>
      </c>
      <c r="C730" s="1168" t="s">
        <v>2341</v>
      </c>
      <c r="D730" s="1530"/>
      <c r="E730" s="1531"/>
      <c r="F730" s="1531"/>
      <c r="G730" s="1531"/>
      <c r="H730" s="1531"/>
      <c r="I730" s="1531"/>
      <c r="J730" s="1531"/>
      <c r="K730" s="1532"/>
      <c r="L730" s="1126" t="s">
        <v>1713</v>
      </c>
    </row>
    <row r="731" spans="1:12" ht="15" customHeight="1" x14ac:dyDescent="0.35">
      <c r="A731" s="423" t="s">
        <v>2401</v>
      </c>
      <c r="B731" s="929">
        <v>66</v>
      </c>
      <c r="C731" s="1168" t="s">
        <v>2341</v>
      </c>
      <c r="D731" s="1530"/>
      <c r="E731" s="1531"/>
      <c r="F731" s="1531"/>
      <c r="G731" s="1531"/>
      <c r="H731" s="1531"/>
      <c r="I731" s="1531"/>
      <c r="J731" s="1531"/>
      <c r="K731" s="1532"/>
      <c r="L731" s="1126" t="s">
        <v>1713</v>
      </c>
    </row>
    <row r="732" spans="1:12" ht="15" customHeight="1" x14ac:dyDescent="0.35">
      <c r="A732" s="423" t="s">
        <v>2402</v>
      </c>
      <c r="B732" s="930">
        <v>67</v>
      </c>
      <c r="C732" s="1169" t="s">
        <v>2341</v>
      </c>
      <c r="D732" s="1527"/>
      <c r="E732" s="1528"/>
      <c r="F732" s="1528"/>
      <c r="G732" s="1528"/>
      <c r="H732" s="1528"/>
      <c r="I732" s="1528"/>
      <c r="J732" s="1528"/>
      <c r="K732" s="1529"/>
      <c r="L732" s="1127" t="s">
        <v>1713</v>
      </c>
    </row>
    <row r="733" spans="1:12" x14ac:dyDescent="0.25">
      <c r="L733"/>
    </row>
    <row r="734" spans="1:12" x14ac:dyDescent="0.25">
      <c r="L734"/>
    </row>
    <row r="735" spans="1:12" x14ac:dyDescent="0.25"/>
    <row r="736" spans="1:12"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sheetData>
  <autoFilter ref="A34:L732"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593">
    <mergeCell ref="D715:K715"/>
    <mergeCell ref="D716:K716"/>
    <mergeCell ref="D717:K717"/>
    <mergeCell ref="D718:K718"/>
    <mergeCell ref="D728:K728"/>
    <mergeCell ref="D729:K729"/>
    <mergeCell ref="D730:K730"/>
    <mergeCell ref="D731:K731"/>
    <mergeCell ref="D719:K719"/>
    <mergeCell ref="D720:K720"/>
    <mergeCell ref="D721:K721"/>
    <mergeCell ref="D722:K722"/>
    <mergeCell ref="D723:K723"/>
    <mergeCell ref="D724:K724"/>
    <mergeCell ref="D725:K725"/>
    <mergeCell ref="D726:K726"/>
    <mergeCell ref="D727:K727"/>
    <mergeCell ref="D706:K706"/>
    <mergeCell ref="D707:K707"/>
    <mergeCell ref="D708:K708"/>
    <mergeCell ref="D709:K709"/>
    <mergeCell ref="D710:K710"/>
    <mergeCell ref="D711:K711"/>
    <mergeCell ref="D712:K712"/>
    <mergeCell ref="D713:K713"/>
    <mergeCell ref="D714:K714"/>
    <mergeCell ref="D697:K697"/>
    <mergeCell ref="D698:K698"/>
    <mergeCell ref="D699:K699"/>
    <mergeCell ref="D700:K700"/>
    <mergeCell ref="D701:K701"/>
    <mergeCell ref="D702:K702"/>
    <mergeCell ref="D703:K703"/>
    <mergeCell ref="D704:K704"/>
    <mergeCell ref="D705:K705"/>
    <mergeCell ref="D688:K688"/>
    <mergeCell ref="D689:K689"/>
    <mergeCell ref="D690:K690"/>
    <mergeCell ref="D691:K691"/>
    <mergeCell ref="D692:K692"/>
    <mergeCell ref="D693:K693"/>
    <mergeCell ref="D694:K694"/>
    <mergeCell ref="D695:K695"/>
    <mergeCell ref="D696:K696"/>
    <mergeCell ref="D110:K110"/>
    <mergeCell ref="D112:K112"/>
    <mergeCell ref="D113:K113"/>
    <mergeCell ref="D111:K111"/>
    <mergeCell ref="D137:K137"/>
    <mergeCell ref="D138:K138"/>
    <mergeCell ref="D139:K139"/>
    <mergeCell ref="D126:K126"/>
    <mergeCell ref="D129:K129"/>
    <mergeCell ref="D134:K134"/>
    <mergeCell ref="D115:K115"/>
    <mergeCell ref="D116:K116"/>
    <mergeCell ref="D117:K117"/>
    <mergeCell ref="D123:K123"/>
    <mergeCell ref="D124:K124"/>
    <mergeCell ref="D125:K125"/>
    <mergeCell ref="B31:L31"/>
    <mergeCell ref="D43:K43"/>
    <mergeCell ref="D44:K44"/>
    <mergeCell ref="D45:K45"/>
    <mergeCell ref="D46:K46"/>
    <mergeCell ref="D47:K47"/>
    <mergeCell ref="D151:K151"/>
    <mergeCell ref="D152:K152"/>
    <mergeCell ref="D153:K153"/>
    <mergeCell ref="D135:K135"/>
    <mergeCell ref="D136:K136"/>
    <mergeCell ref="D144:K144"/>
    <mergeCell ref="D145:K145"/>
    <mergeCell ref="D146:K146"/>
    <mergeCell ref="D147:K147"/>
    <mergeCell ref="D148:K148"/>
    <mergeCell ref="D140:K140"/>
    <mergeCell ref="D141:K141"/>
    <mergeCell ref="D142:K142"/>
    <mergeCell ref="D143:K143"/>
    <mergeCell ref="D149:K149"/>
    <mergeCell ref="D150:K150"/>
    <mergeCell ref="D108:K108"/>
    <mergeCell ref="D109:K109"/>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D64:K64"/>
    <mergeCell ref="D65:K65"/>
    <mergeCell ref="D66:K66"/>
    <mergeCell ref="D67:K67"/>
    <mergeCell ref="D68:K68"/>
    <mergeCell ref="D59:K59"/>
    <mergeCell ref="D60:K60"/>
    <mergeCell ref="D61:K61"/>
    <mergeCell ref="D62:K62"/>
    <mergeCell ref="D63:K63"/>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177:K177"/>
    <mergeCell ref="D178:K178"/>
    <mergeCell ref="D183:K183"/>
    <mergeCell ref="D194:K194"/>
    <mergeCell ref="D195:K195"/>
    <mergeCell ref="D184:K184"/>
    <mergeCell ref="D154:K154"/>
    <mergeCell ref="D155:K155"/>
    <mergeCell ref="D156:K156"/>
    <mergeCell ref="D157:K157"/>
    <mergeCell ref="D158:K158"/>
    <mergeCell ref="D170:K170"/>
    <mergeCell ref="D171:K171"/>
    <mergeCell ref="D176:K176"/>
    <mergeCell ref="D168:K168"/>
    <mergeCell ref="D159:K159"/>
    <mergeCell ref="D160:K160"/>
    <mergeCell ref="D161:K161"/>
    <mergeCell ref="D162:K162"/>
    <mergeCell ref="D163:K163"/>
    <mergeCell ref="D196:K196"/>
    <mergeCell ref="D189:K189"/>
    <mergeCell ref="D190:K190"/>
    <mergeCell ref="D191:K191"/>
    <mergeCell ref="D192:K192"/>
    <mergeCell ref="D193:K193"/>
    <mergeCell ref="D201:K201"/>
    <mergeCell ref="D185:K185"/>
    <mergeCell ref="D186:K186"/>
    <mergeCell ref="D187:K187"/>
    <mergeCell ref="D188:K188"/>
    <mergeCell ref="D207:K207"/>
    <mergeCell ref="D208:K208"/>
    <mergeCell ref="D206:K206"/>
    <mergeCell ref="D205:K205"/>
    <mergeCell ref="D204:K204"/>
    <mergeCell ref="D202:K202"/>
    <mergeCell ref="D203:K203"/>
    <mergeCell ref="D197:K197"/>
    <mergeCell ref="D198:K198"/>
    <mergeCell ref="D199:K199"/>
    <mergeCell ref="D200:K200"/>
    <mergeCell ref="D213:K213"/>
    <mergeCell ref="D214:K214"/>
    <mergeCell ref="D215:K215"/>
    <mergeCell ref="D216:K216"/>
    <mergeCell ref="D217:K217"/>
    <mergeCell ref="D209:K209"/>
    <mergeCell ref="D210:K210"/>
    <mergeCell ref="D211:K211"/>
    <mergeCell ref="D212:K212"/>
    <mergeCell ref="D223:K223"/>
    <mergeCell ref="D224:K224"/>
    <mergeCell ref="D225:K225"/>
    <mergeCell ref="D226:K226"/>
    <mergeCell ref="D227:K227"/>
    <mergeCell ref="D218:K218"/>
    <mergeCell ref="D219:K219"/>
    <mergeCell ref="D220:K220"/>
    <mergeCell ref="D221:K221"/>
    <mergeCell ref="D222:K222"/>
    <mergeCell ref="D233:K233"/>
    <mergeCell ref="D234:K234"/>
    <mergeCell ref="D235:K235"/>
    <mergeCell ref="D264:K264"/>
    <mergeCell ref="D265:K265"/>
    <mergeCell ref="D236:K236"/>
    <mergeCell ref="D228:K228"/>
    <mergeCell ref="D229:K229"/>
    <mergeCell ref="D230:K230"/>
    <mergeCell ref="D231:K231"/>
    <mergeCell ref="D232:K232"/>
    <mergeCell ref="D270:K270"/>
    <mergeCell ref="D271:K271"/>
    <mergeCell ref="D272:K272"/>
    <mergeCell ref="D273:K273"/>
    <mergeCell ref="D274:K274"/>
    <mergeCell ref="D268:K268"/>
    <mergeCell ref="D269:K269"/>
    <mergeCell ref="D266:K266"/>
    <mergeCell ref="D267:K267"/>
    <mergeCell ref="D280:K280"/>
    <mergeCell ref="D281:K281"/>
    <mergeCell ref="D282:K282"/>
    <mergeCell ref="D283:K283"/>
    <mergeCell ref="D284:K284"/>
    <mergeCell ref="D275:K275"/>
    <mergeCell ref="D276:K276"/>
    <mergeCell ref="D277:K277"/>
    <mergeCell ref="D278:K278"/>
    <mergeCell ref="D279:K279"/>
    <mergeCell ref="D325:K325"/>
    <mergeCell ref="D326:K326"/>
    <mergeCell ref="D327:K327"/>
    <mergeCell ref="D328:K328"/>
    <mergeCell ref="D331:K331"/>
    <mergeCell ref="D320:K320"/>
    <mergeCell ref="D321:K321"/>
    <mergeCell ref="D322:K322"/>
    <mergeCell ref="D323:K323"/>
    <mergeCell ref="D324:K324"/>
    <mergeCell ref="D337:K337"/>
    <mergeCell ref="D338:K338"/>
    <mergeCell ref="D339:K339"/>
    <mergeCell ref="D340:K340"/>
    <mergeCell ref="D341:K341"/>
    <mergeCell ref="D332:K332"/>
    <mergeCell ref="D333:K333"/>
    <mergeCell ref="D334:K334"/>
    <mergeCell ref="D335:K335"/>
    <mergeCell ref="D336:K336"/>
    <mergeCell ref="D347:K347"/>
    <mergeCell ref="D348:K348"/>
    <mergeCell ref="D349:K349"/>
    <mergeCell ref="D350:K350"/>
    <mergeCell ref="D351:K351"/>
    <mergeCell ref="D342:K342"/>
    <mergeCell ref="D343:K343"/>
    <mergeCell ref="D344:K344"/>
    <mergeCell ref="D345:K345"/>
    <mergeCell ref="D346:K346"/>
    <mergeCell ref="D357:K357"/>
    <mergeCell ref="D358:K358"/>
    <mergeCell ref="D359:K359"/>
    <mergeCell ref="D360:K360"/>
    <mergeCell ref="D361:K361"/>
    <mergeCell ref="D352:K352"/>
    <mergeCell ref="D353:K353"/>
    <mergeCell ref="D354:K354"/>
    <mergeCell ref="D355:K355"/>
    <mergeCell ref="D356:K356"/>
    <mergeCell ref="D369:K369"/>
    <mergeCell ref="D370:K370"/>
    <mergeCell ref="D375:K375"/>
    <mergeCell ref="D376:K376"/>
    <mergeCell ref="D377:K377"/>
    <mergeCell ref="D362:K362"/>
    <mergeCell ref="D363:K363"/>
    <mergeCell ref="D364:K364"/>
    <mergeCell ref="D365:K365"/>
    <mergeCell ref="D368:K368"/>
    <mergeCell ref="D385:K385"/>
    <mergeCell ref="D386:K386"/>
    <mergeCell ref="D387:K387"/>
    <mergeCell ref="D388:K388"/>
    <mergeCell ref="D389:K389"/>
    <mergeCell ref="D378:K378"/>
    <mergeCell ref="D379:K379"/>
    <mergeCell ref="D380:K380"/>
    <mergeCell ref="D383:K383"/>
    <mergeCell ref="D384:K384"/>
    <mergeCell ref="D395:K395"/>
    <mergeCell ref="D396:K396"/>
    <mergeCell ref="D397:K397"/>
    <mergeCell ref="D398:K398"/>
    <mergeCell ref="D399:K399"/>
    <mergeCell ref="D390:K390"/>
    <mergeCell ref="D391:K391"/>
    <mergeCell ref="D392:K392"/>
    <mergeCell ref="D393:K393"/>
    <mergeCell ref="D394:K394"/>
    <mergeCell ref="D409:K409"/>
    <mergeCell ref="D410:K410"/>
    <mergeCell ref="D411:K411"/>
    <mergeCell ref="D412:K412"/>
    <mergeCell ref="D413:K413"/>
    <mergeCell ref="D400:K400"/>
    <mergeCell ref="D401:K401"/>
    <mergeCell ref="D406:K406"/>
    <mergeCell ref="D407:K407"/>
    <mergeCell ref="D408:K408"/>
    <mergeCell ref="D428:K428"/>
    <mergeCell ref="D431:K431"/>
    <mergeCell ref="D443:K443"/>
    <mergeCell ref="D424:K424"/>
    <mergeCell ref="D425:K425"/>
    <mergeCell ref="D426:K426"/>
    <mergeCell ref="D427:K427"/>
    <mergeCell ref="D414:K414"/>
    <mergeCell ref="D415:K415"/>
    <mergeCell ref="D416:K416"/>
    <mergeCell ref="D417:K417"/>
    <mergeCell ref="D423:K423"/>
    <mergeCell ref="D418:K418"/>
    <mergeCell ref="D419:K419"/>
    <mergeCell ref="D420:K420"/>
    <mergeCell ref="D421:K421"/>
    <mergeCell ref="D422:K422"/>
    <mergeCell ref="D438:K438"/>
    <mergeCell ref="D439:K439"/>
    <mergeCell ref="D440:K440"/>
    <mergeCell ref="D441:K441"/>
    <mergeCell ref="D442:K442"/>
    <mergeCell ref="D432:K432"/>
    <mergeCell ref="D433:K433"/>
    <mergeCell ref="D434:K434"/>
    <mergeCell ref="D435:K435"/>
    <mergeCell ref="D437:K437"/>
    <mergeCell ref="D448:K448"/>
    <mergeCell ref="D449:K449"/>
    <mergeCell ref="D450:K450"/>
    <mergeCell ref="D444:K444"/>
    <mergeCell ref="D445:K445"/>
    <mergeCell ref="D446:K446"/>
    <mergeCell ref="D447:K447"/>
    <mergeCell ref="D456:K456"/>
    <mergeCell ref="D457:K457"/>
    <mergeCell ref="D458:K458"/>
    <mergeCell ref="D461:K461"/>
    <mergeCell ref="D462:K462"/>
    <mergeCell ref="D451:K451"/>
    <mergeCell ref="D452:K452"/>
    <mergeCell ref="D453:K453"/>
    <mergeCell ref="D454:K454"/>
    <mergeCell ref="D455:K455"/>
    <mergeCell ref="D468:K468"/>
    <mergeCell ref="D469:K469"/>
    <mergeCell ref="D470:K470"/>
    <mergeCell ref="D471:K471"/>
    <mergeCell ref="D472:K472"/>
    <mergeCell ref="D463:K463"/>
    <mergeCell ref="D464:K464"/>
    <mergeCell ref="D465:K465"/>
    <mergeCell ref="D466:K466"/>
    <mergeCell ref="D467:K467"/>
    <mergeCell ref="D479:K479"/>
    <mergeCell ref="D480:K480"/>
    <mergeCell ref="D481:K481"/>
    <mergeCell ref="D482:K482"/>
    <mergeCell ref="D483:K483"/>
    <mergeCell ref="D473:K473"/>
    <mergeCell ref="D474:K474"/>
    <mergeCell ref="D475:K475"/>
    <mergeCell ref="D477:K477"/>
    <mergeCell ref="D478:K478"/>
    <mergeCell ref="D489:K489"/>
    <mergeCell ref="D490:K490"/>
    <mergeCell ref="D491:K491"/>
    <mergeCell ref="D492:K492"/>
    <mergeCell ref="D493:K493"/>
    <mergeCell ref="D484:K484"/>
    <mergeCell ref="D485:K485"/>
    <mergeCell ref="D486:K486"/>
    <mergeCell ref="D487:K487"/>
    <mergeCell ref="D488:K488"/>
    <mergeCell ref="D502:K502"/>
    <mergeCell ref="D503:K503"/>
    <mergeCell ref="D504:K504"/>
    <mergeCell ref="D505:K505"/>
    <mergeCell ref="D506:K506"/>
    <mergeCell ref="D494:K494"/>
    <mergeCell ref="D495:K495"/>
    <mergeCell ref="D497:K497"/>
    <mergeCell ref="D498:K498"/>
    <mergeCell ref="D499:K499"/>
    <mergeCell ref="D496:K496"/>
    <mergeCell ref="D512:K512"/>
    <mergeCell ref="D513:K513"/>
    <mergeCell ref="D514:K514"/>
    <mergeCell ref="D515:K515"/>
    <mergeCell ref="D516:K516"/>
    <mergeCell ref="D507:K507"/>
    <mergeCell ref="D508:K508"/>
    <mergeCell ref="D509:K509"/>
    <mergeCell ref="D510:K510"/>
    <mergeCell ref="D511:K511"/>
    <mergeCell ref="D522:K522"/>
    <mergeCell ref="D523:K523"/>
    <mergeCell ref="D524:K524"/>
    <mergeCell ref="D525:K525"/>
    <mergeCell ref="D526:K526"/>
    <mergeCell ref="D517:K517"/>
    <mergeCell ref="D518:K518"/>
    <mergeCell ref="D519:K519"/>
    <mergeCell ref="D520:K520"/>
    <mergeCell ref="D521:K521"/>
    <mergeCell ref="D534:K534"/>
    <mergeCell ref="D535:K535"/>
    <mergeCell ref="D536:K536"/>
    <mergeCell ref="D537:K537"/>
    <mergeCell ref="D538:K538"/>
    <mergeCell ref="D527:K527"/>
    <mergeCell ref="D528:K528"/>
    <mergeCell ref="D529:K529"/>
    <mergeCell ref="D530:K530"/>
    <mergeCell ref="D533:K533"/>
    <mergeCell ref="D548:K548"/>
    <mergeCell ref="D551:K551"/>
    <mergeCell ref="D552:K552"/>
    <mergeCell ref="D553:K553"/>
    <mergeCell ref="D554:K554"/>
    <mergeCell ref="D539:K539"/>
    <mergeCell ref="D540:K540"/>
    <mergeCell ref="D541:K541"/>
    <mergeCell ref="D542:K542"/>
    <mergeCell ref="D545:K545"/>
    <mergeCell ref="D562:K562"/>
    <mergeCell ref="D563:K563"/>
    <mergeCell ref="D564:K564"/>
    <mergeCell ref="D565:K565"/>
    <mergeCell ref="D566:K566"/>
    <mergeCell ref="D557:K557"/>
    <mergeCell ref="D558:K558"/>
    <mergeCell ref="D559:K559"/>
    <mergeCell ref="D560:K560"/>
    <mergeCell ref="D561:K561"/>
    <mergeCell ref="D572:K572"/>
    <mergeCell ref="D573:K573"/>
    <mergeCell ref="D574:K574"/>
    <mergeCell ref="D575:K575"/>
    <mergeCell ref="D576:K576"/>
    <mergeCell ref="D567:K567"/>
    <mergeCell ref="D568:K568"/>
    <mergeCell ref="D569:K569"/>
    <mergeCell ref="D570:K570"/>
    <mergeCell ref="D571:K571"/>
    <mergeCell ref="D592:K592"/>
    <mergeCell ref="D593:K593"/>
    <mergeCell ref="D594:K594"/>
    <mergeCell ref="D595:K595"/>
    <mergeCell ref="D596:K596"/>
    <mergeCell ref="D577:K577"/>
    <mergeCell ref="D586:K586"/>
    <mergeCell ref="D589:K589"/>
    <mergeCell ref="D590:K590"/>
    <mergeCell ref="D591:K591"/>
    <mergeCell ref="D585:K585"/>
    <mergeCell ref="D602:K602"/>
    <mergeCell ref="D603:K603"/>
    <mergeCell ref="D604:K604"/>
    <mergeCell ref="D605:K605"/>
    <mergeCell ref="D606:K606"/>
    <mergeCell ref="D597:K597"/>
    <mergeCell ref="D598:K598"/>
    <mergeCell ref="D599:K599"/>
    <mergeCell ref="D600:K600"/>
    <mergeCell ref="D601:K601"/>
    <mergeCell ref="D612:K612"/>
    <mergeCell ref="D613:K613"/>
    <mergeCell ref="D614:K614"/>
    <mergeCell ref="D615:K615"/>
    <mergeCell ref="D616:K616"/>
    <mergeCell ref="D610:K610"/>
    <mergeCell ref="D611:K611"/>
    <mergeCell ref="D607:K607"/>
    <mergeCell ref="D608:K608"/>
    <mergeCell ref="D609:K609"/>
    <mergeCell ref="D640:K640"/>
    <mergeCell ref="D631:K631"/>
    <mergeCell ref="D632:K632"/>
    <mergeCell ref="D633:K633"/>
    <mergeCell ref="D634:K634"/>
    <mergeCell ref="D635:K635"/>
    <mergeCell ref="D617:K617"/>
    <mergeCell ref="D618:K618"/>
    <mergeCell ref="D619:K619"/>
    <mergeCell ref="D620:K620"/>
    <mergeCell ref="D621:K621"/>
    <mergeCell ref="D629:K629"/>
    <mergeCell ref="D630:K630"/>
    <mergeCell ref="D622:K622"/>
    <mergeCell ref="D623:K623"/>
    <mergeCell ref="D624:K624"/>
    <mergeCell ref="D625:K625"/>
    <mergeCell ref="D637:K637"/>
    <mergeCell ref="D638:K638"/>
    <mergeCell ref="D639:K639"/>
    <mergeCell ref="D665:K665"/>
    <mergeCell ref="D656:K656"/>
    <mergeCell ref="D657:K657"/>
    <mergeCell ref="D658:K658"/>
    <mergeCell ref="D659:K659"/>
    <mergeCell ref="D660:K660"/>
    <mergeCell ref="D668:K668"/>
    <mergeCell ref="D669:K669"/>
    <mergeCell ref="D667:K667"/>
    <mergeCell ref="D666:K666"/>
    <mergeCell ref="D681:K681"/>
    <mergeCell ref="D682:K682"/>
    <mergeCell ref="D683:K683"/>
    <mergeCell ref="D684:K684"/>
    <mergeCell ref="D679:K679"/>
    <mergeCell ref="D680:K680"/>
    <mergeCell ref="D671:K671"/>
    <mergeCell ref="D672:K672"/>
    <mergeCell ref="D673:K673"/>
    <mergeCell ref="D674:K674"/>
    <mergeCell ref="D675:K675"/>
    <mergeCell ref="D655:K655"/>
    <mergeCell ref="D646:K646"/>
    <mergeCell ref="D647:K647"/>
    <mergeCell ref="D118:K118"/>
    <mergeCell ref="D119:K119"/>
    <mergeCell ref="D120:K120"/>
    <mergeCell ref="D121:K121"/>
    <mergeCell ref="D122:K122"/>
    <mergeCell ref="D127:K127"/>
    <mergeCell ref="D128:K128"/>
    <mergeCell ref="D130:K130"/>
    <mergeCell ref="D131:K131"/>
    <mergeCell ref="D132:K132"/>
    <mergeCell ref="D133:K133"/>
    <mergeCell ref="D164:K164"/>
    <mergeCell ref="D644:K644"/>
    <mergeCell ref="D645:K645"/>
    <mergeCell ref="D636:K636"/>
    <mergeCell ref="D641:K641"/>
    <mergeCell ref="D642:K642"/>
    <mergeCell ref="D643:K643"/>
    <mergeCell ref="D626:K626"/>
    <mergeCell ref="D627:K627"/>
    <mergeCell ref="D628:K628"/>
    <mergeCell ref="D87:K87"/>
    <mergeCell ref="D96:K96"/>
    <mergeCell ref="D103:K103"/>
    <mergeCell ref="D102:K102"/>
    <mergeCell ref="D104:K104"/>
    <mergeCell ref="D105:K105"/>
    <mergeCell ref="D106:K106"/>
    <mergeCell ref="D107:K107"/>
    <mergeCell ref="D97:K97"/>
    <mergeCell ref="D98:K98"/>
    <mergeCell ref="D99:K99"/>
    <mergeCell ref="D100:K100"/>
    <mergeCell ref="D101:K101"/>
    <mergeCell ref="D91:K91"/>
    <mergeCell ref="D92:K92"/>
    <mergeCell ref="D732:K732"/>
    <mergeCell ref="D580:K580"/>
    <mergeCell ref="D581:K581"/>
    <mergeCell ref="D582:K582"/>
    <mergeCell ref="D583:K583"/>
    <mergeCell ref="D584:K584"/>
    <mergeCell ref="D686:K686"/>
    <mergeCell ref="D687:K687"/>
    <mergeCell ref="D685:K685"/>
    <mergeCell ref="D676:K676"/>
    <mergeCell ref="D677:K677"/>
    <mergeCell ref="D678:K678"/>
    <mergeCell ref="D648:K648"/>
    <mergeCell ref="D649:K649"/>
    <mergeCell ref="D650:K650"/>
    <mergeCell ref="D670:K670"/>
    <mergeCell ref="D661:K661"/>
    <mergeCell ref="D662:K662"/>
    <mergeCell ref="D663:K663"/>
    <mergeCell ref="D664:K664"/>
    <mergeCell ref="D651:K651"/>
    <mergeCell ref="D652:K652"/>
    <mergeCell ref="D653:K653"/>
    <mergeCell ref="D654:K654"/>
  </mergeCells>
  <phoneticPr fontId="0" type="noConversion"/>
  <hyperlinks>
    <hyperlink ref="L671:L687" location="SAR!A1" display="Return to form" xr:uid="{00000000-0004-0000-0C00-00000A000000}"/>
    <hyperlink ref="L35" location="RS!A1" display="Return to form" xr:uid="{639DDE4A-51A2-4D7A-90CA-A6B57A89CE68}"/>
    <hyperlink ref="L162" location="RG!A1" display="Return to form" xr:uid="{BF862FE5-44D5-45B2-8C88-5F8090750F8B}"/>
    <hyperlink ref="L331" location="'RO2'!A1" display="Return to form" xr:uid="{352FF6FD-B096-48CC-A068-3EDC0173E21D}"/>
    <hyperlink ref="L368" location="'RO3'!A1" display="Return to form" xr:uid="{B6880A96-6740-48E9-AF4A-53745FDA741F}"/>
    <hyperlink ref="L486" location="'RO5'!A1" display="Return to form" xr:uid="{D4FC657F-C457-4DDA-9B89-BBFB9193CF7B}"/>
    <hyperlink ref="L548" location="'RO6'!A1" display="Return to form" xr:uid="{90668D94-9489-4882-AC35-BF2B135CC0B4}"/>
    <hyperlink ref="L322" location="'RO1'!A1" display="Return to form" xr:uid="{92156C21-A8AF-496F-913F-76FFF33B3D11}"/>
    <hyperlink ref="L148" location="RSX!A1" display="Return to form" xr:uid="{5EAD3B9F-7F80-4C61-B9E4-3C490918EE44}"/>
    <hyperlink ref="L149:L152" location="RSX!A1" display="Return to form" xr:uid="{80D547BA-ADF1-47F9-8A6B-73FF7FCC5CDE}"/>
    <hyperlink ref="L153" location="RSX!A1" display="Return to form" xr:uid="{38EFCF72-90C2-4BCA-9C8D-951E3619F883}"/>
    <hyperlink ref="L158" location="RSX!A1" display="Return to form" xr:uid="{71CBFB40-1975-4822-9A0C-618E0AA22227}"/>
    <hyperlink ref="L154:L157" location="RSX!A1" display="Return to form" xr:uid="{A6AC4F52-2FCE-4491-8BEA-48511035721E}"/>
    <hyperlink ref="L159:L160" location="RSX!A1" display="Return to form" xr:uid="{62B77155-56F4-489C-9329-320BEBDE420A}"/>
    <hyperlink ref="L161" location="RSX!A1" display="Return to form" xr:uid="{380BE5A4-4427-4799-9698-A80B88A608F1}"/>
    <hyperlink ref="L323:L328" location="'RO1'!A1" display="Return to form" xr:uid="{B5E73F3E-A2B5-4641-9A7D-C1C55AB3588A}"/>
    <hyperlink ref="L332:L365" location="'RO2'!A1" display="Return to form" xr:uid="{F0ACB590-AC43-4A8E-8EBF-3F5A383C8E1F}"/>
    <hyperlink ref="L437" location="'RO4'!A1" display="Return to form" xr:uid="{B75D691D-11E2-4595-9B70-B6F2A8C126DE}"/>
    <hyperlink ref="L672:L732" location="SAR!A1" display="Return to form" xr:uid="{1954C0F6-067E-4BE9-9D24-1C9C0377D464}"/>
    <hyperlink ref="L610" location="TSR!A1" display="Return to form" xr:uid="{3C465CC2-4CF7-4E50-8E14-3F68819FD339}"/>
    <hyperlink ref="L611:L670" location="TSR!A1" display="Return to form" xr:uid="{12004CDD-CB8B-4B03-A4D6-4CEE47EEE09D}"/>
    <hyperlink ref="L36:L147" location="RS!A1" display="Return to form" xr:uid="{773A6107-46AD-4F48-97FA-F520A23A18A2}"/>
    <hyperlink ref="L329" location="'RO1'!A1" display="Return to form" xr:uid="{92684F9F-735E-4C98-B8FD-A9F104F09B8C}"/>
    <hyperlink ref="L366" location="'RO2'!A1" display="Return to form" xr:uid="{966B068A-1E43-444B-BA9C-2D6ADDA1E96A}"/>
    <hyperlink ref="L549" location="'RO6'!A1" display="Return to form" xr:uid="{77A027EB-55EB-4701-88FC-E70FD1C7B07D}"/>
    <hyperlink ref="L177" location="RG!A1" display="Return to form" xr:uid="{98EAAC67-D61C-4D6B-8567-CD4BD0786606}"/>
    <hyperlink ref="L199:L208" location="RG!A1" display="Return to form" xr:uid="{821093C5-EC9E-48D3-83CF-8BAF5E9D5DD0}"/>
    <hyperlink ref="L206:L231" location="RG!A1" display="Return to form" xr:uid="{996675AF-18B1-457B-B57D-29DEF75B0F1B}"/>
    <hyperlink ref="L225:L246" location="RG!A1" display="Return to form" xr:uid="{8A4E7A1D-B8A4-4596-86FB-07FD5B763839}"/>
    <hyperlink ref="L247:L254" location="RG!A1" display="Return to form" xr:uid="{2FD6DA56-2D29-4D23-A010-A335C6392B56}"/>
    <hyperlink ref="L248:L262" location="RG!A1" display="Return to form" xr:uid="{0CCE0154-75EB-4719-B8EB-E089E3C1DE05}"/>
    <hyperlink ref="L263:L267" location="RG!A1" display="Return to form" xr:uid="{B6DFB506-89AB-4D13-AD2B-14D069BD2EB5}"/>
    <hyperlink ref="L297:L304" location="RG!A1" display="Return to form" xr:uid="{F4F26E69-68CC-4B30-AC85-EA0F300F3F2C}"/>
    <hyperlink ref="L264:L280" location="RG!A1" display="Return to form" xr:uid="{3645DA13-FAFE-471E-A7DE-BF3CA04F6360}"/>
    <hyperlink ref="L298:L319" location="RG!A1" display="Return to form" xr:uid="{0059047A-E9FA-458D-A4A9-7E36E162BF23}"/>
    <hyperlink ref="L281:L288" location="RG!A1" display="Return to form" xr:uid="{88498961-7299-4F69-AC07-07C44948E21F}"/>
    <hyperlink ref="L282:L296" location="RG!A1" display="Return to form" xr:uid="{1B1D2C33-6214-4212-A6B7-CEDB297B163F}"/>
    <hyperlink ref="L671:L732" location="SAR!A1" display="Return to form" xr:uid="{A98258BD-B329-44DD-8576-D8D28E7327C3}"/>
    <hyperlink ref="L610:L670" location="TSR!A1" display="Return to form" xr:uid="{E29ACEEB-50E8-4775-B201-BDEA949170CD}"/>
    <hyperlink ref="L331:L366" location="'RO2'!A1" display="Return to form" xr:uid="{91491412-C246-4444-8AD2-8F412DAE22A7}"/>
    <hyperlink ref="L322:L329" location="'RO1'!A1" display="Return to form" xr:uid="{06770700-0B07-4D61-B568-16B089204A33}"/>
    <hyperlink ref="L148:L161" location="RSX!A1" display="Return to form" xr:uid="{5D71AA74-8AF3-47A0-B607-92B48CF3A06A}"/>
    <hyperlink ref="L35:L147" location="RS!A1" display="Return to form" xr:uid="{72255020-A3F5-4FFC-B3DC-1F9B02B35A66}"/>
    <hyperlink ref="L367" location="'RO2'!A1" display="Return to form" xr:uid="{3CB3D220-ADEF-459B-9EF0-0CA0290643F1}"/>
    <hyperlink ref="L550" location="'RO6'!A1" display="Return to form" xr:uid="{ADFADF29-27C5-4D6A-A054-BEF41F881E05}"/>
    <hyperlink ref="L330" location="'RO1'!A1" display="Return to form" xr:uid="{B2E838B2-600A-43A9-A1A3-15D7F81A955B}"/>
    <hyperlink ref="L369" location="'RO3'!A1" display="Return to form" xr:uid="{59D05261-AB73-4A64-8923-1405C7810B83}"/>
    <hyperlink ref="L370:L379" location="'RO3'!A1" display="Return to form" xr:uid="{3D8FC59B-70C9-4105-9CB6-C18ABD317E7A}"/>
    <hyperlink ref="L380" location="'RO3'!A1" display="Return to form" xr:uid="{A600C962-14EC-455E-AF64-9DF78F169C82}"/>
    <hyperlink ref="L381:L382" location="'RO3'!A1" display="Return to form" xr:uid="{979522B4-55B3-471F-8EFB-F4B478DDC87F}"/>
    <hyperlink ref="L383" location="'RO3'!A74" display="Return to form" xr:uid="{B595A2EA-B52B-4128-A718-78A77106A902}"/>
    <hyperlink ref="L384:L397" location="'RO3'!A74" display="Return to form" xr:uid="{BDEFDDEC-0C2C-40C7-9E19-B20D40E1961F}"/>
    <hyperlink ref="L398" location="'RO3'!A87" display="Return to form" xr:uid="{C9E3016F-8C20-4F69-9855-8FEA729486EC}"/>
    <hyperlink ref="L402" location="'RO3'!A110" display="Return to form" xr:uid="{6FD0739A-C727-40DE-ACC0-638EB14E3828}"/>
    <hyperlink ref="L403:L405" location="'RO3'!A110" display="Return to form" xr:uid="{58B6BCEF-DEEF-404D-8903-C08107BB4450}"/>
    <hyperlink ref="L406" location="'RO3'!A124" display="Return to form" xr:uid="{12D9B098-2CBD-404E-B74E-D0783866D541}"/>
    <hyperlink ref="L407:L427" location="'RO3'!A124" display="Return to form" xr:uid="{D532422F-54BC-448A-8535-D1A60598B749}"/>
    <hyperlink ref="L428" location="'RO3'!A124" display="Return to form" xr:uid="{1A0FB156-7E21-4084-839E-D77F16B8FABE}"/>
    <hyperlink ref="L429" location="'RO3'!A142" display="Return to form" xr:uid="{305BB966-2D1C-471A-84ED-6A21350F4ACE}"/>
    <hyperlink ref="L430:L435" location="'RO3'!A142" display="Return to form" xr:uid="{045188B5-201E-4993-839F-C8BC354D5B43}"/>
    <hyperlink ref="L436" location="'RO3'!A142" display="Return to form" xr:uid="{32C48AD0-9524-4EE8-852A-1A08742ACC32}"/>
    <hyperlink ref="L438:L447" location="'RO4'!A1" display="Return to form" xr:uid="{E99E1104-1F0C-4947-98B7-56174DE7DC6B}"/>
    <hyperlink ref="L448" location="'RO4'!A1" display="Return to form" xr:uid="{C42DE888-CF0B-4A58-8480-365150478949}"/>
    <hyperlink ref="L449" location="'RO4'!A1" display="Return to form" xr:uid="{F79FA04E-B01E-4BEC-B16C-A58FFEF03180}"/>
    <hyperlink ref="L450" location="'RO4'!A1" display="Return to form" xr:uid="{F5ECCA73-8615-459B-8C21-AA629327B8C8}"/>
    <hyperlink ref="L451" location="'RO4'!A68" display="Return to form" xr:uid="{6E706D7D-D7A4-4DCE-8B3B-583967A8D64C}"/>
    <hyperlink ref="L452:L458" location="'RO4'!A68" display="Return to form" xr:uid="{957013B4-F4DF-4E8F-AF5D-2B2225F0F759}"/>
    <hyperlink ref="L459" location="'RO4'!A89" display="Return to form" xr:uid="{105AF252-3C49-45A0-A0E8-683E545DAB7C}"/>
    <hyperlink ref="L460:L469" location="'RO4'!A89" display="Return to form" xr:uid="{7DD36853-D246-4EAE-9447-233086B80B41}"/>
    <hyperlink ref="L470" location="'RO4'!A89" display="Return to form" xr:uid="{37B3FDB0-5D35-4EB2-AEB3-783A9C53A744}"/>
    <hyperlink ref="L471" location="'RO4'!A111" display="Return to form" xr:uid="{9CAA28CE-16E4-4875-B744-8E3C298B0B12}"/>
    <hyperlink ref="L472:L484" location="'RO4'!A111" display="Return to form" xr:uid="{64DFBC8C-33DE-4348-BE8E-361B33DA7DA3}"/>
    <hyperlink ref="L485" location="'RO4'!A111" display="Return to form" xr:uid="{F1A5E638-DC6F-49D6-B01F-E69F0B05646D}"/>
    <hyperlink ref="L487:L497" location="'RO5'!A1" display="Return to form" xr:uid="{A53AC8E9-EB6C-4FED-98F7-E280611CDA4D}"/>
    <hyperlink ref="L498" location="'RO5'!A1" display="Return to form" xr:uid="{3E8E2EE1-BED9-4B25-87A9-C048DD2F07D9}"/>
    <hyperlink ref="L499" location="'RO5'!A1" display="Return to form" xr:uid="{80FC015C-65CA-4424-8750-E85DFF5174CA}"/>
    <hyperlink ref="L500" location="'RO5'!A79" display="Return to form" xr:uid="{B1998F02-8D96-4993-8495-492DE2CB67D5}"/>
    <hyperlink ref="L501:L510" location="'RO5'!A79" display="Return to form" xr:uid="{975BE1BE-08E5-45C2-B879-3E47D573A29C}"/>
    <hyperlink ref="L511" location="'RO5'!A79" display="Return to form" xr:uid="{1F707C55-941B-40F6-9936-D2EA5E0B0915}"/>
    <hyperlink ref="L512:L514" location="'RO5'!A79" display="Return to form" xr:uid="{7D85C86B-8C38-4FA7-A963-0CF451834D4A}"/>
    <hyperlink ref="L515" location="'RO5'!A105" display="Return to form" xr:uid="{E2FA9E94-CF37-4D6B-A3F1-9D0CE50FF51C}"/>
    <hyperlink ref="L516:L530" location="'RO5'!A105" display="Return to form" xr:uid="{DF1202CF-717C-4880-BB11-DC86DB4E5C9D}"/>
    <hyperlink ref="L531" location="'RO5'!A132" display="Return to form" xr:uid="{ADCAA08C-8BDD-488C-8780-22A4DB1BE74F}"/>
    <hyperlink ref="L532:L541" location="'RO5'!A132" display="Return to form" xr:uid="{75780C26-DE13-4442-ADFB-CE18DC4E4D8B}"/>
    <hyperlink ref="L542" location="'RO5'!A132" display="Return to form" xr:uid="{C2B7C53B-0D6E-4392-805D-D706C28DB53B}"/>
    <hyperlink ref="L543" location="'RO5'!A148" display="Return to form" xr:uid="{F70E81AA-9CB4-4E96-B1D0-1C9E059BBE5F}"/>
    <hyperlink ref="L544:L546" location="'RO5'!A148" display="Return to form" xr:uid="{328904EB-D326-4087-857F-DBBD0576BD6A}"/>
    <hyperlink ref="L547" location="'RO5'!A148" display="Return to form" xr:uid="{7D40AF2F-8361-4627-B42D-971C283C8BD8}"/>
    <hyperlink ref="L551:L553" location="'RO6'!A1" display="Return to form" xr:uid="{A54D81C9-C40E-45B6-9F9E-63C59D433E01}"/>
    <hyperlink ref="L554" location="'RO6'!A1" display="Return to form" xr:uid="{32709C02-6C77-4EEB-A004-BE1F9DA6EBDB}"/>
    <hyperlink ref="L555" location="'RO6'!A94" display="Return to form" xr:uid="{536142BC-F766-43B2-93EB-E2CD9CD84AC4}"/>
    <hyperlink ref="L556:L577" location="'RO6'!A94" display="Return to form" xr:uid="{F25B782C-EC0C-4DC9-8C01-615278F3E821}"/>
    <hyperlink ref="L578" location="'RO6'!A123" display="Return to form" xr:uid="{EF11954D-8A0D-4354-B682-F116BAAE92BF}"/>
    <hyperlink ref="L579:L584" location="'RO6'!A123" display="Return to form" xr:uid="{384C4D5E-2AE6-493B-8AF7-2B86EE899308}"/>
    <hyperlink ref="L585" location="'RO6'!A123" display="Return to form" xr:uid="{FB45CC7A-657E-444E-8D22-30DC602B4EB7}"/>
    <hyperlink ref="L586" location="'RO6'!A123" display="Return to form" xr:uid="{7F0D9327-8700-401C-B51F-9C9253E3A3DF}"/>
    <hyperlink ref="L587" location="'RO6'!A152" display="Return to form" xr:uid="{58A47C02-AA5C-41EC-93A3-11C4043C1F4E}"/>
    <hyperlink ref="L588:L609" location="'RO6'!A152" display="Return to form" xr:uid="{E0BE56F8-04FC-44F7-86F7-096B62C3826C}"/>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5" tint="0.59999389629810485"/>
  </sheetPr>
  <dimension ref="A1:AR456"/>
  <sheetViews>
    <sheetView zoomScaleNormal="100" workbookViewId="0">
      <pane xSplit="4" ySplit="2" topLeftCell="L3" activePane="bottomRight" state="frozen"/>
      <selection pane="topRight" activeCell="B1" sqref="B1:L1"/>
      <selection pane="bottomLeft" activeCell="B1" sqref="B1:L1"/>
      <selection pane="bottomRight" activeCell="B1" sqref="B1:L1"/>
    </sheetView>
  </sheetViews>
  <sheetFormatPr defaultColWidth="8.7265625" defaultRowHeight="14" x14ac:dyDescent="0.3"/>
  <cols>
    <col min="1" max="1" width="8.7265625" style="561"/>
    <col min="2" max="2" width="10.7265625" style="561" customWidth="1"/>
    <col min="3" max="3" width="32.453125" style="561" customWidth="1"/>
    <col min="4" max="4" width="9.26953125" style="561" customWidth="1"/>
    <col min="5" max="18" width="13.54296875" style="561" customWidth="1"/>
    <col min="19" max="19" width="13.54296875" style="1134" customWidth="1"/>
    <col min="20" max="29" width="13.54296875" style="561" customWidth="1"/>
    <col min="30" max="30" width="13" style="561" customWidth="1"/>
    <col min="31" max="31" width="13.26953125" style="561" customWidth="1"/>
    <col min="32" max="32" width="13" style="561" customWidth="1"/>
    <col min="33" max="33" width="12.81640625" style="561" customWidth="1"/>
    <col min="34" max="34" width="13.453125" style="561" customWidth="1"/>
    <col min="35" max="35" width="11.54296875" style="561" customWidth="1"/>
    <col min="36" max="36" width="12.81640625" style="561" customWidth="1"/>
    <col min="37" max="44" width="11.81640625" style="561" customWidth="1"/>
    <col min="45" max="16258" width="8.7265625" style="561"/>
    <col min="16259" max="16260" width="8.7265625" style="561" bestFit="1"/>
    <col min="16261" max="16291" width="8.7265625" style="561"/>
    <col min="16292" max="16292" width="8.7265625" style="561" bestFit="1"/>
    <col min="16293" max="16384" width="8.7265625" style="561"/>
  </cols>
  <sheetData>
    <row r="1" spans="1:44" x14ac:dyDescent="0.3">
      <c r="A1" s="561">
        <v>1</v>
      </c>
      <c r="B1" s="561">
        <v>2</v>
      </c>
      <c r="C1" s="561">
        <v>3</v>
      </c>
      <c r="D1" s="561">
        <v>4</v>
      </c>
      <c r="E1" s="561">
        <v>5</v>
      </c>
      <c r="F1" s="561">
        <v>6</v>
      </c>
      <c r="G1" s="561">
        <v>7</v>
      </c>
      <c r="H1" s="561">
        <v>8</v>
      </c>
      <c r="I1" s="561">
        <v>9</v>
      </c>
      <c r="J1" s="561">
        <v>10</v>
      </c>
      <c r="K1" s="561">
        <v>11</v>
      </c>
      <c r="L1" s="561">
        <v>12</v>
      </c>
      <c r="M1" s="561">
        <v>13</v>
      </c>
      <c r="N1" s="561">
        <v>14</v>
      </c>
      <c r="O1" s="561">
        <v>15</v>
      </c>
      <c r="P1" s="561">
        <v>16</v>
      </c>
      <c r="Q1" s="561">
        <v>17</v>
      </c>
      <c r="R1" s="561">
        <v>18</v>
      </c>
      <c r="S1" s="561">
        <v>19</v>
      </c>
      <c r="T1" s="561">
        <v>20</v>
      </c>
      <c r="U1" s="561">
        <v>21</v>
      </c>
      <c r="V1" s="561">
        <v>22</v>
      </c>
      <c r="W1" s="561">
        <v>23</v>
      </c>
      <c r="X1" s="561">
        <v>24</v>
      </c>
      <c r="Y1" s="561">
        <v>25</v>
      </c>
      <c r="Z1" s="561">
        <v>26</v>
      </c>
      <c r="AA1" s="561">
        <v>27</v>
      </c>
      <c r="AB1" s="561">
        <v>28</v>
      </c>
      <c r="AC1" s="561">
        <v>29</v>
      </c>
      <c r="AD1" s="561">
        <v>30</v>
      </c>
      <c r="AE1" s="561">
        <v>31</v>
      </c>
      <c r="AF1" s="561">
        <v>32</v>
      </c>
      <c r="AG1" s="561">
        <v>33</v>
      </c>
      <c r="AH1" s="561">
        <v>34</v>
      </c>
      <c r="AI1" s="561">
        <v>35</v>
      </c>
      <c r="AJ1" s="561">
        <v>36</v>
      </c>
      <c r="AK1" s="561">
        <v>37</v>
      </c>
      <c r="AL1" s="561">
        <v>38</v>
      </c>
      <c r="AM1" s="561">
        <v>39</v>
      </c>
      <c r="AN1" s="561">
        <v>40</v>
      </c>
      <c r="AO1" s="561">
        <v>41</v>
      </c>
      <c r="AP1" s="561">
        <v>42</v>
      </c>
      <c r="AQ1" s="561">
        <v>43</v>
      </c>
      <c r="AR1" s="561">
        <v>44</v>
      </c>
    </row>
    <row r="2" spans="1:44" s="562" customFormat="1" ht="182" x14ac:dyDescent="0.3">
      <c r="A2" s="562" t="s">
        <v>2403</v>
      </c>
      <c r="B2" s="562" t="s">
        <v>2404</v>
      </c>
      <c r="C2" s="562" t="s">
        <v>2405</v>
      </c>
      <c r="D2" s="562" t="s">
        <v>2406</v>
      </c>
      <c r="E2" s="562" t="s">
        <v>2407</v>
      </c>
      <c r="F2" s="562" t="s">
        <v>2408</v>
      </c>
      <c r="G2" s="562" t="s">
        <v>2409</v>
      </c>
      <c r="H2" s="562" t="s">
        <v>2410</v>
      </c>
      <c r="I2" s="562" t="s">
        <v>2411</v>
      </c>
      <c r="J2" s="562" t="s">
        <v>2412</v>
      </c>
      <c r="K2" s="562" t="s">
        <v>2413</v>
      </c>
      <c r="L2" s="562" t="s">
        <v>2414</v>
      </c>
      <c r="M2" s="562" t="s">
        <v>2415</v>
      </c>
      <c r="N2" s="562" t="s">
        <v>2416</v>
      </c>
      <c r="O2" s="562" t="s">
        <v>2417</v>
      </c>
      <c r="P2" s="562" t="s">
        <v>2418</v>
      </c>
      <c r="Q2" s="562" t="s">
        <v>2419</v>
      </c>
      <c r="R2" s="562" t="s">
        <v>2420</v>
      </c>
      <c r="S2" s="1215" t="s">
        <v>2421</v>
      </c>
      <c r="T2" s="1214" t="s">
        <v>2422</v>
      </c>
      <c r="U2" s="1214" t="s">
        <v>2423</v>
      </c>
      <c r="V2" s="562" t="s">
        <v>2424</v>
      </c>
      <c r="W2" s="562" t="s">
        <v>2425</v>
      </c>
      <c r="X2" s="1267" t="s">
        <v>2426</v>
      </c>
      <c r="Y2" s="562" t="s">
        <v>2427</v>
      </c>
      <c r="Z2" s="562" t="s">
        <v>2428</v>
      </c>
      <c r="AA2" s="562" t="s">
        <v>2429</v>
      </c>
      <c r="AB2" s="562" t="s">
        <v>2430</v>
      </c>
      <c r="AC2" s="562" t="s">
        <v>2431</v>
      </c>
      <c r="AD2" s="562" t="s">
        <v>2432</v>
      </c>
      <c r="AE2" s="562" t="s">
        <v>2433</v>
      </c>
      <c r="AF2" s="562" t="s">
        <v>2434</v>
      </c>
      <c r="AG2" s="562" t="s">
        <v>2435</v>
      </c>
      <c r="AH2" s="562" t="s">
        <v>2436</v>
      </c>
      <c r="AI2" s="562" t="s">
        <v>2437</v>
      </c>
      <c r="AJ2" s="562" t="s">
        <v>2438</v>
      </c>
      <c r="AK2" s="562" t="s">
        <v>2439</v>
      </c>
      <c r="AL2" s="562" t="s">
        <v>2440</v>
      </c>
      <c r="AM2" s="562" t="s">
        <v>2441</v>
      </c>
      <c r="AN2" s="562" t="s">
        <v>2442</v>
      </c>
      <c r="AO2" s="562" t="s">
        <v>2443</v>
      </c>
      <c r="AP2" s="562" t="s">
        <v>2444</v>
      </c>
      <c r="AQ2" s="562" t="s">
        <v>2445</v>
      </c>
      <c r="AR2" s="562" t="s">
        <v>2446</v>
      </c>
    </row>
    <row r="3" spans="1:44" ht="28" x14ac:dyDescent="0.3">
      <c r="A3" s="562"/>
      <c r="B3" s="562"/>
      <c r="C3" s="562"/>
      <c r="D3" s="562"/>
      <c r="E3" s="1194" t="s">
        <v>240</v>
      </c>
      <c r="F3" s="1195" t="s">
        <v>242</v>
      </c>
      <c r="G3" s="562" t="s">
        <v>481</v>
      </c>
      <c r="H3" s="1195" t="s">
        <v>495</v>
      </c>
      <c r="I3" s="1265" t="s">
        <v>501</v>
      </c>
      <c r="J3" s="1195" t="s">
        <v>498</v>
      </c>
      <c r="K3" s="1195" t="s">
        <v>503</v>
      </c>
      <c r="L3" s="1195" t="s">
        <v>520</v>
      </c>
      <c r="M3" s="562" t="s">
        <v>512</v>
      </c>
      <c r="N3" s="1266" t="s">
        <v>505</v>
      </c>
      <c r="O3" s="1266" t="s">
        <v>507</v>
      </c>
      <c r="P3" s="1129" t="s">
        <v>524</v>
      </c>
      <c r="Q3" s="562" t="s">
        <v>127</v>
      </c>
      <c r="R3" s="562" t="s">
        <v>250</v>
      </c>
      <c r="S3" s="1216" t="s">
        <v>353</v>
      </c>
      <c r="T3" s="1214" t="s">
        <v>157</v>
      </c>
      <c r="U3" s="1214" t="s">
        <v>161</v>
      </c>
      <c r="V3" s="1268" t="s">
        <v>171</v>
      </c>
      <c r="W3" s="1195" t="s">
        <v>522</v>
      </c>
      <c r="X3" s="562" t="s">
        <v>518</v>
      </c>
      <c r="Y3" s="562" t="s">
        <v>516</v>
      </c>
      <c r="Z3" s="562" t="s">
        <v>530</v>
      </c>
      <c r="AA3" s="562" t="s">
        <v>532</v>
      </c>
      <c r="AB3" s="562" t="s">
        <v>535</v>
      </c>
      <c r="AC3" s="562" t="s">
        <v>537</v>
      </c>
      <c r="AD3" s="562" t="s">
        <v>264</v>
      </c>
      <c r="AE3" s="562" t="s">
        <v>270</v>
      </c>
      <c r="AF3" s="562" t="s">
        <v>273</v>
      </c>
      <c r="AG3" s="562" t="s">
        <v>297</v>
      </c>
      <c r="AH3" s="562" t="s">
        <v>279</v>
      </c>
      <c r="AI3" s="562" t="s">
        <v>282</v>
      </c>
      <c r="AJ3" s="562" t="s">
        <v>285</v>
      </c>
      <c r="AK3" s="562" t="s">
        <v>287</v>
      </c>
      <c r="AL3" s="562" t="s">
        <v>289</v>
      </c>
      <c r="AM3" s="1129" t="s">
        <v>1027</v>
      </c>
      <c r="AN3" s="561" t="s">
        <v>1021</v>
      </c>
      <c r="AO3" s="561" t="s">
        <v>1025</v>
      </c>
      <c r="AP3" s="561" t="s">
        <v>1023</v>
      </c>
      <c r="AQ3" s="561" t="s">
        <v>1029</v>
      </c>
      <c r="AR3" s="561" t="s">
        <v>1031</v>
      </c>
    </row>
    <row r="4" spans="1:44" x14ac:dyDescent="0.3">
      <c r="A4" s="1129" t="s">
        <v>2447</v>
      </c>
      <c r="B4" s="1129" t="s">
        <v>2448</v>
      </c>
      <c r="C4" s="1129" t="s">
        <v>2449</v>
      </c>
      <c r="D4" s="1129" t="s">
        <v>384</v>
      </c>
      <c r="E4" s="561">
        <v>-105</v>
      </c>
      <c r="F4" s="561">
        <v>0</v>
      </c>
      <c r="G4" s="561">
        <v>0</v>
      </c>
      <c r="H4" s="561">
        <v>0</v>
      </c>
      <c r="I4" s="561">
        <v>35</v>
      </c>
      <c r="J4" s="561">
        <v>0</v>
      </c>
      <c r="K4" s="561">
        <v>0</v>
      </c>
      <c r="L4" s="561">
        <v>498</v>
      </c>
      <c r="M4" s="561">
        <v>0</v>
      </c>
      <c r="N4" s="561">
        <v>0</v>
      </c>
      <c r="O4" s="561">
        <v>108</v>
      </c>
      <c r="P4" s="561">
        <v>4</v>
      </c>
      <c r="Q4" s="561">
        <v>485</v>
      </c>
      <c r="R4" s="561">
        <v>8304</v>
      </c>
      <c r="S4" s="1217">
        <v>1663</v>
      </c>
      <c r="T4" s="1217">
        <v>12</v>
      </c>
      <c r="U4" s="1217">
        <v>0</v>
      </c>
      <c r="V4" s="561">
        <v>5151</v>
      </c>
      <c r="W4" s="561">
        <v>139</v>
      </c>
      <c r="X4" s="561">
        <v>117</v>
      </c>
      <c r="Y4" s="561">
        <v>91</v>
      </c>
      <c r="Z4" s="561">
        <v>0</v>
      </c>
      <c r="AA4" s="561">
        <v>0</v>
      </c>
      <c r="AB4" s="561">
        <v>0</v>
      </c>
      <c r="AC4" s="561">
        <v>0</v>
      </c>
      <c r="AD4" s="561">
        <v>0</v>
      </c>
      <c r="AE4" s="561">
        <v>0</v>
      </c>
      <c r="AF4" s="561">
        <v>0</v>
      </c>
      <c r="AG4" s="561">
        <v>1051</v>
      </c>
      <c r="AH4" s="561">
        <v>0</v>
      </c>
      <c r="AI4" s="561">
        <v>660</v>
      </c>
      <c r="AJ4" s="561">
        <v>643</v>
      </c>
      <c r="AK4" s="561">
        <v>0</v>
      </c>
      <c r="AL4" s="561">
        <v>701</v>
      </c>
      <c r="AM4" s="561">
        <v>60</v>
      </c>
      <c r="AN4" s="561">
        <v>17</v>
      </c>
      <c r="AO4" s="561">
        <v>0</v>
      </c>
      <c r="AP4" s="561">
        <v>75</v>
      </c>
      <c r="AQ4" s="561">
        <v>5</v>
      </c>
      <c r="AR4" s="561">
        <v>1</v>
      </c>
    </row>
    <row r="5" spans="1:44" x14ac:dyDescent="0.3">
      <c r="A5" s="1129" t="s">
        <v>2450</v>
      </c>
      <c r="B5" s="1129" t="s">
        <v>2451</v>
      </c>
      <c r="C5" s="1129" t="s">
        <v>2452</v>
      </c>
      <c r="D5" s="1129" t="s">
        <v>384</v>
      </c>
      <c r="E5" s="561">
        <v>-197</v>
      </c>
      <c r="F5" s="561">
        <v>0</v>
      </c>
      <c r="G5" s="561">
        <v>0</v>
      </c>
      <c r="H5" s="561">
        <v>0</v>
      </c>
      <c r="I5" s="561">
        <v>36</v>
      </c>
      <c r="J5" s="561">
        <v>0</v>
      </c>
      <c r="K5" s="561">
        <v>0</v>
      </c>
      <c r="L5" s="561">
        <v>419</v>
      </c>
      <c r="M5" s="561">
        <v>0</v>
      </c>
      <c r="N5" s="561">
        <v>0</v>
      </c>
      <c r="O5" s="561">
        <v>263</v>
      </c>
      <c r="P5" s="561">
        <v>775</v>
      </c>
      <c r="Q5" s="561">
        <v>3573</v>
      </c>
      <c r="R5" s="561">
        <v>11993</v>
      </c>
      <c r="S5" s="1217" t="s">
        <v>2453</v>
      </c>
      <c r="T5" s="1217">
        <v>2333</v>
      </c>
      <c r="U5" s="1217">
        <v>0</v>
      </c>
      <c r="V5" s="561">
        <v>0</v>
      </c>
      <c r="W5" s="561">
        <v>283</v>
      </c>
      <c r="X5" s="561">
        <v>128</v>
      </c>
      <c r="Y5" s="561">
        <v>9</v>
      </c>
      <c r="Z5" s="561">
        <v>0</v>
      </c>
      <c r="AA5" s="561">
        <v>0</v>
      </c>
      <c r="AB5" s="561">
        <v>0</v>
      </c>
      <c r="AC5" s="561">
        <v>0</v>
      </c>
      <c r="AD5" s="561">
        <v>0</v>
      </c>
      <c r="AE5" s="561">
        <v>0</v>
      </c>
      <c r="AF5" s="561">
        <v>0</v>
      </c>
      <c r="AG5" s="561">
        <v>8181</v>
      </c>
      <c r="AH5" s="561">
        <v>3843</v>
      </c>
      <c r="AI5" s="561">
        <v>8430</v>
      </c>
      <c r="AJ5" s="561">
        <v>0</v>
      </c>
      <c r="AK5" s="561">
        <v>1308</v>
      </c>
      <c r="AL5" s="561">
        <v>0</v>
      </c>
      <c r="AM5" s="561">
        <v>5</v>
      </c>
      <c r="AN5" s="561">
        <v>0</v>
      </c>
      <c r="AO5" s="561">
        <v>0</v>
      </c>
      <c r="AP5" s="561">
        <v>0</v>
      </c>
      <c r="AQ5" s="561">
        <v>8</v>
      </c>
      <c r="AR5" s="561">
        <v>0</v>
      </c>
    </row>
    <row r="6" spans="1:44" x14ac:dyDescent="0.3">
      <c r="A6" s="1129" t="s">
        <v>2454</v>
      </c>
      <c r="B6" s="1129" t="s">
        <v>2455</v>
      </c>
      <c r="C6" s="1129" t="s">
        <v>2456</v>
      </c>
      <c r="D6" s="1129" t="s">
        <v>384</v>
      </c>
      <c r="E6" s="561">
        <v>-248</v>
      </c>
      <c r="F6" s="561">
        <v>0</v>
      </c>
      <c r="G6" s="561">
        <v>0</v>
      </c>
      <c r="H6" s="561">
        <v>0</v>
      </c>
      <c r="I6" s="561">
        <v>35</v>
      </c>
      <c r="J6" s="561">
        <v>0</v>
      </c>
      <c r="K6" s="561">
        <v>0</v>
      </c>
      <c r="L6" s="561">
        <v>1655</v>
      </c>
      <c r="M6" s="561">
        <v>0</v>
      </c>
      <c r="N6" s="561">
        <v>0</v>
      </c>
      <c r="O6" s="561">
        <v>184</v>
      </c>
      <c r="P6" s="561">
        <v>1208</v>
      </c>
      <c r="Q6" s="561">
        <v>5954</v>
      </c>
      <c r="R6" s="561">
        <v>20307</v>
      </c>
      <c r="S6" s="1217">
        <v>1171.5</v>
      </c>
      <c r="T6" s="1217">
        <v>1271</v>
      </c>
      <c r="U6" s="1217">
        <v>0</v>
      </c>
      <c r="V6" s="561">
        <v>1207</v>
      </c>
      <c r="W6" s="561">
        <v>358</v>
      </c>
      <c r="X6" s="561">
        <v>260</v>
      </c>
      <c r="Y6" s="561">
        <v>33</v>
      </c>
      <c r="Z6" s="561">
        <v>434</v>
      </c>
      <c r="AA6" s="561">
        <v>0</v>
      </c>
      <c r="AB6" s="561">
        <v>0</v>
      </c>
      <c r="AC6" s="561">
        <v>0</v>
      </c>
      <c r="AD6" s="561">
        <v>0</v>
      </c>
      <c r="AE6" s="561">
        <v>0</v>
      </c>
      <c r="AF6" s="561">
        <v>0</v>
      </c>
      <c r="AG6" s="561">
        <v>5000</v>
      </c>
      <c r="AH6" s="561">
        <v>457</v>
      </c>
      <c r="AI6" s="561">
        <v>4930</v>
      </c>
      <c r="AJ6" s="561">
        <v>8935</v>
      </c>
      <c r="AK6" s="561">
        <v>355</v>
      </c>
      <c r="AL6" s="561">
        <v>0</v>
      </c>
      <c r="AM6" s="561">
        <v>45</v>
      </c>
      <c r="AN6" s="561">
        <v>121</v>
      </c>
      <c r="AO6" s="561">
        <v>4</v>
      </c>
      <c r="AP6" s="561">
        <v>0</v>
      </c>
      <c r="AQ6" s="561">
        <v>52</v>
      </c>
      <c r="AR6" s="561">
        <v>2</v>
      </c>
    </row>
    <row r="7" spans="1:44" x14ac:dyDescent="0.3">
      <c r="A7" s="1129" t="s">
        <v>2457</v>
      </c>
      <c r="B7" s="1129" t="s">
        <v>2458</v>
      </c>
      <c r="C7" s="1129" t="s">
        <v>2459</v>
      </c>
      <c r="D7" s="1129" t="s">
        <v>384</v>
      </c>
      <c r="E7" s="561">
        <v>-467</v>
      </c>
      <c r="F7" s="561">
        <v>0</v>
      </c>
      <c r="G7" s="561">
        <v>0</v>
      </c>
      <c r="H7" s="561">
        <v>0</v>
      </c>
      <c r="I7" s="561">
        <v>35</v>
      </c>
      <c r="J7" s="561">
        <v>0</v>
      </c>
      <c r="K7" s="561">
        <v>0</v>
      </c>
      <c r="L7" s="561">
        <v>562</v>
      </c>
      <c r="M7" s="561">
        <v>0</v>
      </c>
      <c r="N7" s="561">
        <v>0</v>
      </c>
      <c r="O7" s="561">
        <v>407</v>
      </c>
      <c r="P7" s="561">
        <v>148</v>
      </c>
      <c r="Q7" s="561">
        <v>404</v>
      </c>
      <c r="R7" s="561">
        <v>7588</v>
      </c>
      <c r="S7" s="1217" t="s">
        <v>2453</v>
      </c>
      <c r="T7" s="1217">
        <v>0</v>
      </c>
      <c r="U7" s="1217">
        <v>0</v>
      </c>
      <c r="V7" s="561">
        <v>1655</v>
      </c>
      <c r="W7" s="561">
        <v>323</v>
      </c>
      <c r="X7" s="561">
        <v>200</v>
      </c>
      <c r="Y7" s="561">
        <v>27</v>
      </c>
      <c r="Z7" s="561">
        <v>1245</v>
      </c>
      <c r="AA7" s="561">
        <v>0</v>
      </c>
      <c r="AB7" s="561">
        <v>0</v>
      </c>
      <c r="AC7" s="561">
        <v>0</v>
      </c>
      <c r="AD7" s="561">
        <v>0</v>
      </c>
      <c r="AE7" s="561">
        <v>0</v>
      </c>
      <c r="AF7" s="561">
        <v>0</v>
      </c>
      <c r="AG7" s="561">
        <v>10001</v>
      </c>
      <c r="AH7" s="561">
        <v>0</v>
      </c>
      <c r="AI7" s="561">
        <v>8091</v>
      </c>
      <c r="AJ7" s="561">
        <v>5316</v>
      </c>
      <c r="AK7" s="561">
        <v>5982</v>
      </c>
      <c r="AL7" s="561">
        <v>0</v>
      </c>
      <c r="AM7" s="561">
        <v>6</v>
      </c>
      <c r="AN7" s="561">
        <v>0</v>
      </c>
      <c r="AO7" s="561">
        <v>0</v>
      </c>
      <c r="AP7" s="561">
        <v>0</v>
      </c>
      <c r="AQ7" s="561">
        <v>43</v>
      </c>
      <c r="AR7" s="561">
        <v>0</v>
      </c>
    </row>
    <row r="8" spans="1:44" x14ac:dyDescent="0.3">
      <c r="A8" s="1129" t="s">
        <v>2460</v>
      </c>
      <c r="B8" s="1129" t="s">
        <v>2461</v>
      </c>
      <c r="C8" s="1129" t="s">
        <v>2462</v>
      </c>
      <c r="D8" s="1129" t="s">
        <v>384</v>
      </c>
      <c r="E8" s="561">
        <v>-329</v>
      </c>
      <c r="F8" s="561">
        <v>0</v>
      </c>
      <c r="G8" s="561">
        <v>0</v>
      </c>
      <c r="H8" s="561">
        <v>0</v>
      </c>
      <c r="I8" s="561">
        <v>37</v>
      </c>
      <c r="J8" s="561">
        <v>0</v>
      </c>
      <c r="K8" s="561">
        <v>0</v>
      </c>
      <c r="L8" s="561">
        <v>1217</v>
      </c>
      <c r="M8" s="561">
        <v>0</v>
      </c>
      <c r="N8" s="561">
        <v>0</v>
      </c>
      <c r="O8" s="561">
        <v>228</v>
      </c>
      <c r="P8" s="561">
        <v>77</v>
      </c>
      <c r="Q8" s="561">
        <v>3030</v>
      </c>
      <c r="R8" s="561">
        <v>12579</v>
      </c>
      <c r="S8" s="1217">
        <v>3008</v>
      </c>
      <c r="T8" s="1217">
        <v>0</v>
      </c>
      <c r="U8" s="1217">
        <v>0</v>
      </c>
      <c r="V8" s="561">
        <v>6003</v>
      </c>
      <c r="W8" s="561">
        <v>297</v>
      </c>
      <c r="X8" s="561">
        <v>237</v>
      </c>
      <c r="Y8" s="561">
        <v>1739</v>
      </c>
      <c r="Z8" s="561">
        <v>317</v>
      </c>
      <c r="AA8" s="561">
        <v>0</v>
      </c>
      <c r="AB8" s="561">
        <v>0</v>
      </c>
      <c r="AC8" s="561">
        <v>0</v>
      </c>
      <c r="AD8" s="561">
        <v>0</v>
      </c>
      <c r="AE8" s="561">
        <v>0</v>
      </c>
      <c r="AF8" s="561">
        <v>0</v>
      </c>
      <c r="AG8" s="561">
        <v>3265</v>
      </c>
      <c r="AH8" s="561">
        <v>0</v>
      </c>
      <c r="AI8" s="561">
        <v>3443</v>
      </c>
      <c r="AJ8" s="561">
        <v>4000</v>
      </c>
      <c r="AK8" s="561">
        <v>12015</v>
      </c>
      <c r="AL8" s="561">
        <v>13159</v>
      </c>
      <c r="AM8" s="561">
        <v>42</v>
      </c>
      <c r="AN8" s="561">
        <v>141</v>
      </c>
      <c r="AO8" s="561">
        <v>1</v>
      </c>
      <c r="AP8" s="561">
        <v>7</v>
      </c>
      <c r="AQ8" s="561">
        <v>68</v>
      </c>
      <c r="AR8" s="561">
        <v>15</v>
      </c>
    </row>
    <row r="9" spans="1:44" x14ac:dyDescent="0.3">
      <c r="A9" s="1129" t="s">
        <v>2463</v>
      </c>
      <c r="B9" s="1129" t="s">
        <v>2464</v>
      </c>
      <c r="C9" s="1129" t="s">
        <v>2465</v>
      </c>
      <c r="D9" s="1129" t="s">
        <v>2466</v>
      </c>
      <c r="E9" s="561">
        <v>0</v>
      </c>
      <c r="F9" s="561">
        <v>-231706</v>
      </c>
      <c r="G9" s="561">
        <v>0</v>
      </c>
      <c r="H9" s="561">
        <v>0</v>
      </c>
      <c r="I9" s="561">
        <v>0</v>
      </c>
      <c r="J9" s="561">
        <v>0</v>
      </c>
      <c r="K9" s="561">
        <v>0</v>
      </c>
      <c r="L9" s="561">
        <v>0</v>
      </c>
      <c r="M9" s="561">
        <v>0</v>
      </c>
      <c r="N9" s="561">
        <v>0</v>
      </c>
      <c r="O9" s="561">
        <v>0</v>
      </c>
      <c r="P9" s="561">
        <v>0</v>
      </c>
      <c r="Q9" s="561">
        <v>0</v>
      </c>
      <c r="R9" s="561">
        <v>177638</v>
      </c>
      <c r="S9" s="1217">
        <v>0</v>
      </c>
      <c r="T9" s="1217">
        <v>8925</v>
      </c>
      <c r="U9" s="1217">
        <v>0</v>
      </c>
      <c r="V9" s="561">
        <v>978</v>
      </c>
      <c r="W9" s="561">
        <v>0</v>
      </c>
      <c r="X9" s="561">
        <v>0</v>
      </c>
      <c r="Y9" s="561">
        <v>0</v>
      </c>
      <c r="Z9" s="561">
        <v>0</v>
      </c>
      <c r="AA9" s="561">
        <v>11167</v>
      </c>
      <c r="AB9" s="561">
        <v>4575</v>
      </c>
      <c r="AC9" s="561">
        <v>6290</v>
      </c>
      <c r="AD9" s="561">
        <v>0</v>
      </c>
      <c r="AE9" s="561">
        <v>0</v>
      </c>
      <c r="AF9" s="561">
        <v>0</v>
      </c>
      <c r="AG9" s="561">
        <v>12000</v>
      </c>
      <c r="AH9" s="561">
        <v>5191</v>
      </c>
      <c r="AI9" s="561">
        <v>23581</v>
      </c>
      <c r="AJ9" s="561">
        <v>0</v>
      </c>
      <c r="AK9" s="561">
        <v>5877</v>
      </c>
      <c r="AL9" s="561">
        <v>496</v>
      </c>
      <c r="AM9" s="561">
        <v>0</v>
      </c>
      <c r="AN9" s="561">
        <v>0</v>
      </c>
      <c r="AO9" s="561">
        <v>0</v>
      </c>
      <c r="AP9" s="561">
        <v>0</v>
      </c>
      <c r="AQ9" s="561">
        <v>0</v>
      </c>
      <c r="AR9" s="561">
        <v>0</v>
      </c>
    </row>
    <row r="10" spans="1:44" x14ac:dyDescent="0.3">
      <c r="A10" s="1129" t="s">
        <v>2467</v>
      </c>
      <c r="B10" s="1129" t="s">
        <v>2468</v>
      </c>
      <c r="C10" s="1129" t="s">
        <v>2469</v>
      </c>
      <c r="D10" s="1129" t="s">
        <v>2466</v>
      </c>
      <c r="E10" s="561">
        <v>-8784</v>
      </c>
      <c r="F10" s="561">
        <v>0</v>
      </c>
      <c r="G10" s="561">
        <v>0</v>
      </c>
      <c r="H10" s="561">
        <v>0</v>
      </c>
      <c r="I10" s="561">
        <v>0</v>
      </c>
      <c r="J10" s="561">
        <v>0</v>
      </c>
      <c r="K10" s="561">
        <v>0</v>
      </c>
      <c r="L10" s="561">
        <v>0</v>
      </c>
      <c r="M10" s="561">
        <v>0</v>
      </c>
      <c r="N10" s="561">
        <v>0</v>
      </c>
      <c r="O10" s="561">
        <v>0</v>
      </c>
      <c r="P10" s="561">
        <v>0</v>
      </c>
      <c r="Q10" s="561">
        <v>0</v>
      </c>
      <c r="R10" s="561">
        <v>35573</v>
      </c>
      <c r="S10" s="1217">
        <v>0</v>
      </c>
      <c r="T10" s="1217">
        <v>2580</v>
      </c>
      <c r="U10" s="1217">
        <v>0</v>
      </c>
      <c r="V10" s="561">
        <v>221</v>
      </c>
      <c r="W10" s="561">
        <v>0</v>
      </c>
      <c r="X10" s="561">
        <v>415</v>
      </c>
      <c r="Y10" s="561">
        <v>0</v>
      </c>
      <c r="Z10" s="561">
        <v>0</v>
      </c>
      <c r="AA10" s="561">
        <v>0</v>
      </c>
      <c r="AB10" s="561">
        <v>0</v>
      </c>
      <c r="AC10" s="561">
        <v>0</v>
      </c>
      <c r="AD10" s="561">
        <v>0</v>
      </c>
      <c r="AE10" s="561">
        <v>0</v>
      </c>
      <c r="AF10" s="561">
        <v>0</v>
      </c>
      <c r="AG10" s="561">
        <v>1500</v>
      </c>
      <c r="AH10" s="561">
        <v>821</v>
      </c>
      <c r="AI10" s="561">
        <v>7067</v>
      </c>
      <c r="AJ10" s="561">
        <v>868</v>
      </c>
      <c r="AK10" s="561">
        <v>654</v>
      </c>
      <c r="AL10" s="561">
        <v>0</v>
      </c>
      <c r="AM10" s="561">
        <v>0</v>
      </c>
      <c r="AN10" s="561">
        <v>0</v>
      </c>
      <c r="AO10" s="561">
        <v>0</v>
      </c>
      <c r="AP10" s="561">
        <v>0</v>
      </c>
      <c r="AQ10" s="561">
        <v>0</v>
      </c>
      <c r="AR10" s="561">
        <v>0</v>
      </c>
    </row>
    <row r="11" spans="1:44" x14ac:dyDescent="0.3">
      <c r="A11" s="1129" t="s">
        <v>2470</v>
      </c>
      <c r="B11" s="1129" t="s">
        <v>2471</v>
      </c>
      <c r="C11" s="1129" t="s">
        <v>2472</v>
      </c>
      <c r="D11" s="1129" t="s">
        <v>384</v>
      </c>
      <c r="E11" s="561">
        <v>-154</v>
      </c>
      <c r="F11" s="561">
        <v>0</v>
      </c>
      <c r="G11" s="561">
        <v>0</v>
      </c>
      <c r="H11" s="561">
        <v>0</v>
      </c>
      <c r="I11" s="561">
        <v>36</v>
      </c>
      <c r="J11" s="561">
        <v>0</v>
      </c>
      <c r="K11" s="561">
        <v>0</v>
      </c>
      <c r="L11" s="561">
        <v>549</v>
      </c>
      <c r="M11" s="561">
        <v>0</v>
      </c>
      <c r="N11" s="561">
        <v>0</v>
      </c>
      <c r="O11" s="561">
        <v>0</v>
      </c>
      <c r="P11" s="561">
        <v>838</v>
      </c>
      <c r="Q11" s="561">
        <v>3705</v>
      </c>
      <c r="R11" s="561">
        <v>10850</v>
      </c>
      <c r="S11" s="1217">
        <v>15639</v>
      </c>
      <c r="T11" s="1217">
        <v>1808</v>
      </c>
      <c r="U11" s="1217">
        <v>0</v>
      </c>
      <c r="V11" s="561">
        <v>2814</v>
      </c>
      <c r="W11" s="561">
        <v>160</v>
      </c>
      <c r="X11" s="561">
        <v>128</v>
      </c>
      <c r="Y11" s="561">
        <v>219</v>
      </c>
      <c r="Z11" s="561">
        <v>331</v>
      </c>
      <c r="AA11" s="561">
        <v>0</v>
      </c>
      <c r="AB11" s="561">
        <v>0</v>
      </c>
      <c r="AC11" s="561">
        <v>0</v>
      </c>
      <c r="AD11" s="561">
        <v>0</v>
      </c>
      <c r="AE11" s="561">
        <v>0</v>
      </c>
      <c r="AF11" s="561">
        <v>0</v>
      </c>
      <c r="AG11" s="561">
        <v>0</v>
      </c>
      <c r="AH11" s="561">
        <v>0</v>
      </c>
      <c r="AI11" s="561">
        <v>0</v>
      </c>
      <c r="AJ11" s="561">
        <v>0</v>
      </c>
      <c r="AK11" s="561">
        <v>0</v>
      </c>
      <c r="AL11" s="561">
        <v>0</v>
      </c>
      <c r="AM11" s="561">
        <v>10</v>
      </c>
      <c r="AN11" s="561">
        <v>0</v>
      </c>
      <c r="AO11" s="561">
        <v>0</v>
      </c>
      <c r="AP11" s="561">
        <v>0</v>
      </c>
      <c r="AQ11" s="561">
        <v>83</v>
      </c>
      <c r="AR11" s="561">
        <v>0</v>
      </c>
    </row>
    <row r="12" spans="1:44" x14ac:dyDescent="0.3">
      <c r="A12" s="1129" t="s">
        <v>2473</v>
      </c>
      <c r="B12" s="1129" t="s">
        <v>2474</v>
      </c>
      <c r="C12" s="1129" t="s">
        <v>2475</v>
      </c>
      <c r="D12" s="1129" t="s">
        <v>2476</v>
      </c>
      <c r="E12" s="561">
        <v>-22694</v>
      </c>
      <c r="F12" s="561">
        <v>0</v>
      </c>
      <c r="G12" s="561">
        <v>310505</v>
      </c>
      <c r="H12" s="561">
        <v>20085</v>
      </c>
      <c r="I12" s="561">
        <v>38</v>
      </c>
      <c r="J12" s="561">
        <v>25731</v>
      </c>
      <c r="K12" s="561">
        <v>13209</v>
      </c>
      <c r="L12" s="561">
        <v>7027</v>
      </c>
      <c r="M12" s="561">
        <v>3995</v>
      </c>
      <c r="N12" s="561">
        <v>2022</v>
      </c>
      <c r="O12" s="561">
        <v>6638</v>
      </c>
      <c r="P12" s="561">
        <v>2344</v>
      </c>
      <c r="Q12" s="561">
        <v>0</v>
      </c>
      <c r="R12" s="561">
        <v>93486</v>
      </c>
      <c r="S12" s="1217">
        <v>41899.440000000002</v>
      </c>
      <c r="T12" s="1217">
        <v>0</v>
      </c>
      <c r="U12" s="1217">
        <v>0</v>
      </c>
      <c r="V12" s="561">
        <v>43620</v>
      </c>
      <c r="W12" s="561">
        <v>734</v>
      </c>
      <c r="X12" s="561">
        <v>2005</v>
      </c>
      <c r="Y12" s="561">
        <v>0</v>
      </c>
      <c r="Z12" s="561">
        <v>506</v>
      </c>
      <c r="AA12" s="561">
        <v>0</v>
      </c>
      <c r="AB12" s="561">
        <v>0</v>
      </c>
      <c r="AC12" s="561">
        <v>0</v>
      </c>
      <c r="AD12" s="561">
        <v>10720</v>
      </c>
      <c r="AE12" s="561">
        <v>7955</v>
      </c>
      <c r="AF12" s="561">
        <v>1946</v>
      </c>
      <c r="AG12" s="561">
        <v>14404</v>
      </c>
      <c r="AH12" s="561">
        <v>34218</v>
      </c>
      <c r="AI12" s="561">
        <v>39813</v>
      </c>
      <c r="AJ12" s="561">
        <v>26173</v>
      </c>
      <c r="AK12" s="561">
        <v>15398</v>
      </c>
      <c r="AL12" s="561">
        <v>0</v>
      </c>
      <c r="AM12" s="561">
        <v>124</v>
      </c>
      <c r="AN12" s="561">
        <v>1</v>
      </c>
      <c r="AO12" s="561">
        <v>172</v>
      </c>
      <c r="AP12" s="561">
        <v>449</v>
      </c>
      <c r="AQ12" s="561">
        <v>273</v>
      </c>
      <c r="AR12" s="561">
        <v>0</v>
      </c>
    </row>
    <row r="13" spans="1:44" x14ac:dyDescent="0.3">
      <c r="A13" s="1129" t="s">
        <v>2477</v>
      </c>
      <c r="B13" s="1129" t="s">
        <v>2478</v>
      </c>
      <c r="C13" s="1129" t="s">
        <v>2479</v>
      </c>
      <c r="D13" s="1129" t="s">
        <v>2476</v>
      </c>
      <c r="E13" s="561">
        <v>-8478</v>
      </c>
      <c r="F13" s="561">
        <v>0</v>
      </c>
      <c r="G13" s="561">
        <v>311353</v>
      </c>
      <c r="H13" s="561">
        <v>20759</v>
      </c>
      <c r="I13" s="561">
        <v>39</v>
      </c>
      <c r="J13" s="561">
        <v>31809</v>
      </c>
      <c r="K13" s="561">
        <v>11870</v>
      </c>
      <c r="L13" s="561">
        <v>10143</v>
      </c>
      <c r="M13" s="561">
        <v>6333</v>
      </c>
      <c r="N13" s="561">
        <v>952</v>
      </c>
      <c r="O13" s="561">
        <v>0</v>
      </c>
      <c r="P13" s="561">
        <v>1478</v>
      </c>
      <c r="Q13" s="561">
        <v>0</v>
      </c>
      <c r="R13" s="561">
        <v>244777</v>
      </c>
      <c r="S13" s="1217">
        <v>11293.85</v>
      </c>
      <c r="T13" s="1217">
        <v>0</v>
      </c>
      <c r="U13" s="1217">
        <v>0</v>
      </c>
      <c r="V13" s="561">
        <v>42728</v>
      </c>
      <c r="W13" s="561">
        <v>1277</v>
      </c>
      <c r="X13" s="561">
        <v>3099</v>
      </c>
      <c r="Y13" s="561">
        <v>0</v>
      </c>
      <c r="Z13" s="561">
        <v>1098</v>
      </c>
      <c r="AA13" s="561">
        <v>0</v>
      </c>
      <c r="AB13" s="561">
        <v>0</v>
      </c>
      <c r="AC13" s="561">
        <v>0</v>
      </c>
      <c r="AD13" s="561">
        <v>10580</v>
      </c>
      <c r="AE13" s="561">
        <v>10775</v>
      </c>
      <c r="AF13" s="561">
        <v>818</v>
      </c>
      <c r="AG13" s="561">
        <v>15082</v>
      </c>
      <c r="AH13" s="561">
        <v>0</v>
      </c>
      <c r="AI13" s="561">
        <v>25716</v>
      </c>
      <c r="AJ13" s="561">
        <v>16217</v>
      </c>
      <c r="AK13" s="561">
        <v>4451</v>
      </c>
      <c r="AL13" s="561">
        <v>25584</v>
      </c>
      <c r="AM13" s="561">
        <v>114</v>
      </c>
      <c r="AN13" s="561">
        <v>1728</v>
      </c>
      <c r="AO13" s="561">
        <v>10</v>
      </c>
      <c r="AP13" s="561">
        <v>397</v>
      </c>
      <c r="AQ13" s="561">
        <v>692</v>
      </c>
      <c r="AR13" s="561">
        <v>7</v>
      </c>
    </row>
    <row r="14" spans="1:44" x14ac:dyDescent="0.3">
      <c r="A14" s="1129" t="s">
        <v>2480</v>
      </c>
      <c r="B14" s="1129" t="s">
        <v>2481</v>
      </c>
      <c r="C14" s="1129" t="s">
        <v>2482</v>
      </c>
      <c r="D14" s="1129" t="s">
        <v>379</v>
      </c>
      <c r="E14" s="561">
        <v>-16751</v>
      </c>
      <c r="F14" s="561">
        <v>0</v>
      </c>
      <c r="G14" s="561">
        <v>124175</v>
      </c>
      <c r="H14" s="561">
        <v>19731</v>
      </c>
      <c r="I14" s="561">
        <v>761</v>
      </c>
      <c r="J14" s="561">
        <v>35002</v>
      </c>
      <c r="K14" s="561">
        <v>16594</v>
      </c>
      <c r="L14" s="561">
        <v>778</v>
      </c>
      <c r="M14" s="561">
        <v>5418</v>
      </c>
      <c r="N14" s="561">
        <v>1832</v>
      </c>
      <c r="O14" s="561">
        <v>7868</v>
      </c>
      <c r="P14" s="561">
        <v>268</v>
      </c>
      <c r="Q14" s="561">
        <v>530</v>
      </c>
      <c r="R14" s="561">
        <v>127534</v>
      </c>
      <c r="S14" s="1217">
        <v>17828</v>
      </c>
      <c r="T14" s="1217">
        <v>14492</v>
      </c>
      <c r="U14" s="1217">
        <v>0</v>
      </c>
      <c r="V14" s="561">
        <v>17431</v>
      </c>
      <c r="W14" s="561">
        <v>740</v>
      </c>
      <c r="X14" s="561">
        <v>1961</v>
      </c>
      <c r="Y14" s="561">
        <v>0</v>
      </c>
      <c r="Z14" s="561">
        <v>238</v>
      </c>
      <c r="AA14" s="561">
        <v>0</v>
      </c>
      <c r="AB14" s="561">
        <v>0</v>
      </c>
      <c r="AC14" s="561">
        <v>0</v>
      </c>
      <c r="AD14" s="561">
        <v>3340</v>
      </c>
      <c r="AE14" s="561">
        <v>5743</v>
      </c>
      <c r="AF14" s="561">
        <v>0</v>
      </c>
      <c r="AG14" s="561">
        <v>20000</v>
      </c>
      <c r="AH14" s="561">
        <v>64365</v>
      </c>
      <c r="AI14" s="561">
        <v>96157</v>
      </c>
      <c r="AJ14" s="561">
        <v>6765</v>
      </c>
      <c r="AK14" s="561">
        <v>23000</v>
      </c>
      <c r="AL14" s="561">
        <v>0</v>
      </c>
      <c r="AM14" s="561">
        <v>14</v>
      </c>
      <c r="AN14" s="561">
        <v>1</v>
      </c>
      <c r="AO14" s="561">
        <v>4</v>
      </c>
      <c r="AP14" s="561">
        <v>2</v>
      </c>
      <c r="AQ14" s="561">
        <v>28</v>
      </c>
      <c r="AR14" s="561">
        <v>1</v>
      </c>
    </row>
    <row r="15" spans="1:44" x14ac:dyDescent="0.3">
      <c r="A15" s="1129" t="s">
        <v>2483</v>
      </c>
      <c r="B15" s="1129" t="s">
        <v>2484</v>
      </c>
      <c r="C15" s="1129" t="s">
        <v>2485</v>
      </c>
      <c r="D15" s="1129" t="s">
        <v>384</v>
      </c>
      <c r="E15" s="561">
        <v>-347</v>
      </c>
      <c r="F15" s="561">
        <v>0</v>
      </c>
      <c r="G15" s="561">
        <v>0</v>
      </c>
      <c r="H15" s="561">
        <v>0</v>
      </c>
      <c r="I15" s="561">
        <v>37</v>
      </c>
      <c r="J15" s="561">
        <v>0</v>
      </c>
      <c r="K15" s="561">
        <v>0</v>
      </c>
      <c r="L15" s="561">
        <v>1833</v>
      </c>
      <c r="M15" s="561">
        <v>0</v>
      </c>
      <c r="N15" s="561">
        <v>0</v>
      </c>
      <c r="O15" s="561">
        <v>820</v>
      </c>
      <c r="P15" s="561">
        <v>4</v>
      </c>
      <c r="Q15" s="561">
        <v>773</v>
      </c>
      <c r="R15" s="561">
        <v>19536</v>
      </c>
      <c r="S15" s="1217">
        <v>9889</v>
      </c>
      <c r="T15" s="1217">
        <v>1200</v>
      </c>
      <c r="U15" s="1217">
        <v>0</v>
      </c>
      <c r="V15" s="561">
        <v>12064</v>
      </c>
      <c r="W15" s="561">
        <v>516</v>
      </c>
      <c r="X15" s="561">
        <v>416</v>
      </c>
      <c r="Y15" s="561">
        <v>51</v>
      </c>
      <c r="Z15" s="561">
        <v>378</v>
      </c>
      <c r="AA15" s="561">
        <v>0</v>
      </c>
      <c r="AB15" s="561">
        <v>0</v>
      </c>
      <c r="AC15" s="561">
        <v>0</v>
      </c>
      <c r="AD15" s="561">
        <v>0</v>
      </c>
      <c r="AE15" s="561">
        <v>0</v>
      </c>
      <c r="AF15" s="561">
        <v>0</v>
      </c>
      <c r="AG15" s="561">
        <v>5825</v>
      </c>
      <c r="AH15" s="561">
        <v>0</v>
      </c>
      <c r="AI15" s="561">
        <v>9546</v>
      </c>
      <c r="AJ15" s="561">
        <v>16767</v>
      </c>
      <c r="AK15" s="561">
        <v>12924</v>
      </c>
      <c r="AL15" s="561">
        <v>0</v>
      </c>
      <c r="AM15" s="561">
        <v>39</v>
      </c>
      <c r="AN15" s="561">
        <v>144</v>
      </c>
      <c r="AO15" s="561">
        <v>26</v>
      </c>
      <c r="AP15" s="561">
        <v>1</v>
      </c>
      <c r="AQ15" s="561">
        <v>549</v>
      </c>
      <c r="AR15" s="561">
        <v>1</v>
      </c>
    </row>
    <row r="16" spans="1:44" x14ac:dyDescent="0.3">
      <c r="A16" s="1129" t="s">
        <v>2486</v>
      </c>
      <c r="B16" s="1129" t="s">
        <v>2487</v>
      </c>
      <c r="C16" s="1129" t="s">
        <v>2488</v>
      </c>
      <c r="D16" s="1129" t="s">
        <v>384</v>
      </c>
      <c r="E16" s="561">
        <v>-215</v>
      </c>
      <c r="F16" s="561">
        <v>0</v>
      </c>
      <c r="G16" s="561">
        <v>0</v>
      </c>
      <c r="H16" s="561">
        <v>0</v>
      </c>
      <c r="I16" s="561">
        <v>38</v>
      </c>
      <c r="J16" s="561">
        <v>0</v>
      </c>
      <c r="K16" s="561">
        <v>0</v>
      </c>
      <c r="L16" s="561">
        <v>1361</v>
      </c>
      <c r="M16" s="561">
        <v>0</v>
      </c>
      <c r="N16" s="561">
        <v>0</v>
      </c>
      <c r="O16" s="561">
        <v>0</v>
      </c>
      <c r="P16" s="561">
        <v>717</v>
      </c>
      <c r="Q16" s="561">
        <v>1983</v>
      </c>
      <c r="R16" s="561">
        <v>12236</v>
      </c>
      <c r="S16" s="1217">
        <v>0</v>
      </c>
      <c r="T16" s="1217">
        <v>4042</v>
      </c>
      <c r="U16" s="1217">
        <v>0</v>
      </c>
      <c r="V16" s="561">
        <v>0</v>
      </c>
      <c r="W16" s="561">
        <v>332</v>
      </c>
      <c r="X16" s="561">
        <v>316</v>
      </c>
      <c r="Y16" s="561">
        <v>2104</v>
      </c>
      <c r="Z16" s="561">
        <v>257</v>
      </c>
      <c r="AA16" s="561">
        <v>0</v>
      </c>
      <c r="AB16" s="561">
        <v>0</v>
      </c>
      <c r="AC16" s="561">
        <v>0</v>
      </c>
      <c r="AD16" s="561">
        <v>0</v>
      </c>
      <c r="AE16" s="561">
        <v>0</v>
      </c>
      <c r="AF16" s="561">
        <v>0</v>
      </c>
      <c r="AG16" s="561">
        <v>1500</v>
      </c>
      <c r="AH16" s="561">
        <v>0</v>
      </c>
      <c r="AI16" s="561">
        <v>17714</v>
      </c>
      <c r="AJ16" s="561">
        <v>18341</v>
      </c>
      <c r="AK16" s="561">
        <v>0</v>
      </c>
      <c r="AL16" s="561">
        <v>5849</v>
      </c>
      <c r="AM16" s="561">
        <v>1</v>
      </c>
      <c r="AN16" s="561">
        <v>1</v>
      </c>
      <c r="AO16" s="561">
        <v>1</v>
      </c>
      <c r="AP16" s="561">
        <v>4</v>
      </c>
      <c r="AQ16" s="561">
        <v>26</v>
      </c>
      <c r="AR16" s="561">
        <v>6</v>
      </c>
    </row>
    <row r="17" spans="1:44" x14ac:dyDescent="0.3">
      <c r="A17" s="1129" t="s">
        <v>2489</v>
      </c>
      <c r="B17" s="1129" t="s">
        <v>2490</v>
      </c>
      <c r="C17" s="1129" t="s">
        <v>2491</v>
      </c>
      <c r="D17" s="1129" t="s">
        <v>384</v>
      </c>
      <c r="E17" s="561">
        <v>-494</v>
      </c>
      <c r="F17" s="561">
        <v>0</v>
      </c>
      <c r="G17" s="561">
        <v>0</v>
      </c>
      <c r="H17" s="561">
        <v>0</v>
      </c>
      <c r="I17" s="561">
        <v>35</v>
      </c>
      <c r="J17" s="561">
        <v>0</v>
      </c>
      <c r="K17" s="561">
        <v>0</v>
      </c>
      <c r="L17" s="561">
        <v>462</v>
      </c>
      <c r="M17" s="561">
        <v>0</v>
      </c>
      <c r="N17" s="561">
        <v>0</v>
      </c>
      <c r="O17" s="561">
        <v>453</v>
      </c>
      <c r="P17" s="561">
        <v>1126</v>
      </c>
      <c r="Q17" s="561">
        <v>1758</v>
      </c>
      <c r="R17" s="561">
        <v>9666</v>
      </c>
      <c r="S17" s="1217">
        <v>3549</v>
      </c>
      <c r="T17" s="1217">
        <v>0</v>
      </c>
      <c r="U17" s="1217">
        <v>0</v>
      </c>
      <c r="V17" s="561">
        <v>2614</v>
      </c>
      <c r="W17" s="561">
        <v>278</v>
      </c>
      <c r="X17" s="561">
        <v>211</v>
      </c>
      <c r="Y17" s="561">
        <v>0</v>
      </c>
      <c r="Z17" s="561">
        <v>0</v>
      </c>
      <c r="AA17" s="561">
        <v>0</v>
      </c>
      <c r="AB17" s="561">
        <v>0</v>
      </c>
      <c r="AC17" s="561">
        <v>0</v>
      </c>
      <c r="AD17" s="561">
        <v>0</v>
      </c>
      <c r="AE17" s="561">
        <v>0</v>
      </c>
      <c r="AF17" s="561">
        <v>0</v>
      </c>
      <c r="AG17" s="561">
        <v>3924</v>
      </c>
      <c r="AH17" s="561">
        <v>0</v>
      </c>
      <c r="AI17" s="561">
        <v>6821</v>
      </c>
      <c r="AJ17" s="561">
        <v>1603</v>
      </c>
      <c r="AK17" s="561">
        <v>1172</v>
      </c>
      <c r="AL17" s="561">
        <v>0</v>
      </c>
      <c r="AM17" s="561">
        <v>30</v>
      </c>
      <c r="AN17" s="561">
        <v>2</v>
      </c>
      <c r="AO17" s="561">
        <v>1</v>
      </c>
      <c r="AP17" s="561">
        <v>0</v>
      </c>
      <c r="AQ17" s="561">
        <v>30</v>
      </c>
      <c r="AR17" s="561">
        <v>3</v>
      </c>
    </row>
    <row r="18" spans="1:44" x14ac:dyDescent="0.3">
      <c r="A18" s="1129" t="s">
        <v>2492</v>
      </c>
      <c r="B18" s="1129" t="s">
        <v>2493</v>
      </c>
      <c r="C18" s="1129" t="s">
        <v>2494</v>
      </c>
      <c r="D18" s="1129" t="s">
        <v>385</v>
      </c>
      <c r="E18" s="561">
        <v>0</v>
      </c>
      <c r="F18" s="561">
        <v>0</v>
      </c>
      <c r="G18" s="561">
        <v>75157</v>
      </c>
      <c r="H18" s="561">
        <v>10901</v>
      </c>
      <c r="I18" s="561">
        <v>404</v>
      </c>
      <c r="J18" s="561">
        <v>15455</v>
      </c>
      <c r="K18" s="561">
        <v>6049</v>
      </c>
      <c r="L18" s="561">
        <v>1234</v>
      </c>
      <c r="M18" s="561">
        <v>3193</v>
      </c>
      <c r="N18" s="561">
        <v>401</v>
      </c>
      <c r="O18" s="561">
        <v>0</v>
      </c>
      <c r="P18" s="561">
        <v>913</v>
      </c>
      <c r="Q18" s="561">
        <v>4195</v>
      </c>
      <c r="R18" s="561">
        <v>133585</v>
      </c>
      <c r="S18" s="1217">
        <v>0</v>
      </c>
      <c r="T18" s="1217">
        <v>0</v>
      </c>
      <c r="U18" s="1217">
        <v>-619</v>
      </c>
      <c r="V18" s="561">
        <v>7905</v>
      </c>
      <c r="W18" s="561">
        <v>376</v>
      </c>
      <c r="X18" s="561">
        <v>1315</v>
      </c>
      <c r="Y18" s="561">
        <v>0</v>
      </c>
      <c r="Z18" s="561">
        <v>430</v>
      </c>
      <c r="AA18" s="561">
        <v>0</v>
      </c>
      <c r="AB18" s="561">
        <v>0</v>
      </c>
      <c r="AC18" s="561">
        <v>0</v>
      </c>
      <c r="AD18" s="561">
        <v>1191</v>
      </c>
      <c r="AE18" s="561">
        <v>0</v>
      </c>
      <c r="AF18" s="561">
        <v>608</v>
      </c>
      <c r="AG18" s="561">
        <v>12789</v>
      </c>
      <c r="AH18" s="561">
        <v>0</v>
      </c>
      <c r="AI18" s="561">
        <v>28473</v>
      </c>
      <c r="AJ18" s="561">
        <v>35090</v>
      </c>
      <c r="AK18" s="561">
        <v>8290</v>
      </c>
      <c r="AL18" s="561">
        <v>0</v>
      </c>
      <c r="AM18" s="561">
        <v>36</v>
      </c>
      <c r="AN18" s="561">
        <v>14</v>
      </c>
      <c r="AO18" s="561">
        <v>17</v>
      </c>
      <c r="AP18" s="561">
        <v>0</v>
      </c>
      <c r="AQ18" s="561">
        <v>29</v>
      </c>
      <c r="AR18" s="561">
        <v>0</v>
      </c>
    </row>
    <row r="19" spans="1:44" x14ac:dyDescent="0.3">
      <c r="A19" s="1129" t="s">
        <v>2495</v>
      </c>
      <c r="B19" s="1129" t="s">
        <v>2496</v>
      </c>
      <c r="C19" s="1129" t="s">
        <v>2497</v>
      </c>
      <c r="D19" s="1129" t="s">
        <v>385</v>
      </c>
      <c r="E19" s="561">
        <v>-7826</v>
      </c>
      <c r="F19" s="561">
        <v>0</v>
      </c>
      <c r="G19" s="561">
        <v>114854</v>
      </c>
      <c r="H19" s="561">
        <v>10547</v>
      </c>
      <c r="I19" s="561">
        <v>436</v>
      </c>
      <c r="J19" s="561">
        <v>12581</v>
      </c>
      <c r="K19" s="561">
        <v>4200</v>
      </c>
      <c r="L19" s="561">
        <v>2047</v>
      </c>
      <c r="M19" s="561">
        <v>2716</v>
      </c>
      <c r="N19" s="561">
        <v>477</v>
      </c>
      <c r="O19" s="561">
        <v>0</v>
      </c>
      <c r="P19" s="561">
        <v>550</v>
      </c>
      <c r="Q19" s="561">
        <v>2490</v>
      </c>
      <c r="R19" s="561">
        <v>126577</v>
      </c>
      <c r="S19" s="1217">
        <v>0</v>
      </c>
      <c r="T19" s="1217">
        <v>4218</v>
      </c>
      <c r="U19" s="1217">
        <v>0</v>
      </c>
      <c r="V19" s="561">
        <v>2113</v>
      </c>
      <c r="W19" s="561">
        <v>440</v>
      </c>
      <c r="X19" s="561">
        <v>1504</v>
      </c>
      <c r="Y19" s="561">
        <v>0</v>
      </c>
      <c r="Z19" s="561">
        <v>1440</v>
      </c>
      <c r="AA19" s="561">
        <v>0</v>
      </c>
      <c r="AB19" s="561">
        <v>0</v>
      </c>
      <c r="AC19" s="561">
        <v>0</v>
      </c>
      <c r="AD19" s="561">
        <v>4216</v>
      </c>
      <c r="AE19" s="561">
        <v>1206</v>
      </c>
      <c r="AF19" s="561">
        <v>2295</v>
      </c>
      <c r="AG19" s="561">
        <v>11183</v>
      </c>
      <c r="AH19" s="561">
        <v>0</v>
      </c>
      <c r="AI19" s="561">
        <v>15798</v>
      </c>
      <c r="AJ19" s="561">
        <v>3770</v>
      </c>
      <c r="AK19" s="561">
        <v>118</v>
      </c>
      <c r="AL19" s="561">
        <v>0</v>
      </c>
      <c r="AM19" s="561">
        <v>71</v>
      </c>
      <c r="AN19" s="561">
        <v>748</v>
      </c>
      <c r="AO19" s="561">
        <v>1</v>
      </c>
      <c r="AP19" s="561">
        <v>15</v>
      </c>
      <c r="AQ19" s="561">
        <v>32</v>
      </c>
      <c r="AR19" s="561">
        <v>1</v>
      </c>
    </row>
    <row r="20" spans="1:44" x14ac:dyDescent="0.3">
      <c r="A20" s="1129" t="s">
        <v>2498</v>
      </c>
      <c r="B20" s="1129" t="s">
        <v>2499</v>
      </c>
      <c r="C20" s="1129" t="s">
        <v>2500</v>
      </c>
      <c r="D20" s="1129" t="s">
        <v>2466</v>
      </c>
      <c r="E20" s="561">
        <v>-4633</v>
      </c>
      <c r="F20" s="561">
        <v>0</v>
      </c>
      <c r="G20" s="561">
        <v>0</v>
      </c>
      <c r="H20" s="561">
        <v>0</v>
      </c>
      <c r="I20" s="561">
        <v>0</v>
      </c>
      <c r="J20" s="561">
        <v>0</v>
      </c>
      <c r="K20" s="561">
        <v>0</v>
      </c>
      <c r="L20" s="561">
        <v>0</v>
      </c>
      <c r="M20" s="561">
        <v>0</v>
      </c>
      <c r="N20" s="561">
        <v>0</v>
      </c>
      <c r="O20" s="561">
        <v>0</v>
      </c>
      <c r="P20" s="561">
        <v>0</v>
      </c>
      <c r="Q20" s="561">
        <v>0</v>
      </c>
      <c r="R20" s="561">
        <v>27903</v>
      </c>
      <c r="S20" s="1217">
        <v>0</v>
      </c>
      <c r="T20" s="1217">
        <v>2720</v>
      </c>
      <c r="U20" s="1217">
        <v>0</v>
      </c>
      <c r="V20" s="561">
        <v>422</v>
      </c>
      <c r="W20" s="561">
        <v>0</v>
      </c>
      <c r="X20" s="561">
        <v>260</v>
      </c>
      <c r="Y20" s="561">
        <v>0</v>
      </c>
      <c r="Z20" s="561">
        <v>0</v>
      </c>
      <c r="AA20" s="561">
        <v>0</v>
      </c>
      <c r="AB20" s="561">
        <v>0</v>
      </c>
      <c r="AC20" s="561">
        <v>0</v>
      </c>
      <c r="AD20" s="561">
        <v>0</v>
      </c>
      <c r="AE20" s="561">
        <v>0</v>
      </c>
      <c r="AF20" s="561">
        <v>0</v>
      </c>
      <c r="AG20" s="561">
        <v>2400</v>
      </c>
      <c r="AH20" s="561">
        <v>0</v>
      </c>
      <c r="AI20" s="561">
        <v>3890</v>
      </c>
      <c r="AJ20" s="561">
        <v>6710</v>
      </c>
      <c r="AK20" s="561">
        <v>323</v>
      </c>
      <c r="AL20" s="561">
        <v>0</v>
      </c>
      <c r="AM20" s="561">
        <v>0</v>
      </c>
      <c r="AN20" s="561">
        <v>0</v>
      </c>
      <c r="AO20" s="561">
        <v>0</v>
      </c>
      <c r="AP20" s="561">
        <v>0</v>
      </c>
      <c r="AQ20" s="561">
        <v>0</v>
      </c>
      <c r="AR20" s="561">
        <v>0</v>
      </c>
    </row>
    <row r="21" spans="1:44" x14ac:dyDescent="0.3">
      <c r="A21" s="1129" t="s">
        <v>2501</v>
      </c>
      <c r="B21" s="1129" t="s">
        <v>2502</v>
      </c>
      <c r="C21" s="1129" t="s">
        <v>2503</v>
      </c>
      <c r="D21" s="1129" t="s">
        <v>2466</v>
      </c>
      <c r="E21" s="561">
        <v>0</v>
      </c>
      <c r="F21" s="561">
        <v>-90169</v>
      </c>
      <c r="G21" s="561">
        <v>0</v>
      </c>
      <c r="H21" s="561">
        <v>0</v>
      </c>
      <c r="I21" s="561">
        <v>0</v>
      </c>
      <c r="J21" s="561">
        <v>0</v>
      </c>
      <c r="K21" s="561">
        <v>0</v>
      </c>
      <c r="L21" s="561">
        <v>0</v>
      </c>
      <c r="M21" s="561">
        <v>0</v>
      </c>
      <c r="N21" s="561">
        <v>0</v>
      </c>
      <c r="O21" s="561">
        <v>0</v>
      </c>
      <c r="P21" s="561">
        <v>0</v>
      </c>
      <c r="Q21" s="561">
        <v>0</v>
      </c>
      <c r="R21" s="561">
        <v>66153</v>
      </c>
      <c r="S21" s="1217">
        <v>0</v>
      </c>
      <c r="T21" s="1217">
        <v>0</v>
      </c>
      <c r="U21" s="1217">
        <v>0</v>
      </c>
      <c r="V21" s="561">
        <v>1498</v>
      </c>
      <c r="W21" s="561">
        <v>0</v>
      </c>
      <c r="X21" s="561">
        <v>0</v>
      </c>
      <c r="Y21" s="561">
        <v>0</v>
      </c>
      <c r="Z21" s="561">
        <v>0</v>
      </c>
      <c r="AA21" s="561">
        <v>4736</v>
      </c>
      <c r="AB21" s="561">
        <v>1803</v>
      </c>
      <c r="AC21" s="561">
        <v>2538</v>
      </c>
      <c r="AD21" s="561">
        <v>0</v>
      </c>
      <c r="AE21" s="561">
        <v>0</v>
      </c>
      <c r="AF21" s="561">
        <v>0</v>
      </c>
      <c r="AG21" s="561">
        <v>4475</v>
      </c>
      <c r="AH21" s="561">
        <v>0</v>
      </c>
      <c r="AI21" s="561">
        <v>795</v>
      </c>
      <c r="AJ21" s="561">
        <v>1133</v>
      </c>
      <c r="AK21" s="561">
        <v>4697</v>
      </c>
      <c r="AL21" s="561">
        <v>0</v>
      </c>
      <c r="AM21" s="561">
        <v>0</v>
      </c>
      <c r="AN21" s="561">
        <v>0</v>
      </c>
      <c r="AO21" s="561">
        <v>0</v>
      </c>
      <c r="AP21" s="561">
        <v>0</v>
      </c>
      <c r="AQ21" s="561">
        <v>0</v>
      </c>
      <c r="AR21" s="561">
        <v>0</v>
      </c>
    </row>
    <row r="22" spans="1:44" x14ac:dyDescent="0.3">
      <c r="A22" s="1129" t="s">
        <v>2504</v>
      </c>
      <c r="B22" s="1129" t="s">
        <v>2505</v>
      </c>
      <c r="C22" s="1129" t="s">
        <v>2506</v>
      </c>
      <c r="D22" s="1129" t="s">
        <v>2466</v>
      </c>
      <c r="E22" s="561">
        <v>-5747</v>
      </c>
      <c r="F22" s="561">
        <v>0</v>
      </c>
      <c r="G22" s="561">
        <v>0</v>
      </c>
      <c r="H22" s="561">
        <v>0</v>
      </c>
      <c r="I22" s="561">
        <v>0</v>
      </c>
      <c r="J22" s="561">
        <v>0</v>
      </c>
      <c r="K22" s="561">
        <v>0</v>
      </c>
      <c r="L22" s="561">
        <v>0</v>
      </c>
      <c r="M22" s="561">
        <v>0</v>
      </c>
      <c r="N22" s="561">
        <v>0</v>
      </c>
      <c r="O22" s="561">
        <v>0</v>
      </c>
      <c r="P22" s="561">
        <v>0</v>
      </c>
      <c r="Q22" s="561">
        <v>0</v>
      </c>
      <c r="R22" s="561">
        <v>32156</v>
      </c>
      <c r="S22" s="1217">
        <v>0</v>
      </c>
      <c r="T22" s="1217">
        <v>1728</v>
      </c>
      <c r="U22" s="1217">
        <v>0</v>
      </c>
      <c r="V22" s="561">
        <v>325</v>
      </c>
      <c r="W22" s="561">
        <v>0</v>
      </c>
      <c r="X22" s="561">
        <v>305</v>
      </c>
      <c r="Y22" s="561">
        <v>0</v>
      </c>
      <c r="Z22" s="561">
        <v>0</v>
      </c>
      <c r="AA22" s="561">
        <v>0</v>
      </c>
      <c r="AB22" s="561">
        <v>0</v>
      </c>
      <c r="AC22" s="561">
        <v>0</v>
      </c>
      <c r="AD22" s="561">
        <v>0</v>
      </c>
      <c r="AE22" s="561">
        <v>0</v>
      </c>
      <c r="AF22" s="561">
        <v>0</v>
      </c>
      <c r="AG22" s="561">
        <v>2267</v>
      </c>
      <c r="AH22" s="561">
        <v>0</v>
      </c>
      <c r="AI22" s="561">
        <v>3378</v>
      </c>
      <c r="AJ22" s="561">
        <v>3195</v>
      </c>
      <c r="AK22" s="561">
        <v>1142</v>
      </c>
      <c r="AL22" s="561">
        <v>0</v>
      </c>
      <c r="AM22" s="561">
        <v>0</v>
      </c>
      <c r="AN22" s="561">
        <v>0</v>
      </c>
      <c r="AO22" s="561">
        <v>0</v>
      </c>
      <c r="AP22" s="561">
        <v>0</v>
      </c>
      <c r="AQ22" s="561">
        <v>0</v>
      </c>
      <c r="AR22" s="561">
        <v>0</v>
      </c>
    </row>
    <row r="23" spans="1:44" x14ac:dyDescent="0.3">
      <c r="A23" s="1129" t="s">
        <v>2507</v>
      </c>
      <c r="B23" s="1129" t="s">
        <v>2508</v>
      </c>
      <c r="C23" s="1129" t="s">
        <v>2509</v>
      </c>
      <c r="D23" s="1129" t="s">
        <v>2476</v>
      </c>
      <c r="E23" s="561">
        <v>-4414</v>
      </c>
      <c r="F23" s="561">
        <v>0</v>
      </c>
      <c r="G23" s="561">
        <v>123914</v>
      </c>
      <c r="H23" s="561">
        <v>11756</v>
      </c>
      <c r="I23" s="561">
        <v>37</v>
      </c>
      <c r="J23" s="561">
        <v>20821</v>
      </c>
      <c r="K23" s="561">
        <v>8162</v>
      </c>
      <c r="L23" s="561">
        <v>4658</v>
      </c>
      <c r="M23" s="561">
        <v>4062</v>
      </c>
      <c r="N23" s="561">
        <v>968</v>
      </c>
      <c r="O23" s="561">
        <v>0</v>
      </c>
      <c r="P23" s="561">
        <v>54</v>
      </c>
      <c r="Q23" s="561">
        <v>0</v>
      </c>
      <c r="R23" s="561">
        <v>150619</v>
      </c>
      <c r="S23" s="1217">
        <v>0</v>
      </c>
      <c r="T23" s="1217">
        <v>0</v>
      </c>
      <c r="U23" s="1217">
        <v>0</v>
      </c>
      <c r="V23" s="561">
        <v>7718</v>
      </c>
      <c r="W23" s="561">
        <v>515</v>
      </c>
      <c r="X23" s="561">
        <v>1635</v>
      </c>
      <c r="Y23" s="561">
        <v>0</v>
      </c>
      <c r="Z23" s="561">
        <v>275</v>
      </c>
      <c r="AA23" s="561">
        <v>0</v>
      </c>
      <c r="AB23" s="561">
        <v>0</v>
      </c>
      <c r="AC23" s="561">
        <v>0</v>
      </c>
      <c r="AD23" s="561">
        <v>2486</v>
      </c>
      <c r="AE23" s="561">
        <v>0</v>
      </c>
      <c r="AF23" s="561">
        <v>858</v>
      </c>
      <c r="AG23" s="561">
        <v>14360</v>
      </c>
      <c r="AH23" s="561">
        <v>0</v>
      </c>
      <c r="AI23" s="561">
        <v>9409</v>
      </c>
      <c r="AJ23" s="561">
        <v>2724</v>
      </c>
      <c r="AK23" s="561">
        <v>19441</v>
      </c>
      <c r="AL23" s="561">
        <v>0</v>
      </c>
      <c r="AM23" s="561">
        <v>1</v>
      </c>
      <c r="AN23" s="561">
        <v>70</v>
      </c>
      <c r="AO23" s="561">
        <v>26</v>
      </c>
      <c r="AP23" s="561">
        <v>67</v>
      </c>
      <c r="AQ23" s="561">
        <v>145</v>
      </c>
      <c r="AR23" s="561">
        <v>0</v>
      </c>
    </row>
    <row r="24" spans="1:44" x14ac:dyDescent="0.3">
      <c r="A24" s="1129" t="s">
        <v>2510</v>
      </c>
      <c r="B24" s="1129" t="s">
        <v>2511</v>
      </c>
      <c r="C24" s="1129" t="s">
        <v>2512</v>
      </c>
      <c r="D24" s="1129" t="s">
        <v>379</v>
      </c>
      <c r="E24" s="561">
        <v>0</v>
      </c>
      <c r="F24" s="561">
        <v>0</v>
      </c>
      <c r="G24" s="561">
        <v>835336</v>
      </c>
      <c r="H24" s="561">
        <v>108514</v>
      </c>
      <c r="I24" s="561">
        <v>4238</v>
      </c>
      <c r="J24" s="561">
        <v>163926</v>
      </c>
      <c r="K24" s="561">
        <v>83788</v>
      </c>
      <c r="L24" s="561">
        <v>13707</v>
      </c>
      <c r="M24" s="561">
        <v>24501</v>
      </c>
      <c r="N24" s="561">
        <v>11869</v>
      </c>
      <c r="O24" s="561">
        <v>39272</v>
      </c>
      <c r="P24" s="561">
        <v>8460</v>
      </c>
      <c r="Q24" s="561">
        <v>2299</v>
      </c>
      <c r="R24" s="561">
        <v>528925</v>
      </c>
      <c r="S24" s="1217" t="s">
        <v>2453</v>
      </c>
      <c r="T24" s="1217">
        <v>26759</v>
      </c>
      <c r="U24" s="1217">
        <v>0</v>
      </c>
      <c r="V24" s="561">
        <v>120553</v>
      </c>
      <c r="W24" s="561">
        <v>5465</v>
      </c>
      <c r="X24" s="561">
        <v>10401</v>
      </c>
      <c r="Y24" s="561">
        <v>0</v>
      </c>
      <c r="Z24" s="561">
        <v>3191</v>
      </c>
      <c r="AA24" s="561">
        <v>0</v>
      </c>
      <c r="AB24" s="561">
        <v>0</v>
      </c>
      <c r="AC24" s="561">
        <v>0</v>
      </c>
      <c r="AD24" s="561">
        <v>0</v>
      </c>
      <c r="AE24" s="561">
        <v>0</v>
      </c>
      <c r="AF24" s="561">
        <v>0</v>
      </c>
      <c r="AG24" s="561">
        <v>0</v>
      </c>
      <c r="AH24" s="561">
        <v>0</v>
      </c>
      <c r="AI24" s="561">
        <v>0</v>
      </c>
      <c r="AJ24" s="561">
        <v>0</v>
      </c>
      <c r="AK24" s="561">
        <v>0</v>
      </c>
      <c r="AL24" s="561">
        <v>0</v>
      </c>
      <c r="AM24" s="561">
        <v>769</v>
      </c>
      <c r="AN24" s="561">
        <v>627</v>
      </c>
      <c r="AO24" s="561">
        <v>537</v>
      </c>
      <c r="AP24" s="561">
        <v>1</v>
      </c>
      <c r="AQ24" s="561">
        <v>2171</v>
      </c>
      <c r="AR24" s="561">
        <v>1091</v>
      </c>
    </row>
    <row r="25" spans="1:44" x14ac:dyDescent="0.3">
      <c r="A25" s="1129" t="s">
        <v>2513</v>
      </c>
      <c r="B25" s="1129" t="s">
        <v>2514</v>
      </c>
      <c r="C25" s="1129" t="s">
        <v>2515</v>
      </c>
      <c r="D25" s="1129" t="s">
        <v>384</v>
      </c>
      <c r="E25" s="561">
        <v>-96</v>
      </c>
      <c r="F25" s="561">
        <v>0</v>
      </c>
      <c r="G25" s="561">
        <v>0</v>
      </c>
      <c r="H25" s="561">
        <v>0</v>
      </c>
      <c r="I25" s="561">
        <v>36</v>
      </c>
      <c r="J25" s="561">
        <v>0</v>
      </c>
      <c r="K25" s="561">
        <v>0</v>
      </c>
      <c r="L25" s="561">
        <v>258</v>
      </c>
      <c r="M25" s="561">
        <v>0</v>
      </c>
      <c r="N25" s="561">
        <v>0</v>
      </c>
      <c r="O25" s="561">
        <v>0</v>
      </c>
      <c r="P25" s="561">
        <v>426</v>
      </c>
      <c r="Q25" s="561">
        <v>4979</v>
      </c>
      <c r="R25" s="561">
        <v>11733</v>
      </c>
      <c r="S25" s="1217">
        <v>0</v>
      </c>
      <c r="T25" s="1217">
        <v>0</v>
      </c>
      <c r="U25" s="1217">
        <v>0</v>
      </c>
      <c r="V25" s="561">
        <v>95</v>
      </c>
      <c r="W25" s="561">
        <v>126</v>
      </c>
      <c r="X25" s="561">
        <v>104</v>
      </c>
      <c r="Y25" s="561">
        <v>1573</v>
      </c>
      <c r="Z25" s="561">
        <v>0</v>
      </c>
      <c r="AA25" s="561">
        <v>0</v>
      </c>
      <c r="AB25" s="561">
        <v>0</v>
      </c>
      <c r="AC25" s="561">
        <v>0</v>
      </c>
      <c r="AD25" s="561">
        <v>0</v>
      </c>
      <c r="AE25" s="561">
        <v>0</v>
      </c>
      <c r="AF25" s="561">
        <v>0</v>
      </c>
      <c r="AG25" s="561">
        <v>6564</v>
      </c>
      <c r="AH25" s="561">
        <v>0</v>
      </c>
      <c r="AI25" s="561">
        <v>2791</v>
      </c>
      <c r="AJ25" s="561">
        <v>1694</v>
      </c>
      <c r="AK25" s="561">
        <v>5692</v>
      </c>
      <c r="AL25" s="561">
        <v>0</v>
      </c>
      <c r="AM25" s="561">
        <v>22</v>
      </c>
      <c r="AN25" s="561">
        <v>42</v>
      </c>
      <c r="AO25" s="561">
        <v>0</v>
      </c>
      <c r="AP25" s="561">
        <v>7</v>
      </c>
      <c r="AQ25" s="561">
        <v>13</v>
      </c>
      <c r="AR25" s="561">
        <v>3</v>
      </c>
    </row>
    <row r="26" spans="1:44" x14ac:dyDescent="0.3">
      <c r="A26" s="1129" t="s">
        <v>2516</v>
      </c>
      <c r="B26" s="1129" t="s">
        <v>2517</v>
      </c>
      <c r="C26" s="1129" t="s">
        <v>2518</v>
      </c>
      <c r="D26" s="1129" t="s">
        <v>385</v>
      </c>
      <c r="E26" s="561">
        <v>-17085</v>
      </c>
      <c r="F26" s="561">
        <v>0</v>
      </c>
      <c r="G26" s="561">
        <v>138447</v>
      </c>
      <c r="H26" s="561">
        <v>17256</v>
      </c>
      <c r="I26" s="561">
        <v>496</v>
      </c>
      <c r="J26" s="561">
        <v>21634</v>
      </c>
      <c r="K26" s="561">
        <v>10300</v>
      </c>
      <c r="L26" s="561">
        <v>794</v>
      </c>
      <c r="M26" s="561">
        <v>3344</v>
      </c>
      <c r="N26" s="561">
        <v>1128</v>
      </c>
      <c r="O26" s="561">
        <v>5280</v>
      </c>
      <c r="P26" s="561">
        <v>818</v>
      </c>
      <c r="Q26" s="561">
        <v>192</v>
      </c>
      <c r="R26" s="561">
        <v>73882</v>
      </c>
      <c r="S26" s="1217">
        <v>0</v>
      </c>
      <c r="T26" s="1217">
        <v>9074</v>
      </c>
      <c r="U26" s="1217">
        <v>0</v>
      </c>
      <c r="V26" s="561">
        <v>4130</v>
      </c>
      <c r="W26" s="561">
        <v>440</v>
      </c>
      <c r="X26" s="561">
        <v>1348</v>
      </c>
      <c r="Y26" s="561">
        <v>0</v>
      </c>
      <c r="Z26" s="561">
        <v>362</v>
      </c>
      <c r="AA26" s="561">
        <v>0</v>
      </c>
      <c r="AB26" s="561">
        <v>0</v>
      </c>
      <c r="AC26" s="561">
        <v>0</v>
      </c>
      <c r="AD26" s="561">
        <v>7162</v>
      </c>
      <c r="AE26" s="561">
        <v>4381</v>
      </c>
      <c r="AF26" s="561">
        <v>1644</v>
      </c>
      <c r="AG26" s="561">
        <v>7000</v>
      </c>
      <c r="AH26" s="561">
        <v>3041</v>
      </c>
      <c r="AI26" s="561">
        <v>23099</v>
      </c>
      <c r="AJ26" s="561">
        <v>650</v>
      </c>
      <c r="AK26" s="561">
        <v>32716</v>
      </c>
      <c r="AL26" s="561">
        <v>386</v>
      </c>
      <c r="AM26" s="561">
        <v>1</v>
      </c>
      <c r="AN26" s="561">
        <v>0</v>
      </c>
      <c r="AO26" s="561">
        <v>3</v>
      </c>
      <c r="AP26" s="561">
        <v>6</v>
      </c>
      <c r="AQ26" s="561">
        <v>28</v>
      </c>
      <c r="AR26" s="561">
        <v>11</v>
      </c>
    </row>
    <row r="27" spans="1:44" x14ac:dyDescent="0.3">
      <c r="A27" s="1129" t="s">
        <v>2519</v>
      </c>
      <c r="B27" s="1129" t="s">
        <v>2520</v>
      </c>
      <c r="C27" s="1129" t="s">
        <v>2521</v>
      </c>
      <c r="D27" s="1129" t="s">
        <v>385</v>
      </c>
      <c r="E27" s="561">
        <v>-19073</v>
      </c>
      <c r="F27" s="561">
        <v>0</v>
      </c>
      <c r="G27" s="561">
        <v>60361</v>
      </c>
      <c r="H27" s="561">
        <v>21476</v>
      </c>
      <c r="I27" s="561">
        <v>535</v>
      </c>
      <c r="J27" s="561">
        <v>25977</v>
      </c>
      <c r="K27" s="561">
        <v>13416</v>
      </c>
      <c r="L27" s="561">
        <v>1544</v>
      </c>
      <c r="M27" s="561">
        <v>3954</v>
      </c>
      <c r="N27" s="561">
        <v>1809</v>
      </c>
      <c r="O27" s="561">
        <v>5829</v>
      </c>
      <c r="P27" s="561">
        <v>400</v>
      </c>
      <c r="Q27" s="561">
        <v>0</v>
      </c>
      <c r="R27" s="561">
        <v>80509</v>
      </c>
      <c r="S27" s="1217">
        <v>1840</v>
      </c>
      <c r="T27" s="1217">
        <v>700</v>
      </c>
      <c r="U27" s="1217">
        <v>0</v>
      </c>
      <c r="V27" s="561">
        <v>5356</v>
      </c>
      <c r="W27" s="561">
        <v>634</v>
      </c>
      <c r="X27" s="561">
        <v>1650</v>
      </c>
      <c r="Y27" s="561">
        <v>0</v>
      </c>
      <c r="Z27" s="561">
        <v>443</v>
      </c>
      <c r="AA27" s="561">
        <v>0</v>
      </c>
      <c r="AB27" s="561">
        <v>0</v>
      </c>
      <c r="AC27" s="561">
        <v>0</v>
      </c>
      <c r="AD27" s="561">
        <v>3416</v>
      </c>
      <c r="AE27" s="561">
        <v>3908</v>
      </c>
      <c r="AF27" s="561">
        <v>0</v>
      </c>
      <c r="AG27" s="561">
        <v>7104</v>
      </c>
      <c r="AH27" s="561">
        <v>7814</v>
      </c>
      <c r="AI27" s="561">
        <v>6248</v>
      </c>
      <c r="AJ27" s="561">
        <v>11533</v>
      </c>
      <c r="AK27" s="561">
        <v>6047</v>
      </c>
      <c r="AL27" s="561">
        <v>0</v>
      </c>
      <c r="AM27" s="561">
        <v>56</v>
      </c>
      <c r="AN27" s="561">
        <v>10</v>
      </c>
      <c r="AO27" s="561">
        <v>42</v>
      </c>
      <c r="AP27" s="561">
        <v>0</v>
      </c>
      <c r="AQ27" s="561">
        <v>30</v>
      </c>
      <c r="AR27" s="561">
        <v>1</v>
      </c>
    </row>
    <row r="28" spans="1:44" x14ac:dyDescent="0.3">
      <c r="A28" s="1129" t="s">
        <v>2522</v>
      </c>
      <c r="B28" s="1129" t="s">
        <v>2523</v>
      </c>
      <c r="C28" s="1129" t="s">
        <v>2524</v>
      </c>
      <c r="D28" s="1129" t="s">
        <v>384</v>
      </c>
      <c r="E28" s="561">
        <v>-1629</v>
      </c>
      <c r="F28" s="561">
        <v>0</v>
      </c>
      <c r="G28" s="561">
        <v>0</v>
      </c>
      <c r="H28" s="561">
        <v>0</v>
      </c>
      <c r="I28" s="561">
        <v>35</v>
      </c>
      <c r="J28" s="561">
        <v>0</v>
      </c>
      <c r="K28" s="561">
        <v>0</v>
      </c>
      <c r="L28" s="561">
        <v>309</v>
      </c>
      <c r="M28" s="561">
        <v>0</v>
      </c>
      <c r="N28" s="561">
        <v>0</v>
      </c>
      <c r="O28" s="561">
        <v>328</v>
      </c>
      <c r="P28" s="561">
        <v>282</v>
      </c>
      <c r="Q28" s="561">
        <v>5197</v>
      </c>
      <c r="R28" s="561">
        <v>10079</v>
      </c>
      <c r="S28" s="1217">
        <v>2007</v>
      </c>
      <c r="T28" s="1217">
        <v>1016</v>
      </c>
      <c r="U28" s="1217">
        <v>0</v>
      </c>
      <c r="V28" s="561">
        <v>2656</v>
      </c>
      <c r="W28" s="561">
        <v>217</v>
      </c>
      <c r="X28" s="561">
        <v>124</v>
      </c>
      <c r="Y28" s="561">
        <v>0</v>
      </c>
      <c r="Z28" s="561">
        <v>0</v>
      </c>
      <c r="AA28" s="561">
        <v>0</v>
      </c>
      <c r="AB28" s="561">
        <v>0</v>
      </c>
      <c r="AC28" s="561">
        <v>0</v>
      </c>
      <c r="AD28" s="561">
        <v>0</v>
      </c>
      <c r="AE28" s="561">
        <v>0</v>
      </c>
      <c r="AF28" s="561">
        <v>0</v>
      </c>
      <c r="AG28" s="561">
        <v>2001</v>
      </c>
      <c r="AH28" s="561">
        <v>0</v>
      </c>
      <c r="AI28" s="561">
        <v>23014</v>
      </c>
      <c r="AJ28" s="561">
        <v>0</v>
      </c>
      <c r="AK28" s="561">
        <v>0</v>
      </c>
      <c r="AL28" s="561">
        <v>0</v>
      </c>
      <c r="AM28" s="561">
        <v>0</v>
      </c>
      <c r="AN28" s="561">
        <v>0</v>
      </c>
      <c r="AO28" s="561">
        <v>0</v>
      </c>
      <c r="AP28" s="561">
        <v>0</v>
      </c>
      <c r="AQ28" s="561">
        <v>8</v>
      </c>
      <c r="AR28" s="561">
        <v>10</v>
      </c>
    </row>
    <row r="29" spans="1:44" x14ac:dyDescent="0.3">
      <c r="A29" s="1129" t="s">
        <v>2525</v>
      </c>
      <c r="B29" s="1129" t="s">
        <v>2526</v>
      </c>
      <c r="C29" s="1129" t="s">
        <v>2527</v>
      </c>
      <c r="D29" s="1129" t="s">
        <v>379</v>
      </c>
      <c r="E29" s="561">
        <v>0</v>
      </c>
      <c r="F29" s="561">
        <v>0</v>
      </c>
      <c r="G29" s="561">
        <v>263967</v>
      </c>
      <c r="H29" s="561">
        <v>0</v>
      </c>
      <c r="I29" s="561">
        <v>887</v>
      </c>
      <c r="J29" s="561">
        <v>37775</v>
      </c>
      <c r="K29" s="561">
        <v>18351</v>
      </c>
      <c r="L29" s="561">
        <v>1915</v>
      </c>
      <c r="M29" s="561">
        <v>6082</v>
      </c>
      <c r="N29" s="561">
        <v>2268</v>
      </c>
      <c r="O29" s="561">
        <v>9196</v>
      </c>
      <c r="P29" s="561">
        <v>739</v>
      </c>
      <c r="Q29" s="561">
        <v>566</v>
      </c>
      <c r="R29" s="561">
        <v>150549</v>
      </c>
      <c r="S29" s="1217">
        <v>0</v>
      </c>
      <c r="T29" s="1217">
        <v>1709</v>
      </c>
      <c r="U29" s="1217">
        <v>0</v>
      </c>
      <c r="V29" s="561">
        <v>3025</v>
      </c>
      <c r="W29" s="561">
        <v>875</v>
      </c>
      <c r="X29" s="561">
        <v>2065</v>
      </c>
      <c r="Y29" s="561">
        <v>0</v>
      </c>
      <c r="Z29" s="561">
        <v>261</v>
      </c>
      <c r="AA29" s="561">
        <v>0</v>
      </c>
      <c r="AB29" s="561">
        <v>0</v>
      </c>
      <c r="AC29" s="561">
        <v>0</v>
      </c>
      <c r="AD29" s="561">
        <v>19051</v>
      </c>
      <c r="AE29" s="561">
        <v>0</v>
      </c>
      <c r="AF29" s="561">
        <v>0</v>
      </c>
      <c r="AG29" s="561">
        <v>10660</v>
      </c>
      <c r="AH29" s="561">
        <v>50018</v>
      </c>
      <c r="AI29" s="561">
        <v>67577</v>
      </c>
      <c r="AJ29" s="561">
        <v>27716</v>
      </c>
      <c r="AK29" s="561">
        <v>2367</v>
      </c>
      <c r="AL29" s="561">
        <v>0</v>
      </c>
      <c r="AM29" s="561">
        <v>23</v>
      </c>
      <c r="AN29" s="561">
        <v>4</v>
      </c>
      <c r="AO29" s="561">
        <v>9</v>
      </c>
      <c r="AP29" s="561">
        <v>54</v>
      </c>
      <c r="AQ29" s="561">
        <v>100</v>
      </c>
      <c r="AR29" s="561">
        <v>27</v>
      </c>
    </row>
    <row r="30" spans="1:44" x14ac:dyDescent="0.3">
      <c r="A30" s="1129" t="s">
        <v>2528</v>
      </c>
      <c r="B30" s="1129" t="s">
        <v>2529</v>
      </c>
      <c r="C30" s="1129" t="s">
        <v>2530</v>
      </c>
      <c r="D30" s="1129" t="s">
        <v>384</v>
      </c>
      <c r="E30" s="561">
        <v>-482</v>
      </c>
      <c r="F30" s="561">
        <v>0</v>
      </c>
      <c r="G30" s="561">
        <v>0</v>
      </c>
      <c r="H30" s="561">
        <v>0</v>
      </c>
      <c r="I30" s="561">
        <v>34</v>
      </c>
      <c r="J30" s="561">
        <v>0</v>
      </c>
      <c r="K30" s="561">
        <v>0</v>
      </c>
      <c r="L30" s="561">
        <v>348</v>
      </c>
      <c r="M30" s="561">
        <v>0</v>
      </c>
      <c r="N30" s="561">
        <v>0</v>
      </c>
      <c r="O30" s="561">
        <v>306</v>
      </c>
      <c r="P30" s="561">
        <v>174</v>
      </c>
      <c r="Q30" s="561">
        <v>630</v>
      </c>
      <c r="R30" s="561">
        <v>5937</v>
      </c>
      <c r="S30" s="1217">
        <v>0</v>
      </c>
      <c r="T30" s="1217">
        <v>636</v>
      </c>
      <c r="U30" s="1217">
        <v>0</v>
      </c>
      <c r="V30" s="561">
        <v>24</v>
      </c>
      <c r="W30" s="561">
        <v>168</v>
      </c>
      <c r="X30" s="561">
        <v>120</v>
      </c>
      <c r="Y30" s="561">
        <v>255</v>
      </c>
      <c r="Z30" s="561">
        <v>0</v>
      </c>
      <c r="AA30" s="561">
        <v>0</v>
      </c>
      <c r="AB30" s="561">
        <v>0</v>
      </c>
      <c r="AC30" s="561">
        <v>0</v>
      </c>
      <c r="AD30" s="561">
        <v>0</v>
      </c>
      <c r="AE30" s="561">
        <v>0</v>
      </c>
      <c r="AF30" s="561">
        <v>0</v>
      </c>
      <c r="AG30" s="561">
        <v>2000</v>
      </c>
      <c r="AH30" s="561">
        <v>0</v>
      </c>
      <c r="AI30" s="561">
        <v>9089</v>
      </c>
      <c r="AJ30" s="561">
        <v>505</v>
      </c>
      <c r="AK30" s="561">
        <v>3573</v>
      </c>
      <c r="AL30" s="561">
        <v>0</v>
      </c>
      <c r="AM30" s="561">
        <v>2</v>
      </c>
      <c r="AN30" s="561">
        <v>1</v>
      </c>
      <c r="AO30" s="561">
        <v>2</v>
      </c>
      <c r="AP30" s="561">
        <v>1</v>
      </c>
      <c r="AQ30" s="561">
        <v>6</v>
      </c>
      <c r="AR30" s="561">
        <v>0</v>
      </c>
    </row>
    <row r="31" spans="1:44" x14ac:dyDescent="0.3">
      <c r="A31" s="1129" t="s">
        <v>2531</v>
      </c>
      <c r="B31" s="1129" t="s">
        <v>2532</v>
      </c>
      <c r="C31" s="1129" t="s">
        <v>2533</v>
      </c>
      <c r="D31" s="1129" t="s">
        <v>385</v>
      </c>
      <c r="E31" s="561">
        <v>-4416</v>
      </c>
      <c r="F31" s="561">
        <v>0</v>
      </c>
      <c r="G31" s="561">
        <v>134611</v>
      </c>
      <c r="H31" s="561">
        <v>23261</v>
      </c>
      <c r="I31" s="561">
        <v>974</v>
      </c>
      <c r="J31" s="561">
        <v>39573</v>
      </c>
      <c r="K31" s="561">
        <v>16579</v>
      </c>
      <c r="L31" s="561">
        <v>4212</v>
      </c>
      <c r="M31" s="561">
        <v>7656</v>
      </c>
      <c r="N31" s="561">
        <v>1046</v>
      </c>
      <c r="O31" s="561">
        <v>0</v>
      </c>
      <c r="P31" s="561">
        <v>246</v>
      </c>
      <c r="Q31" s="561">
        <v>1491</v>
      </c>
      <c r="R31" s="561">
        <v>282724</v>
      </c>
      <c r="S31" s="1217">
        <v>10446</v>
      </c>
      <c r="T31" s="1217">
        <v>2642</v>
      </c>
      <c r="U31" s="1217">
        <v>-9005</v>
      </c>
      <c r="V31" s="561">
        <v>6087</v>
      </c>
      <c r="W31" s="561">
        <v>1070</v>
      </c>
      <c r="X31" s="561">
        <v>3152</v>
      </c>
      <c r="Y31" s="561">
        <v>0</v>
      </c>
      <c r="Z31" s="561">
        <v>4878</v>
      </c>
      <c r="AA31" s="561">
        <v>0</v>
      </c>
      <c r="AB31" s="561">
        <v>0</v>
      </c>
      <c r="AC31" s="561">
        <v>0</v>
      </c>
      <c r="AD31" s="561">
        <v>4913</v>
      </c>
      <c r="AE31" s="561">
        <v>0</v>
      </c>
      <c r="AF31" s="561">
        <v>480</v>
      </c>
      <c r="AG31" s="561">
        <v>26114</v>
      </c>
      <c r="AH31" s="561">
        <v>5676</v>
      </c>
      <c r="AI31" s="561">
        <v>27017</v>
      </c>
      <c r="AJ31" s="561">
        <v>5115</v>
      </c>
      <c r="AK31" s="561">
        <v>2202</v>
      </c>
      <c r="AL31" s="561">
        <v>0</v>
      </c>
      <c r="AM31" s="561" t="s">
        <v>2534</v>
      </c>
      <c r="AN31" s="561" t="s">
        <v>2534</v>
      </c>
      <c r="AO31" s="561" t="s">
        <v>2534</v>
      </c>
      <c r="AP31" s="561" t="s">
        <v>2534</v>
      </c>
      <c r="AQ31" s="561" t="s">
        <v>2534</v>
      </c>
      <c r="AR31" s="561" t="s">
        <v>2534</v>
      </c>
    </row>
    <row r="32" spans="1:44" x14ac:dyDescent="0.3">
      <c r="A32" s="1129" t="s">
        <v>2535</v>
      </c>
      <c r="B32" s="1129" t="s">
        <v>2536</v>
      </c>
      <c r="C32" s="1129" t="s">
        <v>2537</v>
      </c>
      <c r="D32" s="1129" t="s">
        <v>385</v>
      </c>
      <c r="E32" s="561">
        <v>-2360</v>
      </c>
      <c r="F32" s="561">
        <v>0</v>
      </c>
      <c r="G32" s="561">
        <v>86631</v>
      </c>
      <c r="H32" s="561">
        <v>4986</v>
      </c>
      <c r="I32" s="561">
        <v>265</v>
      </c>
      <c r="J32" s="561">
        <v>7384</v>
      </c>
      <c r="K32" s="561">
        <v>1881</v>
      </c>
      <c r="L32" s="561">
        <v>1089</v>
      </c>
      <c r="M32" s="561">
        <v>1583</v>
      </c>
      <c r="N32" s="561">
        <v>271</v>
      </c>
      <c r="O32" s="561">
        <v>0</v>
      </c>
      <c r="P32" s="561">
        <v>1091</v>
      </c>
      <c r="Q32" s="561">
        <v>4486</v>
      </c>
      <c r="R32" s="561">
        <v>90152</v>
      </c>
      <c r="S32" s="1217">
        <v>0</v>
      </c>
      <c r="T32" s="1217">
        <v>0</v>
      </c>
      <c r="U32" s="1217">
        <v>0</v>
      </c>
      <c r="V32" s="561">
        <v>1467</v>
      </c>
      <c r="W32" s="561">
        <v>227</v>
      </c>
      <c r="X32" s="561">
        <v>992</v>
      </c>
      <c r="Y32" s="561">
        <v>0</v>
      </c>
      <c r="Z32" s="561">
        <v>374</v>
      </c>
      <c r="AA32" s="561">
        <v>0</v>
      </c>
      <c r="AB32" s="561">
        <v>0</v>
      </c>
      <c r="AC32" s="561">
        <v>0</v>
      </c>
      <c r="AD32" s="561">
        <v>1302</v>
      </c>
      <c r="AE32" s="561">
        <v>0</v>
      </c>
      <c r="AF32" s="561">
        <v>1296</v>
      </c>
      <c r="AG32" s="561">
        <v>9852</v>
      </c>
      <c r="AH32" s="561">
        <v>0</v>
      </c>
      <c r="AI32" s="561">
        <v>47581</v>
      </c>
      <c r="AJ32" s="561">
        <v>10393</v>
      </c>
      <c r="AK32" s="561">
        <v>2000</v>
      </c>
      <c r="AL32" s="561">
        <v>0</v>
      </c>
      <c r="AM32" s="561">
        <v>5</v>
      </c>
      <c r="AN32" s="561">
        <v>5</v>
      </c>
      <c r="AO32" s="561">
        <v>0</v>
      </c>
      <c r="AP32" s="561">
        <v>18</v>
      </c>
      <c r="AQ32" s="561">
        <v>133</v>
      </c>
      <c r="AR32" s="561">
        <v>0</v>
      </c>
    </row>
    <row r="33" spans="1:44" x14ac:dyDescent="0.3">
      <c r="A33" s="1129" t="s">
        <v>2538</v>
      </c>
      <c r="B33" s="1129" t="s">
        <v>2539</v>
      </c>
      <c r="C33" s="1129" t="s">
        <v>2540</v>
      </c>
      <c r="D33" s="1129" t="s">
        <v>379</v>
      </c>
      <c r="E33" s="561">
        <v>-44007</v>
      </c>
      <c r="F33" s="561">
        <v>0</v>
      </c>
      <c r="G33" s="561">
        <v>317709</v>
      </c>
      <c r="H33" s="561">
        <v>49336</v>
      </c>
      <c r="I33" s="561">
        <v>1794</v>
      </c>
      <c r="J33" s="561">
        <v>61507</v>
      </c>
      <c r="K33" s="561">
        <v>28853</v>
      </c>
      <c r="L33" s="561">
        <v>3056</v>
      </c>
      <c r="M33" s="561">
        <v>10050</v>
      </c>
      <c r="N33" s="561">
        <v>4463</v>
      </c>
      <c r="O33" s="561">
        <v>16840</v>
      </c>
      <c r="P33" s="561">
        <v>1387</v>
      </c>
      <c r="Q33" s="561">
        <v>3915</v>
      </c>
      <c r="R33" s="561">
        <v>280447</v>
      </c>
      <c r="S33" s="1217">
        <v>1439.64</v>
      </c>
      <c r="T33" s="1217">
        <v>0</v>
      </c>
      <c r="U33" s="1217">
        <v>-66000</v>
      </c>
      <c r="V33" s="561">
        <v>24074</v>
      </c>
      <c r="W33" s="561">
        <v>1408</v>
      </c>
      <c r="X33" s="561">
        <v>4737</v>
      </c>
      <c r="Y33" s="561">
        <v>0</v>
      </c>
      <c r="Z33" s="561">
        <v>753</v>
      </c>
      <c r="AA33" s="561">
        <v>0</v>
      </c>
      <c r="AB33" s="561">
        <v>0</v>
      </c>
      <c r="AC33" s="561">
        <v>0</v>
      </c>
      <c r="AD33" s="561">
        <v>47097</v>
      </c>
      <c r="AE33" s="561">
        <v>0</v>
      </c>
      <c r="AF33" s="561">
        <v>1406</v>
      </c>
      <c r="AG33" s="561">
        <v>39642</v>
      </c>
      <c r="AH33" s="561">
        <v>1560</v>
      </c>
      <c r="AI33" s="561">
        <v>45839</v>
      </c>
      <c r="AJ33" s="561">
        <v>5604</v>
      </c>
      <c r="AK33" s="561">
        <v>0</v>
      </c>
      <c r="AL33" s="561">
        <v>0</v>
      </c>
      <c r="AM33" s="561">
        <v>95</v>
      </c>
      <c r="AN33" s="561">
        <v>17</v>
      </c>
      <c r="AO33" s="561">
        <v>16</v>
      </c>
      <c r="AP33" s="561">
        <v>187</v>
      </c>
      <c r="AQ33" s="561">
        <v>119</v>
      </c>
      <c r="AR33" s="561">
        <v>8</v>
      </c>
    </row>
    <row r="34" spans="1:44" x14ac:dyDescent="0.3">
      <c r="A34" s="1129" t="s">
        <v>2541</v>
      </c>
      <c r="B34" s="1129" t="s">
        <v>2542</v>
      </c>
      <c r="C34" s="1129" t="s">
        <v>2543</v>
      </c>
      <c r="D34" s="1129" t="s">
        <v>384</v>
      </c>
      <c r="E34" s="561">
        <v>-208</v>
      </c>
      <c r="F34" s="561">
        <v>0</v>
      </c>
      <c r="G34" s="561">
        <v>0</v>
      </c>
      <c r="H34" s="561">
        <v>0</v>
      </c>
      <c r="I34" s="561">
        <v>35</v>
      </c>
      <c r="J34" s="561">
        <v>0</v>
      </c>
      <c r="K34" s="561">
        <v>0</v>
      </c>
      <c r="L34" s="561">
        <v>871</v>
      </c>
      <c r="M34" s="561">
        <v>0</v>
      </c>
      <c r="N34" s="561">
        <v>0</v>
      </c>
      <c r="O34" s="561">
        <v>0</v>
      </c>
      <c r="P34" s="561">
        <v>1550</v>
      </c>
      <c r="Q34" s="561">
        <v>3550</v>
      </c>
      <c r="R34" s="561">
        <v>15515</v>
      </c>
      <c r="S34" s="1217">
        <v>0</v>
      </c>
      <c r="T34" s="1217">
        <v>7559</v>
      </c>
      <c r="U34" s="1217">
        <v>0</v>
      </c>
      <c r="V34" s="561">
        <v>127</v>
      </c>
      <c r="W34" s="561">
        <v>309</v>
      </c>
      <c r="X34" s="561">
        <v>177</v>
      </c>
      <c r="Y34" s="561">
        <v>115</v>
      </c>
      <c r="Z34" s="561">
        <v>0</v>
      </c>
      <c r="AA34" s="561">
        <v>0</v>
      </c>
      <c r="AB34" s="561">
        <v>0</v>
      </c>
      <c r="AC34" s="561">
        <v>0</v>
      </c>
      <c r="AD34" s="561">
        <v>0</v>
      </c>
      <c r="AE34" s="561">
        <v>0</v>
      </c>
      <c r="AF34" s="561">
        <v>0</v>
      </c>
      <c r="AG34" s="561">
        <v>8437</v>
      </c>
      <c r="AH34" s="561">
        <v>0</v>
      </c>
      <c r="AI34" s="561">
        <v>22399</v>
      </c>
      <c r="AJ34" s="561">
        <v>2134</v>
      </c>
      <c r="AK34" s="561">
        <v>3744</v>
      </c>
      <c r="AL34" s="561">
        <v>0</v>
      </c>
      <c r="AM34" s="561">
        <v>8</v>
      </c>
      <c r="AN34" s="561">
        <v>6</v>
      </c>
      <c r="AO34" s="561">
        <v>1</v>
      </c>
      <c r="AP34" s="561">
        <v>0</v>
      </c>
      <c r="AQ34" s="561">
        <v>32</v>
      </c>
      <c r="AR34" s="561">
        <v>0</v>
      </c>
    </row>
    <row r="35" spans="1:44" x14ac:dyDescent="0.3">
      <c r="A35" s="1129" t="s">
        <v>2544</v>
      </c>
      <c r="B35" s="1129" t="s">
        <v>2545</v>
      </c>
      <c r="C35" s="1129" t="s">
        <v>2546</v>
      </c>
      <c r="D35" s="1129" t="s">
        <v>384</v>
      </c>
      <c r="E35" s="561">
        <v>-1041</v>
      </c>
      <c r="F35" s="561">
        <v>0</v>
      </c>
      <c r="G35" s="561">
        <v>0</v>
      </c>
      <c r="H35" s="561">
        <v>0</v>
      </c>
      <c r="I35" s="561">
        <v>34</v>
      </c>
      <c r="J35" s="561">
        <v>0</v>
      </c>
      <c r="K35" s="561">
        <v>0</v>
      </c>
      <c r="L35" s="561">
        <v>789</v>
      </c>
      <c r="M35" s="561">
        <v>0</v>
      </c>
      <c r="N35" s="561">
        <v>0</v>
      </c>
      <c r="O35" s="561">
        <v>411</v>
      </c>
      <c r="P35" s="561">
        <v>1139</v>
      </c>
      <c r="Q35" s="561">
        <v>5849</v>
      </c>
      <c r="R35" s="561">
        <v>11594</v>
      </c>
      <c r="S35" s="1217">
        <v>0</v>
      </c>
      <c r="T35" s="1217">
        <v>937</v>
      </c>
      <c r="U35" s="1217">
        <v>0</v>
      </c>
      <c r="V35" s="561">
        <v>0</v>
      </c>
      <c r="W35" s="561">
        <v>288</v>
      </c>
      <c r="X35" s="561">
        <v>164</v>
      </c>
      <c r="Y35" s="561">
        <v>232</v>
      </c>
      <c r="Z35" s="561">
        <v>249</v>
      </c>
      <c r="AA35" s="561">
        <v>0</v>
      </c>
      <c r="AB35" s="561">
        <v>0</v>
      </c>
      <c r="AC35" s="561">
        <v>0</v>
      </c>
      <c r="AD35" s="561">
        <v>0</v>
      </c>
      <c r="AE35" s="561">
        <v>0</v>
      </c>
      <c r="AF35" s="561">
        <v>0</v>
      </c>
      <c r="AG35" s="561">
        <v>2500</v>
      </c>
      <c r="AH35" s="561">
        <v>0</v>
      </c>
      <c r="AI35" s="561">
        <v>13222</v>
      </c>
      <c r="AJ35" s="561">
        <v>3730</v>
      </c>
      <c r="AK35" s="561">
        <v>0</v>
      </c>
      <c r="AL35" s="561">
        <v>0</v>
      </c>
      <c r="AM35" s="561">
        <v>2</v>
      </c>
      <c r="AN35" s="561">
        <v>15</v>
      </c>
      <c r="AO35" s="561">
        <v>0</v>
      </c>
      <c r="AP35" s="561">
        <v>0</v>
      </c>
      <c r="AQ35" s="561">
        <v>61</v>
      </c>
      <c r="AR35" s="561">
        <v>0</v>
      </c>
    </row>
    <row r="36" spans="1:44" x14ac:dyDescent="0.3">
      <c r="A36" s="1129" t="s">
        <v>2547</v>
      </c>
      <c r="B36" s="1129" t="s">
        <v>2548</v>
      </c>
      <c r="C36" s="1129" t="s">
        <v>2549</v>
      </c>
      <c r="D36" s="1129" t="s">
        <v>2476</v>
      </c>
      <c r="E36" s="561">
        <v>-31461</v>
      </c>
      <c r="F36" s="561">
        <v>0</v>
      </c>
      <c r="G36" s="561">
        <v>255251</v>
      </c>
      <c r="H36" s="561">
        <v>26038</v>
      </c>
      <c r="I36" s="561">
        <v>39</v>
      </c>
      <c r="J36" s="561">
        <v>34373</v>
      </c>
      <c r="K36" s="561">
        <v>16463</v>
      </c>
      <c r="L36" s="561">
        <v>12856</v>
      </c>
      <c r="M36" s="561">
        <v>5876</v>
      </c>
      <c r="N36" s="561">
        <v>1401</v>
      </c>
      <c r="O36" s="561">
        <v>5822</v>
      </c>
      <c r="P36" s="561">
        <v>1899</v>
      </c>
      <c r="Q36" s="561">
        <v>0</v>
      </c>
      <c r="R36" s="561">
        <v>178433</v>
      </c>
      <c r="S36" s="1217">
        <v>6249</v>
      </c>
      <c r="T36" s="1217">
        <v>0</v>
      </c>
      <c r="U36" s="1217">
        <v>0</v>
      </c>
      <c r="V36" s="561">
        <v>29721</v>
      </c>
      <c r="W36" s="561">
        <v>1436</v>
      </c>
      <c r="X36" s="561">
        <v>2907</v>
      </c>
      <c r="Y36" s="561">
        <v>0</v>
      </c>
      <c r="Z36" s="561">
        <v>1630</v>
      </c>
      <c r="AA36" s="561">
        <v>0</v>
      </c>
      <c r="AB36" s="561">
        <v>0</v>
      </c>
      <c r="AC36" s="561">
        <v>0</v>
      </c>
      <c r="AD36" s="561">
        <v>13060</v>
      </c>
      <c r="AE36" s="561">
        <v>1924</v>
      </c>
      <c r="AF36" s="561">
        <v>9989</v>
      </c>
      <c r="AG36" s="561">
        <v>20294</v>
      </c>
      <c r="AH36" s="561">
        <v>9878</v>
      </c>
      <c r="AI36" s="561">
        <v>89191</v>
      </c>
      <c r="AJ36" s="561">
        <v>10566</v>
      </c>
      <c r="AK36" s="561">
        <v>11103</v>
      </c>
      <c r="AL36" s="561">
        <v>8831</v>
      </c>
      <c r="AM36" s="561">
        <v>139</v>
      </c>
      <c r="AN36" s="561">
        <v>1007</v>
      </c>
      <c r="AO36" s="561">
        <v>3</v>
      </c>
      <c r="AP36" s="561">
        <v>805</v>
      </c>
      <c r="AQ36" s="561">
        <v>339</v>
      </c>
      <c r="AR36" s="561">
        <v>30</v>
      </c>
    </row>
    <row r="37" spans="1:44" x14ac:dyDescent="0.3">
      <c r="A37" s="1129" t="s">
        <v>2550</v>
      </c>
      <c r="B37" s="1129" t="s">
        <v>2551</v>
      </c>
      <c r="C37" s="1129" t="s">
        <v>2552</v>
      </c>
      <c r="D37" s="1129" t="s">
        <v>384</v>
      </c>
      <c r="E37" s="561">
        <v>-104</v>
      </c>
      <c r="F37" s="561">
        <v>0</v>
      </c>
      <c r="G37" s="561">
        <v>0</v>
      </c>
      <c r="H37" s="561">
        <v>0</v>
      </c>
      <c r="I37" s="561">
        <v>38</v>
      </c>
      <c r="J37" s="561">
        <v>0</v>
      </c>
      <c r="K37" s="561">
        <v>0</v>
      </c>
      <c r="L37" s="561">
        <v>345</v>
      </c>
      <c r="M37" s="561">
        <v>0</v>
      </c>
      <c r="N37" s="561">
        <v>0</v>
      </c>
      <c r="O37" s="561">
        <v>0</v>
      </c>
      <c r="P37" s="561">
        <v>283</v>
      </c>
      <c r="Q37" s="561">
        <v>766</v>
      </c>
      <c r="R37" s="561">
        <v>8255</v>
      </c>
      <c r="S37" s="1217">
        <v>6253.11</v>
      </c>
      <c r="T37" s="1217">
        <v>0</v>
      </c>
      <c r="U37" s="1217">
        <v>0</v>
      </c>
      <c r="V37" s="561">
        <v>4559</v>
      </c>
      <c r="W37" s="561">
        <v>113</v>
      </c>
      <c r="X37" s="561">
        <v>79</v>
      </c>
      <c r="Y37" s="561">
        <v>579</v>
      </c>
      <c r="Z37" s="561">
        <v>0</v>
      </c>
      <c r="AA37" s="561">
        <v>0</v>
      </c>
      <c r="AB37" s="561">
        <v>0</v>
      </c>
      <c r="AC37" s="561">
        <v>0</v>
      </c>
      <c r="AD37" s="561">
        <v>0</v>
      </c>
      <c r="AE37" s="561">
        <v>0</v>
      </c>
      <c r="AF37" s="561">
        <v>0</v>
      </c>
      <c r="AG37" s="561">
        <v>0</v>
      </c>
      <c r="AH37" s="561">
        <v>0</v>
      </c>
      <c r="AI37" s="561">
        <v>0</v>
      </c>
      <c r="AJ37" s="561">
        <v>0</v>
      </c>
      <c r="AK37" s="561">
        <v>0</v>
      </c>
      <c r="AL37" s="561">
        <v>0</v>
      </c>
      <c r="AM37" s="561">
        <v>6</v>
      </c>
      <c r="AN37" s="561">
        <v>12</v>
      </c>
      <c r="AO37" s="561">
        <v>0</v>
      </c>
      <c r="AP37" s="561">
        <v>0</v>
      </c>
      <c r="AQ37" s="561">
        <v>18</v>
      </c>
      <c r="AR37" s="561">
        <v>4</v>
      </c>
    </row>
    <row r="38" spans="1:44" x14ac:dyDescent="0.3">
      <c r="A38" s="1129" t="s">
        <v>2553</v>
      </c>
      <c r="B38" s="1129" t="s">
        <v>2554</v>
      </c>
      <c r="C38" s="1129" t="s">
        <v>2555</v>
      </c>
      <c r="D38" s="1129" t="s">
        <v>385</v>
      </c>
      <c r="E38" s="561">
        <v>-8789</v>
      </c>
      <c r="F38" s="561">
        <v>0</v>
      </c>
      <c r="G38" s="561">
        <v>229375</v>
      </c>
      <c r="H38" s="561">
        <v>24298</v>
      </c>
      <c r="I38" s="561">
        <v>787</v>
      </c>
      <c r="J38" s="561">
        <v>27581</v>
      </c>
      <c r="K38" s="561">
        <v>11669</v>
      </c>
      <c r="L38" s="561">
        <v>10907</v>
      </c>
      <c r="M38" s="561">
        <v>5375</v>
      </c>
      <c r="N38" s="561">
        <v>717</v>
      </c>
      <c r="O38" s="561">
        <v>0</v>
      </c>
      <c r="P38" s="561">
        <v>1014</v>
      </c>
      <c r="Q38" s="561">
        <v>60</v>
      </c>
      <c r="R38" s="561">
        <v>197684</v>
      </c>
      <c r="S38" s="1217">
        <v>9577</v>
      </c>
      <c r="T38" s="1217">
        <v>1907</v>
      </c>
      <c r="U38" s="1217">
        <v>-5000</v>
      </c>
      <c r="V38" s="561">
        <v>11057</v>
      </c>
      <c r="W38" s="561">
        <v>1025</v>
      </c>
      <c r="X38" s="561">
        <v>2573</v>
      </c>
      <c r="Y38" s="561">
        <v>0</v>
      </c>
      <c r="Z38" s="561">
        <v>3738</v>
      </c>
      <c r="AA38" s="561">
        <v>0</v>
      </c>
      <c r="AB38" s="561">
        <v>0</v>
      </c>
      <c r="AC38" s="561">
        <v>0</v>
      </c>
      <c r="AD38" s="561">
        <v>281</v>
      </c>
      <c r="AE38" s="561">
        <v>1275</v>
      </c>
      <c r="AF38" s="561">
        <v>0</v>
      </c>
      <c r="AG38" s="561">
        <v>15454</v>
      </c>
      <c r="AH38" s="561">
        <v>8600</v>
      </c>
      <c r="AI38" s="561">
        <v>12179</v>
      </c>
      <c r="AJ38" s="561">
        <v>0</v>
      </c>
      <c r="AK38" s="561">
        <v>0</v>
      </c>
      <c r="AL38" s="561">
        <v>0</v>
      </c>
      <c r="AM38" s="561">
        <v>288</v>
      </c>
      <c r="AN38" s="561">
        <v>354</v>
      </c>
      <c r="AO38" s="561">
        <v>4</v>
      </c>
      <c r="AP38" s="561">
        <v>610</v>
      </c>
      <c r="AQ38" s="561">
        <v>161</v>
      </c>
      <c r="AR38" s="561">
        <v>446</v>
      </c>
    </row>
    <row r="39" spans="1:44" x14ac:dyDescent="0.3">
      <c r="A39" s="1129" t="s">
        <v>2556</v>
      </c>
      <c r="B39" s="1129" t="s">
        <v>2557</v>
      </c>
      <c r="C39" s="1129" t="s">
        <v>2558</v>
      </c>
      <c r="D39" s="1129" t="s">
        <v>385</v>
      </c>
      <c r="E39" s="561">
        <v>0</v>
      </c>
      <c r="F39" s="561">
        <v>0</v>
      </c>
      <c r="G39" s="561">
        <v>241188</v>
      </c>
      <c r="H39" s="561">
        <v>38581</v>
      </c>
      <c r="I39" s="561">
        <v>1402</v>
      </c>
      <c r="J39" s="561">
        <v>48824</v>
      </c>
      <c r="K39" s="561">
        <v>20992</v>
      </c>
      <c r="L39" s="561">
        <v>6584</v>
      </c>
      <c r="M39" s="561">
        <v>8874</v>
      </c>
      <c r="N39" s="561">
        <v>2717</v>
      </c>
      <c r="O39" s="561">
        <v>11457</v>
      </c>
      <c r="P39" s="561">
        <v>1056</v>
      </c>
      <c r="Q39" s="561">
        <v>0</v>
      </c>
      <c r="R39" s="561">
        <v>299257</v>
      </c>
      <c r="S39" s="1217">
        <v>54998</v>
      </c>
      <c r="T39" s="1217">
        <v>657</v>
      </c>
      <c r="U39" s="1217">
        <v>-577</v>
      </c>
      <c r="V39" s="561">
        <v>21224</v>
      </c>
      <c r="W39" s="561">
        <v>1467</v>
      </c>
      <c r="X39" s="561">
        <v>4150</v>
      </c>
      <c r="Y39" s="561">
        <v>0</v>
      </c>
      <c r="Z39" s="561">
        <v>5850</v>
      </c>
      <c r="AA39" s="561">
        <v>0</v>
      </c>
      <c r="AB39" s="561">
        <v>0</v>
      </c>
      <c r="AC39" s="561">
        <v>0</v>
      </c>
      <c r="AD39" s="561">
        <v>-2529</v>
      </c>
      <c r="AE39" s="561">
        <v>0</v>
      </c>
      <c r="AF39" s="561">
        <v>4633</v>
      </c>
      <c r="AG39" s="561">
        <v>24570</v>
      </c>
      <c r="AH39" s="561">
        <v>89</v>
      </c>
      <c r="AI39" s="561">
        <v>55572</v>
      </c>
      <c r="AJ39" s="561">
        <v>10781</v>
      </c>
      <c r="AK39" s="561">
        <v>9618</v>
      </c>
      <c r="AL39" s="561">
        <v>85155</v>
      </c>
      <c r="AM39" s="561">
        <v>402</v>
      </c>
      <c r="AN39" s="561">
        <v>421</v>
      </c>
      <c r="AO39" s="561">
        <v>306</v>
      </c>
      <c r="AP39" s="561">
        <v>109</v>
      </c>
      <c r="AQ39" s="561">
        <v>447</v>
      </c>
      <c r="AR39" s="561">
        <v>36</v>
      </c>
    </row>
    <row r="40" spans="1:44" x14ac:dyDescent="0.3">
      <c r="A40" s="1129" t="s">
        <v>2559</v>
      </c>
      <c r="B40" s="1129" t="s">
        <v>2560</v>
      </c>
      <c r="C40" s="1129" t="s">
        <v>2561</v>
      </c>
      <c r="D40" s="1129" t="s">
        <v>384</v>
      </c>
      <c r="E40" s="561">
        <v>-211</v>
      </c>
      <c r="F40" s="561">
        <v>0</v>
      </c>
      <c r="G40" s="561">
        <v>0</v>
      </c>
      <c r="H40" s="561">
        <v>0</v>
      </c>
      <c r="I40" s="561">
        <v>36</v>
      </c>
      <c r="J40" s="561">
        <v>0</v>
      </c>
      <c r="K40" s="561">
        <v>0</v>
      </c>
      <c r="L40" s="561">
        <v>546</v>
      </c>
      <c r="M40" s="561">
        <v>0</v>
      </c>
      <c r="N40" s="561">
        <v>0</v>
      </c>
      <c r="O40" s="561">
        <v>0</v>
      </c>
      <c r="P40" s="561">
        <v>822</v>
      </c>
      <c r="Q40" s="561">
        <v>5295</v>
      </c>
      <c r="R40" s="561">
        <v>12074</v>
      </c>
      <c r="S40" s="1217">
        <v>0</v>
      </c>
      <c r="T40" s="1217">
        <v>0</v>
      </c>
      <c r="U40" s="1217">
        <v>0</v>
      </c>
      <c r="V40" s="561">
        <v>0</v>
      </c>
      <c r="W40" s="561">
        <v>182</v>
      </c>
      <c r="X40" s="561">
        <v>107</v>
      </c>
      <c r="Y40" s="561">
        <v>546</v>
      </c>
      <c r="Z40" s="561">
        <v>0</v>
      </c>
      <c r="AA40" s="561">
        <v>0</v>
      </c>
      <c r="AB40" s="561">
        <v>0</v>
      </c>
      <c r="AC40" s="561">
        <v>0</v>
      </c>
      <c r="AD40" s="561">
        <v>0</v>
      </c>
      <c r="AE40" s="561">
        <v>0</v>
      </c>
      <c r="AF40" s="561">
        <v>0</v>
      </c>
      <c r="AG40" s="561">
        <v>8056</v>
      </c>
      <c r="AH40" s="561">
        <v>0</v>
      </c>
      <c r="AI40" s="561">
        <v>13581</v>
      </c>
      <c r="AJ40" s="561">
        <v>100</v>
      </c>
      <c r="AK40" s="561">
        <v>255</v>
      </c>
      <c r="AL40" s="561">
        <v>0</v>
      </c>
      <c r="AM40" s="561">
        <v>1</v>
      </c>
      <c r="AN40" s="561">
        <v>29</v>
      </c>
      <c r="AO40" s="561">
        <v>5</v>
      </c>
      <c r="AP40" s="561">
        <v>0</v>
      </c>
      <c r="AQ40" s="561">
        <v>39</v>
      </c>
      <c r="AR40" s="561">
        <v>2</v>
      </c>
    </row>
    <row r="41" spans="1:44" x14ac:dyDescent="0.3">
      <c r="A41" s="1129" t="s">
        <v>2562</v>
      </c>
      <c r="B41" s="1129" t="s">
        <v>2563</v>
      </c>
      <c r="C41" s="1129" t="s">
        <v>2564</v>
      </c>
      <c r="D41" s="1129" t="s">
        <v>2476</v>
      </c>
      <c r="E41" s="561">
        <v>-395</v>
      </c>
      <c r="F41" s="561">
        <v>0</v>
      </c>
      <c r="G41" s="561">
        <v>144663</v>
      </c>
      <c r="H41" s="561">
        <v>17403</v>
      </c>
      <c r="I41" s="561">
        <v>38</v>
      </c>
      <c r="J41" s="561">
        <v>24534</v>
      </c>
      <c r="K41" s="561">
        <v>9537</v>
      </c>
      <c r="L41" s="561">
        <v>6499</v>
      </c>
      <c r="M41" s="561">
        <v>5208</v>
      </c>
      <c r="N41" s="561">
        <v>882</v>
      </c>
      <c r="O41" s="561">
        <v>0</v>
      </c>
      <c r="P41" s="561">
        <v>10</v>
      </c>
      <c r="Q41" s="561">
        <v>0</v>
      </c>
      <c r="R41" s="561">
        <v>213396</v>
      </c>
      <c r="S41" s="1217">
        <v>0</v>
      </c>
      <c r="T41" s="1217">
        <v>2530</v>
      </c>
      <c r="U41" s="1217">
        <v>0</v>
      </c>
      <c r="V41" s="561">
        <v>0</v>
      </c>
      <c r="W41" s="561">
        <v>772</v>
      </c>
      <c r="X41" s="561">
        <v>2363</v>
      </c>
      <c r="Y41" s="561">
        <v>0</v>
      </c>
      <c r="Z41" s="561">
        <v>476</v>
      </c>
      <c r="AA41" s="561">
        <v>0</v>
      </c>
      <c r="AB41" s="561">
        <v>0</v>
      </c>
      <c r="AC41" s="561">
        <v>0</v>
      </c>
      <c r="AD41" s="561">
        <v>2111</v>
      </c>
      <c r="AE41" s="561">
        <v>0</v>
      </c>
      <c r="AF41" s="561">
        <v>2727</v>
      </c>
      <c r="AG41" s="561">
        <v>48027</v>
      </c>
      <c r="AH41" s="561">
        <v>0</v>
      </c>
      <c r="AI41" s="561">
        <v>22726</v>
      </c>
      <c r="AJ41" s="561">
        <v>22059</v>
      </c>
      <c r="AK41" s="561">
        <v>0</v>
      </c>
      <c r="AL41" s="561">
        <v>104462</v>
      </c>
      <c r="AM41" s="561">
        <v>1</v>
      </c>
      <c r="AN41" s="561">
        <v>1623</v>
      </c>
      <c r="AO41" s="561">
        <v>0</v>
      </c>
      <c r="AP41" s="561">
        <v>9</v>
      </c>
      <c r="AQ41" s="561">
        <v>176</v>
      </c>
      <c r="AR41" s="561">
        <v>0</v>
      </c>
    </row>
    <row r="42" spans="1:44" x14ac:dyDescent="0.3">
      <c r="A42" s="1129" t="s">
        <v>2565</v>
      </c>
      <c r="B42" s="1129" t="s">
        <v>2566</v>
      </c>
      <c r="C42" s="1129" t="s">
        <v>2567</v>
      </c>
      <c r="D42" s="1129" t="s">
        <v>384</v>
      </c>
      <c r="E42" s="561">
        <v>-119</v>
      </c>
      <c r="F42" s="561">
        <v>0</v>
      </c>
      <c r="G42" s="561">
        <v>0</v>
      </c>
      <c r="H42" s="561">
        <v>0</v>
      </c>
      <c r="I42" s="561">
        <v>36</v>
      </c>
      <c r="J42" s="561">
        <v>0</v>
      </c>
      <c r="K42" s="561">
        <v>0</v>
      </c>
      <c r="L42" s="561">
        <v>349</v>
      </c>
      <c r="M42" s="561">
        <v>0</v>
      </c>
      <c r="N42" s="561">
        <v>0</v>
      </c>
      <c r="O42" s="561">
        <v>0</v>
      </c>
      <c r="P42" s="561">
        <v>24</v>
      </c>
      <c r="Q42" s="561">
        <v>1374</v>
      </c>
      <c r="R42" s="561">
        <v>11251</v>
      </c>
      <c r="S42" s="1217">
        <v>0</v>
      </c>
      <c r="T42" s="1217">
        <v>0</v>
      </c>
      <c r="U42" s="1217">
        <v>0</v>
      </c>
      <c r="V42" s="561">
        <v>0</v>
      </c>
      <c r="W42" s="561">
        <v>147</v>
      </c>
      <c r="X42" s="561">
        <v>116</v>
      </c>
      <c r="Y42" s="561">
        <v>1111</v>
      </c>
      <c r="Z42" s="561">
        <v>0</v>
      </c>
      <c r="AA42" s="561">
        <v>0</v>
      </c>
      <c r="AB42" s="561">
        <v>0</v>
      </c>
      <c r="AC42" s="561">
        <v>0</v>
      </c>
      <c r="AD42" s="561">
        <v>0</v>
      </c>
      <c r="AE42" s="561">
        <v>0</v>
      </c>
      <c r="AF42" s="561">
        <v>0</v>
      </c>
      <c r="AG42" s="561">
        <v>0</v>
      </c>
      <c r="AH42" s="561">
        <v>0</v>
      </c>
      <c r="AI42" s="561">
        <v>0</v>
      </c>
      <c r="AJ42" s="561">
        <v>0</v>
      </c>
      <c r="AK42" s="561">
        <v>0</v>
      </c>
      <c r="AL42" s="561">
        <v>0</v>
      </c>
      <c r="AM42" s="561">
        <v>14</v>
      </c>
      <c r="AN42" s="561">
        <v>1</v>
      </c>
      <c r="AO42" s="561">
        <v>7</v>
      </c>
      <c r="AP42" s="561">
        <v>0</v>
      </c>
      <c r="AQ42" s="561">
        <v>17</v>
      </c>
      <c r="AR42" s="561">
        <v>2</v>
      </c>
    </row>
    <row r="43" spans="1:44" x14ac:dyDescent="0.3">
      <c r="A43" s="1129" t="s">
        <v>2568</v>
      </c>
      <c r="B43" s="1129" t="s">
        <v>2569</v>
      </c>
      <c r="C43" s="1129" t="s">
        <v>2570</v>
      </c>
      <c r="D43" s="1129" t="s">
        <v>384</v>
      </c>
      <c r="E43" s="561">
        <v>-200</v>
      </c>
      <c r="F43" s="561">
        <v>0</v>
      </c>
      <c r="G43" s="561">
        <v>0</v>
      </c>
      <c r="H43" s="561">
        <v>0</v>
      </c>
      <c r="I43" s="561">
        <v>37</v>
      </c>
      <c r="J43" s="561">
        <v>0</v>
      </c>
      <c r="K43" s="561">
        <v>0</v>
      </c>
      <c r="L43" s="561">
        <v>1319</v>
      </c>
      <c r="M43" s="561">
        <v>0</v>
      </c>
      <c r="N43" s="561">
        <v>0</v>
      </c>
      <c r="O43" s="561">
        <v>115</v>
      </c>
      <c r="P43" s="561">
        <v>170</v>
      </c>
      <c r="Q43" s="561">
        <v>0</v>
      </c>
      <c r="R43" s="561">
        <v>5980</v>
      </c>
      <c r="S43" s="1217">
        <v>0</v>
      </c>
      <c r="T43" s="1217">
        <v>793</v>
      </c>
      <c r="U43" s="1217">
        <v>0</v>
      </c>
      <c r="V43" s="561">
        <v>0</v>
      </c>
      <c r="W43" s="561">
        <v>222</v>
      </c>
      <c r="X43" s="561">
        <v>129</v>
      </c>
      <c r="Y43" s="561">
        <v>142</v>
      </c>
      <c r="Z43" s="561">
        <v>136</v>
      </c>
      <c r="AA43" s="561">
        <v>0</v>
      </c>
      <c r="AB43" s="561">
        <v>0</v>
      </c>
      <c r="AC43" s="561">
        <v>0</v>
      </c>
      <c r="AD43" s="561">
        <v>0</v>
      </c>
      <c r="AE43" s="561">
        <v>0</v>
      </c>
      <c r="AF43" s="561">
        <v>0</v>
      </c>
      <c r="AG43" s="561">
        <v>5030</v>
      </c>
      <c r="AH43" s="561">
        <v>0</v>
      </c>
      <c r="AI43" s="561">
        <v>25904</v>
      </c>
      <c r="AJ43" s="561">
        <v>6151</v>
      </c>
      <c r="AK43" s="561">
        <v>0</v>
      </c>
      <c r="AL43" s="561">
        <v>0</v>
      </c>
      <c r="AM43" s="561">
        <v>0</v>
      </c>
      <c r="AN43" s="561">
        <v>93</v>
      </c>
      <c r="AO43" s="561">
        <v>61</v>
      </c>
      <c r="AP43" s="561">
        <v>0</v>
      </c>
      <c r="AQ43" s="561">
        <v>0</v>
      </c>
      <c r="AR43" s="561">
        <v>0</v>
      </c>
    </row>
    <row r="44" spans="1:44" x14ac:dyDescent="0.3">
      <c r="A44" s="1129" t="s">
        <v>2571</v>
      </c>
      <c r="B44" s="1129" t="s">
        <v>2572</v>
      </c>
      <c r="C44" s="1129" t="s">
        <v>2573</v>
      </c>
      <c r="D44" s="1129" t="s">
        <v>384</v>
      </c>
      <c r="E44" s="561">
        <v>-168</v>
      </c>
      <c r="F44" s="561">
        <v>0</v>
      </c>
      <c r="G44" s="561">
        <v>0</v>
      </c>
      <c r="H44" s="561">
        <v>0</v>
      </c>
      <c r="I44" s="561">
        <v>36</v>
      </c>
      <c r="J44" s="561">
        <v>0</v>
      </c>
      <c r="K44" s="561">
        <v>0</v>
      </c>
      <c r="L44" s="561">
        <v>388</v>
      </c>
      <c r="M44" s="561">
        <v>0</v>
      </c>
      <c r="N44" s="561">
        <v>0</v>
      </c>
      <c r="O44" s="561">
        <v>55</v>
      </c>
      <c r="P44" s="561">
        <v>360</v>
      </c>
      <c r="Q44" s="561">
        <v>1234</v>
      </c>
      <c r="R44" s="561">
        <v>8122</v>
      </c>
      <c r="S44" s="1217">
        <v>2004</v>
      </c>
      <c r="T44" s="1217">
        <v>0</v>
      </c>
      <c r="U44" s="1217">
        <v>0</v>
      </c>
      <c r="V44" s="561">
        <v>3808</v>
      </c>
      <c r="W44" s="561">
        <v>213</v>
      </c>
      <c r="X44" s="561">
        <v>152</v>
      </c>
      <c r="Y44" s="561">
        <v>8</v>
      </c>
      <c r="Z44" s="561">
        <v>0</v>
      </c>
      <c r="AA44" s="561">
        <v>0</v>
      </c>
      <c r="AB44" s="561">
        <v>0</v>
      </c>
      <c r="AC44" s="561">
        <v>0</v>
      </c>
      <c r="AD44" s="561">
        <v>0</v>
      </c>
      <c r="AE44" s="561">
        <v>0</v>
      </c>
      <c r="AF44" s="561">
        <v>0</v>
      </c>
      <c r="AG44" s="561">
        <v>6060</v>
      </c>
      <c r="AH44" s="561">
        <v>0</v>
      </c>
      <c r="AI44" s="561">
        <v>2778</v>
      </c>
      <c r="AJ44" s="561">
        <v>0</v>
      </c>
      <c r="AK44" s="561">
        <v>0</v>
      </c>
      <c r="AL44" s="561">
        <v>0</v>
      </c>
      <c r="AM44" s="561">
        <v>0</v>
      </c>
      <c r="AN44" s="561">
        <v>0</v>
      </c>
      <c r="AO44" s="561">
        <v>0</v>
      </c>
      <c r="AP44" s="561">
        <v>0</v>
      </c>
      <c r="AQ44" s="561">
        <v>9</v>
      </c>
      <c r="AR44" s="561">
        <v>1</v>
      </c>
    </row>
    <row r="45" spans="1:44" x14ac:dyDescent="0.3">
      <c r="A45" s="1129" t="s">
        <v>2574</v>
      </c>
      <c r="B45" s="1129" t="s">
        <v>2575</v>
      </c>
      <c r="C45" s="1129" t="s">
        <v>2576</v>
      </c>
      <c r="D45" s="1129" t="s">
        <v>2466</v>
      </c>
      <c r="E45" s="561">
        <v>-4111</v>
      </c>
      <c r="F45" s="561">
        <v>0</v>
      </c>
      <c r="G45" s="561">
        <v>0</v>
      </c>
      <c r="H45" s="561">
        <v>0</v>
      </c>
      <c r="I45" s="561">
        <v>0</v>
      </c>
      <c r="J45" s="561">
        <v>0</v>
      </c>
      <c r="K45" s="561">
        <v>0</v>
      </c>
      <c r="L45" s="561">
        <v>0</v>
      </c>
      <c r="M45" s="561">
        <v>0</v>
      </c>
      <c r="N45" s="561">
        <v>0</v>
      </c>
      <c r="O45" s="561">
        <v>0</v>
      </c>
      <c r="P45" s="561">
        <v>0</v>
      </c>
      <c r="Q45" s="561">
        <v>0</v>
      </c>
      <c r="R45" s="561">
        <v>28117</v>
      </c>
      <c r="S45" s="1217">
        <v>0</v>
      </c>
      <c r="T45" s="1217">
        <v>2661</v>
      </c>
      <c r="U45" s="1217">
        <v>0</v>
      </c>
      <c r="V45" s="561">
        <v>214</v>
      </c>
      <c r="W45" s="561">
        <v>0</v>
      </c>
      <c r="X45" s="561">
        <v>253</v>
      </c>
      <c r="Y45" s="561">
        <v>0</v>
      </c>
      <c r="Z45" s="561">
        <v>0</v>
      </c>
      <c r="AA45" s="561">
        <v>0</v>
      </c>
      <c r="AB45" s="561">
        <v>0</v>
      </c>
      <c r="AC45" s="561">
        <v>0</v>
      </c>
      <c r="AD45" s="561">
        <v>0</v>
      </c>
      <c r="AE45" s="561">
        <v>0</v>
      </c>
      <c r="AF45" s="561">
        <v>0</v>
      </c>
      <c r="AG45" s="561">
        <v>1625</v>
      </c>
      <c r="AH45" s="561">
        <v>0</v>
      </c>
      <c r="AI45" s="561">
        <v>8345</v>
      </c>
      <c r="AJ45" s="561">
        <v>0</v>
      </c>
      <c r="AK45" s="561">
        <v>0</v>
      </c>
      <c r="AL45" s="561">
        <v>0</v>
      </c>
      <c r="AM45" s="561">
        <v>0</v>
      </c>
      <c r="AN45" s="561">
        <v>0</v>
      </c>
      <c r="AO45" s="561">
        <v>0</v>
      </c>
      <c r="AP45" s="561">
        <v>0</v>
      </c>
      <c r="AQ45" s="561">
        <v>0</v>
      </c>
      <c r="AR45" s="561">
        <v>0</v>
      </c>
    </row>
    <row r="46" spans="1:44" x14ac:dyDescent="0.3">
      <c r="A46" s="1129" t="s">
        <v>2577</v>
      </c>
      <c r="B46" s="1129" t="s">
        <v>2578</v>
      </c>
      <c r="C46" s="1129" t="s">
        <v>2579</v>
      </c>
      <c r="D46" s="1129" t="s">
        <v>385</v>
      </c>
      <c r="E46" s="561">
        <v>-1509</v>
      </c>
      <c r="F46" s="561">
        <v>0</v>
      </c>
      <c r="G46" s="561">
        <v>408622</v>
      </c>
      <c r="H46" s="561">
        <v>25517</v>
      </c>
      <c r="I46" s="561">
        <v>1110</v>
      </c>
      <c r="J46" s="561">
        <v>33987</v>
      </c>
      <c r="K46" s="561">
        <v>6219</v>
      </c>
      <c r="L46" s="561">
        <v>4083</v>
      </c>
      <c r="M46" s="561">
        <v>7312</v>
      </c>
      <c r="N46" s="561">
        <v>1138</v>
      </c>
      <c r="O46" s="561">
        <v>0</v>
      </c>
      <c r="P46" s="561">
        <v>3844</v>
      </c>
      <c r="Q46" s="561">
        <v>21727</v>
      </c>
      <c r="R46" s="561">
        <v>474418</v>
      </c>
      <c r="S46" s="1217">
        <v>0</v>
      </c>
      <c r="T46" s="1217">
        <v>16153</v>
      </c>
      <c r="U46" s="1217">
        <v>0</v>
      </c>
      <c r="V46" s="561">
        <v>6507</v>
      </c>
      <c r="W46" s="561">
        <v>881</v>
      </c>
      <c r="X46" s="561">
        <v>3937</v>
      </c>
      <c r="Y46" s="561">
        <v>0</v>
      </c>
      <c r="Z46" s="561">
        <v>1423</v>
      </c>
      <c r="AA46" s="561">
        <v>0</v>
      </c>
      <c r="AB46" s="561">
        <v>0</v>
      </c>
      <c r="AC46" s="561">
        <v>0</v>
      </c>
      <c r="AD46" s="561">
        <v>23713</v>
      </c>
      <c r="AE46" s="561">
        <v>0</v>
      </c>
      <c r="AF46" s="561">
        <v>6049</v>
      </c>
      <c r="AG46" s="561">
        <v>42766</v>
      </c>
      <c r="AH46" s="561">
        <v>0</v>
      </c>
      <c r="AI46" s="561">
        <v>113768</v>
      </c>
      <c r="AJ46" s="561">
        <v>26192</v>
      </c>
      <c r="AK46" s="561">
        <v>20175</v>
      </c>
      <c r="AL46" s="561">
        <v>6283</v>
      </c>
      <c r="AM46" s="561">
        <v>27</v>
      </c>
      <c r="AN46" s="561">
        <v>169</v>
      </c>
      <c r="AO46" s="561">
        <v>0</v>
      </c>
      <c r="AP46" s="561">
        <v>0</v>
      </c>
      <c r="AQ46" s="561">
        <v>225</v>
      </c>
      <c r="AR46" s="561">
        <v>0</v>
      </c>
    </row>
    <row r="47" spans="1:44" x14ac:dyDescent="0.3">
      <c r="A47" s="1129" t="s">
        <v>2580</v>
      </c>
      <c r="B47" s="1129" t="s">
        <v>2581</v>
      </c>
      <c r="C47" s="1129" t="s">
        <v>2582</v>
      </c>
      <c r="D47" s="1129" t="s">
        <v>384</v>
      </c>
      <c r="E47" s="561">
        <v>-2232</v>
      </c>
      <c r="F47" s="561">
        <v>0</v>
      </c>
      <c r="G47" s="561">
        <v>0</v>
      </c>
      <c r="H47" s="561">
        <v>0</v>
      </c>
      <c r="I47" s="561">
        <v>35</v>
      </c>
      <c r="J47" s="561">
        <v>0</v>
      </c>
      <c r="K47" s="561">
        <v>0</v>
      </c>
      <c r="L47" s="561">
        <v>543</v>
      </c>
      <c r="M47" s="561">
        <v>0</v>
      </c>
      <c r="N47" s="561">
        <v>0</v>
      </c>
      <c r="O47" s="561">
        <v>499</v>
      </c>
      <c r="P47" s="561">
        <v>239</v>
      </c>
      <c r="Q47" s="561">
        <v>201</v>
      </c>
      <c r="R47" s="561">
        <v>8507</v>
      </c>
      <c r="S47" s="1217">
        <v>0</v>
      </c>
      <c r="T47" s="1217">
        <v>3848</v>
      </c>
      <c r="U47" s="1217">
        <v>0</v>
      </c>
      <c r="V47" s="561">
        <v>1539</v>
      </c>
      <c r="W47" s="561">
        <v>312</v>
      </c>
      <c r="X47" s="561">
        <v>121</v>
      </c>
      <c r="Y47" s="561">
        <v>0</v>
      </c>
      <c r="Z47" s="561">
        <v>116</v>
      </c>
      <c r="AA47" s="561">
        <v>0</v>
      </c>
      <c r="AB47" s="561">
        <v>0</v>
      </c>
      <c r="AC47" s="561">
        <v>0</v>
      </c>
      <c r="AD47" s="561">
        <v>0</v>
      </c>
      <c r="AE47" s="561">
        <v>0</v>
      </c>
      <c r="AF47" s="561">
        <v>0</v>
      </c>
      <c r="AG47" s="561">
        <v>1379</v>
      </c>
      <c r="AH47" s="561">
        <v>0</v>
      </c>
      <c r="AI47" s="561">
        <v>16674</v>
      </c>
      <c r="AJ47" s="561">
        <v>7374</v>
      </c>
      <c r="AK47" s="561">
        <v>1765</v>
      </c>
      <c r="AL47" s="561">
        <v>0</v>
      </c>
      <c r="AM47" s="561">
        <v>5</v>
      </c>
      <c r="AN47" s="561">
        <v>1</v>
      </c>
      <c r="AO47" s="561">
        <v>0</v>
      </c>
      <c r="AP47" s="561">
        <v>1</v>
      </c>
      <c r="AQ47" s="561">
        <v>20</v>
      </c>
      <c r="AR47" s="561">
        <v>2</v>
      </c>
    </row>
    <row r="48" spans="1:44" x14ac:dyDescent="0.3">
      <c r="A48" s="1129" t="s">
        <v>2583</v>
      </c>
      <c r="B48" s="1129" t="s">
        <v>2584</v>
      </c>
      <c r="C48" s="1129" t="s">
        <v>2585</v>
      </c>
      <c r="D48" s="1129" t="s">
        <v>379</v>
      </c>
      <c r="E48" s="561">
        <v>0</v>
      </c>
      <c r="F48" s="561">
        <v>0</v>
      </c>
      <c r="G48" s="561">
        <v>127294</v>
      </c>
      <c r="H48" s="561">
        <v>0</v>
      </c>
      <c r="I48" s="561">
        <v>521</v>
      </c>
      <c r="J48" s="561">
        <v>19524</v>
      </c>
      <c r="K48" s="561">
        <v>9411</v>
      </c>
      <c r="L48" s="561">
        <v>1096</v>
      </c>
      <c r="M48" s="561">
        <v>3573</v>
      </c>
      <c r="N48" s="561">
        <v>851</v>
      </c>
      <c r="O48" s="561">
        <v>2488</v>
      </c>
      <c r="P48" s="561">
        <v>29</v>
      </c>
      <c r="Q48" s="561">
        <v>0</v>
      </c>
      <c r="R48" s="561">
        <v>118296</v>
      </c>
      <c r="S48" s="1217">
        <v>16743</v>
      </c>
      <c r="T48" s="1217">
        <v>0</v>
      </c>
      <c r="U48" s="1217">
        <v>-1100</v>
      </c>
      <c r="V48" s="561">
        <v>8570</v>
      </c>
      <c r="W48" s="561">
        <v>477</v>
      </c>
      <c r="X48" s="561">
        <v>1338</v>
      </c>
      <c r="Y48" s="561">
        <v>0</v>
      </c>
      <c r="Z48" s="561">
        <v>180</v>
      </c>
      <c r="AA48" s="561">
        <v>0</v>
      </c>
      <c r="AB48" s="561">
        <v>0</v>
      </c>
      <c r="AC48" s="561">
        <v>0</v>
      </c>
      <c r="AD48" s="561">
        <v>3043</v>
      </c>
      <c r="AE48" s="561">
        <v>3014</v>
      </c>
      <c r="AF48" s="561">
        <v>0</v>
      </c>
      <c r="AG48" s="561">
        <v>10000</v>
      </c>
      <c r="AH48" s="561">
        <v>0</v>
      </c>
      <c r="AI48" s="561">
        <v>14798</v>
      </c>
      <c r="AJ48" s="561">
        <v>4664</v>
      </c>
      <c r="AK48" s="561">
        <v>63850</v>
      </c>
      <c r="AL48" s="561">
        <v>0</v>
      </c>
      <c r="AM48" s="561">
        <v>10</v>
      </c>
      <c r="AN48" s="561">
        <v>20</v>
      </c>
      <c r="AO48" s="561">
        <v>0</v>
      </c>
      <c r="AP48" s="561">
        <v>0</v>
      </c>
      <c r="AQ48" s="561">
        <v>82</v>
      </c>
      <c r="AR48" s="561">
        <v>0</v>
      </c>
    </row>
    <row r="49" spans="1:44" x14ac:dyDescent="0.3">
      <c r="A49" s="1129" t="s">
        <v>2586</v>
      </c>
      <c r="B49" s="1129" t="s">
        <v>2587</v>
      </c>
      <c r="C49" s="1129" t="s">
        <v>2588</v>
      </c>
      <c r="D49" s="1129" t="s">
        <v>379</v>
      </c>
      <c r="E49" s="561">
        <v>-9665</v>
      </c>
      <c r="F49" s="561">
        <v>0</v>
      </c>
      <c r="G49" s="561">
        <v>123741</v>
      </c>
      <c r="H49" s="561">
        <v>15691</v>
      </c>
      <c r="I49" s="561">
        <v>592</v>
      </c>
      <c r="J49" s="561">
        <v>22955</v>
      </c>
      <c r="K49" s="561">
        <v>10408</v>
      </c>
      <c r="L49" s="561">
        <v>973</v>
      </c>
      <c r="M49" s="561">
        <v>4028</v>
      </c>
      <c r="N49" s="561">
        <v>1131</v>
      </c>
      <c r="O49" s="561">
        <v>3906</v>
      </c>
      <c r="P49" s="561">
        <v>335</v>
      </c>
      <c r="Q49" s="561">
        <v>1130</v>
      </c>
      <c r="R49" s="561">
        <v>129481</v>
      </c>
      <c r="S49" s="1217">
        <v>0</v>
      </c>
      <c r="T49" s="1217">
        <v>420</v>
      </c>
      <c r="U49" s="1217">
        <v>-1500</v>
      </c>
      <c r="V49" s="561">
        <v>5147</v>
      </c>
      <c r="W49" s="561">
        <v>563</v>
      </c>
      <c r="X49" s="561">
        <v>1690</v>
      </c>
      <c r="Y49" s="561">
        <v>0</v>
      </c>
      <c r="Z49" s="561">
        <v>501</v>
      </c>
      <c r="AA49" s="561">
        <v>0</v>
      </c>
      <c r="AB49" s="561">
        <v>0</v>
      </c>
      <c r="AC49" s="561">
        <v>0</v>
      </c>
      <c r="AD49" s="561">
        <v>11115</v>
      </c>
      <c r="AE49" s="561">
        <v>3336</v>
      </c>
      <c r="AF49" s="561">
        <v>2657</v>
      </c>
      <c r="AG49" s="561">
        <v>7177</v>
      </c>
      <c r="AH49" s="561">
        <v>5547</v>
      </c>
      <c r="AI49" s="561">
        <v>16251</v>
      </c>
      <c r="AJ49" s="561">
        <v>16950</v>
      </c>
      <c r="AK49" s="561">
        <v>3359</v>
      </c>
      <c r="AL49" s="561">
        <v>0</v>
      </c>
      <c r="AM49" s="561">
        <v>27</v>
      </c>
      <c r="AN49" s="561">
        <v>0</v>
      </c>
      <c r="AO49" s="561">
        <v>16</v>
      </c>
      <c r="AP49" s="561">
        <v>0</v>
      </c>
      <c r="AQ49" s="561">
        <v>28</v>
      </c>
      <c r="AR49" s="561">
        <v>0</v>
      </c>
    </row>
    <row r="50" spans="1:44" x14ac:dyDescent="0.3">
      <c r="A50" s="1129" t="s">
        <v>2589</v>
      </c>
      <c r="B50" s="1129" t="s">
        <v>2590</v>
      </c>
      <c r="C50" s="1129" t="s">
        <v>2591</v>
      </c>
      <c r="D50" s="1129" t="s">
        <v>384</v>
      </c>
      <c r="E50" s="561">
        <v>-215</v>
      </c>
      <c r="F50" s="561">
        <v>0</v>
      </c>
      <c r="G50" s="561">
        <v>0</v>
      </c>
      <c r="H50" s="561">
        <v>0</v>
      </c>
      <c r="I50" s="561">
        <v>40</v>
      </c>
      <c r="J50" s="561">
        <v>0</v>
      </c>
      <c r="K50" s="561">
        <v>0</v>
      </c>
      <c r="L50" s="561">
        <v>1367</v>
      </c>
      <c r="M50" s="561">
        <v>0</v>
      </c>
      <c r="N50" s="561">
        <v>0</v>
      </c>
      <c r="O50" s="561">
        <v>135</v>
      </c>
      <c r="P50" s="561">
        <v>73</v>
      </c>
      <c r="Q50" s="561">
        <v>0</v>
      </c>
      <c r="R50" s="561">
        <v>10615</v>
      </c>
      <c r="S50" s="1217">
        <v>10248</v>
      </c>
      <c r="T50" s="1217">
        <v>0</v>
      </c>
      <c r="U50" s="1217">
        <v>0</v>
      </c>
      <c r="V50" s="561">
        <v>7494</v>
      </c>
      <c r="W50" s="561">
        <v>301</v>
      </c>
      <c r="X50" s="561">
        <v>334</v>
      </c>
      <c r="Y50" s="561">
        <v>3619</v>
      </c>
      <c r="Z50" s="561">
        <v>1188</v>
      </c>
      <c r="AA50" s="561">
        <v>0</v>
      </c>
      <c r="AB50" s="561">
        <v>0</v>
      </c>
      <c r="AC50" s="561">
        <v>0</v>
      </c>
      <c r="AD50" s="561">
        <v>0</v>
      </c>
      <c r="AE50" s="561">
        <v>0</v>
      </c>
      <c r="AF50" s="561">
        <v>0</v>
      </c>
      <c r="AG50" s="561">
        <v>0</v>
      </c>
      <c r="AH50" s="561">
        <v>0</v>
      </c>
      <c r="AI50" s="561">
        <v>0</v>
      </c>
      <c r="AJ50" s="561">
        <v>0</v>
      </c>
      <c r="AK50" s="561">
        <v>0</v>
      </c>
      <c r="AL50" s="561">
        <v>0</v>
      </c>
      <c r="AM50" s="561">
        <v>16</v>
      </c>
      <c r="AN50" s="561">
        <v>0</v>
      </c>
      <c r="AO50" s="561">
        <v>14</v>
      </c>
      <c r="AP50" s="561">
        <v>0</v>
      </c>
      <c r="AQ50" s="561">
        <v>110</v>
      </c>
      <c r="AR50" s="561">
        <v>3</v>
      </c>
    </row>
    <row r="51" spans="1:44" x14ac:dyDescent="0.3">
      <c r="A51" s="1129" t="s">
        <v>2592</v>
      </c>
      <c r="B51" s="1129" t="s">
        <v>2593</v>
      </c>
      <c r="C51" s="1129" t="s">
        <v>2594</v>
      </c>
      <c r="D51" s="1129" t="s">
        <v>2595</v>
      </c>
      <c r="E51" s="561">
        <v>-1499</v>
      </c>
      <c r="F51" s="561">
        <v>0</v>
      </c>
      <c r="G51" s="561">
        <v>351546</v>
      </c>
      <c r="H51" s="561">
        <v>32060</v>
      </c>
      <c r="I51" s="561">
        <v>1481</v>
      </c>
      <c r="J51" s="561">
        <v>48337</v>
      </c>
      <c r="K51" s="561">
        <v>18716</v>
      </c>
      <c r="L51" s="561">
        <v>0</v>
      </c>
      <c r="M51" s="561">
        <v>10168</v>
      </c>
      <c r="N51" s="561">
        <v>1583</v>
      </c>
      <c r="O51" s="561">
        <v>0</v>
      </c>
      <c r="P51" s="561">
        <v>1211</v>
      </c>
      <c r="Q51" s="561">
        <v>0</v>
      </c>
      <c r="R51" s="561">
        <v>420866</v>
      </c>
      <c r="S51" s="1217">
        <v>0</v>
      </c>
      <c r="T51" s="1217">
        <v>0</v>
      </c>
      <c r="U51" s="1217">
        <v>-1500</v>
      </c>
      <c r="V51" s="561">
        <v>21145</v>
      </c>
      <c r="W51" s="561">
        <v>0</v>
      </c>
      <c r="X51" s="561">
        <v>3724</v>
      </c>
      <c r="Y51" s="561">
        <v>0</v>
      </c>
      <c r="Z51" s="561">
        <v>236</v>
      </c>
      <c r="AA51" s="561">
        <v>0</v>
      </c>
      <c r="AB51" s="561">
        <v>0</v>
      </c>
      <c r="AC51" s="561">
        <v>0</v>
      </c>
      <c r="AD51" s="561">
        <v>12144</v>
      </c>
      <c r="AE51" s="561">
        <v>0</v>
      </c>
      <c r="AF51" s="561">
        <v>4912</v>
      </c>
      <c r="AG51" s="561">
        <v>29426</v>
      </c>
      <c r="AH51" s="561">
        <v>20310</v>
      </c>
      <c r="AI51" s="561">
        <v>69387</v>
      </c>
      <c r="AJ51" s="561">
        <v>55325</v>
      </c>
      <c r="AK51" s="561">
        <v>10081</v>
      </c>
      <c r="AL51" s="561">
        <v>0</v>
      </c>
      <c r="AM51" s="561">
        <v>0</v>
      </c>
      <c r="AN51" s="561">
        <v>0</v>
      </c>
      <c r="AO51" s="561">
        <v>0</v>
      </c>
      <c r="AP51" s="561">
        <v>0</v>
      </c>
      <c r="AQ51" s="561">
        <v>0</v>
      </c>
      <c r="AR51" s="561">
        <v>0</v>
      </c>
    </row>
    <row r="52" spans="1:44" x14ac:dyDescent="0.3">
      <c r="A52" s="1129" t="s">
        <v>2596</v>
      </c>
      <c r="B52" s="1129" t="s">
        <v>2597</v>
      </c>
      <c r="C52" s="1129" t="s">
        <v>2598</v>
      </c>
      <c r="D52" s="1129" t="s">
        <v>2466</v>
      </c>
      <c r="E52" s="561">
        <v>0</v>
      </c>
      <c r="F52" s="561">
        <v>0</v>
      </c>
      <c r="G52" s="561">
        <v>0</v>
      </c>
      <c r="H52" s="561">
        <v>0</v>
      </c>
      <c r="I52" s="561">
        <v>0</v>
      </c>
      <c r="J52" s="561">
        <v>0</v>
      </c>
      <c r="K52" s="561">
        <v>0</v>
      </c>
      <c r="L52" s="561">
        <v>0</v>
      </c>
      <c r="M52" s="561">
        <v>0</v>
      </c>
      <c r="N52" s="561">
        <v>0</v>
      </c>
      <c r="O52" s="561">
        <v>0</v>
      </c>
      <c r="P52" s="561">
        <v>0</v>
      </c>
      <c r="Q52" s="561">
        <v>0</v>
      </c>
      <c r="R52" s="561">
        <v>11180</v>
      </c>
      <c r="S52" s="1217">
        <v>0</v>
      </c>
      <c r="T52" s="1217">
        <v>0</v>
      </c>
      <c r="U52" s="1217">
        <v>0</v>
      </c>
      <c r="V52" s="561">
        <v>0</v>
      </c>
      <c r="W52" s="561">
        <v>0</v>
      </c>
      <c r="X52" s="561">
        <v>0</v>
      </c>
      <c r="Y52" s="561">
        <v>0</v>
      </c>
      <c r="Z52" s="561">
        <v>100</v>
      </c>
      <c r="AA52" s="561">
        <v>0</v>
      </c>
      <c r="AB52" s="561">
        <v>0</v>
      </c>
      <c r="AC52" s="561">
        <v>0</v>
      </c>
      <c r="AD52" s="561">
        <v>0</v>
      </c>
      <c r="AE52" s="561">
        <v>0</v>
      </c>
      <c r="AF52" s="561">
        <v>0</v>
      </c>
      <c r="AG52" s="561">
        <v>19055</v>
      </c>
      <c r="AH52" s="561">
        <v>0</v>
      </c>
      <c r="AI52" s="561">
        <v>10172</v>
      </c>
      <c r="AJ52" s="561">
        <v>5915</v>
      </c>
      <c r="AK52" s="561">
        <v>0</v>
      </c>
      <c r="AL52" s="561">
        <v>0</v>
      </c>
      <c r="AM52" s="561">
        <v>0</v>
      </c>
      <c r="AN52" s="561">
        <v>0</v>
      </c>
      <c r="AO52" s="561">
        <v>0</v>
      </c>
      <c r="AP52" s="561">
        <v>0</v>
      </c>
      <c r="AQ52" s="561">
        <v>0</v>
      </c>
      <c r="AR52" s="561">
        <v>0</v>
      </c>
    </row>
    <row r="53" spans="1:44" x14ac:dyDescent="0.3">
      <c r="A53" s="1129" t="s">
        <v>2599</v>
      </c>
      <c r="B53" s="1129" t="s">
        <v>2600</v>
      </c>
      <c r="C53" s="1129" t="s">
        <v>2601</v>
      </c>
      <c r="D53" s="1129" t="s">
        <v>2466</v>
      </c>
      <c r="E53" s="561">
        <v>-4824</v>
      </c>
      <c r="F53" s="561">
        <v>0</v>
      </c>
      <c r="G53" s="561">
        <v>0</v>
      </c>
      <c r="H53" s="561">
        <v>0</v>
      </c>
      <c r="I53" s="561">
        <v>0</v>
      </c>
      <c r="J53" s="561">
        <v>0</v>
      </c>
      <c r="K53" s="561">
        <v>0</v>
      </c>
      <c r="L53" s="561">
        <v>0</v>
      </c>
      <c r="M53" s="561">
        <v>0</v>
      </c>
      <c r="N53" s="561">
        <v>0</v>
      </c>
      <c r="O53" s="561">
        <v>0</v>
      </c>
      <c r="P53" s="561">
        <v>0</v>
      </c>
      <c r="Q53" s="561">
        <v>0</v>
      </c>
      <c r="R53" s="561">
        <v>27083</v>
      </c>
      <c r="S53" s="1217">
        <v>0</v>
      </c>
      <c r="T53" s="1217">
        <v>1400</v>
      </c>
      <c r="U53" s="1217">
        <v>0</v>
      </c>
      <c r="V53" s="561">
        <v>188</v>
      </c>
      <c r="W53" s="561">
        <v>0</v>
      </c>
      <c r="X53" s="561">
        <v>256</v>
      </c>
      <c r="Y53" s="561">
        <v>0</v>
      </c>
      <c r="Z53" s="561">
        <v>0</v>
      </c>
      <c r="AA53" s="561">
        <v>0</v>
      </c>
      <c r="AB53" s="561">
        <v>0</v>
      </c>
      <c r="AC53" s="561">
        <v>0</v>
      </c>
      <c r="AD53" s="561">
        <v>0</v>
      </c>
      <c r="AE53" s="561">
        <v>0</v>
      </c>
      <c r="AF53" s="561">
        <v>0</v>
      </c>
      <c r="AG53" s="561">
        <v>2110</v>
      </c>
      <c r="AH53" s="561">
        <v>0</v>
      </c>
      <c r="AI53" s="561">
        <v>4897</v>
      </c>
      <c r="AJ53" s="561">
        <v>0</v>
      </c>
      <c r="AK53" s="561">
        <v>0</v>
      </c>
      <c r="AL53" s="561">
        <v>0</v>
      </c>
      <c r="AM53" s="561">
        <v>0</v>
      </c>
      <c r="AN53" s="561">
        <v>0</v>
      </c>
      <c r="AO53" s="561">
        <v>0</v>
      </c>
      <c r="AP53" s="561">
        <v>0</v>
      </c>
      <c r="AQ53" s="561">
        <v>0</v>
      </c>
      <c r="AR53" s="561">
        <v>0</v>
      </c>
    </row>
    <row r="54" spans="1:44" x14ac:dyDescent="0.3">
      <c r="A54" s="1129" t="s">
        <v>2602</v>
      </c>
      <c r="B54" s="1129" t="s">
        <v>2603</v>
      </c>
      <c r="C54" s="1129" t="s">
        <v>2604</v>
      </c>
      <c r="D54" s="1129" t="s">
        <v>2466</v>
      </c>
      <c r="E54" s="561">
        <v>0</v>
      </c>
      <c r="F54" s="561">
        <v>-104476</v>
      </c>
      <c r="G54" s="561">
        <v>0</v>
      </c>
      <c r="H54" s="561">
        <v>0</v>
      </c>
      <c r="I54" s="561">
        <v>0</v>
      </c>
      <c r="J54" s="561">
        <v>0</v>
      </c>
      <c r="K54" s="561">
        <v>0</v>
      </c>
      <c r="L54" s="561">
        <v>0</v>
      </c>
      <c r="M54" s="561">
        <v>0</v>
      </c>
      <c r="N54" s="561">
        <v>0</v>
      </c>
      <c r="O54" s="561">
        <v>0</v>
      </c>
      <c r="P54" s="561">
        <v>0</v>
      </c>
      <c r="Q54" s="561">
        <v>0</v>
      </c>
      <c r="R54" s="561">
        <v>92986</v>
      </c>
      <c r="S54" s="1217">
        <v>0</v>
      </c>
      <c r="T54" s="1217">
        <v>1822</v>
      </c>
      <c r="U54" s="1217">
        <v>0</v>
      </c>
      <c r="V54" s="561">
        <v>1546</v>
      </c>
      <c r="W54" s="561">
        <v>0</v>
      </c>
      <c r="X54" s="561">
        <v>0</v>
      </c>
      <c r="Y54" s="561">
        <v>0</v>
      </c>
      <c r="Z54" s="561">
        <v>0</v>
      </c>
      <c r="AA54" s="561">
        <v>3614</v>
      </c>
      <c r="AB54" s="561">
        <v>2065</v>
      </c>
      <c r="AC54" s="561">
        <v>2579</v>
      </c>
      <c r="AD54" s="561">
        <v>0</v>
      </c>
      <c r="AE54" s="561">
        <v>0</v>
      </c>
      <c r="AF54" s="561">
        <v>0</v>
      </c>
      <c r="AG54" s="561">
        <v>9446</v>
      </c>
      <c r="AH54" s="561">
        <v>0</v>
      </c>
      <c r="AI54" s="561">
        <v>2423</v>
      </c>
      <c r="AJ54" s="561">
        <v>2257</v>
      </c>
      <c r="AK54" s="561">
        <v>12960</v>
      </c>
      <c r="AL54" s="561">
        <v>0</v>
      </c>
      <c r="AM54" s="561">
        <v>0</v>
      </c>
      <c r="AN54" s="561">
        <v>0</v>
      </c>
      <c r="AO54" s="561">
        <v>0</v>
      </c>
      <c r="AP54" s="561">
        <v>0</v>
      </c>
      <c r="AQ54" s="561">
        <v>0</v>
      </c>
      <c r="AR54" s="561">
        <v>0</v>
      </c>
    </row>
    <row r="55" spans="1:44" x14ac:dyDescent="0.3">
      <c r="A55" s="1129" t="s">
        <v>2605</v>
      </c>
      <c r="B55" s="1129" t="s">
        <v>2606</v>
      </c>
      <c r="C55" s="1129" t="s">
        <v>2607</v>
      </c>
      <c r="D55" s="1129" t="s">
        <v>2476</v>
      </c>
      <c r="E55" s="561">
        <v>-28761</v>
      </c>
      <c r="F55" s="561">
        <v>0</v>
      </c>
      <c r="G55" s="561">
        <v>209805</v>
      </c>
      <c r="H55" s="561">
        <v>32540</v>
      </c>
      <c r="I55" s="561">
        <v>46</v>
      </c>
      <c r="J55" s="561">
        <v>33849</v>
      </c>
      <c r="K55" s="561">
        <v>15882</v>
      </c>
      <c r="L55" s="561">
        <v>5224</v>
      </c>
      <c r="M55" s="561">
        <v>5625</v>
      </c>
      <c r="N55" s="561">
        <v>826</v>
      </c>
      <c r="O55" s="561">
        <v>0</v>
      </c>
      <c r="P55" s="561">
        <v>94</v>
      </c>
      <c r="Q55" s="561">
        <v>0</v>
      </c>
      <c r="R55" s="561">
        <v>154792</v>
      </c>
      <c r="S55" s="1217">
        <v>24129</v>
      </c>
      <c r="T55" s="1217">
        <v>11393</v>
      </c>
      <c r="U55" s="1217">
        <v>0</v>
      </c>
      <c r="V55" s="561">
        <v>7728</v>
      </c>
      <c r="W55" s="561">
        <v>1357</v>
      </c>
      <c r="X55" s="561">
        <v>2724</v>
      </c>
      <c r="Y55" s="561">
        <v>0</v>
      </c>
      <c r="Z55" s="561">
        <v>2672</v>
      </c>
      <c r="AA55" s="561">
        <v>0</v>
      </c>
      <c r="AB55" s="561">
        <v>0</v>
      </c>
      <c r="AC55" s="561">
        <v>0</v>
      </c>
      <c r="AD55" s="561">
        <v>20988</v>
      </c>
      <c r="AE55" s="561">
        <v>22344</v>
      </c>
      <c r="AF55" s="561">
        <v>3823</v>
      </c>
      <c r="AG55" s="561">
        <v>16858</v>
      </c>
      <c r="AH55" s="561">
        <v>16882</v>
      </c>
      <c r="AI55" s="561">
        <v>49935</v>
      </c>
      <c r="AJ55" s="561">
        <v>52150</v>
      </c>
      <c r="AK55" s="561">
        <v>66914</v>
      </c>
      <c r="AL55" s="561">
        <v>0</v>
      </c>
      <c r="AM55" s="561">
        <v>259</v>
      </c>
      <c r="AN55" s="561">
        <v>629</v>
      </c>
      <c r="AO55" s="561">
        <v>97</v>
      </c>
      <c r="AP55" s="561">
        <v>3</v>
      </c>
      <c r="AQ55" s="561">
        <v>232</v>
      </c>
      <c r="AR55" s="561">
        <v>1</v>
      </c>
    </row>
    <row r="56" spans="1:44" x14ac:dyDescent="0.3">
      <c r="A56" s="1129" t="s">
        <v>2608</v>
      </c>
      <c r="B56" s="1129" t="s">
        <v>2609</v>
      </c>
      <c r="C56" s="1129" t="s">
        <v>2610</v>
      </c>
      <c r="D56" s="1129" t="s">
        <v>384</v>
      </c>
      <c r="E56" s="561">
        <v>-172</v>
      </c>
      <c r="F56" s="561">
        <v>0</v>
      </c>
      <c r="G56" s="561">
        <v>0</v>
      </c>
      <c r="H56" s="561">
        <v>0</v>
      </c>
      <c r="I56" s="561">
        <v>35</v>
      </c>
      <c r="J56" s="561">
        <v>0</v>
      </c>
      <c r="K56" s="561">
        <v>0</v>
      </c>
      <c r="L56" s="561">
        <v>448</v>
      </c>
      <c r="M56" s="561">
        <v>0</v>
      </c>
      <c r="N56" s="561">
        <v>0</v>
      </c>
      <c r="O56" s="561">
        <v>395</v>
      </c>
      <c r="P56" s="561">
        <v>42</v>
      </c>
      <c r="Q56" s="561">
        <v>898</v>
      </c>
      <c r="R56" s="561">
        <v>8437</v>
      </c>
      <c r="S56" s="1217" t="s">
        <v>2611</v>
      </c>
      <c r="T56" s="1217">
        <v>0</v>
      </c>
      <c r="U56" s="1217">
        <v>0</v>
      </c>
      <c r="V56" s="561">
        <v>3165</v>
      </c>
      <c r="W56" s="561">
        <v>229</v>
      </c>
      <c r="X56" s="561">
        <v>171</v>
      </c>
      <c r="Y56" s="561">
        <v>991</v>
      </c>
      <c r="Z56" s="561">
        <v>30</v>
      </c>
      <c r="AA56" s="561">
        <v>0</v>
      </c>
      <c r="AB56" s="561">
        <v>0</v>
      </c>
      <c r="AC56" s="561">
        <v>0</v>
      </c>
      <c r="AD56" s="561">
        <v>0</v>
      </c>
      <c r="AE56" s="561">
        <v>0</v>
      </c>
      <c r="AF56" s="561">
        <v>0</v>
      </c>
      <c r="AG56" s="561">
        <v>0</v>
      </c>
      <c r="AH56" s="561">
        <v>0</v>
      </c>
      <c r="AI56" s="561">
        <v>0</v>
      </c>
      <c r="AJ56" s="561">
        <v>0</v>
      </c>
      <c r="AK56" s="561">
        <v>0</v>
      </c>
      <c r="AL56" s="561">
        <v>0</v>
      </c>
      <c r="AM56" s="561">
        <v>24</v>
      </c>
      <c r="AN56" s="561">
        <v>22</v>
      </c>
      <c r="AO56" s="561">
        <v>0</v>
      </c>
      <c r="AP56" s="561">
        <v>0</v>
      </c>
      <c r="AQ56" s="561">
        <v>1</v>
      </c>
      <c r="AR56" s="561">
        <v>2</v>
      </c>
    </row>
    <row r="57" spans="1:44" x14ac:dyDescent="0.3">
      <c r="A57" s="1129" t="s">
        <v>2612</v>
      </c>
      <c r="B57" s="1129" t="s">
        <v>2613</v>
      </c>
      <c r="C57" s="1129" t="s">
        <v>2614</v>
      </c>
      <c r="D57" s="1129" t="s">
        <v>384</v>
      </c>
      <c r="E57" s="561">
        <v>-247</v>
      </c>
      <c r="F57" s="561">
        <v>0</v>
      </c>
      <c r="G57" s="561">
        <v>0</v>
      </c>
      <c r="H57" s="561">
        <v>0</v>
      </c>
      <c r="I57" s="561">
        <v>36</v>
      </c>
      <c r="J57" s="561">
        <v>0</v>
      </c>
      <c r="K57" s="561">
        <v>0</v>
      </c>
      <c r="L57" s="561">
        <v>1375</v>
      </c>
      <c r="M57" s="561">
        <v>0</v>
      </c>
      <c r="N57" s="561">
        <v>0</v>
      </c>
      <c r="O57" s="561">
        <v>195</v>
      </c>
      <c r="P57" s="561">
        <v>1059</v>
      </c>
      <c r="Q57" s="561">
        <v>1017</v>
      </c>
      <c r="R57" s="561">
        <v>14618</v>
      </c>
      <c r="S57" s="1217">
        <v>8300</v>
      </c>
      <c r="T57" s="1217">
        <v>0</v>
      </c>
      <c r="U57" s="1217">
        <v>0</v>
      </c>
      <c r="V57" s="561">
        <v>3911</v>
      </c>
      <c r="W57" s="561">
        <v>348</v>
      </c>
      <c r="X57" s="561">
        <v>187</v>
      </c>
      <c r="Y57" s="561">
        <v>518</v>
      </c>
      <c r="Z57" s="561">
        <v>1345</v>
      </c>
      <c r="AA57" s="561">
        <v>0</v>
      </c>
      <c r="AB57" s="561">
        <v>0</v>
      </c>
      <c r="AC57" s="561">
        <v>0</v>
      </c>
      <c r="AD57" s="561">
        <v>0</v>
      </c>
      <c r="AE57" s="561">
        <v>0</v>
      </c>
      <c r="AF57" s="561">
        <v>0</v>
      </c>
      <c r="AG57" s="561">
        <v>2052</v>
      </c>
      <c r="AH57" s="561">
        <v>0</v>
      </c>
      <c r="AI57" s="561">
        <v>5297</v>
      </c>
      <c r="AJ57" s="561">
        <v>801</v>
      </c>
      <c r="AK57" s="561">
        <v>18959</v>
      </c>
      <c r="AL57" s="561">
        <v>6775</v>
      </c>
      <c r="AM57" s="561">
        <v>10</v>
      </c>
      <c r="AN57" s="561">
        <v>87</v>
      </c>
      <c r="AO57" s="561">
        <v>0</v>
      </c>
      <c r="AP57" s="561">
        <v>6</v>
      </c>
      <c r="AQ57" s="561">
        <v>57</v>
      </c>
      <c r="AR57" s="561">
        <v>0</v>
      </c>
    </row>
    <row r="58" spans="1:44" x14ac:dyDescent="0.3">
      <c r="A58" s="1129" t="s">
        <v>2615</v>
      </c>
      <c r="B58" s="1129" t="s">
        <v>2616</v>
      </c>
      <c r="C58" s="1129" t="s">
        <v>2617</v>
      </c>
      <c r="D58" s="1129" t="s">
        <v>384</v>
      </c>
      <c r="E58" s="561">
        <v>-121</v>
      </c>
      <c r="F58" s="561">
        <v>0</v>
      </c>
      <c r="G58" s="561">
        <v>0</v>
      </c>
      <c r="H58" s="561">
        <v>0</v>
      </c>
      <c r="I58" s="561">
        <v>35</v>
      </c>
      <c r="J58" s="561">
        <v>0</v>
      </c>
      <c r="K58" s="561">
        <v>0</v>
      </c>
      <c r="L58" s="561">
        <v>593</v>
      </c>
      <c r="M58" s="561">
        <v>0</v>
      </c>
      <c r="N58" s="561">
        <v>0</v>
      </c>
      <c r="O58" s="561">
        <v>84</v>
      </c>
      <c r="P58" s="561">
        <v>3</v>
      </c>
      <c r="Q58" s="561">
        <v>298</v>
      </c>
      <c r="R58" s="561">
        <v>9367</v>
      </c>
      <c r="S58" s="1217">
        <v>5964</v>
      </c>
      <c r="T58" s="1217">
        <v>1247</v>
      </c>
      <c r="U58" s="1217">
        <v>0</v>
      </c>
      <c r="V58" s="561">
        <v>920</v>
      </c>
      <c r="W58" s="561">
        <v>156</v>
      </c>
      <c r="X58" s="561">
        <v>105</v>
      </c>
      <c r="Y58" s="561">
        <v>269</v>
      </c>
      <c r="Z58" s="561">
        <v>0</v>
      </c>
      <c r="AA58" s="561">
        <v>0</v>
      </c>
      <c r="AB58" s="561">
        <v>0</v>
      </c>
      <c r="AC58" s="561">
        <v>0</v>
      </c>
      <c r="AD58" s="561">
        <v>0</v>
      </c>
      <c r="AE58" s="561">
        <v>0</v>
      </c>
      <c r="AF58" s="561">
        <v>0</v>
      </c>
      <c r="AG58" s="561">
        <v>0</v>
      </c>
      <c r="AH58" s="561">
        <v>0</v>
      </c>
      <c r="AI58" s="561">
        <v>0</v>
      </c>
      <c r="AJ58" s="561">
        <v>0</v>
      </c>
      <c r="AK58" s="561">
        <v>0</v>
      </c>
      <c r="AL58" s="561">
        <v>0</v>
      </c>
      <c r="AM58" s="561">
        <v>22</v>
      </c>
      <c r="AN58" s="561">
        <v>72</v>
      </c>
      <c r="AO58" s="561">
        <v>16</v>
      </c>
      <c r="AP58" s="561">
        <v>56</v>
      </c>
      <c r="AQ58" s="561">
        <v>3</v>
      </c>
      <c r="AR58" s="561">
        <v>1</v>
      </c>
    </row>
    <row r="59" spans="1:44" x14ac:dyDescent="0.3">
      <c r="A59" s="1129" t="s">
        <v>2618</v>
      </c>
      <c r="B59" s="1129" t="s">
        <v>2619</v>
      </c>
      <c r="C59" s="1129" t="s">
        <v>2620</v>
      </c>
      <c r="D59" s="1129" t="s">
        <v>385</v>
      </c>
      <c r="E59" s="561">
        <v>-991</v>
      </c>
      <c r="F59" s="561">
        <v>0</v>
      </c>
      <c r="G59" s="561">
        <v>182234</v>
      </c>
      <c r="H59" s="561">
        <v>15106</v>
      </c>
      <c r="I59" s="561">
        <v>611</v>
      </c>
      <c r="J59" s="561">
        <v>17495</v>
      </c>
      <c r="K59" s="561">
        <v>3432</v>
      </c>
      <c r="L59" s="561">
        <v>1558</v>
      </c>
      <c r="M59" s="561">
        <v>3789</v>
      </c>
      <c r="N59" s="561">
        <v>672</v>
      </c>
      <c r="O59" s="561">
        <v>0</v>
      </c>
      <c r="P59" s="561">
        <v>3599</v>
      </c>
      <c r="Q59" s="561">
        <v>18108</v>
      </c>
      <c r="R59" s="561">
        <v>229511</v>
      </c>
      <c r="S59" s="1217">
        <v>5960</v>
      </c>
      <c r="T59" s="1217">
        <v>0</v>
      </c>
      <c r="U59" s="1217">
        <v>0</v>
      </c>
      <c r="V59" s="561">
        <v>12272</v>
      </c>
      <c r="W59" s="561">
        <v>497</v>
      </c>
      <c r="X59" s="561">
        <v>2135</v>
      </c>
      <c r="Y59" s="561">
        <v>0</v>
      </c>
      <c r="Z59" s="561">
        <v>324</v>
      </c>
      <c r="AA59" s="561">
        <v>0</v>
      </c>
      <c r="AB59" s="561">
        <v>0</v>
      </c>
      <c r="AC59" s="561">
        <v>0</v>
      </c>
      <c r="AD59" s="561">
        <v>4981</v>
      </c>
      <c r="AE59" s="561">
        <v>0</v>
      </c>
      <c r="AF59" s="561">
        <v>2251</v>
      </c>
      <c r="AG59" s="561">
        <v>26383</v>
      </c>
      <c r="AH59" s="561">
        <v>0</v>
      </c>
      <c r="AI59" s="561">
        <v>35454</v>
      </c>
      <c r="AJ59" s="561">
        <v>0</v>
      </c>
      <c r="AK59" s="561">
        <v>0</v>
      </c>
      <c r="AL59" s="561">
        <v>0</v>
      </c>
      <c r="AM59" s="561">
        <v>0</v>
      </c>
      <c r="AN59" s="561">
        <v>0</v>
      </c>
      <c r="AO59" s="561">
        <v>12</v>
      </c>
      <c r="AP59" s="561">
        <v>0</v>
      </c>
      <c r="AQ59" s="561">
        <v>242</v>
      </c>
      <c r="AR59" s="561">
        <v>4</v>
      </c>
    </row>
    <row r="60" spans="1:44" x14ac:dyDescent="0.3">
      <c r="A60" s="1129" t="s">
        <v>2621</v>
      </c>
      <c r="B60" s="1129" t="s">
        <v>2622</v>
      </c>
      <c r="C60" s="1129" t="s">
        <v>2623</v>
      </c>
      <c r="D60" s="1129" t="s">
        <v>384</v>
      </c>
      <c r="E60" s="561">
        <v>-395</v>
      </c>
      <c r="F60" s="561">
        <v>0</v>
      </c>
      <c r="G60" s="561">
        <v>0</v>
      </c>
      <c r="H60" s="561">
        <v>0</v>
      </c>
      <c r="I60" s="561">
        <v>35</v>
      </c>
      <c r="J60" s="561">
        <v>0</v>
      </c>
      <c r="K60" s="561">
        <v>0</v>
      </c>
      <c r="L60" s="561">
        <v>508</v>
      </c>
      <c r="M60" s="561">
        <v>0</v>
      </c>
      <c r="N60" s="561">
        <v>0</v>
      </c>
      <c r="O60" s="561">
        <v>0</v>
      </c>
      <c r="P60" s="561">
        <v>828</v>
      </c>
      <c r="Q60" s="561">
        <v>5185</v>
      </c>
      <c r="R60" s="561">
        <v>15619</v>
      </c>
      <c r="S60" s="1217">
        <v>7827</v>
      </c>
      <c r="T60" s="1217">
        <v>0</v>
      </c>
      <c r="U60" s="1217">
        <v>0</v>
      </c>
      <c r="V60" s="561">
        <v>2668</v>
      </c>
      <c r="W60" s="561">
        <v>292</v>
      </c>
      <c r="X60" s="561">
        <v>214</v>
      </c>
      <c r="Y60" s="561">
        <v>1766</v>
      </c>
      <c r="Z60" s="561">
        <v>0</v>
      </c>
      <c r="AA60" s="561">
        <v>0</v>
      </c>
      <c r="AB60" s="561">
        <v>0</v>
      </c>
      <c r="AC60" s="561">
        <v>0</v>
      </c>
      <c r="AD60" s="561">
        <v>0</v>
      </c>
      <c r="AE60" s="561">
        <v>0</v>
      </c>
      <c r="AF60" s="561">
        <v>0</v>
      </c>
      <c r="AG60" s="561">
        <v>6631</v>
      </c>
      <c r="AH60" s="561">
        <v>0</v>
      </c>
      <c r="AI60" s="561">
        <v>0</v>
      </c>
      <c r="AJ60" s="561">
        <v>0</v>
      </c>
      <c r="AK60" s="561">
        <v>1836</v>
      </c>
      <c r="AL60" s="561">
        <v>0</v>
      </c>
      <c r="AM60" s="561">
        <v>35</v>
      </c>
      <c r="AN60" s="561">
        <v>0</v>
      </c>
      <c r="AO60" s="561">
        <v>9</v>
      </c>
      <c r="AP60" s="561">
        <v>0</v>
      </c>
      <c r="AQ60" s="561">
        <v>63</v>
      </c>
      <c r="AR60" s="561">
        <v>1</v>
      </c>
    </row>
    <row r="61" spans="1:44" x14ac:dyDescent="0.3">
      <c r="A61" s="1129" t="s">
        <v>2624</v>
      </c>
      <c r="B61" s="1129" t="s">
        <v>2625</v>
      </c>
      <c r="C61" s="1129" t="s">
        <v>2626</v>
      </c>
      <c r="D61" s="1129" t="s">
        <v>384</v>
      </c>
      <c r="E61" s="561">
        <v>-208</v>
      </c>
      <c r="F61" s="561">
        <v>0</v>
      </c>
      <c r="G61" s="561">
        <v>0</v>
      </c>
      <c r="H61" s="561">
        <v>0</v>
      </c>
      <c r="I61" s="561">
        <v>37</v>
      </c>
      <c r="J61" s="561">
        <v>0</v>
      </c>
      <c r="K61" s="561">
        <v>0</v>
      </c>
      <c r="L61" s="561">
        <v>1715</v>
      </c>
      <c r="M61" s="561">
        <v>0</v>
      </c>
      <c r="N61" s="561">
        <v>0</v>
      </c>
      <c r="O61" s="561">
        <v>0</v>
      </c>
      <c r="P61" s="561">
        <v>1046</v>
      </c>
      <c r="Q61" s="561">
        <v>3703</v>
      </c>
      <c r="R61" s="561">
        <v>20142</v>
      </c>
      <c r="S61" s="1217">
        <v>0</v>
      </c>
      <c r="T61" s="1217">
        <v>1188</v>
      </c>
      <c r="U61" s="1217">
        <v>0</v>
      </c>
      <c r="V61" s="561">
        <v>0</v>
      </c>
      <c r="W61" s="561">
        <v>336</v>
      </c>
      <c r="X61" s="561">
        <v>263</v>
      </c>
      <c r="Y61" s="561">
        <v>1650</v>
      </c>
      <c r="Z61" s="561">
        <v>133</v>
      </c>
      <c r="AA61" s="561">
        <v>0</v>
      </c>
      <c r="AB61" s="561">
        <v>0</v>
      </c>
      <c r="AC61" s="561">
        <v>0</v>
      </c>
      <c r="AD61" s="561">
        <v>0</v>
      </c>
      <c r="AE61" s="561">
        <v>0</v>
      </c>
      <c r="AF61" s="561">
        <v>0</v>
      </c>
      <c r="AG61" s="561">
        <v>14636</v>
      </c>
      <c r="AH61" s="561">
        <v>0</v>
      </c>
      <c r="AI61" s="561">
        <v>8407</v>
      </c>
      <c r="AJ61" s="561">
        <v>6626</v>
      </c>
      <c r="AK61" s="561">
        <v>0</v>
      </c>
      <c r="AL61" s="561">
        <v>0</v>
      </c>
      <c r="AM61" s="561">
        <v>59</v>
      </c>
      <c r="AN61" s="561">
        <v>274</v>
      </c>
      <c r="AO61" s="561">
        <v>14</v>
      </c>
      <c r="AP61" s="561">
        <v>73</v>
      </c>
      <c r="AQ61" s="561">
        <v>124</v>
      </c>
      <c r="AR61" s="561">
        <v>4</v>
      </c>
    </row>
    <row r="62" spans="1:44" x14ac:dyDescent="0.3">
      <c r="A62" s="1129" t="s">
        <v>2627</v>
      </c>
      <c r="B62" s="1129" t="s">
        <v>2628</v>
      </c>
      <c r="C62" s="1129" t="s">
        <v>2629</v>
      </c>
      <c r="D62" s="1129" t="s">
        <v>384</v>
      </c>
      <c r="E62" s="561">
        <v>-190</v>
      </c>
      <c r="F62" s="561">
        <v>0</v>
      </c>
      <c r="G62" s="561">
        <v>0</v>
      </c>
      <c r="H62" s="561">
        <v>0</v>
      </c>
      <c r="I62" s="561">
        <v>37</v>
      </c>
      <c r="J62" s="561">
        <v>0</v>
      </c>
      <c r="K62" s="561">
        <v>0</v>
      </c>
      <c r="L62" s="561">
        <v>940</v>
      </c>
      <c r="M62" s="561">
        <v>0</v>
      </c>
      <c r="N62" s="561">
        <v>0</v>
      </c>
      <c r="O62" s="561">
        <v>0</v>
      </c>
      <c r="P62" s="561">
        <v>87</v>
      </c>
      <c r="Q62" s="561">
        <v>523</v>
      </c>
      <c r="R62" s="561">
        <v>11404</v>
      </c>
      <c r="S62" s="1217">
        <v>603</v>
      </c>
      <c r="T62" s="1217">
        <v>0</v>
      </c>
      <c r="U62" s="1217">
        <v>0</v>
      </c>
      <c r="V62" s="561">
        <v>5474</v>
      </c>
      <c r="W62" s="561">
        <v>248</v>
      </c>
      <c r="X62" s="561">
        <v>219</v>
      </c>
      <c r="Y62" s="561">
        <v>757</v>
      </c>
      <c r="Z62" s="561">
        <v>0</v>
      </c>
      <c r="AA62" s="561">
        <v>0</v>
      </c>
      <c r="AB62" s="561">
        <v>0</v>
      </c>
      <c r="AC62" s="561">
        <v>0</v>
      </c>
      <c r="AD62" s="561">
        <v>0</v>
      </c>
      <c r="AE62" s="561">
        <v>0</v>
      </c>
      <c r="AF62" s="561">
        <v>0</v>
      </c>
      <c r="AG62" s="561">
        <v>1033</v>
      </c>
      <c r="AH62" s="561">
        <v>508</v>
      </c>
      <c r="AI62" s="561">
        <v>1761</v>
      </c>
      <c r="AJ62" s="561">
        <v>0</v>
      </c>
      <c r="AK62" s="561">
        <v>951</v>
      </c>
      <c r="AL62" s="561">
        <v>0</v>
      </c>
      <c r="AM62" s="561">
        <v>3</v>
      </c>
      <c r="AN62" s="561">
        <v>0</v>
      </c>
      <c r="AO62" s="561">
        <v>0</v>
      </c>
      <c r="AP62" s="561">
        <v>0</v>
      </c>
      <c r="AQ62" s="561">
        <v>16</v>
      </c>
      <c r="AR62" s="561">
        <v>0</v>
      </c>
    </row>
    <row r="63" spans="1:44" x14ac:dyDescent="0.3">
      <c r="A63" s="1129" t="s">
        <v>2630</v>
      </c>
      <c r="B63" s="1129" t="s">
        <v>2631</v>
      </c>
      <c r="C63" s="1129" t="s">
        <v>2632</v>
      </c>
      <c r="D63" s="1129" t="s">
        <v>384</v>
      </c>
      <c r="E63" s="561">
        <v>-368</v>
      </c>
      <c r="F63" s="561">
        <v>0</v>
      </c>
      <c r="G63" s="561">
        <v>0</v>
      </c>
      <c r="H63" s="561">
        <v>0</v>
      </c>
      <c r="I63" s="561">
        <v>37</v>
      </c>
      <c r="J63" s="561">
        <v>0</v>
      </c>
      <c r="K63" s="561">
        <v>0</v>
      </c>
      <c r="L63" s="561">
        <v>1009</v>
      </c>
      <c r="M63" s="561">
        <v>0</v>
      </c>
      <c r="N63" s="561">
        <v>0</v>
      </c>
      <c r="O63" s="561">
        <v>0</v>
      </c>
      <c r="P63" s="561">
        <v>935</v>
      </c>
      <c r="Q63" s="561">
        <v>6625</v>
      </c>
      <c r="R63" s="561">
        <v>16112</v>
      </c>
      <c r="S63" s="1217">
        <v>0</v>
      </c>
      <c r="T63" s="1217">
        <v>0</v>
      </c>
      <c r="U63" s="1217">
        <v>0</v>
      </c>
      <c r="V63" s="561">
        <v>2771</v>
      </c>
      <c r="W63" s="561">
        <v>267</v>
      </c>
      <c r="X63" s="561">
        <v>258</v>
      </c>
      <c r="Y63" s="561">
        <v>3400</v>
      </c>
      <c r="Z63" s="561">
        <v>0</v>
      </c>
      <c r="AA63" s="561">
        <v>0</v>
      </c>
      <c r="AB63" s="561">
        <v>0</v>
      </c>
      <c r="AC63" s="561">
        <v>0</v>
      </c>
      <c r="AD63" s="561">
        <v>0</v>
      </c>
      <c r="AE63" s="561">
        <v>0</v>
      </c>
      <c r="AF63" s="561">
        <v>0</v>
      </c>
      <c r="AG63" s="561">
        <v>6152</v>
      </c>
      <c r="AH63" s="561">
        <v>0</v>
      </c>
      <c r="AI63" s="561">
        <v>10626</v>
      </c>
      <c r="AJ63" s="561">
        <v>11357</v>
      </c>
      <c r="AK63" s="561">
        <v>8893</v>
      </c>
      <c r="AL63" s="561">
        <v>0</v>
      </c>
      <c r="AM63" s="561">
        <v>3</v>
      </c>
      <c r="AN63" s="561">
        <v>29</v>
      </c>
      <c r="AO63" s="561">
        <v>0</v>
      </c>
      <c r="AP63" s="561">
        <v>0</v>
      </c>
      <c r="AQ63" s="561">
        <v>50</v>
      </c>
      <c r="AR63" s="561">
        <v>0</v>
      </c>
    </row>
    <row r="64" spans="1:44" x14ac:dyDescent="0.3">
      <c r="A64" s="1129" t="s">
        <v>2633</v>
      </c>
      <c r="B64" s="1129" t="s">
        <v>2634</v>
      </c>
      <c r="C64" s="1129" t="s">
        <v>2635</v>
      </c>
      <c r="D64" s="1129" t="s">
        <v>2466</v>
      </c>
      <c r="E64" s="561">
        <v>-7086</v>
      </c>
      <c r="F64" s="561">
        <v>0</v>
      </c>
      <c r="G64" s="561">
        <v>0</v>
      </c>
      <c r="H64" s="561">
        <v>0</v>
      </c>
      <c r="I64" s="561">
        <v>0</v>
      </c>
      <c r="J64" s="561">
        <v>0</v>
      </c>
      <c r="K64" s="561">
        <v>0</v>
      </c>
      <c r="L64" s="561">
        <v>0</v>
      </c>
      <c r="M64" s="561">
        <v>0</v>
      </c>
      <c r="N64" s="561">
        <v>0</v>
      </c>
      <c r="O64" s="561">
        <v>0</v>
      </c>
      <c r="P64" s="561">
        <v>0</v>
      </c>
      <c r="Q64" s="561">
        <v>0</v>
      </c>
      <c r="R64" s="561">
        <v>38428</v>
      </c>
      <c r="S64" s="1217">
        <v>0</v>
      </c>
      <c r="T64" s="1217">
        <v>4390</v>
      </c>
      <c r="U64" s="1217">
        <v>0</v>
      </c>
      <c r="V64" s="561">
        <v>201</v>
      </c>
      <c r="W64" s="561">
        <v>0</v>
      </c>
      <c r="X64" s="561">
        <v>355</v>
      </c>
      <c r="Y64" s="561">
        <v>0</v>
      </c>
      <c r="Z64" s="561">
        <v>0</v>
      </c>
      <c r="AA64" s="561">
        <v>0</v>
      </c>
      <c r="AB64" s="561">
        <v>0</v>
      </c>
      <c r="AC64" s="561">
        <v>0</v>
      </c>
      <c r="AD64" s="561">
        <v>0</v>
      </c>
      <c r="AE64" s="561">
        <v>0</v>
      </c>
      <c r="AF64" s="561">
        <v>0</v>
      </c>
      <c r="AG64" s="561">
        <v>3118</v>
      </c>
      <c r="AH64" s="561">
        <v>0</v>
      </c>
      <c r="AI64" s="561">
        <v>19439</v>
      </c>
      <c r="AJ64" s="561">
        <v>1266</v>
      </c>
      <c r="AK64" s="561">
        <v>2103</v>
      </c>
      <c r="AL64" s="561">
        <v>0</v>
      </c>
      <c r="AM64" s="561">
        <v>0</v>
      </c>
      <c r="AN64" s="561">
        <v>0</v>
      </c>
      <c r="AO64" s="561">
        <v>0</v>
      </c>
      <c r="AP64" s="561">
        <v>0</v>
      </c>
      <c r="AQ64" s="561">
        <v>0</v>
      </c>
      <c r="AR64" s="561">
        <v>0</v>
      </c>
    </row>
    <row r="65" spans="1:44" x14ac:dyDescent="0.3">
      <c r="A65" s="1129" t="s">
        <v>2636</v>
      </c>
      <c r="B65" s="1129" t="s">
        <v>2637</v>
      </c>
      <c r="C65" s="1129" t="s">
        <v>2638</v>
      </c>
      <c r="D65" s="1129" t="s">
        <v>385</v>
      </c>
      <c r="E65" s="561">
        <v>-849</v>
      </c>
      <c r="F65" s="561">
        <v>0</v>
      </c>
      <c r="G65" s="561">
        <v>199604</v>
      </c>
      <c r="H65" s="561">
        <v>19622</v>
      </c>
      <c r="I65" s="561">
        <v>842</v>
      </c>
      <c r="J65" s="561">
        <v>29471</v>
      </c>
      <c r="K65" s="561">
        <v>10740</v>
      </c>
      <c r="L65" s="561">
        <v>1471</v>
      </c>
      <c r="M65" s="561">
        <v>6347</v>
      </c>
      <c r="N65" s="561">
        <v>905</v>
      </c>
      <c r="O65" s="561">
        <v>0</v>
      </c>
      <c r="P65" s="561">
        <v>3041</v>
      </c>
      <c r="Q65" s="561">
        <v>12822</v>
      </c>
      <c r="R65" s="561">
        <v>320086</v>
      </c>
      <c r="S65" s="1217">
        <v>0</v>
      </c>
      <c r="T65" s="1217">
        <v>0</v>
      </c>
      <c r="U65" s="1217">
        <v>-1000</v>
      </c>
      <c r="V65" s="561">
        <v>7885</v>
      </c>
      <c r="W65" s="561">
        <v>693</v>
      </c>
      <c r="X65" s="561">
        <v>2982</v>
      </c>
      <c r="Y65" s="561">
        <v>0</v>
      </c>
      <c r="Z65" s="561">
        <v>222</v>
      </c>
      <c r="AA65" s="561">
        <v>0</v>
      </c>
      <c r="AB65" s="561">
        <v>0</v>
      </c>
      <c r="AC65" s="561">
        <v>0</v>
      </c>
      <c r="AD65" s="561">
        <v>5362</v>
      </c>
      <c r="AE65" s="561">
        <v>0</v>
      </c>
      <c r="AF65" s="561">
        <v>2368</v>
      </c>
      <c r="AG65" s="561">
        <v>5580</v>
      </c>
      <c r="AH65" s="561">
        <v>2858</v>
      </c>
      <c r="AI65" s="561">
        <v>21040</v>
      </c>
      <c r="AJ65" s="561">
        <v>3099</v>
      </c>
      <c r="AK65" s="561">
        <v>2913</v>
      </c>
      <c r="AL65" s="561">
        <v>0</v>
      </c>
      <c r="AM65" s="561">
        <v>17</v>
      </c>
      <c r="AN65" s="561">
        <v>12</v>
      </c>
      <c r="AO65" s="561">
        <v>22</v>
      </c>
      <c r="AP65" s="561">
        <v>0</v>
      </c>
      <c r="AQ65" s="561">
        <v>0</v>
      </c>
      <c r="AR65" s="561">
        <v>1</v>
      </c>
    </row>
    <row r="66" spans="1:44" x14ac:dyDescent="0.3">
      <c r="A66" s="1129" t="s">
        <v>2639</v>
      </c>
      <c r="B66" s="1129" t="s">
        <v>2640</v>
      </c>
      <c r="C66" s="1129" t="s">
        <v>2641</v>
      </c>
      <c r="D66" s="1129" t="s">
        <v>2466</v>
      </c>
      <c r="E66" s="561">
        <v>0</v>
      </c>
      <c r="F66" s="561">
        <v>-151004</v>
      </c>
      <c r="G66" s="561">
        <v>0</v>
      </c>
      <c r="H66" s="561">
        <v>0</v>
      </c>
      <c r="I66" s="561">
        <v>0</v>
      </c>
      <c r="J66" s="561">
        <v>0</v>
      </c>
      <c r="K66" s="561">
        <v>0</v>
      </c>
      <c r="L66" s="561">
        <v>0</v>
      </c>
      <c r="M66" s="561">
        <v>0</v>
      </c>
      <c r="N66" s="561">
        <v>0</v>
      </c>
      <c r="O66" s="561">
        <v>0</v>
      </c>
      <c r="P66" s="561">
        <v>0</v>
      </c>
      <c r="Q66" s="561">
        <v>0</v>
      </c>
      <c r="R66" s="561">
        <v>111919</v>
      </c>
      <c r="S66" s="1217">
        <v>0</v>
      </c>
      <c r="T66" s="1217">
        <v>5197</v>
      </c>
      <c r="U66" s="1217">
        <v>0</v>
      </c>
      <c r="V66" s="561">
        <v>611</v>
      </c>
      <c r="W66" s="561">
        <v>0</v>
      </c>
      <c r="X66" s="561">
        <v>0</v>
      </c>
      <c r="Y66" s="561">
        <v>0</v>
      </c>
      <c r="Z66" s="561">
        <v>0</v>
      </c>
      <c r="AA66" s="561">
        <v>6847</v>
      </c>
      <c r="AB66" s="561">
        <v>3009</v>
      </c>
      <c r="AC66" s="561">
        <v>3907</v>
      </c>
      <c r="AD66" s="561">
        <v>0</v>
      </c>
      <c r="AE66" s="561">
        <v>0</v>
      </c>
      <c r="AF66" s="561">
        <v>0</v>
      </c>
      <c r="AG66" s="561">
        <v>5773</v>
      </c>
      <c r="AH66" s="561">
        <v>0</v>
      </c>
      <c r="AI66" s="561">
        <v>9955</v>
      </c>
      <c r="AJ66" s="561">
        <v>2223</v>
      </c>
      <c r="AK66" s="561">
        <v>3438</v>
      </c>
      <c r="AL66" s="561">
        <v>1926</v>
      </c>
      <c r="AM66" s="561">
        <v>0</v>
      </c>
      <c r="AN66" s="561">
        <v>0</v>
      </c>
      <c r="AO66" s="561">
        <v>0</v>
      </c>
      <c r="AP66" s="561">
        <v>0</v>
      </c>
      <c r="AQ66" s="561">
        <v>0</v>
      </c>
      <c r="AR66" s="561">
        <v>0</v>
      </c>
    </row>
    <row r="67" spans="1:44" x14ac:dyDescent="0.3">
      <c r="A67" s="1129" t="s">
        <v>2642</v>
      </c>
      <c r="B67" s="1129" t="s">
        <v>2643</v>
      </c>
      <c r="C67" s="1129" t="s">
        <v>2644</v>
      </c>
      <c r="D67" s="1129" t="s">
        <v>385</v>
      </c>
      <c r="E67" s="561">
        <v>-5166</v>
      </c>
      <c r="F67" s="561">
        <v>0</v>
      </c>
      <c r="G67" s="561">
        <v>264405</v>
      </c>
      <c r="H67" s="561">
        <v>19289</v>
      </c>
      <c r="I67" s="561">
        <v>841</v>
      </c>
      <c r="J67" s="561">
        <v>31661</v>
      </c>
      <c r="K67" s="561">
        <v>13354</v>
      </c>
      <c r="L67" s="561">
        <v>2001</v>
      </c>
      <c r="M67" s="561">
        <v>6419</v>
      </c>
      <c r="N67" s="561">
        <v>1019</v>
      </c>
      <c r="O67" s="561">
        <v>0</v>
      </c>
      <c r="P67" s="561">
        <v>1215</v>
      </c>
      <c r="Q67" s="561">
        <v>5518</v>
      </c>
      <c r="R67" s="561">
        <v>265966</v>
      </c>
      <c r="S67" s="1217">
        <v>803</v>
      </c>
      <c r="T67" s="1217">
        <v>166</v>
      </c>
      <c r="U67" s="1217">
        <v>0</v>
      </c>
      <c r="V67" s="561">
        <v>7942</v>
      </c>
      <c r="W67" s="561">
        <v>799</v>
      </c>
      <c r="X67" s="561">
        <v>3113</v>
      </c>
      <c r="Y67" s="561">
        <v>0</v>
      </c>
      <c r="Z67" s="561">
        <v>1405</v>
      </c>
      <c r="AA67" s="561">
        <v>0</v>
      </c>
      <c r="AB67" s="561">
        <v>0</v>
      </c>
      <c r="AC67" s="561">
        <v>0</v>
      </c>
      <c r="AD67" s="561">
        <v>8784</v>
      </c>
      <c r="AE67" s="561">
        <v>0</v>
      </c>
      <c r="AF67" s="561">
        <v>144</v>
      </c>
      <c r="AG67" s="561">
        <v>26198</v>
      </c>
      <c r="AH67" s="561">
        <v>11032</v>
      </c>
      <c r="AI67" s="561">
        <v>53839</v>
      </c>
      <c r="AJ67" s="561">
        <v>11619</v>
      </c>
      <c r="AK67" s="561">
        <v>0</v>
      </c>
      <c r="AL67" s="561">
        <v>0</v>
      </c>
      <c r="AM67" s="561">
        <v>25</v>
      </c>
      <c r="AN67" s="561">
        <v>0</v>
      </c>
      <c r="AO67" s="561">
        <v>4</v>
      </c>
      <c r="AP67" s="561">
        <v>0</v>
      </c>
      <c r="AQ67" s="561">
        <v>41</v>
      </c>
      <c r="AR67" s="561">
        <v>0</v>
      </c>
    </row>
    <row r="68" spans="1:44" x14ac:dyDescent="0.3">
      <c r="A68" s="1129" t="s">
        <v>2645</v>
      </c>
      <c r="B68" s="1129" t="s">
        <v>2646</v>
      </c>
      <c r="C68" s="1129" t="s">
        <v>2647</v>
      </c>
      <c r="D68" s="1129" t="s">
        <v>384</v>
      </c>
      <c r="E68" s="561">
        <v>-755</v>
      </c>
      <c r="F68" s="561">
        <v>0</v>
      </c>
      <c r="G68" s="561">
        <v>0</v>
      </c>
      <c r="H68" s="561">
        <v>0</v>
      </c>
      <c r="I68" s="561">
        <v>35</v>
      </c>
      <c r="J68" s="561">
        <v>0</v>
      </c>
      <c r="K68" s="561">
        <v>0</v>
      </c>
      <c r="L68" s="561">
        <v>528</v>
      </c>
      <c r="M68" s="561">
        <v>0</v>
      </c>
      <c r="N68" s="561">
        <v>0</v>
      </c>
      <c r="O68" s="561">
        <v>349</v>
      </c>
      <c r="P68" s="561">
        <v>193</v>
      </c>
      <c r="Q68" s="561">
        <v>629</v>
      </c>
      <c r="R68" s="561">
        <v>6680</v>
      </c>
      <c r="S68" s="1217">
        <v>6573</v>
      </c>
      <c r="T68" s="1217" t="s">
        <v>2453</v>
      </c>
      <c r="U68" s="1217" t="s">
        <v>2453</v>
      </c>
      <c r="V68" s="561">
        <v>4364</v>
      </c>
      <c r="W68" s="561">
        <v>347</v>
      </c>
      <c r="X68" s="561">
        <v>200</v>
      </c>
      <c r="Y68" s="561">
        <v>0</v>
      </c>
      <c r="Z68" s="561">
        <v>624</v>
      </c>
      <c r="AA68" s="561">
        <v>0</v>
      </c>
      <c r="AB68" s="561">
        <v>0</v>
      </c>
      <c r="AC68" s="561">
        <v>0</v>
      </c>
      <c r="AD68" s="561">
        <v>0</v>
      </c>
      <c r="AE68" s="561">
        <v>0</v>
      </c>
      <c r="AF68" s="561">
        <v>0</v>
      </c>
      <c r="AG68" s="561">
        <v>1500</v>
      </c>
      <c r="AH68" s="561">
        <v>0</v>
      </c>
      <c r="AI68" s="561">
        <v>5694</v>
      </c>
      <c r="AJ68" s="561">
        <v>1295</v>
      </c>
      <c r="AK68" s="561">
        <v>5190</v>
      </c>
      <c r="AL68" s="561">
        <v>0</v>
      </c>
      <c r="AM68" s="561">
        <v>15</v>
      </c>
      <c r="AN68" s="561">
        <v>0</v>
      </c>
      <c r="AO68" s="561">
        <v>0</v>
      </c>
      <c r="AP68" s="561">
        <v>0</v>
      </c>
      <c r="AQ68" s="561">
        <v>5</v>
      </c>
      <c r="AR68" s="561">
        <v>1</v>
      </c>
    </row>
    <row r="69" spans="1:44" x14ac:dyDescent="0.3">
      <c r="A69" s="1129" t="s">
        <v>2648</v>
      </c>
      <c r="B69" s="1129" t="s">
        <v>2649</v>
      </c>
      <c r="C69" s="1129" t="s">
        <v>2650</v>
      </c>
      <c r="D69" s="1129" t="s">
        <v>384</v>
      </c>
      <c r="E69" s="561">
        <v>-190</v>
      </c>
      <c r="F69" s="561">
        <v>0</v>
      </c>
      <c r="G69" s="561">
        <v>0</v>
      </c>
      <c r="H69" s="561">
        <v>0</v>
      </c>
      <c r="I69" s="561">
        <v>37</v>
      </c>
      <c r="J69" s="561">
        <v>0</v>
      </c>
      <c r="K69" s="561">
        <v>0</v>
      </c>
      <c r="L69" s="561">
        <v>916</v>
      </c>
      <c r="M69" s="561">
        <v>0</v>
      </c>
      <c r="N69" s="561">
        <v>0</v>
      </c>
      <c r="O69" s="561">
        <v>0</v>
      </c>
      <c r="P69" s="561">
        <v>824</v>
      </c>
      <c r="Q69" s="561">
        <v>5188</v>
      </c>
      <c r="R69" s="561">
        <v>16657</v>
      </c>
      <c r="S69" s="1217">
        <v>0</v>
      </c>
      <c r="T69" s="1217">
        <v>12352</v>
      </c>
      <c r="U69" s="1217">
        <v>0</v>
      </c>
      <c r="V69" s="561">
        <v>0</v>
      </c>
      <c r="W69" s="561">
        <v>258</v>
      </c>
      <c r="X69" s="561">
        <v>110</v>
      </c>
      <c r="Y69" s="561">
        <v>808</v>
      </c>
      <c r="Z69" s="561">
        <v>235</v>
      </c>
      <c r="AA69" s="561">
        <v>0</v>
      </c>
      <c r="AB69" s="561">
        <v>0</v>
      </c>
      <c r="AC69" s="561">
        <v>0</v>
      </c>
      <c r="AD69" s="561">
        <v>0</v>
      </c>
      <c r="AE69" s="561">
        <v>0</v>
      </c>
      <c r="AF69" s="561">
        <v>0</v>
      </c>
      <c r="AG69" s="561">
        <v>17030</v>
      </c>
      <c r="AH69" s="561">
        <v>0</v>
      </c>
      <c r="AI69" s="561">
        <v>38622</v>
      </c>
      <c r="AJ69" s="561">
        <v>4293</v>
      </c>
      <c r="AK69" s="561">
        <v>0</v>
      </c>
      <c r="AL69" s="561">
        <v>0</v>
      </c>
      <c r="AM69" s="561">
        <v>34</v>
      </c>
      <c r="AN69" s="561">
        <v>27</v>
      </c>
      <c r="AO69" s="561">
        <v>0</v>
      </c>
      <c r="AP69" s="561">
        <v>16</v>
      </c>
      <c r="AQ69" s="561">
        <v>55</v>
      </c>
      <c r="AR69" s="561">
        <v>0</v>
      </c>
    </row>
    <row r="70" spans="1:44" x14ac:dyDescent="0.3">
      <c r="A70" s="1129" t="s">
        <v>2651</v>
      </c>
      <c r="B70" s="1129" t="s">
        <v>2652</v>
      </c>
      <c r="C70" s="1129" t="s">
        <v>2653</v>
      </c>
      <c r="D70" s="1129" t="s">
        <v>384</v>
      </c>
      <c r="E70" s="561">
        <v>-157</v>
      </c>
      <c r="F70" s="561">
        <v>0</v>
      </c>
      <c r="G70" s="561">
        <v>0</v>
      </c>
      <c r="H70" s="561">
        <v>0</v>
      </c>
      <c r="I70" s="561">
        <v>34</v>
      </c>
      <c r="J70" s="561">
        <v>0</v>
      </c>
      <c r="K70" s="561">
        <v>0</v>
      </c>
      <c r="L70" s="561">
        <v>388</v>
      </c>
      <c r="M70" s="561">
        <v>0</v>
      </c>
      <c r="N70" s="561">
        <v>0</v>
      </c>
      <c r="O70" s="561">
        <v>187</v>
      </c>
      <c r="P70" s="561">
        <v>52</v>
      </c>
      <c r="Q70" s="561">
        <v>928</v>
      </c>
      <c r="R70" s="561">
        <v>9298</v>
      </c>
      <c r="S70" s="1217">
        <v>0</v>
      </c>
      <c r="T70" s="1217">
        <v>380</v>
      </c>
      <c r="U70" s="1217">
        <v>0</v>
      </c>
      <c r="V70" s="561">
        <v>1425</v>
      </c>
      <c r="W70" s="561">
        <v>234</v>
      </c>
      <c r="X70" s="561">
        <v>120</v>
      </c>
      <c r="Y70" s="561">
        <v>1170</v>
      </c>
      <c r="Z70" s="561">
        <v>0</v>
      </c>
      <c r="AA70" s="561">
        <v>0</v>
      </c>
      <c r="AB70" s="561">
        <v>0</v>
      </c>
      <c r="AC70" s="561">
        <v>0</v>
      </c>
      <c r="AD70" s="561">
        <v>0</v>
      </c>
      <c r="AE70" s="561">
        <v>0</v>
      </c>
      <c r="AF70" s="561">
        <v>0</v>
      </c>
      <c r="AG70" s="561">
        <v>4092</v>
      </c>
      <c r="AH70" s="561">
        <v>0</v>
      </c>
      <c r="AI70" s="561">
        <v>3942</v>
      </c>
      <c r="AJ70" s="561">
        <v>698</v>
      </c>
      <c r="AK70" s="561">
        <v>1450</v>
      </c>
      <c r="AL70" s="561">
        <v>0</v>
      </c>
      <c r="AM70" s="561">
        <v>7</v>
      </c>
      <c r="AN70" s="561">
        <v>0</v>
      </c>
      <c r="AO70" s="561">
        <v>5</v>
      </c>
      <c r="AP70" s="561">
        <v>0</v>
      </c>
      <c r="AQ70" s="561">
        <v>14</v>
      </c>
      <c r="AR70" s="561">
        <v>0</v>
      </c>
    </row>
    <row r="71" spans="1:44" x14ac:dyDescent="0.3">
      <c r="A71" s="1129" t="s">
        <v>2654</v>
      </c>
      <c r="B71" s="1129" t="s">
        <v>2655</v>
      </c>
      <c r="C71" s="1129" t="s">
        <v>2656</v>
      </c>
      <c r="D71" s="1129" t="s">
        <v>2476</v>
      </c>
      <c r="E71" s="561">
        <v>-7811</v>
      </c>
      <c r="F71" s="561">
        <v>-70183</v>
      </c>
      <c r="G71" s="561">
        <v>0</v>
      </c>
      <c r="H71" s="561">
        <v>1909</v>
      </c>
      <c r="I71" s="561">
        <v>53</v>
      </c>
      <c r="J71" s="561">
        <v>975</v>
      </c>
      <c r="K71" s="561">
        <v>399</v>
      </c>
      <c r="L71" s="561">
        <v>222</v>
      </c>
      <c r="M71" s="561">
        <v>213</v>
      </c>
      <c r="N71" s="561">
        <v>30</v>
      </c>
      <c r="O71" s="561">
        <v>0</v>
      </c>
      <c r="P71" s="561">
        <v>527</v>
      </c>
      <c r="Q71" s="561">
        <v>416</v>
      </c>
      <c r="R71" s="561">
        <v>10582</v>
      </c>
      <c r="S71" s="1217">
        <v>33</v>
      </c>
      <c r="T71" s="1217">
        <v>69078</v>
      </c>
      <c r="U71" s="1217">
        <v>0</v>
      </c>
      <c r="V71" s="561">
        <v>0</v>
      </c>
      <c r="W71" s="561">
        <v>53</v>
      </c>
      <c r="X71" s="561">
        <v>873</v>
      </c>
      <c r="Y71" s="561">
        <v>0</v>
      </c>
      <c r="Z71" s="561">
        <v>1703</v>
      </c>
      <c r="AA71" s="561">
        <v>3106</v>
      </c>
      <c r="AB71" s="561">
        <v>1474</v>
      </c>
      <c r="AC71" s="561">
        <v>1468</v>
      </c>
      <c r="AD71" s="561">
        <v>157</v>
      </c>
      <c r="AE71" s="561">
        <v>0</v>
      </c>
      <c r="AF71" s="561">
        <v>97</v>
      </c>
      <c r="AG71" s="561">
        <v>20000</v>
      </c>
      <c r="AH71" s="561">
        <v>0</v>
      </c>
      <c r="AI71" s="561">
        <v>308608</v>
      </c>
      <c r="AJ71" s="561">
        <v>0</v>
      </c>
      <c r="AK71" s="561">
        <v>0</v>
      </c>
      <c r="AL71" s="561">
        <v>5354</v>
      </c>
      <c r="AM71" s="561">
        <v>3</v>
      </c>
      <c r="AN71" s="561">
        <v>25</v>
      </c>
      <c r="AO71" s="561">
        <v>0</v>
      </c>
      <c r="AP71" s="561">
        <v>0</v>
      </c>
      <c r="AQ71" s="561">
        <v>0</v>
      </c>
      <c r="AR71" s="561">
        <v>1</v>
      </c>
    </row>
    <row r="72" spans="1:44" x14ac:dyDescent="0.3">
      <c r="A72" s="1129" t="s">
        <v>2657</v>
      </c>
      <c r="B72" s="1129" t="s">
        <v>2658</v>
      </c>
      <c r="C72" s="1129" t="s">
        <v>2659</v>
      </c>
      <c r="D72" s="1129" t="s">
        <v>2466</v>
      </c>
      <c r="E72" s="561">
        <v>-8027</v>
      </c>
      <c r="F72" s="561">
        <v>0</v>
      </c>
      <c r="G72" s="561">
        <v>0</v>
      </c>
      <c r="H72" s="561">
        <v>0</v>
      </c>
      <c r="I72" s="561">
        <v>0</v>
      </c>
      <c r="J72" s="561">
        <v>0</v>
      </c>
      <c r="K72" s="561">
        <v>0</v>
      </c>
      <c r="L72" s="561">
        <v>0</v>
      </c>
      <c r="M72" s="561">
        <v>0</v>
      </c>
      <c r="N72" s="561">
        <v>0</v>
      </c>
      <c r="O72" s="561">
        <v>0</v>
      </c>
      <c r="P72" s="561">
        <v>0</v>
      </c>
      <c r="Q72" s="561">
        <v>0</v>
      </c>
      <c r="R72" s="561">
        <v>15658</v>
      </c>
      <c r="S72" s="1217">
        <v>0</v>
      </c>
      <c r="T72" s="1217">
        <v>0</v>
      </c>
      <c r="U72" s="1217">
        <v>0</v>
      </c>
      <c r="V72" s="561">
        <v>194</v>
      </c>
      <c r="W72" s="561">
        <v>0</v>
      </c>
      <c r="X72" s="561">
        <v>236</v>
      </c>
      <c r="Y72" s="561">
        <v>0</v>
      </c>
      <c r="Z72" s="561">
        <v>0</v>
      </c>
      <c r="AA72" s="561">
        <v>0</v>
      </c>
      <c r="AB72" s="561">
        <v>0</v>
      </c>
      <c r="AC72" s="561">
        <v>0</v>
      </c>
      <c r="AD72" s="561">
        <v>0</v>
      </c>
      <c r="AE72" s="561">
        <v>0</v>
      </c>
      <c r="AF72" s="561">
        <v>0</v>
      </c>
      <c r="AG72" s="561">
        <v>1897</v>
      </c>
      <c r="AH72" s="561">
        <v>0</v>
      </c>
      <c r="AI72" s="561">
        <v>12071</v>
      </c>
      <c r="AJ72" s="561">
        <v>0</v>
      </c>
      <c r="AK72" s="561">
        <v>0</v>
      </c>
      <c r="AL72" s="561">
        <v>0</v>
      </c>
      <c r="AM72" s="561">
        <v>0</v>
      </c>
      <c r="AN72" s="561">
        <v>0</v>
      </c>
      <c r="AO72" s="561">
        <v>0</v>
      </c>
      <c r="AP72" s="561">
        <v>0</v>
      </c>
      <c r="AQ72" s="561">
        <v>0</v>
      </c>
      <c r="AR72" s="561">
        <v>0</v>
      </c>
    </row>
    <row r="73" spans="1:44" x14ac:dyDescent="0.3">
      <c r="A73" s="1129" t="s">
        <v>2660</v>
      </c>
      <c r="B73" s="1129" t="s">
        <v>2661</v>
      </c>
      <c r="C73" s="1129" t="s">
        <v>2662</v>
      </c>
      <c r="D73" s="1129" t="s">
        <v>2466</v>
      </c>
      <c r="E73" s="561">
        <v>0</v>
      </c>
      <c r="F73" s="561">
        <v>-121443</v>
      </c>
      <c r="G73" s="561">
        <v>0</v>
      </c>
      <c r="H73" s="561">
        <v>0</v>
      </c>
      <c r="I73" s="561">
        <v>0</v>
      </c>
      <c r="J73" s="561">
        <v>0</v>
      </c>
      <c r="K73" s="561">
        <v>0</v>
      </c>
      <c r="L73" s="561">
        <v>0</v>
      </c>
      <c r="M73" s="561">
        <v>0</v>
      </c>
      <c r="N73" s="561">
        <v>0</v>
      </c>
      <c r="O73" s="561">
        <v>0</v>
      </c>
      <c r="P73" s="561">
        <v>0</v>
      </c>
      <c r="Q73" s="561">
        <v>0</v>
      </c>
      <c r="R73" s="561">
        <v>52668</v>
      </c>
      <c r="S73" s="1217">
        <v>0</v>
      </c>
      <c r="T73" s="1217">
        <v>0</v>
      </c>
      <c r="U73" s="1217">
        <v>0</v>
      </c>
      <c r="V73" s="561">
        <v>491</v>
      </c>
      <c r="W73" s="561">
        <v>0</v>
      </c>
      <c r="X73" s="561">
        <v>0</v>
      </c>
      <c r="Y73" s="561">
        <v>0</v>
      </c>
      <c r="Z73" s="561">
        <v>0</v>
      </c>
      <c r="AA73" s="561">
        <v>6727</v>
      </c>
      <c r="AB73" s="561">
        <v>2399</v>
      </c>
      <c r="AC73" s="561">
        <v>2418</v>
      </c>
      <c r="AD73" s="561">
        <v>0</v>
      </c>
      <c r="AE73" s="561">
        <v>0</v>
      </c>
      <c r="AF73" s="561">
        <v>0</v>
      </c>
      <c r="AG73" s="561">
        <v>5772</v>
      </c>
      <c r="AH73" s="561">
        <v>0</v>
      </c>
      <c r="AI73" s="561">
        <v>14161</v>
      </c>
      <c r="AJ73" s="561">
        <v>0</v>
      </c>
      <c r="AK73" s="561">
        <v>0</v>
      </c>
      <c r="AL73" s="561">
        <v>0</v>
      </c>
      <c r="AM73" s="561">
        <v>0</v>
      </c>
      <c r="AN73" s="561">
        <v>0</v>
      </c>
      <c r="AO73" s="561">
        <v>0</v>
      </c>
      <c r="AP73" s="561">
        <v>0</v>
      </c>
      <c r="AQ73" s="561">
        <v>0</v>
      </c>
      <c r="AR73" s="561">
        <v>0</v>
      </c>
    </row>
    <row r="74" spans="1:44" x14ac:dyDescent="0.3">
      <c r="A74" s="1129" t="s">
        <v>2663</v>
      </c>
      <c r="B74" s="1129" t="s">
        <v>2664</v>
      </c>
      <c r="C74" s="1129" t="s">
        <v>2665</v>
      </c>
      <c r="D74" s="1129" t="s">
        <v>384</v>
      </c>
      <c r="E74" s="561">
        <v>-269</v>
      </c>
      <c r="F74" s="561">
        <v>0</v>
      </c>
      <c r="G74" s="561">
        <v>0</v>
      </c>
      <c r="H74" s="561">
        <v>0</v>
      </c>
      <c r="I74" s="561">
        <v>37</v>
      </c>
      <c r="J74" s="561">
        <v>0</v>
      </c>
      <c r="K74" s="561">
        <v>0</v>
      </c>
      <c r="L74" s="561">
        <v>1655</v>
      </c>
      <c r="M74" s="561">
        <v>0</v>
      </c>
      <c r="N74" s="561">
        <v>0</v>
      </c>
      <c r="O74" s="561">
        <v>240</v>
      </c>
      <c r="P74" s="561">
        <v>736</v>
      </c>
      <c r="Q74" s="561">
        <v>2695</v>
      </c>
      <c r="R74" s="561">
        <v>17778</v>
      </c>
      <c r="S74" s="1217">
        <v>6049</v>
      </c>
      <c r="T74" s="1217">
        <v>0</v>
      </c>
      <c r="U74" s="1217">
        <v>0</v>
      </c>
      <c r="V74" s="561">
        <v>6253</v>
      </c>
      <c r="W74" s="561">
        <v>392</v>
      </c>
      <c r="X74" s="561">
        <v>248</v>
      </c>
      <c r="Y74" s="561">
        <v>1188</v>
      </c>
      <c r="Z74" s="561">
        <v>255</v>
      </c>
      <c r="AA74" s="561">
        <v>0</v>
      </c>
      <c r="AB74" s="561">
        <v>0</v>
      </c>
      <c r="AC74" s="561">
        <v>0</v>
      </c>
      <c r="AD74" s="561">
        <v>0</v>
      </c>
      <c r="AE74" s="561">
        <v>0</v>
      </c>
      <c r="AF74" s="561">
        <v>0</v>
      </c>
      <c r="AG74" s="561">
        <v>0</v>
      </c>
      <c r="AH74" s="561">
        <v>0</v>
      </c>
      <c r="AI74" s="561">
        <v>0</v>
      </c>
      <c r="AJ74" s="561">
        <v>0</v>
      </c>
      <c r="AK74" s="561">
        <v>0</v>
      </c>
      <c r="AL74" s="561">
        <v>0</v>
      </c>
      <c r="AM74" s="561">
        <v>40</v>
      </c>
      <c r="AN74" s="561">
        <v>86</v>
      </c>
      <c r="AO74" s="561">
        <v>0</v>
      </c>
      <c r="AP74" s="561">
        <v>115</v>
      </c>
      <c r="AQ74" s="561">
        <v>197</v>
      </c>
      <c r="AR74" s="561">
        <v>3</v>
      </c>
    </row>
    <row r="75" spans="1:44" x14ac:dyDescent="0.3">
      <c r="A75" s="1129" t="s">
        <v>2666</v>
      </c>
      <c r="B75" s="1129" t="s">
        <v>2667</v>
      </c>
      <c r="C75" s="1129" t="s">
        <v>2668</v>
      </c>
      <c r="D75" s="1129" t="s">
        <v>385</v>
      </c>
      <c r="E75" s="561">
        <v>0</v>
      </c>
      <c r="F75" s="561">
        <v>0</v>
      </c>
      <c r="G75" s="561">
        <v>225910</v>
      </c>
      <c r="H75" s="561">
        <v>29836</v>
      </c>
      <c r="I75" s="561">
        <v>1524</v>
      </c>
      <c r="J75" s="561">
        <v>66705</v>
      </c>
      <c r="K75" s="561">
        <v>30048</v>
      </c>
      <c r="L75" s="561">
        <v>4271</v>
      </c>
      <c r="M75" s="561">
        <v>12221</v>
      </c>
      <c r="N75" s="561">
        <v>1439</v>
      </c>
      <c r="O75" s="561">
        <v>0</v>
      </c>
      <c r="P75" s="561">
        <v>5342</v>
      </c>
      <c r="Q75" s="561">
        <v>40984</v>
      </c>
      <c r="R75" s="561">
        <v>482363</v>
      </c>
      <c r="S75" s="1217">
        <v>4179</v>
      </c>
      <c r="T75" s="1217">
        <v>4401</v>
      </c>
      <c r="U75" s="1217">
        <v>-2515</v>
      </c>
      <c r="V75" s="561">
        <v>23700</v>
      </c>
      <c r="W75" s="561">
        <v>1523</v>
      </c>
      <c r="X75" s="561">
        <v>5077</v>
      </c>
      <c r="Y75" s="561">
        <v>0</v>
      </c>
      <c r="Z75" s="561">
        <v>4275</v>
      </c>
      <c r="AA75" s="561">
        <v>0</v>
      </c>
      <c r="AB75" s="561">
        <v>0</v>
      </c>
      <c r="AC75" s="561">
        <v>0</v>
      </c>
      <c r="AD75" s="561">
        <v>10951</v>
      </c>
      <c r="AE75" s="561">
        <v>0</v>
      </c>
      <c r="AF75" s="561">
        <v>6994</v>
      </c>
      <c r="AG75" s="561">
        <v>41184</v>
      </c>
      <c r="AH75" s="561">
        <v>70502</v>
      </c>
      <c r="AI75" s="561">
        <v>95816</v>
      </c>
      <c r="AJ75" s="561">
        <v>6881</v>
      </c>
      <c r="AK75" s="561">
        <v>13860</v>
      </c>
      <c r="AL75" s="561">
        <v>0</v>
      </c>
      <c r="AM75" s="561">
        <v>230</v>
      </c>
      <c r="AN75" s="561">
        <v>220</v>
      </c>
      <c r="AO75" s="561">
        <v>18</v>
      </c>
      <c r="AP75" s="561">
        <v>59</v>
      </c>
      <c r="AQ75" s="561">
        <v>275</v>
      </c>
      <c r="AR75" s="561">
        <v>16</v>
      </c>
    </row>
    <row r="76" spans="1:44" x14ac:dyDescent="0.3">
      <c r="A76" s="1129" t="s">
        <v>2669</v>
      </c>
      <c r="B76" s="1129" t="s">
        <v>2670</v>
      </c>
      <c r="C76" s="1129" t="s">
        <v>2671</v>
      </c>
      <c r="D76" s="1129" t="s">
        <v>384</v>
      </c>
      <c r="E76" s="561">
        <v>-164</v>
      </c>
      <c r="F76" s="561">
        <v>0</v>
      </c>
      <c r="G76" s="561">
        <v>0</v>
      </c>
      <c r="H76" s="561">
        <v>0</v>
      </c>
      <c r="I76" s="561">
        <v>37</v>
      </c>
      <c r="J76" s="561">
        <v>0</v>
      </c>
      <c r="K76" s="561">
        <v>0</v>
      </c>
      <c r="L76" s="561">
        <v>369</v>
      </c>
      <c r="M76" s="561">
        <v>0</v>
      </c>
      <c r="N76" s="561">
        <v>0</v>
      </c>
      <c r="O76" s="561">
        <v>0</v>
      </c>
      <c r="P76" s="561">
        <v>820</v>
      </c>
      <c r="Q76" s="561">
        <v>5159</v>
      </c>
      <c r="R76" s="561">
        <v>12224</v>
      </c>
      <c r="S76" s="1217">
        <v>0</v>
      </c>
      <c r="T76" s="1217">
        <v>0</v>
      </c>
      <c r="U76" s="1217">
        <v>0</v>
      </c>
      <c r="V76" s="561">
        <v>0</v>
      </c>
      <c r="W76" s="561">
        <v>156</v>
      </c>
      <c r="X76" s="561">
        <v>133</v>
      </c>
      <c r="Y76" s="561">
        <v>2230</v>
      </c>
      <c r="Z76" s="561">
        <v>0</v>
      </c>
      <c r="AA76" s="561">
        <v>0</v>
      </c>
      <c r="AB76" s="561">
        <v>0</v>
      </c>
      <c r="AC76" s="561">
        <v>0</v>
      </c>
      <c r="AD76" s="561">
        <v>0</v>
      </c>
      <c r="AE76" s="561">
        <v>0</v>
      </c>
      <c r="AF76" s="561">
        <v>0</v>
      </c>
      <c r="AG76" s="561">
        <v>1760</v>
      </c>
      <c r="AH76" s="561">
        <v>0</v>
      </c>
      <c r="AI76" s="561">
        <v>4250</v>
      </c>
      <c r="AJ76" s="561">
        <v>1467</v>
      </c>
      <c r="AK76" s="561">
        <v>2512</v>
      </c>
      <c r="AL76" s="561">
        <v>0</v>
      </c>
      <c r="AM76" s="561">
        <v>17</v>
      </c>
      <c r="AN76" s="561">
        <v>0</v>
      </c>
      <c r="AO76" s="561">
        <v>0</v>
      </c>
      <c r="AP76" s="561">
        <v>0</v>
      </c>
      <c r="AQ76" s="561">
        <v>16</v>
      </c>
      <c r="AR76" s="561">
        <v>0</v>
      </c>
    </row>
    <row r="77" spans="1:44" x14ac:dyDescent="0.3">
      <c r="A77" s="1129" t="s">
        <v>2672</v>
      </c>
      <c r="B77" s="1129" t="s">
        <v>2673</v>
      </c>
      <c r="C77" s="1129" t="s">
        <v>2674</v>
      </c>
      <c r="D77" s="1129" t="s">
        <v>379</v>
      </c>
      <c r="E77" s="561">
        <v>0</v>
      </c>
      <c r="F77" s="561">
        <v>0</v>
      </c>
      <c r="G77" s="561">
        <v>227180</v>
      </c>
      <c r="H77" s="561">
        <v>26226</v>
      </c>
      <c r="I77" s="561">
        <v>1104</v>
      </c>
      <c r="J77" s="561">
        <v>41993</v>
      </c>
      <c r="K77" s="561">
        <v>19476</v>
      </c>
      <c r="L77" s="561">
        <v>3525</v>
      </c>
      <c r="M77" s="561">
        <v>6786</v>
      </c>
      <c r="N77" s="561">
        <v>2185</v>
      </c>
      <c r="O77" s="561">
        <v>9590</v>
      </c>
      <c r="P77" s="561">
        <v>72</v>
      </c>
      <c r="Q77" s="561">
        <v>51</v>
      </c>
      <c r="R77" s="561">
        <v>189491</v>
      </c>
      <c r="S77" s="1217">
        <v>0</v>
      </c>
      <c r="T77" s="1217">
        <v>969</v>
      </c>
      <c r="U77" s="1217">
        <v>0</v>
      </c>
      <c r="V77" s="561">
        <v>8580</v>
      </c>
      <c r="W77" s="561">
        <v>1005</v>
      </c>
      <c r="X77" s="561">
        <v>2959</v>
      </c>
      <c r="Y77" s="561">
        <v>0</v>
      </c>
      <c r="Z77" s="561">
        <v>1566</v>
      </c>
      <c r="AA77" s="561">
        <v>0</v>
      </c>
      <c r="AB77" s="561">
        <v>0</v>
      </c>
      <c r="AC77" s="561">
        <v>0</v>
      </c>
      <c r="AD77" s="561">
        <v>23539</v>
      </c>
      <c r="AE77" s="561">
        <v>14290</v>
      </c>
      <c r="AF77" s="561">
        <v>4026</v>
      </c>
      <c r="AG77" s="561">
        <v>10277</v>
      </c>
      <c r="AH77" s="561">
        <v>6730</v>
      </c>
      <c r="AI77" s="561">
        <v>91083</v>
      </c>
      <c r="AJ77" s="561">
        <v>5947</v>
      </c>
      <c r="AK77" s="561">
        <v>0</v>
      </c>
      <c r="AL77" s="561">
        <v>0</v>
      </c>
      <c r="AM77" s="561">
        <v>67</v>
      </c>
      <c r="AN77" s="561">
        <v>420</v>
      </c>
      <c r="AO77" s="561">
        <v>0</v>
      </c>
      <c r="AP77" s="561">
        <v>556</v>
      </c>
      <c r="AQ77" s="561">
        <v>186</v>
      </c>
      <c r="AR77" s="561">
        <v>0</v>
      </c>
    </row>
    <row r="78" spans="1:44" x14ac:dyDescent="0.3">
      <c r="A78" s="1129" t="s">
        <v>2675</v>
      </c>
      <c r="B78" s="1129" t="s">
        <v>2676</v>
      </c>
      <c r="C78" s="1129" t="s">
        <v>2677</v>
      </c>
      <c r="D78" s="1129" t="s">
        <v>384</v>
      </c>
      <c r="E78" s="561">
        <v>-281</v>
      </c>
      <c r="F78" s="561">
        <v>0</v>
      </c>
      <c r="G78" s="561">
        <v>0</v>
      </c>
      <c r="H78" s="561">
        <v>0</v>
      </c>
      <c r="I78" s="561">
        <v>39</v>
      </c>
      <c r="J78" s="561">
        <v>0</v>
      </c>
      <c r="K78" s="561">
        <v>0</v>
      </c>
      <c r="L78" s="561">
        <v>1796</v>
      </c>
      <c r="M78" s="561">
        <v>0</v>
      </c>
      <c r="N78" s="561">
        <v>0</v>
      </c>
      <c r="O78" s="561">
        <v>375</v>
      </c>
      <c r="P78" s="561">
        <v>20</v>
      </c>
      <c r="Q78" s="561">
        <v>0</v>
      </c>
      <c r="R78" s="561">
        <v>8841</v>
      </c>
      <c r="S78" s="1217">
        <v>4999.8</v>
      </c>
      <c r="T78" s="1217">
        <v>0</v>
      </c>
      <c r="U78" s="1217">
        <v>0</v>
      </c>
      <c r="V78" s="561">
        <v>6449</v>
      </c>
      <c r="W78" s="561">
        <v>332</v>
      </c>
      <c r="X78" s="561">
        <v>244</v>
      </c>
      <c r="Y78" s="561">
        <v>381</v>
      </c>
      <c r="Z78" s="561">
        <v>423</v>
      </c>
      <c r="AA78" s="561">
        <v>0</v>
      </c>
      <c r="AB78" s="561">
        <v>0</v>
      </c>
      <c r="AC78" s="561">
        <v>0</v>
      </c>
      <c r="AD78" s="561">
        <v>0</v>
      </c>
      <c r="AE78" s="561">
        <v>0</v>
      </c>
      <c r="AF78" s="561">
        <v>0</v>
      </c>
      <c r="AG78" s="561">
        <v>3810</v>
      </c>
      <c r="AH78" s="561">
        <v>0</v>
      </c>
      <c r="AI78" s="561">
        <v>7296</v>
      </c>
      <c r="AJ78" s="561">
        <v>661</v>
      </c>
      <c r="AK78" s="561">
        <v>40</v>
      </c>
      <c r="AL78" s="561">
        <v>3171</v>
      </c>
      <c r="AM78" s="561">
        <v>59</v>
      </c>
      <c r="AN78" s="561">
        <v>351</v>
      </c>
      <c r="AO78" s="561">
        <v>17</v>
      </c>
      <c r="AP78" s="561">
        <v>3</v>
      </c>
      <c r="AQ78" s="561">
        <v>197</v>
      </c>
      <c r="AR78" s="561">
        <v>0</v>
      </c>
    </row>
    <row r="79" spans="1:44" x14ac:dyDescent="0.3">
      <c r="A79" s="1129" t="s">
        <v>2678</v>
      </c>
      <c r="B79" s="1129" t="s">
        <v>2679</v>
      </c>
      <c r="C79" s="1129" t="s">
        <v>2680</v>
      </c>
      <c r="D79" s="1129" t="s">
        <v>2476</v>
      </c>
      <c r="E79" s="561">
        <v>-18208</v>
      </c>
      <c r="F79" s="561">
        <v>0</v>
      </c>
      <c r="G79" s="561">
        <v>236574</v>
      </c>
      <c r="H79" s="561">
        <v>25979</v>
      </c>
      <c r="I79" s="561">
        <v>38</v>
      </c>
      <c r="J79" s="561">
        <v>28762</v>
      </c>
      <c r="K79" s="561">
        <v>12310</v>
      </c>
      <c r="L79" s="561">
        <v>12783</v>
      </c>
      <c r="M79" s="561">
        <v>6131</v>
      </c>
      <c r="N79" s="561">
        <v>2037</v>
      </c>
      <c r="O79" s="561">
        <v>0</v>
      </c>
      <c r="P79" s="561">
        <v>2251</v>
      </c>
      <c r="Q79" s="561">
        <v>0</v>
      </c>
      <c r="R79" s="561">
        <v>275431</v>
      </c>
      <c r="S79" s="1217">
        <v>30825.96</v>
      </c>
      <c r="T79" s="1217">
        <v>0</v>
      </c>
      <c r="U79" s="1217">
        <v>0</v>
      </c>
      <c r="V79" s="561">
        <v>50757</v>
      </c>
      <c r="W79" s="561">
        <v>1303</v>
      </c>
      <c r="X79" s="561">
        <v>3469</v>
      </c>
      <c r="Y79" s="561">
        <v>0</v>
      </c>
      <c r="Z79" s="561">
        <v>1392</v>
      </c>
      <c r="AA79" s="561">
        <v>0</v>
      </c>
      <c r="AB79" s="561">
        <v>0</v>
      </c>
      <c r="AC79" s="561">
        <v>0</v>
      </c>
      <c r="AD79" s="561">
        <v>7260</v>
      </c>
      <c r="AE79" s="561">
        <v>0</v>
      </c>
      <c r="AF79" s="561">
        <v>15206</v>
      </c>
      <c r="AG79" s="561">
        <v>27516</v>
      </c>
      <c r="AH79" s="561">
        <v>0</v>
      </c>
      <c r="AI79" s="561">
        <v>30844</v>
      </c>
      <c r="AJ79" s="561">
        <v>59799</v>
      </c>
      <c r="AK79" s="561">
        <v>4294</v>
      </c>
      <c r="AL79" s="561">
        <v>35868</v>
      </c>
      <c r="AM79" s="561">
        <v>22</v>
      </c>
      <c r="AN79" s="561">
        <v>1785</v>
      </c>
      <c r="AO79" s="561">
        <v>233</v>
      </c>
      <c r="AP79" s="561">
        <v>635</v>
      </c>
      <c r="AQ79" s="561">
        <v>330</v>
      </c>
      <c r="AR79" s="561">
        <v>383</v>
      </c>
    </row>
    <row r="80" spans="1:44" s="562" customFormat="1" ht="14.15" customHeight="1" x14ac:dyDescent="0.3">
      <c r="A80" s="1129" t="s">
        <v>2681</v>
      </c>
      <c r="B80" s="1129" t="s">
        <v>2682</v>
      </c>
      <c r="C80" s="1129" t="s">
        <v>2683</v>
      </c>
      <c r="D80" s="1129" t="s">
        <v>385</v>
      </c>
      <c r="E80" s="561">
        <v>-12993</v>
      </c>
      <c r="F80" s="561">
        <v>0</v>
      </c>
      <c r="G80" s="561">
        <v>205044</v>
      </c>
      <c r="H80" s="561">
        <v>13316</v>
      </c>
      <c r="I80" s="561">
        <v>842</v>
      </c>
      <c r="J80" s="561">
        <v>37358</v>
      </c>
      <c r="K80" s="561">
        <v>18032</v>
      </c>
      <c r="L80" s="561">
        <v>1127</v>
      </c>
      <c r="M80" s="561">
        <v>6078</v>
      </c>
      <c r="N80" s="561">
        <v>743</v>
      </c>
      <c r="O80" s="561">
        <v>1476</v>
      </c>
      <c r="P80" s="561">
        <v>1317</v>
      </c>
      <c r="Q80" s="561">
        <v>6020</v>
      </c>
      <c r="R80" s="561">
        <v>184745</v>
      </c>
      <c r="S80" s="1217" t="s">
        <v>2453</v>
      </c>
      <c r="T80" s="1217" t="s">
        <v>2453</v>
      </c>
      <c r="U80" s="1217" t="s">
        <v>2453</v>
      </c>
      <c r="V80" s="561">
        <v>9504</v>
      </c>
      <c r="W80" s="561">
        <v>691</v>
      </c>
      <c r="X80" s="561">
        <v>2220</v>
      </c>
      <c r="Y80" s="561">
        <v>0</v>
      </c>
      <c r="Z80" s="561">
        <v>695</v>
      </c>
      <c r="AA80" s="561">
        <v>0</v>
      </c>
      <c r="AB80" s="561">
        <v>0</v>
      </c>
      <c r="AC80" s="561">
        <v>0</v>
      </c>
      <c r="AD80" s="561">
        <v>69448</v>
      </c>
      <c r="AE80" s="561">
        <v>4806</v>
      </c>
      <c r="AF80" s="561">
        <v>1240</v>
      </c>
      <c r="AG80" s="561">
        <v>1979</v>
      </c>
      <c r="AH80" s="561">
        <v>8195</v>
      </c>
      <c r="AI80" s="561">
        <v>7489</v>
      </c>
      <c r="AJ80" s="561">
        <v>1148</v>
      </c>
      <c r="AK80" s="561">
        <v>9760</v>
      </c>
      <c r="AL80" s="561">
        <v>45094</v>
      </c>
      <c r="AM80" s="561">
        <v>19</v>
      </c>
      <c r="AN80" s="561">
        <v>0</v>
      </c>
      <c r="AO80" s="561">
        <v>0</v>
      </c>
      <c r="AP80" s="561">
        <v>0</v>
      </c>
      <c r="AQ80" s="561">
        <v>52</v>
      </c>
      <c r="AR80" s="561">
        <v>1</v>
      </c>
    </row>
    <row r="81" spans="1:44" x14ac:dyDescent="0.3">
      <c r="A81" s="1129" t="s">
        <v>2684</v>
      </c>
      <c r="B81" s="1129" t="s">
        <v>2685</v>
      </c>
      <c r="C81" s="1129" t="s">
        <v>2686</v>
      </c>
      <c r="D81" s="1129" t="s">
        <v>2466</v>
      </c>
      <c r="E81" s="561">
        <v>-4765</v>
      </c>
      <c r="F81" s="561">
        <v>0</v>
      </c>
      <c r="G81" s="561">
        <v>0</v>
      </c>
      <c r="H81" s="561">
        <v>0</v>
      </c>
      <c r="I81" s="561">
        <v>0</v>
      </c>
      <c r="J81" s="561">
        <v>0</v>
      </c>
      <c r="K81" s="561">
        <v>0</v>
      </c>
      <c r="L81" s="561">
        <v>0</v>
      </c>
      <c r="M81" s="561">
        <v>0</v>
      </c>
      <c r="N81" s="561">
        <v>0</v>
      </c>
      <c r="O81" s="561">
        <v>0</v>
      </c>
      <c r="P81" s="561">
        <v>0</v>
      </c>
      <c r="Q81" s="561">
        <v>0</v>
      </c>
      <c r="R81" s="561">
        <v>18642</v>
      </c>
      <c r="S81" s="1217">
        <v>0</v>
      </c>
      <c r="T81" s="1217">
        <v>0</v>
      </c>
      <c r="U81" s="1217">
        <v>0</v>
      </c>
      <c r="V81" s="561">
        <v>195</v>
      </c>
      <c r="W81" s="561">
        <v>0</v>
      </c>
      <c r="X81" s="561">
        <v>217</v>
      </c>
      <c r="Y81" s="561">
        <v>0</v>
      </c>
      <c r="Z81" s="561">
        <v>0</v>
      </c>
      <c r="AA81" s="561">
        <v>0</v>
      </c>
      <c r="AB81" s="561">
        <v>0</v>
      </c>
      <c r="AC81" s="561">
        <v>0</v>
      </c>
      <c r="AD81" s="561">
        <v>0</v>
      </c>
      <c r="AE81" s="561">
        <v>0</v>
      </c>
      <c r="AF81" s="561">
        <v>0</v>
      </c>
      <c r="AG81" s="561">
        <v>3262</v>
      </c>
      <c r="AH81" s="561">
        <v>1914</v>
      </c>
      <c r="AI81" s="561">
        <v>3357</v>
      </c>
      <c r="AJ81" s="561">
        <v>437</v>
      </c>
      <c r="AK81" s="561">
        <v>0</v>
      </c>
      <c r="AL81" s="561">
        <v>0</v>
      </c>
      <c r="AM81" s="561">
        <v>0</v>
      </c>
      <c r="AN81" s="561">
        <v>0</v>
      </c>
      <c r="AO81" s="561">
        <v>0</v>
      </c>
      <c r="AP81" s="561">
        <v>0</v>
      </c>
      <c r="AQ81" s="561">
        <v>0</v>
      </c>
      <c r="AR81" s="561">
        <v>0</v>
      </c>
    </row>
    <row r="82" spans="1:44" x14ac:dyDescent="0.3">
      <c r="A82" s="1129" t="s">
        <v>2687</v>
      </c>
      <c r="B82" s="1129" t="s">
        <v>2688</v>
      </c>
      <c r="C82" s="1129" t="s">
        <v>2689</v>
      </c>
      <c r="D82" s="1129" t="s">
        <v>2466</v>
      </c>
      <c r="E82" s="561">
        <v>0</v>
      </c>
      <c r="F82" s="561">
        <v>-84847</v>
      </c>
      <c r="G82" s="561">
        <v>0</v>
      </c>
      <c r="H82" s="561">
        <v>0</v>
      </c>
      <c r="I82" s="561">
        <v>0</v>
      </c>
      <c r="J82" s="561">
        <v>0</v>
      </c>
      <c r="K82" s="561">
        <v>0</v>
      </c>
      <c r="L82" s="561">
        <v>0</v>
      </c>
      <c r="M82" s="561">
        <v>0</v>
      </c>
      <c r="N82" s="561">
        <v>0</v>
      </c>
      <c r="O82" s="561">
        <v>0</v>
      </c>
      <c r="P82" s="561">
        <v>0</v>
      </c>
      <c r="Q82" s="561">
        <v>0</v>
      </c>
      <c r="R82" s="561">
        <v>61514</v>
      </c>
      <c r="S82" s="1217">
        <v>0</v>
      </c>
      <c r="T82" s="1217">
        <v>799</v>
      </c>
      <c r="U82" s="1217">
        <v>0</v>
      </c>
      <c r="V82" s="561">
        <v>0</v>
      </c>
      <c r="W82" s="561">
        <v>0</v>
      </c>
      <c r="X82" s="561">
        <v>0</v>
      </c>
      <c r="Y82" s="561">
        <v>0</v>
      </c>
      <c r="Z82" s="561">
        <v>0</v>
      </c>
      <c r="AA82" s="561">
        <v>4269</v>
      </c>
      <c r="AB82" s="561">
        <v>1687</v>
      </c>
      <c r="AC82" s="561">
        <v>2054</v>
      </c>
      <c r="AD82" s="561">
        <v>0</v>
      </c>
      <c r="AE82" s="561">
        <v>0</v>
      </c>
      <c r="AF82" s="561">
        <v>0</v>
      </c>
      <c r="AG82" s="561">
        <v>4000</v>
      </c>
      <c r="AH82" s="561">
        <v>0</v>
      </c>
      <c r="AI82" s="561">
        <v>8169</v>
      </c>
      <c r="AJ82" s="561">
        <v>3697</v>
      </c>
      <c r="AK82" s="561">
        <v>9104</v>
      </c>
      <c r="AL82" s="561">
        <v>0</v>
      </c>
      <c r="AM82" s="561">
        <v>0</v>
      </c>
      <c r="AN82" s="561">
        <v>0</v>
      </c>
      <c r="AO82" s="561">
        <v>0</v>
      </c>
      <c r="AP82" s="561">
        <v>0</v>
      </c>
      <c r="AQ82" s="561">
        <v>0</v>
      </c>
      <c r="AR82" s="561">
        <v>0</v>
      </c>
    </row>
    <row r="83" spans="1:44" x14ac:dyDescent="0.3">
      <c r="A83" s="1129" t="s">
        <v>2690</v>
      </c>
      <c r="B83" s="1129" t="s">
        <v>2691</v>
      </c>
      <c r="C83" s="1129" t="s">
        <v>2692</v>
      </c>
      <c r="D83" s="1129" t="s">
        <v>384</v>
      </c>
      <c r="E83" s="561">
        <v>-204</v>
      </c>
      <c r="F83" s="561">
        <v>0</v>
      </c>
      <c r="G83" s="561">
        <v>0</v>
      </c>
      <c r="H83" s="561">
        <v>0</v>
      </c>
      <c r="I83" s="561">
        <v>37</v>
      </c>
      <c r="J83" s="561">
        <v>0</v>
      </c>
      <c r="K83" s="561">
        <v>0</v>
      </c>
      <c r="L83" s="561">
        <v>1438</v>
      </c>
      <c r="M83" s="561">
        <v>0</v>
      </c>
      <c r="N83" s="561">
        <v>0</v>
      </c>
      <c r="O83" s="561">
        <v>0</v>
      </c>
      <c r="P83" s="561">
        <v>438</v>
      </c>
      <c r="Q83" s="561">
        <v>1393</v>
      </c>
      <c r="R83" s="561">
        <v>15564</v>
      </c>
      <c r="S83" s="1217">
        <v>12645</v>
      </c>
      <c r="T83" s="1217">
        <v>0</v>
      </c>
      <c r="U83" s="1217">
        <v>0</v>
      </c>
      <c r="V83" s="561">
        <v>11287</v>
      </c>
      <c r="W83" s="561">
        <v>376</v>
      </c>
      <c r="X83" s="561">
        <v>322</v>
      </c>
      <c r="Y83" s="561">
        <v>1028</v>
      </c>
      <c r="Z83" s="561">
        <v>158</v>
      </c>
      <c r="AA83" s="561">
        <v>0</v>
      </c>
      <c r="AB83" s="561">
        <v>0</v>
      </c>
      <c r="AC83" s="561">
        <v>0</v>
      </c>
      <c r="AD83" s="561">
        <v>0</v>
      </c>
      <c r="AE83" s="561">
        <v>0</v>
      </c>
      <c r="AF83" s="561">
        <v>0</v>
      </c>
      <c r="AG83" s="561">
        <v>2500</v>
      </c>
      <c r="AH83" s="561">
        <v>0</v>
      </c>
      <c r="AI83" s="561">
        <v>22027</v>
      </c>
      <c r="AJ83" s="561">
        <v>0</v>
      </c>
      <c r="AK83" s="561">
        <v>0</v>
      </c>
      <c r="AL83" s="561">
        <v>0</v>
      </c>
      <c r="AM83" s="561">
        <v>35</v>
      </c>
      <c r="AN83" s="561">
        <v>1</v>
      </c>
      <c r="AO83" s="561">
        <v>0</v>
      </c>
      <c r="AP83" s="561">
        <v>0</v>
      </c>
      <c r="AQ83" s="561">
        <v>233</v>
      </c>
      <c r="AR83" s="561">
        <v>0</v>
      </c>
    </row>
    <row r="84" spans="1:44" x14ac:dyDescent="0.3">
      <c r="A84" s="1129" t="s">
        <v>2693</v>
      </c>
      <c r="B84" s="1129" t="s">
        <v>2694</v>
      </c>
      <c r="C84" s="1129" t="s">
        <v>2695</v>
      </c>
      <c r="D84" s="1129" t="s">
        <v>385</v>
      </c>
      <c r="E84" s="561">
        <v>-4743</v>
      </c>
      <c r="F84" s="561">
        <v>0</v>
      </c>
      <c r="G84" s="561">
        <v>38417</v>
      </c>
      <c r="H84" s="561">
        <v>10054</v>
      </c>
      <c r="I84" s="561">
        <v>289</v>
      </c>
      <c r="J84" s="561">
        <v>12731</v>
      </c>
      <c r="K84" s="561">
        <v>5537</v>
      </c>
      <c r="L84" s="561">
        <v>578</v>
      </c>
      <c r="M84" s="561">
        <v>2193</v>
      </c>
      <c r="N84" s="561">
        <v>617</v>
      </c>
      <c r="O84" s="561">
        <v>1616</v>
      </c>
      <c r="P84" s="561">
        <v>545</v>
      </c>
      <c r="Q84" s="561">
        <v>256</v>
      </c>
      <c r="R84" s="561">
        <v>70597</v>
      </c>
      <c r="S84" s="1217">
        <v>23346</v>
      </c>
      <c r="T84" s="1217">
        <v>138</v>
      </c>
      <c r="U84" s="1217">
        <v>0</v>
      </c>
      <c r="V84" s="561">
        <v>4074</v>
      </c>
      <c r="W84" s="561">
        <v>324</v>
      </c>
      <c r="X84" s="561">
        <v>1004</v>
      </c>
      <c r="Y84" s="561">
        <v>0</v>
      </c>
      <c r="Z84" s="561">
        <v>77</v>
      </c>
      <c r="AA84" s="561">
        <v>0</v>
      </c>
      <c r="AB84" s="561">
        <v>0</v>
      </c>
      <c r="AC84" s="561">
        <v>0</v>
      </c>
      <c r="AD84" s="561">
        <v>1075</v>
      </c>
      <c r="AE84" s="561">
        <v>0</v>
      </c>
      <c r="AF84" s="561">
        <v>1180</v>
      </c>
      <c r="AG84" s="561">
        <v>13779</v>
      </c>
      <c r="AH84" s="561">
        <v>11926</v>
      </c>
      <c r="AI84" s="561">
        <v>9542</v>
      </c>
      <c r="AJ84" s="561">
        <v>13567</v>
      </c>
      <c r="AK84" s="561">
        <v>6597</v>
      </c>
      <c r="AL84" s="561">
        <v>0</v>
      </c>
      <c r="AM84" s="561">
        <v>30</v>
      </c>
      <c r="AN84" s="561">
        <v>28</v>
      </c>
      <c r="AO84" s="561">
        <v>0</v>
      </c>
      <c r="AP84" s="561">
        <v>10</v>
      </c>
      <c r="AQ84" s="561">
        <v>24</v>
      </c>
      <c r="AR84" s="561">
        <v>1</v>
      </c>
    </row>
    <row r="85" spans="1:44" x14ac:dyDescent="0.3">
      <c r="A85" s="1129" t="s">
        <v>2696</v>
      </c>
      <c r="B85" s="1129" t="s">
        <v>2697</v>
      </c>
      <c r="C85" s="1129" t="s">
        <v>2698</v>
      </c>
      <c r="D85" s="1129" t="s">
        <v>384</v>
      </c>
      <c r="E85" s="561">
        <v>-181</v>
      </c>
      <c r="F85" s="561">
        <v>0</v>
      </c>
      <c r="G85" s="561">
        <v>0</v>
      </c>
      <c r="H85" s="561">
        <v>0</v>
      </c>
      <c r="I85" s="561">
        <v>38</v>
      </c>
      <c r="J85" s="561">
        <v>0</v>
      </c>
      <c r="K85" s="561">
        <v>0</v>
      </c>
      <c r="L85" s="561">
        <v>1163</v>
      </c>
      <c r="M85" s="561">
        <v>0</v>
      </c>
      <c r="N85" s="561">
        <v>0</v>
      </c>
      <c r="O85" s="561">
        <v>243</v>
      </c>
      <c r="P85" s="561">
        <v>1218</v>
      </c>
      <c r="Q85" s="561">
        <v>1489</v>
      </c>
      <c r="R85" s="561">
        <v>9356</v>
      </c>
      <c r="S85" s="1217">
        <v>11975</v>
      </c>
      <c r="T85" s="1217">
        <v>2750</v>
      </c>
      <c r="U85" s="1217">
        <v>0</v>
      </c>
      <c r="V85" s="561">
        <v>686</v>
      </c>
      <c r="W85" s="561">
        <v>208</v>
      </c>
      <c r="X85" s="561">
        <v>225</v>
      </c>
      <c r="Y85" s="561">
        <v>2679</v>
      </c>
      <c r="Z85" s="561">
        <v>237</v>
      </c>
      <c r="AA85" s="561">
        <v>0</v>
      </c>
      <c r="AB85" s="561">
        <v>0</v>
      </c>
      <c r="AC85" s="561">
        <v>0</v>
      </c>
      <c r="AD85" s="561">
        <v>0</v>
      </c>
      <c r="AE85" s="561">
        <v>0</v>
      </c>
      <c r="AF85" s="561">
        <v>0</v>
      </c>
      <c r="AG85" s="561">
        <v>3000</v>
      </c>
      <c r="AH85" s="561">
        <v>0</v>
      </c>
      <c r="AI85" s="561">
        <v>14733</v>
      </c>
      <c r="AJ85" s="561">
        <v>15006</v>
      </c>
      <c r="AK85" s="561">
        <v>38521</v>
      </c>
      <c r="AL85" s="561">
        <v>0</v>
      </c>
      <c r="AM85" s="561" t="s">
        <v>2534</v>
      </c>
      <c r="AN85" s="561" t="s">
        <v>2534</v>
      </c>
      <c r="AO85" s="561" t="s">
        <v>2534</v>
      </c>
      <c r="AP85" s="561" t="s">
        <v>2534</v>
      </c>
      <c r="AQ85" s="561" t="s">
        <v>2534</v>
      </c>
      <c r="AR85" s="561" t="s">
        <v>2534</v>
      </c>
    </row>
    <row r="86" spans="1:44" x14ac:dyDescent="0.3">
      <c r="A86" s="1129" t="s">
        <v>2699</v>
      </c>
      <c r="B86" s="1129" t="s">
        <v>2700</v>
      </c>
      <c r="C86" s="1129" t="s">
        <v>2701</v>
      </c>
      <c r="D86" s="1129" t="s">
        <v>2466</v>
      </c>
      <c r="E86" s="561">
        <v>0</v>
      </c>
      <c r="F86" s="561">
        <v>0</v>
      </c>
      <c r="G86" s="561">
        <v>0</v>
      </c>
      <c r="H86" s="561">
        <v>0</v>
      </c>
      <c r="I86" s="561">
        <v>0</v>
      </c>
      <c r="J86" s="561">
        <v>0</v>
      </c>
      <c r="K86" s="561">
        <v>0</v>
      </c>
      <c r="L86" s="561">
        <v>0</v>
      </c>
      <c r="M86" s="561">
        <v>0</v>
      </c>
      <c r="N86" s="561">
        <v>0</v>
      </c>
      <c r="O86" s="561">
        <v>0</v>
      </c>
      <c r="P86" s="561">
        <v>0</v>
      </c>
      <c r="Q86" s="561">
        <v>0</v>
      </c>
      <c r="R86" s="561">
        <v>0</v>
      </c>
      <c r="S86" s="1217">
        <v>0</v>
      </c>
      <c r="T86" s="1217">
        <v>0</v>
      </c>
      <c r="U86" s="1217">
        <v>0</v>
      </c>
      <c r="V86" s="561">
        <v>0</v>
      </c>
      <c r="W86" s="561">
        <v>0</v>
      </c>
      <c r="X86" s="561">
        <v>0</v>
      </c>
      <c r="Y86" s="561">
        <v>0</v>
      </c>
      <c r="Z86" s="561">
        <v>0</v>
      </c>
      <c r="AA86" s="561">
        <v>0</v>
      </c>
      <c r="AB86" s="561">
        <v>0</v>
      </c>
      <c r="AC86" s="561">
        <v>0</v>
      </c>
      <c r="AD86" s="561">
        <v>0</v>
      </c>
      <c r="AE86" s="561">
        <v>0</v>
      </c>
      <c r="AF86" s="561">
        <v>0</v>
      </c>
      <c r="AG86" s="561">
        <v>500</v>
      </c>
      <c r="AH86" s="561">
        <v>410</v>
      </c>
      <c r="AI86" s="561">
        <v>493</v>
      </c>
      <c r="AJ86" s="561">
        <v>1398</v>
      </c>
      <c r="AK86" s="561">
        <v>750</v>
      </c>
      <c r="AL86" s="561">
        <v>0</v>
      </c>
      <c r="AM86" s="561">
        <v>0</v>
      </c>
      <c r="AN86" s="561">
        <v>0</v>
      </c>
      <c r="AO86" s="561">
        <v>0</v>
      </c>
      <c r="AP86" s="561">
        <v>0</v>
      </c>
      <c r="AQ86" s="561">
        <v>0</v>
      </c>
      <c r="AR86" s="561">
        <v>0</v>
      </c>
    </row>
    <row r="87" spans="1:44" x14ac:dyDescent="0.3">
      <c r="A87" s="1129" t="s">
        <v>2702</v>
      </c>
      <c r="B87" s="1129" t="s">
        <v>2703</v>
      </c>
      <c r="C87" s="1129" t="s">
        <v>2704</v>
      </c>
      <c r="D87" s="1129" t="s">
        <v>385</v>
      </c>
      <c r="E87" s="561">
        <v>-16355</v>
      </c>
      <c r="F87" s="561">
        <v>0</v>
      </c>
      <c r="G87" s="561">
        <v>161861</v>
      </c>
      <c r="H87" s="561">
        <v>23537</v>
      </c>
      <c r="I87" s="561">
        <v>781</v>
      </c>
      <c r="J87" s="561">
        <v>30820</v>
      </c>
      <c r="K87" s="561">
        <v>14860</v>
      </c>
      <c r="L87" s="561">
        <v>2328</v>
      </c>
      <c r="M87" s="561">
        <v>5025</v>
      </c>
      <c r="N87" s="561">
        <v>2218</v>
      </c>
      <c r="O87" s="561">
        <v>6752</v>
      </c>
      <c r="P87" s="561">
        <v>867</v>
      </c>
      <c r="Q87" s="561">
        <v>0</v>
      </c>
      <c r="R87" s="561">
        <v>132290</v>
      </c>
      <c r="S87" s="1217">
        <v>47687.73</v>
      </c>
      <c r="T87" s="1217">
        <v>4398</v>
      </c>
      <c r="U87" s="1217">
        <v>0</v>
      </c>
      <c r="V87" s="561">
        <v>24069</v>
      </c>
      <c r="W87" s="561">
        <v>740</v>
      </c>
      <c r="X87" s="561">
        <v>2197</v>
      </c>
      <c r="Y87" s="561">
        <v>0</v>
      </c>
      <c r="Z87" s="561">
        <v>2099</v>
      </c>
      <c r="AA87" s="561">
        <v>0</v>
      </c>
      <c r="AB87" s="561">
        <v>0</v>
      </c>
      <c r="AC87" s="561">
        <v>0</v>
      </c>
      <c r="AD87" s="561">
        <v>8901</v>
      </c>
      <c r="AE87" s="561">
        <v>0</v>
      </c>
      <c r="AF87" s="561">
        <v>1365</v>
      </c>
      <c r="AG87" s="561">
        <v>6511</v>
      </c>
      <c r="AH87" s="561">
        <v>25074</v>
      </c>
      <c r="AI87" s="561">
        <v>33174</v>
      </c>
      <c r="AJ87" s="561">
        <v>6011</v>
      </c>
      <c r="AK87" s="561">
        <v>0</v>
      </c>
      <c r="AL87" s="561">
        <v>0</v>
      </c>
      <c r="AM87" s="561">
        <v>48</v>
      </c>
      <c r="AN87" s="561">
        <v>141</v>
      </c>
      <c r="AO87" s="561">
        <v>25</v>
      </c>
      <c r="AP87" s="561">
        <v>0</v>
      </c>
      <c r="AQ87" s="561">
        <v>251</v>
      </c>
      <c r="AR87" s="561">
        <v>0</v>
      </c>
    </row>
    <row r="88" spans="1:44" x14ac:dyDescent="0.3">
      <c r="A88" s="1129" t="s">
        <v>2705</v>
      </c>
      <c r="B88" s="1129" t="s">
        <v>2706</v>
      </c>
      <c r="C88" s="1129" t="s">
        <v>2707</v>
      </c>
      <c r="D88" s="1129" t="s">
        <v>2595</v>
      </c>
      <c r="E88" s="561">
        <v>-19164</v>
      </c>
      <c r="F88" s="561">
        <v>0</v>
      </c>
      <c r="G88" s="561">
        <v>483125</v>
      </c>
      <c r="H88" s="561">
        <v>49921</v>
      </c>
      <c r="I88" s="561">
        <v>1911</v>
      </c>
      <c r="J88" s="561">
        <v>94719</v>
      </c>
      <c r="K88" s="561">
        <v>44082</v>
      </c>
      <c r="L88" s="561">
        <v>0</v>
      </c>
      <c r="M88" s="561">
        <v>15869</v>
      </c>
      <c r="N88" s="561">
        <v>3472</v>
      </c>
      <c r="O88" s="561">
        <v>0</v>
      </c>
      <c r="P88" s="561">
        <v>823</v>
      </c>
      <c r="Q88" s="561">
        <v>0</v>
      </c>
      <c r="R88" s="561">
        <v>438405</v>
      </c>
      <c r="S88" s="1217">
        <v>0</v>
      </c>
      <c r="T88" s="1217">
        <v>0</v>
      </c>
      <c r="U88" s="1217">
        <v>0</v>
      </c>
      <c r="V88" s="561">
        <v>10501</v>
      </c>
      <c r="W88" s="561">
        <v>0</v>
      </c>
      <c r="X88" s="561">
        <v>5694</v>
      </c>
      <c r="Y88" s="561">
        <v>0</v>
      </c>
      <c r="Z88" s="561">
        <v>0</v>
      </c>
      <c r="AA88" s="561">
        <v>0</v>
      </c>
      <c r="AB88" s="561">
        <v>0</v>
      </c>
      <c r="AC88" s="561">
        <v>0</v>
      </c>
      <c r="AD88" s="561">
        <v>31096</v>
      </c>
      <c r="AE88" s="561">
        <v>0</v>
      </c>
      <c r="AF88" s="561">
        <v>7493</v>
      </c>
      <c r="AG88" s="561">
        <v>40182</v>
      </c>
      <c r="AH88" s="561">
        <v>32563</v>
      </c>
      <c r="AI88" s="561">
        <v>16671</v>
      </c>
      <c r="AJ88" s="561">
        <v>19661</v>
      </c>
      <c r="AK88" s="561">
        <v>67927</v>
      </c>
      <c r="AL88" s="561">
        <v>29757</v>
      </c>
      <c r="AM88" s="561">
        <v>0</v>
      </c>
      <c r="AN88" s="561">
        <v>0</v>
      </c>
      <c r="AO88" s="561">
        <v>0</v>
      </c>
      <c r="AP88" s="561">
        <v>0</v>
      </c>
      <c r="AQ88" s="561">
        <v>0</v>
      </c>
      <c r="AR88" s="561">
        <v>0</v>
      </c>
    </row>
    <row r="89" spans="1:44" x14ac:dyDescent="0.3">
      <c r="A89" s="1129" t="s">
        <v>2708</v>
      </c>
      <c r="B89" s="1129" t="s">
        <v>2709</v>
      </c>
      <c r="C89" s="1129" t="s">
        <v>2710</v>
      </c>
      <c r="D89" s="1129" t="s">
        <v>2466</v>
      </c>
      <c r="E89" s="561">
        <v>-7159</v>
      </c>
      <c r="F89" s="561">
        <v>0</v>
      </c>
      <c r="G89" s="561">
        <v>0</v>
      </c>
      <c r="H89" s="561">
        <v>0</v>
      </c>
      <c r="I89" s="561">
        <v>0</v>
      </c>
      <c r="J89" s="561">
        <v>0</v>
      </c>
      <c r="K89" s="561">
        <v>0</v>
      </c>
      <c r="L89" s="561">
        <v>0</v>
      </c>
      <c r="M89" s="561">
        <v>0</v>
      </c>
      <c r="N89" s="561">
        <v>0</v>
      </c>
      <c r="O89" s="561">
        <v>0</v>
      </c>
      <c r="P89" s="561">
        <v>0</v>
      </c>
      <c r="Q89" s="561">
        <v>0</v>
      </c>
      <c r="R89" s="561">
        <v>31968</v>
      </c>
      <c r="S89" s="1217">
        <v>0</v>
      </c>
      <c r="T89" s="1217">
        <v>4919</v>
      </c>
      <c r="U89" s="1217">
        <v>0</v>
      </c>
      <c r="V89" s="561">
        <v>178</v>
      </c>
      <c r="W89" s="561">
        <v>0</v>
      </c>
      <c r="X89" s="561">
        <v>339</v>
      </c>
      <c r="Y89" s="561">
        <v>0</v>
      </c>
      <c r="Z89" s="561">
        <v>0</v>
      </c>
      <c r="AA89" s="561">
        <v>0</v>
      </c>
      <c r="AB89" s="561">
        <v>0</v>
      </c>
      <c r="AC89" s="561">
        <v>0</v>
      </c>
      <c r="AD89" s="561">
        <v>0</v>
      </c>
      <c r="AE89" s="561">
        <v>0</v>
      </c>
      <c r="AF89" s="561">
        <v>0</v>
      </c>
      <c r="AG89" s="561">
        <v>0</v>
      </c>
      <c r="AH89" s="561">
        <v>0</v>
      </c>
      <c r="AI89" s="561">
        <v>10504</v>
      </c>
      <c r="AJ89" s="561">
        <v>0</v>
      </c>
      <c r="AK89" s="561">
        <v>0</v>
      </c>
      <c r="AL89" s="561">
        <v>0</v>
      </c>
      <c r="AM89" s="561">
        <v>0</v>
      </c>
      <c r="AN89" s="561">
        <v>0</v>
      </c>
      <c r="AO89" s="561">
        <v>0</v>
      </c>
      <c r="AP89" s="561">
        <v>0</v>
      </c>
      <c r="AQ89" s="561">
        <v>0</v>
      </c>
      <c r="AR89" s="561">
        <v>0</v>
      </c>
    </row>
    <row r="90" spans="1:44" x14ac:dyDescent="0.3">
      <c r="A90" s="1129" t="s">
        <v>2711</v>
      </c>
      <c r="B90" s="1129" t="s">
        <v>2712</v>
      </c>
      <c r="C90" s="1129" t="s">
        <v>2713</v>
      </c>
      <c r="D90" s="1129" t="s">
        <v>384</v>
      </c>
      <c r="E90" s="561">
        <v>-90</v>
      </c>
      <c r="F90" s="561">
        <v>0</v>
      </c>
      <c r="G90" s="561">
        <v>0</v>
      </c>
      <c r="H90" s="561">
        <v>0</v>
      </c>
      <c r="I90" s="561">
        <v>35</v>
      </c>
      <c r="J90" s="561">
        <v>0</v>
      </c>
      <c r="K90" s="561">
        <v>0</v>
      </c>
      <c r="L90" s="561">
        <v>327</v>
      </c>
      <c r="M90" s="561">
        <v>0</v>
      </c>
      <c r="N90" s="561">
        <v>0</v>
      </c>
      <c r="O90" s="561">
        <v>0</v>
      </c>
      <c r="P90" s="561">
        <v>115</v>
      </c>
      <c r="Q90" s="561">
        <v>2293</v>
      </c>
      <c r="R90" s="561">
        <v>10047</v>
      </c>
      <c r="S90" s="1217">
        <v>0</v>
      </c>
      <c r="T90" s="1217">
        <v>4440</v>
      </c>
      <c r="U90" s="1217">
        <v>0</v>
      </c>
      <c r="V90" s="561">
        <v>223</v>
      </c>
      <c r="W90" s="561">
        <v>118</v>
      </c>
      <c r="X90" s="561">
        <v>93</v>
      </c>
      <c r="Y90" s="561">
        <v>1155</v>
      </c>
      <c r="Z90" s="561">
        <v>0</v>
      </c>
      <c r="AA90" s="561">
        <v>0</v>
      </c>
      <c r="AB90" s="561">
        <v>0</v>
      </c>
      <c r="AC90" s="561">
        <v>0</v>
      </c>
      <c r="AD90" s="561">
        <v>0</v>
      </c>
      <c r="AE90" s="561">
        <v>0</v>
      </c>
      <c r="AF90" s="561">
        <v>0</v>
      </c>
      <c r="AG90" s="561">
        <v>5363</v>
      </c>
      <c r="AH90" s="561">
        <v>0</v>
      </c>
      <c r="AI90" s="561">
        <v>11419</v>
      </c>
      <c r="AJ90" s="561">
        <v>489</v>
      </c>
      <c r="AK90" s="561">
        <v>3119</v>
      </c>
      <c r="AL90" s="561">
        <v>0</v>
      </c>
      <c r="AM90" s="561">
        <v>1</v>
      </c>
      <c r="AN90" s="561">
        <v>1</v>
      </c>
      <c r="AO90" s="561">
        <v>0</v>
      </c>
      <c r="AP90" s="561">
        <v>0</v>
      </c>
      <c r="AQ90" s="561">
        <v>9</v>
      </c>
      <c r="AR90" s="561">
        <v>1</v>
      </c>
    </row>
    <row r="91" spans="1:44" x14ac:dyDescent="0.3">
      <c r="A91" s="1129" t="s">
        <v>2714</v>
      </c>
      <c r="B91" s="1129" t="s">
        <v>2715</v>
      </c>
      <c r="C91" s="1129" t="s">
        <v>2716</v>
      </c>
      <c r="D91" s="1129" t="s">
        <v>2466</v>
      </c>
      <c r="E91" s="561">
        <v>0</v>
      </c>
      <c r="F91" s="561">
        <v>-142828</v>
      </c>
      <c r="G91" s="561">
        <v>0</v>
      </c>
      <c r="H91" s="561">
        <v>0</v>
      </c>
      <c r="I91" s="561">
        <v>0</v>
      </c>
      <c r="J91" s="561">
        <v>0</v>
      </c>
      <c r="K91" s="561">
        <v>0</v>
      </c>
      <c r="L91" s="561">
        <v>0</v>
      </c>
      <c r="M91" s="561">
        <v>0</v>
      </c>
      <c r="N91" s="561">
        <v>0</v>
      </c>
      <c r="O91" s="561">
        <v>0</v>
      </c>
      <c r="P91" s="561">
        <v>0</v>
      </c>
      <c r="Q91" s="561">
        <v>0</v>
      </c>
      <c r="R91" s="561">
        <v>100481</v>
      </c>
      <c r="S91" s="1217">
        <v>0</v>
      </c>
      <c r="T91" s="1217">
        <v>2976</v>
      </c>
      <c r="U91" s="1217">
        <v>0</v>
      </c>
      <c r="V91" s="561">
        <v>537</v>
      </c>
      <c r="W91" s="561">
        <v>0</v>
      </c>
      <c r="X91" s="561">
        <v>0</v>
      </c>
      <c r="Y91" s="561">
        <v>0</v>
      </c>
      <c r="Z91" s="561">
        <v>0</v>
      </c>
      <c r="AA91" s="561">
        <v>6371</v>
      </c>
      <c r="AB91" s="561">
        <v>2828</v>
      </c>
      <c r="AC91" s="561">
        <v>3760</v>
      </c>
      <c r="AD91" s="561">
        <v>0</v>
      </c>
      <c r="AE91" s="561">
        <v>0</v>
      </c>
      <c r="AF91" s="561">
        <v>0</v>
      </c>
      <c r="AG91" s="561">
        <v>13786</v>
      </c>
      <c r="AH91" s="561">
        <v>1871</v>
      </c>
      <c r="AI91" s="561">
        <v>5161</v>
      </c>
      <c r="AJ91" s="561">
        <v>5961</v>
      </c>
      <c r="AK91" s="561">
        <v>0</v>
      </c>
      <c r="AL91" s="561">
        <v>0</v>
      </c>
      <c r="AM91" s="561">
        <v>0</v>
      </c>
      <c r="AN91" s="561">
        <v>0</v>
      </c>
      <c r="AO91" s="561">
        <v>0</v>
      </c>
      <c r="AP91" s="561">
        <v>0</v>
      </c>
      <c r="AQ91" s="561">
        <v>0</v>
      </c>
      <c r="AR91" s="561">
        <v>0</v>
      </c>
    </row>
    <row r="92" spans="1:44" x14ac:dyDescent="0.3">
      <c r="A92" s="1129" t="s">
        <v>2717</v>
      </c>
      <c r="B92" s="1129" t="s">
        <v>2718</v>
      </c>
      <c r="C92" s="1129" t="s">
        <v>2719</v>
      </c>
      <c r="D92" s="1129" t="s">
        <v>2595</v>
      </c>
      <c r="E92" s="561">
        <v>-1981</v>
      </c>
      <c r="F92" s="561">
        <v>0</v>
      </c>
      <c r="G92" s="561">
        <v>362299</v>
      </c>
      <c r="H92" s="561">
        <v>33296</v>
      </c>
      <c r="I92" s="561">
        <v>1847</v>
      </c>
      <c r="J92" s="561">
        <v>82763</v>
      </c>
      <c r="K92" s="561">
        <v>35933</v>
      </c>
      <c r="L92" s="561">
        <v>0</v>
      </c>
      <c r="M92" s="561">
        <v>15643</v>
      </c>
      <c r="N92" s="561">
        <v>1709</v>
      </c>
      <c r="O92" s="561">
        <v>0</v>
      </c>
      <c r="P92" s="561">
        <v>1279</v>
      </c>
      <c r="Q92" s="561">
        <v>0</v>
      </c>
      <c r="R92" s="561">
        <v>572489</v>
      </c>
      <c r="S92" s="1217">
        <v>0</v>
      </c>
      <c r="T92" s="1217">
        <v>500</v>
      </c>
      <c r="U92" s="1217">
        <v>0</v>
      </c>
      <c r="V92" s="561">
        <v>22445</v>
      </c>
      <c r="W92" s="561">
        <v>0</v>
      </c>
      <c r="X92" s="561">
        <v>5667</v>
      </c>
      <c r="Y92" s="561">
        <v>0</v>
      </c>
      <c r="Z92" s="561">
        <v>0</v>
      </c>
      <c r="AA92" s="561">
        <v>0</v>
      </c>
      <c r="AB92" s="561">
        <v>0</v>
      </c>
      <c r="AC92" s="561">
        <v>0</v>
      </c>
      <c r="AD92" s="561">
        <v>18102</v>
      </c>
      <c r="AE92" s="561">
        <v>0</v>
      </c>
      <c r="AF92" s="561">
        <v>12941</v>
      </c>
      <c r="AG92" s="561">
        <v>16036</v>
      </c>
      <c r="AH92" s="561">
        <v>130</v>
      </c>
      <c r="AI92" s="561">
        <v>30583</v>
      </c>
      <c r="AJ92" s="561">
        <v>17008</v>
      </c>
      <c r="AK92" s="561">
        <v>61778</v>
      </c>
      <c r="AL92" s="561">
        <v>0</v>
      </c>
      <c r="AM92" s="561">
        <v>0</v>
      </c>
      <c r="AN92" s="561">
        <v>0</v>
      </c>
      <c r="AO92" s="561">
        <v>0</v>
      </c>
      <c r="AP92" s="561">
        <v>0</v>
      </c>
      <c r="AQ92" s="561">
        <v>0</v>
      </c>
      <c r="AR92" s="561">
        <v>0</v>
      </c>
    </row>
    <row r="93" spans="1:44" x14ac:dyDescent="0.3">
      <c r="A93" s="1129" t="s">
        <v>2720</v>
      </c>
      <c r="B93" s="1129" t="s">
        <v>2721</v>
      </c>
      <c r="C93" s="1129" t="s">
        <v>2722</v>
      </c>
      <c r="D93" s="1129" t="s">
        <v>2466</v>
      </c>
      <c r="E93" s="561">
        <v>0</v>
      </c>
      <c r="F93" s="561">
        <v>-238283</v>
      </c>
      <c r="G93" s="561">
        <v>0</v>
      </c>
      <c r="H93" s="561">
        <v>0</v>
      </c>
      <c r="I93" s="561">
        <v>0</v>
      </c>
      <c r="J93" s="561">
        <v>0</v>
      </c>
      <c r="K93" s="561">
        <v>0</v>
      </c>
      <c r="L93" s="561">
        <v>0</v>
      </c>
      <c r="M93" s="561">
        <v>0</v>
      </c>
      <c r="N93" s="561">
        <v>0</v>
      </c>
      <c r="O93" s="561">
        <v>0</v>
      </c>
      <c r="P93" s="561">
        <v>0</v>
      </c>
      <c r="Q93" s="561">
        <v>0</v>
      </c>
      <c r="R93" s="561">
        <v>192241</v>
      </c>
      <c r="S93" s="1217">
        <v>0</v>
      </c>
      <c r="T93" s="1217">
        <v>6547</v>
      </c>
      <c r="U93" s="1217">
        <v>0</v>
      </c>
      <c r="V93" s="561">
        <v>1273</v>
      </c>
      <c r="W93" s="561">
        <v>0</v>
      </c>
      <c r="X93" s="561">
        <v>0</v>
      </c>
      <c r="Y93" s="561">
        <v>0</v>
      </c>
      <c r="Z93" s="561">
        <v>0</v>
      </c>
      <c r="AA93" s="561">
        <v>13226</v>
      </c>
      <c r="AB93" s="561">
        <v>4698</v>
      </c>
      <c r="AC93" s="561">
        <v>5687</v>
      </c>
      <c r="AD93" s="561">
        <v>0</v>
      </c>
      <c r="AE93" s="561">
        <v>0</v>
      </c>
      <c r="AF93" s="561">
        <v>0</v>
      </c>
      <c r="AG93" s="561">
        <v>17236</v>
      </c>
      <c r="AH93" s="561">
        <v>0</v>
      </c>
      <c r="AI93" s="561">
        <v>19849</v>
      </c>
      <c r="AJ93" s="561">
        <v>0</v>
      </c>
      <c r="AK93" s="561">
        <v>0</v>
      </c>
      <c r="AL93" s="561">
        <v>0</v>
      </c>
      <c r="AM93" s="561">
        <v>0</v>
      </c>
      <c r="AN93" s="561">
        <v>0</v>
      </c>
      <c r="AO93" s="561">
        <v>0</v>
      </c>
      <c r="AP93" s="561">
        <v>0</v>
      </c>
      <c r="AQ93" s="561">
        <v>0</v>
      </c>
      <c r="AR93" s="561">
        <v>0</v>
      </c>
    </row>
    <row r="94" spans="1:44" x14ac:dyDescent="0.3">
      <c r="A94" s="1129" t="s">
        <v>2723</v>
      </c>
      <c r="B94" s="1129" t="s">
        <v>2724</v>
      </c>
      <c r="C94" s="1129" t="s">
        <v>2725</v>
      </c>
      <c r="D94" s="1129" t="s">
        <v>2466</v>
      </c>
      <c r="E94" s="561">
        <v>-11882</v>
      </c>
      <c r="F94" s="561">
        <v>0</v>
      </c>
      <c r="G94" s="561">
        <v>0</v>
      </c>
      <c r="H94" s="561">
        <v>0</v>
      </c>
      <c r="I94" s="561">
        <v>0</v>
      </c>
      <c r="J94" s="561">
        <v>0</v>
      </c>
      <c r="K94" s="561">
        <v>0</v>
      </c>
      <c r="L94" s="561">
        <v>0</v>
      </c>
      <c r="M94" s="561">
        <v>0</v>
      </c>
      <c r="N94" s="561">
        <v>0</v>
      </c>
      <c r="O94" s="561">
        <v>0</v>
      </c>
      <c r="P94" s="561">
        <v>0</v>
      </c>
      <c r="Q94" s="561">
        <v>0</v>
      </c>
      <c r="R94" s="561">
        <v>68683</v>
      </c>
      <c r="S94" s="1217">
        <v>0</v>
      </c>
      <c r="T94" s="1217">
        <v>6443</v>
      </c>
      <c r="U94" s="1217">
        <v>0</v>
      </c>
      <c r="V94" s="561">
        <v>990</v>
      </c>
      <c r="W94" s="561">
        <v>0</v>
      </c>
      <c r="X94" s="561">
        <v>680</v>
      </c>
      <c r="Y94" s="561">
        <v>0</v>
      </c>
      <c r="Z94" s="561">
        <v>0</v>
      </c>
      <c r="AA94" s="561">
        <v>0</v>
      </c>
      <c r="AB94" s="561">
        <v>0</v>
      </c>
      <c r="AC94" s="561">
        <v>0</v>
      </c>
      <c r="AD94" s="561">
        <v>0</v>
      </c>
      <c r="AE94" s="561">
        <v>0</v>
      </c>
      <c r="AF94" s="561">
        <v>0</v>
      </c>
      <c r="AG94" s="561">
        <v>4631</v>
      </c>
      <c r="AH94" s="561">
        <v>0</v>
      </c>
      <c r="AI94" s="561">
        <v>18813</v>
      </c>
      <c r="AJ94" s="561">
        <v>1272</v>
      </c>
      <c r="AK94" s="561">
        <v>666</v>
      </c>
      <c r="AL94" s="561">
        <v>224</v>
      </c>
      <c r="AM94" s="561">
        <v>0</v>
      </c>
      <c r="AN94" s="561">
        <v>0</v>
      </c>
      <c r="AO94" s="561">
        <v>0</v>
      </c>
      <c r="AP94" s="561">
        <v>0</v>
      </c>
      <c r="AQ94" s="561">
        <v>0</v>
      </c>
      <c r="AR94" s="561">
        <v>0</v>
      </c>
    </row>
    <row r="95" spans="1:44" x14ac:dyDescent="0.3">
      <c r="A95" s="1196" t="s">
        <v>2726</v>
      </c>
      <c r="B95" s="1196" t="s">
        <v>2727</v>
      </c>
      <c r="C95" s="1196" t="s">
        <v>2728</v>
      </c>
      <c r="D95" s="1196" t="s">
        <v>2466</v>
      </c>
      <c r="E95" s="561">
        <v>0</v>
      </c>
      <c r="F95" s="561">
        <v>0</v>
      </c>
      <c r="G95" s="561">
        <v>0</v>
      </c>
      <c r="H95" s="561">
        <v>0</v>
      </c>
      <c r="I95" s="561">
        <v>0</v>
      </c>
      <c r="J95" s="561">
        <v>0</v>
      </c>
      <c r="K95" s="561">
        <v>0</v>
      </c>
      <c r="L95" s="561">
        <v>0</v>
      </c>
      <c r="M95" s="561">
        <v>0</v>
      </c>
      <c r="N95" s="561">
        <v>0</v>
      </c>
      <c r="O95" s="561">
        <v>0</v>
      </c>
      <c r="P95" s="561">
        <v>0</v>
      </c>
      <c r="Q95" s="561">
        <v>0</v>
      </c>
      <c r="R95" s="561">
        <v>0</v>
      </c>
      <c r="S95" s="1217">
        <v>0</v>
      </c>
      <c r="T95" s="1217">
        <v>0</v>
      </c>
      <c r="U95" s="1217">
        <v>0</v>
      </c>
      <c r="V95" s="561">
        <v>0</v>
      </c>
      <c r="W95" s="561">
        <v>0</v>
      </c>
      <c r="X95" s="561">
        <v>0</v>
      </c>
      <c r="Y95" s="561">
        <v>0</v>
      </c>
      <c r="Z95" s="561">
        <v>0</v>
      </c>
      <c r="AA95" s="561">
        <v>0</v>
      </c>
      <c r="AB95" s="561">
        <v>0</v>
      </c>
      <c r="AC95" s="561">
        <v>0</v>
      </c>
      <c r="AM95" s="561">
        <v>0</v>
      </c>
      <c r="AN95" s="561">
        <v>0</v>
      </c>
      <c r="AO95" s="561">
        <v>0</v>
      </c>
      <c r="AP95" s="561">
        <v>0</v>
      </c>
      <c r="AQ95" s="561">
        <v>0</v>
      </c>
      <c r="AR95" s="561">
        <v>0</v>
      </c>
    </row>
    <row r="96" spans="1:44" x14ac:dyDescent="0.3">
      <c r="A96" s="1129" t="s">
        <v>2729</v>
      </c>
      <c r="B96" s="1129" t="s">
        <v>2730</v>
      </c>
      <c r="C96" s="1129" t="s">
        <v>2731</v>
      </c>
      <c r="D96" s="1129" t="s">
        <v>379</v>
      </c>
      <c r="E96" s="561">
        <v>-26294</v>
      </c>
      <c r="F96" s="561">
        <v>0</v>
      </c>
      <c r="G96" s="561">
        <v>136398</v>
      </c>
      <c r="H96" s="561">
        <v>28696</v>
      </c>
      <c r="I96" s="561">
        <v>952</v>
      </c>
      <c r="J96" s="561">
        <v>41776</v>
      </c>
      <c r="K96" s="561">
        <v>20122</v>
      </c>
      <c r="L96" s="561">
        <v>1944</v>
      </c>
      <c r="M96" s="561">
        <v>6606</v>
      </c>
      <c r="N96" s="561">
        <v>2601</v>
      </c>
      <c r="O96" s="561">
        <v>9928</v>
      </c>
      <c r="P96" s="561">
        <v>1345</v>
      </c>
      <c r="Q96" s="561">
        <v>3511</v>
      </c>
      <c r="R96" s="561">
        <v>154624</v>
      </c>
      <c r="S96" s="1217">
        <v>5549</v>
      </c>
      <c r="T96" s="1217">
        <v>396</v>
      </c>
      <c r="U96" s="1217">
        <v>0</v>
      </c>
      <c r="V96" s="561">
        <v>14246</v>
      </c>
      <c r="W96" s="561">
        <v>908</v>
      </c>
      <c r="X96" s="561">
        <v>2760</v>
      </c>
      <c r="Y96" s="561">
        <v>0</v>
      </c>
      <c r="Z96" s="561">
        <v>947</v>
      </c>
      <c r="AA96" s="561">
        <v>0</v>
      </c>
      <c r="AB96" s="561">
        <v>0</v>
      </c>
      <c r="AC96" s="561">
        <v>0</v>
      </c>
      <c r="AD96" s="561">
        <v>2825</v>
      </c>
      <c r="AE96" s="561">
        <v>0</v>
      </c>
      <c r="AF96" s="561">
        <v>7314</v>
      </c>
      <c r="AG96" s="561">
        <v>15963</v>
      </c>
      <c r="AH96" s="561">
        <v>8140</v>
      </c>
      <c r="AI96" s="561">
        <v>59513</v>
      </c>
      <c r="AJ96" s="561">
        <v>7341</v>
      </c>
      <c r="AK96" s="561">
        <v>2384</v>
      </c>
      <c r="AL96" s="561">
        <v>0</v>
      </c>
      <c r="AM96" s="561">
        <v>42</v>
      </c>
      <c r="AN96" s="561">
        <v>0</v>
      </c>
      <c r="AO96" s="561">
        <v>0</v>
      </c>
      <c r="AP96" s="561">
        <v>0</v>
      </c>
      <c r="AQ96" s="561">
        <v>93</v>
      </c>
      <c r="AR96" s="561">
        <v>0</v>
      </c>
    </row>
    <row r="97" spans="1:44" x14ac:dyDescent="0.3">
      <c r="A97" s="1129" t="s">
        <v>2732</v>
      </c>
      <c r="B97" s="1129" t="s">
        <v>2733</v>
      </c>
      <c r="C97" s="1129" t="s">
        <v>2734</v>
      </c>
      <c r="D97" s="1129" t="s">
        <v>2466</v>
      </c>
      <c r="E97" s="561">
        <v>-7529</v>
      </c>
      <c r="F97" s="561">
        <v>0</v>
      </c>
      <c r="G97" s="561">
        <v>0</v>
      </c>
      <c r="H97" s="561">
        <v>0</v>
      </c>
      <c r="I97" s="561">
        <v>0</v>
      </c>
      <c r="J97" s="561">
        <v>0</v>
      </c>
      <c r="K97" s="561">
        <v>0</v>
      </c>
      <c r="L97" s="561">
        <v>0</v>
      </c>
      <c r="M97" s="561">
        <v>0</v>
      </c>
      <c r="N97" s="561">
        <v>0</v>
      </c>
      <c r="O97" s="561">
        <v>0</v>
      </c>
      <c r="P97" s="561">
        <v>0</v>
      </c>
      <c r="Q97" s="561">
        <v>0</v>
      </c>
      <c r="R97" s="561">
        <v>53923</v>
      </c>
      <c r="S97" s="1217">
        <v>0</v>
      </c>
      <c r="T97" s="1217">
        <v>1777</v>
      </c>
      <c r="U97" s="1217">
        <v>0</v>
      </c>
      <c r="V97" s="561">
        <v>475</v>
      </c>
      <c r="W97" s="561">
        <v>0</v>
      </c>
      <c r="X97" s="561">
        <v>498</v>
      </c>
      <c r="Y97" s="561">
        <v>0</v>
      </c>
      <c r="Z97" s="561">
        <v>0</v>
      </c>
      <c r="AA97" s="561">
        <v>0</v>
      </c>
      <c r="AB97" s="561">
        <v>0</v>
      </c>
      <c r="AC97" s="561">
        <v>0</v>
      </c>
      <c r="AD97" s="561">
        <v>0</v>
      </c>
      <c r="AE97" s="561">
        <v>0</v>
      </c>
      <c r="AF97" s="561">
        <v>0</v>
      </c>
      <c r="AG97" s="561">
        <v>3102</v>
      </c>
      <c r="AH97" s="561">
        <v>0</v>
      </c>
      <c r="AI97" s="561">
        <v>10208</v>
      </c>
      <c r="AJ97" s="561">
        <v>1974</v>
      </c>
      <c r="AK97" s="561">
        <v>3613</v>
      </c>
      <c r="AL97" s="561">
        <v>2016</v>
      </c>
      <c r="AM97" s="561">
        <v>0</v>
      </c>
      <c r="AN97" s="561">
        <v>0</v>
      </c>
      <c r="AO97" s="561">
        <v>0</v>
      </c>
      <c r="AP97" s="561">
        <v>0</v>
      </c>
      <c r="AQ97" s="561">
        <v>0</v>
      </c>
      <c r="AR97" s="561">
        <v>0</v>
      </c>
    </row>
    <row r="98" spans="1:44" x14ac:dyDescent="0.3">
      <c r="A98" s="1129" t="s">
        <v>2735</v>
      </c>
      <c r="B98" s="1129" t="s">
        <v>2736</v>
      </c>
      <c r="C98" s="1129" t="s">
        <v>2737</v>
      </c>
      <c r="D98" s="1129" t="s">
        <v>2466</v>
      </c>
      <c r="E98" s="561">
        <v>0</v>
      </c>
      <c r="F98" s="561">
        <v>-86606</v>
      </c>
      <c r="G98" s="561">
        <v>0</v>
      </c>
      <c r="H98" s="561">
        <v>0</v>
      </c>
      <c r="I98" s="561">
        <v>0</v>
      </c>
      <c r="J98" s="561">
        <v>0</v>
      </c>
      <c r="K98" s="561">
        <v>0</v>
      </c>
      <c r="L98" s="561">
        <v>0</v>
      </c>
      <c r="M98" s="561">
        <v>0</v>
      </c>
      <c r="N98" s="561">
        <v>0</v>
      </c>
      <c r="O98" s="561">
        <v>0</v>
      </c>
      <c r="P98" s="561">
        <v>0</v>
      </c>
      <c r="Q98" s="561">
        <v>0</v>
      </c>
      <c r="R98" s="561">
        <v>96078</v>
      </c>
      <c r="S98" s="1217">
        <v>0</v>
      </c>
      <c r="T98" s="1217">
        <v>4421</v>
      </c>
      <c r="U98" s="1217">
        <v>0</v>
      </c>
      <c r="V98" s="561">
        <v>582</v>
      </c>
      <c r="W98" s="561">
        <v>0</v>
      </c>
      <c r="X98" s="561">
        <v>0</v>
      </c>
      <c r="Y98" s="561">
        <v>0</v>
      </c>
      <c r="Z98" s="561">
        <v>0</v>
      </c>
      <c r="AA98" s="561">
        <v>4220</v>
      </c>
      <c r="AB98" s="561">
        <v>1659</v>
      </c>
      <c r="AC98" s="561">
        <v>2693</v>
      </c>
      <c r="AD98" s="561">
        <v>0</v>
      </c>
      <c r="AE98" s="561">
        <v>0</v>
      </c>
      <c r="AF98" s="561">
        <v>0</v>
      </c>
      <c r="AG98" s="561">
        <v>5778</v>
      </c>
      <c r="AH98" s="561">
        <v>0</v>
      </c>
      <c r="AI98" s="561">
        <v>3754</v>
      </c>
      <c r="AJ98" s="561">
        <v>0</v>
      </c>
      <c r="AK98" s="561">
        <v>0</v>
      </c>
      <c r="AL98" s="561">
        <v>0</v>
      </c>
      <c r="AM98" s="561">
        <v>0</v>
      </c>
      <c r="AN98" s="561">
        <v>0</v>
      </c>
      <c r="AO98" s="561">
        <v>0</v>
      </c>
      <c r="AP98" s="561">
        <v>0</v>
      </c>
      <c r="AQ98" s="561">
        <v>0</v>
      </c>
      <c r="AR98" s="561">
        <v>0</v>
      </c>
    </row>
    <row r="99" spans="1:44" x14ac:dyDescent="0.3">
      <c r="A99" s="1129" t="s">
        <v>2738</v>
      </c>
      <c r="B99" s="1129" t="s">
        <v>2739</v>
      </c>
      <c r="C99" s="1129" t="s">
        <v>2740</v>
      </c>
      <c r="D99" s="1129" t="s">
        <v>385</v>
      </c>
      <c r="E99" s="561">
        <v>-1749</v>
      </c>
      <c r="F99" s="561">
        <v>0</v>
      </c>
      <c r="G99" s="561">
        <v>177126</v>
      </c>
      <c r="H99" s="561">
        <v>16528</v>
      </c>
      <c r="I99" s="561">
        <v>845</v>
      </c>
      <c r="J99" s="561">
        <v>34304</v>
      </c>
      <c r="K99" s="561">
        <v>15360</v>
      </c>
      <c r="L99" s="561">
        <v>1978</v>
      </c>
      <c r="M99" s="561">
        <v>7467</v>
      </c>
      <c r="N99" s="561">
        <v>839</v>
      </c>
      <c r="O99" s="561">
        <v>0</v>
      </c>
      <c r="P99" s="561">
        <v>3236</v>
      </c>
      <c r="Q99" s="561">
        <v>20859</v>
      </c>
      <c r="R99" s="561">
        <v>358693</v>
      </c>
      <c r="S99" s="1217">
        <v>0</v>
      </c>
      <c r="T99" s="1217">
        <v>15</v>
      </c>
      <c r="U99" s="1217">
        <v>0</v>
      </c>
      <c r="V99" s="561">
        <v>5726</v>
      </c>
      <c r="W99" s="561">
        <v>820</v>
      </c>
      <c r="X99" s="561">
        <v>2901</v>
      </c>
      <c r="Y99" s="561">
        <v>0</v>
      </c>
      <c r="Z99" s="561">
        <v>600</v>
      </c>
      <c r="AA99" s="561">
        <v>0</v>
      </c>
      <c r="AB99" s="561">
        <v>0</v>
      </c>
      <c r="AC99" s="561">
        <v>0</v>
      </c>
      <c r="AD99" s="561">
        <v>7089</v>
      </c>
      <c r="AE99" s="561">
        <v>12900</v>
      </c>
      <c r="AF99" s="561">
        <v>2663</v>
      </c>
      <c r="AG99" s="561">
        <v>37686</v>
      </c>
      <c r="AH99" s="561">
        <v>5976</v>
      </c>
      <c r="AI99" s="561">
        <v>13303</v>
      </c>
      <c r="AJ99" s="561">
        <v>2325</v>
      </c>
      <c r="AK99" s="561">
        <v>18622</v>
      </c>
      <c r="AL99" s="561">
        <v>66084</v>
      </c>
      <c r="AM99" s="561">
        <v>42</v>
      </c>
      <c r="AN99" s="561">
        <v>0</v>
      </c>
      <c r="AO99" s="561">
        <v>0</v>
      </c>
      <c r="AP99" s="561">
        <v>54</v>
      </c>
      <c r="AQ99" s="561">
        <v>94</v>
      </c>
      <c r="AR99" s="561">
        <v>1</v>
      </c>
    </row>
    <row r="100" spans="1:44" x14ac:dyDescent="0.3">
      <c r="A100" s="1129" t="s">
        <v>2741</v>
      </c>
      <c r="B100" s="1129" t="s">
        <v>2742</v>
      </c>
      <c r="C100" s="1129" t="s">
        <v>2743</v>
      </c>
      <c r="D100" s="1129" t="s">
        <v>384</v>
      </c>
      <c r="E100" s="561">
        <v>-294</v>
      </c>
      <c r="F100" s="561">
        <v>0</v>
      </c>
      <c r="G100" s="561">
        <v>0</v>
      </c>
      <c r="H100" s="561">
        <v>0</v>
      </c>
      <c r="I100" s="561">
        <v>36</v>
      </c>
      <c r="J100" s="561">
        <v>0</v>
      </c>
      <c r="K100" s="561">
        <v>0</v>
      </c>
      <c r="L100" s="561">
        <v>936</v>
      </c>
      <c r="M100" s="561">
        <v>0</v>
      </c>
      <c r="N100" s="561">
        <v>0</v>
      </c>
      <c r="O100" s="561">
        <v>451</v>
      </c>
      <c r="P100" s="561">
        <v>534</v>
      </c>
      <c r="Q100" s="561">
        <v>3685</v>
      </c>
      <c r="R100" s="561">
        <v>12984</v>
      </c>
      <c r="S100" s="1217">
        <v>20928</v>
      </c>
      <c r="T100" s="1217">
        <v>0</v>
      </c>
      <c r="U100" s="1217">
        <v>0</v>
      </c>
      <c r="V100" s="561">
        <v>2192</v>
      </c>
      <c r="W100" s="561">
        <v>314</v>
      </c>
      <c r="X100" s="561">
        <v>229</v>
      </c>
      <c r="Y100" s="561">
        <v>320</v>
      </c>
      <c r="Z100" s="561">
        <v>445</v>
      </c>
      <c r="AA100" s="561">
        <v>0</v>
      </c>
      <c r="AB100" s="561">
        <v>0</v>
      </c>
      <c r="AC100" s="561">
        <v>0</v>
      </c>
      <c r="AD100" s="561">
        <v>0</v>
      </c>
      <c r="AE100" s="561">
        <v>0</v>
      </c>
      <c r="AF100" s="561">
        <v>0</v>
      </c>
      <c r="AG100" s="561">
        <v>1507</v>
      </c>
      <c r="AH100" s="561">
        <v>2104</v>
      </c>
      <c r="AI100" s="561">
        <v>37021</v>
      </c>
      <c r="AJ100" s="561">
        <v>1265</v>
      </c>
      <c r="AK100" s="561">
        <v>6388</v>
      </c>
      <c r="AL100" s="561">
        <v>255</v>
      </c>
      <c r="AM100" s="561">
        <v>35</v>
      </c>
      <c r="AN100" s="561">
        <v>138</v>
      </c>
      <c r="AO100" s="561">
        <v>0</v>
      </c>
      <c r="AP100" s="561">
        <v>0</v>
      </c>
      <c r="AQ100" s="561">
        <v>142</v>
      </c>
      <c r="AR100" s="561">
        <v>0</v>
      </c>
    </row>
    <row r="101" spans="1:44" x14ac:dyDescent="0.3">
      <c r="A101" s="1129" t="s">
        <v>2744</v>
      </c>
      <c r="B101" s="1129" t="s">
        <v>2745</v>
      </c>
      <c r="C101" s="1129" t="s">
        <v>2746</v>
      </c>
      <c r="D101" s="1129" t="s">
        <v>379</v>
      </c>
      <c r="E101" s="561">
        <v>0</v>
      </c>
      <c r="F101" s="561">
        <v>0</v>
      </c>
      <c r="G101" s="561">
        <v>191704</v>
      </c>
      <c r="H101" s="561">
        <v>24999</v>
      </c>
      <c r="I101" s="561">
        <v>862</v>
      </c>
      <c r="J101" s="561">
        <v>42795</v>
      </c>
      <c r="K101" s="561">
        <v>20513</v>
      </c>
      <c r="L101" s="561">
        <v>1698</v>
      </c>
      <c r="M101" s="561">
        <v>6832</v>
      </c>
      <c r="N101" s="561">
        <v>2021</v>
      </c>
      <c r="O101" s="561">
        <v>5031</v>
      </c>
      <c r="P101" s="561">
        <v>615</v>
      </c>
      <c r="Q101" s="561">
        <v>0</v>
      </c>
      <c r="R101" s="561">
        <v>169250</v>
      </c>
      <c r="S101" s="1217">
        <v>16151</v>
      </c>
      <c r="T101" s="1217">
        <v>1402</v>
      </c>
      <c r="U101" s="1217">
        <v>0</v>
      </c>
      <c r="V101" s="561">
        <v>24858</v>
      </c>
      <c r="W101" s="561">
        <v>780</v>
      </c>
      <c r="X101" s="561">
        <v>2522</v>
      </c>
      <c r="Y101" s="561">
        <v>0</v>
      </c>
      <c r="Z101" s="561">
        <v>287</v>
      </c>
      <c r="AA101" s="561">
        <v>0</v>
      </c>
      <c r="AB101" s="561">
        <v>0</v>
      </c>
      <c r="AC101" s="561">
        <v>0</v>
      </c>
      <c r="AD101" s="561">
        <v>6188</v>
      </c>
      <c r="AE101" s="561">
        <v>0</v>
      </c>
      <c r="AF101" s="561">
        <v>4609</v>
      </c>
      <c r="AG101" s="561">
        <v>8764</v>
      </c>
      <c r="AH101" s="561">
        <v>0</v>
      </c>
      <c r="AI101" s="561">
        <v>16760</v>
      </c>
      <c r="AJ101" s="561">
        <v>0</v>
      </c>
      <c r="AK101" s="561">
        <v>0</v>
      </c>
      <c r="AL101" s="561">
        <v>0</v>
      </c>
      <c r="AM101" s="561">
        <v>0</v>
      </c>
      <c r="AN101" s="561">
        <v>0</v>
      </c>
      <c r="AO101" s="561">
        <v>1</v>
      </c>
      <c r="AP101" s="561">
        <v>0</v>
      </c>
      <c r="AQ101" s="561">
        <v>22</v>
      </c>
      <c r="AR101" s="561">
        <v>0</v>
      </c>
    </row>
    <row r="102" spans="1:44" x14ac:dyDescent="0.3">
      <c r="A102" s="1129" t="s">
        <v>2747</v>
      </c>
      <c r="B102" s="1129" t="s">
        <v>2748</v>
      </c>
      <c r="C102" s="1129" t="s">
        <v>2749</v>
      </c>
      <c r="D102" s="1129" t="s">
        <v>385</v>
      </c>
      <c r="E102" s="561">
        <v>-38268</v>
      </c>
      <c r="F102" s="561">
        <v>0</v>
      </c>
      <c r="G102" s="561">
        <v>310338</v>
      </c>
      <c r="H102" s="561">
        <v>57988</v>
      </c>
      <c r="I102" s="561">
        <v>1516</v>
      </c>
      <c r="J102" s="561">
        <v>76835</v>
      </c>
      <c r="K102" s="561">
        <v>38079</v>
      </c>
      <c r="L102" s="561">
        <v>2178</v>
      </c>
      <c r="M102" s="561">
        <v>12348</v>
      </c>
      <c r="N102" s="561">
        <v>2984</v>
      </c>
      <c r="O102" s="561">
        <v>13851</v>
      </c>
      <c r="P102" s="561">
        <v>2136</v>
      </c>
      <c r="Q102" s="561">
        <v>17124</v>
      </c>
      <c r="R102" s="561">
        <v>319212</v>
      </c>
      <c r="S102" s="1217">
        <v>0</v>
      </c>
      <c r="T102" s="1217">
        <v>3232</v>
      </c>
      <c r="U102" s="1217">
        <v>0</v>
      </c>
      <c r="V102" s="561">
        <v>11319</v>
      </c>
      <c r="W102" s="561">
        <v>1790</v>
      </c>
      <c r="X102" s="561">
        <v>4432</v>
      </c>
      <c r="Y102" s="561">
        <v>0</v>
      </c>
      <c r="Z102" s="561">
        <v>418</v>
      </c>
      <c r="AA102" s="561">
        <v>0</v>
      </c>
      <c r="AB102" s="561">
        <v>0</v>
      </c>
      <c r="AC102" s="561">
        <v>0</v>
      </c>
      <c r="AD102" s="561">
        <v>27231</v>
      </c>
      <c r="AE102" s="561">
        <v>0</v>
      </c>
      <c r="AF102" s="561">
        <v>5185</v>
      </c>
      <c r="AG102" s="561">
        <v>32061</v>
      </c>
      <c r="AH102" s="561">
        <v>0</v>
      </c>
      <c r="AI102" s="561">
        <v>96035</v>
      </c>
      <c r="AJ102" s="561">
        <v>6606</v>
      </c>
      <c r="AK102" s="561">
        <v>36299</v>
      </c>
      <c r="AL102" s="561">
        <v>32182</v>
      </c>
      <c r="AM102" s="561">
        <v>43</v>
      </c>
      <c r="AN102" s="561">
        <v>18</v>
      </c>
      <c r="AO102" s="561">
        <v>13</v>
      </c>
      <c r="AP102" s="561">
        <v>8</v>
      </c>
      <c r="AQ102" s="561">
        <v>34</v>
      </c>
      <c r="AR102" s="561">
        <v>0</v>
      </c>
    </row>
    <row r="103" spans="1:44" x14ac:dyDescent="0.3">
      <c r="A103" s="1129" t="s">
        <v>2750</v>
      </c>
      <c r="B103" s="1129" t="s">
        <v>2751</v>
      </c>
      <c r="C103" s="1129" t="s">
        <v>2752</v>
      </c>
      <c r="D103" s="1129" t="s">
        <v>2466</v>
      </c>
      <c r="E103" s="561">
        <v>-5900</v>
      </c>
      <c r="F103" s="561">
        <v>0</v>
      </c>
      <c r="G103" s="561">
        <v>0</v>
      </c>
      <c r="H103" s="561">
        <v>0</v>
      </c>
      <c r="I103" s="561">
        <v>0</v>
      </c>
      <c r="J103" s="561">
        <v>0</v>
      </c>
      <c r="K103" s="561">
        <v>0</v>
      </c>
      <c r="L103" s="561">
        <v>0</v>
      </c>
      <c r="M103" s="561">
        <v>0</v>
      </c>
      <c r="N103" s="561">
        <v>0</v>
      </c>
      <c r="O103" s="561">
        <v>0</v>
      </c>
      <c r="P103" s="561">
        <v>0</v>
      </c>
      <c r="Q103" s="561">
        <v>0</v>
      </c>
      <c r="R103" s="561">
        <v>22736</v>
      </c>
      <c r="S103" s="1217">
        <v>0</v>
      </c>
      <c r="T103" s="1217">
        <v>26</v>
      </c>
      <c r="U103" s="1217">
        <v>0</v>
      </c>
      <c r="V103" s="561">
        <v>119</v>
      </c>
      <c r="W103" s="561">
        <v>0</v>
      </c>
      <c r="X103" s="561">
        <v>248</v>
      </c>
      <c r="Y103" s="561">
        <v>0</v>
      </c>
      <c r="Z103" s="561">
        <v>0</v>
      </c>
      <c r="AA103" s="561">
        <v>0</v>
      </c>
      <c r="AB103" s="561">
        <v>0</v>
      </c>
      <c r="AC103" s="561">
        <v>0</v>
      </c>
      <c r="AD103" s="561">
        <v>0</v>
      </c>
      <c r="AE103" s="561">
        <v>0</v>
      </c>
      <c r="AF103" s="561">
        <v>0</v>
      </c>
      <c r="AG103" s="561">
        <v>1773</v>
      </c>
      <c r="AH103" s="561">
        <v>0</v>
      </c>
      <c r="AI103" s="561">
        <v>2120</v>
      </c>
      <c r="AJ103" s="561">
        <v>2111</v>
      </c>
      <c r="AK103" s="561">
        <v>0</v>
      </c>
      <c r="AL103" s="561">
        <v>0</v>
      </c>
      <c r="AM103" s="561">
        <v>0</v>
      </c>
      <c r="AN103" s="561">
        <v>0</v>
      </c>
      <c r="AO103" s="561">
        <v>0</v>
      </c>
      <c r="AP103" s="561">
        <v>0</v>
      </c>
      <c r="AQ103" s="561">
        <v>0</v>
      </c>
      <c r="AR103" s="561">
        <v>0</v>
      </c>
    </row>
    <row r="104" spans="1:44" x14ac:dyDescent="0.3">
      <c r="A104" s="1129" t="s">
        <v>2753</v>
      </c>
      <c r="B104" s="1129" t="s">
        <v>2754</v>
      </c>
      <c r="C104" s="1129" t="s">
        <v>2755</v>
      </c>
      <c r="D104" s="1129" t="s">
        <v>2466</v>
      </c>
      <c r="E104" s="561">
        <v>0</v>
      </c>
      <c r="F104" s="561">
        <v>-113152</v>
      </c>
      <c r="G104" s="561">
        <v>0</v>
      </c>
      <c r="H104" s="561">
        <v>0</v>
      </c>
      <c r="I104" s="561">
        <v>0</v>
      </c>
      <c r="J104" s="561">
        <v>0</v>
      </c>
      <c r="K104" s="561">
        <v>0</v>
      </c>
      <c r="L104" s="561">
        <v>0</v>
      </c>
      <c r="M104" s="561">
        <v>0</v>
      </c>
      <c r="N104" s="561">
        <v>0</v>
      </c>
      <c r="O104" s="561">
        <v>0</v>
      </c>
      <c r="P104" s="561">
        <v>0</v>
      </c>
      <c r="Q104" s="561">
        <v>0</v>
      </c>
      <c r="R104" s="561">
        <v>52120</v>
      </c>
      <c r="S104" s="1217">
        <v>0</v>
      </c>
      <c r="T104" s="1217">
        <v>0</v>
      </c>
      <c r="U104" s="1217">
        <v>0</v>
      </c>
      <c r="V104" s="561">
        <v>0</v>
      </c>
      <c r="W104" s="561">
        <v>0</v>
      </c>
      <c r="X104" s="561">
        <v>0</v>
      </c>
      <c r="Y104" s="561">
        <v>0</v>
      </c>
      <c r="Z104" s="561">
        <v>0</v>
      </c>
      <c r="AA104" s="561">
        <v>4792</v>
      </c>
      <c r="AB104" s="561">
        <v>2257</v>
      </c>
      <c r="AC104" s="561">
        <v>2358</v>
      </c>
      <c r="AD104" s="561">
        <v>0</v>
      </c>
      <c r="AE104" s="561">
        <v>0</v>
      </c>
      <c r="AF104" s="561">
        <v>0</v>
      </c>
      <c r="AG104" s="561">
        <v>97</v>
      </c>
      <c r="AH104" s="561">
        <v>0</v>
      </c>
      <c r="AI104" s="561">
        <v>14178</v>
      </c>
      <c r="AJ104" s="561">
        <v>0</v>
      </c>
      <c r="AK104" s="561">
        <v>0</v>
      </c>
      <c r="AL104" s="561">
        <v>0</v>
      </c>
      <c r="AM104" s="561">
        <v>0</v>
      </c>
      <c r="AN104" s="561">
        <v>0</v>
      </c>
      <c r="AO104" s="561">
        <v>0</v>
      </c>
      <c r="AP104" s="561">
        <v>0</v>
      </c>
      <c r="AQ104" s="561">
        <v>0</v>
      </c>
      <c r="AR104" s="561">
        <v>0</v>
      </c>
    </row>
    <row r="105" spans="1:44" x14ac:dyDescent="0.3">
      <c r="A105" s="1129" t="s">
        <v>2756</v>
      </c>
      <c r="B105" s="1129" t="s">
        <v>2757</v>
      </c>
      <c r="C105" s="1129" t="s">
        <v>2758</v>
      </c>
      <c r="D105" s="1129" t="s">
        <v>2476</v>
      </c>
      <c r="E105" s="561">
        <v>-22236</v>
      </c>
      <c r="F105" s="561">
        <v>0</v>
      </c>
      <c r="G105" s="561">
        <v>362870</v>
      </c>
      <c r="H105" s="561">
        <v>29548</v>
      </c>
      <c r="I105" s="561">
        <v>39</v>
      </c>
      <c r="J105" s="561">
        <v>34819</v>
      </c>
      <c r="K105" s="561">
        <v>15642</v>
      </c>
      <c r="L105" s="561">
        <v>11271</v>
      </c>
      <c r="M105" s="561">
        <v>6202</v>
      </c>
      <c r="N105" s="561">
        <v>1467</v>
      </c>
      <c r="O105" s="561">
        <v>1098</v>
      </c>
      <c r="P105" s="561">
        <v>701</v>
      </c>
      <c r="Q105" s="561">
        <v>0</v>
      </c>
      <c r="R105" s="561">
        <v>192984</v>
      </c>
      <c r="S105" s="1217">
        <v>13934.65</v>
      </c>
      <c r="T105" s="1217">
        <v>5585</v>
      </c>
      <c r="U105" s="1217">
        <v>0</v>
      </c>
      <c r="V105" s="561">
        <v>21427</v>
      </c>
      <c r="W105" s="561">
        <v>1374</v>
      </c>
      <c r="X105" s="561">
        <v>2752</v>
      </c>
      <c r="Y105" s="561">
        <v>0</v>
      </c>
      <c r="Z105" s="561">
        <v>2485</v>
      </c>
      <c r="AA105" s="561">
        <v>0</v>
      </c>
      <c r="AB105" s="561">
        <v>0</v>
      </c>
      <c r="AC105" s="561">
        <v>0</v>
      </c>
      <c r="AD105" s="561">
        <v>15663</v>
      </c>
      <c r="AE105" s="561">
        <v>0</v>
      </c>
      <c r="AF105" s="561">
        <v>3527</v>
      </c>
      <c r="AG105" s="561">
        <v>19402</v>
      </c>
      <c r="AH105" s="561">
        <v>18269</v>
      </c>
      <c r="AI105" s="561">
        <v>6802</v>
      </c>
      <c r="AJ105" s="561">
        <v>31310</v>
      </c>
      <c r="AK105" s="561">
        <v>0</v>
      </c>
      <c r="AL105" s="561">
        <v>38972</v>
      </c>
      <c r="AM105" s="561" t="s">
        <v>2534</v>
      </c>
      <c r="AN105" s="561" t="s">
        <v>2534</v>
      </c>
      <c r="AO105" s="561" t="s">
        <v>2534</v>
      </c>
      <c r="AP105" s="561" t="s">
        <v>2534</v>
      </c>
      <c r="AQ105" s="561" t="s">
        <v>2534</v>
      </c>
      <c r="AR105" s="561" t="s">
        <v>2534</v>
      </c>
    </row>
    <row r="106" spans="1:44" x14ac:dyDescent="0.3">
      <c r="A106" s="1129" t="s">
        <v>2759</v>
      </c>
      <c r="B106" s="1129" t="s">
        <v>2760</v>
      </c>
      <c r="C106" s="1129" t="s">
        <v>2761</v>
      </c>
      <c r="D106" s="1129" t="s">
        <v>384</v>
      </c>
      <c r="E106" s="561">
        <v>-126</v>
      </c>
      <c r="F106" s="561">
        <v>0</v>
      </c>
      <c r="G106" s="561">
        <v>0</v>
      </c>
      <c r="H106" s="561">
        <v>0</v>
      </c>
      <c r="I106" s="561">
        <v>37</v>
      </c>
      <c r="J106" s="561">
        <v>0</v>
      </c>
      <c r="K106" s="561">
        <v>0</v>
      </c>
      <c r="L106" s="561">
        <v>673</v>
      </c>
      <c r="M106" s="561">
        <v>0</v>
      </c>
      <c r="N106" s="561">
        <v>0</v>
      </c>
      <c r="O106" s="561">
        <v>0</v>
      </c>
      <c r="P106" s="561">
        <v>829</v>
      </c>
      <c r="Q106" s="561">
        <v>3596</v>
      </c>
      <c r="R106" s="561">
        <v>8298</v>
      </c>
      <c r="S106" s="1217">
        <v>0</v>
      </c>
      <c r="T106" s="1217">
        <v>0</v>
      </c>
      <c r="U106" s="1217">
        <v>0</v>
      </c>
      <c r="V106" s="561">
        <v>0</v>
      </c>
      <c r="W106" s="561">
        <v>154</v>
      </c>
      <c r="X106" s="561">
        <v>119</v>
      </c>
      <c r="Y106" s="561">
        <v>405</v>
      </c>
      <c r="Z106" s="561">
        <v>0</v>
      </c>
      <c r="AA106" s="561">
        <v>0</v>
      </c>
      <c r="AB106" s="561">
        <v>0</v>
      </c>
      <c r="AC106" s="561">
        <v>0</v>
      </c>
      <c r="AD106" s="561">
        <v>0</v>
      </c>
      <c r="AE106" s="561">
        <v>0</v>
      </c>
      <c r="AF106" s="561">
        <v>0</v>
      </c>
      <c r="AG106" s="561">
        <v>1238</v>
      </c>
      <c r="AH106" s="561">
        <v>0</v>
      </c>
      <c r="AI106" s="561">
        <v>17020</v>
      </c>
      <c r="AJ106" s="561">
        <v>0</v>
      </c>
      <c r="AK106" s="561">
        <v>9175</v>
      </c>
      <c r="AL106" s="561">
        <v>0</v>
      </c>
      <c r="AM106" s="561">
        <v>5</v>
      </c>
      <c r="AN106" s="561">
        <v>0</v>
      </c>
      <c r="AO106" s="561">
        <v>20</v>
      </c>
      <c r="AP106" s="561">
        <v>0</v>
      </c>
      <c r="AQ106" s="561">
        <v>0</v>
      </c>
      <c r="AR106" s="561">
        <v>0</v>
      </c>
    </row>
    <row r="107" spans="1:44" x14ac:dyDescent="0.3">
      <c r="A107" s="1129" t="s">
        <v>2762</v>
      </c>
      <c r="B107" s="1129" t="s">
        <v>2763</v>
      </c>
      <c r="C107" s="1129" t="s">
        <v>2764</v>
      </c>
      <c r="D107" s="1129" t="s">
        <v>384</v>
      </c>
      <c r="E107" s="561">
        <v>-320</v>
      </c>
      <c r="F107" s="561">
        <v>0</v>
      </c>
      <c r="G107" s="561">
        <v>0</v>
      </c>
      <c r="H107" s="561">
        <v>0</v>
      </c>
      <c r="I107" s="561">
        <v>35</v>
      </c>
      <c r="J107" s="561">
        <v>0</v>
      </c>
      <c r="K107" s="561">
        <v>0</v>
      </c>
      <c r="L107" s="561">
        <v>734</v>
      </c>
      <c r="M107" s="561">
        <v>0</v>
      </c>
      <c r="N107" s="561">
        <v>0</v>
      </c>
      <c r="O107" s="561">
        <v>0</v>
      </c>
      <c r="P107" s="561">
        <v>685</v>
      </c>
      <c r="Q107" s="561">
        <v>6220</v>
      </c>
      <c r="R107" s="561">
        <v>17410</v>
      </c>
      <c r="S107" s="1217">
        <v>1764</v>
      </c>
      <c r="T107" s="1217">
        <v>0</v>
      </c>
      <c r="U107" s="1217">
        <v>0</v>
      </c>
      <c r="V107" s="561">
        <v>2472</v>
      </c>
      <c r="W107" s="561">
        <v>273</v>
      </c>
      <c r="X107" s="561">
        <v>283</v>
      </c>
      <c r="Y107" s="561">
        <v>2098</v>
      </c>
      <c r="Z107" s="561">
        <v>187</v>
      </c>
      <c r="AA107" s="561">
        <v>0</v>
      </c>
      <c r="AB107" s="561">
        <v>0</v>
      </c>
      <c r="AC107" s="561">
        <v>0</v>
      </c>
      <c r="AD107" s="561">
        <v>0</v>
      </c>
      <c r="AE107" s="561">
        <v>0</v>
      </c>
      <c r="AF107" s="561">
        <v>0</v>
      </c>
      <c r="AG107" s="561">
        <v>14605</v>
      </c>
      <c r="AH107" s="561">
        <v>350</v>
      </c>
      <c r="AI107" s="561">
        <v>42780</v>
      </c>
      <c r="AJ107" s="561">
        <v>0</v>
      </c>
      <c r="AK107" s="561">
        <v>1172</v>
      </c>
      <c r="AL107" s="561">
        <v>0</v>
      </c>
      <c r="AM107" s="561">
        <v>3</v>
      </c>
      <c r="AN107" s="561">
        <v>6</v>
      </c>
      <c r="AO107" s="561">
        <v>0</v>
      </c>
      <c r="AP107" s="561">
        <v>0</v>
      </c>
      <c r="AQ107" s="561">
        <v>37</v>
      </c>
      <c r="AR107" s="561">
        <v>0</v>
      </c>
    </row>
    <row r="108" spans="1:44" x14ac:dyDescent="0.3">
      <c r="A108" s="1129" t="s">
        <v>2765</v>
      </c>
      <c r="B108" s="1129" t="s">
        <v>2766</v>
      </c>
      <c r="C108" s="1129" t="s">
        <v>2767</v>
      </c>
      <c r="D108" s="1129" t="s">
        <v>384</v>
      </c>
      <c r="E108" s="561">
        <v>-182</v>
      </c>
      <c r="F108" s="561">
        <v>0</v>
      </c>
      <c r="G108" s="561">
        <v>0</v>
      </c>
      <c r="H108" s="561">
        <v>0</v>
      </c>
      <c r="I108" s="561">
        <v>37</v>
      </c>
      <c r="J108" s="561">
        <v>0</v>
      </c>
      <c r="K108" s="561">
        <v>0</v>
      </c>
      <c r="L108" s="561">
        <v>819</v>
      </c>
      <c r="M108" s="561">
        <v>0</v>
      </c>
      <c r="N108" s="561">
        <v>0</v>
      </c>
      <c r="O108" s="561">
        <v>0</v>
      </c>
      <c r="P108" s="561">
        <v>260</v>
      </c>
      <c r="Q108" s="561">
        <v>5631</v>
      </c>
      <c r="R108" s="561">
        <v>13655</v>
      </c>
      <c r="S108" s="1217">
        <v>0</v>
      </c>
      <c r="T108" s="1217">
        <v>0</v>
      </c>
      <c r="U108" s="1217">
        <v>0</v>
      </c>
      <c r="V108" s="561">
        <v>2729</v>
      </c>
      <c r="W108" s="561">
        <v>177</v>
      </c>
      <c r="X108" s="561">
        <v>184</v>
      </c>
      <c r="Y108" s="561">
        <v>2230</v>
      </c>
      <c r="Z108" s="561">
        <v>0</v>
      </c>
      <c r="AA108" s="561">
        <v>0</v>
      </c>
      <c r="AB108" s="561">
        <v>0</v>
      </c>
      <c r="AC108" s="561">
        <v>0</v>
      </c>
      <c r="AD108" s="561">
        <v>0</v>
      </c>
      <c r="AE108" s="561">
        <v>0</v>
      </c>
      <c r="AF108" s="561">
        <v>0</v>
      </c>
      <c r="AG108" s="561">
        <v>3801</v>
      </c>
      <c r="AH108" s="561">
        <v>2743</v>
      </c>
      <c r="AI108" s="561">
        <v>3423</v>
      </c>
      <c r="AJ108" s="561">
        <v>4230</v>
      </c>
      <c r="AK108" s="561">
        <v>1690</v>
      </c>
      <c r="AL108" s="561">
        <v>24</v>
      </c>
      <c r="AM108" s="561">
        <v>5</v>
      </c>
      <c r="AN108" s="561">
        <v>1</v>
      </c>
      <c r="AO108" s="561">
        <v>0</v>
      </c>
      <c r="AP108" s="561">
        <v>0</v>
      </c>
      <c r="AQ108" s="561">
        <v>43</v>
      </c>
      <c r="AR108" s="561">
        <v>0</v>
      </c>
    </row>
    <row r="109" spans="1:44" x14ac:dyDescent="0.3">
      <c r="A109" s="1129" t="s">
        <v>2768</v>
      </c>
      <c r="B109" s="1129" t="s">
        <v>2769</v>
      </c>
      <c r="C109" s="1129" t="s">
        <v>2770</v>
      </c>
      <c r="D109" s="1129" t="s">
        <v>384</v>
      </c>
      <c r="E109" s="561">
        <v>-141</v>
      </c>
      <c r="F109" s="561">
        <v>0</v>
      </c>
      <c r="G109" s="561">
        <v>0</v>
      </c>
      <c r="H109" s="561">
        <v>0</v>
      </c>
      <c r="I109" s="561">
        <v>37</v>
      </c>
      <c r="J109" s="561">
        <v>0</v>
      </c>
      <c r="K109" s="561">
        <v>0</v>
      </c>
      <c r="L109" s="561">
        <v>864</v>
      </c>
      <c r="M109" s="561">
        <v>0</v>
      </c>
      <c r="N109" s="561">
        <v>0</v>
      </c>
      <c r="O109" s="561">
        <v>0</v>
      </c>
      <c r="P109" s="561">
        <v>1193</v>
      </c>
      <c r="Q109" s="561">
        <v>6775</v>
      </c>
      <c r="R109" s="561">
        <v>19905</v>
      </c>
      <c r="S109" s="1217">
        <v>0</v>
      </c>
      <c r="T109" s="1217">
        <v>0</v>
      </c>
      <c r="U109" s="1217">
        <v>0</v>
      </c>
      <c r="V109" s="561">
        <v>2254</v>
      </c>
      <c r="W109" s="561">
        <v>241</v>
      </c>
      <c r="X109" s="561">
        <v>155</v>
      </c>
      <c r="Y109" s="561">
        <v>312</v>
      </c>
      <c r="Z109" s="561">
        <v>93</v>
      </c>
      <c r="AA109" s="561">
        <v>0</v>
      </c>
      <c r="AB109" s="561">
        <v>0</v>
      </c>
      <c r="AC109" s="561">
        <v>0</v>
      </c>
      <c r="AD109" s="561">
        <v>0</v>
      </c>
      <c r="AE109" s="561">
        <v>0</v>
      </c>
      <c r="AF109" s="561">
        <v>0</v>
      </c>
      <c r="AG109" s="561">
        <v>0</v>
      </c>
      <c r="AH109" s="561">
        <v>0</v>
      </c>
      <c r="AI109" s="561">
        <v>0</v>
      </c>
      <c r="AJ109" s="561">
        <v>581</v>
      </c>
      <c r="AK109" s="561">
        <v>2144</v>
      </c>
      <c r="AL109" s="561">
        <v>0</v>
      </c>
      <c r="AM109" s="561">
        <v>28</v>
      </c>
      <c r="AN109" s="561">
        <v>3</v>
      </c>
      <c r="AO109" s="561">
        <v>25</v>
      </c>
      <c r="AP109" s="561">
        <v>6</v>
      </c>
      <c r="AQ109" s="561">
        <v>0</v>
      </c>
      <c r="AR109" s="561">
        <v>0</v>
      </c>
    </row>
    <row r="110" spans="1:44" x14ac:dyDescent="0.3">
      <c r="A110" s="1129" t="s">
        <v>2771</v>
      </c>
      <c r="B110" s="1129" t="s">
        <v>2772</v>
      </c>
      <c r="C110" s="1129" t="s">
        <v>2773</v>
      </c>
      <c r="D110" s="1129" t="s">
        <v>384</v>
      </c>
      <c r="E110" s="561">
        <v>-1441</v>
      </c>
      <c r="F110" s="561">
        <v>0</v>
      </c>
      <c r="G110" s="561">
        <v>0</v>
      </c>
      <c r="H110" s="561">
        <v>0</v>
      </c>
      <c r="I110" s="561">
        <v>35</v>
      </c>
      <c r="J110" s="561">
        <v>0</v>
      </c>
      <c r="K110" s="561">
        <v>0</v>
      </c>
      <c r="L110" s="561">
        <v>838</v>
      </c>
      <c r="M110" s="561">
        <v>0</v>
      </c>
      <c r="N110" s="561">
        <v>0</v>
      </c>
      <c r="O110" s="561">
        <v>586</v>
      </c>
      <c r="P110" s="561">
        <v>635</v>
      </c>
      <c r="Q110" s="561">
        <v>4144</v>
      </c>
      <c r="R110" s="561">
        <v>12406</v>
      </c>
      <c r="S110" s="1217">
        <v>0</v>
      </c>
      <c r="T110" s="1217">
        <v>5929</v>
      </c>
      <c r="U110" s="1217">
        <v>0</v>
      </c>
      <c r="V110" s="561">
        <v>0</v>
      </c>
      <c r="W110" s="561">
        <v>412</v>
      </c>
      <c r="X110" s="561">
        <v>234</v>
      </c>
      <c r="Y110" s="561">
        <v>665</v>
      </c>
      <c r="Z110" s="561">
        <v>670</v>
      </c>
      <c r="AA110" s="561">
        <v>0</v>
      </c>
      <c r="AB110" s="561">
        <v>0</v>
      </c>
      <c r="AC110" s="561">
        <v>0</v>
      </c>
      <c r="AD110" s="561">
        <v>0</v>
      </c>
      <c r="AE110" s="561">
        <v>0</v>
      </c>
      <c r="AF110" s="561">
        <v>0</v>
      </c>
      <c r="AG110" s="561">
        <v>1822</v>
      </c>
      <c r="AH110" s="561">
        <v>0</v>
      </c>
      <c r="AI110" s="561">
        <v>22541</v>
      </c>
      <c r="AJ110" s="561">
        <v>11536</v>
      </c>
      <c r="AK110" s="561">
        <v>2599</v>
      </c>
      <c r="AL110" s="561">
        <v>0</v>
      </c>
      <c r="AM110" s="561">
        <v>13</v>
      </c>
      <c r="AN110" s="561">
        <v>0</v>
      </c>
      <c r="AO110" s="561">
        <v>2</v>
      </c>
      <c r="AP110" s="561">
        <v>7</v>
      </c>
      <c r="AQ110" s="561">
        <v>26</v>
      </c>
      <c r="AR110" s="561">
        <v>1</v>
      </c>
    </row>
    <row r="111" spans="1:44" x14ac:dyDescent="0.3">
      <c r="A111" s="1129" t="s">
        <v>2774</v>
      </c>
      <c r="B111" s="1129" t="s">
        <v>2775</v>
      </c>
      <c r="C111" s="1129" t="s">
        <v>2776</v>
      </c>
      <c r="D111" s="1129" t="s">
        <v>2466</v>
      </c>
      <c r="E111" s="561">
        <v>0</v>
      </c>
      <c r="F111" s="561">
        <v>0</v>
      </c>
      <c r="G111" s="561">
        <v>0</v>
      </c>
      <c r="H111" s="561">
        <v>0</v>
      </c>
      <c r="I111" s="561">
        <v>0</v>
      </c>
      <c r="J111" s="561">
        <v>0</v>
      </c>
      <c r="K111" s="561">
        <v>0</v>
      </c>
      <c r="L111" s="561">
        <v>0</v>
      </c>
      <c r="M111" s="561">
        <v>0</v>
      </c>
      <c r="N111" s="561">
        <v>0</v>
      </c>
      <c r="O111" s="561">
        <v>0</v>
      </c>
      <c r="P111" s="561">
        <v>0</v>
      </c>
      <c r="Q111" s="561">
        <v>0</v>
      </c>
      <c r="R111" s="561">
        <v>0</v>
      </c>
      <c r="S111" s="1217">
        <v>0</v>
      </c>
      <c r="T111" s="1217">
        <v>0</v>
      </c>
      <c r="U111" s="1217">
        <v>0</v>
      </c>
      <c r="V111" s="561">
        <v>84</v>
      </c>
      <c r="W111" s="561">
        <v>0</v>
      </c>
      <c r="X111" s="561">
        <v>0</v>
      </c>
      <c r="Y111" s="561">
        <v>0</v>
      </c>
      <c r="Z111" s="561">
        <v>0</v>
      </c>
      <c r="AA111" s="561">
        <v>0</v>
      </c>
      <c r="AB111" s="561">
        <v>0</v>
      </c>
      <c r="AC111" s="561">
        <v>0</v>
      </c>
      <c r="AD111" s="561">
        <v>0</v>
      </c>
      <c r="AE111" s="561">
        <v>0</v>
      </c>
      <c r="AF111" s="561">
        <v>0</v>
      </c>
      <c r="AG111" s="561">
        <v>3900</v>
      </c>
      <c r="AH111" s="561">
        <v>0</v>
      </c>
      <c r="AI111" s="561">
        <v>10614</v>
      </c>
      <c r="AJ111" s="561">
        <v>1000</v>
      </c>
      <c r="AK111" s="561">
        <v>0</v>
      </c>
      <c r="AL111" s="561">
        <v>0</v>
      </c>
      <c r="AM111" s="561">
        <v>0</v>
      </c>
      <c r="AN111" s="561">
        <v>0</v>
      </c>
      <c r="AO111" s="561">
        <v>0</v>
      </c>
      <c r="AP111" s="561">
        <v>0</v>
      </c>
      <c r="AQ111" s="561">
        <v>0</v>
      </c>
      <c r="AR111" s="561">
        <v>0</v>
      </c>
    </row>
    <row r="112" spans="1:44" x14ac:dyDescent="0.3">
      <c r="A112" s="1129" t="s">
        <v>2777</v>
      </c>
      <c r="B112" s="1129" t="s">
        <v>2778</v>
      </c>
      <c r="C112" s="1129" t="s">
        <v>2779</v>
      </c>
      <c r="D112" s="1129" t="s">
        <v>2466</v>
      </c>
      <c r="E112" s="561">
        <v>0</v>
      </c>
      <c r="F112" s="561">
        <v>0</v>
      </c>
      <c r="G112" s="561">
        <v>0</v>
      </c>
      <c r="H112" s="561">
        <v>0</v>
      </c>
      <c r="I112" s="561">
        <v>0</v>
      </c>
      <c r="J112" s="561">
        <v>0</v>
      </c>
      <c r="K112" s="561">
        <v>0</v>
      </c>
      <c r="L112" s="561">
        <v>0</v>
      </c>
      <c r="M112" s="561">
        <v>0</v>
      </c>
      <c r="N112" s="561">
        <v>0</v>
      </c>
      <c r="O112" s="561">
        <v>0</v>
      </c>
      <c r="P112" s="561">
        <v>0</v>
      </c>
      <c r="Q112" s="561">
        <v>0</v>
      </c>
      <c r="R112" s="561">
        <v>0</v>
      </c>
      <c r="S112" s="1217">
        <v>0</v>
      </c>
      <c r="T112" s="1217">
        <v>0</v>
      </c>
      <c r="U112" s="1217">
        <v>0</v>
      </c>
      <c r="V112" s="561">
        <v>0</v>
      </c>
      <c r="W112" s="561">
        <v>0</v>
      </c>
      <c r="X112" s="561">
        <v>0</v>
      </c>
      <c r="Y112" s="561">
        <v>0</v>
      </c>
      <c r="Z112" s="561">
        <v>100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row>
    <row r="113" spans="1:44" x14ac:dyDescent="0.3">
      <c r="A113" s="1129" t="s">
        <v>2780</v>
      </c>
      <c r="B113" s="1129" t="s">
        <v>2781</v>
      </c>
      <c r="C113" s="1129" t="s">
        <v>2782</v>
      </c>
      <c r="D113" s="1129" t="s">
        <v>385</v>
      </c>
      <c r="E113" s="561">
        <v>-6888</v>
      </c>
      <c r="F113" s="561">
        <v>0</v>
      </c>
      <c r="G113" s="561">
        <v>224826</v>
      </c>
      <c r="H113" s="561">
        <v>13188</v>
      </c>
      <c r="I113" s="561">
        <v>745</v>
      </c>
      <c r="J113" s="561">
        <v>32354</v>
      </c>
      <c r="K113" s="561">
        <v>14337</v>
      </c>
      <c r="L113" s="561">
        <v>962</v>
      </c>
      <c r="M113" s="561">
        <v>6326</v>
      </c>
      <c r="N113" s="561">
        <v>769</v>
      </c>
      <c r="O113" s="561">
        <v>0</v>
      </c>
      <c r="P113" s="561">
        <v>2972</v>
      </c>
      <c r="Q113" s="561">
        <v>8995</v>
      </c>
      <c r="R113" s="561">
        <v>249742</v>
      </c>
      <c r="S113" s="1217">
        <v>3868</v>
      </c>
      <c r="T113" s="1217">
        <v>10951</v>
      </c>
      <c r="U113" s="1217">
        <v>0</v>
      </c>
      <c r="V113" s="561">
        <v>11621</v>
      </c>
      <c r="W113" s="561">
        <v>642</v>
      </c>
      <c r="X113" s="561">
        <v>2840</v>
      </c>
      <c r="Y113" s="561">
        <v>0</v>
      </c>
      <c r="Z113" s="561">
        <v>185</v>
      </c>
      <c r="AA113" s="561">
        <v>0</v>
      </c>
      <c r="AB113" s="561">
        <v>0</v>
      </c>
      <c r="AC113" s="561">
        <v>0</v>
      </c>
      <c r="AD113" s="561">
        <v>10356</v>
      </c>
      <c r="AE113" s="561">
        <v>0</v>
      </c>
      <c r="AF113" s="561">
        <v>7583</v>
      </c>
      <c r="AG113" s="561">
        <v>6882</v>
      </c>
      <c r="AH113" s="561">
        <v>1070</v>
      </c>
      <c r="AI113" s="561">
        <v>74134</v>
      </c>
      <c r="AJ113" s="561">
        <v>17619</v>
      </c>
      <c r="AK113" s="561">
        <v>0</v>
      </c>
      <c r="AL113" s="561">
        <v>0</v>
      </c>
      <c r="AM113" s="561">
        <v>19</v>
      </c>
      <c r="AN113" s="561">
        <v>0</v>
      </c>
      <c r="AO113" s="561">
        <v>0</v>
      </c>
      <c r="AP113" s="561">
        <v>0</v>
      </c>
      <c r="AQ113" s="561">
        <v>177</v>
      </c>
      <c r="AR113" s="561">
        <v>62</v>
      </c>
    </row>
    <row r="114" spans="1:44" x14ac:dyDescent="0.3">
      <c r="A114" s="1129" t="s">
        <v>2783</v>
      </c>
      <c r="B114" s="1129" t="s">
        <v>2784</v>
      </c>
      <c r="C114" s="1129" t="s">
        <v>2785</v>
      </c>
      <c r="D114" s="1129" t="s">
        <v>384</v>
      </c>
      <c r="E114" s="561">
        <v>-145</v>
      </c>
      <c r="F114" s="561">
        <v>0</v>
      </c>
      <c r="G114" s="561">
        <v>0</v>
      </c>
      <c r="H114" s="561">
        <v>0</v>
      </c>
      <c r="I114" s="561">
        <v>36</v>
      </c>
      <c r="J114" s="561">
        <v>0</v>
      </c>
      <c r="K114" s="561">
        <v>0</v>
      </c>
      <c r="L114" s="561">
        <v>539</v>
      </c>
      <c r="M114" s="561">
        <v>0</v>
      </c>
      <c r="N114" s="561">
        <v>0</v>
      </c>
      <c r="O114" s="561">
        <v>349</v>
      </c>
      <c r="P114" s="561">
        <v>755</v>
      </c>
      <c r="Q114" s="561">
        <v>1692</v>
      </c>
      <c r="R114" s="561">
        <v>10661</v>
      </c>
      <c r="S114" s="1217">
        <v>0</v>
      </c>
      <c r="T114" s="1217">
        <v>5009</v>
      </c>
      <c r="U114" s="1217">
        <v>0</v>
      </c>
      <c r="V114" s="561">
        <v>238</v>
      </c>
      <c r="W114" s="561">
        <v>217</v>
      </c>
      <c r="X114" s="561">
        <v>132</v>
      </c>
      <c r="Y114" s="561">
        <v>397</v>
      </c>
      <c r="Z114" s="561">
        <v>173</v>
      </c>
      <c r="AA114" s="561">
        <v>0</v>
      </c>
      <c r="AB114" s="561">
        <v>0</v>
      </c>
      <c r="AC114" s="561">
        <v>0</v>
      </c>
      <c r="AD114" s="561">
        <v>0</v>
      </c>
      <c r="AE114" s="561">
        <v>0</v>
      </c>
      <c r="AF114" s="561">
        <v>0</v>
      </c>
      <c r="AG114" s="561">
        <v>2057</v>
      </c>
      <c r="AH114" s="561">
        <v>0</v>
      </c>
      <c r="AI114" s="561">
        <v>13888</v>
      </c>
      <c r="AJ114" s="561">
        <v>8585</v>
      </c>
      <c r="AK114" s="561">
        <v>5412</v>
      </c>
      <c r="AL114" s="561">
        <v>0</v>
      </c>
      <c r="AM114" s="561">
        <v>20</v>
      </c>
      <c r="AN114" s="561">
        <v>19</v>
      </c>
      <c r="AO114" s="561">
        <v>7</v>
      </c>
      <c r="AP114" s="561">
        <v>0</v>
      </c>
      <c r="AQ114" s="561">
        <v>5</v>
      </c>
      <c r="AR114" s="561">
        <v>0</v>
      </c>
    </row>
    <row r="115" spans="1:44" x14ac:dyDescent="0.3">
      <c r="A115" s="1129" t="s">
        <v>2786</v>
      </c>
      <c r="B115" s="1129" t="s">
        <v>2787</v>
      </c>
      <c r="C115" s="1129" t="s">
        <v>2788</v>
      </c>
      <c r="D115" s="1129" t="s">
        <v>384</v>
      </c>
      <c r="E115" s="561">
        <v>-811</v>
      </c>
      <c r="F115" s="561">
        <v>0</v>
      </c>
      <c r="G115" s="561">
        <v>0</v>
      </c>
      <c r="H115" s="561">
        <v>0</v>
      </c>
      <c r="I115" s="561">
        <v>35</v>
      </c>
      <c r="J115" s="561">
        <v>0</v>
      </c>
      <c r="K115" s="561">
        <v>0</v>
      </c>
      <c r="L115" s="561">
        <v>1302</v>
      </c>
      <c r="M115" s="561">
        <v>0</v>
      </c>
      <c r="N115" s="561">
        <v>0</v>
      </c>
      <c r="O115" s="561">
        <v>471</v>
      </c>
      <c r="P115" s="561">
        <v>917</v>
      </c>
      <c r="Q115" s="561">
        <v>8794</v>
      </c>
      <c r="R115" s="561">
        <v>27311</v>
      </c>
      <c r="S115" s="1217">
        <v>15359</v>
      </c>
      <c r="T115" s="1217">
        <v>1418</v>
      </c>
      <c r="U115" s="1217">
        <v>0</v>
      </c>
      <c r="V115" s="561">
        <v>2170</v>
      </c>
      <c r="W115" s="561">
        <v>593</v>
      </c>
      <c r="X115" s="561">
        <v>545</v>
      </c>
      <c r="Y115" s="561">
        <v>682</v>
      </c>
      <c r="Z115" s="561">
        <v>834</v>
      </c>
      <c r="AA115" s="561">
        <v>0</v>
      </c>
      <c r="AB115" s="561">
        <v>0</v>
      </c>
      <c r="AC115" s="561">
        <v>0</v>
      </c>
      <c r="AD115" s="561">
        <v>0</v>
      </c>
      <c r="AE115" s="561">
        <v>0</v>
      </c>
      <c r="AF115" s="561">
        <v>0</v>
      </c>
      <c r="AG115" s="561">
        <v>6000</v>
      </c>
      <c r="AH115" s="561">
        <v>0</v>
      </c>
      <c r="AI115" s="561">
        <v>21412</v>
      </c>
      <c r="AJ115" s="561">
        <v>17693</v>
      </c>
      <c r="AK115" s="561">
        <v>3076</v>
      </c>
      <c r="AL115" s="561">
        <v>0</v>
      </c>
      <c r="AM115" s="561">
        <v>0</v>
      </c>
      <c r="AN115" s="561">
        <v>50</v>
      </c>
      <c r="AO115" s="561">
        <v>13</v>
      </c>
      <c r="AP115" s="561">
        <v>9</v>
      </c>
      <c r="AQ115" s="561">
        <v>86</v>
      </c>
      <c r="AR115" s="561">
        <v>1</v>
      </c>
    </row>
    <row r="116" spans="1:44" x14ac:dyDescent="0.3">
      <c r="A116" s="1129" t="s">
        <v>2789</v>
      </c>
      <c r="B116" s="1129" t="s">
        <v>2790</v>
      </c>
      <c r="C116" s="1129" t="s">
        <v>2791</v>
      </c>
      <c r="D116" s="1129" t="s">
        <v>2595</v>
      </c>
      <c r="E116" s="561">
        <v>-5434</v>
      </c>
      <c r="F116" s="561">
        <v>0</v>
      </c>
      <c r="G116" s="561">
        <v>294705</v>
      </c>
      <c r="H116" s="561">
        <v>32501</v>
      </c>
      <c r="I116" s="561">
        <v>1389</v>
      </c>
      <c r="J116" s="561">
        <v>59640</v>
      </c>
      <c r="K116" s="561">
        <v>26865</v>
      </c>
      <c r="L116" s="561">
        <v>0</v>
      </c>
      <c r="M116" s="561">
        <v>11312</v>
      </c>
      <c r="N116" s="561">
        <v>1608</v>
      </c>
      <c r="O116" s="561">
        <v>0</v>
      </c>
      <c r="P116" s="561">
        <v>587</v>
      </c>
      <c r="Q116" s="561">
        <v>0</v>
      </c>
      <c r="R116" s="561">
        <v>394475</v>
      </c>
      <c r="S116" s="1217">
        <v>0</v>
      </c>
      <c r="T116" s="1217">
        <v>12141</v>
      </c>
      <c r="U116" s="1217">
        <v>0</v>
      </c>
      <c r="V116" s="561">
        <v>8945</v>
      </c>
      <c r="W116" s="561">
        <v>0</v>
      </c>
      <c r="X116" s="561">
        <v>4470</v>
      </c>
      <c r="Y116" s="561">
        <v>0</v>
      </c>
      <c r="Z116" s="561">
        <v>0</v>
      </c>
      <c r="AA116" s="561">
        <v>0</v>
      </c>
      <c r="AB116" s="561">
        <v>0</v>
      </c>
      <c r="AC116" s="561">
        <v>0</v>
      </c>
      <c r="AD116" s="561">
        <v>18258</v>
      </c>
      <c r="AE116" s="561">
        <v>15815</v>
      </c>
      <c r="AF116" s="561">
        <v>6294</v>
      </c>
      <c r="AG116" s="561">
        <v>9999</v>
      </c>
      <c r="AH116" s="561">
        <v>19486</v>
      </c>
      <c r="AI116" s="561">
        <v>23917</v>
      </c>
      <c r="AJ116" s="561">
        <v>29499</v>
      </c>
      <c r="AK116" s="561">
        <v>16700</v>
      </c>
      <c r="AL116" s="561">
        <v>30627</v>
      </c>
      <c r="AM116" s="561">
        <v>0</v>
      </c>
      <c r="AN116" s="561">
        <v>0</v>
      </c>
      <c r="AO116" s="561">
        <v>0</v>
      </c>
      <c r="AP116" s="561">
        <v>0</v>
      </c>
      <c r="AQ116" s="561">
        <v>0</v>
      </c>
      <c r="AR116" s="561">
        <v>0</v>
      </c>
    </row>
    <row r="117" spans="1:44" x14ac:dyDescent="0.3">
      <c r="A117" s="1129" t="s">
        <v>2792</v>
      </c>
      <c r="B117" s="1129" t="s">
        <v>2793</v>
      </c>
      <c r="C117" s="1129" t="s">
        <v>2794</v>
      </c>
      <c r="D117" s="1129" t="s">
        <v>2466</v>
      </c>
      <c r="E117" s="561">
        <v>-5741</v>
      </c>
      <c r="F117" s="561">
        <v>0</v>
      </c>
      <c r="G117" s="561">
        <v>0</v>
      </c>
      <c r="H117" s="561">
        <v>0</v>
      </c>
      <c r="I117" s="561">
        <v>0</v>
      </c>
      <c r="J117" s="561">
        <v>0</v>
      </c>
      <c r="K117" s="561">
        <v>0</v>
      </c>
      <c r="L117" s="561">
        <v>0</v>
      </c>
      <c r="M117" s="561">
        <v>0</v>
      </c>
      <c r="N117" s="561">
        <v>0</v>
      </c>
      <c r="O117" s="561">
        <v>0</v>
      </c>
      <c r="P117" s="561">
        <v>0</v>
      </c>
      <c r="Q117" s="561">
        <v>0</v>
      </c>
      <c r="R117" s="561">
        <v>34472</v>
      </c>
      <c r="S117" s="1217">
        <v>0</v>
      </c>
      <c r="T117" s="1217">
        <v>2500</v>
      </c>
      <c r="U117" s="1217">
        <v>0</v>
      </c>
      <c r="V117" s="561">
        <v>394</v>
      </c>
      <c r="W117" s="561">
        <v>0</v>
      </c>
      <c r="X117" s="561">
        <v>339</v>
      </c>
      <c r="Y117" s="561">
        <v>0</v>
      </c>
      <c r="Z117" s="561">
        <v>0</v>
      </c>
      <c r="AA117" s="561">
        <v>0</v>
      </c>
      <c r="AB117" s="561">
        <v>0</v>
      </c>
      <c r="AC117" s="561">
        <v>0</v>
      </c>
      <c r="AD117" s="561">
        <v>0</v>
      </c>
      <c r="AE117" s="561">
        <v>0</v>
      </c>
      <c r="AF117" s="561">
        <v>0</v>
      </c>
      <c r="AG117" s="561">
        <v>2500</v>
      </c>
      <c r="AH117" s="561">
        <v>0</v>
      </c>
      <c r="AI117" s="561">
        <v>10396</v>
      </c>
      <c r="AJ117" s="561">
        <v>258</v>
      </c>
      <c r="AK117" s="561">
        <v>156</v>
      </c>
      <c r="AL117" s="561">
        <v>0</v>
      </c>
      <c r="AM117" s="561">
        <v>0</v>
      </c>
      <c r="AN117" s="561">
        <v>0</v>
      </c>
      <c r="AO117" s="561">
        <v>0</v>
      </c>
      <c r="AP117" s="561">
        <v>0</v>
      </c>
      <c r="AQ117" s="561">
        <v>0</v>
      </c>
      <c r="AR117" s="561">
        <v>0</v>
      </c>
    </row>
    <row r="118" spans="1:44" x14ac:dyDescent="0.3">
      <c r="A118" s="1129" t="s">
        <v>2795</v>
      </c>
      <c r="B118" s="1129" t="s">
        <v>2796</v>
      </c>
      <c r="C118" s="1129" t="s">
        <v>2797</v>
      </c>
      <c r="D118" s="1129" t="s">
        <v>384</v>
      </c>
      <c r="E118" s="561">
        <v>-176</v>
      </c>
      <c r="F118" s="561">
        <v>0</v>
      </c>
      <c r="G118" s="561">
        <v>0</v>
      </c>
      <c r="H118" s="561">
        <v>0</v>
      </c>
      <c r="I118" s="561">
        <v>36</v>
      </c>
      <c r="J118" s="561">
        <v>0</v>
      </c>
      <c r="K118" s="561">
        <v>0</v>
      </c>
      <c r="L118" s="561">
        <v>1402</v>
      </c>
      <c r="M118" s="561">
        <v>0</v>
      </c>
      <c r="N118" s="561">
        <v>0</v>
      </c>
      <c r="O118" s="561">
        <v>388</v>
      </c>
      <c r="P118" s="561">
        <v>184</v>
      </c>
      <c r="Q118" s="561">
        <v>0</v>
      </c>
      <c r="R118" s="561">
        <v>10303</v>
      </c>
      <c r="S118" s="1217">
        <v>2689</v>
      </c>
      <c r="T118" s="1217">
        <v>0</v>
      </c>
      <c r="U118" s="1217">
        <v>0</v>
      </c>
      <c r="V118" s="561">
        <v>2514</v>
      </c>
      <c r="W118" s="561">
        <v>365</v>
      </c>
      <c r="X118" s="561">
        <v>258</v>
      </c>
      <c r="Y118" s="561">
        <v>0</v>
      </c>
      <c r="Z118" s="561">
        <v>700</v>
      </c>
      <c r="AA118" s="561">
        <v>0</v>
      </c>
      <c r="AB118" s="561">
        <v>0</v>
      </c>
      <c r="AC118" s="561">
        <v>0</v>
      </c>
      <c r="AD118" s="561">
        <v>0</v>
      </c>
      <c r="AE118" s="561">
        <v>0</v>
      </c>
      <c r="AF118" s="561">
        <v>0</v>
      </c>
      <c r="AG118" s="561">
        <v>2296</v>
      </c>
      <c r="AH118" s="561">
        <v>337</v>
      </c>
      <c r="AI118" s="561">
        <v>2688</v>
      </c>
      <c r="AJ118" s="561">
        <v>191</v>
      </c>
      <c r="AK118" s="561">
        <v>317</v>
      </c>
      <c r="AL118" s="561">
        <v>947</v>
      </c>
      <c r="AM118" s="561">
        <v>70</v>
      </c>
      <c r="AN118" s="561">
        <v>181</v>
      </c>
      <c r="AO118" s="561">
        <v>1</v>
      </c>
      <c r="AP118" s="561">
        <v>1</v>
      </c>
      <c r="AQ118" s="561">
        <v>69</v>
      </c>
      <c r="AR118" s="561">
        <v>0</v>
      </c>
    </row>
    <row r="119" spans="1:44" x14ac:dyDescent="0.3">
      <c r="A119" s="1129" t="s">
        <v>2798</v>
      </c>
      <c r="B119" s="1129" t="s">
        <v>2799</v>
      </c>
      <c r="C119" s="1129" t="s">
        <v>2800</v>
      </c>
      <c r="D119" s="1129" t="s">
        <v>384</v>
      </c>
      <c r="E119" s="561">
        <v>-117</v>
      </c>
      <c r="F119" s="561">
        <v>0</v>
      </c>
      <c r="G119" s="561">
        <v>0</v>
      </c>
      <c r="H119" s="561">
        <v>0</v>
      </c>
      <c r="I119" s="561">
        <v>37</v>
      </c>
      <c r="J119" s="561">
        <v>0</v>
      </c>
      <c r="K119" s="561">
        <v>0</v>
      </c>
      <c r="L119" s="561">
        <v>751</v>
      </c>
      <c r="M119" s="561">
        <v>0</v>
      </c>
      <c r="N119" s="561">
        <v>0</v>
      </c>
      <c r="O119" s="561">
        <v>0</v>
      </c>
      <c r="P119" s="561">
        <v>714</v>
      </c>
      <c r="Q119" s="561">
        <v>5491</v>
      </c>
      <c r="R119" s="561">
        <v>12620</v>
      </c>
      <c r="S119" s="1217">
        <v>0</v>
      </c>
      <c r="T119" s="1217">
        <v>0</v>
      </c>
      <c r="U119" s="1217">
        <v>0</v>
      </c>
      <c r="V119" s="561">
        <v>9839</v>
      </c>
      <c r="W119" s="561">
        <v>225</v>
      </c>
      <c r="X119" s="561">
        <v>110</v>
      </c>
      <c r="Y119" s="561">
        <v>1885</v>
      </c>
      <c r="Z119" s="561">
        <v>22</v>
      </c>
      <c r="AA119" s="561">
        <v>0</v>
      </c>
      <c r="AB119" s="561">
        <v>0</v>
      </c>
      <c r="AC119" s="561">
        <v>0</v>
      </c>
      <c r="AD119" s="561">
        <v>0</v>
      </c>
      <c r="AE119" s="561">
        <v>0</v>
      </c>
      <c r="AF119" s="561">
        <v>0</v>
      </c>
      <c r="AG119" s="561">
        <v>11481</v>
      </c>
      <c r="AH119" s="561">
        <v>0</v>
      </c>
      <c r="AI119" s="561">
        <v>39254</v>
      </c>
      <c r="AJ119" s="561">
        <v>0</v>
      </c>
      <c r="AK119" s="561">
        <v>7048</v>
      </c>
      <c r="AL119" s="561">
        <v>0</v>
      </c>
      <c r="AM119" s="561">
        <v>56</v>
      </c>
      <c r="AN119" s="561">
        <v>5</v>
      </c>
      <c r="AO119" s="561">
        <v>2</v>
      </c>
      <c r="AP119" s="561">
        <v>3</v>
      </c>
      <c r="AQ119" s="561">
        <v>27</v>
      </c>
      <c r="AR119" s="561">
        <v>4</v>
      </c>
    </row>
    <row r="120" spans="1:44" x14ac:dyDescent="0.3">
      <c r="A120" s="1129" t="s">
        <v>2801</v>
      </c>
      <c r="B120" s="1129" t="s">
        <v>2802</v>
      </c>
      <c r="C120" s="1129" t="s">
        <v>2803</v>
      </c>
      <c r="D120" s="1129" t="s">
        <v>384</v>
      </c>
      <c r="E120" s="561">
        <v>-170</v>
      </c>
      <c r="F120" s="561">
        <v>0</v>
      </c>
      <c r="G120" s="561">
        <v>0</v>
      </c>
      <c r="H120" s="561">
        <v>0</v>
      </c>
      <c r="I120" s="561">
        <v>39</v>
      </c>
      <c r="J120" s="561">
        <v>0</v>
      </c>
      <c r="K120" s="561">
        <v>0</v>
      </c>
      <c r="L120" s="561">
        <v>1059</v>
      </c>
      <c r="M120" s="561">
        <v>0</v>
      </c>
      <c r="N120" s="561">
        <v>0</v>
      </c>
      <c r="O120" s="561">
        <v>0</v>
      </c>
      <c r="P120" s="561">
        <v>169</v>
      </c>
      <c r="Q120" s="561">
        <v>58</v>
      </c>
      <c r="R120" s="561">
        <v>17418</v>
      </c>
      <c r="S120" s="1217">
        <v>0</v>
      </c>
      <c r="T120" s="1217">
        <v>7161</v>
      </c>
      <c r="U120" s="1217">
        <v>0</v>
      </c>
      <c r="V120" s="561">
        <v>1002</v>
      </c>
      <c r="W120" s="561">
        <v>253</v>
      </c>
      <c r="X120" s="561">
        <v>211</v>
      </c>
      <c r="Y120" s="561">
        <v>1278</v>
      </c>
      <c r="Z120" s="561">
        <v>160</v>
      </c>
      <c r="AA120" s="561">
        <v>0</v>
      </c>
      <c r="AB120" s="561">
        <v>0</v>
      </c>
      <c r="AC120" s="561">
        <v>0</v>
      </c>
      <c r="AD120" s="561">
        <v>0</v>
      </c>
      <c r="AE120" s="561">
        <v>0</v>
      </c>
      <c r="AF120" s="561">
        <v>0</v>
      </c>
      <c r="AG120" s="561">
        <v>4000</v>
      </c>
      <c r="AH120" s="561">
        <v>0</v>
      </c>
      <c r="AI120" s="561">
        <v>32981</v>
      </c>
      <c r="AJ120" s="561">
        <v>1457</v>
      </c>
      <c r="AK120" s="561">
        <v>13112</v>
      </c>
      <c r="AL120" s="561">
        <v>0</v>
      </c>
      <c r="AM120" s="561">
        <v>8</v>
      </c>
      <c r="AN120" s="561">
        <v>65</v>
      </c>
      <c r="AO120" s="561">
        <v>0</v>
      </c>
      <c r="AP120" s="561">
        <v>0</v>
      </c>
      <c r="AQ120" s="561">
        <v>78</v>
      </c>
      <c r="AR120" s="561">
        <v>0</v>
      </c>
    </row>
    <row r="121" spans="1:44" x14ac:dyDescent="0.3">
      <c r="A121" s="1129" t="s">
        <v>2804</v>
      </c>
      <c r="B121" s="1129" t="s">
        <v>2805</v>
      </c>
      <c r="C121" s="1129" t="s">
        <v>2806</v>
      </c>
      <c r="D121" s="1129" t="s">
        <v>2476</v>
      </c>
      <c r="E121" s="561">
        <v>-22600</v>
      </c>
      <c r="F121" s="561">
        <v>0</v>
      </c>
      <c r="G121" s="561">
        <v>270824</v>
      </c>
      <c r="H121" s="561">
        <v>20425</v>
      </c>
      <c r="I121" s="561">
        <v>38</v>
      </c>
      <c r="J121" s="561">
        <v>32616</v>
      </c>
      <c r="K121" s="561">
        <v>14466</v>
      </c>
      <c r="L121" s="561">
        <v>15486</v>
      </c>
      <c r="M121" s="561">
        <v>5682</v>
      </c>
      <c r="N121" s="561">
        <v>2760</v>
      </c>
      <c r="O121" s="561">
        <v>4293</v>
      </c>
      <c r="P121" s="561">
        <v>69</v>
      </c>
      <c r="Q121" s="561">
        <v>0</v>
      </c>
      <c r="R121" s="561">
        <v>174545</v>
      </c>
      <c r="S121" s="1217">
        <v>29764</v>
      </c>
      <c r="T121" s="1217">
        <v>0</v>
      </c>
      <c r="U121" s="1217">
        <v>0</v>
      </c>
      <c r="V121" s="561">
        <v>38800</v>
      </c>
      <c r="W121" s="561">
        <v>1359</v>
      </c>
      <c r="X121" s="561">
        <v>2604</v>
      </c>
      <c r="Y121" s="561">
        <v>0</v>
      </c>
      <c r="Z121" s="561">
        <v>1087</v>
      </c>
      <c r="AA121" s="561">
        <v>0</v>
      </c>
      <c r="AB121" s="561">
        <v>0</v>
      </c>
      <c r="AC121" s="561">
        <v>0</v>
      </c>
      <c r="AD121" s="561">
        <v>0</v>
      </c>
      <c r="AE121" s="561">
        <v>0</v>
      </c>
      <c r="AF121" s="561">
        <v>1645</v>
      </c>
      <c r="AG121" s="561">
        <v>14350</v>
      </c>
      <c r="AH121" s="561">
        <v>0</v>
      </c>
      <c r="AI121" s="561">
        <v>34177</v>
      </c>
      <c r="AJ121" s="561">
        <v>3550</v>
      </c>
      <c r="AK121" s="561">
        <v>17519</v>
      </c>
      <c r="AL121" s="561">
        <v>0</v>
      </c>
      <c r="AM121" s="561">
        <v>15</v>
      </c>
      <c r="AN121" s="561">
        <v>1216</v>
      </c>
      <c r="AO121" s="561">
        <v>21</v>
      </c>
      <c r="AP121" s="561">
        <v>1720</v>
      </c>
      <c r="AQ121" s="561">
        <v>63</v>
      </c>
      <c r="AR121" s="561">
        <v>59</v>
      </c>
    </row>
    <row r="122" spans="1:44" x14ac:dyDescent="0.3">
      <c r="A122" s="1129" t="s">
        <v>2807</v>
      </c>
      <c r="B122" s="1129" t="s">
        <v>2808</v>
      </c>
      <c r="C122" s="1129" t="s">
        <v>2809</v>
      </c>
      <c r="D122" s="1129" t="s">
        <v>384</v>
      </c>
      <c r="E122" s="561">
        <v>-180</v>
      </c>
      <c r="F122" s="561">
        <v>0</v>
      </c>
      <c r="G122" s="561">
        <v>0</v>
      </c>
      <c r="H122" s="561">
        <v>0</v>
      </c>
      <c r="I122" s="561">
        <v>39</v>
      </c>
      <c r="J122" s="561">
        <v>0</v>
      </c>
      <c r="K122" s="561">
        <v>0</v>
      </c>
      <c r="L122" s="561">
        <v>1213</v>
      </c>
      <c r="M122" s="561">
        <v>0</v>
      </c>
      <c r="N122" s="561">
        <v>0</v>
      </c>
      <c r="O122" s="561">
        <v>0</v>
      </c>
      <c r="P122" s="561">
        <v>283</v>
      </c>
      <c r="Q122" s="561">
        <v>4877</v>
      </c>
      <c r="R122" s="561">
        <v>14499</v>
      </c>
      <c r="S122" s="1217">
        <v>8379</v>
      </c>
      <c r="T122" s="1217">
        <v>0</v>
      </c>
      <c r="U122" s="1217">
        <v>0</v>
      </c>
      <c r="V122" s="561">
        <v>8840</v>
      </c>
      <c r="W122" s="561">
        <v>266</v>
      </c>
      <c r="X122" s="561">
        <v>226</v>
      </c>
      <c r="Y122" s="561">
        <v>731</v>
      </c>
      <c r="Z122" s="561">
        <v>0</v>
      </c>
      <c r="AA122" s="561">
        <v>0</v>
      </c>
      <c r="AB122" s="561">
        <v>0</v>
      </c>
      <c r="AC122" s="561">
        <v>0</v>
      </c>
      <c r="AD122" s="561">
        <v>0</v>
      </c>
      <c r="AE122" s="561">
        <v>0</v>
      </c>
      <c r="AF122" s="561">
        <v>0</v>
      </c>
      <c r="AG122" s="561">
        <v>4000</v>
      </c>
      <c r="AH122" s="561">
        <v>0</v>
      </c>
      <c r="AI122" s="561">
        <v>3677</v>
      </c>
      <c r="AJ122" s="561">
        <v>1000</v>
      </c>
      <c r="AK122" s="561">
        <v>0</v>
      </c>
      <c r="AL122" s="561">
        <v>0</v>
      </c>
      <c r="AM122" s="561">
        <v>19</v>
      </c>
      <c r="AN122" s="561">
        <v>13</v>
      </c>
      <c r="AO122" s="561">
        <v>0</v>
      </c>
      <c r="AP122" s="561">
        <v>15</v>
      </c>
      <c r="AQ122" s="561">
        <v>69</v>
      </c>
      <c r="AR122" s="561">
        <v>11</v>
      </c>
    </row>
    <row r="123" spans="1:44" x14ac:dyDescent="0.3">
      <c r="A123" s="1129" t="s">
        <v>2810</v>
      </c>
      <c r="B123" s="1129" t="s">
        <v>2811</v>
      </c>
      <c r="C123" s="1129" t="s">
        <v>2812</v>
      </c>
      <c r="D123" s="1129" t="s">
        <v>384</v>
      </c>
      <c r="E123" s="561">
        <v>-72</v>
      </c>
      <c r="F123" s="561">
        <v>0</v>
      </c>
      <c r="G123" s="561">
        <v>0</v>
      </c>
      <c r="H123" s="561">
        <v>0</v>
      </c>
      <c r="I123" s="561">
        <v>37</v>
      </c>
      <c r="J123" s="561">
        <v>0</v>
      </c>
      <c r="K123" s="561">
        <v>0</v>
      </c>
      <c r="L123" s="561">
        <v>787</v>
      </c>
      <c r="M123" s="561">
        <v>0</v>
      </c>
      <c r="N123" s="561">
        <v>0</v>
      </c>
      <c r="O123" s="561">
        <v>0</v>
      </c>
      <c r="P123" s="561">
        <v>6</v>
      </c>
      <c r="Q123" s="561">
        <v>0</v>
      </c>
      <c r="R123" s="561">
        <v>7884</v>
      </c>
      <c r="S123" s="1217">
        <v>0</v>
      </c>
      <c r="T123" s="1217">
        <v>500</v>
      </c>
      <c r="U123" s="1217">
        <v>0</v>
      </c>
      <c r="V123" s="561">
        <v>1625</v>
      </c>
      <c r="W123" s="561">
        <v>135</v>
      </c>
      <c r="X123" s="561">
        <v>125</v>
      </c>
      <c r="Y123" s="561">
        <v>338</v>
      </c>
      <c r="Z123" s="561">
        <v>43</v>
      </c>
      <c r="AA123" s="561">
        <v>0</v>
      </c>
      <c r="AB123" s="561">
        <v>0</v>
      </c>
      <c r="AC123" s="561">
        <v>0</v>
      </c>
      <c r="AD123" s="561">
        <v>0</v>
      </c>
      <c r="AE123" s="561">
        <v>0</v>
      </c>
      <c r="AF123" s="561">
        <v>0</v>
      </c>
      <c r="AG123" s="561">
        <v>2997</v>
      </c>
      <c r="AH123" s="561">
        <v>0</v>
      </c>
      <c r="AI123" s="561">
        <v>9800</v>
      </c>
      <c r="AJ123" s="561">
        <v>14906</v>
      </c>
      <c r="AK123" s="561">
        <v>4128</v>
      </c>
      <c r="AL123" s="561">
        <v>3427</v>
      </c>
      <c r="AM123" s="561">
        <v>7</v>
      </c>
      <c r="AN123" s="561">
        <v>122</v>
      </c>
      <c r="AO123" s="561">
        <v>0</v>
      </c>
      <c r="AP123" s="561">
        <v>18</v>
      </c>
      <c r="AQ123" s="561">
        <v>136</v>
      </c>
      <c r="AR123" s="561">
        <v>2</v>
      </c>
    </row>
    <row r="124" spans="1:44" x14ac:dyDescent="0.3">
      <c r="A124" s="1129" t="s">
        <v>2813</v>
      </c>
      <c r="B124" s="1129" t="s">
        <v>2814</v>
      </c>
      <c r="C124" s="1129" t="s">
        <v>2815</v>
      </c>
      <c r="D124" s="1129" t="s">
        <v>384</v>
      </c>
      <c r="E124" s="561">
        <v>-300</v>
      </c>
      <c r="F124" s="561">
        <v>0</v>
      </c>
      <c r="G124" s="561">
        <v>0</v>
      </c>
      <c r="H124" s="561">
        <v>0</v>
      </c>
      <c r="I124" s="561">
        <v>34</v>
      </c>
      <c r="J124" s="561">
        <v>0</v>
      </c>
      <c r="K124" s="561">
        <v>0</v>
      </c>
      <c r="L124" s="561">
        <v>356</v>
      </c>
      <c r="M124" s="561">
        <v>0</v>
      </c>
      <c r="N124" s="561">
        <v>0</v>
      </c>
      <c r="O124" s="561">
        <v>348</v>
      </c>
      <c r="P124" s="561">
        <v>5</v>
      </c>
      <c r="Q124" s="561">
        <v>817</v>
      </c>
      <c r="R124" s="561">
        <v>8417</v>
      </c>
      <c r="S124" s="1217">
        <v>0</v>
      </c>
      <c r="T124" s="1217">
        <v>0</v>
      </c>
      <c r="U124" s="1217">
        <v>0</v>
      </c>
      <c r="V124" s="561">
        <v>0</v>
      </c>
      <c r="W124" s="561">
        <v>272</v>
      </c>
      <c r="X124" s="561">
        <v>117</v>
      </c>
      <c r="Y124" s="561">
        <v>0</v>
      </c>
      <c r="Z124" s="561">
        <v>0</v>
      </c>
      <c r="AA124" s="561">
        <v>0</v>
      </c>
      <c r="AB124" s="561">
        <v>0</v>
      </c>
      <c r="AC124" s="561">
        <v>0</v>
      </c>
      <c r="AD124" s="561">
        <v>0</v>
      </c>
      <c r="AE124" s="561">
        <v>0</v>
      </c>
      <c r="AF124" s="561">
        <v>0</v>
      </c>
      <c r="AG124" s="561">
        <v>2431</v>
      </c>
      <c r="AH124" s="561">
        <v>313</v>
      </c>
      <c r="AI124" s="561">
        <v>1958</v>
      </c>
      <c r="AJ124" s="561">
        <v>0</v>
      </c>
      <c r="AK124" s="561">
        <v>897</v>
      </c>
      <c r="AL124" s="561">
        <v>0</v>
      </c>
      <c r="AM124" s="561">
        <v>2</v>
      </c>
      <c r="AN124" s="561">
        <v>0</v>
      </c>
      <c r="AO124" s="561">
        <v>0</v>
      </c>
      <c r="AP124" s="561">
        <v>1</v>
      </c>
      <c r="AQ124" s="561">
        <v>3</v>
      </c>
      <c r="AR124" s="561">
        <v>11</v>
      </c>
    </row>
    <row r="125" spans="1:44" x14ac:dyDescent="0.3">
      <c r="A125" s="1129" t="s">
        <v>2816</v>
      </c>
      <c r="B125" s="1129" t="s">
        <v>2817</v>
      </c>
      <c r="C125" s="1129" t="s">
        <v>2818</v>
      </c>
      <c r="D125" s="1129" t="s">
        <v>2595</v>
      </c>
      <c r="E125" s="561">
        <v>-24910</v>
      </c>
      <c r="F125" s="561">
        <v>0</v>
      </c>
      <c r="G125" s="561">
        <v>781322</v>
      </c>
      <c r="H125" s="561">
        <v>72465</v>
      </c>
      <c r="I125" s="561">
        <v>3589</v>
      </c>
      <c r="J125" s="561">
        <v>138094</v>
      </c>
      <c r="K125" s="561">
        <v>57218</v>
      </c>
      <c r="L125" s="561">
        <v>0</v>
      </c>
      <c r="M125" s="561">
        <v>25898</v>
      </c>
      <c r="N125" s="561">
        <v>5228</v>
      </c>
      <c r="O125" s="561">
        <v>0</v>
      </c>
      <c r="P125" s="561">
        <v>1808</v>
      </c>
      <c r="Q125" s="561">
        <v>0</v>
      </c>
      <c r="R125" s="561">
        <v>891620</v>
      </c>
      <c r="S125" s="1217">
        <v>0</v>
      </c>
      <c r="T125" s="1217">
        <v>4613</v>
      </c>
      <c r="U125" s="1217">
        <v>0</v>
      </c>
      <c r="V125" s="561">
        <v>15926</v>
      </c>
      <c r="W125" s="561">
        <v>0</v>
      </c>
      <c r="X125" s="561">
        <v>9000</v>
      </c>
      <c r="Y125" s="561">
        <v>0</v>
      </c>
      <c r="Z125" s="561">
        <v>558</v>
      </c>
      <c r="AA125" s="561">
        <v>0</v>
      </c>
      <c r="AB125" s="561">
        <v>0</v>
      </c>
      <c r="AC125" s="561">
        <v>0</v>
      </c>
      <c r="AD125" s="561">
        <v>43307</v>
      </c>
      <c r="AE125" s="561">
        <v>0</v>
      </c>
      <c r="AF125" s="561">
        <v>16593</v>
      </c>
      <c r="AG125" s="561">
        <v>68092</v>
      </c>
      <c r="AH125" s="561">
        <v>12252</v>
      </c>
      <c r="AI125" s="561">
        <v>283746</v>
      </c>
      <c r="AJ125" s="561">
        <v>210038</v>
      </c>
      <c r="AK125" s="561">
        <v>53364</v>
      </c>
      <c r="AL125" s="561">
        <v>2608</v>
      </c>
      <c r="AM125" s="561">
        <v>0</v>
      </c>
      <c r="AN125" s="561">
        <v>0</v>
      </c>
      <c r="AO125" s="561">
        <v>0</v>
      </c>
      <c r="AP125" s="561">
        <v>0</v>
      </c>
      <c r="AQ125" s="561">
        <v>0</v>
      </c>
      <c r="AR125" s="561">
        <v>0</v>
      </c>
    </row>
    <row r="126" spans="1:44" x14ac:dyDescent="0.3">
      <c r="A126" s="1129" t="s">
        <v>2819</v>
      </c>
      <c r="B126" s="1129" t="s">
        <v>2820</v>
      </c>
      <c r="C126" s="1129" t="s">
        <v>2821</v>
      </c>
      <c r="D126" s="1129" t="s">
        <v>2466</v>
      </c>
      <c r="E126" s="561">
        <v>0</v>
      </c>
      <c r="F126" s="561">
        <v>-226363</v>
      </c>
      <c r="G126" s="561">
        <v>0</v>
      </c>
      <c r="H126" s="561">
        <v>0</v>
      </c>
      <c r="I126" s="561">
        <v>0</v>
      </c>
      <c r="J126" s="561">
        <v>0</v>
      </c>
      <c r="K126" s="561">
        <v>0</v>
      </c>
      <c r="L126" s="561">
        <v>0</v>
      </c>
      <c r="M126" s="561">
        <v>0</v>
      </c>
      <c r="N126" s="561">
        <v>0</v>
      </c>
      <c r="O126" s="561">
        <v>0</v>
      </c>
      <c r="P126" s="561">
        <v>0</v>
      </c>
      <c r="Q126" s="561">
        <v>0</v>
      </c>
      <c r="R126" s="561">
        <v>176905</v>
      </c>
      <c r="S126" s="1217">
        <v>0</v>
      </c>
      <c r="T126" s="1217">
        <v>0</v>
      </c>
      <c r="U126" s="1217">
        <v>0</v>
      </c>
      <c r="V126" s="561">
        <v>1084</v>
      </c>
      <c r="W126" s="561">
        <v>0</v>
      </c>
      <c r="X126" s="561">
        <v>0</v>
      </c>
      <c r="Y126" s="561">
        <v>0</v>
      </c>
      <c r="Z126" s="561">
        <v>0</v>
      </c>
      <c r="AA126" s="561">
        <v>10765</v>
      </c>
      <c r="AB126" s="561">
        <v>4496</v>
      </c>
      <c r="AC126" s="561">
        <v>5829</v>
      </c>
      <c r="AD126" s="561">
        <v>0</v>
      </c>
      <c r="AE126" s="561">
        <v>0</v>
      </c>
      <c r="AF126" s="561">
        <v>0</v>
      </c>
      <c r="AG126" s="561">
        <v>12622</v>
      </c>
      <c r="AH126" s="561">
        <v>109</v>
      </c>
      <c r="AI126" s="561">
        <v>12541</v>
      </c>
      <c r="AJ126" s="561">
        <v>2054</v>
      </c>
      <c r="AK126" s="561">
        <v>0</v>
      </c>
      <c r="AL126" s="561">
        <v>0</v>
      </c>
      <c r="AM126" s="561">
        <v>0</v>
      </c>
      <c r="AN126" s="561">
        <v>0</v>
      </c>
      <c r="AO126" s="561">
        <v>0</v>
      </c>
      <c r="AP126" s="561">
        <v>0</v>
      </c>
      <c r="AQ126" s="561">
        <v>0</v>
      </c>
      <c r="AR126" s="561">
        <v>0</v>
      </c>
    </row>
    <row r="127" spans="1:44" x14ac:dyDescent="0.3">
      <c r="A127" s="1129" t="s">
        <v>2822</v>
      </c>
      <c r="B127" s="1129" t="s">
        <v>2823</v>
      </c>
      <c r="C127" s="1129" t="s">
        <v>2824</v>
      </c>
      <c r="D127" s="1129" t="s">
        <v>2466</v>
      </c>
      <c r="E127" s="561">
        <v>-14066</v>
      </c>
      <c r="F127" s="561">
        <v>0</v>
      </c>
      <c r="G127" s="561">
        <v>0</v>
      </c>
      <c r="H127" s="561">
        <v>0</v>
      </c>
      <c r="I127" s="561">
        <v>0</v>
      </c>
      <c r="J127" s="561">
        <v>0</v>
      </c>
      <c r="K127" s="561">
        <v>0</v>
      </c>
      <c r="L127" s="561">
        <v>0</v>
      </c>
      <c r="M127" s="561">
        <v>0</v>
      </c>
      <c r="N127" s="561">
        <v>0</v>
      </c>
      <c r="O127" s="561">
        <v>0</v>
      </c>
      <c r="P127" s="561">
        <v>0</v>
      </c>
      <c r="Q127" s="561">
        <v>0</v>
      </c>
      <c r="R127" s="561">
        <v>59498</v>
      </c>
      <c r="S127" s="1217">
        <v>0</v>
      </c>
      <c r="T127" s="1217">
        <v>0</v>
      </c>
      <c r="U127" s="1217">
        <v>0</v>
      </c>
      <c r="V127" s="561">
        <v>4290</v>
      </c>
      <c r="W127" s="561">
        <v>0</v>
      </c>
      <c r="X127" s="561">
        <v>643</v>
      </c>
      <c r="Y127" s="561">
        <v>0</v>
      </c>
      <c r="Z127" s="561">
        <v>0</v>
      </c>
      <c r="AA127" s="561">
        <v>0</v>
      </c>
      <c r="AB127" s="561">
        <v>0</v>
      </c>
      <c r="AC127" s="561">
        <v>0</v>
      </c>
      <c r="AD127" s="561">
        <v>0</v>
      </c>
      <c r="AE127" s="561">
        <v>0</v>
      </c>
      <c r="AF127" s="561">
        <v>0</v>
      </c>
      <c r="AG127" s="561">
        <v>4159</v>
      </c>
      <c r="AH127" s="561">
        <v>0</v>
      </c>
      <c r="AI127" s="561">
        <v>2187</v>
      </c>
      <c r="AJ127" s="561">
        <v>2526</v>
      </c>
      <c r="AK127" s="561">
        <v>1518</v>
      </c>
      <c r="AL127" s="561">
        <v>0</v>
      </c>
      <c r="AM127" s="561">
        <v>0</v>
      </c>
      <c r="AN127" s="561">
        <v>0</v>
      </c>
      <c r="AO127" s="561">
        <v>0</v>
      </c>
      <c r="AP127" s="561">
        <v>0</v>
      </c>
      <c r="AQ127" s="561">
        <v>0</v>
      </c>
      <c r="AR127" s="561">
        <v>0</v>
      </c>
    </row>
    <row r="128" spans="1:44" x14ac:dyDescent="0.3">
      <c r="A128" s="1129" t="s">
        <v>2825</v>
      </c>
      <c r="B128" s="1129" t="s">
        <v>2826</v>
      </c>
      <c r="C128" s="1129" t="s">
        <v>2827</v>
      </c>
      <c r="D128" s="1129" t="s">
        <v>384</v>
      </c>
      <c r="E128" s="561">
        <v>-649</v>
      </c>
      <c r="F128" s="561">
        <v>0</v>
      </c>
      <c r="G128" s="561">
        <v>0</v>
      </c>
      <c r="H128" s="561">
        <v>0</v>
      </c>
      <c r="I128" s="561">
        <v>36</v>
      </c>
      <c r="J128" s="561">
        <v>0</v>
      </c>
      <c r="K128" s="561">
        <v>0</v>
      </c>
      <c r="L128" s="561">
        <v>1431</v>
      </c>
      <c r="M128" s="561">
        <v>0</v>
      </c>
      <c r="N128" s="561">
        <v>0</v>
      </c>
      <c r="O128" s="561">
        <v>271</v>
      </c>
      <c r="P128" s="561">
        <v>872</v>
      </c>
      <c r="Q128" s="561">
        <v>0</v>
      </c>
      <c r="R128" s="561">
        <v>7403</v>
      </c>
      <c r="S128" s="1217">
        <v>5246</v>
      </c>
      <c r="T128" s="1217">
        <v>89</v>
      </c>
      <c r="U128" s="1217">
        <v>0</v>
      </c>
      <c r="V128" s="561">
        <v>1987</v>
      </c>
      <c r="W128" s="561">
        <v>336</v>
      </c>
      <c r="X128" s="561">
        <v>183</v>
      </c>
      <c r="Y128" s="561">
        <v>290</v>
      </c>
      <c r="Z128" s="561">
        <v>1801</v>
      </c>
      <c r="AA128" s="561">
        <v>0</v>
      </c>
      <c r="AB128" s="561">
        <v>0</v>
      </c>
      <c r="AC128" s="561">
        <v>0</v>
      </c>
      <c r="AD128" s="561">
        <v>0</v>
      </c>
      <c r="AE128" s="561">
        <v>0</v>
      </c>
      <c r="AF128" s="561">
        <v>0</v>
      </c>
      <c r="AG128" s="561">
        <v>5883</v>
      </c>
      <c r="AH128" s="561">
        <v>0</v>
      </c>
      <c r="AI128" s="561">
        <v>10562</v>
      </c>
      <c r="AJ128" s="561">
        <v>200</v>
      </c>
      <c r="AK128" s="561">
        <v>0</v>
      </c>
      <c r="AL128" s="561">
        <v>2807</v>
      </c>
      <c r="AM128" s="561">
        <v>27</v>
      </c>
      <c r="AN128" s="561">
        <v>24</v>
      </c>
      <c r="AO128" s="561">
        <v>0</v>
      </c>
      <c r="AP128" s="561">
        <v>0</v>
      </c>
      <c r="AQ128" s="561">
        <v>53</v>
      </c>
      <c r="AR128" s="561">
        <v>1</v>
      </c>
    </row>
    <row r="129" spans="1:44" x14ac:dyDescent="0.3">
      <c r="A129" s="1129" t="s">
        <v>2828</v>
      </c>
      <c r="B129" s="1129" t="s">
        <v>2829</v>
      </c>
      <c r="C129" s="1129" t="s">
        <v>2830</v>
      </c>
      <c r="D129" s="1129" t="s">
        <v>2466</v>
      </c>
      <c r="E129" s="561">
        <v>0</v>
      </c>
      <c r="F129" s="561">
        <v>0</v>
      </c>
      <c r="G129" s="561">
        <v>0</v>
      </c>
      <c r="H129" s="561">
        <v>0</v>
      </c>
      <c r="I129" s="561">
        <v>0</v>
      </c>
      <c r="J129" s="561">
        <v>0</v>
      </c>
      <c r="K129" s="561">
        <v>0</v>
      </c>
      <c r="L129" s="561">
        <v>0</v>
      </c>
      <c r="M129" s="561">
        <v>0</v>
      </c>
      <c r="N129" s="561">
        <v>0</v>
      </c>
      <c r="O129" s="561">
        <v>0</v>
      </c>
      <c r="P129" s="561">
        <v>0</v>
      </c>
      <c r="Q129" s="561">
        <v>0</v>
      </c>
      <c r="R129" s="561">
        <v>0</v>
      </c>
      <c r="S129" s="1217">
        <v>0</v>
      </c>
      <c r="T129" s="1217">
        <v>0</v>
      </c>
      <c r="U129" s="1217">
        <v>0</v>
      </c>
      <c r="V129" s="561">
        <v>0</v>
      </c>
      <c r="W129" s="561">
        <v>0</v>
      </c>
      <c r="X129" s="561">
        <v>0</v>
      </c>
      <c r="Y129" s="561">
        <v>0</v>
      </c>
      <c r="Z129" s="561">
        <v>0</v>
      </c>
      <c r="AA129" s="561">
        <v>0</v>
      </c>
      <c r="AB129" s="561">
        <v>0</v>
      </c>
      <c r="AC129" s="561">
        <v>0</v>
      </c>
      <c r="AD129" s="561">
        <v>0</v>
      </c>
      <c r="AE129" s="561">
        <v>0</v>
      </c>
      <c r="AF129" s="561">
        <v>0</v>
      </c>
      <c r="AG129" s="561">
        <v>261</v>
      </c>
      <c r="AH129" s="561">
        <v>0</v>
      </c>
      <c r="AI129" s="561">
        <v>2490</v>
      </c>
      <c r="AJ129" s="561">
        <v>0</v>
      </c>
      <c r="AK129" s="561">
        <v>777</v>
      </c>
      <c r="AL129" s="561">
        <v>0</v>
      </c>
      <c r="AM129" s="561">
        <v>0</v>
      </c>
      <c r="AN129" s="561">
        <v>0</v>
      </c>
      <c r="AO129" s="561">
        <v>0</v>
      </c>
      <c r="AP129" s="561">
        <v>0</v>
      </c>
      <c r="AQ129" s="561">
        <v>0</v>
      </c>
      <c r="AR129" s="561">
        <v>0</v>
      </c>
    </row>
    <row r="130" spans="1:44" x14ac:dyDescent="0.3">
      <c r="A130" s="1129" t="s">
        <v>2831</v>
      </c>
      <c r="B130" s="1129" t="s">
        <v>2832</v>
      </c>
      <c r="C130" s="1129" t="s">
        <v>2833</v>
      </c>
      <c r="D130" s="1129" t="s">
        <v>384</v>
      </c>
      <c r="E130" s="561">
        <v>-139</v>
      </c>
      <c r="F130" s="561">
        <v>0</v>
      </c>
      <c r="G130" s="561">
        <v>0</v>
      </c>
      <c r="H130" s="561">
        <v>0</v>
      </c>
      <c r="I130" s="561">
        <v>38</v>
      </c>
      <c r="J130" s="561">
        <v>0</v>
      </c>
      <c r="K130" s="561">
        <v>0</v>
      </c>
      <c r="L130" s="561">
        <v>614</v>
      </c>
      <c r="M130" s="561">
        <v>0</v>
      </c>
      <c r="N130" s="561">
        <v>0</v>
      </c>
      <c r="O130" s="561">
        <v>0</v>
      </c>
      <c r="P130" s="561">
        <v>35</v>
      </c>
      <c r="Q130" s="561">
        <v>0</v>
      </c>
      <c r="R130" s="561">
        <v>8537</v>
      </c>
      <c r="S130" s="1217">
        <v>10618</v>
      </c>
      <c r="T130" s="1217">
        <v>3137</v>
      </c>
      <c r="U130" s="1217">
        <v>0</v>
      </c>
      <c r="V130" s="561">
        <v>0</v>
      </c>
      <c r="W130" s="561">
        <v>155</v>
      </c>
      <c r="X130" s="561">
        <v>155</v>
      </c>
      <c r="Y130" s="561">
        <v>218</v>
      </c>
      <c r="Z130" s="561">
        <v>287</v>
      </c>
      <c r="AA130" s="561">
        <v>0</v>
      </c>
      <c r="AB130" s="561">
        <v>0</v>
      </c>
      <c r="AC130" s="561">
        <v>0</v>
      </c>
      <c r="AD130" s="561">
        <v>0</v>
      </c>
      <c r="AE130" s="561">
        <v>0</v>
      </c>
      <c r="AF130" s="561">
        <v>0</v>
      </c>
      <c r="AG130" s="561">
        <v>463</v>
      </c>
      <c r="AH130" s="561">
        <v>1789</v>
      </c>
      <c r="AI130" s="561">
        <v>13647</v>
      </c>
      <c r="AJ130" s="561">
        <v>861</v>
      </c>
      <c r="AK130" s="561">
        <v>5211</v>
      </c>
      <c r="AL130" s="561">
        <v>0</v>
      </c>
      <c r="AM130" s="561">
        <v>8</v>
      </c>
      <c r="AN130" s="561">
        <v>3</v>
      </c>
      <c r="AO130" s="561">
        <v>0</v>
      </c>
      <c r="AP130" s="561">
        <v>24</v>
      </c>
      <c r="AQ130" s="561">
        <v>69</v>
      </c>
      <c r="AR130" s="561">
        <v>1</v>
      </c>
    </row>
    <row r="131" spans="1:44" x14ac:dyDescent="0.3">
      <c r="A131" s="1129" t="s">
        <v>2834</v>
      </c>
      <c r="B131" s="1129" t="s">
        <v>2835</v>
      </c>
      <c r="C131" s="1129" t="s">
        <v>2836</v>
      </c>
      <c r="D131" s="1129" t="s">
        <v>384</v>
      </c>
      <c r="E131" s="561">
        <v>-204</v>
      </c>
      <c r="F131" s="561">
        <v>0</v>
      </c>
      <c r="G131" s="561">
        <v>0</v>
      </c>
      <c r="H131" s="561">
        <v>0</v>
      </c>
      <c r="I131" s="561">
        <v>35</v>
      </c>
      <c r="J131" s="561">
        <v>0</v>
      </c>
      <c r="K131" s="561">
        <v>0</v>
      </c>
      <c r="L131" s="561">
        <v>698</v>
      </c>
      <c r="M131" s="561">
        <v>0</v>
      </c>
      <c r="N131" s="561">
        <v>0</v>
      </c>
      <c r="O131" s="561">
        <v>435</v>
      </c>
      <c r="P131" s="561">
        <v>593</v>
      </c>
      <c r="Q131" s="561">
        <v>1760</v>
      </c>
      <c r="R131" s="561">
        <v>9953</v>
      </c>
      <c r="S131" s="1217">
        <v>0</v>
      </c>
      <c r="T131" s="1217">
        <v>0</v>
      </c>
      <c r="U131" s="1217">
        <v>0</v>
      </c>
      <c r="V131" s="561">
        <v>328</v>
      </c>
      <c r="W131" s="561">
        <v>255</v>
      </c>
      <c r="X131" s="561">
        <v>124</v>
      </c>
      <c r="Y131" s="561">
        <v>0</v>
      </c>
      <c r="Z131" s="561">
        <v>378</v>
      </c>
      <c r="AA131" s="561">
        <v>0</v>
      </c>
      <c r="AB131" s="561">
        <v>0</v>
      </c>
      <c r="AC131" s="561">
        <v>0</v>
      </c>
      <c r="AD131" s="561">
        <v>0</v>
      </c>
      <c r="AE131" s="561">
        <v>0</v>
      </c>
      <c r="AF131" s="561">
        <v>0</v>
      </c>
      <c r="AG131" s="561">
        <v>2000</v>
      </c>
      <c r="AH131" s="561">
        <v>0</v>
      </c>
      <c r="AI131" s="561">
        <v>8185</v>
      </c>
      <c r="AJ131" s="561">
        <v>100</v>
      </c>
      <c r="AK131" s="561">
        <v>1763</v>
      </c>
      <c r="AL131" s="561">
        <v>0</v>
      </c>
      <c r="AM131" s="561">
        <v>28</v>
      </c>
      <c r="AN131" s="561">
        <v>1</v>
      </c>
      <c r="AO131" s="561">
        <v>6</v>
      </c>
      <c r="AP131" s="561">
        <v>2</v>
      </c>
      <c r="AQ131" s="561">
        <v>31</v>
      </c>
      <c r="AR131" s="561">
        <v>1</v>
      </c>
    </row>
    <row r="132" spans="1:44" x14ac:dyDescent="0.3">
      <c r="A132" s="1129" t="s">
        <v>2837</v>
      </c>
      <c r="B132" s="1129" t="s">
        <v>2838</v>
      </c>
      <c r="C132" s="1129" t="s">
        <v>2839</v>
      </c>
      <c r="D132" s="1129" t="s">
        <v>384</v>
      </c>
      <c r="E132" s="561">
        <v>-263</v>
      </c>
      <c r="F132" s="561">
        <v>0</v>
      </c>
      <c r="G132" s="561">
        <v>0</v>
      </c>
      <c r="H132" s="561">
        <v>0</v>
      </c>
      <c r="I132" s="561">
        <v>35</v>
      </c>
      <c r="J132" s="561">
        <v>0</v>
      </c>
      <c r="K132" s="561">
        <v>0</v>
      </c>
      <c r="L132" s="561">
        <v>951</v>
      </c>
      <c r="M132" s="561">
        <v>0</v>
      </c>
      <c r="N132" s="561">
        <v>0</v>
      </c>
      <c r="O132" s="561">
        <v>479</v>
      </c>
      <c r="P132" s="561">
        <v>432</v>
      </c>
      <c r="Q132" s="561">
        <v>3161</v>
      </c>
      <c r="R132" s="561">
        <v>15785</v>
      </c>
      <c r="S132" s="1217">
        <v>6888</v>
      </c>
      <c r="T132" s="1217">
        <v>1205</v>
      </c>
      <c r="U132" s="1217">
        <v>0</v>
      </c>
      <c r="V132" s="561">
        <v>2824</v>
      </c>
      <c r="W132" s="561">
        <v>313</v>
      </c>
      <c r="X132" s="561">
        <v>216</v>
      </c>
      <c r="Y132" s="561">
        <v>44</v>
      </c>
      <c r="Z132" s="561">
        <v>0</v>
      </c>
      <c r="AA132" s="561">
        <v>0</v>
      </c>
      <c r="AB132" s="561">
        <v>0</v>
      </c>
      <c r="AC132" s="561">
        <v>0</v>
      </c>
      <c r="AD132" s="561">
        <v>0</v>
      </c>
      <c r="AE132" s="561">
        <v>0</v>
      </c>
      <c r="AF132" s="561">
        <v>0</v>
      </c>
      <c r="AG132" s="561">
        <v>5563</v>
      </c>
      <c r="AH132" s="561">
        <v>1017</v>
      </c>
      <c r="AI132" s="561">
        <v>4417</v>
      </c>
      <c r="AJ132" s="561">
        <v>4748</v>
      </c>
      <c r="AK132" s="561">
        <v>1888</v>
      </c>
      <c r="AL132" s="561">
        <v>0</v>
      </c>
      <c r="AM132" s="561">
        <v>24</v>
      </c>
      <c r="AN132" s="561">
        <v>83</v>
      </c>
      <c r="AO132" s="561">
        <v>0</v>
      </c>
      <c r="AP132" s="561">
        <v>0</v>
      </c>
      <c r="AQ132" s="561">
        <v>6</v>
      </c>
      <c r="AR132" s="561">
        <v>5</v>
      </c>
    </row>
    <row r="133" spans="1:44" x14ac:dyDescent="0.3">
      <c r="A133" s="1129" t="s">
        <v>2840</v>
      </c>
      <c r="B133" s="1129" t="s">
        <v>2841</v>
      </c>
      <c r="C133" s="1129" t="s">
        <v>2842</v>
      </c>
      <c r="D133" s="1129" t="s">
        <v>384</v>
      </c>
      <c r="E133" s="561">
        <v>-210</v>
      </c>
      <c r="F133" s="561">
        <v>0</v>
      </c>
      <c r="G133" s="561">
        <v>0</v>
      </c>
      <c r="H133" s="561">
        <v>0</v>
      </c>
      <c r="I133" s="561">
        <v>35</v>
      </c>
      <c r="J133" s="561">
        <v>0</v>
      </c>
      <c r="K133" s="561">
        <v>0</v>
      </c>
      <c r="L133" s="561">
        <v>359</v>
      </c>
      <c r="M133" s="561">
        <v>0</v>
      </c>
      <c r="N133" s="561">
        <v>0</v>
      </c>
      <c r="O133" s="561">
        <v>136</v>
      </c>
      <c r="P133" s="561">
        <v>443</v>
      </c>
      <c r="Q133" s="561">
        <v>3599</v>
      </c>
      <c r="R133" s="561">
        <v>10337</v>
      </c>
      <c r="S133" s="1217">
        <v>0</v>
      </c>
      <c r="T133" s="1217">
        <v>883</v>
      </c>
      <c r="U133" s="1217">
        <v>0</v>
      </c>
      <c r="V133" s="561">
        <v>0</v>
      </c>
      <c r="W133" s="561">
        <v>184</v>
      </c>
      <c r="X133" s="561">
        <v>97</v>
      </c>
      <c r="Y133" s="561">
        <v>239</v>
      </c>
      <c r="Z133" s="561">
        <v>0</v>
      </c>
      <c r="AA133" s="561">
        <v>0</v>
      </c>
      <c r="AB133" s="561">
        <v>0</v>
      </c>
      <c r="AC133" s="561">
        <v>0</v>
      </c>
      <c r="AD133" s="561">
        <v>0</v>
      </c>
      <c r="AE133" s="561">
        <v>0</v>
      </c>
      <c r="AF133" s="561">
        <v>0</v>
      </c>
      <c r="AG133" s="561">
        <v>1015</v>
      </c>
      <c r="AH133" s="561">
        <v>0</v>
      </c>
      <c r="AI133" s="561">
        <v>8309</v>
      </c>
      <c r="AJ133" s="561">
        <v>0</v>
      </c>
      <c r="AK133" s="561">
        <v>4767</v>
      </c>
      <c r="AL133" s="561">
        <v>0</v>
      </c>
      <c r="AM133" s="561">
        <v>23</v>
      </c>
      <c r="AN133" s="561">
        <v>15</v>
      </c>
      <c r="AO133" s="561">
        <v>0</v>
      </c>
      <c r="AP133" s="561">
        <v>0</v>
      </c>
      <c r="AQ133" s="561">
        <v>4</v>
      </c>
      <c r="AR133" s="561">
        <v>2</v>
      </c>
    </row>
    <row r="134" spans="1:44" x14ac:dyDescent="0.3">
      <c r="A134" s="1129" t="s">
        <v>2843</v>
      </c>
      <c r="B134" s="1129" t="s">
        <v>2844</v>
      </c>
      <c r="C134" s="1129" t="s">
        <v>2845</v>
      </c>
      <c r="D134" s="1129" t="s">
        <v>384</v>
      </c>
      <c r="E134" s="561">
        <v>-121</v>
      </c>
      <c r="F134" s="561">
        <v>0</v>
      </c>
      <c r="G134" s="561">
        <v>0</v>
      </c>
      <c r="H134" s="561">
        <v>0</v>
      </c>
      <c r="I134" s="561">
        <v>36</v>
      </c>
      <c r="J134" s="561">
        <v>0</v>
      </c>
      <c r="K134" s="561">
        <v>0</v>
      </c>
      <c r="L134" s="561">
        <v>289</v>
      </c>
      <c r="M134" s="561">
        <v>0</v>
      </c>
      <c r="N134" s="561">
        <v>0</v>
      </c>
      <c r="O134" s="561">
        <v>0</v>
      </c>
      <c r="P134" s="561">
        <v>225</v>
      </c>
      <c r="Q134" s="561">
        <v>1721</v>
      </c>
      <c r="R134" s="561">
        <v>9305</v>
      </c>
      <c r="S134" s="1217">
        <v>0</v>
      </c>
      <c r="T134" s="1217">
        <v>2882</v>
      </c>
      <c r="U134" s="1217">
        <v>0</v>
      </c>
      <c r="V134" s="561">
        <v>0</v>
      </c>
      <c r="W134" s="561">
        <v>179</v>
      </c>
      <c r="X134" s="561">
        <v>77</v>
      </c>
      <c r="Y134" s="561">
        <v>1051</v>
      </c>
      <c r="Z134" s="561">
        <v>0</v>
      </c>
      <c r="AA134" s="561">
        <v>0</v>
      </c>
      <c r="AB134" s="561">
        <v>0</v>
      </c>
      <c r="AC134" s="561">
        <v>0</v>
      </c>
      <c r="AD134" s="561">
        <v>0</v>
      </c>
      <c r="AE134" s="561">
        <v>0</v>
      </c>
      <c r="AF134" s="561">
        <v>0</v>
      </c>
      <c r="AG134" s="561">
        <v>5105</v>
      </c>
      <c r="AH134" s="561">
        <v>0</v>
      </c>
      <c r="AI134" s="561">
        <v>4623</v>
      </c>
      <c r="AJ134" s="561">
        <v>7366</v>
      </c>
      <c r="AK134" s="561">
        <v>0</v>
      </c>
      <c r="AL134" s="561">
        <v>0</v>
      </c>
      <c r="AM134" s="561">
        <v>22</v>
      </c>
      <c r="AN134" s="561">
        <v>9</v>
      </c>
      <c r="AO134" s="561">
        <v>1</v>
      </c>
      <c r="AP134" s="561">
        <v>3</v>
      </c>
      <c r="AQ134" s="561">
        <v>18</v>
      </c>
      <c r="AR134" s="561">
        <v>13</v>
      </c>
    </row>
    <row r="135" spans="1:44" x14ac:dyDescent="0.3">
      <c r="A135" s="1129" t="s">
        <v>2846</v>
      </c>
      <c r="B135" s="1129" t="s">
        <v>2847</v>
      </c>
      <c r="C135" s="1129" t="s">
        <v>2848</v>
      </c>
      <c r="D135" s="1129" t="s">
        <v>379</v>
      </c>
      <c r="E135" s="561">
        <v>-19440</v>
      </c>
      <c r="F135" s="561">
        <v>0</v>
      </c>
      <c r="G135" s="561">
        <v>138332</v>
      </c>
      <c r="H135" s="561">
        <v>19462</v>
      </c>
      <c r="I135" s="561">
        <v>597</v>
      </c>
      <c r="J135" s="561">
        <v>30388</v>
      </c>
      <c r="K135" s="561">
        <v>14047</v>
      </c>
      <c r="L135" s="561">
        <v>1202</v>
      </c>
      <c r="M135" s="561">
        <v>4958</v>
      </c>
      <c r="N135" s="561">
        <v>1039</v>
      </c>
      <c r="O135" s="561">
        <v>6120</v>
      </c>
      <c r="P135" s="561">
        <v>210</v>
      </c>
      <c r="Q135" s="561">
        <v>16</v>
      </c>
      <c r="R135" s="561">
        <v>124235</v>
      </c>
      <c r="S135" s="1217">
        <v>10719</v>
      </c>
      <c r="T135" s="1217">
        <v>0</v>
      </c>
      <c r="U135" s="1217">
        <v>0</v>
      </c>
      <c r="V135" s="561">
        <v>21370</v>
      </c>
      <c r="W135" s="561">
        <v>751</v>
      </c>
      <c r="X135" s="561">
        <v>1946</v>
      </c>
      <c r="Y135" s="561">
        <v>0</v>
      </c>
      <c r="Z135" s="561">
        <v>670</v>
      </c>
      <c r="AA135" s="561">
        <v>0</v>
      </c>
      <c r="AB135" s="561">
        <v>0</v>
      </c>
      <c r="AC135" s="561">
        <v>0</v>
      </c>
      <c r="AD135" s="561">
        <v>7517</v>
      </c>
      <c r="AE135" s="561">
        <v>2718</v>
      </c>
      <c r="AF135" s="561">
        <v>4992</v>
      </c>
      <c r="AG135" s="561">
        <v>16218</v>
      </c>
      <c r="AH135" s="561">
        <v>0</v>
      </c>
      <c r="AI135" s="561">
        <v>29867</v>
      </c>
      <c r="AJ135" s="561">
        <v>0</v>
      </c>
      <c r="AK135" s="561">
        <v>22175</v>
      </c>
      <c r="AL135" s="561">
        <v>9645</v>
      </c>
      <c r="AM135" s="561">
        <v>9</v>
      </c>
      <c r="AN135" s="561">
        <v>1</v>
      </c>
      <c r="AO135" s="561">
        <v>0</v>
      </c>
      <c r="AP135" s="561">
        <v>0</v>
      </c>
      <c r="AQ135" s="561">
        <v>96</v>
      </c>
      <c r="AR135" s="561">
        <v>0</v>
      </c>
    </row>
    <row r="136" spans="1:44" x14ac:dyDescent="0.3">
      <c r="A136" s="1129" t="s">
        <v>2849</v>
      </c>
      <c r="B136" s="1129" t="s">
        <v>2850</v>
      </c>
      <c r="C136" s="1129" t="s">
        <v>2851</v>
      </c>
      <c r="D136" s="1129" t="s">
        <v>384</v>
      </c>
      <c r="E136" s="561">
        <v>-146</v>
      </c>
      <c r="F136" s="561">
        <v>0</v>
      </c>
      <c r="G136" s="561">
        <v>0</v>
      </c>
      <c r="H136" s="561">
        <v>0</v>
      </c>
      <c r="I136" s="561">
        <v>35</v>
      </c>
      <c r="J136" s="561">
        <v>0</v>
      </c>
      <c r="K136" s="561">
        <v>0</v>
      </c>
      <c r="L136" s="561">
        <v>464</v>
      </c>
      <c r="M136" s="561">
        <v>0</v>
      </c>
      <c r="N136" s="561">
        <v>0</v>
      </c>
      <c r="O136" s="561">
        <v>49</v>
      </c>
      <c r="P136" s="561">
        <v>525</v>
      </c>
      <c r="Q136" s="561">
        <v>981</v>
      </c>
      <c r="R136" s="561">
        <v>8696</v>
      </c>
      <c r="S136" s="1217">
        <v>0</v>
      </c>
      <c r="T136" s="1217">
        <v>132</v>
      </c>
      <c r="U136" s="1217">
        <v>0</v>
      </c>
      <c r="V136" s="561">
        <v>359</v>
      </c>
      <c r="W136" s="561">
        <v>226</v>
      </c>
      <c r="X136" s="561">
        <v>114</v>
      </c>
      <c r="Y136" s="561">
        <v>15</v>
      </c>
      <c r="Z136" s="561">
        <v>0</v>
      </c>
      <c r="AA136" s="561">
        <v>0</v>
      </c>
      <c r="AB136" s="561">
        <v>0</v>
      </c>
      <c r="AC136" s="561">
        <v>0</v>
      </c>
      <c r="AD136" s="561">
        <v>0</v>
      </c>
      <c r="AE136" s="561">
        <v>0</v>
      </c>
      <c r="AF136" s="561">
        <v>0</v>
      </c>
      <c r="AG136" s="561">
        <v>5302</v>
      </c>
      <c r="AH136" s="561">
        <v>0</v>
      </c>
      <c r="AI136" s="561">
        <v>8333</v>
      </c>
      <c r="AJ136" s="561">
        <v>270</v>
      </c>
      <c r="AK136" s="561">
        <v>0</v>
      </c>
      <c r="AL136" s="561">
        <v>0</v>
      </c>
      <c r="AM136" s="561">
        <v>1</v>
      </c>
      <c r="AN136" s="561">
        <v>0</v>
      </c>
      <c r="AO136" s="561">
        <v>3</v>
      </c>
      <c r="AP136" s="561">
        <v>0</v>
      </c>
      <c r="AQ136" s="561">
        <v>28</v>
      </c>
      <c r="AR136" s="561">
        <v>0</v>
      </c>
    </row>
    <row r="137" spans="1:44" x14ac:dyDescent="0.3">
      <c r="A137" s="1129" t="s">
        <v>2852</v>
      </c>
      <c r="B137" s="1129" t="s">
        <v>2853</v>
      </c>
      <c r="C137" s="1129" t="s">
        <v>2854</v>
      </c>
      <c r="D137" s="1129" t="s">
        <v>384</v>
      </c>
      <c r="E137" s="561">
        <v>-297</v>
      </c>
      <c r="F137" s="561">
        <v>0</v>
      </c>
      <c r="G137" s="561">
        <v>0</v>
      </c>
      <c r="H137" s="561">
        <v>0</v>
      </c>
      <c r="I137" s="561">
        <v>36</v>
      </c>
      <c r="J137" s="561">
        <v>0</v>
      </c>
      <c r="K137" s="561">
        <v>0</v>
      </c>
      <c r="L137" s="561">
        <v>1527</v>
      </c>
      <c r="M137" s="561">
        <v>0</v>
      </c>
      <c r="N137" s="561">
        <v>0</v>
      </c>
      <c r="O137" s="561">
        <v>450</v>
      </c>
      <c r="P137" s="561">
        <v>97</v>
      </c>
      <c r="Q137" s="561">
        <v>294</v>
      </c>
      <c r="R137" s="561">
        <v>9736</v>
      </c>
      <c r="S137" s="1217">
        <v>0</v>
      </c>
      <c r="T137" s="1217">
        <v>0</v>
      </c>
      <c r="U137" s="1217">
        <v>0</v>
      </c>
      <c r="V137" s="561">
        <v>3496</v>
      </c>
      <c r="W137" s="561">
        <v>329</v>
      </c>
      <c r="X137" s="561">
        <v>112</v>
      </c>
      <c r="Y137" s="561">
        <v>0</v>
      </c>
      <c r="Z137" s="561">
        <v>1716</v>
      </c>
      <c r="AA137" s="561">
        <v>0</v>
      </c>
      <c r="AB137" s="561">
        <v>0</v>
      </c>
      <c r="AC137" s="561">
        <v>0</v>
      </c>
      <c r="AD137" s="561">
        <v>0</v>
      </c>
      <c r="AE137" s="561">
        <v>0</v>
      </c>
      <c r="AF137" s="561">
        <v>0</v>
      </c>
      <c r="AG137" s="561">
        <v>561</v>
      </c>
      <c r="AH137" s="561">
        <v>0</v>
      </c>
      <c r="AI137" s="561">
        <v>2193</v>
      </c>
      <c r="AJ137" s="561">
        <v>960</v>
      </c>
      <c r="AK137" s="561">
        <v>791</v>
      </c>
      <c r="AL137" s="561">
        <v>0</v>
      </c>
      <c r="AM137" s="561">
        <v>50</v>
      </c>
      <c r="AN137" s="561">
        <v>2</v>
      </c>
      <c r="AO137" s="561">
        <v>0</v>
      </c>
      <c r="AP137" s="561">
        <v>0</v>
      </c>
      <c r="AQ137" s="561">
        <v>190</v>
      </c>
      <c r="AR137" s="561">
        <v>0</v>
      </c>
    </row>
    <row r="138" spans="1:44" x14ac:dyDescent="0.3">
      <c r="A138" s="1129" t="s">
        <v>2855</v>
      </c>
      <c r="B138" s="1129" t="s">
        <v>2856</v>
      </c>
      <c r="C138" s="1129" t="s">
        <v>2857</v>
      </c>
      <c r="D138" s="1129" t="s">
        <v>2595</v>
      </c>
      <c r="E138" s="561">
        <v>-12287</v>
      </c>
      <c r="F138" s="561">
        <v>0</v>
      </c>
      <c r="G138" s="561">
        <v>379357</v>
      </c>
      <c r="H138" s="561">
        <v>28660</v>
      </c>
      <c r="I138" s="561">
        <v>1436</v>
      </c>
      <c r="J138" s="561">
        <v>55804</v>
      </c>
      <c r="K138" s="561">
        <v>24704</v>
      </c>
      <c r="L138" s="561">
        <v>0</v>
      </c>
      <c r="M138" s="561">
        <v>11069</v>
      </c>
      <c r="N138" s="561">
        <v>1570</v>
      </c>
      <c r="O138" s="561">
        <v>0</v>
      </c>
      <c r="P138" s="561">
        <v>842</v>
      </c>
      <c r="Q138" s="561">
        <v>0</v>
      </c>
      <c r="R138" s="561">
        <v>415000</v>
      </c>
      <c r="S138" s="1217">
        <v>0</v>
      </c>
      <c r="T138" s="1217">
        <v>0</v>
      </c>
      <c r="U138" s="1217">
        <v>0</v>
      </c>
      <c r="V138" s="561">
        <v>8461</v>
      </c>
      <c r="W138" s="561">
        <v>0</v>
      </c>
      <c r="X138" s="561">
        <v>4115</v>
      </c>
      <c r="Y138" s="561">
        <v>0</v>
      </c>
      <c r="Z138" s="561">
        <v>0</v>
      </c>
      <c r="AA138" s="561">
        <v>0</v>
      </c>
      <c r="AB138" s="561">
        <v>0</v>
      </c>
      <c r="AC138" s="561">
        <v>0</v>
      </c>
      <c r="AD138" s="561">
        <v>25708</v>
      </c>
      <c r="AE138" s="561">
        <v>0</v>
      </c>
      <c r="AF138" s="561">
        <v>3807</v>
      </c>
      <c r="AG138" s="561">
        <v>32384</v>
      </c>
      <c r="AH138" s="561">
        <v>7153</v>
      </c>
      <c r="AI138" s="561">
        <v>38029</v>
      </c>
      <c r="AJ138" s="561">
        <v>34720</v>
      </c>
      <c r="AK138" s="561">
        <v>0</v>
      </c>
      <c r="AL138" s="561">
        <v>40595</v>
      </c>
      <c r="AM138" s="561">
        <v>0</v>
      </c>
      <c r="AN138" s="561">
        <v>0</v>
      </c>
      <c r="AO138" s="561">
        <v>0</v>
      </c>
      <c r="AP138" s="561">
        <v>0</v>
      </c>
      <c r="AQ138" s="561">
        <v>0</v>
      </c>
      <c r="AR138" s="561">
        <v>0</v>
      </c>
    </row>
    <row r="139" spans="1:44" x14ac:dyDescent="0.3">
      <c r="A139" s="1129" t="s">
        <v>2858</v>
      </c>
      <c r="B139" s="1129" t="s">
        <v>2859</v>
      </c>
      <c r="C139" s="1129" t="s">
        <v>2860</v>
      </c>
      <c r="D139" s="1129" t="s">
        <v>2466</v>
      </c>
      <c r="E139" s="561">
        <v>0</v>
      </c>
      <c r="F139" s="561">
        <v>-78528</v>
      </c>
      <c r="G139" s="561">
        <v>0</v>
      </c>
      <c r="H139" s="561">
        <v>0</v>
      </c>
      <c r="I139" s="561">
        <v>0</v>
      </c>
      <c r="J139" s="561">
        <v>0</v>
      </c>
      <c r="K139" s="561">
        <v>0</v>
      </c>
      <c r="L139" s="561">
        <v>0</v>
      </c>
      <c r="M139" s="561">
        <v>0</v>
      </c>
      <c r="N139" s="561">
        <v>0</v>
      </c>
      <c r="O139" s="561">
        <v>0</v>
      </c>
      <c r="P139" s="561">
        <v>0</v>
      </c>
      <c r="Q139" s="561">
        <v>0</v>
      </c>
      <c r="R139" s="561">
        <v>79578</v>
      </c>
      <c r="S139" s="1217">
        <v>0</v>
      </c>
      <c r="T139" s="1217">
        <v>0</v>
      </c>
      <c r="U139" s="1217">
        <v>0</v>
      </c>
      <c r="V139" s="561">
        <v>1148</v>
      </c>
      <c r="W139" s="561">
        <v>0</v>
      </c>
      <c r="X139" s="561">
        <v>0</v>
      </c>
      <c r="Y139" s="561">
        <v>0</v>
      </c>
      <c r="Z139" s="561">
        <v>0</v>
      </c>
      <c r="AA139" s="561">
        <v>4306</v>
      </c>
      <c r="AB139" s="561">
        <v>1527</v>
      </c>
      <c r="AC139" s="561">
        <v>2282</v>
      </c>
      <c r="AD139" s="561">
        <v>0</v>
      </c>
      <c r="AE139" s="561">
        <v>0</v>
      </c>
      <c r="AF139" s="561">
        <v>0</v>
      </c>
      <c r="AG139" s="561">
        <v>5835</v>
      </c>
      <c r="AH139" s="561">
        <v>0</v>
      </c>
      <c r="AI139" s="561">
        <v>18267</v>
      </c>
      <c r="AJ139" s="561">
        <v>1135</v>
      </c>
      <c r="AK139" s="561">
        <v>0</v>
      </c>
      <c r="AL139" s="561">
        <v>0</v>
      </c>
      <c r="AM139" s="561">
        <v>0</v>
      </c>
      <c r="AN139" s="561">
        <v>0</v>
      </c>
      <c r="AO139" s="561">
        <v>0</v>
      </c>
      <c r="AP139" s="561">
        <v>0</v>
      </c>
      <c r="AQ139" s="561">
        <v>0</v>
      </c>
      <c r="AR139" s="561">
        <v>0</v>
      </c>
    </row>
    <row r="140" spans="1:44" x14ac:dyDescent="0.3">
      <c r="A140" s="1129" t="s">
        <v>2861</v>
      </c>
      <c r="B140" s="1129" t="s">
        <v>2862</v>
      </c>
      <c r="C140" s="1129" t="s">
        <v>2863</v>
      </c>
      <c r="D140" s="1129" t="s">
        <v>384</v>
      </c>
      <c r="E140" s="561">
        <v>-118</v>
      </c>
      <c r="F140" s="561">
        <v>0</v>
      </c>
      <c r="G140" s="561">
        <v>0</v>
      </c>
      <c r="H140" s="561">
        <v>0</v>
      </c>
      <c r="I140" s="561">
        <v>34</v>
      </c>
      <c r="J140" s="561">
        <v>0</v>
      </c>
      <c r="K140" s="561">
        <v>0</v>
      </c>
      <c r="L140" s="561">
        <v>1018</v>
      </c>
      <c r="M140" s="561">
        <v>0</v>
      </c>
      <c r="N140" s="561">
        <v>0</v>
      </c>
      <c r="O140" s="561">
        <v>275</v>
      </c>
      <c r="P140" s="561">
        <v>17</v>
      </c>
      <c r="Q140" s="561">
        <v>0</v>
      </c>
      <c r="R140" s="561">
        <v>7124</v>
      </c>
      <c r="S140" s="1217">
        <v>6261</v>
      </c>
      <c r="T140" s="1217">
        <v>641</v>
      </c>
      <c r="U140" s="1217">
        <v>0</v>
      </c>
      <c r="V140" s="561">
        <v>1951</v>
      </c>
      <c r="W140" s="561">
        <v>210</v>
      </c>
      <c r="X140" s="561">
        <v>139</v>
      </c>
      <c r="Y140" s="561">
        <v>0</v>
      </c>
      <c r="Z140" s="561">
        <v>0</v>
      </c>
      <c r="AA140" s="561">
        <v>0</v>
      </c>
      <c r="AB140" s="561">
        <v>0</v>
      </c>
      <c r="AC140" s="561">
        <v>0</v>
      </c>
      <c r="AD140" s="561">
        <v>0</v>
      </c>
      <c r="AE140" s="561">
        <v>0</v>
      </c>
      <c r="AF140" s="561">
        <v>0</v>
      </c>
      <c r="AG140" s="561">
        <v>1000</v>
      </c>
      <c r="AH140" s="561">
        <v>0</v>
      </c>
      <c r="AI140" s="561">
        <v>1546</v>
      </c>
      <c r="AJ140" s="561">
        <v>0</v>
      </c>
      <c r="AK140" s="561">
        <v>3041</v>
      </c>
      <c r="AL140" s="561">
        <v>7153</v>
      </c>
      <c r="AM140" s="561">
        <v>13</v>
      </c>
      <c r="AN140" s="561">
        <v>6</v>
      </c>
      <c r="AO140" s="561">
        <v>0</v>
      </c>
      <c r="AP140" s="561">
        <v>12</v>
      </c>
      <c r="AQ140" s="561">
        <v>70</v>
      </c>
      <c r="AR140" s="561">
        <v>0</v>
      </c>
    </row>
    <row r="141" spans="1:44" x14ac:dyDescent="0.3">
      <c r="A141" s="1129" t="s">
        <v>2864</v>
      </c>
      <c r="B141" s="1129" t="s">
        <v>2865</v>
      </c>
      <c r="C141" s="1129" t="s">
        <v>2866</v>
      </c>
      <c r="D141" s="1129" t="s">
        <v>384</v>
      </c>
      <c r="E141" s="561">
        <v>-157</v>
      </c>
      <c r="F141" s="561">
        <v>0</v>
      </c>
      <c r="G141" s="561">
        <v>0</v>
      </c>
      <c r="H141" s="561">
        <v>0</v>
      </c>
      <c r="I141" s="561">
        <v>36</v>
      </c>
      <c r="J141" s="561">
        <v>0</v>
      </c>
      <c r="K141" s="561">
        <v>0</v>
      </c>
      <c r="L141" s="561">
        <v>812</v>
      </c>
      <c r="M141" s="561">
        <v>0</v>
      </c>
      <c r="N141" s="561">
        <v>0</v>
      </c>
      <c r="O141" s="561">
        <v>398</v>
      </c>
      <c r="P141" s="561">
        <v>255</v>
      </c>
      <c r="Q141" s="561">
        <v>670</v>
      </c>
      <c r="R141" s="561">
        <v>9104</v>
      </c>
      <c r="S141" s="1217">
        <v>5254</v>
      </c>
      <c r="T141" s="1217">
        <v>1778</v>
      </c>
      <c r="U141" s="1217">
        <v>0</v>
      </c>
      <c r="V141" s="561">
        <v>5251</v>
      </c>
      <c r="W141" s="561">
        <v>241</v>
      </c>
      <c r="X141" s="561">
        <v>190</v>
      </c>
      <c r="Y141" s="561">
        <v>2</v>
      </c>
      <c r="Z141" s="561">
        <v>307</v>
      </c>
      <c r="AA141" s="561">
        <v>0</v>
      </c>
      <c r="AB141" s="561">
        <v>0</v>
      </c>
      <c r="AC141" s="561">
        <v>0</v>
      </c>
      <c r="AD141" s="561">
        <v>0</v>
      </c>
      <c r="AE141" s="561">
        <v>0</v>
      </c>
      <c r="AF141" s="561">
        <v>0</v>
      </c>
      <c r="AG141" s="561">
        <v>0</v>
      </c>
      <c r="AH141" s="561">
        <v>0</v>
      </c>
      <c r="AI141" s="561">
        <v>7349</v>
      </c>
      <c r="AJ141" s="561">
        <v>7410</v>
      </c>
      <c r="AK141" s="561">
        <v>0</v>
      </c>
      <c r="AL141" s="561">
        <v>0</v>
      </c>
      <c r="AM141" s="561">
        <v>1</v>
      </c>
      <c r="AN141" s="561">
        <v>108</v>
      </c>
      <c r="AO141" s="561">
        <v>0</v>
      </c>
      <c r="AP141" s="561">
        <v>0</v>
      </c>
      <c r="AQ141" s="561">
        <v>137</v>
      </c>
      <c r="AR141" s="561">
        <v>6</v>
      </c>
    </row>
    <row r="142" spans="1:44" x14ac:dyDescent="0.3">
      <c r="A142" s="1129" t="s">
        <v>2867</v>
      </c>
      <c r="B142" s="1129" t="s">
        <v>2868</v>
      </c>
      <c r="C142" s="1129" t="s">
        <v>2869</v>
      </c>
      <c r="D142" s="1129" t="s">
        <v>384</v>
      </c>
      <c r="E142" s="561">
        <v>-2784</v>
      </c>
      <c r="F142" s="561">
        <v>0</v>
      </c>
      <c r="G142" s="561">
        <v>0</v>
      </c>
      <c r="H142" s="561">
        <v>0</v>
      </c>
      <c r="I142" s="561">
        <v>35</v>
      </c>
      <c r="J142" s="561">
        <v>0</v>
      </c>
      <c r="K142" s="561">
        <v>0</v>
      </c>
      <c r="L142" s="561">
        <v>926</v>
      </c>
      <c r="M142" s="561">
        <v>0</v>
      </c>
      <c r="N142" s="561">
        <v>0</v>
      </c>
      <c r="O142" s="561">
        <v>418</v>
      </c>
      <c r="P142" s="561">
        <v>472</v>
      </c>
      <c r="Q142" s="561">
        <v>857</v>
      </c>
      <c r="R142" s="561">
        <v>6934</v>
      </c>
      <c r="S142" s="1217">
        <v>3015</v>
      </c>
      <c r="T142" s="1217">
        <v>0</v>
      </c>
      <c r="U142" s="1217">
        <v>0</v>
      </c>
      <c r="V142" s="561">
        <v>2952</v>
      </c>
      <c r="W142" s="561">
        <v>341</v>
      </c>
      <c r="X142" s="561">
        <v>170</v>
      </c>
      <c r="Y142" s="561">
        <v>0</v>
      </c>
      <c r="Z142" s="561">
        <v>463</v>
      </c>
      <c r="AA142" s="561">
        <v>0</v>
      </c>
      <c r="AB142" s="561">
        <v>0</v>
      </c>
      <c r="AC142" s="561">
        <v>0</v>
      </c>
      <c r="AD142" s="561">
        <v>0</v>
      </c>
      <c r="AE142" s="561">
        <v>0</v>
      </c>
      <c r="AF142" s="561">
        <v>0</v>
      </c>
      <c r="AG142" s="561">
        <v>2091</v>
      </c>
      <c r="AH142" s="561">
        <v>0</v>
      </c>
      <c r="AI142" s="561">
        <v>5767</v>
      </c>
      <c r="AJ142" s="561">
        <v>3588</v>
      </c>
      <c r="AK142" s="561">
        <v>0</v>
      </c>
      <c r="AL142" s="561">
        <v>0</v>
      </c>
      <c r="AM142" s="561">
        <v>7</v>
      </c>
      <c r="AN142" s="561">
        <v>0</v>
      </c>
      <c r="AO142" s="561">
        <v>0</v>
      </c>
      <c r="AP142" s="561">
        <v>14</v>
      </c>
      <c r="AQ142" s="561">
        <v>34</v>
      </c>
      <c r="AR142" s="561">
        <v>0</v>
      </c>
    </row>
    <row r="143" spans="1:44" x14ac:dyDescent="0.3">
      <c r="A143" s="1196" t="s">
        <v>2870</v>
      </c>
      <c r="B143" s="1196" t="s">
        <v>2871</v>
      </c>
      <c r="C143" s="1196" t="s">
        <v>2872</v>
      </c>
      <c r="D143" s="1196" t="s">
        <v>2466</v>
      </c>
      <c r="E143" s="561">
        <v>0</v>
      </c>
      <c r="F143" s="561">
        <v>0</v>
      </c>
      <c r="G143" s="561">
        <v>0</v>
      </c>
      <c r="H143" s="561">
        <v>0</v>
      </c>
      <c r="I143" s="561">
        <v>0</v>
      </c>
      <c r="J143" s="561">
        <v>0</v>
      </c>
      <c r="K143" s="561">
        <v>0</v>
      </c>
      <c r="L143" s="561">
        <v>0</v>
      </c>
      <c r="M143" s="561">
        <v>0</v>
      </c>
      <c r="N143" s="561">
        <v>0</v>
      </c>
      <c r="O143" s="561">
        <v>0</v>
      </c>
      <c r="P143" s="561">
        <v>0</v>
      </c>
      <c r="Q143" s="561">
        <v>0</v>
      </c>
      <c r="R143" s="561">
        <v>0</v>
      </c>
      <c r="S143" s="1217">
        <v>0</v>
      </c>
      <c r="T143" s="1217">
        <v>0</v>
      </c>
      <c r="U143" s="1217">
        <v>0</v>
      </c>
      <c r="V143" s="561">
        <v>0</v>
      </c>
      <c r="W143" s="561">
        <v>0</v>
      </c>
      <c r="X143" s="561">
        <v>0</v>
      </c>
      <c r="Y143" s="561">
        <v>0</v>
      </c>
      <c r="Z143" s="561">
        <v>0</v>
      </c>
      <c r="AA143" s="561">
        <v>0</v>
      </c>
      <c r="AB143" s="561">
        <v>0</v>
      </c>
      <c r="AC143" s="561">
        <v>0</v>
      </c>
      <c r="AM143" s="561">
        <v>0</v>
      </c>
      <c r="AN143" s="561">
        <v>0</v>
      </c>
      <c r="AO143" s="561">
        <v>0</v>
      </c>
      <c r="AP143" s="561">
        <v>0</v>
      </c>
      <c r="AQ143" s="561">
        <v>0</v>
      </c>
      <c r="AR143" s="561">
        <v>0</v>
      </c>
    </row>
    <row r="144" spans="1:44" x14ac:dyDescent="0.3">
      <c r="A144" s="1129" t="s">
        <v>2873</v>
      </c>
      <c r="B144" s="1129" t="s">
        <v>2874</v>
      </c>
      <c r="C144" s="1129" t="s">
        <v>2875</v>
      </c>
      <c r="D144" s="1129" t="s">
        <v>2466</v>
      </c>
      <c r="E144" s="561">
        <v>0</v>
      </c>
      <c r="F144" s="561">
        <v>-2329317</v>
      </c>
      <c r="G144" s="561">
        <v>0</v>
      </c>
      <c r="H144" s="561">
        <v>0</v>
      </c>
      <c r="I144" s="561">
        <v>0</v>
      </c>
      <c r="J144" s="561">
        <v>0</v>
      </c>
      <c r="K144" s="561">
        <v>0</v>
      </c>
      <c r="L144" s="561">
        <v>0</v>
      </c>
      <c r="M144" s="561">
        <v>0</v>
      </c>
      <c r="N144" s="561">
        <v>0</v>
      </c>
      <c r="O144" s="561">
        <v>0</v>
      </c>
      <c r="P144" s="561">
        <v>0</v>
      </c>
      <c r="Q144" s="561">
        <v>0</v>
      </c>
      <c r="R144" s="561">
        <v>1581882</v>
      </c>
      <c r="S144" s="1217">
        <v>0</v>
      </c>
      <c r="T144" s="1217">
        <v>444149</v>
      </c>
      <c r="U144" s="1217">
        <v>0</v>
      </c>
      <c r="V144" s="561">
        <v>63893</v>
      </c>
      <c r="W144" s="561">
        <v>0</v>
      </c>
      <c r="X144" s="561">
        <v>0</v>
      </c>
      <c r="Y144" s="561">
        <v>0</v>
      </c>
      <c r="Z144" s="561">
        <v>2318</v>
      </c>
      <c r="AA144" s="561">
        <v>0</v>
      </c>
      <c r="AB144" s="561">
        <v>45639</v>
      </c>
      <c r="AC144" s="561">
        <v>44844</v>
      </c>
      <c r="AD144" s="561">
        <v>0</v>
      </c>
      <c r="AE144" s="561">
        <v>0</v>
      </c>
      <c r="AF144" s="561">
        <v>0</v>
      </c>
      <c r="AG144" s="561">
        <v>418446</v>
      </c>
      <c r="AH144" s="561">
        <v>4414</v>
      </c>
      <c r="AI144" s="561">
        <v>1144160</v>
      </c>
      <c r="AJ144" s="561">
        <v>0</v>
      </c>
      <c r="AK144" s="561">
        <v>444217</v>
      </c>
      <c r="AL144" s="561">
        <v>0</v>
      </c>
      <c r="AM144" s="561">
        <v>4480</v>
      </c>
      <c r="AN144" s="561">
        <v>34960</v>
      </c>
      <c r="AO144" s="561">
        <v>3070</v>
      </c>
      <c r="AP144" s="561">
        <v>18330</v>
      </c>
      <c r="AQ144" s="561">
        <v>13670</v>
      </c>
      <c r="AR144" s="561">
        <v>1290</v>
      </c>
    </row>
    <row r="145" spans="1:44" x14ac:dyDescent="0.3">
      <c r="A145" s="1129" t="s">
        <v>2876</v>
      </c>
      <c r="B145" s="1129" t="s">
        <v>2877</v>
      </c>
      <c r="C145" s="1129" t="s">
        <v>2878</v>
      </c>
      <c r="D145" s="1129" t="s">
        <v>2466</v>
      </c>
      <c r="E145" s="561">
        <v>0</v>
      </c>
      <c r="F145" s="561">
        <v>0</v>
      </c>
      <c r="G145" s="561">
        <v>0</v>
      </c>
      <c r="H145" s="561">
        <v>0</v>
      </c>
      <c r="I145" s="561">
        <v>0</v>
      </c>
      <c r="J145" s="561">
        <v>0</v>
      </c>
      <c r="K145" s="561">
        <v>0</v>
      </c>
      <c r="L145" s="561">
        <v>0</v>
      </c>
      <c r="M145" s="561">
        <v>0</v>
      </c>
      <c r="N145" s="561">
        <v>0</v>
      </c>
      <c r="O145" s="561">
        <v>0</v>
      </c>
      <c r="P145" s="561">
        <v>0</v>
      </c>
      <c r="Q145" s="561">
        <v>0</v>
      </c>
      <c r="R145" s="561">
        <v>328179</v>
      </c>
      <c r="S145" s="1217">
        <v>0</v>
      </c>
      <c r="T145" s="1217">
        <v>0</v>
      </c>
      <c r="U145" s="1217">
        <v>0</v>
      </c>
      <c r="V145" s="561">
        <v>22756</v>
      </c>
      <c r="W145" s="561">
        <v>0</v>
      </c>
      <c r="X145" s="561">
        <v>959</v>
      </c>
      <c r="Y145" s="561">
        <v>0</v>
      </c>
      <c r="Z145" s="561">
        <v>5521</v>
      </c>
      <c r="AA145" s="561">
        <v>0</v>
      </c>
      <c r="AB145" s="561">
        <v>0</v>
      </c>
      <c r="AC145" s="561">
        <v>0</v>
      </c>
      <c r="AD145" s="561">
        <v>0</v>
      </c>
      <c r="AE145" s="561">
        <v>0</v>
      </c>
      <c r="AF145" s="561">
        <v>0</v>
      </c>
      <c r="AG145" s="561">
        <v>41769</v>
      </c>
      <c r="AH145" s="561">
        <v>13000</v>
      </c>
      <c r="AI145" s="561">
        <v>426897</v>
      </c>
      <c r="AJ145" s="561">
        <v>16821</v>
      </c>
      <c r="AK145" s="561">
        <v>26694</v>
      </c>
      <c r="AL145" s="561">
        <v>0</v>
      </c>
      <c r="AM145" s="561">
        <v>0</v>
      </c>
      <c r="AN145" s="561">
        <v>0</v>
      </c>
      <c r="AO145" s="561">
        <v>0</v>
      </c>
      <c r="AP145" s="561">
        <v>0</v>
      </c>
      <c r="AQ145" s="561">
        <v>0</v>
      </c>
      <c r="AR145" s="561">
        <v>0</v>
      </c>
    </row>
    <row r="146" spans="1:44" x14ac:dyDescent="0.3">
      <c r="A146" s="1209" t="s">
        <v>2879</v>
      </c>
      <c r="B146" s="1209" t="s">
        <v>2880</v>
      </c>
      <c r="C146" s="1209" t="s">
        <v>2881</v>
      </c>
      <c r="D146" s="1209" t="s">
        <v>2466</v>
      </c>
      <c r="E146" s="561" t="e">
        <v>#N/A</v>
      </c>
      <c r="F146" s="561">
        <v>-573888</v>
      </c>
      <c r="G146" s="561">
        <v>0</v>
      </c>
      <c r="H146" s="561" t="e">
        <v>#N/A</v>
      </c>
      <c r="I146" s="561">
        <v>0</v>
      </c>
      <c r="J146" s="561" t="e">
        <v>#N/A</v>
      </c>
      <c r="K146" s="561" t="e">
        <v>#N/A</v>
      </c>
      <c r="L146" s="561" t="e">
        <v>#N/A</v>
      </c>
      <c r="M146" s="561" t="e">
        <v>#N/A</v>
      </c>
      <c r="N146" s="561">
        <v>0</v>
      </c>
      <c r="O146" s="561">
        <v>0</v>
      </c>
      <c r="P146" s="561" t="e">
        <v>#N/A</v>
      </c>
      <c r="Q146" s="561">
        <v>0</v>
      </c>
      <c r="R146" s="561">
        <v>0</v>
      </c>
      <c r="S146" s="1217">
        <v>0</v>
      </c>
      <c r="T146" s="1217">
        <v>0</v>
      </c>
      <c r="U146" s="1217">
        <v>0</v>
      </c>
      <c r="V146" s="561">
        <v>0</v>
      </c>
      <c r="W146" s="561">
        <v>0</v>
      </c>
      <c r="X146" s="561">
        <v>0</v>
      </c>
      <c r="Y146" s="561">
        <v>0</v>
      </c>
      <c r="Z146" s="561">
        <v>0</v>
      </c>
      <c r="AA146" s="561">
        <v>31236</v>
      </c>
      <c r="AB146" s="561">
        <v>11557</v>
      </c>
      <c r="AC146" s="561">
        <v>12262</v>
      </c>
      <c r="AD146" s="561">
        <v>0</v>
      </c>
      <c r="AE146" s="561">
        <v>0</v>
      </c>
      <c r="AF146" s="561">
        <v>0</v>
      </c>
      <c r="AG146" s="561">
        <v>15582</v>
      </c>
      <c r="AH146" s="561">
        <v>0</v>
      </c>
      <c r="AI146" s="561">
        <v>12847</v>
      </c>
      <c r="AJ146" s="561">
        <v>15164</v>
      </c>
      <c r="AK146" s="561">
        <v>2015</v>
      </c>
      <c r="AL146" s="561">
        <v>7908</v>
      </c>
      <c r="AM146" s="561">
        <v>0</v>
      </c>
      <c r="AN146" s="561">
        <v>0</v>
      </c>
      <c r="AO146" s="561">
        <v>0</v>
      </c>
      <c r="AP146" s="561">
        <v>0</v>
      </c>
      <c r="AQ146" s="561">
        <v>0</v>
      </c>
      <c r="AR146" s="561">
        <v>0</v>
      </c>
    </row>
    <row r="147" spans="1:44" x14ac:dyDescent="0.3">
      <c r="A147" s="1129" t="s">
        <v>2882</v>
      </c>
      <c r="B147" s="1129" t="s">
        <v>2883</v>
      </c>
      <c r="C147" s="1129" t="s">
        <v>2884</v>
      </c>
      <c r="D147" s="1129" t="s">
        <v>2476</v>
      </c>
      <c r="E147" s="561">
        <v>-32173</v>
      </c>
      <c r="F147" s="561">
        <v>0</v>
      </c>
      <c r="G147" s="561">
        <v>282607</v>
      </c>
      <c r="H147" s="561">
        <v>27497</v>
      </c>
      <c r="I147" s="561">
        <v>38</v>
      </c>
      <c r="J147" s="561">
        <v>37392</v>
      </c>
      <c r="K147" s="561">
        <v>19041</v>
      </c>
      <c r="L147" s="561">
        <v>7068</v>
      </c>
      <c r="M147" s="561">
        <v>5820</v>
      </c>
      <c r="N147" s="561">
        <v>1780</v>
      </c>
      <c r="O147" s="561">
        <v>3809</v>
      </c>
      <c r="P147" s="561">
        <v>210</v>
      </c>
      <c r="Q147" s="561">
        <v>0</v>
      </c>
      <c r="R147" s="561">
        <v>138585</v>
      </c>
      <c r="S147" s="1217">
        <v>8743</v>
      </c>
      <c r="T147" s="1217" t="s">
        <v>2453</v>
      </c>
      <c r="U147" s="1217" t="s">
        <v>2453</v>
      </c>
      <c r="V147" s="561">
        <v>27513</v>
      </c>
      <c r="W147" s="561">
        <v>1337</v>
      </c>
      <c r="X147" s="561">
        <v>3290</v>
      </c>
      <c r="Y147" s="561">
        <v>0</v>
      </c>
      <c r="Z147" s="561">
        <v>2020</v>
      </c>
      <c r="AA147" s="561">
        <v>0</v>
      </c>
      <c r="AB147" s="561">
        <v>0</v>
      </c>
      <c r="AC147" s="561">
        <v>0</v>
      </c>
      <c r="AD147" s="561">
        <v>8894</v>
      </c>
      <c r="AE147" s="561">
        <v>831</v>
      </c>
      <c r="AF147" s="561">
        <v>0</v>
      </c>
      <c r="AG147" s="561">
        <v>0</v>
      </c>
      <c r="AH147" s="561">
        <v>74544</v>
      </c>
      <c r="AI147" s="561">
        <v>65442</v>
      </c>
      <c r="AJ147" s="561">
        <v>23677</v>
      </c>
      <c r="AK147" s="561">
        <v>21172</v>
      </c>
      <c r="AL147" s="561">
        <v>0</v>
      </c>
      <c r="AM147" s="561">
        <v>129</v>
      </c>
      <c r="AN147" s="561">
        <v>903</v>
      </c>
      <c r="AO147" s="561">
        <v>0</v>
      </c>
      <c r="AP147" s="561">
        <v>28</v>
      </c>
      <c r="AQ147" s="561">
        <v>853</v>
      </c>
      <c r="AR147" s="561">
        <v>3</v>
      </c>
    </row>
    <row r="148" spans="1:44" x14ac:dyDescent="0.3">
      <c r="A148" s="1129" t="s">
        <v>2885</v>
      </c>
      <c r="B148" s="1129" t="s">
        <v>2886</v>
      </c>
      <c r="C148" s="1129" t="s">
        <v>2887</v>
      </c>
      <c r="D148" s="1129" t="s">
        <v>384</v>
      </c>
      <c r="E148" s="561">
        <v>-162</v>
      </c>
      <c r="F148" s="561">
        <v>0</v>
      </c>
      <c r="G148" s="561">
        <v>0</v>
      </c>
      <c r="H148" s="561">
        <v>0</v>
      </c>
      <c r="I148" s="561">
        <v>40</v>
      </c>
      <c r="J148" s="561">
        <v>0</v>
      </c>
      <c r="K148" s="561">
        <v>0</v>
      </c>
      <c r="L148" s="561">
        <v>1068</v>
      </c>
      <c r="M148" s="561">
        <v>0</v>
      </c>
      <c r="N148" s="561">
        <v>0</v>
      </c>
      <c r="O148" s="561">
        <v>0</v>
      </c>
      <c r="P148" s="561">
        <v>615</v>
      </c>
      <c r="Q148" s="561">
        <v>2478</v>
      </c>
      <c r="R148" s="561">
        <v>14853</v>
      </c>
      <c r="S148" s="1217" t="s">
        <v>2453</v>
      </c>
      <c r="T148" s="1217">
        <v>0</v>
      </c>
      <c r="U148" s="1217">
        <v>0</v>
      </c>
      <c r="V148" s="561">
        <v>8294</v>
      </c>
      <c r="W148" s="561">
        <v>234</v>
      </c>
      <c r="X148" s="561">
        <v>180</v>
      </c>
      <c r="Y148" s="561">
        <v>551</v>
      </c>
      <c r="Z148" s="561">
        <v>204</v>
      </c>
      <c r="AA148" s="561">
        <v>0</v>
      </c>
      <c r="AB148" s="561">
        <v>0</v>
      </c>
      <c r="AC148" s="561">
        <v>0</v>
      </c>
      <c r="AD148" s="561">
        <v>0</v>
      </c>
      <c r="AE148" s="561">
        <v>0</v>
      </c>
      <c r="AF148" s="561">
        <v>0</v>
      </c>
      <c r="AG148" s="561">
        <v>0</v>
      </c>
      <c r="AH148" s="561">
        <v>14373</v>
      </c>
      <c r="AI148" s="561">
        <v>7167</v>
      </c>
      <c r="AJ148" s="561">
        <v>7083</v>
      </c>
      <c r="AK148" s="561">
        <v>6335</v>
      </c>
      <c r="AL148" s="561">
        <v>0</v>
      </c>
      <c r="AM148" s="561">
        <v>4</v>
      </c>
      <c r="AN148" s="561">
        <v>4</v>
      </c>
      <c r="AO148" s="561">
        <v>5</v>
      </c>
      <c r="AP148" s="561">
        <v>0</v>
      </c>
      <c r="AQ148" s="561">
        <v>82</v>
      </c>
      <c r="AR148" s="561">
        <v>2</v>
      </c>
    </row>
    <row r="149" spans="1:44" x14ac:dyDescent="0.3">
      <c r="A149" s="1129" t="s">
        <v>2888</v>
      </c>
      <c r="B149" s="1129" t="s">
        <v>2889</v>
      </c>
      <c r="C149" s="1129" t="s">
        <v>2890</v>
      </c>
      <c r="D149" s="1129" t="s">
        <v>2476</v>
      </c>
      <c r="E149" s="561">
        <v>-44496</v>
      </c>
      <c r="F149" s="561">
        <v>0</v>
      </c>
      <c r="G149" s="561">
        <v>268918</v>
      </c>
      <c r="H149" s="561">
        <v>40651</v>
      </c>
      <c r="I149" s="561">
        <v>41</v>
      </c>
      <c r="J149" s="561">
        <v>41420</v>
      </c>
      <c r="K149" s="561">
        <v>20524</v>
      </c>
      <c r="L149" s="561">
        <v>11104</v>
      </c>
      <c r="M149" s="561">
        <v>6147</v>
      </c>
      <c r="N149" s="561">
        <v>2589</v>
      </c>
      <c r="O149" s="561">
        <v>9698</v>
      </c>
      <c r="P149" s="561">
        <v>544</v>
      </c>
      <c r="Q149" s="561">
        <v>0</v>
      </c>
      <c r="R149" s="561">
        <v>116251</v>
      </c>
      <c r="S149" s="1217">
        <v>17180</v>
      </c>
      <c r="T149" s="1217">
        <v>0</v>
      </c>
      <c r="U149" s="1217">
        <v>0</v>
      </c>
      <c r="V149" s="561">
        <v>6307</v>
      </c>
      <c r="W149" s="561">
        <v>2039</v>
      </c>
      <c r="X149" s="561">
        <v>3157</v>
      </c>
      <c r="Y149" s="561">
        <v>0</v>
      </c>
      <c r="Z149" s="561">
        <v>1644</v>
      </c>
      <c r="AA149" s="561">
        <v>0</v>
      </c>
      <c r="AB149" s="561">
        <v>0</v>
      </c>
      <c r="AC149" s="561">
        <v>0</v>
      </c>
      <c r="AD149" s="561">
        <v>9739</v>
      </c>
      <c r="AE149" s="561">
        <v>0</v>
      </c>
      <c r="AF149" s="561">
        <v>1621</v>
      </c>
      <c r="AG149" s="561">
        <v>18000</v>
      </c>
      <c r="AH149" s="561">
        <v>4159</v>
      </c>
      <c r="AI149" s="561">
        <v>72160</v>
      </c>
      <c r="AJ149" s="561">
        <v>7348</v>
      </c>
      <c r="AK149" s="561">
        <v>41083</v>
      </c>
      <c r="AL149" s="561">
        <v>0</v>
      </c>
      <c r="AM149" s="561">
        <v>341</v>
      </c>
      <c r="AN149" s="561">
        <v>1693</v>
      </c>
      <c r="AO149" s="561">
        <v>654</v>
      </c>
      <c r="AP149" s="561">
        <v>532</v>
      </c>
      <c r="AQ149" s="561">
        <v>327</v>
      </c>
      <c r="AR149" s="561">
        <v>84</v>
      </c>
    </row>
    <row r="150" spans="1:44" x14ac:dyDescent="0.3">
      <c r="A150" s="1129" t="s">
        <v>2891</v>
      </c>
      <c r="B150" s="1129" t="s">
        <v>2892</v>
      </c>
      <c r="C150" s="1129" t="s">
        <v>2893</v>
      </c>
      <c r="D150" s="1129" t="s">
        <v>385</v>
      </c>
      <c r="E150" s="561">
        <v>0</v>
      </c>
      <c r="F150" s="561">
        <v>0</v>
      </c>
      <c r="G150" s="561">
        <v>101941</v>
      </c>
      <c r="H150" s="561">
        <v>12153</v>
      </c>
      <c r="I150" s="561">
        <v>425</v>
      </c>
      <c r="J150" s="561">
        <v>17744</v>
      </c>
      <c r="K150" s="561">
        <v>0</v>
      </c>
      <c r="L150" s="561">
        <v>548</v>
      </c>
      <c r="M150" s="561">
        <v>2796</v>
      </c>
      <c r="N150" s="561">
        <v>1410</v>
      </c>
      <c r="O150" s="561">
        <v>4487</v>
      </c>
      <c r="P150" s="561">
        <v>181</v>
      </c>
      <c r="Q150" s="561">
        <v>245</v>
      </c>
      <c r="R150" s="561">
        <v>68454</v>
      </c>
      <c r="S150" s="1217">
        <v>0</v>
      </c>
      <c r="T150" s="1217">
        <v>0</v>
      </c>
      <c r="U150" s="1217">
        <v>0</v>
      </c>
      <c r="V150" s="561">
        <v>7643</v>
      </c>
      <c r="W150" s="561">
        <v>453</v>
      </c>
      <c r="X150" s="561">
        <v>1604</v>
      </c>
      <c r="Y150" s="561">
        <v>0</v>
      </c>
      <c r="Z150" s="561">
        <v>139</v>
      </c>
      <c r="AA150" s="561">
        <v>0</v>
      </c>
      <c r="AB150" s="561">
        <v>0</v>
      </c>
      <c r="AC150" s="561">
        <v>0</v>
      </c>
      <c r="AD150" s="561">
        <v>6519</v>
      </c>
      <c r="AE150" s="561">
        <v>0</v>
      </c>
      <c r="AF150" s="561">
        <v>1880</v>
      </c>
      <c r="AG150" s="561">
        <v>5149</v>
      </c>
      <c r="AH150" s="561">
        <v>7108</v>
      </c>
      <c r="AI150" s="561">
        <v>8442</v>
      </c>
      <c r="AJ150" s="561">
        <v>1000</v>
      </c>
      <c r="AK150" s="561">
        <v>6432</v>
      </c>
      <c r="AL150" s="561">
        <v>4133</v>
      </c>
      <c r="AM150" s="561">
        <v>2</v>
      </c>
      <c r="AN150" s="561">
        <v>1</v>
      </c>
      <c r="AO150" s="561">
        <v>85</v>
      </c>
      <c r="AP150" s="561">
        <v>11</v>
      </c>
      <c r="AQ150" s="561">
        <v>1</v>
      </c>
      <c r="AR150" s="561">
        <v>3</v>
      </c>
    </row>
    <row r="151" spans="1:44" x14ac:dyDescent="0.3">
      <c r="A151" s="1129" t="s">
        <v>2894</v>
      </c>
      <c r="B151" s="1129" t="s">
        <v>2895</v>
      </c>
      <c r="C151" s="1129" t="s">
        <v>2896</v>
      </c>
      <c r="D151" s="1129" t="s">
        <v>2476</v>
      </c>
      <c r="E151" s="561">
        <v>-21956</v>
      </c>
      <c r="F151" s="561">
        <v>0</v>
      </c>
      <c r="G151" s="561">
        <v>100680</v>
      </c>
      <c r="H151" s="561">
        <v>26026</v>
      </c>
      <c r="I151" s="561">
        <v>43</v>
      </c>
      <c r="J151" s="561">
        <v>26641</v>
      </c>
      <c r="K151" s="561">
        <v>12370</v>
      </c>
      <c r="L151" s="561">
        <v>6596</v>
      </c>
      <c r="M151" s="561">
        <v>4018</v>
      </c>
      <c r="N151" s="561">
        <v>900</v>
      </c>
      <c r="O151" s="561">
        <v>0</v>
      </c>
      <c r="P151" s="561">
        <v>1575</v>
      </c>
      <c r="Q151" s="561">
        <v>0</v>
      </c>
      <c r="R151" s="561">
        <v>84864</v>
      </c>
      <c r="S151" s="1217">
        <v>16363</v>
      </c>
      <c r="T151" s="1217">
        <v>0</v>
      </c>
      <c r="U151" s="1217">
        <v>0</v>
      </c>
      <c r="V151" s="561">
        <v>12201</v>
      </c>
      <c r="W151" s="561">
        <v>1007</v>
      </c>
      <c r="X151" s="561">
        <v>2182</v>
      </c>
      <c r="Y151" s="561">
        <v>0</v>
      </c>
      <c r="Z151" s="561">
        <v>1292</v>
      </c>
      <c r="AA151" s="561">
        <v>0</v>
      </c>
      <c r="AB151" s="561">
        <v>0</v>
      </c>
      <c r="AC151" s="561">
        <v>0</v>
      </c>
      <c r="AD151" s="561">
        <v>5435</v>
      </c>
      <c r="AE151" s="561">
        <v>14639</v>
      </c>
      <c r="AF151" s="561">
        <v>1808</v>
      </c>
      <c r="AG151" s="561">
        <v>21646</v>
      </c>
      <c r="AH151" s="561">
        <v>0</v>
      </c>
      <c r="AI151" s="561">
        <v>95121</v>
      </c>
      <c r="AJ151" s="561">
        <v>25810</v>
      </c>
      <c r="AK151" s="561">
        <v>29217</v>
      </c>
      <c r="AL151" s="561">
        <v>9237</v>
      </c>
      <c r="AM151" s="561">
        <v>128</v>
      </c>
      <c r="AN151" s="561">
        <v>303</v>
      </c>
      <c r="AO151" s="561">
        <v>0</v>
      </c>
      <c r="AP151" s="561">
        <v>849</v>
      </c>
      <c r="AQ151" s="561">
        <v>162</v>
      </c>
      <c r="AR151" s="561">
        <v>9</v>
      </c>
    </row>
    <row r="152" spans="1:44" x14ac:dyDescent="0.3">
      <c r="A152" s="1129" t="s">
        <v>2897</v>
      </c>
      <c r="B152" s="1129" t="s">
        <v>2898</v>
      </c>
      <c r="C152" s="1129" t="s">
        <v>2899</v>
      </c>
      <c r="D152" s="1129" t="s">
        <v>2595</v>
      </c>
      <c r="E152" s="561">
        <v>-1481</v>
      </c>
      <c r="F152" s="561">
        <v>0</v>
      </c>
      <c r="G152" s="561">
        <v>1165522</v>
      </c>
      <c r="H152" s="561">
        <v>62059</v>
      </c>
      <c r="I152" s="561">
        <v>2987</v>
      </c>
      <c r="J152" s="561">
        <v>98758</v>
      </c>
      <c r="K152" s="561">
        <v>38588</v>
      </c>
      <c r="L152" s="561">
        <v>0</v>
      </c>
      <c r="M152" s="561">
        <v>20801</v>
      </c>
      <c r="N152" s="561">
        <v>3056</v>
      </c>
      <c r="O152" s="561">
        <v>0</v>
      </c>
      <c r="P152" s="561">
        <v>1130</v>
      </c>
      <c r="Q152" s="561">
        <v>0</v>
      </c>
      <c r="R152" s="561">
        <v>876370</v>
      </c>
      <c r="S152" s="1217">
        <v>0</v>
      </c>
      <c r="T152" s="1217">
        <v>33015</v>
      </c>
      <c r="U152" s="1217">
        <v>0</v>
      </c>
      <c r="V152" s="561">
        <v>6867</v>
      </c>
      <c r="W152" s="561">
        <v>0</v>
      </c>
      <c r="X152" s="561">
        <v>8125</v>
      </c>
      <c r="Y152" s="561">
        <v>0</v>
      </c>
      <c r="Z152" s="561">
        <v>0</v>
      </c>
      <c r="AA152" s="561">
        <v>0</v>
      </c>
      <c r="AB152" s="561">
        <v>0</v>
      </c>
      <c r="AC152" s="561">
        <v>0</v>
      </c>
      <c r="AD152" s="561">
        <v>86817</v>
      </c>
      <c r="AE152" s="561">
        <v>0</v>
      </c>
      <c r="AF152" s="561">
        <v>10730</v>
      </c>
      <c r="AG152" s="561">
        <v>25898</v>
      </c>
      <c r="AH152" s="561">
        <v>25151</v>
      </c>
      <c r="AI152" s="561">
        <v>292239</v>
      </c>
      <c r="AJ152" s="561">
        <v>53779</v>
      </c>
      <c r="AK152" s="561">
        <v>95481</v>
      </c>
      <c r="AL152" s="561">
        <v>0</v>
      </c>
      <c r="AM152" s="561">
        <v>0</v>
      </c>
      <c r="AN152" s="561">
        <v>0</v>
      </c>
      <c r="AO152" s="561">
        <v>0</v>
      </c>
      <c r="AP152" s="561">
        <v>0</v>
      </c>
      <c r="AQ152" s="561">
        <v>0</v>
      </c>
      <c r="AR152" s="561">
        <v>0</v>
      </c>
    </row>
    <row r="153" spans="1:44" x14ac:dyDescent="0.3">
      <c r="A153" s="1129" t="s">
        <v>2900</v>
      </c>
      <c r="B153" s="1129" t="s">
        <v>2901</v>
      </c>
      <c r="C153" s="1129" t="s">
        <v>2902</v>
      </c>
      <c r="D153" s="1129" t="s">
        <v>2466</v>
      </c>
      <c r="E153" s="561">
        <v>-14024</v>
      </c>
      <c r="F153" s="561">
        <v>0</v>
      </c>
      <c r="G153" s="561">
        <v>0</v>
      </c>
      <c r="H153" s="561">
        <v>0</v>
      </c>
      <c r="I153" s="561">
        <v>0</v>
      </c>
      <c r="J153" s="561">
        <v>0</v>
      </c>
      <c r="K153" s="561">
        <v>0</v>
      </c>
      <c r="L153" s="561">
        <v>0</v>
      </c>
      <c r="M153" s="561">
        <v>0</v>
      </c>
      <c r="N153" s="561">
        <v>0</v>
      </c>
      <c r="O153" s="561">
        <v>0</v>
      </c>
      <c r="P153" s="561">
        <v>0</v>
      </c>
      <c r="Q153" s="561">
        <v>0</v>
      </c>
      <c r="R153" s="561">
        <v>64015</v>
      </c>
      <c r="S153" s="1217">
        <v>0</v>
      </c>
      <c r="T153" s="1217">
        <v>9036</v>
      </c>
      <c r="U153" s="1217">
        <v>0</v>
      </c>
      <c r="V153" s="561">
        <v>878</v>
      </c>
      <c r="W153" s="561">
        <v>0</v>
      </c>
      <c r="X153" s="561">
        <v>646</v>
      </c>
      <c r="Y153" s="561">
        <v>0</v>
      </c>
      <c r="Z153" s="561">
        <v>0</v>
      </c>
      <c r="AA153" s="561">
        <v>0</v>
      </c>
      <c r="AB153" s="561">
        <v>0</v>
      </c>
      <c r="AC153" s="561">
        <v>0</v>
      </c>
      <c r="AD153" s="561">
        <v>0</v>
      </c>
      <c r="AE153" s="561">
        <v>0</v>
      </c>
      <c r="AF153" s="561">
        <v>0</v>
      </c>
      <c r="AG153" s="561">
        <v>2500</v>
      </c>
      <c r="AH153" s="561">
        <v>0</v>
      </c>
      <c r="AI153" s="561">
        <v>26332</v>
      </c>
      <c r="AJ153" s="561">
        <v>2121</v>
      </c>
      <c r="AK153" s="561">
        <v>833</v>
      </c>
      <c r="AL153" s="561">
        <v>0</v>
      </c>
      <c r="AM153" s="561">
        <v>0</v>
      </c>
      <c r="AN153" s="561">
        <v>0</v>
      </c>
      <c r="AO153" s="561">
        <v>0</v>
      </c>
      <c r="AP153" s="561">
        <v>0</v>
      </c>
      <c r="AQ153" s="561">
        <v>0</v>
      </c>
      <c r="AR153" s="561">
        <v>0</v>
      </c>
    </row>
    <row r="154" spans="1:44" x14ac:dyDescent="0.3">
      <c r="A154" s="1129" t="s">
        <v>2903</v>
      </c>
      <c r="B154" s="1129" t="s">
        <v>2904</v>
      </c>
      <c r="C154" s="1129" t="s">
        <v>2905</v>
      </c>
      <c r="D154" s="1129" t="s">
        <v>2466</v>
      </c>
      <c r="E154" s="561">
        <v>0</v>
      </c>
      <c r="F154" s="561">
        <v>-259013</v>
      </c>
      <c r="G154" s="561">
        <v>0</v>
      </c>
      <c r="H154" s="561">
        <v>0</v>
      </c>
      <c r="I154" s="561">
        <v>0</v>
      </c>
      <c r="J154" s="561">
        <v>0</v>
      </c>
      <c r="K154" s="561">
        <v>0</v>
      </c>
      <c r="L154" s="561">
        <v>0</v>
      </c>
      <c r="M154" s="561">
        <v>0</v>
      </c>
      <c r="N154" s="561">
        <v>0</v>
      </c>
      <c r="O154" s="561">
        <v>0</v>
      </c>
      <c r="P154" s="561">
        <v>0</v>
      </c>
      <c r="Q154" s="561">
        <v>0</v>
      </c>
      <c r="R154" s="561">
        <v>200747</v>
      </c>
      <c r="S154" s="1217">
        <v>0</v>
      </c>
      <c r="T154" s="1217">
        <v>15800</v>
      </c>
      <c r="U154" s="1217">
        <v>0</v>
      </c>
      <c r="V154" s="561">
        <v>805</v>
      </c>
      <c r="W154" s="561">
        <v>0</v>
      </c>
      <c r="X154" s="561">
        <v>0</v>
      </c>
      <c r="Y154" s="561">
        <v>0</v>
      </c>
      <c r="Z154" s="561">
        <v>0</v>
      </c>
      <c r="AA154" s="561">
        <v>13873</v>
      </c>
      <c r="AB154" s="561">
        <v>5188</v>
      </c>
      <c r="AC154" s="561">
        <v>5838</v>
      </c>
      <c r="AD154" s="561">
        <v>0</v>
      </c>
      <c r="AE154" s="561">
        <v>0</v>
      </c>
      <c r="AF154" s="561">
        <v>0</v>
      </c>
      <c r="AG154" s="561">
        <v>24249</v>
      </c>
      <c r="AH154" s="561">
        <v>0</v>
      </c>
      <c r="AI154" s="561">
        <v>112968</v>
      </c>
      <c r="AJ154" s="561">
        <v>14684</v>
      </c>
      <c r="AK154" s="561">
        <v>3000</v>
      </c>
      <c r="AL154" s="561">
        <v>0</v>
      </c>
      <c r="AM154" s="561">
        <v>0</v>
      </c>
      <c r="AN154" s="561">
        <v>0</v>
      </c>
      <c r="AO154" s="561">
        <v>0</v>
      </c>
      <c r="AP154" s="561">
        <v>0</v>
      </c>
      <c r="AQ154" s="561">
        <v>0</v>
      </c>
      <c r="AR154" s="561">
        <v>0</v>
      </c>
    </row>
    <row r="155" spans="1:44" x14ac:dyDescent="0.3">
      <c r="A155" s="1129" t="s">
        <v>2906</v>
      </c>
      <c r="B155" s="1129" t="s">
        <v>2907</v>
      </c>
      <c r="C155" s="1129" t="s">
        <v>2908</v>
      </c>
      <c r="D155" s="1129" t="s">
        <v>384</v>
      </c>
      <c r="E155" s="561">
        <v>-90</v>
      </c>
      <c r="F155" s="561">
        <v>0</v>
      </c>
      <c r="G155" s="561">
        <v>0</v>
      </c>
      <c r="H155" s="561">
        <v>0</v>
      </c>
      <c r="I155" s="561">
        <v>37</v>
      </c>
      <c r="J155" s="561">
        <v>0</v>
      </c>
      <c r="K155" s="561">
        <v>0</v>
      </c>
      <c r="L155" s="561">
        <v>310</v>
      </c>
      <c r="M155" s="561">
        <v>0</v>
      </c>
      <c r="N155" s="561">
        <v>0</v>
      </c>
      <c r="O155" s="561">
        <v>0</v>
      </c>
      <c r="P155" s="561">
        <v>896</v>
      </c>
      <c r="Q155" s="561">
        <v>2901</v>
      </c>
      <c r="R155" s="561">
        <v>10155</v>
      </c>
      <c r="S155" s="1217">
        <v>0</v>
      </c>
      <c r="T155" s="1217">
        <v>2527</v>
      </c>
      <c r="U155" s="1217">
        <v>0</v>
      </c>
      <c r="V155" s="561">
        <v>74</v>
      </c>
      <c r="W155" s="561">
        <v>113</v>
      </c>
      <c r="X155" s="561">
        <v>113</v>
      </c>
      <c r="Y155" s="561">
        <v>1593</v>
      </c>
      <c r="Z155" s="561">
        <v>0</v>
      </c>
      <c r="AA155" s="561">
        <v>0</v>
      </c>
      <c r="AB155" s="561">
        <v>0</v>
      </c>
      <c r="AC155" s="561">
        <v>0</v>
      </c>
      <c r="AD155" s="561">
        <v>0</v>
      </c>
      <c r="AE155" s="561">
        <v>0</v>
      </c>
      <c r="AF155" s="561">
        <v>0</v>
      </c>
      <c r="AG155" s="561">
        <v>2283</v>
      </c>
      <c r="AH155" s="561">
        <v>2325</v>
      </c>
      <c r="AI155" s="561">
        <v>7942</v>
      </c>
      <c r="AJ155" s="561">
        <v>1000</v>
      </c>
      <c r="AK155" s="561">
        <v>8262</v>
      </c>
      <c r="AL155" s="561">
        <v>0</v>
      </c>
      <c r="AM155" s="561">
        <v>5</v>
      </c>
      <c r="AN155" s="561">
        <v>11</v>
      </c>
      <c r="AO155" s="561">
        <v>0</v>
      </c>
      <c r="AP155" s="561">
        <v>2</v>
      </c>
      <c r="AQ155" s="561">
        <v>11</v>
      </c>
      <c r="AR155" s="561">
        <v>1</v>
      </c>
    </row>
    <row r="156" spans="1:44" x14ac:dyDescent="0.3">
      <c r="A156" s="1129" t="s">
        <v>2909</v>
      </c>
      <c r="B156" s="1129" t="s">
        <v>2910</v>
      </c>
      <c r="C156" s="1129" t="s">
        <v>2911</v>
      </c>
      <c r="D156" s="1129" t="s">
        <v>2476</v>
      </c>
      <c r="E156" s="561">
        <v>-27858</v>
      </c>
      <c r="F156" s="561">
        <v>0</v>
      </c>
      <c r="G156" s="561">
        <v>250751</v>
      </c>
      <c r="H156" s="561">
        <v>24464</v>
      </c>
      <c r="I156" s="561">
        <v>39</v>
      </c>
      <c r="J156" s="561">
        <v>29740</v>
      </c>
      <c r="K156" s="561">
        <v>12098</v>
      </c>
      <c r="L156" s="561">
        <v>13744</v>
      </c>
      <c r="M156" s="561">
        <v>5023</v>
      </c>
      <c r="N156" s="561">
        <v>1436</v>
      </c>
      <c r="O156" s="561">
        <v>5358</v>
      </c>
      <c r="P156" s="561">
        <v>320</v>
      </c>
      <c r="Q156" s="561">
        <v>0</v>
      </c>
      <c r="R156" s="561">
        <v>141852</v>
      </c>
      <c r="S156" s="1217">
        <v>25345</v>
      </c>
      <c r="T156" s="1217">
        <v>0</v>
      </c>
      <c r="U156" s="1217">
        <v>0</v>
      </c>
      <c r="V156" s="561">
        <v>31764</v>
      </c>
      <c r="W156" s="561">
        <v>1315</v>
      </c>
      <c r="X156" s="561">
        <v>2539</v>
      </c>
      <c r="Y156" s="561">
        <v>0</v>
      </c>
      <c r="Z156" s="561">
        <v>1616</v>
      </c>
      <c r="AA156" s="561">
        <v>0</v>
      </c>
      <c r="AB156" s="561">
        <v>0</v>
      </c>
      <c r="AC156" s="561">
        <v>0</v>
      </c>
      <c r="AD156" s="561">
        <v>2401</v>
      </c>
      <c r="AE156" s="561">
        <v>0</v>
      </c>
      <c r="AF156" s="561">
        <v>850</v>
      </c>
      <c r="AG156" s="561">
        <v>15170</v>
      </c>
      <c r="AH156" s="561">
        <v>0</v>
      </c>
      <c r="AI156" s="561">
        <v>35627</v>
      </c>
      <c r="AJ156" s="561">
        <v>8306</v>
      </c>
      <c r="AK156" s="561">
        <v>5096</v>
      </c>
      <c r="AL156" s="561">
        <v>0</v>
      </c>
      <c r="AM156" s="561">
        <v>186</v>
      </c>
      <c r="AN156" s="561">
        <v>1657</v>
      </c>
      <c r="AO156" s="561">
        <v>0</v>
      </c>
      <c r="AP156" s="561">
        <v>446</v>
      </c>
      <c r="AQ156" s="561">
        <v>352</v>
      </c>
      <c r="AR156" s="561">
        <v>0</v>
      </c>
    </row>
    <row r="157" spans="1:44" x14ac:dyDescent="0.3">
      <c r="A157" s="1129" t="s">
        <v>2912</v>
      </c>
      <c r="B157" s="1129" t="s">
        <v>2913</v>
      </c>
      <c r="C157" s="1129" t="s">
        <v>2914</v>
      </c>
      <c r="D157" s="1129" t="s">
        <v>384</v>
      </c>
      <c r="E157" s="561">
        <v>-174</v>
      </c>
      <c r="F157" s="561">
        <v>0</v>
      </c>
      <c r="G157" s="561">
        <v>0</v>
      </c>
      <c r="H157" s="561">
        <v>0</v>
      </c>
      <c r="I157" s="561">
        <v>37</v>
      </c>
      <c r="J157" s="561">
        <v>0</v>
      </c>
      <c r="K157" s="561">
        <v>0</v>
      </c>
      <c r="L157" s="561">
        <v>1025</v>
      </c>
      <c r="M157" s="561">
        <v>0</v>
      </c>
      <c r="N157" s="561">
        <v>0</v>
      </c>
      <c r="O157" s="561">
        <v>406</v>
      </c>
      <c r="P157" s="561">
        <v>273</v>
      </c>
      <c r="Q157" s="561">
        <v>0</v>
      </c>
      <c r="R157" s="561">
        <v>8464</v>
      </c>
      <c r="S157" s="1217">
        <v>24281</v>
      </c>
      <c r="T157" s="1217">
        <v>136</v>
      </c>
      <c r="U157" s="1217">
        <v>0</v>
      </c>
      <c r="V157" s="561">
        <v>7010</v>
      </c>
      <c r="W157" s="561">
        <v>281</v>
      </c>
      <c r="X157" s="561">
        <v>198</v>
      </c>
      <c r="Y157" s="561">
        <v>369</v>
      </c>
      <c r="Z157" s="561">
        <v>184</v>
      </c>
      <c r="AA157" s="561">
        <v>0</v>
      </c>
      <c r="AB157" s="561">
        <v>0</v>
      </c>
      <c r="AC157" s="561">
        <v>0</v>
      </c>
      <c r="AD157" s="561">
        <v>0</v>
      </c>
      <c r="AE157" s="561">
        <v>0</v>
      </c>
      <c r="AF157" s="561">
        <v>0</v>
      </c>
      <c r="AG157" s="561">
        <v>3424</v>
      </c>
      <c r="AH157" s="561">
        <v>0</v>
      </c>
      <c r="AI157" s="561">
        <v>1758</v>
      </c>
      <c r="AJ157" s="561">
        <v>12501</v>
      </c>
      <c r="AK157" s="561">
        <v>1201</v>
      </c>
      <c r="AL157" s="561">
        <v>12789</v>
      </c>
      <c r="AM157" s="561">
        <v>19</v>
      </c>
      <c r="AN157" s="561">
        <v>56</v>
      </c>
      <c r="AO157" s="561">
        <v>0</v>
      </c>
      <c r="AP157" s="561">
        <v>11</v>
      </c>
      <c r="AQ157" s="561">
        <v>85</v>
      </c>
      <c r="AR157" s="561">
        <v>208</v>
      </c>
    </row>
    <row r="158" spans="1:44" x14ac:dyDescent="0.3">
      <c r="A158" s="1129" t="s">
        <v>2915</v>
      </c>
      <c r="B158" s="1129" t="s">
        <v>2916</v>
      </c>
      <c r="C158" s="1129" t="s">
        <v>2917</v>
      </c>
      <c r="D158" s="1129" t="s">
        <v>2476</v>
      </c>
      <c r="E158" s="561">
        <v>-2311</v>
      </c>
      <c r="F158" s="561">
        <v>0</v>
      </c>
      <c r="G158" s="561">
        <v>179943</v>
      </c>
      <c r="H158" s="561">
        <v>13260</v>
      </c>
      <c r="I158" s="561">
        <v>38</v>
      </c>
      <c r="J158" s="561">
        <v>19879</v>
      </c>
      <c r="K158" s="561">
        <v>8221</v>
      </c>
      <c r="L158" s="561">
        <v>3933</v>
      </c>
      <c r="M158" s="561">
        <v>4243</v>
      </c>
      <c r="N158" s="561">
        <v>500</v>
      </c>
      <c r="O158" s="561">
        <v>0</v>
      </c>
      <c r="P158" s="561">
        <v>122</v>
      </c>
      <c r="Q158" s="561">
        <v>0</v>
      </c>
      <c r="R158" s="561">
        <v>173100</v>
      </c>
      <c r="S158" s="1217">
        <v>14901</v>
      </c>
      <c r="T158" s="1217">
        <v>0</v>
      </c>
      <c r="U158" s="1217">
        <v>-1250</v>
      </c>
      <c r="V158" s="561">
        <v>11783</v>
      </c>
      <c r="W158" s="561">
        <v>654</v>
      </c>
      <c r="X158" s="561">
        <v>1560</v>
      </c>
      <c r="Y158" s="561">
        <v>0</v>
      </c>
      <c r="Z158" s="561">
        <v>306</v>
      </c>
      <c r="AA158" s="561">
        <v>0</v>
      </c>
      <c r="AB158" s="561">
        <v>0</v>
      </c>
      <c r="AC158" s="561">
        <v>0</v>
      </c>
      <c r="AD158" s="561">
        <v>14092</v>
      </c>
      <c r="AE158" s="561">
        <v>0</v>
      </c>
      <c r="AF158" s="561">
        <v>2728</v>
      </c>
      <c r="AG158" s="561">
        <v>10008</v>
      </c>
      <c r="AH158" s="561">
        <v>3895</v>
      </c>
      <c r="AI158" s="561">
        <v>23977</v>
      </c>
      <c r="AJ158" s="561">
        <v>453</v>
      </c>
      <c r="AK158" s="561">
        <v>34348</v>
      </c>
      <c r="AL158" s="561">
        <v>0</v>
      </c>
      <c r="AM158" s="561">
        <v>75</v>
      </c>
      <c r="AN158" s="561">
        <v>574</v>
      </c>
      <c r="AO158" s="561">
        <v>5</v>
      </c>
      <c r="AP158" s="561">
        <v>392</v>
      </c>
      <c r="AQ158" s="561">
        <v>388</v>
      </c>
      <c r="AR158" s="561">
        <v>12</v>
      </c>
    </row>
    <row r="159" spans="1:44" x14ac:dyDescent="0.3">
      <c r="A159" s="1129" t="s">
        <v>2918</v>
      </c>
      <c r="B159" s="1129" t="s">
        <v>2919</v>
      </c>
      <c r="C159" s="1129" t="s">
        <v>2920</v>
      </c>
      <c r="D159" s="1129" t="s">
        <v>384</v>
      </c>
      <c r="E159" s="561">
        <v>-95</v>
      </c>
      <c r="F159" s="561">
        <v>0</v>
      </c>
      <c r="G159" s="561">
        <v>0</v>
      </c>
      <c r="H159" s="561">
        <v>0</v>
      </c>
      <c r="I159" s="561">
        <v>38</v>
      </c>
      <c r="J159" s="561">
        <v>0</v>
      </c>
      <c r="K159" s="561">
        <v>0</v>
      </c>
      <c r="L159" s="561">
        <v>507</v>
      </c>
      <c r="M159" s="561">
        <v>0</v>
      </c>
      <c r="N159" s="561">
        <v>0</v>
      </c>
      <c r="O159" s="561">
        <v>0</v>
      </c>
      <c r="P159" s="561">
        <v>372</v>
      </c>
      <c r="Q159" s="561">
        <v>4648</v>
      </c>
      <c r="R159" s="561">
        <v>13439</v>
      </c>
      <c r="S159" s="1217">
        <v>0</v>
      </c>
      <c r="T159" s="1217">
        <v>966</v>
      </c>
      <c r="U159" s="1217">
        <v>0</v>
      </c>
      <c r="V159" s="561">
        <v>285</v>
      </c>
      <c r="W159" s="561">
        <v>103</v>
      </c>
      <c r="X159" s="561">
        <v>70</v>
      </c>
      <c r="Y159" s="561">
        <v>1412</v>
      </c>
      <c r="Z159" s="561">
        <v>0</v>
      </c>
      <c r="AA159" s="561">
        <v>0</v>
      </c>
      <c r="AB159" s="561">
        <v>0</v>
      </c>
      <c r="AC159" s="561">
        <v>0</v>
      </c>
      <c r="AD159" s="561">
        <v>0</v>
      </c>
      <c r="AE159" s="561">
        <v>0</v>
      </c>
      <c r="AF159" s="561">
        <v>0</v>
      </c>
      <c r="AG159" s="561">
        <v>8696</v>
      </c>
      <c r="AH159" s="561">
        <v>18713</v>
      </c>
      <c r="AI159" s="561">
        <v>5878</v>
      </c>
      <c r="AJ159" s="561">
        <v>1844</v>
      </c>
      <c r="AK159" s="561">
        <v>623</v>
      </c>
      <c r="AL159" s="561">
        <v>0</v>
      </c>
      <c r="AM159" s="561">
        <v>5</v>
      </c>
      <c r="AN159" s="561">
        <v>4</v>
      </c>
      <c r="AO159" s="561">
        <v>0</v>
      </c>
      <c r="AP159" s="561">
        <v>0</v>
      </c>
      <c r="AQ159" s="561">
        <v>4</v>
      </c>
      <c r="AR159" s="561">
        <v>0</v>
      </c>
    </row>
    <row r="160" spans="1:44" x14ac:dyDescent="0.3">
      <c r="A160" s="1129" t="s">
        <v>2921</v>
      </c>
      <c r="B160" s="1129" t="s">
        <v>2922</v>
      </c>
      <c r="C160" s="1129" t="s">
        <v>2923</v>
      </c>
      <c r="D160" s="1129" t="s">
        <v>385</v>
      </c>
      <c r="E160" s="561">
        <v>-10152</v>
      </c>
      <c r="F160" s="561">
        <v>0</v>
      </c>
      <c r="G160" s="561">
        <v>51349</v>
      </c>
      <c r="H160" s="561">
        <v>10307</v>
      </c>
      <c r="I160" s="561">
        <v>308</v>
      </c>
      <c r="J160" s="561">
        <v>13808</v>
      </c>
      <c r="K160" s="561">
        <v>6610</v>
      </c>
      <c r="L160" s="561">
        <v>522</v>
      </c>
      <c r="M160" s="561">
        <v>2192</v>
      </c>
      <c r="N160" s="561">
        <v>933</v>
      </c>
      <c r="O160" s="561">
        <v>3610</v>
      </c>
      <c r="P160" s="561">
        <v>1067</v>
      </c>
      <c r="Q160" s="561">
        <v>77</v>
      </c>
      <c r="R160" s="561">
        <v>55194</v>
      </c>
      <c r="S160" s="1217">
        <v>500</v>
      </c>
      <c r="T160" s="1217">
        <v>0</v>
      </c>
      <c r="U160" s="1217">
        <v>0</v>
      </c>
      <c r="V160" s="561">
        <v>894</v>
      </c>
      <c r="W160" s="561">
        <v>396</v>
      </c>
      <c r="X160" s="561">
        <v>948</v>
      </c>
      <c r="Y160" s="561">
        <v>0</v>
      </c>
      <c r="Z160" s="561">
        <v>91</v>
      </c>
      <c r="AA160" s="561">
        <v>0</v>
      </c>
      <c r="AB160" s="561">
        <v>0</v>
      </c>
      <c r="AC160" s="561">
        <v>0</v>
      </c>
      <c r="AD160" s="561">
        <v>1738</v>
      </c>
      <c r="AE160" s="561">
        <v>0</v>
      </c>
      <c r="AF160" s="561">
        <v>1305</v>
      </c>
      <c r="AG160" s="561">
        <v>5501</v>
      </c>
      <c r="AH160" s="561">
        <v>0</v>
      </c>
      <c r="AI160" s="561">
        <v>6491</v>
      </c>
      <c r="AJ160" s="561">
        <v>14359</v>
      </c>
      <c r="AK160" s="561">
        <v>12097</v>
      </c>
      <c r="AL160" s="561">
        <v>0</v>
      </c>
      <c r="AM160" s="561">
        <v>5</v>
      </c>
      <c r="AN160" s="561">
        <v>7</v>
      </c>
      <c r="AO160" s="561">
        <v>0</v>
      </c>
      <c r="AP160" s="561">
        <v>0</v>
      </c>
      <c r="AQ160" s="561">
        <v>4</v>
      </c>
      <c r="AR160" s="561">
        <v>1</v>
      </c>
    </row>
    <row r="161" spans="1:44" x14ac:dyDescent="0.3">
      <c r="A161" s="1129" t="s">
        <v>2924</v>
      </c>
      <c r="B161" s="1129" t="s">
        <v>2925</v>
      </c>
      <c r="C161" s="1129" t="s">
        <v>2926</v>
      </c>
      <c r="D161" s="1129" t="s">
        <v>384</v>
      </c>
      <c r="E161" s="561">
        <v>-1437</v>
      </c>
      <c r="F161" s="561">
        <v>0</v>
      </c>
      <c r="G161" s="561">
        <v>0</v>
      </c>
      <c r="H161" s="561">
        <v>0</v>
      </c>
      <c r="I161" s="561">
        <v>35</v>
      </c>
      <c r="J161" s="561">
        <v>0</v>
      </c>
      <c r="K161" s="561">
        <v>0</v>
      </c>
      <c r="L161" s="561">
        <v>2227</v>
      </c>
      <c r="M161" s="561">
        <v>0</v>
      </c>
      <c r="N161" s="561">
        <v>0</v>
      </c>
      <c r="O161" s="561">
        <v>445</v>
      </c>
      <c r="P161" s="561">
        <v>4</v>
      </c>
      <c r="Q161" s="561">
        <v>0</v>
      </c>
      <c r="R161" s="561">
        <v>8392</v>
      </c>
      <c r="S161" s="1217">
        <v>0</v>
      </c>
      <c r="T161" s="1217">
        <v>3</v>
      </c>
      <c r="U161" s="1217">
        <v>0</v>
      </c>
      <c r="V161" s="561">
        <v>1798</v>
      </c>
      <c r="W161" s="561">
        <v>401</v>
      </c>
      <c r="X161" s="561">
        <v>185</v>
      </c>
      <c r="Y161" s="561">
        <v>0</v>
      </c>
      <c r="Z161" s="561">
        <v>2499</v>
      </c>
      <c r="AA161" s="561">
        <v>0</v>
      </c>
      <c r="AB161" s="561">
        <v>0</v>
      </c>
      <c r="AC161" s="561">
        <v>0</v>
      </c>
      <c r="AD161" s="561">
        <v>0</v>
      </c>
      <c r="AE161" s="561">
        <v>0</v>
      </c>
      <c r="AF161" s="561">
        <v>0</v>
      </c>
      <c r="AG161" s="561">
        <v>500</v>
      </c>
      <c r="AH161" s="561">
        <v>2103</v>
      </c>
      <c r="AI161" s="561">
        <v>150</v>
      </c>
      <c r="AJ161" s="561">
        <v>310</v>
      </c>
      <c r="AK161" s="561">
        <v>21381</v>
      </c>
      <c r="AL161" s="561">
        <v>16967</v>
      </c>
      <c r="AM161" s="561">
        <v>100</v>
      </c>
      <c r="AN161" s="561">
        <v>412</v>
      </c>
      <c r="AO161" s="561">
        <v>0</v>
      </c>
      <c r="AP161" s="561">
        <v>25</v>
      </c>
      <c r="AQ161" s="561">
        <v>98</v>
      </c>
      <c r="AR161" s="561">
        <v>0</v>
      </c>
    </row>
    <row r="162" spans="1:44" x14ac:dyDescent="0.3">
      <c r="A162" s="1129" t="s">
        <v>2927</v>
      </c>
      <c r="B162" s="1129" t="s">
        <v>2928</v>
      </c>
      <c r="C162" s="1129" t="s">
        <v>2929</v>
      </c>
      <c r="D162" s="1129" t="s">
        <v>384</v>
      </c>
      <c r="E162" s="561">
        <v>-190</v>
      </c>
      <c r="F162" s="561">
        <v>0</v>
      </c>
      <c r="G162" s="561">
        <v>0</v>
      </c>
      <c r="H162" s="561">
        <v>0</v>
      </c>
      <c r="I162" s="561">
        <v>36</v>
      </c>
      <c r="J162" s="561">
        <v>0</v>
      </c>
      <c r="K162" s="561">
        <v>0</v>
      </c>
      <c r="L162" s="561">
        <v>1132</v>
      </c>
      <c r="M162" s="561">
        <v>0</v>
      </c>
      <c r="N162" s="561">
        <v>0</v>
      </c>
      <c r="O162" s="561">
        <v>462</v>
      </c>
      <c r="P162" s="561">
        <v>32</v>
      </c>
      <c r="Q162" s="561">
        <v>0</v>
      </c>
      <c r="R162" s="561">
        <v>10345</v>
      </c>
      <c r="S162" s="1217">
        <v>0</v>
      </c>
      <c r="T162" s="1217">
        <v>3057</v>
      </c>
      <c r="U162" s="1217">
        <v>0</v>
      </c>
      <c r="V162" s="561">
        <v>113</v>
      </c>
      <c r="W162" s="561">
        <v>224</v>
      </c>
      <c r="X162" s="561">
        <v>159</v>
      </c>
      <c r="Y162" s="561">
        <v>133</v>
      </c>
      <c r="Z162" s="561">
        <v>40</v>
      </c>
      <c r="AA162" s="561">
        <v>0</v>
      </c>
      <c r="AB162" s="561">
        <v>0</v>
      </c>
      <c r="AC162" s="561">
        <v>0</v>
      </c>
      <c r="AD162" s="561">
        <v>0</v>
      </c>
      <c r="AE162" s="561">
        <v>0</v>
      </c>
      <c r="AF162" s="561">
        <v>0</v>
      </c>
      <c r="AG162" s="561">
        <v>463</v>
      </c>
      <c r="AH162" s="561">
        <v>2928</v>
      </c>
      <c r="AI162" s="561">
        <v>223</v>
      </c>
      <c r="AJ162" s="561">
        <v>532</v>
      </c>
      <c r="AK162" s="561">
        <v>3083</v>
      </c>
      <c r="AL162" s="561">
        <v>0</v>
      </c>
      <c r="AM162" s="561">
        <v>34</v>
      </c>
      <c r="AN162" s="561">
        <v>102</v>
      </c>
      <c r="AO162" s="561">
        <v>3</v>
      </c>
      <c r="AP162" s="561">
        <v>1</v>
      </c>
      <c r="AQ162" s="561">
        <v>21</v>
      </c>
      <c r="AR162" s="561">
        <v>9</v>
      </c>
    </row>
    <row r="163" spans="1:44" x14ac:dyDescent="0.3">
      <c r="A163" s="1129" t="s">
        <v>2930</v>
      </c>
      <c r="B163" s="1129" t="s">
        <v>2931</v>
      </c>
      <c r="C163" s="1129" t="s">
        <v>2932</v>
      </c>
      <c r="D163" s="1129" t="s">
        <v>2476</v>
      </c>
      <c r="E163" s="561">
        <v>-2119</v>
      </c>
      <c r="F163" s="561">
        <v>0</v>
      </c>
      <c r="G163" s="561">
        <v>194559</v>
      </c>
      <c r="H163" s="561">
        <v>13231</v>
      </c>
      <c r="I163" s="561">
        <v>38</v>
      </c>
      <c r="J163" s="561">
        <v>21965</v>
      </c>
      <c r="K163" s="561">
        <v>8420</v>
      </c>
      <c r="L163" s="561">
        <v>4557</v>
      </c>
      <c r="M163" s="561">
        <v>4400</v>
      </c>
      <c r="N163" s="561">
        <v>1026</v>
      </c>
      <c r="O163" s="561">
        <v>0</v>
      </c>
      <c r="P163" s="561">
        <v>628</v>
      </c>
      <c r="Q163" s="561">
        <v>0</v>
      </c>
      <c r="R163" s="561">
        <v>164361</v>
      </c>
      <c r="S163" s="1217">
        <v>35539.300000000003</v>
      </c>
      <c r="T163" s="1217">
        <v>0</v>
      </c>
      <c r="U163" s="1217">
        <v>0</v>
      </c>
      <c r="V163" s="561">
        <v>22212</v>
      </c>
      <c r="W163" s="561">
        <v>541</v>
      </c>
      <c r="X163" s="561">
        <v>1910</v>
      </c>
      <c r="Y163" s="561">
        <v>0</v>
      </c>
      <c r="Z163" s="561">
        <v>380</v>
      </c>
      <c r="AA163" s="561">
        <v>0</v>
      </c>
      <c r="AB163" s="561">
        <v>0</v>
      </c>
      <c r="AC163" s="561">
        <v>0</v>
      </c>
      <c r="AD163" s="561">
        <v>3506</v>
      </c>
      <c r="AE163" s="561">
        <v>0</v>
      </c>
      <c r="AF163" s="561">
        <v>2306</v>
      </c>
      <c r="AG163" s="561">
        <v>10113</v>
      </c>
      <c r="AH163" s="561">
        <v>8261</v>
      </c>
      <c r="AI163" s="561">
        <v>0</v>
      </c>
      <c r="AJ163" s="561">
        <v>10594</v>
      </c>
      <c r="AK163" s="561">
        <v>0</v>
      </c>
      <c r="AL163" s="561">
        <v>11084</v>
      </c>
      <c r="AM163" s="561">
        <v>78</v>
      </c>
      <c r="AN163" s="561">
        <v>251</v>
      </c>
      <c r="AO163" s="561">
        <v>212</v>
      </c>
      <c r="AP163" s="561">
        <v>552</v>
      </c>
      <c r="AQ163" s="561">
        <v>281</v>
      </c>
      <c r="AR163" s="561">
        <v>10</v>
      </c>
    </row>
    <row r="164" spans="1:44" x14ac:dyDescent="0.3">
      <c r="A164" s="1129" t="s">
        <v>2933</v>
      </c>
      <c r="B164" s="1129" t="s">
        <v>2934</v>
      </c>
      <c r="C164" s="1129" t="s">
        <v>2935</v>
      </c>
      <c r="D164" s="1129" t="s">
        <v>2466</v>
      </c>
      <c r="E164" s="561">
        <v>-4162</v>
      </c>
      <c r="F164" s="561">
        <v>0</v>
      </c>
      <c r="G164" s="561">
        <v>0</v>
      </c>
      <c r="H164" s="561">
        <v>0</v>
      </c>
      <c r="I164" s="561">
        <v>0</v>
      </c>
      <c r="J164" s="561">
        <v>0</v>
      </c>
      <c r="K164" s="561">
        <v>0</v>
      </c>
      <c r="L164" s="561">
        <v>0</v>
      </c>
      <c r="M164" s="561">
        <v>0</v>
      </c>
      <c r="N164" s="561">
        <v>0</v>
      </c>
      <c r="O164" s="561">
        <v>0</v>
      </c>
      <c r="P164" s="561">
        <v>0</v>
      </c>
      <c r="Q164" s="561">
        <v>0</v>
      </c>
      <c r="R164" s="561">
        <v>30039</v>
      </c>
      <c r="S164" s="1217">
        <v>0</v>
      </c>
      <c r="T164" s="1217">
        <v>1287</v>
      </c>
      <c r="U164" s="1217">
        <v>0</v>
      </c>
      <c r="V164" s="561">
        <v>343</v>
      </c>
      <c r="W164" s="561">
        <v>0</v>
      </c>
      <c r="X164" s="561">
        <v>288</v>
      </c>
      <c r="Y164" s="561">
        <v>0</v>
      </c>
      <c r="Z164" s="561">
        <v>0</v>
      </c>
      <c r="AA164" s="561">
        <v>0</v>
      </c>
      <c r="AB164" s="561">
        <v>0</v>
      </c>
      <c r="AC164" s="561">
        <v>0</v>
      </c>
      <c r="AD164" s="561">
        <v>0</v>
      </c>
      <c r="AE164" s="561">
        <v>0</v>
      </c>
      <c r="AF164" s="561">
        <v>0</v>
      </c>
      <c r="AG164" s="561">
        <v>1538</v>
      </c>
      <c r="AH164" s="561">
        <v>0</v>
      </c>
      <c r="AI164" s="561">
        <v>12187</v>
      </c>
      <c r="AJ164" s="561">
        <v>0</v>
      </c>
      <c r="AK164" s="561">
        <v>0</v>
      </c>
      <c r="AL164" s="561">
        <v>0</v>
      </c>
      <c r="AM164" s="561">
        <v>0</v>
      </c>
      <c r="AN164" s="561">
        <v>0</v>
      </c>
      <c r="AO164" s="561">
        <v>0</v>
      </c>
      <c r="AP164" s="561">
        <v>0</v>
      </c>
      <c r="AQ164" s="561">
        <v>0</v>
      </c>
      <c r="AR164" s="561">
        <v>0</v>
      </c>
    </row>
    <row r="165" spans="1:44" x14ac:dyDescent="0.3">
      <c r="A165" s="1129" t="s">
        <v>2936</v>
      </c>
      <c r="B165" s="1129" t="s">
        <v>2937</v>
      </c>
      <c r="C165" s="1129" t="s">
        <v>2938</v>
      </c>
      <c r="D165" s="1129" t="s">
        <v>385</v>
      </c>
      <c r="E165" s="561">
        <v>-1422</v>
      </c>
      <c r="F165" s="561">
        <v>0</v>
      </c>
      <c r="G165" s="561">
        <v>113422</v>
      </c>
      <c r="H165" s="561">
        <v>10724</v>
      </c>
      <c r="I165" s="561">
        <v>470</v>
      </c>
      <c r="J165" s="561">
        <v>20336</v>
      </c>
      <c r="K165" s="561">
        <v>8368</v>
      </c>
      <c r="L165" s="561">
        <v>956</v>
      </c>
      <c r="M165" s="561">
        <v>3853</v>
      </c>
      <c r="N165" s="561">
        <v>400</v>
      </c>
      <c r="O165" s="561">
        <v>0</v>
      </c>
      <c r="P165" s="561">
        <v>1605</v>
      </c>
      <c r="Q165" s="561">
        <v>6269</v>
      </c>
      <c r="R165" s="561">
        <v>149671</v>
      </c>
      <c r="S165" s="1217">
        <v>0</v>
      </c>
      <c r="T165" s="1217">
        <v>5543</v>
      </c>
      <c r="U165" s="1217">
        <v>-600</v>
      </c>
      <c r="V165" s="561">
        <v>5278</v>
      </c>
      <c r="W165" s="561">
        <v>398</v>
      </c>
      <c r="X165" s="561">
        <v>1646</v>
      </c>
      <c r="Y165" s="561">
        <v>0</v>
      </c>
      <c r="Z165" s="561">
        <v>891</v>
      </c>
      <c r="AA165" s="561">
        <v>0</v>
      </c>
      <c r="AB165" s="561">
        <v>0</v>
      </c>
      <c r="AC165" s="561">
        <v>0</v>
      </c>
      <c r="AD165" s="561">
        <v>9950</v>
      </c>
      <c r="AE165" s="561">
        <v>0</v>
      </c>
      <c r="AF165" s="561">
        <v>1655</v>
      </c>
      <c r="AG165" s="561">
        <v>9602</v>
      </c>
      <c r="AH165" s="561">
        <v>4617</v>
      </c>
      <c r="AI165" s="561">
        <v>21477</v>
      </c>
      <c r="AJ165" s="561">
        <v>4684</v>
      </c>
      <c r="AK165" s="561">
        <v>30808</v>
      </c>
      <c r="AL165" s="561">
        <v>0</v>
      </c>
      <c r="AM165" s="561">
        <v>14</v>
      </c>
      <c r="AN165" s="561">
        <v>58</v>
      </c>
      <c r="AO165" s="561">
        <v>32</v>
      </c>
      <c r="AP165" s="561">
        <v>62</v>
      </c>
      <c r="AQ165" s="561">
        <v>16</v>
      </c>
      <c r="AR165" s="561">
        <v>0</v>
      </c>
    </row>
    <row r="166" spans="1:44" x14ac:dyDescent="0.3">
      <c r="A166" s="1129" t="s">
        <v>2939</v>
      </c>
      <c r="B166" s="1129" t="s">
        <v>2940</v>
      </c>
      <c r="C166" s="1129" t="s">
        <v>2941</v>
      </c>
      <c r="D166" s="1129" t="s">
        <v>2595</v>
      </c>
      <c r="E166" s="561">
        <v>-5374</v>
      </c>
      <c r="F166" s="561">
        <v>0</v>
      </c>
      <c r="G166" s="561">
        <v>864620</v>
      </c>
      <c r="H166" s="561">
        <v>58125</v>
      </c>
      <c r="I166" s="561">
        <v>2615</v>
      </c>
      <c r="J166" s="561">
        <v>83484</v>
      </c>
      <c r="K166" s="561">
        <v>29059</v>
      </c>
      <c r="L166" s="561">
        <v>0</v>
      </c>
      <c r="M166" s="561">
        <v>18088</v>
      </c>
      <c r="N166" s="561">
        <v>2972</v>
      </c>
      <c r="O166" s="561">
        <v>0</v>
      </c>
      <c r="P166" s="561">
        <v>854</v>
      </c>
      <c r="Q166" s="561">
        <v>0</v>
      </c>
      <c r="R166" s="561">
        <v>830545</v>
      </c>
      <c r="S166" s="1217">
        <v>0</v>
      </c>
      <c r="T166" s="1217">
        <v>0</v>
      </c>
      <c r="U166" s="1217">
        <v>0</v>
      </c>
      <c r="V166" s="561">
        <v>22825</v>
      </c>
      <c r="W166" s="561">
        <v>0</v>
      </c>
      <c r="X166" s="561">
        <v>7544</v>
      </c>
      <c r="Y166" s="561">
        <v>0</v>
      </c>
      <c r="Z166" s="561">
        <v>0</v>
      </c>
      <c r="AA166" s="561">
        <v>0</v>
      </c>
      <c r="AB166" s="561">
        <v>0</v>
      </c>
      <c r="AC166" s="561">
        <v>0</v>
      </c>
      <c r="AD166" s="561">
        <v>83295</v>
      </c>
      <c r="AE166" s="561">
        <v>1499</v>
      </c>
      <c r="AF166" s="561">
        <v>12999</v>
      </c>
      <c r="AG166" s="561">
        <v>62262</v>
      </c>
      <c r="AH166" s="561">
        <v>13453</v>
      </c>
      <c r="AI166" s="561">
        <v>85731</v>
      </c>
      <c r="AJ166" s="561">
        <v>37859</v>
      </c>
      <c r="AK166" s="561">
        <v>34104</v>
      </c>
      <c r="AL166" s="561">
        <v>16360</v>
      </c>
      <c r="AM166" s="561">
        <v>0</v>
      </c>
      <c r="AN166" s="561">
        <v>0</v>
      </c>
      <c r="AO166" s="561">
        <v>0</v>
      </c>
      <c r="AP166" s="561">
        <v>0</v>
      </c>
      <c r="AQ166" s="561">
        <v>0</v>
      </c>
      <c r="AR166" s="561">
        <v>0</v>
      </c>
    </row>
    <row r="167" spans="1:44" x14ac:dyDescent="0.3">
      <c r="A167" s="1129" t="s">
        <v>2942</v>
      </c>
      <c r="B167" s="1129" t="s">
        <v>2943</v>
      </c>
      <c r="C167" s="1129" t="s">
        <v>2944</v>
      </c>
      <c r="D167" s="1129" t="s">
        <v>2466</v>
      </c>
      <c r="E167" s="561">
        <v>0</v>
      </c>
      <c r="F167" s="561">
        <v>-155012</v>
      </c>
      <c r="G167" s="561">
        <v>0</v>
      </c>
      <c r="H167" s="561">
        <v>0</v>
      </c>
      <c r="I167" s="561">
        <v>0</v>
      </c>
      <c r="J167" s="561">
        <v>0</v>
      </c>
      <c r="K167" s="561">
        <v>0</v>
      </c>
      <c r="L167" s="561">
        <v>0</v>
      </c>
      <c r="M167" s="561">
        <v>0</v>
      </c>
      <c r="N167" s="561">
        <v>0</v>
      </c>
      <c r="O167" s="561">
        <v>0</v>
      </c>
      <c r="P167" s="561">
        <v>0</v>
      </c>
      <c r="Q167" s="561">
        <v>0</v>
      </c>
      <c r="R167" s="561">
        <v>124356</v>
      </c>
      <c r="S167" s="1217">
        <v>0</v>
      </c>
      <c r="T167" s="1217">
        <v>0</v>
      </c>
      <c r="U167" s="1217">
        <v>0</v>
      </c>
      <c r="V167" s="561">
        <v>2312</v>
      </c>
      <c r="W167" s="561">
        <v>0</v>
      </c>
      <c r="X167" s="561">
        <v>0</v>
      </c>
      <c r="Y167" s="561">
        <v>0</v>
      </c>
      <c r="Z167" s="561">
        <v>0</v>
      </c>
      <c r="AA167" s="561">
        <v>6606</v>
      </c>
      <c r="AB167" s="561">
        <v>3052</v>
      </c>
      <c r="AC167" s="561">
        <v>3966</v>
      </c>
      <c r="AD167" s="561">
        <v>0</v>
      </c>
      <c r="AE167" s="561">
        <v>0</v>
      </c>
      <c r="AF167" s="561">
        <v>0</v>
      </c>
      <c r="AG167" s="561">
        <v>12600</v>
      </c>
      <c r="AH167" s="561">
        <v>0</v>
      </c>
      <c r="AI167" s="561">
        <v>2058</v>
      </c>
      <c r="AJ167" s="561">
        <v>0</v>
      </c>
      <c r="AK167" s="561">
        <v>3538</v>
      </c>
      <c r="AL167" s="561">
        <v>0</v>
      </c>
      <c r="AM167" s="561">
        <v>0</v>
      </c>
      <c r="AN167" s="561">
        <v>0</v>
      </c>
      <c r="AO167" s="561">
        <v>0</v>
      </c>
      <c r="AP167" s="561">
        <v>0</v>
      </c>
      <c r="AQ167" s="561">
        <v>0</v>
      </c>
      <c r="AR167" s="561">
        <v>0</v>
      </c>
    </row>
    <row r="168" spans="1:44" x14ac:dyDescent="0.3">
      <c r="A168" s="1129" t="s">
        <v>2945</v>
      </c>
      <c r="B168" s="1129" t="s">
        <v>2946</v>
      </c>
      <c r="C168" s="1129" t="s">
        <v>2947</v>
      </c>
      <c r="D168" s="1129" t="s">
        <v>384</v>
      </c>
      <c r="E168" s="561">
        <v>-149</v>
      </c>
      <c r="F168" s="561">
        <v>0</v>
      </c>
      <c r="G168" s="561">
        <v>0</v>
      </c>
      <c r="H168" s="561">
        <v>0</v>
      </c>
      <c r="I168" s="561">
        <v>39</v>
      </c>
      <c r="J168" s="561">
        <v>0</v>
      </c>
      <c r="K168" s="561">
        <v>0</v>
      </c>
      <c r="L168" s="561">
        <v>1137</v>
      </c>
      <c r="M168" s="561">
        <v>0</v>
      </c>
      <c r="N168" s="561">
        <v>0</v>
      </c>
      <c r="O168" s="561">
        <v>0</v>
      </c>
      <c r="P168" s="561">
        <v>13</v>
      </c>
      <c r="Q168" s="561">
        <v>1919</v>
      </c>
      <c r="R168" s="561">
        <v>11021</v>
      </c>
      <c r="S168" s="1217">
        <v>0</v>
      </c>
      <c r="T168" s="1217">
        <v>585</v>
      </c>
      <c r="U168" s="1217">
        <v>0</v>
      </c>
      <c r="V168" s="561">
        <v>0</v>
      </c>
      <c r="W168" s="561">
        <v>244</v>
      </c>
      <c r="X168" s="561">
        <v>134</v>
      </c>
      <c r="Y168" s="561">
        <v>952</v>
      </c>
      <c r="Z168" s="561">
        <v>225</v>
      </c>
      <c r="AA168" s="561">
        <v>0</v>
      </c>
      <c r="AB168" s="561">
        <v>0</v>
      </c>
      <c r="AC168" s="561">
        <v>0</v>
      </c>
      <c r="AD168" s="561">
        <v>0</v>
      </c>
      <c r="AE168" s="561">
        <v>0</v>
      </c>
      <c r="AF168" s="561">
        <v>0</v>
      </c>
      <c r="AG168" s="561">
        <v>8750</v>
      </c>
      <c r="AH168" s="561">
        <v>0</v>
      </c>
      <c r="AI168" s="561">
        <v>7908</v>
      </c>
      <c r="AJ168" s="561">
        <v>8372</v>
      </c>
      <c r="AK168" s="561">
        <v>2643</v>
      </c>
      <c r="AL168" s="561">
        <v>3917</v>
      </c>
      <c r="AM168" s="561">
        <v>18</v>
      </c>
      <c r="AN168" s="561">
        <v>18</v>
      </c>
      <c r="AO168" s="561">
        <v>11</v>
      </c>
      <c r="AP168" s="561">
        <v>0</v>
      </c>
      <c r="AQ168" s="561">
        <v>60</v>
      </c>
      <c r="AR168" s="561">
        <v>1</v>
      </c>
    </row>
    <row r="169" spans="1:44" x14ac:dyDescent="0.3">
      <c r="A169" s="1129" t="s">
        <v>2948</v>
      </c>
      <c r="B169" s="1129" t="s">
        <v>2949</v>
      </c>
      <c r="C169" s="1129" t="s">
        <v>2950</v>
      </c>
      <c r="D169" s="1129" t="s">
        <v>384</v>
      </c>
      <c r="E169" s="561">
        <v>-153</v>
      </c>
      <c r="F169" s="561">
        <v>0</v>
      </c>
      <c r="G169" s="561">
        <v>0</v>
      </c>
      <c r="H169" s="561">
        <v>0</v>
      </c>
      <c r="I169" s="561">
        <v>35</v>
      </c>
      <c r="J169" s="561">
        <v>0</v>
      </c>
      <c r="K169" s="561">
        <v>0</v>
      </c>
      <c r="L169" s="561">
        <v>458</v>
      </c>
      <c r="M169" s="561">
        <v>0</v>
      </c>
      <c r="N169" s="561">
        <v>0</v>
      </c>
      <c r="O169" s="561">
        <v>28</v>
      </c>
      <c r="P169" s="561">
        <v>50</v>
      </c>
      <c r="Q169" s="561">
        <v>1156</v>
      </c>
      <c r="R169" s="561">
        <v>8525</v>
      </c>
      <c r="S169" s="1217">
        <v>13980</v>
      </c>
      <c r="T169" s="1217">
        <v>0</v>
      </c>
      <c r="U169" s="1217">
        <v>0</v>
      </c>
      <c r="V169" s="561">
        <v>1944</v>
      </c>
      <c r="W169" s="561">
        <v>198</v>
      </c>
      <c r="X169" s="561">
        <v>97</v>
      </c>
      <c r="Y169" s="561">
        <v>721</v>
      </c>
      <c r="Z169" s="561">
        <v>0</v>
      </c>
      <c r="AA169" s="561">
        <v>0</v>
      </c>
      <c r="AB169" s="561">
        <v>0</v>
      </c>
      <c r="AC169" s="561">
        <v>0</v>
      </c>
      <c r="AD169" s="561">
        <v>0</v>
      </c>
      <c r="AE169" s="561">
        <v>0</v>
      </c>
      <c r="AF169" s="561">
        <v>0</v>
      </c>
      <c r="AG169" s="561">
        <v>0</v>
      </c>
      <c r="AH169" s="561">
        <v>3383</v>
      </c>
      <c r="AI169" s="561">
        <v>5823</v>
      </c>
      <c r="AJ169" s="561">
        <v>0</v>
      </c>
      <c r="AK169" s="561">
        <v>2562</v>
      </c>
      <c r="AL169" s="561">
        <v>0</v>
      </c>
      <c r="AM169" s="561">
        <v>2</v>
      </c>
      <c r="AN169" s="561">
        <v>0</v>
      </c>
      <c r="AO169" s="561">
        <v>0</v>
      </c>
      <c r="AP169" s="561">
        <v>0</v>
      </c>
      <c r="AQ169" s="561">
        <v>6</v>
      </c>
      <c r="AR169" s="561">
        <v>1</v>
      </c>
    </row>
    <row r="170" spans="1:44" x14ac:dyDescent="0.3">
      <c r="A170" s="1129" t="s">
        <v>2951</v>
      </c>
      <c r="B170" s="1129" t="s">
        <v>2952</v>
      </c>
      <c r="C170" s="1129" t="s">
        <v>2953</v>
      </c>
      <c r="D170" s="1129" t="s">
        <v>2476</v>
      </c>
      <c r="E170" s="561">
        <v>-8893</v>
      </c>
      <c r="F170" s="561">
        <v>0</v>
      </c>
      <c r="G170" s="561">
        <v>225508</v>
      </c>
      <c r="H170" s="561">
        <v>20882</v>
      </c>
      <c r="I170" s="561">
        <v>41</v>
      </c>
      <c r="J170" s="561">
        <v>24221</v>
      </c>
      <c r="K170" s="561">
        <v>9213</v>
      </c>
      <c r="L170" s="561">
        <v>5198</v>
      </c>
      <c r="M170" s="561">
        <v>4555</v>
      </c>
      <c r="N170" s="561">
        <v>1318</v>
      </c>
      <c r="O170" s="561">
        <v>0</v>
      </c>
      <c r="P170" s="561">
        <v>86</v>
      </c>
      <c r="Q170" s="561">
        <v>0</v>
      </c>
      <c r="R170" s="561">
        <v>154127</v>
      </c>
      <c r="S170" s="1217">
        <v>15099</v>
      </c>
      <c r="T170" s="1217">
        <v>0</v>
      </c>
      <c r="U170" s="1217">
        <v>-2506</v>
      </c>
      <c r="V170" s="561">
        <v>16483</v>
      </c>
      <c r="W170" s="561">
        <v>824</v>
      </c>
      <c r="X170" s="561">
        <v>1998</v>
      </c>
      <c r="Y170" s="561">
        <v>0</v>
      </c>
      <c r="Z170" s="561">
        <v>2407</v>
      </c>
      <c r="AA170" s="561">
        <v>0</v>
      </c>
      <c r="AB170" s="561">
        <v>0</v>
      </c>
      <c r="AC170" s="561">
        <v>0</v>
      </c>
      <c r="AD170" s="561">
        <v>14808</v>
      </c>
      <c r="AE170" s="561">
        <v>0</v>
      </c>
      <c r="AF170" s="561">
        <v>662</v>
      </c>
      <c r="AG170" s="561">
        <v>26848</v>
      </c>
      <c r="AH170" s="561">
        <v>0</v>
      </c>
      <c r="AI170" s="561">
        <v>2224</v>
      </c>
      <c r="AJ170" s="561">
        <v>3726</v>
      </c>
      <c r="AK170" s="561">
        <v>1077</v>
      </c>
      <c r="AL170" s="561">
        <v>-20850</v>
      </c>
      <c r="AM170" s="561" t="s">
        <v>2534</v>
      </c>
      <c r="AN170" s="561" t="s">
        <v>2534</v>
      </c>
      <c r="AO170" s="561" t="s">
        <v>2534</v>
      </c>
      <c r="AP170" s="561" t="s">
        <v>2534</v>
      </c>
      <c r="AQ170" s="561" t="s">
        <v>2534</v>
      </c>
      <c r="AR170" s="561" t="s">
        <v>2534</v>
      </c>
    </row>
    <row r="171" spans="1:44" x14ac:dyDescent="0.3">
      <c r="A171" s="1129" t="s">
        <v>2954</v>
      </c>
      <c r="B171" s="1129" t="s">
        <v>2955</v>
      </c>
      <c r="C171" s="1129" t="s">
        <v>2956</v>
      </c>
      <c r="D171" s="1129" t="s">
        <v>384</v>
      </c>
      <c r="E171" s="561">
        <v>-242</v>
      </c>
      <c r="F171" s="561">
        <v>0</v>
      </c>
      <c r="G171" s="561">
        <v>0</v>
      </c>
      <c r="H171" s="561">
        <v>0</v>
      </c>
      <c r="I171" s="561">
        <v>36</v>
      </c>
      <c r="J171" s="561">
        <v>0</v>
      </c>
      <c r="K171" s="561">
        <v>0</v>
      </c>
      <c r="L171" s="561">
        <v>540</v>
      </c>
      <c r="M171" s="561">
        <v>0</v>
      </c>
      <c r="N171" s="561">
        <v>0</v>
      </c>
      <c r="O171" s="561">
        <v>0</v>
      </c>
      <c r="P171" s="561">
        <v>526</v>
      </c>
      <c r="Q171" s="561">
        <v>3046</v>
      </c>
      <c r="R171" s="561">
        <v>9462</v>
      </c>
      <c r="S171" s="1217">
        <v>4758</v>
      </c>
      <c r="T171" s="1217">
        <v>0</v>
      </c>
      <c r="U171" s="1217">
        <v>0</v>
      </c>
      <c r="V171" s="561">
        <v>2445</v>
      </c>
      <c r="W171" s="561">
        <v>173</v>
      </c>
      <c r="X171" s="561">
        <v>127</v>
      </c>
      <c r="Y171" s="561">
        <v>240</v>
      </c>
      <c r="Z171" s="561">
        <v>0</v>
      </c>
      <c r="AA171" s="561">
        <v>0</v>
      </c>
      <c r="AB171" s="561">
        <v>0</v>
      </c>
      <c r="AC171" s="561">
        <v>0</v>
      </c>
      <c r="AD171" s="561">
        <v>0</v>
      </c>
      <c r="AE171" s="561">
        <v>0</v>
      </c>
      <c r="AF171" s="561">
        <v>0</v>
      </c>
      <c r="AG171" s="561">
        <v>1287</v>
      </c>
      <c r="AH171" s="561">
        <v>3693</v>
      </c>
      <c r="AI171" s="561">
        <v>1800</v>
      </c>
      <c r="AJ171" s="561">
        <v>2403</v>
      </c>
      <c r="AK171" s="561">
        <v>2753</v>
      </c>
      <c r="AL171" s="561">
        <v>0</v>
      </c>
      <c r="AM171" s="561" t="s">
        <v>2534</v>
      </c>
      <c r="AN171" s="561" t="s">
        <v>2534</v>
      </c>
      <c r="AO171" s="561" t="s">
        <v>2534</v>
      </c>
      <c r="AP171" s="561" t="s">
        <v>2534</v>
      </c>
      <c r="AQ171" s="561" t="s">
        <v>2534</v>
      </c>
      <c r="AR171" s="561" t="s">
        <v>2534</v>
      </c>
    </row>
    <row r="172" spans="1:44" x14ac:dyDescent="0.3">
      <c r="A172" s="1129" t="s">
        <v>2957</v>
      </c>
      <c r="B172" s="1129" t="s">
        <v>2958</v>
      </c>
      <c r="C172" s="1129" t="s">
        <v>2959</v>
      </c>
      <c r="D172" s="1129" t="s">
        <v>384</v>
      </c>
      <c r="E172" s="561">
        <v>-172</v>
      </c>
      <c r="F172" s="561">
        <v>0</v>
      </c>
      <c r="G172" s="561">
        <v>0</v>
      </c>
      <c r="H172" s="561">
        <v>0</v>
      </c>
      <c r="I172" s="561">
        <v>37</v>
      </c>
      <c r="J172" s="561">
        <v>0</v>
      </c>
      <c r="K172" s="561">
        <v>0</v>
      </c>
      <c r="L172" s="561">
        <v>823</v>
      </c>
      <c r="M172" s="561">
        <v>0</v>
      </c>
      <c r="N172" s="561">
        <v>0</v>
      </c>
      <c r="O172" s="561">
        <v>0</v>
      </c>
      <c r="P172" s="561">
        <v>430</v>
      </c>
      <c r="Q172" s="561">
        <v>4675</v>
      </c>
      <c r="R172" s="561">
        <v>16615</v>
      </c>
      <c r="S172" s="1217">
        <v>0</v>
      </c>
      <c r="T172" s="1217">
        <v>9273</v>
      </c>
      <c r="U172" s="1217">
        <v>0</v>
      </c>
      <c r="V172" s="561">
        <v>0</v>
      </c>
      <c r="W172" s="561">
        <v>228</v>
      </c>
      <c r="X172" s="561">
        <v>154</v>
      </c>
      <c r="Y172" s="561">
        <v>3358</v>
      </c>
      <c r="Z172" s="561">
        <v>245</v>
      </c>
      <c r="AA172" s="561">
        <v>0</v>
      </c>
      <c r="AB172" s="561">
        <v>0</v>
      </c>
      <c r="AC172" s="561">
        <v>0</v>
      </c>
      <c r="AD172" s="561">
        <v>0</v>
      </c>
      <c r="AE172" s="561">
        <v>0</v>
      </c>
      <c r="AF172" s="561">
        <v>0</v>
      </c>
      <c r="AG172" s="561">
        <v>22839</v>
      </c>
      <c r="AH172" s="561">
        <v>0</v>
      </c>
      <c r="AI172" s="561">
        <v>22685</v>
      </c>
      <c r="AJ172" s="561">
        <v>1000</v>
      </c>
      <c r="AK172" s="561">
        <v>0</v>
      </c>
      <c r="AL172" s="561">
        <v>0</v>
      </c>
      <c r="AM172" s="561">
        <v>27</v>
      </c>
      <c r="AN172" s="561">
        <v>21</v>
      </c>
      <c r="AO172" s="561">
        <v>1</v>
      </c>
      <c r="AP172" s="561">
        <v>0</v>
      </c>
      <c r="AQ172" s="561">
        <v>108</v>
      </c>
      <c r="AR172" s="561">
        <v>0</v>
      </c>
    </row>
    <row r="173" spans="1:44" x14ac:dyDescent="0.3">
      <c r="A173" s="1129" t="s">
        <v>2960</v>
      </c>
      <c r="B173" s="1129" t="s">
        <v>2961</v>
      </c>
      <c r="C173" s="1129" t="s">
        <v>2962</v>
      </c>
      <c r="D173" s="1129" t="s">
        <v>2476</v>
      </c>
      <c r="E173" s="561">
        <v>-12460</v>
      </c>
      <c r="F173" s="561">
        <v>0</v>
      </c>
      <c r="G173" s="561">
        <v>239423</v>
      </c>
      <c r="H173" s="561">
        <v>19162</v>
      </c>
      <c r="I173" s="561">
        <v>41</v>
      </c>
      <c r="J173" s="561">
        <v>23770</v>
      </c>
      <c r="K173" s="561">
        <v>10084</v>
      </c>
      <c r="L173" s="561">
        <v>5226</v>
      </c>
      <c r="M173" s="561">
        <v>4372</v>
      </c>
      <c r="N173" s="561">
        <v>1212</v>
      </c>
      <c r="O173" s="561">
        <v>1043</v>
      </c>
      <c r="P173" s="561">
        <v>612</v>
      </c>
      <c r="Q173" s="561">
        <v>0</v>
      </c>
      <c r="R173" s="561">
        <v>150135</v>
      </c>
      <c r="S173" s="1217">
        <v>17800</v>
      </c>
      <c r="T173" s="1217">
        <v>5214</v>
      </c>
      <c r="U173" s="1217">
        <v>0</v>
      </c>
      <c r="V173" s="561">
        <v>20520</v>
      </c>
      <c r="W173" s="561">
        <v>857</v>
      </c>
      <c r="X173" s="561">
        <v>2255</v>
      </c>
      <c r="Y173" s="561">
        <v>0</v>
      </c>
      <c r="Z173" s="561">
        <v>805</v>
      </c>
      <c r="AA173" s="561">
        <v>0</v>
      </c>
      <c r="AB173" s="561">
        <v>0</v>
      </c>
      <c r="AC173" s="561">
        <v>0</v>
      </c>
      <c r="AD173" s="561">
        <v>8234</v>
      </c>
      <c r="AE173" s="561">
        <v>7153</v>
      </c>
      <c r="AF173" s="561">
        <v>3615</v>
      </c>
      <c r="AG173" s="561">
        <v>13800</v>
      </c>
      <c r="AH173" s="561">
        <v>13575</v>
      </c>
      <c r="AI173" s="561">
        <v>94355</v>
      </c>
      <c r="AJ173" s="561">
        <v>53523</v>
      </c>
      <c r="AK173" s="561">
        <v>3406</v>
      </c>
      <c r="AL173" s="561">
        <v>0</v>
      </c>
      <c r="AM173" s="561">
        <v>47</v>
      </c>
      <c r="AN173" s="561">
        <v>96</v>
      </c>
      <c r="AO173" s="561">
        <v>28</v>
      </c>
      <c r="AP173" s="561">
        <v>198</v>
      </c>
      <c r="AQ173" s="561">
        <v>68</v>
      </c>
      <c r="AR173" s="561">
        <v>4</v>
      </c>
    </row>
    <row r="174" spans="1:44" x14ac:dyDescent="0.3">
      <c r="A174" s="1196" t="s">
        <v>2963</v>
      </c>
      <c r="B174" s="1196" t="s">
        <v>2964</v>
      </c>
      <c r="C174" s="1196" t="s">
        <v>2965</v>
      </c>
      <c r="D174" s="1196" t="s">
        <v>2466</v>
      </c>
      <c r="E174" s="561">
        <v>0</v>
      </c>
      <c r="F174" s="561">
        <v>0</v>
      </c>
      <c r="G174" s="561">
        <v>0</v>
      </c>
      <c r="H174" s="561">
        <v>0</v>
      </c>
      <c r="I174" s="561">
        <v>0</v>
      </c>
      <c r="J174" s="561">
        <v>0</v>
      </c>
      <c r="K174" s="561">
        <v>0</v>
      </c>
      <c r="L174" s="561">
        <v>0</v>
      </c>
      <c r="M174" s="561">
        <v>0</v>
      </c>
      <c r="N174" s="561">
        <v>0</v>
      </c>
      <c r="O174" s="561">
        <v>0</v>
      </c>
      <c r="P174" s="561">
        <v>0</v>
      </c>
      <c r="Q174" s="561">
        <v>0</v>
      </c>
      <c r="R174" s="561">
        <v>0</v>
      </c>
      <c r="S174" s="1217">
        <v>0</v>
      </c>
      <c r="T174" s="1217">
        <v>0</v>
      </c>
      <c r="U174" s="1217">
        <v>0</v>
      </c>
      <c r="V174" s="561">
        <v>0</v>
      </c>
      <c r="W174" s="561">
        <v>0</v>
      </c>
      <c r="X174" s="561">
        <v>0</v>
      </c>
      <c r="Y174" s="561">
        <v>0</v>
      </c>
      <c r="Z174" s="561">
        <v>0</v>
      </c>
      <c r="AA174" s="561">
        <v>0</v>
      </c>
      <c r="AB174" s="561">
        <v>0</v>
      </c>
      <c r="AC174" s="561">
        <v>0</v>
      </c>
      <c r="AM174" s="561">
        <v>0</v>
      </c>
      <c r="AN174" s="561">
        <v>0</v>
      </c>
      <c r="AO174" s="561">
        <v>0</v>
      </c>
      <c r="AP174" s="561">
        <v>0</v>
      </c>
      <c r="AQ174" s="561">
        <v>0</v>
      </c>
      <c r="AR174" s="561">
        <v>0</v>
      </c>
    </row>
    <row r="175" spans="1:44" x14ac:dyDescent="0.3">
      <c r="A175" s="1129" t="s">
        <v>2966</v>
      </c>
      <c r="B175" s="1129" t="s">
        <v>2967</v>
      </c>
      <c r="C175" s="1129" t="s">
        <v>2968</v>
      </c>
      <c r="D175" s="1129" t="s">
        <v>2466</v>
      </c>
      <c r="E175" s="561">
        <v>-11670</v>
      </c>
      <c r="F175" s="561">
        <v>0</v>
      </c>
      <c r="G175" s="561">
        <v>0</v>
      </c>
      <c r="H175" s="561">
        <v>0</v>
      </c>
      <c r="I175" s="561">
        <v>0</v>
      </c>
      <c r="J175" s="561">
        <v>0</v>
      </c>
      <c r="K175" s="561">
        <v>0</v>
      </c>
      <c r="L175" s="561">
        <v>0</v>
      </c>
      <c r="M175" s="561">
        <v>0</v>
      </c>
      <c r="N175" s="561">
        <v>0</v>
      </c>
      <c r="O175" s="561">
        <v>0</v>
      </c>
      <c r="P175" s="561">
        <v>0</v>
      </c>
      <c r="Q175" s="561">
        <v>0</v>
      </c>
      <c r="R175" s="561">
        <v>30288</v>
      </c>
      <c r="S175" s="1217">
        <v>0</v>
      </c>
      <c r="T175" s="1217">
        <v>2087</v>
      </c>
      <c r="U175" s="1217">
        <v>0</v>
      </c>
      <c r="V175" s="561">
        <v>462</v>
      </c>
      <c r="W175" s="561">
        <v>0</v>
      </c>
      <c r="X175" s="561">
        <v>368</v>
      </c>
      <c r="Y175" s="561">
        <v>0</v>
      </c>
      <c r="Z175" s="561">
        <v>0</v>
      </c>
      <c r="AA175" s="561">
        <v>0</v>
      </c>
      <c r="AB175" s="561">
        <v>0</v>
      </c>
      <c r="AC175" s="561">
        <v>0</v>
      </c>
      <c r="AD175" s="561">
        <v>0</v>
      </c>
      <c r="AE175" s="561">
        <v>0</v>
      </c>
      <c r="AF175" s="561">
        <v>0</v>
      </c>
      <c r="AG175" s="561">
        <v>7225</v>
      </c>
      <c r="AH175" s="561">
        <v>0</v>
      </c>
      <c r="AI175" s="561">
        <v>6811</v>
      </c>
      <c r="AJ175" s="561">
        <v>1600</v>
      </c>
      <c r="AK175" s="561">
        <v>0</v>
      </c>
      <c r="AL175" s="561">
        <v>0</v>
      </c>
      <c r="AM175" s="561">
        <v>0</v>
      </c>
      <c r="AN175" s="561">
        <v>0</v>
      </c>
      <c r="AO175" s="561">
        <v>0</v>
      </c>
      <c r="AP175" s="561">
        <v>0</v>
      </c>
      <c r="AQ175" s="561">
        <v>0</v>
      </c>
      <c r="AR175" s="561">
        <v>0</v>
      </c>
    </row>
    <row r="176" spans="1:44" x14ac:dyDescent="0.3">
      <c r="A176" s="1129" t="s">
        <v>2969</v>
      </c>
      <c r="B176" s="1129" t="s">
        <v>2970</v>
      </c>
      <c r="C176" s="1129" t="s">
        <v>2971</v>
      </c>
      <c r="D176" s="1129" t="s">
        <v>2466</v>
      </c>
      <c r="E176" s="561">
        <v>0</v>
      </c>
      <c r="F176" s="561">
        <v>-162954</v>
      </c>
      <c r="G176" s="561">
        <v>0</v>
      </c>
      <c r="H176" s="561">
        <v>0</v>
      </c>
      <c r="I176" s="561">
        <v>0</v>
      </c>
      <c r="J176" s="561">
        <v>0</v>
      </c>
      <c r="K176" s="561">
        <v>0</v>
      </c>
      <c r="L176" s="561">
        <v>0</v>
      </c>
      <c r="M176" s="561">
        <v>0</v>
      </c>
      <c r="N176" s="561">
        <v>0</v>
      </c>
      <c r="O176" s="561">
        <v>0</v>
      </c>
      <c r="P176" s="561">
        <v>0</v>
      </c>
      <c r="Q176" s="561">
        <v>0</v>
      </c>
      <c r="R176" s="561">
        <v>86856</v>
      </c>
      <c r="S176" s="1217">
        <v>0</v>
      </c>
      <c r="T176" s="1217">
        <v>0</v>
      </c>
      <c r="U176" s="1217">
        <v>0</v>
      </c>
      <c r="V176" s="561">
        <v>2615</v>
      </c>
      <c r="W176" s="561">
        <v>0</v>
      </c>
      <c r="X176" s="561">
        <v>0</v>
      </c>
      <c r="Y176" s="561">
        <v>0</v>
      </c>
      <c r="Z176" s="561">
        <v>0</v>
      </c>
      <c r="AA176" s="561">
        <v>8171</v>
      </c>
      <c r="AB176" s="561">
        <v>3224</v>
      </c>
      <c r="AC176" s="561">
        <v>3675</v>
      </c>
      <c r="AD176" s="561">
        <v>0</v>
      </c>
      <c r="AE176" s="561">
        <v>0</v>
      </c>
      <c r="AF176" s="561">
        <v>0</v>
      </c>
      <c r="AG176" s="561">
        <v>7000</v>
      </c>
      <c r="AH176" s="561">
        <v>0</v>
      </c>
      <c r="AI176" s="561">
        <v>0</v>
      </c>
      <c r="AJ176" s="561">
        <v>2000</v>
      </c>
      <c r="AK176" s="561">
        <v>0</v>
      </c>
      <c r="AL176" s="561">
        <v>16693</v>
      </c>
      <c r="AM176" s="561">
        <v>0</v>
      </c>
      <c r="AN176" s="561">
        <v>0</v>
      </c>
      <c r="AO176" s="561">
        <v>0</v>
      </c>
      <c r="AP176" s="561">
        <v>0</v>
      </c>
      <c r="AQ176" s="561">
        <v>0</v>
      </c>
      <c r="AR176" s="561">
        <v>0</v>
      </c>
    </row>
    <row r="177" spans="1:44" x14ac:dyDescent="0.3">
      <c r="A177" s="1129" t="s">
        <v>2972</v>
      </c>
      <c r="B177" s="1129" t="s">
        <v>2973</v>
      </c>
      <c r="C177" s="1129" t="s">
        <v>2974</v>
      </c>
      <c r="D177" s="1129" t="s">
        <v>384</v>
      </c>
      <c r="E177" s="561">
        <v>-215</v>
      </c>
      <c r="F177" s="561">
        <v>0</v>
      </c>
      <c r="G177" s="561">
        <v>0</v>
      </c>
      <c r="H177" s="561">
        <v>0</v>
      </c>
      <c r="I177" s="561">
        <v>36</v>
      </c>
      <c r="J177" s="561">
        <v>0</v>
      </c>
      <c r="K177" s="561">
        <v>0</v>
      </c>
      <c r="L177" s="561">
        <v>1325</v>
      </c>
      <c r="M177" s="561">
        <v>0</v>
      </c>
      <c r="N177" s="561">
        <v>0</v>
      </c>
      <c r="O177" s="561">
        <v>0</v>
      </c>
      <c r="P177" s="561">
        <v>1472</v>
      </c>
      <c r="Q177" s="561">
        <v>10032</v>
      </c>
      <c r="R177" s="561">
        <v>21084</v>
      </c>
      <c r="S177" s="1217">
        <v>0</v>
      </c>
      <c r="T177" s="1217">
        <v>0</v>
      </c>
      <c r="U177" s="1217">
        <v>0</v>
      </c>
      <c r="V177" s="561">
        <v>972</v>
      </c>
      <c r="W177" s="561">
        <v>295</v>
      </c>
      <c r="X177" s="561">
        <v>180</v>
      </c>
      <c r="Y177" s="561">
        <v>724</v>
      </c>
      <c r="Z177" s="561">
        <v>124</v>
      </c>
      <c r="AA177" s="561">
        <v>0</v>
      </c>
      <c r="AB177" s="561">
        <v>0</v>
      </c>
      <c r="AC177" s="561">
        <v>0</v>
      </c>
      <c r="AD177" s="561">
        <v>0</v>
      </c>
      <c r="AE177" s="561">
        <v>0</v>
      </c>
      <c r="AF177" s="561">
        <v>0</v>
      </c>
      <c r="AG177" s="561">
        <v>8573</v>
      </c>
      <c r="AH177" s="561">
        <v>6489</v>
      </c>
      <c r="AI177" s="561">
        <v>12401</v>
      </c>
      <c r="AJ177" s="561">
        <v>1753</v>
      </c>
      <c r="AK177" s="561">
        <v>6259</v>
      </c>
      <c r="AL177" s="561">
        <v>0</v>
      </c>
      <c r="AM177" s="561">
        <v>14</v>
      </c>
      <c r="AN177" s="561">
        <v>30</v>
      </c>
      <c r="AO177" s="561">
        <v>33</v>
      </c>
      <c r="AP177" s="561">
        <v>0</v>
      </c>
      <c r="AQ177" s="561">
        <v>48</v>
      </c>
      <c r="AR177" s="561">
        <v>0</v>
      </c>
    </row>
    <row r="178" spans="1:44" x14ac:dyDescent="0.3">
      <c r="A178" s="1129" t="s">
        <v>2975</v>
      </c>
      <c r="B178" s="1129" t="s">
        <v>2976</v>
      </c>
      <c r="C178" s="1129" t="s">
        <v>2977</v>
      </c>
      <c r="D178" s="1129" t="s">
        <v>384</v>
      </c>
      <c r="E178" s="561">
        <v>-2069</v>
      </c>
      <c r="F178" s="561">
        <v>0</v>
      </c>
      <c r="G178" s="561">
        <v>0</v>
      </c>
      <c r="H178" s="561">
        <v>0</v>
      </c>
      <c r="I178" s="561">
        <v>34</v>
      </c>
      <c r="J178" s="561">
        <v>0</v>
      </c>
      <c r="K178" s="561">
        <v>0</v>
      </c>
      <c r="L178" s="561">
        <v>362</v>
      </c>
      <c r="M178" s="561">
        <v>0</v>
      </c>
      <c r="N178" s="561">
        <v>0</v>
      </c>
      <c r="O178" s="561">
        <v>390</v>
      </c>
      <c r="P178" s="561">
        <v>177</v>
      </c>
      <c r="Q178" s="561">
        <v>14</v>
      </c>
      <c r="R178" s="561">
        <v>6141</v>
      </c>
      <c r="S178" s="1217">
        <v>0</v>
      </c>
      <c r="T178" s="1217">
        <v>6597</v>
      </c>
      <c r="U178" s="1217">
        <v>0</v>
      </c>
      <c r="V178" s="561">
        <v>0</v>
      </c>
      <c r="W178" s="561">
        <v>269</v>
      </c>
      <c r="X178" s="561">
        <v>133</v>
      </c>
      <c r="Y178" s="561">
        <v>0</v>
      </c>
      <c r="Z178" s="561">
        <v>146</v>
      </c>
      <c r="AA178" s="561">
        <v>0</v>
      </c>
      <c r="AB178" s="561">
        <v>0</v>
      </c>
      <c r="AC178" s="561">
        <v>0</v>
      </c>
      <c r="AD178" s="561">
        <v>0</v>
      </c>
      <c r="AE178" s="561">
        <v>0</v>
      </c>
      <c r="AF178" s="561">
        <v>0</v>
      </c>
      <c r="AG178" s="561">
        <v>1868</v>
      </c>
      <c r="AH178" s="561">
        <v>0</v>
      </c>
      <c r="AI178" s="561">
        <v>19034</v>
      </c>
      <c r="AJ178" s="561">
        <v>4</v>
      </c>
      <c r="AK178" s="561">
        <v>0</v>
      </c>
      <c r="AL178" s="561">
        <v>0</v>
      </c>
      <c r="AM178" s="561">
        <v>6</v>
      </c>
      <c r="AN178" s="561">
        <v>0</v>
      </c>
      <c r="AO178" s="561">
        <v>0</v>
      </c>
      <c r="AP178" s="561">
        <v>0</v>
      </c>
      <c r="AQ178" s="561">
        <v>7</v>
      </c>
      <c r="AR178" s="561">
        <v>1</v>
      </c>
    </row>
    <row r="179" spans="1:44" x14ac:dyDescent="0.3">
      <c r="A179" s="1129" t="s">
        <v>2978</v>
      </c>
      <c r="B179" s="1129" t="s">
        <v>2979</v>
      </c>
      <c r="C179" s="1129" t="s">
        <v>2980</v>
      </c>
      <c r="D179" s="1129" t="s">
        <v>384</v>
      </c>
      <c r="E179" s="561">
        <v>-246</v>
      </c>
      <c r="F179" s="561">
        <v>0</v>
      </c>
      <c r="G179" s="561">
        <v>0</v>
      </c>
      <c r="H179" s="561">
        <v>0</v>
      </c>
      <c r="I179" s="561">
        <v>36</v>
      </c>
      <c r="J179" s="561">
        <v>0</v>
      </c>
      <c r="K179" s="561">
        <v>0</v>
      </c>
      <c r="L179" s="561">
        <v>1542</v>
      </c>
      <c r="M179" s="561">
        <v>0</v>
      </c>
      <c r="N179" s="561">
        <v>0</v>
      </c>
      <c r="O179" s="561">
        <v>688</v>
      </c>
      <c r="P179" s="561">
        <v>5</v>
      </c>
      <c r="Q179" s="561">
        <v>0</v>
      </c>
      <c r="R179" s="561">
        <v>16882</v>
      </c>
      <c r="S179" s="1217">
        <v>6047</v>
      </c>
      <c r="T179" s="1217">
        <v>0</v>
      </c>
      <c r="U179" s="1217">
        <v>0</v>
      </c>
      <c r="V179" s="561">
        <v>8083</v>
      </c>
      <c r="W179" s="561">
        <v>411</v>
      </c>
      <c r="X179" s="561">
        <v>247</v>
      </c>
      <c r="Y179" s="561">
        <v>0</v>
      </c>
      <c r="Z179" s="561">
        <v>547</v>
      </c>
      <c r="AA179" s="561">
        <v>0</v>
      </c>
      <c r="AB179" s="561">
        <v>0</v>
      </c>
      <c r="AC179" s="561">
        <v>0</v>
      </c>
      <c r="AD179" s="561">
        <v>0</v>
      </c>
      <c r="AE179" s="561">
        <v>0</v>
      </c>
      <c r="AF179" s="561">
        <v>0</v>
      </c>
      <c r="AG179" s="561">
        <v>6268</v>
      </c>
      <c r="AH179" s="561">
        <v>4989</v>
      </c>
      <c r="AI179" s="561">
        <v>10941</v>
      </c>
      <c r="AJ179" s="561">
        <v>454</v>
      </c>
      <c r="AK179" s="561">
        <v>0</v>
      </c>
      <c r="AL179" s="561">
        <v>0</v>
      </c>
      <c r="AM179" s="561">
        <v>25</v>
      </c>
      <c r="AN179" s="561">
        <v>0</v>
      </c>
      <c r="AO179" s="561">
        <v>52</v>
      </c>
      <c r="AP179" s="561">
        <v>0</v>
      </c>
      <c r="AQ179" s="561">
        <v>2</v>
      </c>
      <c r="AR179" s="561">
        <v>0</v>
      </c>
    </row>
    <row r="180" spans="1:44" x14ac:dyDescent="0.3">
      <c r="A180" s="1129" t="s">
        <v>2981</v>
      </c>
      <c r="B180" s="1129" t="s">
        <v>2982</v>
      </c>
      <c r="C180" s="1129" t="s">
        <v>2983</v>
      </c>
      <c r="D180" s="1129" t="s">
        <v>385</v>
      </c>
      <c r="E180" s="561">
        <v>-9183</v>
      </c>
      <c r="F180" s="561">
        <v>0</v>
      </c>
      <c r="G180" s="561">
        <v>92681</v>
      </c>
      <c r="H180" s="561">
        <v>9096</v>
      </c>
      <c r="I180" s="561">
        <v>379</v>
      </c>
      <c r="J180" s="561">
        <v>17923</v>
      </c>
      <c r="K180" s="561">
        <v>7624</v>
      </c>
      <c r="L180" s="561">
        <v>1329</v>
      </c>
      <c r="M180" s="561">
        <v>3353</v>
      </c>
      <c r="N180" s="561">
        <v>391</v>
      </c>
      <c r="O180" s="561">
        <v>0</v>
      </c>
      <c r="P180" s="561">
        <v>207</v>
      </c>
      <c r="Q180" s="561">
        <v>7290</v>
      </c>
      <c r="R180" s="561">
        <v>122898</v>
      </c>
      <c r="S180" s="1217">
        <v>0</v>
      </c>
      <c r="T180" s="1217">
        <v>3393</v>
      </c>
      <c r="U180" s="1217">
        <v>0</v>
      </c>
      <c r="V180" s="561">
        <v>4452</v>
      </c>
      <c r="W180" s="561">
        <v>421</v>
      </c>
      <c r="X180" s="561">
        <v>1273</v>
      </c>
      <c r="Y180" s="561">
        <v>0</v>
      </c>
      <c r="Z180" s="561">
        <v>351</v>
      </c>
      <c r="AA180" s="561">
        <v>0</v>
      </c>
      <c r="AB180" s="561">
        <v>0</v>
      </c>
      <c r="AC180" s="561">
        <v>0</v>
      </c>
      <c r="AD180" s="561">
        <v>4174</v>
      </c>
      <c r="AE180" s="561">
        <v>0</v>
      </c>
      <c r="AF180" s="561">
        <v>1546</v>
      </c>
      <c r="AG180" s="561">
        <v>13201</v>
      </c>
      <c r="AH180" s="561">
        <v>27188</v>
      </c>
      <c r="AI180" s="561">
        <v>40856</v>
      </c>
      <c r="AJ180" s="561">
        <v>12044</v>
      </c>
      <c r="AK180" s="561">
        <v>25145</v>
      </c>
      <c r="AL180" s="561">
        <v>0</v>
      </c>
      <c r="AM180" s="561">
        <v>46</v>
      </c>
      <c r="AN180" s="561">
        <v>17</v>
      </c>
      <c r="AO180" s="561">
        <v>24</v>
      </c>
      <c r="AP180" s="561">
        <v>21</v>
      </c>
      <c r="AQ180" s="561">
        <v>139</v>
      </c>
      <c r="AR180" s="561">
        <v>0</v>
      </c>
    </row>
    <row r="181" spans="1:44" x14ac:dyDescent="0.3">
      <c r="A181" s="1129" t="s">
        <v>2984</v>
      </c>
      <c r="B181" s="1129" t="s">
        <v>2985</v>
      </c>
      <c r="C181" s="1129" t="s">
        <v>2986</v>
      </c>
      <c r="D181" s="1129" t="s">
        <v>385</v>
      </c>
      <c r="E181" s="561">
        <v>-2497</v>
      </c>
      <c r="F181" s="561">
        <v>0</v>
      </c>
      <c r="G181" s="561">
        <v>0</v>
      </c>
      <c r="H181" s="561">
        <v>150</v>
      </c>
      <c r="I181" s="561">
        <v>63</v>
      </c>
      <c r="J181" s="561">
        <v>268</v>
      </c>
      <c r="K181" s="561">
        <v>101</v>
      </c>
      <c r="L181" s="561">
        <v>3</v>
      </c>
      <c r="M181" s="561">
        <v>55</v>
      </c>
      <c r="N181" s="561">
        <v>30</v>
      </c>
      <c r="O181" s="561">
        <v>0</v>
      </c>
      <c r="P181" s="561">
        <v>33</v>
      </c>
      <c r="Q181" s="561">
        <v>0</v>
      </c>
      <c r="R181" s="561">
        <v>2381</v>
      </c>
      <c r="S181" s="1217">
        <v>0</v>
      </c>
      <c r="T181" s="1217">
        <v>0</v>
      </c>
      <c r="U181" s="1217">
        <v>0</v>
      </c>
      <c r="V181" s="561">
        <v>33</v>
      </c>
      <c r="W181" s="561">
        <v>2</v>
      </c>
      <c r="X181" s="561">
        <v>63</v>
      </c>
      <c r="Y181" s="561">
        <v>0</v>
      </c>
      <c r="Z181" s="561">
        <v>0</v>
      </c>
      <c r="AA181" s="561">
        <v>0</v>
      </c>
      <c r="AB181" s="561">
        <v>0</v>
      </c>
      <c r="AC181" s="561">
        <v>0</v>
      </c>
      <c r="AD181" s="561">
        <v>0</v>
      </c>
      <c r="AE181" s="561">
        <v>10</v>
      </c>
      <c r="AF181" s="561">
        <v>0</v>
      </c>
      <c r="AG181" s="561">
        <v>2533</v>
      </c>
      <c r="AH181" s="561">
        <v>0</v>
      </c>
      <c r="AI181" s="561">
        <v>1141</v>
      </c>
      <c r="AJ181" s="561">
        <v>165</v>
      </c>
      <c r="AK181" s="561">
        <v>4</v>
      </c>
      <c r="AL181" s="561">
        <v>0</v>
      </c>
      <c r="AM181" s="561">
        <v>0</v>
      </c>
      <c r="AN181" s="561">
        <v>0</v>
      </c>
      <c r="AO181" s="561">
        <v>0</v>
      </c>
      <c r="AP181" s="561">
        <v>0</v>
      </c>
      <c r="AQ181" s="561">
        <v>0</v>
      </c>
      <c r="AR181" s="561">
        <v>0</v>
      </c>
    </row>
    <row r="182" spans="1:44" x14ac:dyDescent="0.3">
      <c r="A182" s="1129" t="s">
        <v>2987</v>
      </c>
      <c r="B182" s="1129" t="s">
        <v>2988</v>
      </c>
      <c r="C182" s="1129" t="s">
        <v>2989</v>
      </c>
      <c r="D182" s="1129" t="s">
        <v>2476</v>
      </c>
      <c r="E182" s="561">
        <v>-30984</v>
      </c>
      <c r="F182" s="561">
        <v>0</v>
      </c>
      <c r="G182" s="561">
        <v>189847</v>
      </c>
      <c r="H182" s="561">
        <v>32304</v>
      </c>
      <c r="I182" s="561">
        <v>45</v>
      </c>
      <c r="J182" s="561">
        <v>36510</v>
      </c>
      <c r="K182" s="561">
        <v>17889</v>
      </c>
      <c r="L182" s="561">
        <v>6829</v>
      </c>
      <c r="M182" s="561">
        <v>5626</v>
      </c>
      <c r="N182" s="561">
        <v>1774</v>
      </c>
      <c r="O182" s="561">
        <v>1581</v>
      </c>
      <c r="P182" s="561">
        <v>991</v>
      </c>
      <c r="Q182" s="561">
        <v>0</v>
      </c>
      <c r="R182" s="561">
        <v>125804</v>
      </c>
      <c r="S182" s="1217">
        <v>80493.509999999995</v>
      </c>
      <c r="T182" s="1217">
        <v>0</v>
      </c>
      <c r="U182" s="1217">
        <v>0</v>
      </c>
      <c r="V182" s="561">
        <v>17508</v>
      </c>
      <c r="W182" s="561">
        <v>1524</v>
      </c>
      <c r="X182" s="561">
        <v>3360</v>
      </c>
      <c r="Y182" s="561">
        <v>0</v>
      </c>
      <c r="Z182" s="561">
        <v>2573</v>
      </c>
      <c r="AA182" s="561">
        <v>0</v>
      </c>
      <c r="AB182" s="561">
        <v>0</v>
      </c>
      <c r="AC182" s="561">
        <v>0</v>
      </c>
      <c r="AD182" s="561">
        <v>5985</v>
      </c>
      <c r="AE182" s="561">
        <v>5769</v>
      </c>
      <c r="AF182" s="561">
        <v>1591</v>
      </c>
      <c r="AG182" s="561">
        <v>31657</v>
      </c>
      <c r="AH182" s="561">
        <v>0</v>
      </c>
      <c r="AI182" s="561">
        <v>21816</v>
      </c>
      <c r="AJ182" s="561">
        <v>51246</v>
      </c>
      <c r="AK182" s="561">
        <v>0</v>
      </c>
      <c r="AL182" s="561">
        <v>20999</v>
      </c>
      <c r="AM182" s="561">
        <v>3</v>
      </c>
      <c r="AN182" s="561">
        <v>1115</v>
      </c>
      <c r="AO182" s="561">
        <v>47</v>
      </c>
      <c r="AP182" s="561">
        <v>63</v>
      </c>
      <c r="AQ182" s="561">
        <v>574</v>
      </c>
      <c r="AR182" s="561">
        <v>75</v>
      </c>
    </row>
    <row r="183" spans="1:44" x14ac:dyDescent="0.3">
      <c r="A183" s="1129" t="s">
        <v>2990</v>
      </c>
      <c r="B183" s="1129" t="s">
        <v>2991</v>
      </c>
      <c r="C183" s="1129" t="s">
        <v>2992</v>
      </c>
      <c r="D183" s="1129" t="s">
        <v>2476</v>
      </c>
      <c r="E183" s="561">
        <v>-12963</v>
      </c>
      <c r="F183" s="561">
        <v>0</v>
      </c>
      <c r="G183" s="561">
        <v>85144</v>
      </c>
      <c r="H183" s="561">
        <v>24788</v>
      </c>
      <c r="I183" s="561">
        <v>48</v>
      </c>
      <c r="J183" s="561">
        <v>21695</v>
      </c>
      <c r="K183" s="561">
        <v>9452</v>
      </c>
      <c r="L183" s="561">
        <v>9114</v>
      </c>
      <c r="M183" s="561">
        <v>3792</v>
      </c>
      <c r="N183" s="561">
        <v>346</v>
      </c>
      <c r="O183" s="561">
        <v>0</v>
      </c>
      <c r="P183" s="561">
        <v>18</v>
      </c>
      <c r="Q183" s="561">
        <v>0</v>
      </c>
      <c r="R183" s="561">
        <v>108586</v>
      </c>
      <c r="S183" s="1217">
        <v>5000</v>
      </c>
      <c r="T183" s="1217">
        <v>5628</v>
      </c>
      <c r="U183" s="1217">
        <v>0</v>
      </c>
      <c r="V183" s="561">
        <v>18455</v>
      </c>
      <c r="W183" s="561">
        <v>980</v>
      </c>
      <c r="X183" s="561">
        <v>1930</v>
      </c>
      <c r="Y183" s="561">
        <v>0</v>
      </c>
      <c r="Z183" s="561">
        <v>1060</v>
      </c>
      <c r="AA183" s="561">
        <v>0</v>
      </c>
      <c r="AB183" s="561">
        <v>0</v>
      </c>
      <c r="AC183" s="561">
        <v>0</v>
      </c>
      <c r="AD183" s="561">
        <v>6969</v>
      </c>
      <c r="AE183" s="561">
        <v>3479</v>
      </c>
      <c r="AF183" s="561">
        <v>9157</v>
      </c>
      <c r="AG183" s="561">
        <v>10000</v>
      </c>
      <c r="AH183" s="561">
        <v>0</v>
      </c>
      <c r="AI183" s="561">
        <v>74815</v>
      </c>
      <c r="AJ183" s="561">
        <v>0</v>
      </c>
      <c r="AK183" s="561">
        <v>17069</v>
      </c>
      <c r="AL183" s="561">
        <v>4159</v>
      </c>
      <c r="AM183" s="561">
        <v>160</v>
      </c>
      <c r="AN183" s="561">
        <v>87</v>
      </c>
      <c r="AO183" s="561">
        <v>40</v>
      </c>
      <c r="AP183" s="561">
        <v>1478</v>
      </c>
      <c r="AQ183" s="561">
        <v>104</v>
      </c>
      <c r="AR183" s="561">
        <v>43</v>
      </c>
    </row>
    <row r="184" spans="1:44" x14ac:dyDescent="0.3">
      <c r="A184" s="1129" t="s">
        <v>2993</v>
      </c>
      <c r="B184" s="1129" t="s">
        <v>2994</v>
      </c>
      <c r="C184" s="1129" t="s">
        <v>2995</v>
      </c>
      <c r="D184" s="1129" t="s">
        <v>2595</v>
      </c>
      <c r="E184" s="561">
        <v>-15680</v>
      </c>
      <c r="F184" s="561">
        <v>0</v>
      </c>
      <c r="G184" s="561">
        <v>1025935</v>
      </c>
      <c r="H184" s="561">
        <v>81470</v>
      </c>
      <c r="I184" s="561">
        <v>4031</v>
      </c>
      <c r="J184" s="561">
        <v>137144</v>
      </c>
      <c r="K184" s="561">
        <v>61701</v>
      </c>
      <c r="L184" s="561">
        <v>0</v>
      </c>
      <c r="M184" s="561">
        <v>26969</v>
      </c>
      <c r="N184" s="561">
        <v>6760</v>
      </c>
      <c r="O184" s="561">
        <v>0</v>
      </c>
      <c r="P184" s="561">
        <v>1927</v>
      </c>
      <c r="Q184" s="561">
        <v>0</v>
      </c>
      <c r="R184" s="561">
        <v>994288</v>
      </c>
      <c r="S184" s="1217">
        <v>0</v>
      </c>
      <c r="T184" s="1217">
        <v>8492</v>
      </c>
      <c r="U184" s="1217">
        <v>-8021</v>
      </c>
      <c r="V184" s="561">
        <v>18033</v>
      </c>
      <c r="W184" s="561">
        <v>0</v>
      </c>
      <c r="X184" s="561">
        <v>10073</v>
      </c>
      <c r="Y184" s="561">
        <v>0</v>
      </c>
      <c r="Z184" s="561">
        <v>0</v>
      </c>
      <c r="AA184" s="561">
        <v>0</v>
      </c>
      <c r="AB184" s="561">
        <v>0</v>
      </c>
      <c r="AC184" s="561">
        <v>0</v>
      </c>
      <c r="AD184" s="561">
        <v>58634</v>
      </c>
      <c r="AE184" s="561">
        <v>0</v>
      </c>
      <c r="AF184" s="561">
        <v>16984</v>
      </c>
      <c r="AG184" s="561">
        <v>43030</v>
      </c>
      <c r="AH184" s="561">
        <v>22456</v>
      </c>
      <c r="AI184" s="561">
        <v>97312</v>
      </c>
      <c r="AJ184" s="561">
        <v>51171</v>
      </c>
      <c r="AK184" s="561">
        <v>94289</v>
      </c>
      <c r="AL184" s="561">
        <v>32374</v>
      </c>
      <c r="AM184" s="561">
        <v>0</v>
      </c>
      <c r="AN184" s="561">
        <v>0</v>
      </c>
      <c r="AO184" s="561">
        <v>0</v>
      </c>
      <c r="AP184" s="561">
        <v>0</v>
      </c>
      <c r="AQ184" s="561">
        <v>0</v>
      </c>
      <c r="AR184" s="561">
        <v>0</v>
      </c>
    </row>
    <row r="185" spans="1:44" x14ac:dyDescent="0.3">
      <c r="A185" s="1129" t="s">
        <v>2996</v>
      </c>
      <c r="B185" s="1129" t="s">
        <v>2997</v>
      </c>
      <c r="C185" s="1129" t="s">
        <v>2998</v>
      </c>
      <c r="D185" s="1129" t="s">
        <v>2466</v>
      </c>
      <c r="E185" s="561">
        <v>-11549</v>
      </c>
      <c r="F185" s="561">
        <v>0</v>
      </c>
      <c r="G185" s="561">
        <v>0</v>
      </c>
      <c r="H185" s="561">
        <v>0</v>
      </c>
      <c r="I185" s="561">
        <v>0</v>
      </c>
      <c r="J185" s="561">
        <v>0</v>
      </c>
      <c r="K185" s="561">
        <v>0</v>
      </c>
      <c r="L185" s="561">
        <v>0</v>
      </c>
      <c r="M185" s="561">
        <v>0</v>
      </c>
      <c r="N185" s="561">
        <v>0</v>
      </c>
      <c r="O185" s="561">
        <v>0</v>
      </c>
      <c r="P185" s="561">
        <v>0</v>
      </c>
      <c r="Q185" s="561">
        <v>0</v>
      </c>
      <c r="R185" s="561">
        <v>64507</v>
      </c>
      <c r="S185" s="1217">
        <v>0</v>
      </c>
      <c r="T185" s="1217">
        <v>2722</v>
      </c>
      <c r="U185" s="1217">
        <v>0</v>
      </c>
      <c r="V185" s="561">
        <v>0</v>
      </c>
      <c r="W185" s="561">
        <v>0</v>
      </c>
      <c r="X185" s="561">
        <v>648</v>
      </c>
      <c r="Y185" s="561">
        <v>0</v>
      </c>
      <c r="Z185" s="561">
        <v>0</v>
      </c>
      <c r="AA185" s="561">
        <v>0</v>
      </c>
      <c r="AB185" s="561">
        <v>0</v>
      </c>
      <c r="AC185" s="561">
        <v>0</v>
      </c>
      <c r="AD185" s="561">
        <v>0</v>
      </c>
      <c r="AE185" s="561">
        <v>0</v>
      </c>
      <c r="AF185" s="561">
        <v>0</v>
      </c>
      <c r="AG185" s="561">
        <v>4260</v>
      </c>
      <c r="AH185" s="561">
        <v>0</v>
      </c>
      <c r="AI185" s="561">
        <v>29555</v>
      </c>
      <c r="AJ185" s="561">
        <v>3080</v>
      </c>
      <c r="AK185" s="561">
        <v>761</v>
      </c>
      <c r="AL185" s="561">
        <v>0</v>
      </c>
      <c r="AM185" s="561">
        <v>0</v>
      </c>
      <c r="AN185" s="561">
        <v>0</v>
      </c>
      <c r="AO185" s="561">
        <v>0</v>
      </c>
      <c r="AP185" s="561">
        <v>0</v>
      </c>
      <c r="AQ185" s="561">
        <v>0</v>
      </c>
      <c r="AR185" s="561">
        <v>0</v>
      </c>
    </row>
    <row r="186" spans="1:44" x14ac:dyDescent="0.3">
      <c r="A186" s="1129" t="s">
        <v>2999</v>
      </c>
      <c r="B186" s="1129" t="s">
        <v>3000</v>
      </c>
      <c r="C186" s="1129" t="s">
        <v>3001</v>
      </c>
      <c r="D186" s="1129" t="s">
        <v>2466</v>
      </c>
      <c r="E186" s="561">
        <v>0</v>
      </c>
      <c r="F186" s="561">
        <v>-245569</v>
      </c>
      <c r="G186" s="561">
        <v>0</v>
      </c>
      <c r="H186" s="561">
        <v>0</v>
      </c>
      <c r="I186" s="561">
        <v>0</v>
      </c>
      <c r="J186" s="561">
        <v>0</v>
      </c>
      <c r="K186" s="561">
        <v>0</v>
      </c>
      <c r="L186" s="561">
        <v>0</v>
      </c>
      <c r="M186" s="561">
        <v>0</v>
      </c>
      <c r="N186" s="561">
        <v>0</v>
      </c>
      <c r="O186" s="561">
        <v>0</v>
      </c>
      <c r="P186" s="561">
        <v>0</v>
      </c>
      <c r="Q186" s="561">
        <v>0</v>
      </c>
      <c r="R186" s="561">
        <v>183708</v>
      </c>
      <c r="S186" s="1217">
        <v>0</v>
      </c>
      <c r="T186" s="1217">
        <v>3773</v>
      </c>
      <c r="U186" s="1217">
        <v>0</v>
      </c>
      <c r="V186" s="561">
        <v>0</v>
      </c>
      <c r="W186" s="561">
        <v>0</v>
      </c>
      <c r="X186" s="561">
        <v>0</v>
      </c>
      <c r="Y186" s="561">
        <v>0</v>
      </c>
      <c r="Z186" s="561">
        <v>0</v>
      </c>
      <c r="AA186" s="561">
        <v>8833</v>
      </c>
      <c r="AB186" s="561">
        <v>4897</v>
      </c>
      <c r="AC186" s="561">
        <v>6332</v>
      </c>
      <c r="AD186" s="561">
        <v>0</v>
      </c>
      <c r="AE186" s="561">
        <v>0</v>
      </c>
      <c r="AF186" s="561">
        <v>0</v>
      </c>
      <c r="AG186" s="561">
        <v>12273</v>
      </c>
      <c r="AH186" s="561">
        <v>0</v>
      </c>
      <c r="AI186" s="561">
        <v>0</v>
      </c>
      <c r="AJ186" s="561">
        <v>3626</v>
      </c>
      <c r="AK186" s="561">
        <v>15092</v>
      </c>
      <c r="AL186" s="561">
        <v>0</v>
      </c>
      <c r="AM186" s="561">
        <v>0</v>
      </c>
      <c r="AN186" s="561">
        <v>0</v>
      </c>
      <c r="AO186" s="561">
        <v>0</v>
      </c>
      <c r="AP186" s="561">
        <v>0</v>
      </c>
      <c r="AQ186" s="561">
        <v>0</v>
      </c>
      <c r="AR186" s="561">
        <v>0</v>
      </c>
    </row>
    <row r="187" spans="1:44" x14ac:dyDescent="0.3">
      <c r="A187" s="1129" t="s">
        <v>3002</v>
      </c>
      <c r="B187" s="1129" t="s">
        <v>3003</v>
      </c>
      <c r="C187" s="1129" t="s">
        <v>3004</v>
      </c>
      <c r="D187" s="1129" t="s">
        <v>384</v>
      </c>
      <c r="E187" s="561">
        <v>-1052</v>
      </c>
      <c r="F187" s="561">
        <v>0</v>
      </c>
      <c r="G187" s="561">
        <v>0</v>
      </c>
      <c r="H187" s="561">
        <v>0</v>
      </c>
      <c r="I187" s="561">
        <v>36</v>
      </c>
      <c r="J187" s="561">
        <v>0</v>
      </c>
      <c r="K187" s="561">
        <v>0</v>
      </c>
      <c r="L187" s="561">
        <v>869</v>
      </c>
      <c r="M187" s="561">
        <v>0</v>
      </c>
      <c r="N187" s="561">
        <v>0</v>
      </c>
      <c r="O187" s="561">
        <v>552</v>
      </c>
      <c r="P187" s="561">
        <v>293</v>
      </c>
      <c r="Q187" s="561">
        <v>3629</v>
      </c>
      <c r="R187" s="561">
        <v>13214</v>
      </c>
      <c r="S187" s="1217">
        <v>0</v>
      </c>
      <c r="T187" s="1217">
        <v>0</v>
      </c>
      <c r="U187" s="1217">
        <v>0</v>
      </c>
      <c r="V187" s="561">
        <v>972</v>
      </c>
      <c r="W187" s="561">
        <v>335</v>
      </c>
      <c r="X187" s="561">
        <v>211</v>
      </c>
      <c r="Y187" s="561">
        <v>199</v>
      </c>
      <c r="Z187" s="561">
        <v>140</v>
      </c>
      <c r="AA187" s="561">
        <v>0</v>
      </c>
      <c r="AB187" s="561">
        <v>0</v>
      </c>
      <c r="AC187" s="561">
        <v>0</v>
      </c>
      <c r="AD187" s="561">
        <v>0</v>
      </c>
      <c r="AE187" s="561">
        <v>0</v>
      </c>
      <c r="AF187" s="561">
        <v>0</v>
      </c>
      <c r="AG187" s="561">
        <v>8594</v>
      </c>
      <c r="AH187" s="561">
        <v>11128</v>
      </c>
      <c r="AI187" s="561">
        <v>5376</v>
      </c>
      <c r="AJ187" s="561">
        <v>178</v>
      </c>
      <c r="AK187" s="561">
        <v>14775</v>
      </c>
      <c r="AL187" s="561">
        <v>0</v>
      </c>
      <c r="AM187" s="561">
        <v>12</v>
      </c>
      <c r="AN187" s="561">
        <v>11</v>
      </c>
      <c r="AO187" s="561">
        <v>3</v>
      </c>
      <c r="AP187" s="561">
        <v>1</v>
      </c>
      <c r="AQ187" s="561">
        <v>25</v>
      </c>
      <c r="AR187" s="561">
        <v>1</v>
      </c>
    </row>
    <row r="188" spans="1:44" x14ac:dyDescent="0.3">
      <c r="A188" s="1129" t="s">
        <v>3005</v>
      </c>
      <c r="B188" s="1129" t="s">
        <v>3006</v>
      </c>
      <c r="C188" s="1129" t="s">
        <v>3007</v>
      </c>
      <c r="D188" s="1129" t="s">
        <v>385</v>
      </c>
      <c r="E188" s="561">
        <v>-30935</v>
      </c>
      <c r="F188" s="561">
        <v>0</v>
      </c>
      <c r="G188" s="561">
        <v>92514</v>
      </c>
      <c r="H188" s="561">
        <v>28352</v>
      </c>
      <c r="I188" s="561">
        <v>952</v>
      </c>
      <c r="J188" s="561">
        <v>42462</v>
      </c>
      <c r="K188" s="561">
        <v>22108</v>
      </c>
      <c r="L188" s="561">
        <v>2431</v>
      </c>
      <c r="M188" s="561">
        <v>6357</v>
      </c>
      <c r="N188" s="561">
        <v>3453</v>
      </c>
      <c r="O188" s="561">
        <v>9381</v>
      </c>
      <c r="P188" s="561">
        <v>63</v>
      </c>
      <c r="Q188" s="561">
        <v>0</v>
      </c>
      <c r="R188" s="561">
        <v>118684</v>
      </c>
      <c r="S188" s="1217">
        <v>26749</v>
      </c>
      <c r="T188" s="1217">
        <v>0</v>
      </c>
      <c r="U188" s="1217">
        <v>-3000</v>
      </c>
      <c r="V188" s="561">
        <v>15304</v>
      </c>
      <c r="W188" s="561">
        <v>1155</v>
      </c>
      <c r="X188" s="561">
        <v>2675</v>
      </c>
      <c r="Y188" s="561">
        <v>0</v>
      </c>
      <c r="Z188" s="561">
        <v>1953</v>
      </c>
      <c r="AA188" s="561">
        <v>0</v>
      </c>
      <c r="AB188" s="561">
        <v>0</v>
      </c>
      <c r="AC188" s="561">
        <v>0</v>
      </c>
      <c r="AD188" s="561">
        <v>2173</v>
      </c>
      <c r="AE188" s="561">
        <v>0</v>
      </c>
      <c r="AF188" s="561">
        <v>175</v>
      </c>
      <c r="AG188" s="561">
        <v>20968</v>
      </c>
      <c r="AH188" s="561">
        <v>1598</v>
      </c>
      <c r="AI188" s="561">
        <v>8753</v>
      </c>
      <c r="AJ188" s="561">
        <v>3356</v>
      </c>
      <c r="AK188" s="561">
        <v>0</v>
      </c>
      <c r="AL188" s="561">
        <v>297</v>
      </c>
      <c r="AM188" s="561">
        <v>82</v>
      </c>
      <c r="AN188" s="561">
        <v>40</v>
      </c>
      <c r="AO188" s="561">
        <v>3</v>
      </c>
      <c r="AP188" s="561">
        <v>0</v>
      </c>
      <c r="AQ188" s="561">
        <v>131</v>
      </c>
      <c r="AR188" s="561">
        <v>0</v>
      </c>
    </row>
    <row r="189" spans="1:44" x14ac:dyDescent="0.3">
      <c r="A189" s="1129" t="s">
        <v>3008</v>
      </c>
      <c r="B189" s="1129" t="s">
        <v>3009</v>
      </c>
      <c r="C189" s="1129" t="s">
        <v>3010</v>
      </c>
      <c r="D189" s="1129" t="s">
        <v>2476</v>
      </c>
      <c r="E189" s="561">
        <v>-251</v>
      </c>
      <c r="F189" s="561">
        <v>0</v>
      </c>
      <c r="G189" s="561">
        <v>108062</v>
      </c>
      <c r="H189" s="561">
        <v>12359</v>
      </c>
      <c r="I189" s="561">
        <v>39</v>
      </c>
      <c r="J189" s="561">
        <v>11466</v>
      </c>
      <c r="K189" s="561">
        <v>2270</v>
      </c>
      <c r="L189" s="561">
        <v>3194</v>
      </c>
      <c r="M189" s="561">
        <v>2508</v>
      </c>
      <c r="N189" s="561">
        <v>345</v>
      </c>
      <c r="O189" s="561">
        <v>0</v>
      </c>
      <c r="P189" s="561">
        <v>191</v>
      </c>
      <c r="Q189" s="561">
        <v>0</v>
      </c>
      <c r="R189" s="561">
        <v>134402</v>
      </c>
      <c r="S189" s="1217">
        <v>15719</v>
      </c>
      <c r="T189" s="1217">
        <v>0</v>
      </c>
      <c r="U189" s="1217">
        <v>0</v>
      </c>
      <c r="V189" s="561">
        <v>10023</v>
      </c>
      <c r="W189" s="561">
        <v>398</v>
      </c>
      <c r="X189" s="561">
        <v>1402</v>
      </c>
      <c r="Y189" s="561">
        <v>0</v>
      </c>
      <c r="Z189" s="561">
        <v>887</v>
      </c>
      <c r="AA189" s="561">
        <v>0</v>
      </c>
      <c r="AB189" s="561">
        <v>0</v>
      </c>
      <c r="AC189" s="561">
        <v>0</v>
      </c>
      <c r="AD189" s="561">
        <v>6893</v>
      </c>
      <c r="AE189" s="561">
        <v>7682</v>
      </c>
      <c r="AF189" s="561">
        <v>2436</v>
      </c>
      <c r="AG189" s="561">
        <v>19632</v>
      </c>
      <c r="AH189" s="561">
        <v>0</v>
      </c>
      <c r="AI189" s="561">
        <v>32430</v>
      </c>
      <c r="AJ189" s="561">
        <v>8430</v>
      </c>
      <c r="AK189" s="561">
        <v>0</v>
      </c>
      <c r="AL189" s="561">
        <v>0</v>
      </c>
      <c r="AM189" s="561">
        <v>68</v>
      </c>
      <c r="AN189" s="561">
        <v>391</v>
      </c>
      <c r="AO189" s="561">
        <v>34</v>
      </c>
      <c r="AP189" s="561">
        <v>303</v>
      </c>
      <c r="AQ189" s="561">
        <v>85</v>
      </c>
      <c r="AR189" s="561">
        <v>1</v>
      </c>
    </row>
    <row r="190" spans="1:44" x14ac:dyDescent="0.3">
      <c r="A190" s="1129" t="s">
        <v>3011</v>
      </c>
      <c r="B190" s="1129" t="s">
        <v>3012</v>
      </c>
      <c r="C190" s="1129" t="s">
        <v>3013</v>
      </c>
      <c r="D190" s="1129" t="s">
        <v>379</v>
      </c>
      <c r="E190" s="561">
        <v>-17073</v>
      </c>
      <c r="F190" s="561">
        <v>0</v>
      </c>
      <c r="G190" s="561">
        <v>297499</v>
      </c>
      <c r="H190" s="561">
        <v>30172</v>
      </c>
      <c r="I190" s="561">
        <v>1193</v>
      </c>
      <c r="J190" s="561">
        <v>46081</v>
      </c>
      <c r="K190" s="561">
        <v>21986</v>
      </c>
      <c r="L190" s="561">
        <v>2056</v>
      </c>
      <c r="M190" s="561">
        <v>8137</v>
      </c>
      <c r="N190" s="561">
        <v>1976</v>
      </c>
      <c r="O190" s="561">
        <v>8396</v>
      </c>
      <c r="P190" s="561">
        <v>114</v>
      </c>
      <c r="Q190" s="561">
        <v>1235</v>
      </c>
      <c r="R190" s="561">
        <v>254136</v>
      </c>
      <c r="S190" s="1217">
        <v>30646</v>
      </c>
      <c r="T190" s="1217">
        <v>0</v>
      </c>
      <c r="U190" s="1217">
        <v>-4000</v>
      </c>
      <c r="V190" s="561">
        <v>26300</v>
      </c>
      <c r="W190" s="561">
        <v>1058</v>
      </c>
      <c r="X190" s="561">
        <v>3518</v>
      </c>
      <c r="Y190" s="561">
        <v>0</v>
      </c>
      <c r="Z190" s="561">
        <v>367</v>
      </c>
      <c r="AA190" s="561">
        <v>0</v>
      </c>
      <c r="AB190" s="561">
        <v>0</v>
      </c>
      <c r="AC190" s="561">
        <v>0</v>
      </c>
      <c r="AD190" s="561">
        <v>11596</v>
      </c>
      <c r="AE190" s="561">
        <v>0</v>
      </c>
      <c r="AF190" s="561">
        <v>1119</v>
      </c>
      <c r="AG190" s="561">
        <v>25046</v>
      </c>
      <c r="AH190" s="561">
        <v>663</v>
      </c>
      <c r="AI190" s="561">
        <v>19218</v>
      </c>
      <c r="AJ190" s="561">
        <v>4500</v>
      </c>
      <c r="AK190" s="561">
        <v>9424</v>
      </c>
      <c r="AL190" s="561">
        <v>2388</v>
      </c>
      <c r="AM190" s="561">
        <v>99</v>
      </c>
      <c r="AN190" s="561">
        <v>61</v>
      </c>
      <c r="AO190" s="561">
        <v>0</v>
      </c>
      <c r="AP190" s="561">
        <v>25</v>
      </c>
      <c r="AQ190" s="561">
        <v>165</v>
      </c>
      <c r="AR190" s="561">
        <v>0</v>
      </c>
    </row>
    <row r="191" spans="1:44" x14ac:dyDescent="0.3">
      <c r="A191" s="1129" t="s">
        <v>3014</v>
      </c>
      <c r="B191" s="1129" t="s">
        <v>3015</v>
      </c>
      <c r="C191" s="1129" t="s">
        <v>3016</v>
      </c>
      <c r="D191" s="1129" t="s">
        <v>379</v>
      </c>
      <c r="E191" s="561">
        <v>0</v>
      </c>
      <c r="F191" s="561">
        <v>0</v>
      </c>
      <c r="G191" s="561">
        <v>136043</v>
      </c>
      <c r="H191" s="561">
        <v>20351</v>
      </c>
      <c r="I191" s="561">
        <v>597</v>
      </c>
      <c r="J191" s="561">
        <v>29645</v>
      </c>
      <c r="K191" s="561">
        <v>0</v>
      </c>
      <c r="L191" s="561">
        <v>1094</v>
      </c>
      <c r="M191" s="561">
        <v>4275</v>
      </c>
      <c r="N191" s="561">
        <v>2199</v>
      </c>
      <c r="O191" s="561">
        <v>6765</v>
      </c>
      <c r="P191" s="561">
        <v>1420</v>
      </c>
      <c r="Q191" s="561">
        <v>1568</v>
      </c>
      <c r="R191" s="561">
        <v>78169</v>
      </c>
      <c r="S191" s="1217">
        <v>0</v>
      </c>
      <c r="T191" s="1217">
        <v>494</v>
      </c>
      <c r="U191" s="1217">
        <v>0</v>
      </c>
      <c r="V191" s="561">
        <v>4844</v>
      </c>
      <c r="W191" s="561">
        <v>647</v>
      </c>
      <c r="X191" s="561">
        <v>1668</v>
      </c>
      <c r="Y191" s="561">
        <v>0</v>
      </c>
      <c r="Z191" s="561">
        <v>168</v>
      </c>
      <c r="AA191" s="561">
        <v>0</v>
      </c>
      <c r="AB191" s="561">
        <v>0</v>
      </c>
      <c r="AC191" s="561">
        <v>0</v>
      </c>
      <c r="AD191" s="561">
        <v>35230</v>
      </c>
      <c r="AE191" s="561">
        <v>0</v>
      </c>
      <c r="AF191" s="561">
        <v>2807</v>
      </c>
      <c r="AG191" s="561">
        <v>7402</v>
      </c>
      <c r="AH191" s="561">
        <v>9683</v>
      </c>
      <c r="AI191" s="561">
        <v>41137</v>
      </c>
      <c r="AJ191" s="561">
        <v>2014</v>
      </c>
      <c r="AK191" s="561">
        <v>0</v>
      </c>
      <c r="AL191" s="561">
        <v>0</v>
      </c>
      <c r="AM191" s="561">
        <v>34</v>
      </c>
      <c r="AN191" s="561">
        <v>0</v>
      </c>
      <c r="AO191" s="561">
        <v>0</v>
      </c>
      <c r="AP191" s="561">
        <v>1</v>
      </c>
      <c r="AQ191" s="561">
        <v>77</v>
      </c>
      <c r="AR191" s="561">
        <v>3</v>
      </c>
    </row>
    <row r="192" spans="1:44" x14ac:dyDescent="0.3">
      <c r="A192" s="1129" t="s">
        <v>3017</v>
      </c>
      <c r="B192" s="1129" t="s">
        <v>3018</v>
      </c>
      <c r="C192" s="1129" t="s">
        <v>3019</v>
      </c>
      <c r="D192" s="1129" t="s">
        <v>2466</v>
      </c>
      <c r="E192" s="561">
        <v>0</v>
      </c>
      <c r="F192" s="561">
        <v>0</v>
      </c>
      <c r="G192" s="561">
        <v>0</v>
      </c>
      <c r="H192" s="561">
        <v>0</v>
      </c>
      <c r="I192" s="561">
        <v>0</v>
      </c>
      <c r="J192" s="561">
        <v>0</v>
      </c>
      <c r="K192" s="561">
        <v>0</v>
      </c>
      <c r="L192" s="561">
        <v>0</v>
      </c>
      <c r="M192" s="561">
        <v>0</v>
      </c>
      <c r="N192" s="561">
        <v>0</v>
      </c>
      <c r="O192" s="561">
        <v>0</v>
      </c>
      <c r="P192" s="561">
        <v>0</v>
      </c>
      <c r="Q192" s="561">
        <v>0</v>
      </c>
      <c r="R192" s="561">
        <v>0</v>
      </c>
      <c r="S192" s="1217">
        <v>0</v>
      </c>
      <c r="T192" s="1217">
        <v>0</v>
      </c>
      <c r="U192" s="1217">
        <v>0</v>
      </c>
      <c r="V192" s="561">
        <v>0</v>
      </c>
      <c r="W192" s="561">
        <v>0</v>
      </c>
      <c r="X192" s="561">
        <v>0</v>
      </c>
      <c r="Y192" s="561">
        <v>0</v>
      </c>
      <c r="Z192" s="561">
        <v>0</v>
      </c>
      <c r="AA192" s="561">
        <v>0</v>
      </c>
      <c r="AB192" s="561">
        <v>0</v>
      </c>
      <c r="AC192" s="561">
        <v>0</v>
      </c>
      <c r="AD192" s="561">
        <v>0</v>
      </c>
      <c r="AE192" s="561">
        <v>0</v>
      </c>
      <c r="AF192" s="561">
        <v>0</v>
      </c>
      <c r="AG192" s="561">
        <v>1387</v>
      </c>
      <c r="AH192" s="561">
        <v>0</v>
      </c>
      <c r="AI192" s="561">
        <v>1751</v>
      </c>
      <c r="AJ192" s="561">
        <v>652</v>
      </c>
      <c r="AK192" s="561">
        <v>0</v>
      </c>
      <c r="AL192" s="561">
        <v>0</v>
      </c>
      <c r="AM192" s="561">
        <v>0</v>
      </c>
      <c r="AN192" s="561">
        <v>0</v>
      </c>
      <c r="AO192" s="561">
        <v>0</v>
      </c>
      <c r="AP192" s="561">
        <v>0</v>
      </c>
      <c r="AQ192" s="561">
        <v>0</v>
      </c>
      <c r="AR192" s="561">
        <v>0</v>
      </c>
    </row>
    <row r="193" spans="1:44" x14ac:dyDescent="0.3">
      <c r="A193" s="1129" t="s">
        <v>3020</v>
      </c>
      <c r="B193" s="1129" t="s">
        <v>3021</v>
      </c>
      <c r="C193" s="1129" t="s">
        <v>3022</v>
      </c>
      <c r="D193" s="1129" t="s">
        <v>2476</v>
      </c>
      <c r="E193" s="561">
        <v>-40462</v>
      </c>
      <c r="F193" s="561">
        <v>0</v>
      </c>
      <c r="G193" s="561">
        <v>271045</v>
      </c>
      <c r="H193" s="561">
        <v>38945</v>
      </c>
      <c r="I193" s="561">
        <v>42</v>
      </c>
      <c r="J193" s="561">
        <v>40171</v>
      </c>
      <c r="K193" s="561">
        <v>18439</v>
      </c>
      <c r="L193" s="561">
        <v>12515</v>
      </c>
      <c r="M193" s="561">
        <v>6602</v>
      </c>
      <c r="N193" s="561">
        <v>1988</v>
      </c>
      <c r="O193" s="561">
        <v>1281</v>
      </c>
      <c r="P193" s="561">
        <v>65</v>
      </c>
      <c r="Q193" s="561">
        <v>0</v>
      </c>
      <c r="R193" s="561">
        <v>173175</v>
      </c>
      <c r="S193" s="1217">
        <v>5681</v>
      </c>
      <c r="T193" s="1217">
        <v>22835</v>
      </c>
      <c r="U193" s="1217">
        <v>0</v>
      </c>
      <c r="V193" s="561">
        <v>46003</v>
      </c>
      <c r="W193" s="561">
        <v>1857</v>
      </c>
      <c r="X193" s="561">
        <v>3788</v>
      </c>
      <c r="Y193" s="561">
        <v>0</v>
      </c>
      <c r="Z193" s="561">
        <v>2040</v>
      </c>
      <c r="AA193" s="561">
        <v>0</v>
      </c>
      <c r="AB193" s="561">
        <v>0</v>
      </c>
      <c r="AC193" s="561">
        <v>0</v>
      </c>
      <c r="AD193" s="561">
        <v>16092</v>
      </c>
      <c r="AE193" s="561">
        <v>0</v>
      </c>
      <c r="AF193" s="561">
        <v>112</v>
      </c>
      <c r="AG193" s="561">
        <v>1392</v>
      </c>
      <c r="AH193" s="561">
        <v>0</v>
      </c>
      <c r="AI193" s="561">
        <v>103906</v>
      </c>
      <c r="AJ193" s="561">
        <v>25888</v>
      </c>
      <c r="AK193" s="561">
        <v>8892</v>
      </c>
      <c r="AL193" s="561">
        <v>0</v>
      </c>
      <c r="AM193" s="561">
        <v>1</v>
      </c>
      <c r="AN193" s="561">
        <v>3320</v>
      </c>
      <c r="AO193" s="561">
        <v>176</v>
      </c>
      <c r="AP193" s="561">
        <v>386</v>
      </c>
      <c r="AQ193" s="561">
        <v>458</v>
      </c>
      <c r="AR193" s="561">
        <v>171</v>
      </c>
    </row>
    <row r="194" spans="1:44" x14ac:dyDescent="0.3">
      <c r="A194" s="1129" t="s">
        <v>3023</v>
      </c>
      <c r="B194" s="1129" t="s">
        <v>3024</v>
      </c>
      <c r="C194" s="1129" t="s">
        <v>3025</v>
      </c>
      <c r="D194" s="1129" t="s">
        <v>2595</v>
      </c>
      <c r="E194" s="561">
        <v>-43147</v>
      </c>
      <c r="F194" s="561">
        <v>0</v>
      </c>
      <c r="G194" s="561">
        <v>1117424</v>
      </c>
      <c r="H194" s="561">
        <v>81176</v>
      </c>
      <c r="I194" s="561">
        <v>3238</v>
      </c>
      <c r="J194" s="561">
        <v>144772</v>
      </c>
      <c r="K194" s="561">
        <v>67786</v>
      </c>
      <c r="L194" s="561">
        <v>0</v>
      </c>
      <c r="M194" s="561">
        <v>24142</v>
      </c>
      <c r="N194" s="561">
        <v>5048</v>
      </c>
      <c r="O194" s="561">
        <v>4965</v>
      </c>
      <c r="P194" s="561">
        <v>1447</v>
      </c>
      <c r="Q194" s="561">
        <v>0</v>
      </c>
      <c r="R194" s="561">
        <v>684842</v>
      </c>
      <c r="S194" s="1217">
        <v>0</v>
      </c>
      <c r="T194" s="1217">
        <v>2500</v>
      </c>
      <c r="U194" s="1217">
        <v>-5000</v>
      </c>
      <c r="V194" s="561">
        <v>16103</v>
      </c>
      <c r="W194" s="561">
        <v>0</v>
      </c>
      <c r="X194" s="561">
        <v>8145</v>
      </c>
      <c r="Y194" s="561">
        <v>0</v>
      </c>
      <c r="Z194" s="561">
        <v>0</v>
      </c>
      <c r="AA194" s="561">
        <v>0</v>
      </c>
      <c r="AB194" s="561">
        <v>0</v>
      </c>
      <c r="AC194" s="561">
        <v>0</v>
      </c>
      <c r="AD194" s="561">
        <v>79314</v>
      </c>
      <c r="AE194" s="561">
        <v>18429</v>
      </c>
      <c r="AF194" s="561">
        <v>21350</v>
      </c>
      <c r="AG194" s="561">
        <v>23437</v>
      </c>
      <c r="AH194" s="561">
        <v>6080</v>
      </c>
      <c r="AI194" s="561">
        <v>103397</v>
      </c>
      <c r="AJ194" s="561">
        <v>32542</v>
      </c>
      <c r="AK194" s="561">
        <v>181093</v>
      </c>
      <c r="AL194" s="561">
        <v>19626</v>
      </c>
      <c r="AM194" s="561">
        <v>0</v>
      </c>
      <c r="AN194" s="561">
        <v>0</v>
      </c>
      <c r="AO194" s="561">
        <v>0</v>
      </c>
      <c r="AP194" s="561">
        <v>0</v>
      </c>
      <c r="AQ194" s="561">
        <v>0</v>
      </c>
      <c r="AR194" s="561">
        <v>0</v>
      </c>
    </row>
    <row r="195" spans="1:44" x14ac:dyDescent="0.3">
      <c r="A195" s="1196" t="s">
        <v>3026</v>
      </c>
      <c r="B195" s="1196" t="s">
        <v>3027</v>
      </c>
      <c r="C195" s="1196" t="s">
        <v>3028</v>
      </c>
      <c r="D195" s="1196" t="s">
        <v>2466</v>
      </c>
      <c r="E195" s="561">
        <v>0</v>
      </c>
      <c r="F195" s="561">
        <v>0</v>
      </c>
      <c r="G195" s="561">
        <v>0</v>
      </c>
      <c r="H195" s="561">
        <v>0</v>
      </c>
      <c r="I195" s="561">
        <v>0</v>
      </c>
      <c r="J195" s="561">
        <v>0</v>
      </c>
      <c r="K195" s="561">
        <v>0</v>
      </c>
      <c r="L195" s="561">
        <v>0</v>
      </c>
      <c r="M195" s="561">
        <v>0</v>
      </c>
      <c r="N195" s="561">
        <v>0</v>
      </c>
      <c r="O195" s="561">
        <v>0</v>
      </c>
      <c r="P195" s="561">
        <v>0</v>
      </c>
      <c r="Q195" s="561">
        <v>0</v>
      </c>
      <c r="R195" s="561">
        <v>0</v>
      </c>
      <c r="S195" s="1217">
        <v>0</v>
      </c>
      <c r="T195" s="1217">
        <v>0</v>
      </c>
      <c r="U195" s="1217">
        <v>0</v>
      </c>
      <c r="V195" s="561">
        <v>0</v>
      </c>
      <c r="W195" s="561">
        <v>0</v>
      </c>
      <c r="X195" s="561">
        <v>0</v>
      </c>
      <c r="Y195" s="561">
        <v>0</v>
      </c>
      <c r="Z195" s="561">
        <v>0</v>
      </c>
      <c r="AA195" s="561">
        <v>0</v>
      </c>
      <c r="AB195" s="561">
        <v>0</v>
      </c>
      <c r="AC195" s="561">
        <v>0</v>
      </c>
      <c r="AM195" s="561">
        <v>0</v>
      </c>
      <c r="AN195" s="561">
        <v>0</v>
      </c>
      <c r="AO195" s="561">
        <v>0</v>
      </c>
      <c r="AP195" s="561">
        <v>0</v>
      </c>
      <c r="AQ195" s="561">
        <v>0</v>
      </c>
      <c r="AR195" s="561">
        <v>0</v>
      </c>
    </row>
    <row r="196" spans="1:44" x14ac:dyDescent="0.3">
      <c r="A196" s="1129" t="s">
        <v>3029</v>
      </c>
      <c r="B196" s="1129" t="s">
        <v>3030</v>
      </c>
      <c r="C196" s="1129" t="s">
        <v>3031</v>
      </c>
      <c r="D196" s="1129" t="s">
        <v>2466</v>
      </c>
      <c r="E196" s="561">
        <v>-13702</v>
      </c>
      <c r="F196" s="561">
        <v>0</v>
      </c>
      <c r="G196" s="561">
        <v>0</v>
      </c>
      <c r="H196" s="561">
        <v>0</v>
      </c>
      <c r="I196" s="561">
        <v>0</v>
      </c>
      <c r="J196" s="561">
        <v>0</v>
      </c>
      <c r="K196" s="561">
        <v>0</v>
      </c>
      <c r="L196" s="561">
        <v>0</v>
      </c>
      <c r="M196" s="561">
        <v>0</v>
      </c>
      <c r="N196" s="561">
        <v>0</v>
      </c>
      <c r="O196" s="561">
        <v>0</v>
      </c>
      <c r="P196" s="561">
        <v>0</v>
      </c>
      <c r="Q196" s="561">
        <v>0</v>
      </c>
      <c r="R196" s="561">
        <v>42335</v>
      </c>
      <c r="S196" s="1217">
        <v>0</v>
      </c>
      <c r="T196" s="1217">
        <v>2500</v>
      </c>
      <c r="U196" s="1217">
        <v>0</v>
      </c>
      <c r="V196" s="561">
        <v>90</v>
      </c>
      <c r="W196" s="561">
        <v>0</v>
      </c>
      <c r="X196" s="561">
        <v>526</v>
      </c>
      <c r="Y196" s="561">
        <v>0</v>
      </c>
      <c r="Z196" s="561">
        <v>0</v>
      </c>
      <c r="AA196" s="561">
        <v>0</v>
      </c>
      <c r="AB196" s="561">
        <v>0</v>
      </c>
      <c r="AC196" s="561">
        <v>0</v>
      </c>
      <c r="AD196" s="561">
        <v>0</v>
      </c>
      <c r="AE196" s="561">
        <v>0</v>
      </c>
      <c r="AF196" s="561">
        <v>0</v>
      </c>
      <c r="AG196" s="561">
        <v>5775</v>
      </c>
      <c r="AH196" s="561">
        <v>5157</v>
      </c>
      <c r="AI196" s="561">
        <v>0</v>
      </c>
      <c r="AJ196" s="561">
        <v>0</v>
      </c>
      <c r="AK196" s="561">
        <v>3285</v>
      </c>
      <c r="AL196" s="561">
        <v>0</v>
      </c>
      <c r="AM196" s="561">
        <v>0</v>
      </c>
      <c r="AN196" s="561">
        <v>0</v>
      </c>
      <c r="AO196" s="561">
        <v>0</v>
      </c>
      <c r="AP196" s="561">
        <v>0</v>
      </c>
      <c r="AQ196" s="561">
        <v>0</v>
      </c>
      <c r="AR196" s="561">
        <v>0</v>
      </c>
    </row>
    <row r="197" spans="1:44" x14ac:dyDescent="0.3">
      <c r="A197" s="1129" t="s">
        <v>3032</v>
      </c>
      <c r="B197" s="1129" t="s">
        <v>3033</v>
      </c>
      <c r="C197" s="1129" t="s">
        <v>3034</v>
      </c>
      <c r="D197" s="1129" t="s">
        <v>2466</v>
      </c>
      <c r="E197" s="561">
        <v>0</v>
      </c>
      <c r="F197" s="561">
        <v>-254272</v>
      </c>
      <c r="G197" s="561">
        <v>0</v>
      </c>
      <c r="H197" s="561">
        <v>0</v>
      </c>
      <c r="I197" s="561">
        <v>0</v>
      </c>
      <c r="J197" s="561">
        <v>0</v>
      </c>
      <c r="K197" s="561">
        <v>0</v>
      </c>
      <c r="L197" s="561">
        <v>0</v>
      </c>
      <c r="M197" s="561">
        <v>0</v>
      </c>
      <c r="N197" s="561">
        <v>0</v>
      </c>
      <c r="O197" s="561">
        <v>0</v>
      </c>
      <c r="P197" s="561">
        <v>0</v>
      </c>
      <c r="Q197" s="561">
        <v>0</v>
      </c>
      <c r="R197" s="561">
        <v>130878</v>
      </c>
      <c r="S197" s="1217">
        <v>0</v>
      </c>
      <c r="T197" s="1217">
        <v>11244</v>
      </c>
      <c r="U197" s="1217">
        <v>0</v>
      </c>
      <c r="V197" s="561">
        <v>1466</v>
      </c>
      <c r="W197" s="561">
        <v>0</v>
      </c>
      <c r="X197" s="561">
        <v>0</v>
      </c>
      <c r="Y197" s="561">
        <v>0</v>
      </c>
      <c r="Z197" s="561">
        <v>0</v>
      </c>
      <c r="AA197" s="561">
        <v>12596</v>
      </c>
      <c r="AB197" s="561">
        <v>5090</v>
      </c>
      <c r="AC197" s="561">
        <v>5782</v>
      </c>
      <c r="AD197" s="561">
        <v>0</v>
      </c>
      <c r="AE197" s="561">
        <v>0</v>
      </c>
      <c r="AF197" s="561">
        <v>0</v>
      </c>
      <c r="AG197" s="561">
        <v>19721</v>
      </c>
      <c r="AH197" s="561">
        <v>0</v>
      </c>
      <c r="AI197" s="561">
        <v>6080</v>
      </c>
      <c r="AJ197" s="561">
        <v>685</v>
      </c>
      <c r="AK197" s="561">
        <v>1691</v>
      </c>
      <c r="AL197" s="561">
        <v>1267</v>
      </c>
      <c r="AM197" s="561">
        <v>0</v>
      </c>
      <c r="AN197" s="561">
        <v>0</v>
      </c>
      <c r="AO197" s="561">
        <v>0</v>
      </c>
      <c r="AP197" s="561">
        <v>0</v>
      </c>
      <c r="AQ197" s="561">
        <v>0</v>
      </c>
      <c r="AR197" s="561">
        <v>0</v>
      </c>
    </row>
    <row r="198" spans="1:44" x14ac:dyDescent="0.3">
      <c r="A198" s="1129" t="s">
        <v>3035</v>
      </c>
      <c r="B198" s="1129" t="s">
        <v>3036</v>
      </c>
      <c r="C198" s="1129" t="s">
        <v>3037</v>
      </c>
      <c r="D198" s="1129" t="s">
        <v>384</v>
      </c>
      <c r="E198" s="561">
        <v>-477</v>
      </c>
      <c r="F198" s="561">
        <v>0</v>
      </c>
      <c r="G198" s="561">
        <v>0</v>
      </c>
      <c r="H198" s="561">
        <v>0</v>
      </c>
      <c r="I198" s="561">
        <v>34</v>
      </c>
      <c r="J198" s="561">
        <v>0</v>
      </c>
      <c r="K198" s="561">
        <v>0</v>
      </c>
      <c r="L198" s="561">
        <v>1010</v>
      </c>
      <c r="M198" s="561">
        <v>0</v>
      </c>
      <c r="N198" s="561">
        <v>0</v>
      </c>
      <c r="O198" s="561">
        <v>603</v>
      </c>
      <c r="P198" s="561">
        <v>137</v>
      </c>
      <c r="Q198" s="561">
        <v>1760</v>
      </c>
      <c r="R198" s="561">
        <v>13311</v>
      </c>
      <c r="S198" s="1217">
        <v>2134</v>
      </c>
      <c r="T198" s="1217">
        <v>109</v>
      </c>
      <c r="U198" s="1217">
        <v>0</v>
      </c>
      <c r="V198" s="561">
        <v>2756</v>
      </c>
      <c r="W198" s="561">
        <v>351</v>
      </c>
      <c r="X198" s="561">
        <v>258</v>
      </c>
      <c r="Y198" s="561">
        <v>0</v>
      </c>
      <c r="Z198" s="561">
        <v>174</v>
      </c>
      <c r="AA198" s="561">
        <v>0</v>
      </c>
      <c r="AB198" s="561">
        <v>0</v>
      </c>
      <c r="AC198" s="561">
        <v>0</v>
      </c>
      <c r="AD198" s="561">
        <v>0</v>
      </c>
      <c r="AE198" s="561">
        <v>0</v>
      </c>
      <c r="AF198" s="561">
        <v>0</v>
      </c>
      <c r="AG198" s="561">
        <v>10327</v>
      </c>
      <c r="AH198" s="561">
        <v>0</v>
      </c>
      <c r="AI198" s="561">
        <v>2368</v>
      </c>
      <c r="AJ198" s="561">
        <v>460</v>
      </c>
      <c r="AK198" s="561">
        <v>264</v>
      </c>
      <c r="AL198" s="561">
        <v>13947</v>
      </c>
      <c r="AM198" s="561">
        <v>1</v>
      </c>
      <c r="AN198" s="561">
        <v>0</v>
      </c>
      <c r="AO198" s="561">
        <v>0</v>
      </c>
      <c r="AP198" s="561">
        <v>0</v>
      </c>
      <c r="AQ198" s="561">
        <v>14</v>
      </c>
      <c r="AR198" s="561">
        <v>0</v>
      </c>
    </row>
    <row r="199" spans="1:44" x14ac:dyDescent="0.3">
      <c r="A199" s="1129" t="s">
        <v>3038</v>
      </c>
      <c r="B199" s="1129" t="s">
        <v>3038</v>
      </c>
      <c r="C199" s="1129" t="s">
        <v>3039</v>
      </c>
      <c r="D199" s="1129" t="s">
        <v>2466</v>
      </c>
      <c r="E199" s="561">
        <v>0</v>
      </c>
      <c r="F199" s="561">
        <v>0</v>
      </c>
      <c r="G199" s="561">
        <v>0</v>
      </c>
      <c r="H199" s="561">
        <v>0</v>
      </c>
      <c r="I199" s="561">
        <v>0</v>
      </c>
      <c r="J199" s="561">
        <v>0</v>
      </c>
      <c r="K199" s="561">
        <v>0</v>
      </c>
      <c r="L199" s="561">
        <v>0</v>
      </c>
      <c r="M199" s="561">
        <v>0</v>
      </c>
      <c r="N199" s="561">
        <v>0</v>
      </c>
      <c r="O199" s="561">
        <v>0</v>
      </c>
      <c r="P199" s="561">
        <v>0</v>
      </c>
      <c r="Q199" s="561">
        <v>0</v>
      </c>
      <c r="R199" s="561">
        <v>0</v>
      </c>
      <c r="S199" s="1217">
        <v>0</v>
      </c>
      <c r="T199" s="1217">
        <v>0</v>
      </c>
      <c r="U199" s="1217">
        <v>0</v>
      </c>
      <c r="V199" s="561">
        <v>1149</v>
      </c>
      <c r="W199" s="561">
        <v>0</v>
      </c>
      <c r="X199" s="561">
        <v>0</v>
      </c>
      <c r="Y199" s="561">
        <v>0</v>
      </c>
      <c r="Z199" s="561">
        <v>0</v>
      </c>
      <c r="AA199" s="561">
        <v>0</v>
      </c>
      <c r="AB199" s="561">
        <v>0</v>
      </c>
      <c r="AC199" s="561">
        <v>0</v>
      </c>
      <c r="AD199" s="561">
        <v>0</v>
      </c>
      <c r="AE199" s="561">
        <v>0</v>
      </c>
      <c r="AF199" s="561">
        <v>0</v>
      </c>
      <c r="AG199" s="561">
        <v>4991</v>
      </c>
      <c r="AH199" s="561">
        <v>0</v>
      </c>
      <c r="AI199" s="561">
        <v>1775</v>
      </c>
      <c r="AJ199" s="561">
        <v>0</v>
      </c>
      <c r="AK199" s="561">
        <v>0</v>
      </c>
      <c r="AL199" s="561">
        <v>0</v>
      </c>
      <c r="AM199" s="561">
        <v>0</v>
      </c>
      <c r="AN199" s="561">
        <v>0</v>
      </c>
      <c r="AO199" s="561">
        <v>0</v>
      </c>
      <c r="AP199" s="561">
        <v>0</v>
      </c>
      <c r="AQ199" s="561">
        <v>0</v>
      </c>
      <c r="AR199" s="561">
        <v>0</v>
      </c>
    </row>
    <row r="200" spans="1:44" x14ac:dyDescent="0.3">
      <c r="A200" s="1129" t="s">
        <v>3040</v>
      </c>
      <c r="B200" s="1129" t="s">
        <v>3041</v>
      </c>
      <c r="C200" s="1129" t="s">
        <v>3042</v>
      </c>
      <c r="D200" s="1129" t="s">
        <v>379</v>
      </c>
      <c r="E200" s="561">
        <v>-36578</v>
      </c>
      <c r="F200" s="561">
        <v>0</v>
      </c>
      <c r="G200" s="561">
        <v>629543</v>
      </c>
      <c r="H200" s="561">
        <v>53236</v>
      </c>
      <c r="I200" s="561">
        <v>2398</v>
      </c>
      <c r="J200" s="561">
        <v>81208</v>
      </c>
      <c r="K200" s="561">
        <v>39034</v>
      </c>
      <c r="L200" s="561">
        <v>6140</v>
      </c>
      <c r="M200" s="561">
        <v>14484</v>
      </c>
      <c r="N200" s="561">
        <v>5440</v>
      </c>
      <c r="O200" s="561">
        <v>20524</v>
      </c>
      <c r="P200" s="561">
        <v>6154</v>
      </c>
      <c r="Q200" s="561">
        <v>2803</v>
      </c>
      <c r="R200" s="561">
        <v>445161</v>
      </c>
      <c r="S200" s="1217">
        <v>19251</v>
      </c>
      <c r="T200" s="1217">
        <v>0</v>
      </c>
      <c r="U200" s="1217">
        <v>-500</v>
      </c>
      <c r="V200" s="561">
        <v>58303</v>
      </c>
      <c r="W200" s="561">
        <v>2225</v>
      </c>
      <c r="X200" s="561">
        <v>6563</v>
      </c>
      <c r="Y200" s="561">
        <v>0</v>
      </c>
      <c r="Z200" s="561">
        <v>2913</v>
      </c>
      <c r="AA200" s="561">
        <v>0</v>
      </c>
      <c r="AB200" s="561">
        <v>0</v>
      </c>
      <c r="AC200" s="561">
        <v>0</v>
      </c>
      <c r="AD200" s="561">
        <v>18544</v>
      </c>
      <c r="AE200" s="561">
        <v>8458</v>
      </c>
      <c r="AF200" s="561">
        <v>2871</v>
      </c>
      <c r="AG200" s="561">
        <v>36248</v>
      </c>
      <c r="AH200" s="561">
        <v>0</v>
      </c>
      <c r="AI200" s="561">
        <v>55833</v>
      </c>
      <c r="AJ200" s="561">
        <v>5134</v>
      </c>
      <c r="AK200" s="561">
        <v>23002</v>
      </c>
      <c r="AL200" s="561">
        <v>0</v>
      </c>
      <c r="AM200" s="561">
        <v>183</v>
      </c>
      <c r="AN200" s="561">
        <v>305</v>
      </c>
      <c r="AO200" s="561">
        <v>22</v>
      </c>
      <c r="AP200" s="561">
        <v>92</v>
      </c>
      <c r="AQ200" s="561">
        <v>12</v>
      </c>
      <c r="AR200" s="561">
        <v>60</v>
      </c>
    </row>
    <row r="201" spans="1:44" x14ac:dyDescent="0.3">
      <c r="A201" s="1129" t="s">
        <v>3043</v>
      </c>
      <c r="B201" s="1129" t="s">
        <v>3044</v>
      </c>
      <c r="C201" s="1129" t="s">
        <v>3045</v>
      </c>
      <c r="D201" s="1129" t="s">
        <v>385</v>
      </c>
      <c r="E201" s="561">
        <v>-36321</v>
      </c>
      <c r="F201" s="561">
        <v>0</v>
      </c>
      <c r="G201" s="561">
        <v>267906</v>
      </c>
      <c r="H201" s="561">
        <v>32070</v>
      </c>
      <c r="I201" s="561">
        <v>1114</v>
      </c>
      <c r="J201" s="561">
        <v>43451</v>
      </c>
      <c r="K201" s="561">
        <v>21659</v>
      </c>
      <c r="L201" s="561">
        <v>2634</v>
      </c>
      <c r="M201" s="561">
        <v>6885</v>
      </c>
      <c r="N201" s="561">
        <v>2787</v>
      </c>
      <c r="O201" s="561">
        <v>11663</v>
      </c>
      <c r="P201" s="561">
        <v>774</v>
      </c>
      <c r="Q201" s="561">
        <v>0</v>
      </c>
      <c r="R201" s="561">
        <v>166976</v>
      </c>
      <c r="S201" s="1217">
        <v>22609</v>
      </c>
      <c r="T201" s="1217">
        <v>0</v>
      </c>
      <c r="U201" s="1217">
        <v>0</v>
      </c>
      <c r="V201" s="561">
        <v>6472</v>
      </c>
      <c r="W201" s="561">
        <v>1004</v>
      </c>
      <c r="X201" s="561">
        <v>3235</v>
      </c>
      <c r="Y201" s="561">
        <v>0</v>
      </c>
      <c r="Z201" s="561">
        <v>1699</v>
      </c>
      <c r="AA201" s="561">
        <v>0</v>
      </c>
      <c r="AB201" s="561">
        <v>0</v>
      </c>
      <c r="AC201" s="561">
        <v>0</v>
      </c>
      <c r="AD201" s="561">
        <v>20908</v>
      </c>
      <c r="AE201" s="561">
        <v>0</v>
      </c>
      <c r="AF201" s="561">
        <v>0</v>
      </c>
      <c r="AG201" s="561">
        <v>15000</v>
      </c>
      <c r="AH201" s="561">
        <v>10226</v>
      </c>
      <c r="AI201" s="561">
        <v>152846</v>
      </c>
      <c r="AJ201" s="561">
        <v>17113</v>
      </c>
      <c r="AK201" s="561">
        <v>91561</v>
      </c>
      <c r="AL201" s="561">
        <v>0</v>
      </c>
      <c r="AM201" s="561">
        <v>308</v>
      </c>
      <c r="AN201" s="561">
        <v>533</v>
      </c>
      <c r="AO201" s="561">
        <v>159</v>
      </c>
      <c r="AP201" s="561">
        <v>2</v>
      </c>
      <c r="AQ201" s="561">
        <v>1</v>
      </c>
      <c r="AR201" s="561">
        <v>5</v>
      </c>
    </row>
    <row r="202" spans="1:44" x14ac:dyDescent="0.3">
      <c r="A202" s="1129" t="s">
        <v>3046</v>
      </c>
      <c r="B202" s="1129" t="s">
        <v>3047</v>
      </c>
      <c r="C202" s="1129" t="s">
        <v>3048</v>
      </c>
      <c r="D202" s="1129" t="s">
        <v>2595</v>
      </c>
      <c r="E202" s="561">
        <v>-1229</v>
      </c>
      <c r="F202" s="561">
        <v>0</v>
      </c>
      <c r="G202" s="561">
        <v>292184</v>
      </c>
      <c r="H202" s="561">
        <v>29859</v>
      </c>
      <c r="I202" s="561">
        <v>1464</v>
      </c>
      <c r="J202" s="561">
        <v>50971</v>
      </c>
      <c r="K202" s="561">
        <v>21824</v>
      </c>
      <c r="L202" s="561">
        <v>0</v>
      </c>
      <c r="M202" s="561">
        <v>10562</v>
      </c>
      <c r="N202" s="561">
        <v>1488</v>
      </c>
      <c r="O202" s="561">
        <v>0</v>
      </c>
      <c r="P202" s="561">
        <v>1041</v>
      </c>
      <c r="Q202" s="561">
        <v>0</v>
      </c>
      <c r="R202" s="561">
        <v>422465</v>
      </c>
      <c r="S202" s="1217">
        <v>0</v>
      </c>
      <c r="T202" s="1217">
        <v>40986</v>
      </c>
      <c r="U202" s="1217">
        <v>0</v>
      </c>
      <c r="V202" s="561">
        <v>5077</v>
      </c>
      <c r="W202" s="561">
        <v>0</v>
      </c>
      <c r="X202" s="561">
        <v>3656</v>
      </c>
      <c r="Y202" s="561">
        <v>0</v>
      </c>
      <c r="Z202" s="561">
        <v>0</v>
      </c>
      <c r="AA202" s="561">
        <v>0</v>
      </c>
      <c r="AB202" s="561">
        <v>0</v>
      </c>
      <c r="AC202" s="561">
        <v>0</v>
      </c>
      <c r="AD202" s="561">
        <v>4956</v>
      </c>
      <c r="AE202" s="561">
        <v>0</v>
      </c>
      <c r="AF202" s="561">
        <v>9031</v>
      </c>
      <c r="AG202" s="561">
        <v>21006</v>
      </c>
      <c r="AH202" s="561">
        <v>0</v>
      </c>
      <c r="AI202" s="561">
        <v>171424</v>
      </c>
      <c r="AJ202" s="561">
        <v>15413</v>
      </c>
      <c r="AK202" s="561">
        <v>64993</v>
      </c>
      <c r="AL202" s="561">
        <v>0</v>
      </c>
      <c r="AM202" s="561">
        <v>0</v>
      </c>
      <c r="AN202" s="561">
        <v>0</v>
      </c>
      <c r="AO202" s="561">
        <v>0</v>
      </c>
      <c r="AP202" s="561">
        <v>0</v>
      </c>
      <c r="AQ202" s="561">
        <v>0</v>
      </c>
      <c r="AR202" s="561">
        <v>0</v>
      </c>
    </row>
    <row r="203" spans="1:44" x14ac:dyDescent="0.3">
      <c r="A203" s="1129" t="s">
        <v>3049</v>
      </c>
      <c r="B203" s="1129" t="s">
        <v>3050</v>
      </c>
      <c r="C203" s="1129" t="s">
        <v>3051</v>
      </c>
      <c r="D203" s="1129" t="s">
        <v>2466</v>
      </c>
      <c r="E203" s="561">
        <v>-7176</v>
      </c>
      <c r="F203" s="561">
        <v>0</v>
      </c>
      <c r="G203" s="561">
        <v>0</v>
      </c>
      <c r="H203" s="561">
        <v>0</v>
      </c>
      <c r="I203" s="561">
        <v>0</v>
      </c>
      <c r="J203" s="561">
        <v>0</v>
      </c>
      <c r="K203" s="561">
        <v>0</v>
      </c>
      <c r="L203" s="561">
        <v>0</v>
      </c>
      <c r="M203" s="561">
        <v>0</v>
      </c>
      <c r="N203" s="561">
        <v>0</v>
      </c>
      <c r="O203" s="561">
        <v>0</v>
      </c>
      <c r="P203" s="561">
        <v>0</v>
      </c>
      <c r="Q203" s="561">
        <v>0</v>
      </c>
      <c r="R203" s="561">
        <v>30325</v>
      </c>
      <c r="S203" s="1217">
        <v>0</v>
      </c>
      <c r="T203" s="1217">
        <v>11748</v>
      </c>
      <c r="U203" s="1217">
        <v>0</v>
      </c>
      <c r="V203" s="561">
        <v>412</v>
      </c>
      <c r="W203" s="561">
        <v>0</v>
      </c>
      <c r="X203" s="561">
        <v>317</v>
      </c>
      <c r="Y203" s="561">
        <v>0</v>
      </c>
      <c r="Z203" s="561">
        <v>0</v>
      </c>
      <c r="AA203" s="561">
        <v>0</v>
      </c>
      <c r="AB203" s="561">
        <v>0</v>
      </c>
      <c r="AC203" s="561">
        <v>0</v>
      </c>
      <c r="AD203" s="561">
        <v>0</v>
      </c>
      <c r="AE203" s="561">
        <v>0</v>
      </c>
      <c r="AF203" s="561">
        <v>0</v>
      </c>
      <c r="AG203" s="561">
        <v>3408</v>
      </c>
      <c r="AH203" s="561">
        <v>0</v>
      </c>
      <c r="AI203" s="561">
        <v>16315</v>
      </c>
      <c r="AJ203" s="561">
        <v>346</v>
      </c>
      <c r="AK203" s="561">
        <v>2005</v>
      </c>
      <c r="AL203" s="561">
        <v>993</v>
      </c>
      <c r="AM203" s="561">
        <v>0</v>
      </c>
      <c r="AN203" s="561">
        <v>0</v>
      </c>
      <c r="AO203" s="561">
        <v>0</v>
      </c>
      <c r="AP203" s="561">
        <v>0</v>
      </c>
      <c r="AQ203" s="561">
        <v>0</v>
      </c>
      <c r="AR203" s="561">
        <v>0</v>
      </c>
    </row>
    <row r="204" spans="1:44" x14ac:dyDescent="0.3">
      <c r="A204" s="1129" t="s">
        <v>3052</v>
      </c>
      <c r="B204" s="1129" t="s">
        <v>3053</v>
      </c>
      <c r="C204" s="1129" t="s">
        <v>3054</v>
      </c>
      <c r="D204" s="1129" t="s">
        <v>2466</v>
      </c>
      <c r="E204" s="561">
        <v>0</v>
      </c>
      <c r="F204" s="561">
        <v>-149993</v>
      </c>
      <c r="G204" s="561">
        <v>0</v>
      </c>
      <c r="H204" s="561">
        <v>0</v>
      </c>
      <c r="I204" s="561">
        <v>0</v>
      </c>
      <c r="J204" s="561">
        <v>0</v>
      </c>
      <c r="K204" s="561">
        <v>0</v>
      </c>
      <c r="L204" s="561">
        <v>0</v>
      </c>
      <c r="M204" s="561">
        <v>0</v>
      </c>
      <c r="N204" s="561">
        <v>0</v>
      </c>
      <c r="O204" s="561">
        <v>0</v>
      </c>
      <c r="P204" s="561">
        <v>0</v>
      </c>
      <c r="Q204" s="561">
        <v>0</v>
      </c>
      <c r="R204" s="561">
        <v>105067</v>
      </c>
      <c r="S204" s="1217">
        <v>0</v>
      </c>
      <c r="T204" s="1217">
        <v>0</v>
      </c>
      <c r="U204" s="1217">
        <v>0</v>
      </c>
      <c r="V204" s="561">
        <v>620</v>
      </c>
      <c r="W204" s="561">
        <v>0</v>
      </c>
      <c r="X204" s="561">
        <v>0</v>
      </c>
      <c r="Y204" s="561">
        <v>0</v>
      </c>
      <c r="Z204" s="561">
        <v>0</v>
      </c>
      <c r="AA204" s="561">
        <v>5362</v>
      </c>
      <c r="AB204" s="561">
        <v>2974</v>
      </c>
      <c r="AC204" s="561">
        <v>3889</v>
      </c>
      <c r="AD204" s="561">
        <v>0</v>
      </c>
      <c r="AE204" s="561">
        <v>0</v>
      </c>
      <c r="AF204" s="561">
        <v>0</v>
      </c>
      <c r="AG204" s="561">
        <v>5000</v>
      </c>
      <c r="AH204" s="561">
        <v>0</v>
      </c>
      <c r="AI204" s="561">
        <v>10509</v>
      </c>
      <c r="AJ204" s="561">
        <v>1316</v>
      </c>
      <c r="AK204" s="561">
        <v>14151</v>
      </c>
      <c r="AL204" s="561">
        <v>0</v>
      </c>
      <c r="AM204" s="561">
        <v>0</v>
      </c>
      <c r="AN204" s="561">
        <v>0</v>
      </c>
      <c r="AO204" s="561">
        <v>0</v>
      </c>
      <c r="AP204" s="561">
        <v>0</v>
      </c>
      <c r="AQ204" s="561">
        <v>0</v>
      </c>
      <c r="AR204" s="561">
        <v>0</v>
      </c>
    </row>
    <row r="205" spans="1:44" x14ac:dyDescent="0.3">
      <c r="A205" s="1129" t="s">
        <v>3055</v>
      </c>
      <c r="B205" s="1129" t="s">
        <v>3056</v>
      </c>
      <c r="C205" s="1129" t="s">
        <v>3057</v>
      </c>
      <c r="D205" s="1129" t="s">
        <v>384</v>
      </c>
      <c r="E205" s="561">
        <v>-170</v>
      </c>
      <c r="F205" s="561">
        <v>0</v>
      </c>
      <c r="G205" s="561">
        <v>0</v>
      </c>
      <c r="H205" s="561">
        <v>0</v>
      </c>
      <c r="I205" s="561">
        <v>36</v>
      </c>
      <c r="J205" s="561">
        <v>0</v>
      </c>
      <c r="K205" s="561">
        <v>0</v>
      </c>
      <c r="L205" s="561">
        <v>954</v>
      </c>
      <c r="M205" s="561">
        <v>0</v>
      </c>
      <c r="N205" s="561">
        <v>0</v>
      </c>
      <c r="O205" s="561">
        <v>0</v>
      </c>
      <c r="P205" s="561">
        <v>449</v>
      </c>
      <c r="Q205" s="561">
        <v>5685</v>
      </c>
      <c r="R205" s="561">
        <v>14839</v>
      </c>
      <c r="S205" s="1217">
        <v>3570</v>
      </c>
      <c r="T205" s="1217">
        <v>0</v>
      </c>
      <c r="U205" s="1217">
        <v>0</v>
      </c>
      <c r="V205" s="561">
        <v>1206</v>
      </c>
      <c r="W205" s="561">
        <v>238</v>
      </c>
      <c r="X205" s="561">
        <v>153</v>
      </c>
      <c r="Y205" s="561">
        <v>104</v>
      </c>
      <c r="Z205" s="561">
        <v>0</v>
      </c>
      <c r="AA205" s="561">
        <v>0</v>
      </c>
      <c r="AB205" s="561">
        <v>0</v>
      </c>
      <c r="AC205" s="561">
        <v>0</v>
      </c>
      <c r="AD205" s="561">
        <v>0</v>
      </c>
      <c r="AE205" s="561">
        <v>0</v>
      </c>
      <c r="AF205" s="561">
        <v>0</v>
      </c>
      <c r="AG205" s="561">
        <v>3086</v>
      </c>
      <c r="AH205" s="561">
        <v>201</v>
      </c>
      <c r="AI205" s="561">
        <v>4130</v>
      </c>
      <c r="AJ205" s="561">
        <v>213</v>
      </c>
      <c r="AK205" s="561">
        <v>2247</v>
      </c>
      <c r="AL205" s="561">
        <v>0</v>
      </c>
      <c r="AM205" s="561">
        <v>12</v>
      </c>
      <c r="AN205" s="561">
        <v>37</v>
      </c>
      <c r="AO205" s="561">
        <v>0</v>
      </c>
      <c r="AP205" s="561">
        <v>2</v>
      </c>
      <c r="AQ205" s="561">
        <v>43</v>
      </c>
      <c r="AR205" s="561">
        <v>0</v>
      </c>
    </row>
    <row r="206" spans="1:44" x14ac:dyDescent="0.3">
      <c r="A206" s="1129" t="s">
        <v>3058</v>
      </c>
      <c r="B206" s="1129" t="s">
        <v>3059</v>
      </c>
      <c r="C206" s="1129" t="s">
        <v>3060</v>
      </c>
      <c r="D206" s="1129" t="s">
        <v>2476</v>
      </c>
      <c r="E206" s="561">
        <v>-35186</v>
      </c>
      <c r="F206" s="561">
        <v>0</v>
      </c>
      <c r="G206" s="561">
        <v>303748</v>
      </c>
      <c r="H206" s="561">
        <v>29759</v>
      </c>
      <c r="I206" s="561">
        <v>39</v>
      </c>
      <c r="J206" s="561">
        <v>36537</v>
      </c>
      <c r="K206" s="561">
        <v>18433</v>
      </c>
      <c r="L206" s="561">
        <v>10573</v>
      </c>
      <c r="M206" s="561">
        <v>5984</v>
      </c>
      <c r="N206" s="561">
        <v>2040</v>
      </c>
      <c r="O206" s="561">
        <v>5279</v>
      </c>
      <c r="P206" s="561">
        <v>677</v>
      </c>
      <c r="Q206" s="561">
        <v>0</v>
      </c>
      <c r="R206" s="561">
        <v>152280</v>
      </c>
      <c r="S206" s="1217">
        <v>18632</v>
      </c>
      <c r="T206" s="1217">
        <v>5329</v>
      </c>
      <c r="U206" s="1217">
        <v>0</v>
      </c>
      <c r="V206" s="561">
        <v>4971</v>
      </c>
      <c r="W206" s="561">
        <v>1541</v>
      </c>
      <c r="X206" s="561">
        <v>3108</v>
      </c>
      <c r="Y206" s="561">
        <v>0</v>
      </c>
      <c r="Z206" s="561">
        <v>969</v>
      </c>
      <c r="AA206" s="561">
        <v>0</v>
      </c>
      <c r="AB206" s="561">
        <v>0</v>
      </c>
      <c r="AC206" s="561">
        <v>0</v>
      </c>
      <c r="AD206" s="561">
        <v>16489</v>
      </c>
      <c r="AE206" s="561">
        <v>0</v>
      </c>
      <c r="AF206" s="561">
        <v>0</v>
      </c>
      <c r="AG206" s="561">
        <v>20000</v>
      </c>
      <c r="AH206" s="561">
        <v>0</v>
      </c>
      <c r="AI206" s="561">
        <v>200847</v>
      </c>
      <c r="AJ206" s="561">
        <v>0</v>
      </c>
      <c r="AK206" s="561">
        <v>0</v>
      </c>
      <c r="AL206" s="561">
        <v>0</v>
      </c>
      <c r="AM206" s="561" t="s">
        <v>2534</v>
      </c>
      <c r="AN206" s="561" t="s">
        <v>2534</v>
      </c>
      <c r="AO206" s="561" t="s">
        <v>2534</v>
      </c>
      <c r="AP206" s="561" t="s">
        <v>2534</v>
      </c>
      <c r="AQ206" s="561" t="s">
        <v>2534</v>
      </c>
      <c r="AR206" s="561" t="s">
        <v>2534</v>
      </c>
    </row>
    <row r="207" spans="1:44" x14ac:dyDescent="0.3">
      <c r="A207" s="1129" t="s">
        <v>3061</v>
      </c>
      <c r="B207" s="1129" t="s">
        <v>3062</v>
      </c>
      <c r="C207" s="1129" t="s">
        <v>3063</v>
      </c>
      <c r="D207" s="1129" t="s">
        <v>384</v>
      </c>
      <c r="E207" s="561">
        <v>-134</v>
      </c>
      <c r="F207" s="561">
        <v>0</v>
      </c>
      <c r="G207" s="561">
        <v>0</v>
      </c>
      <c r="H207" s="561">
        <v>0</v>
      </c>
      <c r="I207" s="561">
        <v>36</v>
      </c>
      <c r="J207" s="561">
        <v>0</v>
      </c>
      <c r="K207" s="561">
        <v>0</v>
      </c>
      <c r="L207" s="561">
        <v>498</v>
      </c>
      <c r="M207" s="561">
        <v>0</v>
      </c>
      <c r="N207" s="561">
        <v>0</v>
      </c>
      <c r="O207" s="561">
        <v>0</v>
      </c>
      <c r="P207" s="561">
        <v>677</v>
      </c>
      <c r="Q207" s="561">
        <v>2504</v>
      </c>
      <c r="R207" s="561">
        <v>10719</v>
      </c>
      <c r="S207" s="1217">
        <v>0</v>
      </c>
      <c r="T207" s="1217">
        <v>4485</v>
      </c>
      <c r="U207" s="1217">
        <v>0</v>
      </c>
      <c r="V207" s="561">
        <v>24</v>
      </c>
      <c r="W207" s="561">
        <v>172</v>
      </c>
      <c r="X207" s="561">
        <v>105</v>
      </c>
      <c r="Y207" s="561">
        <v>748</v>
      </c>
      <c r="Z207" s="561">
        <v>265</v>
      </c>
      <c r="AA207" s="561">
        <v>0</v>
      </c>
      <c r="AB207" s="561">
        <v>0</v>
      </c>
      <c r="AC207" s="561">
        <v>0</v>
      </c>
      <c r="AD207" s="561">
        <v>0</v>
      </c>
      <c r="AE207" s="561">
        <v>0</v>
      </c>
      <c r="AF207" s="561">
        <v>0</v>
      </c>
      <c r="AG207" s="561">
        <v>5800</v>
      </c>
      <c r="AH207" s="561">
        <v>51</v>
      </c>
      <c r="AI207" s="561">
        <v>15658</v>
      </c>
      <c r="AJ207" s="561">
        <v>2282</v>
      </c>
      <c r="AK207" s="561">
        <v>0</v>
      </c>
      <c r="AL207" s="561">
        <v>0</v>
      </c>
      <c r="AM207" s="561">
        <v>19</v>
      </c>
      <c r="AN207" s="561">
        <v>5</v>
      </c>
      <c r="AO207" s="561">
        <v>0</v>
      </c>
      <c r="AP207" s="561">
        <v>0</v>
      </c>
      <c r="AQ207" s="561">
        <v>24</v>
      </c>
      <c r="AR207" s="561">
        <v>0</v>
      </c>
    </row>
    <row r="208" spans="1:44" x14ac:dyDescent="0.3">
      <c r="A208" s="1129" t="s">
        <v>3064</v>
      </c>
      <c r="B208" s="1129" t="s">
        <v>3065</v>
      </c>
      <c r="C208" s="1129" t="s">
        <v>3066</v>
      </c>
      <c r="D208" s="1129" t="s">
        <v>384</v>
      </c>
      <c r="E208" s="561">
        <v>-226</v>
      </c>
      <c r="F208" s="561">
        <v>0</v>
      </c>
      <c r="G208" s="561">
        <v>0</v>
      </c>
      <c r="H208" s="561">
        <v>0</v>
      </c>
      <c r="I208" s="561">
        <v>35</v>
      </c>
      <c r="J208" s="561">
        <v>0</v>
      </c>
      <c r="K208" s="561">
        <v>0</v>
      </c>
      <c r="L208" s="561">
        <v>946</v>
      </c>
      <c r="M208" s="561">
        <v>0</v>
      </c>
      <c r="N208" s="561">
        <v>0</v>
      </c>
      <c r="O208" s="561">
        <v>414</v>
      </c>
      <c r="P208" s="561">
        <v>27</v>
      </c>
      <c r="Q208" s="561">
        <v>0</v>
      </c>
      <c r="R208" s="561">
        <v>8167</v>
      </c>
      <c r="S208" s="1217">
        <v>8910.74</v>
      </c>
      <c r="T208" s="1217">
        <v>4769</v>
      </c>
      <c r="U208" s="1217">
        <v>0</v>
      </c>
      <c r="V208" s="561">
        <v>2993</v>
      </c>
      <c r="W208" s="561">
        <v>307</v>
      </c>
      <c r="X208" s="561">
        <v>184</v>
      </c>
      <c r="Y208" s="561">
        <v>0</v>
      </c>
      <c r="Z208" s="561">
        <v>818</v>
      </c>
      <c r="AA208" s="561">
        <v>0</v>
      </c>
      <c r="AB208" s="561">
        <v>0</v>
      </c>
      <c r="AC208" s="561">
        <v>0</v>
      </c>
      <c r="AD208" s="561">
        <v>0</v>
      </c>
      <c r="AE208" s="561">
        <v>0</v>
      </c>
      <c r="AF208" s="561">
        <v>0</v>
      </c>
      <c r="AG208" s="561">
        <v>2245</v>
      </c>
      <c r="AH208" s="561">
        <v>258</v>
      </c>
      <c r="AI208" s="561">
        <v>4476</v>
      </c>
      <c r="AJ208" s="561">
        <v>1242</v>
      </c>
      <c r="AK208" s="561">
        <v>3303</v>
      </c>
      <c r="AL208" s="561">
        <v>0</v>
      </c>
      <c r="AM208" s="561">
        <v>24</v>
      </c>
      <c r="AN208" s="561">
        <v>7</v>
      </c>
      <c r="AO208" s="561">
        <v>0</v>
      </c>
      <c r="AP208" s="561">
        <v>0</v>
      </c>
      <c r="AQ208" s="561">
        <v>37</v>
      </c>
      <c r="AR208" s="561">
        <v>0</v>
      </c>
    </row>
    <row r="209" spans="1:44" x14ac:dyDescent="0.3">
      <c r="A209" s="1129" t="s">
        <v>3067</v>
      </c>
      <c r="B209" s="1129" t="s">
        <v>3068</v>
      </c>
      <c r="C209" s="1129" t="s">
        <v>3069</v>
      </c>
      <c r="D209" s="1129" t="s">
        <v>2595</v>
      </c>
      <c r="E209" s="561">
        <v>-28879</v>
      </c>
      <c r="F209" s="561">
        <v>0</v>
      </c>
      <c r="G209" s="561">
        <v>385974</v>
      </c>
      <c r="H209" s="561">
        <v>39077</v>
      </c>
      <c r="I209" s="561">
        <v>1889</v>
      </c>
      <c r="J209" s="561">
        <v>87223</v>
      </c>
      <c r="K209" s="561">
        <v>42261</v>
      </c>
      <c r="L209" s="561">
        <v>0</v>
      </c>
      <c r="M209" s="561">
        <v>14735</v>
      </c>
      <c r="N209" s="561">
        <v>3219</v>
      </c>
      <c r="O209" s="561">
        <v>0</v>
      </c>
      <c r="P209" s="561">
        <v>807</v>
      </c>
      <c r="Q209" s="561">
        <v>0</v>
      </c>
      <c r="R209" s="561">
        <v>403223</v>
      </c>
      <c r="S209" s="1217">
        <v>0</v>
      </c>
      <c r="T209" s="1217">
        <v>12756</v>
      </c>
      <c r="U209" s="1217">
        <v>0</v>
      </c>
      <c r="V209" s="561">
        <v>15696</v>
      </c>
      <c r="W209" s="561">
        <v>0</v>
      </c>
      <c r="X209" s="561">
        <v>4242</v>
      </c>
      <c r="Y209" s="561">
        <v>0</v>
      </c>
      <c r="Z209" s="561">
        <v>0</v>
      </c>
      <c r="AA209" s="561">
        <v>0</v>
      </c>
      <c r="AB209" s="561">
        <v>0</v>
      </c>
      <c r="AC209" s="561">
        <v>0</v>
      </c>
      <c r="AD209" s="561">
        <v>13049</v>
      </c>
      <c r="AE209" s="561">
        <v>16280</v>
      </c>
      <c r="AF209" s="561">
        <v>14193</v>
      </c>
      <c r="AG209" s="561">
        <v>16400</v>
      </c>
      <c r="AH209" s="561">
        <v>1358</v>
      </c>
      <c r="AI209" s="561">
        <v>127376</v>
      </c>
      <c r="AJ209" s="561">
        <v>6557</v>
      </c>
      <c r="AK209" s="561">
        <v>46922</v>
      </c>
      <c r="AL209" s="561">
        <v>0</v>
      </c>
      <c r="AM209" s="561">
        <v>0</v>
      </c>
      <c r="AN209" s="561">
        <v>0</v>
      </c>
      <c r="AO209" s="561">
        <v>0</v>
      </c>
      <c r="AP209" s="561">
        <v>0</v>
      </c>
      <c r="AQ209" s="561">
        <v>0</v>
      </c>
      <c r="AR209" s="561">
        <v>0</v>
      </c>
    </row>
    <row r="210" spans="1:44" x14ac:dyDescent="0.3">
      <c r="A210" s="1129" t="s">
        <v>3070</v>
      </c>
      <c r="B210" s="1129" t="s">
        <v>3071</v>
      </c>
      <c r="C210" s="1129" t="s">
        <v>3072</v>
      </c>
      <c r="D210" s="1129" t="s">
        <v>2466</v>
      </c>
      <c r="E210" s="561">
        <v>0</v>
      </c>
      <c r="F210" s="561">
        <v>-85736</v>
      </c>
      <c r="G210" s="561">
        <v>0</v>
      </c>
      <c r="H210" s="561">
        <v>0</v>
      </c>
      <c r="I210" s="561">
        <v>0</v>
      </c>
      <c r="J210" s="561">
        <v>0</v>
      </c>
      <c r="K210" s="561">
        <v>0</v>
      </c>
      <c r="L210" s="561">
        <v>0</v>
      </c>
      <c r="M210" s="561">
        <v>0</v>
      </c>
      <c r="N210" s="561">
        <v>0</v>
      </c>
      <c r="O210" s="561">
        <v>0</v>
      </c>
      <c r="P210" s="561">
        <v>0</v>
      </c>
      <c r="Q210" s="561">
        <v>0</v>
      </c>
      <c r="R210" s="561">
        <v>78904</v>
      </c>
      <c r="S210" s="1217">
        <v>0</v>
      </c>
      <c r="T210" s="1217">
        <v>0</v>
      </c>
      <c r="U210" s="1217">
        <v>0</v>
      </c>
      <c r="V210" s="561">
        <v>702</v>
      </c>
      <c r="W210" s="561">
        <v>0</v>
      </c>
      <c r="X210" s="561">
        <v>0</v>
      </c>
      <c r="Y210" s="561">
        <v>0</v>
      </c>
      <c r="Z210" s="561">
        <v>0</v>
      </c>
      <c r="AA210" s="561">
        <v>2911</v>
      </c>
      <c r="AB210" s="561">
        <v>1663</v>
      </c>
      <c r="AC210" s="561">
        <v>2163</v>
      </c>
      <c r="AD210" s="561">
        <v>0</v>
      </c>
      <c r="AE210" s="561">
        <v>0</v>
      </c>
      <c r="AF210" s="561">
        <v>0</v>
      </c>
      <c r="AG210" s="561">
        <v>7872</v>
      </c>
      <c r="AH210" s="561">
        <v>43</v>
      </c>
      <c r="AI210" s="561">
        <v>0</v>
      </c>
      <c r="AJ210" s="561">
        <v>16759</v>
      </c>
      <c r="AK210" s="561">
        <v>16324</v>
      </c>
      <c r="AL210" s="561">
        <v>0</v>
      </c>
      <c r="AM210" s="561">
        <v>0</v>
      </c>
      <c r="AN210" s="561">
        <v>0</v>
      </c>
      <c r="AO210" s="561">
        <v>0</v>
      </c>
      <c r="AP210" s="561">
        <v>0</v>
      </c>
      <c r="AQ210" s="561">
        <v>0</v>
      </c>
      <c r="AR210" s="561">
        <v>0</v>
      </c>
    </row>
    <row r="211" spans="1:44" x14ac:dyDescent="0.3">
      <c r="A211" s="1129" t="s">
        <v>3073</v>
      </c>
      <c r="B211" s="1129" t="s">
        <v>3074</v>
      </c>
      <c r="C211" s="1129" t="s">
        <v>3075</v>
      </c>
      <c r="D211" s="1129" t="s">
        <v>379</v>
      </c>
      <c r="E211" s="561">
        <v>0</v>
      </c>
      <c r="F211" s="561">
        <v>0</v>
      </c>
      <c r="G211" s="561">
        <v>454421</v>
      </c>
      <c r="H211" s="561">
        <v>52784</v>
      </c>
      <c r="I211" s="561">
        <v>1958</v>
      </c>
      <c r="J211" s="561">
        <v>89661</v>
      </c>
      <c r="K211" s="561">
        <v>0</v>
      </c>
      <c r="L211" s="561">
        <v>3777</v>
      </c>
      <c r="M211" s="561">
        <v>12937</v>
      </c>
      <c r="N211" s="561">
        <v>5622</v>
      </c>
      <c r="O211" s="561">
        <v>20044</v>
      </c>
      <c r="P211" s="561">
        <v>5822</v>
      </c>
      <c r="Q211" s="561">
        <v>0</v>
      </c>
      <c r="R211" s="561">
        <v>258221</v>
      </c>
      <c r="S211" s="1217">
        <v>0</v>
      </c>
      <c r="T211" s="1217">
        <v>200</v>
      </c>
      <c r="U211" s="1217">
        <v>-5609</v>
      </c>
      <c r="V211" s="561">
        <v>22137</v>
      </c>
      <c r="W211" s="561">
        <v>2379</v>
      </c>
      <c r="X211" s="561">
        <v>4820</v>
      </c>
      <c r="Y211" s="561">
        <v>0</v>
      </c>
      <c r="Z211" s="561">
        <v>3162</v>
      </c>
      <c r="AA211" s="561">
        <v>0</v>
      </c>
      <c r="AB211" s="561">
        <v>0</v>
      </c>
      <c r="AC211" s="561">
        <v>0</v>
      </c>
      <c r="AD211" s="561">
        <v>11763</v>
      </c>
      <c r="AE211" s="561">
        <v>5675</v>
      </c>
      <c r="AF211" s="561">
        <v>5303</v>
      </c>
      <c r="AG211" s="561">
        <v>28547</v>
      </c>
      <c r="AH211" s="561">
        <v>0</v>
      </c>
      <c r="AI211" s="561">
        <v>58748</v>
      </c>
      <c r="AJ211" s="561">
        <v>12950</v>
      </c>
      <c r="AK211" s="561">
        <v>0</v>
      </c>
      <c r="AL211" s="561">
        <v>0</v>
      </c>
      <c r="AM211" s="561">
        <v>445</v>
      </c>
      <c r="AN211" s="561">
        <v>629</v>
      </c>
      <c r="AO211" s="561">
        <v>189</v>
      </c>
      <c r="AP211" s="561">
        <v>303</v>
      </c>
      <c r="AQ211" s="561">
        <v>1</v>
      </c>
      <c r="AR211" s="561">
        <v>8</v>
      </c>
    </row>
    <row r="212" spans="1:44" x14ac:dyDescent="0.3">
      <c r="A212" s="1129" t="s">
        <v>3076</v>
      </c>
      <c r="B212" s="1129" t="s">
        <v>3077</v>
      </c>
      <c r="C212" s="1129" t="s">
        <v>3078</v>
      </c>
      <c r="D212" s="1129" t="s">
        <v>2466</v>
      </c>
      <c r="E212" s="561">
        <v>0</v>
      </c>
      <c r="F212" s="561">
        <v>0</v>
      </c>
      <c r="G212" s="561">
        <v>0</v>
      </c>
      <c r="H212" s="561">
        <v>0</v>
      </c>
      <c r="I212" s="561">
        <v>0</v>
      </c>
      <c r="J212" s="561">
        <v>0</v>
      </c>
      <c r="K212" s="561">
        <v>0</v>
      </c>
      <c r="L212" s="561">
        <v>0</v>
      </c>
      <c r="M212" s="561">
        <v>0</v>
      </c>
      <c r="N212" s="561">
        <v>0</v>
      </c>
      <c r="O212" s="561">
        <v>0</v>
      </c>
      <c r="P212" s="561">
        <v>0</v>
      </c>
      <c r="Q212" s="561">
        <v>0</v>
      </c>
      <c r="R212" s="561">
        <v>10459</v>
      </c>
      <c r="S212" s="1217">
        <v>0</v>
      </c>
      <c r="T212" s="1217">
        <v>16334</v>
      </c>
      <c r="U212" s="1217">
        <v>0</v>
      </c>
      <c r="V212" s="561">
        <v>6419</v>
      </c>
      <c r="W212" s="561">
        <v>0</v>
      </c>
      <c r="X212" s="561">
        <v>0</v>
      </c>
      <c r="Y212" s="561">
        <v>0</v>
      </c>
      <c r="Z212" s="561">
        <v>3905</v>
      </c>
      <c r="AA212" s="561">
        <v>0</v>
      </c>
      <c r="AB212" s="561">
        <v>0</v>
      </c>
      <c r="AC212" s="561">
        <v>0</v>
      </c>
      <c r="AD212" s="561">
        <v>0</v>
      </c>
      <c r="AE212" s="561">
        <v>0</v>
      </c>
      <c r="AF212" s="561">
        <v>0</v>
      </c>
      <c r="AG212" s="561">
        <v>29750</v>
      </c>
      <c r="AH212" s="561">
        <v>0</v>
      </c>
      <c r="AI212" s="561">
        <v>132848</v>
      </c>
      <c r="AJ212" s="561">
        <v>2000</v>
      </c>
      <c r="AK212" s="561">
        <v>96725</v>
      </c>
      <c r="AL212" s="561">
        <v>0</v>
      </c>
      <c r="AM212" s="561">
        <v>0</v>
      </c>
      <c r="AN212" s="561">
        <v>0</v>
      </c>
      <c r="AO212" s="561">
        <v>0</v>
      </c>
      <c r="AP212" s="561">
        <v>0</v>
      </c>
      <c r="AQ212" s="561">
        <v>0</v>
      </c>
      <c r="AR212" s="561">
        <v>0</v>
      </c>
    </row>
    <row r="213" spans="1:44" x14ac:dyDescent="0.3">
      <c r="A213" s="1129" t="s">
        <v>3079</v>
      </c>
      <c r="B213" s="1129" t="s">
        <v>3080</v>
      </c>
      <c r="C213" s="1129" t="s">
        <v>3081</v>
      </c>
      <c r="D213" s="1129" t="s">
        <v>385</v>
      </c>
      <c r="E213" s="561">
        <v>-13833</v>
      </c>
      <c r="F213" s="561">
        <v>0</v>
      </c>
      <c r="G213" s="561">
        <v>188791</v>
      </c>
      <c r="H213" s="561">
        <v>18345</v>
      </c>
      <c r="I213" s="561">
        <v>653</v>
      </c>
      <c r="J213" s="561">
        <v>19504</v>
      </c>
      <c r="K213" s="561">
        <v>9229</v>
      </c>
      <c r="L213" s="561">
        <v>6340</v>
      </c>
      <c r="M213" s="561">
        <v>3448</v>
      </c>
      <c r="N213" s="561">
        <v>1258</v>
      </c>
      <c r="O213" s="561">
        <v>6267</v>
      </c>
      <c r="P213" s="561">
        <v>262</v>
      </c>
      <c r="Q213" s="561">
        <v>0</v>
      </c>
      <c r="R213" s="561">
        <v>110318</v>
      </c>
      <c r="S213" s="1217">
        <v>14659</v>
      </c>
      <c r="T213" s="1217">
        <v>5053</v>
      </c>
      <c r="U213" s="1217">
        <v>0</v>
      </c>
      <c r="V213" s="561">
        <v>18532</v>
      </c>
      <c r="W213" s="561">
        <v>574</v>
      </c>
      <c r="X213" s="561">
        <v>1805</v>
      </c>
      <c r="Y213" s="561">
        <v>0</v>
      </c>
      <c r="Z213" s="561">
        <v>2354</v>
      </c>
      <c r="AA213" s="561">
        <v>0</v>
      </c>
      <c r="AB213" s="561">
        <v>0</v>
      </c>
      <c r="AC213" s="561">
        <v>0</v>
      </c>
      <c r="AD213" s="561">
        <v>15643</v>
      </c>
      <c r="AE213" s="561">
        <v>5137</v>
      </c>
      <c r="AF213" s="561">
        <v>1588</v>
      </c>
      <c r="AG213" s="561">
        <v>17190</v>
      </c>
      <c r="AH213" s="561">
        <v>0</v>
      </c>
      <c r="AI213" s="561">
        <v>19438</v>
      </c>
      <c r="AJ213" s="561">
        <v>41011</v>
      </c>
      <c r="AK213" s="561">
        <v>31776</v>
      </c>
      <c r="AL213" s="561">
        <v>0</v>
      </c>
      <c r="AM213" s="561">
        <v>34</v>
      </c>
      <c r="AN213" s="561">
        <v>193</v>
      </c>
      <c r="AO213" s="561">
        <v>74</v>
      </c>
      <c r="AP213" s="561">
        <v>456</v>
      </c>
      <c r="AQ213" s="561">
        <v>211</v>
      </c>
      <c r="AR213" s="561">
        <v>22</v>
      </c>
    </row>
    <row r="214" spans="1:44" x14ac:dyDescent="0.3">
      <c r="A214" s="1129" t="s">
        <v>3082</v>
      </c>
      <c r="B214" s="1129" t="s">
        <v>3083</v>
      </c>
      <c r="C214" s="1129" t="s">
        <v>3084</v>
      </c>
      <c r="D214" s="1129" t="s">
        <v>384</v>
      </c>
      <c r="E214" s="561">
        <v>-276</v>
      </c>
      <c r="F214" s="561">
        <v>0</v>
      </c>
      <c r="G214" s="561">
        <v>0</v>
      </c>
      <c r="H214" s="561">
        <v>0</v>
      </c>
      <c r="I214" s="561">
        <v>36</v>
      </c>
      <c r="J214" s="561">
        <v>0</v>
      </c>
      <c r="K214" s="561">
        <v>0</v>
      </c>
      <c r="L214" s="561">
        <v>1697</v>
      </c>
      <c r="M214" s="561">
        <v>0</v>
      </c>
      <c r="N214" s="561">
        <v>0</v>
      </c>
      <c r="O214" s="561">
        <v>63</v>
      </c>
      <c r="P214" s="561">
        <v>1036</v>
      </c>
      <c r="Q214" s="561">
        <v>3125</v>
      </c>
      <c r="R214" s="561">
        <v>23665</v>
      </c>
      <c r="S214" s="1217">
        <v>0</v>
      </c>
      <c r="T214" s="1217">
        <v>1262</v>
      </c>
      <c r="U214" s="1217">
        <v>0</v>
      </c>
      <c r="V214" s="561">
        <v>81</v>
      </c>
      <c r="W214" s="561">
        <v>326</v>
      </c>
      <c r="X214" s="561">
        <v>212</v>
      </c>
      <c r="Y214" s="561">
        <v>2957</v>
      </c>
      <c r="Z214" s="561">
        <v>649</v>
      </c>
      <c r="AA214" s="561">
        <v>0</v>
      </c>
      <c r="AB214" s="561">
        <v>0</v>
      </c>
      <c r="AC214" s="561">
        <v>0</v>
      </c>
      <c r="AD214" s="561">
        <v>0</v>
      </c>
      <c r="AE214" s="561">
        <v>0</v>
      </c>
      <c r="AF214" s="561">
        <v>0</v>
      </c>
      <c r="AG214" s="561">
        <v>15933</v>
      </c>
      <c r="AH214" s="561">
        <v>0</v>
      </c>
      <c r="AI214" s="561">
        <v>17115</v>
      </c>
      <c r="AJ214" s="561">
        <v>2697</v>
      </c>
      <c r="AK214" s="561">
        <v>2981</v>
      </c>
      <c r="AL214" s="561">
        <v>0</v>
      </c>
      <c r="AM214" s="561">
        <v>6</v>
      </c>
      <c r="AN214" s="561">
        <v>98</v>
      </c>
      <c r="AO214" s="561">
        <v>0</v>
      </c>
      <c r="AP214" s="561">
        <v>2</v>
      </c>
      <c r="AQ214" s="561">
        <v>150</v>
      </c>
      <c r="AR214" s="561">
        <v>12</v>
      </c>
    </row>
    <row r="215" spans="1:44" x14ac:dyDescent="0.3">
      <c r="A215" s="1129" t="s">
        <v>3085</v>
      </c>
      <c r="B215" s="1129" t="s">
        <v>3086</v>
      </c>
      <c r="C215" s="1129" t="s">
        <v>3087</v>
      </c>
      <c r="D215" s="1129" t="s">
        <v>384</v>
      </c>
      <c r="E215" s="561">
        <v>-101</v>
      </c>
      <c r="F215" s="561">
        <v>0</v>
      </c>
      <c r="G215" s="561">
        <v>0</v>
      </c>
      <c r="H215" s="561">
        <v>0</v>
      </c>
      <c r="I215" s="561">
        <v>37</v>
      </c>
      <c r="J215" s="561">
        <v>0</v>
      </c>
      <c r="K215" s="561">
        <v>0</v>
      </c>
      <c r="L215" s="561">
        <v>297</v>
      </c>
      <c r="M215" s="561">
        <v>0</v>
      </c>
      <c r="N215" s="561">
        <v>0</v>
      </c>
      <c r="O215" s="561">
        <v>0</v>
      </c>
      <c r="P215" s="561">
        <v>587</v>
      </c>
      <c r="Q215" s="561">
        <v>1968</v>
      </c>
      <c r="R215" s="561">
        <v>8199</v>
      </c>
      <c r="S215" s="1217">
        <v>0</v>
      </c>
      <c r="T215" s="1217">
        <v>0</v>
      </c>
      <c r="U215" s="1217">
        <v>0</v>
      </c>
      <c r="V215" s="561">
        <v>0</v>
      </c>
      <c r="W215" s="561">
        <v>113</v>
      </c>
      <c r="X215" s="561">
        <v>93</v>
      </c>
      <c r="Y215" s="561">
        <v>443</v>
      </c>
      <c r="Z215" s="561">
        <v>0</v>
      </c>
      <c r="AA215" s="561">
        <v>0</v>
      </c>
      <c r="AB215" s="561">
        <v>0</v>
      </c>
      <c r="AC215" s="561">
        <v>0</v>
      </c>
      <c r="AD215" s="561">
        <v>0</v>
      </c>
      <c r="AE215" s="561">
        <v>0</v>
      </c>
      <c r="AF215" s="561">
        <v>0</v>
      </c>
      <c r="AG215" s="561">
        <v>3811</v>
      </c>
      <c r="AH215" s="561">
        <v>0</v>
      </c>
      <c r="AI215" s="561">
        <v>3293</v>
      </c>
      <c r="AJ215" s="561">
        <v>0</v>
      </c>
      <c r="AK215" s="561">
        <v>5302</v>
      </c>
      <c r="AL215" s="561">
        <v>0</v>
      </c>
      <c r="AM215" s="561">
        <v>0</v>
      </c>
      <c r="AN215" s="561">
        <v>26</v>
      </c>
      <c r="AO215" s="561">
        <v>0</v>
      </c>
      <c r="AP215" s="561">
        <v>0</v>
      </c>
      <c r="AQ215" s="561">
        <v>14</v>
      </c>
      <c r="AR215" s="561">
        <v>0</v>
      </c>
    </row>
    <row r="216" spans="1:44" x14ac:dyDescent="0.3">
      <c r="A216" s="1129" t="s">
        <v>3088</v>
      </c>
      <c r="B216" s="1129" t="s">
        <v>3089</v>
      </c>
      <c r="C216" s="1129" t="s">
        <v>3090</v>
      </c>
      <c r="D216" s="1129" t="s">
        <v>384</v>
      </c>
      <c r="E216" s="561">
        <v>-126</v>
      </c>
      <c r="F216" s="561">
        <v>0</v>
      </c>
      <c r="G216" s="561">
        <v>0</v>
      </c>
      <c r="H216" s="561">
        <v>0</v>
      </c>
      <c r="I216" s="561">
        <v>35</v>
      </c>
      <c r="J216" s="561">
        <v>0</v>
      </c>
      <c r="K216" s="561">
        <v>0</v>
      </c>
      <c r="L216" s="561">
        <v>361</v>
      </c>
      <c r="M216" s="561">
        <v>0</v>
      </c>
      <c r="N216" s="561">
        <v>0</v>
      </c>
      <c r="O216" s="561">
        <v>0</v>
      </c>
      <c r="P216" s="561">
        <v>535</v>
      </c>
      <c r="Q216" s="561">
        <v>2980</v>
      </c>
      <c r="R216" s="561">
        <v>9107</v>
      </c>
      <c r="S216" s="1217">
        <v>0</v>
      </c>
      <c r="T216" s="1217">
        <v>0</v>
      </c>
      <c r="U216" s="1217">
        <v>0</v>
      </c>
      <c r="V216" s="561">
        <v>0</v>
      </c>
      <c r="W216" s="561">
        <v>152</v>
      </c>
      <c r="X216" s="561">
        <v>66</v>
      </c>
      <c r="Y216" s="561">
        <v>1199</v>
      </c>
      <c r="Z216" s="561">
        <v>0</v>
      </c>
      <c r="AA216" s="561">
        <v>0</v>
      </c>
      <c r="AB216" s="561">
        <v>0</v>
      </c>
      <c r="AC216" s="561">
        <v>0</v>
      </c>
      <c r="AD216" s="561">
        <v>0</v>
      </c>
      <c r="AE216" s="561">
        <v>0</v>
      </c>
      <c r="AF216" s="561">
        <v>0</v>
      </c>
      <c r="AG216" s="561">
        <v>6242</v>
      </c>
      <c r="AH216" s="561">
        <v>0</v>
      </c>
      <c r="AI216" s="561">
        <v>22668</v>
      </c>
      <c r="AJ216" s="561">
        <v>0</v>
      </c>
      <c r="AK216" s="561">
        <v>0</v>
      </c>
      <c r="AL216" s="561">
        <v>0</v>
      </c>
      <c r="AM216" s="561">
        <v>15</v>
      </c>
      <c r="AN216" s="561">
        <v>4</v>
      </c>
      <c r="AO216" s="561">
        <v>0</v>
      </c>
      <c r="AP216" s="561">
        <v>0</v>
      </c>
      <c r="AQ216" s="561">
        <v>5</v>
      </c>
      <c r="AR216" s="561">
        <v>0</v>
      </c>
    </row>
    <row r="217" spans="1:44" x14ac:dyDescent="0.3">
      <c r="A217" s="1129" t="s">
        <v>3091</v>
      </c>
      <c r="B217" s="1129" t="s">
        <v>3092</v>
      </c>
      <c r="C217" s="1129" t="s">
        <v>3093</v>
      </c>
      <c r="D217" s="1129" t="s">
        <v>379</v>
      </c>
      <c r="E217" s="561">
        <v>0</v>
      </c>
      <c r="F217" s="561">
        <v>0</v>
      </c>
      <c r="G217" s="561">
        <v>394347</v>
      </c>
      <c r="H217" s="561">
        <v>0</v>
      </c>
      <c r="I217" s="561">
        <v>2147</v>
      </c>
      <c r="J217" s="561">
        <v>77721</v>
      </c>
      <c r="K217" s="561">
        <v>39168</v>
      </c>
      <c r="L217" s="561">
        <v>9424</v>
      </c>
      <c r="M217" s="561">
        <v>11664</v>
      </c>
      <c r="N217" s="561">
        <v>6082</v>
      </c>
      <c r="O217" s="561">
        <v>19658</v>
      </c>
      <c r="P217" s="561">
        <v>5789</v>
      </c>
      <c r="Q217" s="561">
        <v>0</v>
      </c>
      <c r="R217" s="561">
        <v>251235</v>
      </c>
      <c r="S217" s="1217">
        <v>68540</v>
      </c>
      <c r="T217" s="1217">
        <v>3460</v>
      </c>
      <c r="U217" s="1217">
        <v>0</v>
      </c>
      <c r="V217" s="561">
        <v>38361</v>
      </c>
      <c r="W217" s="561">
        <v>2296</v>
      </c>
      <c r="X217" s="561">
        <v>5513</v>
      </c>
      <c r="Y217" s="561">
        <v>0</v>
      </c>
      <c r="Z217" s="561">
        <v>6157</v>
      </c>
      <c r="AA217" s="561">
        <v>0</v>
      </c>
      <c r="AB217" s="561">
        <v>0</v>
      </c>
      <c r="AC217" s="561">
        <v>0</v>
      </c>
      <c r="AD217" s="561">
        <v>15240</v>
      </c>
      <c r="AE217" s="561">
        <v>0</v>
      </c>
      <c r="AF217" s="561">
        <v>528</v>
      </c>
      <c r="AG217" s="561">
        <v>19870</v>
      </c>
      <c r="AH217" s="561">
        <v>10045</v>
      </c>
      <c r="AI217" s="561">
        <v>183738</v>
      </c>
      <c r="AJ217" s="561">
        <v>58624</v>
      </c>
      <c r="AK217" s="561">
        <v>61000</v>
      </c>
      <c r="AL217" s="561">
        <v>3202</v>
      </c>
      <c r="AM217" s="561">
        <v>12</v>
      </c>
      <c r="AN217" s="561">
        <v>6</v>
      </c>
      <c r="AO217" s="561">
        <v>357</v>
      </c>
      <c r="AP217" s="561">
        <v>2272</v>
      </c>
      <c r="AQ217" s="561">
        <v>177</v>
      </c>
      <c r="AR217" s="561">
        <v>0</v>
      </c>
    </row>
    <row r="218" spans="1:44" x14ac:dyDescent="0.3">
      <c r="A218" s="1129" t="s">
        <v>3094</v>
      </c>
      <c r="B218" s="1129" t="s">
        <v>3095</v>
      </c>
      <c r="C218" s="1129" t="s">
        <v>3096</v>
      </c>
      <c r="D218" s="1129" t="s">
        <v>384</v>
      </c>
      <c r="E218" s="561">
        <v>-495</v>
      </c>
      <c r="F218" s="561">
        <v>0</v>
      </c>
      <c r="G218" s="561">
        <v>0</v>
      </c>
      <c r="H218" s="561">
        <v>0</v>
      </c>
      <c r="I218" s="561">
        <v>34</v>
      </c>
      <c r="J218" s="561">
        <v>0</v>
      </c>
      <c r="K218" s="561">
        <v>0</v>
      </c>
      <c r="L218" s="561">
        <v>577</v>
      </c>
      <c r="M218" s="561">
        <v>0</v>
      </c>
      <c r="N218" s="561">
        <v>0</v>
      </c>
      <c r="O218" s="561">
        <v>375</v>
      </c>
      <c r="P218" s="561">
        <v>341</v>
      </c>
      <c r="Q218" s="561">
        <v>126</v>
      </c>
      <c r="R218" s="561">
        <v>6588</v>
      </c>
      <c r="S218" s="1217">
        <v>10755</v>
      </c>
      <c r="T218" s="1217">
        <v>0</v>
      </c>
      <c r="U218" s="1217">
        <v>0</v>
      </c>
      <c r="V218" s="561">
        <v>1631</v>
      </c>
      <c r="W218" s="561">
        <v>326</v>
      </c>
      <c r="X218" s="561">
        <v>124</v>
      </c>
      <c r="Y218" s="561">
        <v>0</v>
      </c>
      <c r="Z218" s="561">
        <v>298</v>
      </c>
      <c r="AA218" s="561">
        <v>0</v>
      </c>
      <c r="AB218" s="561">
        <v>0</v>
      </c>
      <c r="AC218" s="561">
        <v>0</v>
      </c>
      <c r="AD218" s="561">
        <v>0</v>
      </c>
      <c r="AE218" s="561">
        <v>0</v>
      </c>
      <c r="AF218" s="561">
        <v>0</v>
      </c>
      <c r="AG218" s="561">
        <v>2125</v>
      </c>
      <c r="AH218" s="561">
        <v>0</v>
      </c>
      <c r="AI218" s="561">
        <v>10143</v>
      </c>
      <c r="AJ218" s="561">
        <v>3230</v>
      </c>
      <c r="AK218" s="561">
        <v>0</v>
      </c>
      <c r="AL218" s="561">
        <v>0</v>
      </c>
      <c r="AM218" s="561">
        <v>0</v>
      </c>
      <c r="AN218" s="561">
        <v>1</v>
      </c>
      <c r="AO218" s="561">
        <v>0</v>
      </c>
      <c r="AP218" s="561">
        <v>0</v>
      </c>
      <c r="AQ218" s="561">
        <v>29</v>
      </c>
      <c r="AR218" s="561">
        <v>2</v>
      </c>
    </row>
    <row r="219" spans="1:44" x14ac:dyDescent="0.3">
      <c r="A219" s="1129" t="s">
        <v>3097</v>
      </c>
      <c r="B219" s="1129" t="s">
        <v>3098</v>
      </c>
      <c r="C219" s="1129" t="s">
        <v>3099</v>
      </c>
      <c r="D219" s="1129" t="s">
        <v>385</v>
      </c>
      <c r="E219" s="561">
        <v>-8051</v>
      </c>
      <c r="F219" s="561">
        <v>0</v>
      </c>
      <c r="G219" s="561">
        <v>132646</v>
      </c>
      <c r="H219" s="561">
        <v>20347</v>
      </c>
      <c r="I219" s="561">
        <v>769</v>
      </c>
      <c r="J219" s="561">
        <v>21870</v>
      </c>
      <c r="K219" s="561">
        <v>9015</v>
      </c>
      <c r="L219" s="561">
        <v>3167</v>
      </c>
      <c r="M219" s="561">
        <v>4366</v>
      </c>
      <c r="N219" s="561">
        <v>1793</v>
      </c>
      <c r="O219" s="561">
        <v>2675</v>
      </c>
      <c r="P219" s="561">
        <v>1311</v>
      </c>
      <c r="Q219" s="561">
        <v>741</v>
      </c>
      <c r="R219" s="561">
        <v>169678</v>
      </c>
      <c r="S219" s="1217">
        <v>7206</v>
      </c>
      <c r="T219" s="1217">
        <v>0</v>
      </c>
      <c r="U219" s="1217">
        <v>0</v>
      </c>
      <c r="V219" s="561">
        <v>17907</v>
      </c>
      <c r="W219" s="561">
        <v>642</v>
      </c>
      <c r="X219" s="561">
        <v>2063</v>
      </c>
      <c r="Y219" s="561">
        <v>0</v>
      </c>
      <c r="Z219" s="561">
        <v>1351</v>
      </c>
      <c r="AA219" s="561">
        <v>0</v>
      </c>
      <c r="AB219" s="561">
        <v>0</v>
      </c>
      <c r="AC219" s="561">
        <v>0</v>
      </c>
      <c r="AD219" s="561">
        <v>1900</v>
      </c>
      <c r="AE219" s="561">
        <v>4174</v>
      </c>
      <c r="AF219" s="561">
        <v>1600</v>
      </c>
      <c r="AG219" s="561">
        <v>10061</v>
      </c>
      <c r="AH219" s="561">
        <v>0</v>
      </c>
      <c r="AI219" s="561">
        <v>19545</v>
      </c>
      <c r="AJ219" s="561">
        <v>617</v>
      </c>
      <c r="AK219" s="561">
        <v>5580</v>
      </c>
      <c r="AL219" s="561">
        <v>70</v>
      </c>
      <c r="AM219" s="561">
        <v>10</v>
      </c>
      <c r="AN219" s="561">
        <v>535</v>
      </c>
      <c r="AO219" s="561">
        <v>0</v>
      </c>
      <c r="AP219" s="561">
        <v>0</v>
      </c>
      <c r="AQ219" s="561">
        <v>56</v>
      </c>
      <c r="AR219" s="561">
        <v>1</v>
      </c>
    </row>
    <row r="220" spans="1:44" x14ac:dyDescent="0.3">
      <c r="A220" s="1129" t="s">
        <v>3100</v>
      </c>
      <c r="B220" s="1129" t="s">
        <v>3101</v>
      </c>
      <c r="C220" s="1129" t="s">
        <v>3102</v>
      </c>
      <c r="D220" s="1129" t="s">
        <v>384</v>
      </c>
      <c r="E220" s="561">
        <v>-66</v>
      </c>
      <c r="F220" s="561">
        <v>0</v>
      </c>
      <c r="G220" s="561">
        <v>0</v>
      </c>
      <c r="H220" s="561">
        <v>0</v>
      </c>
      <c r="I220" s="561">
        <v>35</v>
      </c>
      <c r="J220" s="561">
        <v>0</v>
      </c>
      <c r="K220" s="561">
        <v>0</v>
      </c>
      <c r="L220" s="561">
        <v>256</v>
      </c>
      <c r="M220" s="561">
        <v>0</v>
      </c>
      <c r="N220" s="561">
        <v>0</v>
      </c>
      <c r="O220" s="561">
        <v>0</v>
      </c>
      <c r="P220" s="561">
        <v>574</v>
      </c>
      <c r="Q220" s="561">
        <v>911</v>
      </c>
      <c r="R220" s="561">
        <v>5776</v>
      </c>
      <c r="S220" s="1217">
        <v>2835</v>
      </c>
      <c r="T220" s="1217">
        <v>65</v>
      </c>
      <c r="U220" s="1217">
        <v>0</v>
      </c>
      <c r="V220" s="561">
        <v>1163</v>
      </c>
      <c r="W220" s="561">
        <v>83</v>
      </c>
      <c r="X220" s="561">
        <v>99</v>
      </c>
      <c r="Y220" s="561">
        <v>168</v>
      </c>
      <c r="Z220" s="561">
        <v>0</v>
      </c>
      <c r="AA220" s="561">
        <v>0</v>
      </c>
      <c r="AB220" s="561">
        <v>0</v>
      </c>
      <c r="AC220" s="561">
        <v>0</v>
      </c>
      <c r="AD220" s="561">
        <v>0</v>
      </c>
      <c r="AE220" s="561">
        <v>0</v>
      </c>
      <c r="AF220" s="561">
        <v>0</v>
      </c>
      <c r="AG220" s="561">
        <v>0</v>
      </c>
      <c r="AH220" s="561">
        <v>0</v>
      </c>
      <c r="AI220" s="561">
        <v>1835</v>
      </c>
      <c r="AJ220" s="561">
        <v>3532</v>
      </c>
      <c r="AK220" s="561">
        <v>0</v>
      </c>
      <c r="AL220" s="561">
        <v>0</v>
      </c>
      <c r="AM220" s="561">
        <v>1</v>
      </c>
      <c r="AN220" s="561">
        <v>0</v>
      </c>
      <c r="AO220" s="561">
        <v>1</v>
      </c>
      <c r="AP220" s="561">
        <v>0</v>
      </c>
      <c r="AQ220" s="561">
        <v>1</v>
      </c>
      <c r="AR220" s="561">
        <v>24</v>
      </c>
    </row>
    <row r="221" spans="1:44" x14ac:dyDescent="0.3">
      <c r="A221" s="1129" t="s">
        <v>3103</v>
      </c>
      <c r="B221" s="1129" t="s">
        <v>3104</v>
      </c>
      <c r="C221" s="1129" t="s">
        <v>3105</v>
      </c>
      <c r="D221" s="1129" t="s">
        <v>2466</v>
      </c>
      <c r="E221" s="561">
        <v>-16914</v>
      </c>
      <c r="F221" s="561">
        <v>0</v>
      </c>
      <c r="G221" s="561">
        <v>0</v>
      </c>
      <c r="H221" s="561">
        <v>0</v>
      </c>
      <c r="I221" s="561">
        <v>0</v>
      </c>
      <c r="J221" s="561">
        <v>0</v>
      </c>
      <c r="K221" s="561">
        <v>0</v>
      </c>
      <c r="L221" s="561">
        <v>0</v>
      </c>
      <c r="M221" s="561">
        <v>0</v>
      </c>
      <c r="N221" s="561">
        <v>0</v>
      </c>
      <c r="O221" s="561">
        <v>0</v>
      </c>
      <c r="P221" s="561">
        <v>0</v>
      </c>
      <c r="Q221" s="561">
        <v>0</v>
      </c>
      <c r="R221" s="561">
        <v>38391</v>
      </c>
      <c r="S221" s="1217">
        <v>0</v>
      </c>
      <c r="T221" s="1217">
        <v>375</v>
      </c>
      <c r="U221" s="1217">
        <v>0</v>
      </c>
      <c r="V221" s="561">
        <v>1715</v>
      </c>
      <c r="W221" s="561">
        <v>0</v>
      </c>
      <c r="X221" s="561">
        <v>425</v>
      </c>
      <c r="Y221" s="561">
        <v>0</v>
      </c>
      <c r="Z221" s="561">
        <v>0</v>
      </c>
      <c r="AA221" s="561">
        <v>0</v>
      </c>
      <c r="AB221" s="561">
        <v>0</v>
      </c>
      <c r="AC221" s="561">
        <v>0</v>
      </c>
      <c r="AD221" s="561">
        <v>0</v>
      </c>
      <c r="AE221" s="561">
        <v>0</v>
      </c>
      <c r="AF221" s="561">
        <v>0</v>
      </c>
      <c r="AG221" s="561">
        <v>3700</v>
      </c>
      <c r="AH221" s="561">
        <v>1304</v>
      </c>
      <c r="AI221" s="561">
        <v>3204</v>
      </c>
      <c r="AJ221" s="561">
        <v>2852</v>
      </c>
      <c r="AK221" s="561">
        <v>4814</v>
      </c>
      <c r="AL221" s="561">
        <v>0</v>
      </c>
      <c r="AM221" s="561">
        <v>0</v>
      </c>
      <c r="AN221" s="561">
        <v>0</v>
      </c>
      <c r="AO221" s="561">
        <v>0</v>
      </c>
      <c r="AP221" s="561">
        <v>0</v>
      </c>
      <c r="AQ221" s="561">
        <v>0</v>
      </c>
      <c r="AR221" s="561">
        <v>0</v>
      </c>
    </row>
    <row r="222" spans="1:44" x14ac:dyDescent="0.3">
      <c r="A222" s="1129" t="s">
        <v>3106</v>
      </c>
      <c r="B222" s="1129" t="s">
        <v>3107</v>
      </c>
      <c r="C222" s="1129" t="s">
        <v>3108</v>
      </c>
      <c r="D222" s="1129" t="s">
        <v>2466</v>
      </c>
      <c r="E222" s="561">
        <v>0</v>
      </c>
      <c r="F222" s="561">
        <v>-331787</v>
      </c>
      <c r="G222" s="561">
        <v>0</v>
      </c>
      <c r="H222" s="561">
        <v>0</v>
      </c>
      <c r="I222" s="561">
        <v>0</v>
      </c>
      <c r="J222" s="561">
        <v>0</v>
      </c>
      <c r="K222" s="561">
        <v>0</v>
      </c>
      <c r="L222" s="561">
        <v>0</v>
      </c>
      <c r="M222" s="561">
        <v>0</v>
      </c>
      <c r="N222" s="561">
        <v>0</v>
      </c>
      <c r="O222" s="561">
        <v>0</v>
      </c>
      <c r="P222" s="561">
        <v>0</v>
      </c>
      <c r="Q222" s="561">
        <v>0</v>
      </c>
      <c r="R222" s="561">
        <v>111273</v>
      </c>
      <c r="S222" s="1217">
        <v>0</v>
      </c>
      <c r="T222" s="1217">
        <v>0</v>
      </c>
      <c r="U222" s="1217">
        <v>0</v>
      </c>
      <c r="V222" s="561">
        <v>4286</v>
      </c>
      <c r="W222" s="561">
        <v>0</v>
      </c>
      <c r="X222" s="561">
        <v>0</v>
      </c>
      <c r="Y222" s="561">
        <v>0</v>
      </c>
      <c r="Z222" s="561">
        <v>0</v>
      </c>
      <c r="AA222" s="561">
        <v>14825</v>
      </c>
      <c r="AB222" s="561">
        <v>6665</v>
      </c>
      <c r="AC222" s="561">
        <v>6394</v>
      </c>
      <c r="AD222" s="561">
        <v>0</v>
      </c>
      <c r="AE222" s="561">
        <v>0</v>
      </c>
      <c r="AF222" s="561">
        <v>0</v>
      </c>
      <c r="AG222" s="561">
        <v>13100</v>
      </c>
      <c r="AH222" s="561">
        <v>0</v>
      </c>
      <c r="AI222" s="561">
        <v>35440</v>
      </c>
      <c r="AJ222" s="561">
        <v>0</v>
      </c>
      <c r="AK222" s="561">
        <v>0</v>
      </c>
      <c r="AL222" s="561">
        <v>0</v>
      </c>
      <c r="AM222" s="561">
        <v>0</v>
      </c>
      <c r="AN222" s="561">
        <v>0</v>
      </c>
      <c r="AO222" s="561">
        <v>0</v>
      </c>
      <c r="AP222" s="561">
        <v>0</v>
      </c>
      <c r="AQ222" s="561">
        <v>0</v>
      </c>
      <c r="AR222" s="561">
        <v>0</v>
      </c>
    </row>
    <row r="223" spans="1:44" x14ac:dyDescent="0.3">
      <c r="A223" s="1129" t="s">
        <v>3109</v>
      </c>
      <c r="B223" s="1129" t="s">
        <v>3110</v>
      </c>
      <c r="C223" s="1129" t="s">
        <v>3111</v>
      </c>
      <c r="D223" s="1129" t="s">
        <v>2466</v>
      </c>
      <c r="E223" s="561">
        <v>0</v>
      </c>
      <c r="F223" s="561">
        <v>0</v>
      </c>
      <c r="G223" s="561">
        <v>0</v>
      </c>
      <c r="H223" s="561">
        <v>0</v>
      </c>
      <c r="I223" s="561">
        <v>0</v>
      </c>
      <c r="J223" s="561">
        <v>0</v>
      </c>
      <c r="K223" s="561">
        <v>0</v>
      </c>
      <c r="L223" s="561">
        <v>0</v>
      </c>
      <c r="M223" s="561">
        <v>0</v>
      </c>
      <c r="N223" s="561">
        <v>0</v>
      </c>
      <c r="O223" s="561">
        <v>0</v>
      </c>
      <c r="P223" s="561">
        <v>0</v>
      </c>
      <c r="Q223" s="561">
        <v>0</v>
      </c>
      <c r="R223" s="561">
        <v>0</v>
      </c>
      <c r="S223" s="1217">
        <v>0</v>
      </c>
      <c r="T223" s="1217">
        <v>0</v>
      </c>
      <c r="U223" s="1217">
        <v>0</v>
      </c>
      <c r="V223" s="561">
        <v>1192</v>
      </c>
      <c r="W223" s="561">
        <v>0</v>
      </c>
      <c r="X223" s="561">
        <v>0</v>
      </c>
      <c r="Y223" s="561">
        <v>0</v>
      </c>
      <c r="Z223" s="561">
        <v>0</v>
      </c>
      <c r="AA223" s="561">
        <v>0</v>
      </c>
      <c r="AB223" s="561">
        <v>0</v>
      </c>
      <c r="AC223" s="561">
        <v>0</v>
      </c>
      <c r="AD223" s="561">
        <v>0</v>
      </c>
      <c r="AE223" s="561">
        <v>0</v>
      </c>
      <c r="AF223" s="561">
        <v>0</v>
      </c>
      <c r="AG223" s="561">
        <v>9706</v>
      </c>
      <c r="AH223" s="561">
        <v>0</v>
      </c>
      <c r="AI223" s="561">
        <v>0</v>
      </c>
      <c r="AJ223" s="561">
        <v>0</v>
      </c>
      <c r="AK223" s="561">
        <v>0</v>
      </c>
      <c r="AL223" s="561">
        <v>0</v>
      </c>
      <c r="AM223" s="561">
        <v>0</v>
      </c>
      <c r="AN223" s="561">
        <v>0</v>
      </c>
      <c r="AO223" s="561">
        <v>0</v>
      </c>
      <c r="AP223" s="561">
        <v>0</v>
      </c>
      <c r="AQ223" s="561">
        <v>0</v>
      </c>
      <c r="AR223" s="561">
        <v>0</v>
      </c>
    </row>
    <row r="224" spans="1:44" x14ac:dyDescent="0.3">
      <c r="A224" s="1129" t="s">
        <v>3112</v>
      </c>
      <c r="B224" s="1129" t="s">
        <v>3113</v>
      </c>
      <c r="C224" s="1129" t="s">
        <v>3114</v>
      </c>
      <c r="D224" s="1129" t="s">
        <v>2476</v>
      </c>
      <c r="E224" s="561">
        <v>-6659</v>
      </c>
      <c r="F224" s="561">
        <v>0</v>
      </c>
      <c r="G224" s="561">
        <v>200319</v>
      </c>
      <c r="H224" s="561">
        <v>12592</v>
      </c>
      <c r="I224" s="561">
        <v>39</v>
      </c>
      <c r="J224" s="561">
        <v>16080</v>
      </c>
      <c r="K224" s="561">
        <v>6180</v>
      </c>
      <c r="L224" s="561">
        <v>2799</v>
      </c>
      <c r="M224" s="561">
        <v>3272</v>
      </c>
      <c r="N224" s="561">
        <v>723</v>
      </c>
      <c r="O224" s="561">
        <v>0</v>
      </c>
      <c r="P224" s="561">
        <v>44</v>
      </c>
      <c r="Q224" s="561">
        <v>0</v>
      </c>
      <c r="R224" s="561">
        <v>126771</v>
      </c>
      <c r="S224" s="1217">
        <v>0</v>
      </c>
      <c r="T224" s="1217">
        <v>1811</v>
      </c>
      <c r="U224" s="1217">
        <v>0</v>
      </c>
      <c r="V224" s="561">
        <v>0</v>
      </c>
      <c r="W224" s="561">
        <v>505</v>
      </c>
      <c r="X224" s="561">
        <v>1343</v>
      </c>
      <c r="Y224" s="561">
        <v>0</v>
      </c>
      <c r="Z224" s="561">
        <v>375</v>
      </c>
      <c r="AA224" s="561">
        <v>0</v>
      </c>
      <c r="AB224" s="561">
        <v>0</v>
      </c>
      <c r="AC224" s="561">
        <v>0</v>
      </c>
      <c r="AD224" s="561">
        <v>10223</v>
      </c>
      <c r="AE224" s="561">
        <v>0</v>
      </c>
      <c r="AF224" s="561">
        <v>913</v>
      </c>
      <c r="AG224" s="561">
        <v>14000</v>
      </c>
      <c r="AH224" s="561">
        <v>3444</v>
      </c>
      <c r="AI224" s="561">
        <v>24741</v>
      </c>
      <c r="AJ224" s="561">
        <v>66367</v>
      </c>
      <c r="AK224" s="561">
        <v>8439</v>
      </c>
      <c r="AL224" s="561">
        <v>0</v>
      </c>
      <c r="AM224" s="561">
        <v>35</v>
      </c>
      <c r="AN224" s="561">
        <v>694</v>
      </c>
      <c r="AO224" s="561">
        <v>0</v>
      </c>
      <c r="AP224" s="561">
        <v>16</v>
      </c>
      <c r="AQ224" s="561">
        <v>0</v>
      </c>
      <c r="AR224" s="561">
        <v>2</v>
      </c>
    </row>
    <row r="225" spans="1:44" x14ac:dyDescent="0.3">
      <c r="A225" s="1129" t="s">
        <v>3115</v>
      </c>
      <c r="B225" s="1129" t="s">
        <v>3116</v>
      </c>
      <c r="C225" s="1129" t="s">
        <v>3117</v>
      </c>
      <c r="D225" s="1129" t="s">
        <v>384</v>
      </c>
      <c r="E225" s="561">
        <v>-140</v>
      </c>
      <c r="F225" s="561">
        <v>0</v>
      </c>
      <c r="G225" s="561">
        <v>0</v>
      </c>
      <c r="H225" s="561">
        <v>0</v>
      </c>
      <c r="I225" s="561">
        <v>35</v>
      </c>
      <c r="J225" s="561">
        <v>0</v>
      </c>
      <c r="K225" s="561">
        <v>0</v>
      </c>
      <c r="L225" s="561">
        <v>488</v>
      </c>
      <c r="M225" s="561">
        <v>0</v>
      </c>
      <c r="N225" s="561">
        <v>0</v>
      </c>
      <c r="O225" s="561">
        <v>57</v>
      </c>
      <c r="P225" s="561">
        <v>498</v>
      </c>
      <c r="Q225" s="561">
        <v>2702</v>
      </c>
      <c r="R225" s="561">
        <v>10051</v>
      </c>
      <c r="S225" s="1217">
        <v>22328.48</v>
      </c>
      <c r="T225" s="1217">
        <v>0</v>
      </c>
      <c r="U225" s="1217">
        <v>0</v>
      </c>
      <c r="V225" s="561">
        <v>840</v>
      </c>
      <c r="W225" s="561">
        <v>156</v>
      </c>
      <c r="X225" s="561">
        <v>151</v>
      </c>
      <c r="Y225" s="561">
        <v>740</v>
      </c>
      <c r="Z225" s="561">
        <v>102</v>
      </c>
      <c r="AA225" s="561">
        <v>0</v>
      </c>
      <c r="AB225" s="561">
        <v>0</v>
      </c>
      <c r="AC225" s="561">
        <v>0</v>
      </c>
      <c r="AD225" s="561">
        <v>0</v>
      </c>
      <c r="AE225" s="561">
        <v>0</v>
      </c>
      <c r="AF225" s="561">
        <v>0</v>
      </c>
      <c r="AG225" s="561">
        <v>2025</v>
      </c>
      <c r="AH225" s="561">
        <v>0</v>
      </c>
      <c r="AI225" s="561">
        <v>6253</v>
      </c>
      <c r="AJ225" s="561">
        <v>414</v>
      </c>
      <c r="AK225" s="561">
        <v>6423</v>
      </c>
      <c r="AL225" s="561">
        <v>3538</v>
      </c>
      <c r="AM225" s="561">
        <v>8</v>
      </c>
      <c r="AN225" s="561">
        <v>1</v>
      </c>
      <c r="AO225" s="561">
        <v>0</v>
      </c>
      <c r="AP225" s="561">
        <v>0</v>
      </c>
      <c r="AQ225" s="561">
        <v>55</v>
      </c>
      <c r="AR225" s="561">
        <v>0</v>
      </c>
    </row>
    <row r="226" spans="1:44" x14ac:dyDescent="0.3">
      <c r="A226" s="1129" t="s">
        <v>3118</v>
      </c>
      <c r="B226" s="1129" t="s">
        <v>3119</v>
      </c>
      <c r="C226" s="1129" t="s">
        <v>3120</v>
      </c>
      <c r="D226" s="1129" t="s">
        <v>384</v>
      </c>
      <c r="E226" s="561">
        <v>-157</v>
      </c>
      <c r="F226" s="561">
        <v>0</v>
      </c>
      <c r="G226" s="561">
        <v>0</v>
      </c>
      <c r="H226" s="561">
        <v>0</v>
      </c>
      <c r="I226" s="561">
        <v>35</v>
      </c>
      <c r="J226" s="561">
        <v>0</v>
      </c>
      <c r="K226" s="561">
        <v>0</v>
      </c>
      <c r="L226" s="561">
        <v>491</v>
      </c>
      <c r="M226" s="561">
        <v>0</v>
      </c>
      <c r="N226" s="561">
        <v>0</v>
      </c>
      <c r="O226" s="561">
        <v>0</v>
      </c>
      <c r="P226" s="561">
        <v>1903</v>
      </c>
      <c r="Q226" s="561">
        <v>4041</v>
      </c>
      <c r="R226" s="561">
        <v>11531</v>
      </c>
      <c r="S226" s="1217">
        <v>6095</v>
      </c>
      <c r="T226" s="1217">
        <v>24196</v>
      </c>
      <c r="U226" s="1217">
        <v>0</v>
      </c>
      <c r="V226" s="561">
        <v>2840</v>
      </c>
      <c r="W226" s="561">
        <v>151</v>
      </c>
      <c r="X226" s="561">
        <v>163</v>
      </c>
      <c r="Y226" s="561">
        <v>271</v>
      </c>
      <c r="Z226" s="561">
        <v>0</v>
      </c>
      <c r="AA226" s="561">
        <v>0</v>
      </c>
      <c r="AB226" s="561">
        <v>0</v>
      </c>
      <c r="AC226" s="561">
        <v>0</v>
      </c>
      <c r="AD226" s="561">
        <v>0</v>
      </c>
      <c r="AE226" s="561">
        <v>0</v>
      </c>
      <c r="AF226" s="561">
        <v>0</v>
      </c>
      <c r="AG226" s="561">
        <v>0</v>
      </c>
      <c r="AH226" s="561">
        <v>0</v>
      </c>
      <c r="AI226" s="561">
        <v>0</v>
      </c>
      <c r="AJ226" s="561">
        <v>0</v>
      </c>
      <c r="AK226" s="561">
        <v>0</v>
      </c>
      <c r="AL226" s="561">
        <v>0</v>
      </c>
      <c r="AM226" s="561">
        <v>25</v>
      </c>
      <c r="AN226" s="561">
        <v>0</v>
      </c>
      <c r="AO226" s="561">
        <v>0</v>
      </c>
      <c r="AP226" s="561">
        <v>0</v>
      </c>
      <c r="AQ226" s="561">
        <v>32</v>
      </c>
      <c r="AR226" s="561">
        <v>1</v>
      </c>
    </row>
    <row r="227" spans="1:44" x14ac:dyDescent="0.3">
      <c r="A227" s="1129" t="s">
        <v>3121</v>
      </c>
      <c r="B227" s="1129" t="s">
        <v>3122</v>
      </c>
      <c r="C227" s="1129" t="s">
        <v>3123</v>
      </c>
      <c r="D227" s="1129" t="s">
        <v>384</v>
      </c>
      <c r="E227" s="561">
        <v>-161</v>
      </c>
      <c r="F227" s="561">
        <v>0</v>
      </c>
      <c r="G227" s="561">
        <v>0</v>
      </c>
      <c r="H227" s="561">
        <v>0</v>
      </c>
      <c r="I227" s="561">
        <v>37</v>
      </c>
      <c r="J227" s="561">
        <v>0</v>
      </c>
      <c r="K227" s="561">
        <v>0</v>
      </c>
      <c r="L227" s="561">
        <v>961</v>
      </c>
      <c r="M227" s="561">
        <v>0</v>
      </c>
      <c r="N227" s="561">
        <v>0</v>
      </c>
      <c r="O227" s="561">
        <v>0</v>
      </c>
      <c r="P227" s="561">
        <v>1236</v>
      </c>
      <c r="Q227" s="561">
        <v>6186</v>
      </c>
      <c r="R227" s="561">
        <v>19307</v>
      </c>
      <c r="S227" s="1217">
        <v>0</v>
      </c>
      <c r="T227" s="1217">
        <v>0</v>
      </c>
      <c r="U227" s="1217">
        <v>0</v>
      </c>
      <c r="V227" s="561">
        <v>0</v>
      </c>
      <c r="W227" s="561">
        <v>223</v>
      </c>
      <c r="X227" s="561">
        <v>158</v>
      </c>
      <c r="Y227" s="561">
        <v>1030</v>
      </c>
      <c r="Z227" s="561">
        <v>203</v>
      </c>
      <c r="AA227" s="561">
        <v>0</v>
      </c>
      <c r="AB227" s="561">
        <v>0</v>
      </c>
      <c r="AC227" s="561">
        <v>0</v>
      </c>
      <c r="AD227" s="561">
        <v>0</v>
      </c>
      <c r="AE227" s="561">
        <v>0</v>
      </c>
      <c r="AF227" s="561">
        <v>0</v>
      </c>
      <c r="AG227" s="561">
        <v>11813</v>
      </c>
      <c r="AH227" s="561">
        <v>0</v>
      </c>
      <c r="AI227" s="561">
        <v>25539</v>
      </c>
      <c r="AJ227" s="561">
        <v>0</v>
      </c>
      <c r="AK227" s="561">
        <v>0</v>
      </c>
      <c r="AL227" s="561">
        <v>0</v>
      </c>
      <c r="AM227" s="561">
        <v>15</v>
      </c>
      <c r="AN227" s="561">
        <v>45</v>
      </c>
      <c r="AO227" s="561">
        <v>1</v>
      </c>
      <c r="AP227" s="561">
        <v>1</v>
      </c>
      <c r="AQ227" s="561">
        <v>41</v>
      </c>
      <c r="AR227" s="561">
        <v>16</v>
      </c>
    </row>
    <row r="228" spans="1:44" x14ac:dyDescent="0.3">
      <c r="A228" s="1129" t="s">
        <v>3124</v>
      </c>
      <c r="B228" s="1129" t="s">
        <v>3125</v>
      </c>
      <c r="C228" s="1129" t="s">
        <v>3126</v>
      </c>
      <c r="D228" s="1129" t="s">
        <v>385</v>
      </c>
      <c r="E228" s="561">
        <v>-15444</v>
      </c>
      <c r="F228" s="561">
        <v>0</v>
      </c>
      <c r="G228" s="561">
        <v>73313</v>
      </c>
      <c r="H228" s="561">
        <v>19743</v>
      </c>
      <c r="I228" s="561">
        <v>513</v>
      </c>
      <c r="J228" s="561">
        <v>22504</v>
      </c>
      <c r="K228" s="561">
        <v>10666</v>
      </c>
      <c r="L228" s="561">
        <v>1003</v>
      </c>
      <c r="M228" s="561">
        <v>3316</v>
      </c>
      <c r="N228" s="561">
        <v>2123</v>
      </c>
      <c r="O228" s="561">
        <v>5410</v>
      </c>
      <c r="P228" s="561">
        <v>31</v>
      </c>
      <c r="Q228" s="561">
        <v>41</v>
      </c>
      <c r="R228" s="561">
        <v>75783</v>
      </c>
      <c r="S228" s="1217">
        <v>0</v>
      </c>
      <c r="T228" s="1217">
        <v>0</v>
      </c>
      <c r="U228" s="1217">
        <v>-7500</v>
      </c>
      <c r="V228" s="561">
        <v>8216</v>
      </c>
      <c r="W228" s="561">
        <v>565</v>
      </c>
      <c r="X228" s="561">
        <v>1458</v>
      </c>
      <c r="Y228" s="561">
        <v>0</v>
      </c>
      <c r="Z228" s="561">
        <v>574</v>
      </c>
      <c r="AA228" s="561">
        <v>0</v>
      </c>
      <c r="AB228" s="561">
        <v>0</v>
      </c>
      <c r="AC228" s="561">
        <v>0</v>
      </c>
      <c r="AD228" s="561">
        <v>4599</v>
      </c>
      <c r="AE228" s="561">
        <v>0</v>
      </c>
      <c r="AF228" s="561">
        <v>1172</v>
      </c>
      <c r="AG228" s="561">
        <v>10986</v>
      </c>
      <c r="AH228" s="561">
        <v>0</v>
      </c>
      <c r="AI228" s="561">
        <v>7185</v>
      </c>
      <c r="AJ228" s="561">
        <v>0</v>
      </c>
      <c r="AK228" s="561">
        <v>0</v>
      </c>
      <c r="AL228" s="561">
        <v>0</v>
      </c>
      <c r="AM228" s="561">
        <v>36</v>
      </c>
      <c r="AN228" s="561">
        <v>52</v>
      </c>
      <c r="AO228" s="561">
        <v>0</v>
      </c>
      <c r="AP228" s="561">
        <v>0</v>
      </c>
      <c r="AQ228" s="561">
        <v>0</v>
      </c>
      <c r="AR228" s="561">
        <v>0</v>
      </c>
    </row>
    <row r="229" spans="1:44" x14ac:dyDescent="0.3">
      <c r="A229" s="1129" t="s">
        <v>3127</v>
      </c>
      <c r="B229" s="1129" t="s">
        <v>3128</v>
      </c>
      <c r="C229" s="1129" t="s">
        <v>3129</v>
      </c>
      <c r="D229" s="1129" t="s">
        <v>385</v>
      </c>
      <c r="E229" s="561">
        <v>-7522</v>
      </c>
      <c r="F229" s="561">
        <v>0</v>
      </c>
      <c r="G229" s="561">
        <v>199223</v>
      </c>
      <c r="H229" s="561">
        <v>13945</v>
      </c>
      <c r="I229" s="561">
        <v>695</v>
      </c>
      <c r="J229" s="561">
        <v>18786</v>
      </c>
      <c r="K229" s="561">
        <v>7619</v>
      </c>
      <c r="L229" s="561">
        <v>5310</v>
      </c>
      <c r="M229" s="561">
        <v>3973</v>
      </c>
      <c r="N229" s="561">
        <v>1218</v>
      </c>
      <c r="O229" s="561">
        <v>0</v>
      </c>
      <c r="P229" s="561">
        <v>3917</v>
      </c>
      <c r="Q229" s="561">
        <v>13004</v>
      </c>
      <c r="R229" s="561">
        <v>188333</v>
      </c>
      <c r="S229" s="1217">
        <v>24476</v>
      </c>
      <c r="T229" s="1217">
        <v>8438</v>
      </c>
      <c r="U229" s="1217">
        <v>0</v>
      </c>
      <c r="V229" s="561">
        <v>15220</v>
      </c>
      <c r="W229" s="561">
        <v>734</v>
      </c>
      <c r="X229" s="561">
        <v>2029</v>
      </c>
      <c r="Y229" s="561">
        <v>0</v>
      </c>
      <c r="Z229" s="561">
        <v>2268</v>
      </c>
      <c r="AA229" s="561">
        <v>0</v>
      </c>
      <c r="AB229" s="561">
        <v>0</v>
      </c>
      <c r="AC229" s="561">
        <v>0</v>
      </c>
      <c r="AD229" s="561">
        <v>11679</v>
      </c>
      <c r="AE229" s="561">
        <v>0</v>
      </c>
      <c r="AF229" s="561">
        <v>2460</v>
      </c>
      <c r="AG229" s="561">
        <v>34583</v>
      </c>
      <c r="AH229" s="561">
        <v>0</v>
      </c>
      <c r="AI229" s="561">
        <v>103356</v>
      </c>
      <c r="AJ229" s="561">
        <v>37790</v>
      </c>
      <c r="AK229" s="561">
        <v>12467</v>
      </c>
      <c r="AL229" s="561">
        <v>1456</v>
      </c>
      <c r="AM229" s="561">
        <v>96</v>
      </c>
      <c r="AN229" s="561">
        <v>327</v>
      </c>
      <c r="AO229" s="561">
        <v>3</v>
      </c>
      <c r="AP229" s="561">
        <v>390</v>
      </c>
      <c r="AQ229" s="561">
        <v>126</v>
      </c>
      <c r="AR229" s="561">
        <v>7</v>
      </c>
    </row>
    <row r="230" spans="1:44" x14ac:dyDescent="0.3">
      <c r="A230" s="1129" t="s">
        <v>3130</v>
      </c>
      <c r="B230" s="1129" t="s">
        <v>3131</v>
      </c>
      <c r="C230" s="1129" t="s">
        <v>3132</v>
      </c>
      <c r="D230" s="1129" t="s">
        <v>384</v>
      </c>
      <c r="E230" s="561">
        <v>-140</v>
      </c>
      <c r="F230" s="561">
        <v>0</v>
      </c>
      <c r="G230" s="561">
        <v>0</v>
      </c>
      <c r="H230" s="561">
        <v>0</v>
      </c>
      <c r="I230" s="561">
        <v>39</v>
      </c>
      <c r="J230" s="561">
        <v>0</v>
      </c>
      <c r="K230" s="561">
        <v>0</v>
      </c>
      <c r="L230" s="561">
        <v>648</v>
      </c>
      <c r="M230" s="561">
        <v>0</v>
      </c>
      <c r="N230" s="561">
        <v>0</v>
      </c>
      <c r="O230" s="561">
        <v>0</v>
      </c>
      <c r="P230" s="561">
        <v>3</v>
      </c>
      <c r="Q230" s="561">
        <v>447</v>
      </c>
      <c r="R230" s="561">
        <v>9403</v>
      </c>
      <c r="S230" s="1217">
        <v>0</v>
      </c>
      <c r="T230" s="1217">
        <v>0</v>
      </c>
      <c r="U230" s="1217">
        <v>0</v>
      </c>
      <c r="V230" s="561">
        <v>1793</v>
      </c>
      <c r="W230" s="561">
        <v>162</v>
      </c>
      <c r="X230" s="561">
        <v>110</v>
      </c>
      <c r="Y230" s="561">
        <v>710</v>
      </c>
      <c r="Z230" s="561">
        <v>226</v>
      </c>
      <c r="AA230" s="561">
        <v>0</v>
      </c>
      <c r="AB230" s="561">
        <v>0</v>
      </c>
      <c r="AC230" s="561">
        <v>0</v>
      </c>
      <c r="AD230" s="561">
        <v>0</v>
      </c>
      <c r="AE230" s="561">
        <v>0</v>
      </c>
      <c r="AF230" s="561">
        <v>0</v>
      </c>
      <c r="AG230" s="561">
        <v>1121</v>
      </c>
      <c r="AH230" s="561">
        <v>944</v>
      </c>
      <c r="AI230" s="561">
        <v>5335</v>
      </c>
      <c r="AJ230" s="561">
        <v>2400</v>
      </c>
      <c r="AK230" s="561">
        <v>0</v>
      </c>
      <c r="AL230" s="561">
        <v>3242</v>
      </c>
      <c r="AM230" s="561">
        <v>2</v>
      </c>
      <c r="AN230" s="561">
        <v>12</v>
      </c>
      <c r="AO230" s="561">
        <v>0</v>
      </c>
      <c r="AP230" s="561">
        <v>0</v>
      </c>
      <c r="AQ230" s="561">
        <v>33</v>
      </c>
      <c r="AR230" s="561">
        <v>1</v>
      </c>
    </row>
    <row r="231" spans="1:44" x14ac:dyDescent="0.3">
      <c r="A231" s="1129" t="s">
        <v>3133</v>
      </c>
      <c r="B231" s="1129" t="s">
        <v>3134</v>
      </c>
      <c r="C231" s="1129" t="s">
        <v>3135</v>
      </c>
      <c r="D231" s="1129" t="s">
        <v>384</v>
      </c>
      <c r="E231" s="561">
        <v>-304</v>
      </c>
      <c r="F231" s="561">
        <v>0</v>
      </c>
      <c r="G231" s="561">
        <v>0</v>
      </c>
      <c r="H231" s="561">
        <v>0</v>
      </c>
      <c r="I231" s="561">
        <v>36</v>
      </c>
      <c r="J231" s="561">
        <v>0</v>
      </c>
      <c r="K231" s="561">
        <v>0</v>
      </c>
      <c r="L231" s="561">
        <v>1327</v>
      </c>
      <c r="M231" s="561">
        <v>0</v>
      </c>
      <c r="N231" s="561">
        <v>0</v>
      </c>
      <c r="O231" s="561">
        <v>0</v>
      </c>
      <c r="P231" s="561">
        <v>36</v>
      </c>
      <c r="Q231" s="561">
        <v>9131</v>
      </c>
      <c r="R231" s="561">
        <v>24225</v>
      </c>
      <c r="S231" s="1217">
        <v>6971</v>
      </c>
      <c r="T231" s="1217">
        <v>947</v>
      </c>
      <c r="U231" s="1217">
        <v>0</v>
      </c>
      <c r="V231" s="561">
        <v>4194</v>
      </c>
      <c r="W231" s="561">
        <v>326</v>
      </c>
      <c r="X231" s="561">
        <v>206</v>
      </c>
      <c r="Y231" s="561">
        <v>676</v>
      </c>
      <c r="Z231" s="561">
        <v>294</v>
      </c>
      <c r="AA231" s="561">
        <v>0</v>
      </c>
      <c r="AB231" s="561">
        <v>0</v>
      </c>
      <c r="AC231" s="561">
        <v>0</v>
      </c>
      <c r="AD231" s="561">
        <v>0</v>
      </c>
      <c r="AE231" s="561">
        <v>0</v>
      </c>
      <c r="AF231" s="561">
        <v>0</v>
      </c>
      <c r="AG231" s="561">
        <v>3000</v>
      </c>
      <c r="AH231" s="561">
        <v>1643</v>
      </c>
      <c r="AI231" s="561">
        <v>16945</v>
      </c>
      <c r="AJ231" s="561">
        <v>0</v>
      </c>
      <c r="AK231" s="561">
        <v>2699</v>
      </c>
      <c r="AL231" s="561">
        <v>0</v>
      </c>
      <c r="AM231" s="561">
        <v>26</v>
      </c>
      <c r="AN231" s="561">
        <v>33</v>
      </c>
      <c r="AO231" s="561">
        <v>23</v>
      </c>
      <c r="AP231" s="561">
        <v>131</v>
      </c>
      <c r="AQ231" s="561">
        <v>68</v>
      </c>
      <c r="AR231" s="561">
        <v>7</v>
      </c>
    </row>
    <row r="232" spans="1:44" x14ac:dyDescent="0.3">
      <c r="A232" s="1129" t="s">
        <v>3136</v>
      </c>
      <c r="B232" s="1129" t="s">
        <v>3137</v>
      </c>
      <c r="C232" s="1129" t="s">
        <v>3138</v>
      </c>
      <c r="D232" s="1129" t="s">
        <v>2466</v>
      </c>
      <c r="E232" s="561">
        <v>0</v>
      </c>
      <c r="F232" s="561">
        <v>0</v>
      </c>
      <c r="G232" s="561">
        <v>0</v>
      </c>
      <c r="H232" s="561">
        <v>0</v>
      </c>
      <c r="I232" s="561">
        <v>0</v>
      </c>
      <c r="J232" s="561">
        <v>0</v>
      </c>
      <c r="K232" s="561">
        <v>0</v>
      </c>
      <c r="L232" s="561">
        <v>0</v>
      </c>
      <c r="M232" s="561">
        <v>0</v>
      </c>
      <c r="N232" s="561">
        <v>0</v>
      </c>
      <c r="O232" s="561">
        <v>0</v>
      </c>
      <c r="P232" s="561">
        <v>0</v>
      </c>
      <c r="Q232" s="561">
        <v>0</v>
      </c>
      <c r="R232" s="561">
        <v>0</v>
      </c>
      <c r="S232" s="1217">
        <v>0</v>
      </c>
      <c r="T232" s="1217">
        <v>0</v>
      </c>
      <c r="U232" s="1217">
        <v>0</v>
      </c>
      <c r="V232" s="561">
        <v>0</v>
      </c>
      <c r="W232" s="561">
        <v>0</v>
      </c>
      <c r="X232" s="561">
        <v>0</v>
      </c>
      <c r="Y232" s="561">
        <v>0</v>
      </c>
      <c r="Z232" s="561">
        <v>0</v>
      </c>
      <c r="AA232" s="561">
        <v>0</v>
      </c>
      <c r="AB232" s="561">
        <v>0</v>
      </c>
      <c r="AC232" s="561">
        <v>0</v>
      </c>
      <c r="AD232" s="561">
        <v>0</v>
      </c>
      <c r="AE232" s="561">
        <v>0</v>
      </c>
      <c r="AF232" s="561">
        <v>0</v>
      </c>
      <c r="AG232" s="561">
        <v>350</v>
      </c>
      <c r="AH232" s="561">
        <v>0</v>
      </c>
      <c r="AI232" s="561">
        <v>1324</v>
      </c>
      <c r="AJ232" s="561">
        <v>120</v>
      </c>
      <c r="AK232" s="561">
        <v>459</v>
      </c>
      <c r="AL232" s="561">
        <v>0</v>
      </c>
      <c r="AM232" s="561">
        <v>0</v>
      </c>
      <c r="AN232" s="561">
        <v>0</v>
      </c>
      <c r="AO232" s="561">
        <v>0</v>
      </c>
      <c r="AP232" s="561">
        <v>0</v>
      </c>
      <c r="AQ232" s="561">
        <v>0</v>
      </c>
      <c r="AR232" s="561">
        <v>0</v>
      </c>
    </row>
    <row r="233" spans="1:44" x14ac:dyDescent="0.3">
      <c r="A233" s="1129" t="s">
        <v>3139</v>
      </c>
      <c r="B233" s="1129" t="s">
        <v>3140</v>
      </c>
      <c r="C233" s="1129" t="s">
        <v>3141</v>
      </c>
      <c r="D233" s="1129" t="s">
        <v>384</v>
      </c>
      <c r="E233" s="561">
        <v>-287</v>
      </c>
      <c r="F233" s="561">
        <v>0</v>
      </c>
      <c r="G233" s="561">
        <v>0</v>
      </c>
      <c r="H233" s="561">
        <v>0</v>
      </c>
      <c r="I233" s="561">
        <v>34</v>
      </c>
      <c r="J233" s="561">
        <v>0</v>
      </c>
      <c r="K233" s="561">
        <v>0</v>
      </c>
      <c r="L233" s="561">
        <v>388</v>
      </c>
      <c r="M233" s="561">
        <v>0</v>
      </c>
      <c r="N233" s="561">
        <v>0</v>
      </c>
      <c r="O233" s="561">
        <v>321</v>
      </c>
      <c r="P233" s="561">
        <v>987</v>
      </c>
      <c r="Q233" s="561">
        <v>4091</v>
      </c>
      <c r="R233" s="561">
        <v>12576</v>
      </c>
      <c r="S233" s="1217">
        <v>7651.65</v>
      </c>
      <c r="T233" s="1217">
        <v>0</v>
      </c>
      <c r="U233" s="1217">
        <v>0</v>
      </c>
      <c r="V233" s="561">
        <v>3010</v>
      </c>
      <c r="W233" s="561">
        <v>265</v>
      </c>
      <c r="X233" s="561">
        <v>184</v>
      </c>
      <c r="Y233" s="561">
        <v>205</v>
      </c>
      <c r="Z233" s="561">
        <v>0</v>
      </c>
      <c r="AA233" s="561">
        <v>0</v>
      </c>
      <c r="AB233" s="561">
        <v>0</v>
      </c>
      <c r="AC233" s="561">
        <v>0</v>
      </c>
      <c r="AD233" s="561">
        <v>0</v>
      </c>
      <c r="AE233" s="561">
        <v>0</v>
      </c>
      <c r="AF233" s="561">
        <v>0</v>
      </c>
      <c r="AG233" s="561">
        <v>1500</v>
      </c>
      <c r="AH233" s="561">
        <v>0</v>
      </c>
      <c r="AI233" s="561">
        <v>6343</v>
      </c>
      <c r="AJ233" s="561">
        <v>647</v>
      </c>
      <c r="AK233" s="561">
        <v>8961</v>
      </c>
      <c r="AL233" s="561">
        <v>15200</v>
      </c>
      <c r="AM233" s="561">
        <v>1</v>
      </c>
      <c r="AN233" s="561">
        <v>0</v>
      </c>
      <c r="AO233" s="561">
        <v>3</v>
      </c>
      <c r="AP233" s="561">
        <v>0</v>
      </c>
      <c r="AQ233" s="561">
        <v>19</v>
      </c>
      <c r="AR233" s="561">
        <v>1</v>
      </c>
    </row>
    <row r="234" spans="1:44" x14ac:dyDescent="0.3">
      <c r="A234" s="1129" t="s">
        <v>3142</v>
      </c>
      <c r="B234" s="1129" t="s">
        <v>3143</v>
      </c>
      <c r="C234" s="1129" t="s">
        <v>3144</v>
      </c>
      <c r="D234" s="1129" t="s">
        <v>379</v>
      </c>
      <c r="E234" s="561">
        <v>-33975</v>
      </c>
      <c r="F234" s="561">
        <v>0</v>
      </c>
      <c r="G234" s="561">
        <v>152291</v>
      </c>
      <c r="H234" s="561">
        <v>28348</v>
      </c>
      <c r="I234" s="561">
        <v>955</v>
      </c>
      <c r="J234" s="561">
        <v>42240</v>
      </c>
      <c r="K234" s="561">
        <v>20816</v>
      </c>
      <c r="L234" s="561">
        <v>1402</v>
      </c>
      <c r="M234" s="561">
        <v>6566</v>
      </c>
      <c r="N234" s="561">
        <v>2609</v>
      </c>
      <c r="O234" s="561">
        <v>10648</v>
      </c>
      <c r="P234" s="561">
        <v>1633</v>
      </c>
      <c r="Q234" s="561">
        <v>110</v>
      </c>
      <c r="R234" s="561">
        <v>149792</v>
      </c>
      <c r="S234" s="1217">
        <v>4437</v>
      </c>
      <c r="T234" s="1217">
        <v>0</v>
      </c>
      <c r="U234" s="1217">
        <v>0</v>
      </c>
      <c r="V234" s="561">
        <v>9317</v>
      </c>
      <c r="W234" s="561">
        <v>1114</v>
      </c>
      <c r="X234" s="561">
        <v>2667</v>
      </c>
      <c r="Y234" s="561">
        <v>0</v>
      </c>
      <c r="Z234" s="561">
        <v>1397</v>
      </c>
      <c r="AA234" s="561">
        <v>0</v>
      </c>
      <c r="AB234" s="561">
        <v>0</v>
      </c>
      <c r="AC234" s="561">
        <v>0</v>
      </c>
      <c r="AD234" s="561">
        <v>9928</v>
      </c>
      <c r="AE234" s="561">
        <v>6844</v>
      </c>
      <c r="AF234" s="561">
        <v>3968</v>
      </c>
      <c r="AG234" s="561">
        <v>17576</v>
      </c>
      <c r="AH234" s="561">
        <v>3573</v>
      </c>
      <c r="AI234" s="561">
        <v>88262</v>
      </c>
      <c r="AJ234" s="561">
        <v>33820</v>
      </c>
      <c r="AK234" s="561">
        <v>11540</v>
      </c>
      <c r="AL234" s="561">
        <v>19052</v>
      </c>
      <c r="AM234" s="561">
        <v>0</v>
      </c>
      <c r="AN234" s="561">
        <v>0</v>
      </c>
      <c r="AO234" s="561">
        <v>126</v>
      </c>
      <c r="AP234" s="561">
        <v>0</v>
      </c>
      <c r="AQ234" s="561">
        <v>69</v>
      </c>
      <c r="AR234" s="561">
        <v>0</v>
      </c>
    </row>
    <row r="235" spans="1:44" x14ac:dyDescent="0.3">
      <c r="A235" s="1129" t="s">
        <v>3145</v>
      </c>
      <c r="B235" s="1129" t="s">
        <v>3146</v>
      </c>
      <c r="C235" s="1129" t="s">
        <v>3147</v>
      </c>
      <c r="D235" s="1129" t="s">
        <v>384</v>
      </c>
      <c r="E235" s="561">
        <v>-255</v>
      </c>
      <c r="F235" s="561">
        <v>0</v>
      </c>
      <c r="G235" s="561">
        <v>0</v>
      </c>
      <c r="H235" s="561">
        <v>0</v>
      </c>
      <c r="I235" s="561">
        <v>35</v>
      </c>
      <c r="J235" s="561">
        <v>0</v>
      </c>
      <c r="K235" s="561">
        <v>0</v>
      </c>
      <c r="L235" s="561">
        <v>452</v>
      </c>
      <c r="M235" s="561">
        <v>0</v>
      </c>
      <c r="N235" s="561">
        <v>0</v>
      </c>
      <c r="O235" s="561">
        <v>398</v>
      </c>
      <c r="P235" s="561">
        <v>165</v>
      </c>
      <c r="Q235" s="561">
        <v>826</v>
      </c>
      <c r="R235" s="561">
        <v>9705</v>
      </c>
      <c r="S235" s="1217">
        <v>0</v>
      </c>
      <c r="T235" s="1217">
        <v>0</v>
      </c>
      <c r="U235" s="1217">
        <v>0</v>
      </c>
      <c r="V235" s="561">
        <v>0</v>
      </c>
      <c r="W235" s="561">
        <v>281</v>
      </c>
      <c r="X235" s="561">
        <v>170</v>
      </c>
      <c r="Y235" s="561">
        <v>86</v>
      </c>
      <c r="Z235" s="561">
        <v>188</v>
      </c>
      <c r="AA235" s="561">
        <v>0</v>
      </c>
      <c r="AB235" s="561">
        <v>0</v>
      </c>
      <c r="AC235" s="561">
        <v>0</v>
      </c>
      <c r="AD235" s="561">
        <v>0</v>
      </c>
      <c r="AE235" s="561">
        <v>0</v>
      </c>
      <c r="AF235" s="561">
        <v>0</v>
      </c>
      <c r="AG235" s="561">
        <v>2157</v>
      </c>
      <c r="AH235" s="561">
        <v>0</v>
      </c>
      <c r="AI235" s="561">
        <v>0</v>
      </c>
      <c r="AJ235" s="561">
        <v>3053</v>
      </c>
      <c r="AK235" s="561">
        <v>0</v>
      </c>
      <c r="AL235" s="561">
        <v>0</v>
      </c>
      <c r="AM235" s="561">
        <v>14</v>
      </c>
      <c r="AN235" s="561">
        <v>10</v>
      </c>
      <c r="AO235" s="561">
        <v>0</v>
      </c>
      <c r="AP235" s="561">
        <v>1</v>
      </c>
      <c r="AQ235" s="561">
        <v>4</v>
      </c>
      <c r="AR235" s="561">
        <v>0</v>
      </c>
    </row>
    <row r="236" spans="1:44" x14ac:dyDescent="0.3">
      <c r="A236" s="1129" t="s">
        <v>3148</v>
      </c>
      <c r="B236" s="1129" t="s">
        <v>3149</v>
      </c>
      <c r="C236" s="1129" t="s">
        <v>3150</v>
      </c>
      <c r="D236" s="1129" t="s">
        <v>2476</v>
      </c>
      <c r="E236" s="561">
        <v>-46254</v>
      </c>
      <c r="F236" s="561">
        <v>0</v>
      </c>
      <c r="G236" s="561">
        <v>283180</v>
      </c>
      <c r="H236" s="561">
        <v>36210</v>
      </c>
      <c r="I236" s="561">
        <v>39</v>
      </c>
      <c r="J236" s="561">
        <v>43619</v>
      </c>
      <c r="K236" s="561">
        <v>21210</v>
      </c>
      <c r="L236" s="561">
        <v>21300</v>
      </c>
      <c r="M236" s="561">
        <v>6424</v>
      </c>
      <c r="N236" s="561">
        <v>2494</v>
      </c>
      <c r="O236" s="561">
        <v>11012</v>
      </c>
      <c r="P236" s="561">
        <v>5922</v>
      </c>
      <c r="Q236" s="561">
        <v>0</v>
      </c>
      <c r="R236" s="561">
        <v>126438</v>
      </c>
      <c r="S236" s="1217">
        <v>40465</v>
      </c>
      <c r="T236" s="1217">
        <v>1300</v>
      </c>
      <c r="U236" s="1217">
        <v>-56890</v>
      </c>
      <c r="V236" s="561">
        <v>36535</v>
      </c>
      <c r="W236" s="561">
        <v>1566</v>
      </c>
      <c r="X236" s="561">
        <v>3155</v>
      </c>
      <c r="Y236" s="561">
        <v>0</v>
      </c>
      <c r="Z236" s="561">
        <v>2160</v>
      </c>
      <c r="AA236" s="561">
        <v>0</v>
      </c>
      <c r="AB236" s="561">
        <v>0</v>
      </c>
      <c r="AC236" s="561">
        <v>0</v>
      </c>
      <c r="AD236" s="561">
        <v>24954</v>
      </c>
      <c r="AE236" s="561">
        <v>0</v>
      </c>
      <c r="AF236" s="561">
        <v>0</v>
      </c>
      <c r="AG236" s="561">
        <v>11012</v>
      </c>
      <c r="AH236" s="561">
        <v>5959</v>
      </c>
      <c r="AI236" s="561">
        <v>109053</v>
      </c>
      <c r="AJ236" s="561">
        <v>45166</v>
      </c>
      <c r="AK236" s="561">
        <v>0</v>
      </c>
      <c r="AL236" s="561">
        <v>0</v>
      </c>
      <c r="AM236" s="561">
        <v>133</v>
      </c>
      <c r="AN236" s="561">
        <v>4083</v>
      </c>
      <c r="AO236" s="561">
        <v>19</v>
      </c>
      <c r="AP236" s="561">
        <v>1336</v>
      </c>
      <c r="AQ236" s="561">
        <v>1694</v>
      </c>
      <c r="AR236" s="561">
        <v>78</v>
      </c>
    </row>
    <row r="237" spans="1:44" x14ac:dyDescent="0.3">
      <c r="A237" s="1129" t="s">
        <v>3151</v>
      </c>
      <c r="B237" s="1129" t="s">
        <v>3152</v>
      </c>
      <c r="C237" s="1129" t="s">
        <v>3153</v>
      </c>
      <c r="D237" s="1129" t="s">
        <v>2595</v>
      </c>
      <c r="E237" s="561">
        <v>-52280</v>
      </c>
      <c r="F237" s="561">
        <v>0</v>
      </c>
      <c r="G237" s="561">
        <v>406075</v>
      </c>
      <c r="H237" s="561">
        <v>47896</v>
      </c>
      <c r="I237" s="561">
        <v>2346</v>
      </c>
      <c r="J237" s="561">
        <v>103220</v>
      </c>
      <c r="K237" s="561">
        <v>48876</v>
      </c>
      <c r="L237" s="561">
        <v>0</v>
      </c>
      <c r="M237" s="561">
        <v>18282</v>
      </c>
      <c r="N237" s="561">
        <v>2851</v>
      </c>
      <c r="O237" s="561">
        <v>0</v>
      </c>
      <c r="P237" s="561">
        <v>1281</v>
      </c>
      <c r="Q237" s="561">
        <v>0</v>
      </c>
      <c r="R237" s="561">
        <v>568838</v>
      </c>
      <c r="S237" s="1217">
        <v>0</v>
      </c>
      <c r="T237" s="1217">
        <v>0</v>
      </c>
      <c r="U237" s="1217">
        <v>0</v>
      </c>
      <c r="V237" s="561">
        <v>30575</v>
      </c>
      <c r="W237" s="561">
        <v>0</v>
      </c>
      <c r="X237" s="561">
        <v>6472</v>
      </c>
      <c r="Y237" s="561">
        <v>0</v>
      </c>
      <c r="Z237" s="561">
        <v>0</v>
      </c>
      <c r="AA237" s="561">
        <v>0</v>
      </c>
      <c r="AB237" s="561">
        <v>0</v>
      </c>
      <c r="AC237" s="561">
        <v>0</v>
      </c>
      <c r="AD237" s="561">
        <v>15067</v>
      </c>
      <c r="AE237" s="561">
        <v>35636</v>
      </c>
      <c r="AF237" s="561">
        <v>6457</v>
      </c>
      <c r="AG237" s="561">
        <v>25485</v>
      </c>
      <c r="AH237" s="561">
        <v>7281</v>
      </c>
      <c r="AI237" s="561">
        <v>63698</v>
      </c>
      <c r="AJ237" s="561">
        <v>13930</v>
      </c>
      <c r="AK237" s="561">
        <v>0</v>
      </c>
      <c r="AL237" s="561">
        <v>33074</v>
      </c>
      <c r="AM237" s="561">
        <v>0</v>
      </c>
      <c r="AN237" s="561">
        <v>0</v>
      </c>
      <c r="AO237" s="561">
        <v>0</v>
      </c>
      <c r="AP237" s="561">
        <v>0</v>
      </c>
      <c r="AQ237" s="561">
        <v>0</v>
      </c>
      <c r="AR237" s="561">
        <v>0</v>
      </c>
    </row>
    <row r="238" spans="1:44" x14ac:dyDescent="0.3">
      <c r="A238" s="1129" t="s">
        <v>3154</v>
      </c>
      <c r="B238" s="1129" t="s">
        <v>3155</v>
      </c>
      <c r="C238" s="1129" t="s">
        <v>3156</v>
      </c>
      <c r="D238" s="1129" t="s">
        <v>2466</v>
      </c>
      <c r="E238" s="561">
        <v>0</v>
      </c>
      <c r="F238" s="561">
        <v>-115434</v>
      </c>
      <c r="G238" s="561">
        <v>0</v>
      </c>
      <c r="H238" s="561">
        <v>0</v>
      </c>
      <c r="I238" s="561">
        <v>0</v>
      </c>
      <c r="J238" s="561">
        <v>0</v>
      </c>
      <c r="K238" s="561">
        <v>0</v>
      </c>
      <c r="L238" s="561">
        <v>0</v>
      </c>
      <c r="M238" s="561">
        <v>0</v>
      </c>
      <c r="N238" s="561">
        <v>0</v>
      </c>
      <c r="O238" s="561">
        <v>0</v>
      </c>
      <c r="P238" s="561">
        <v>0</v>
      </c>
      <c r="Q238" s="561">
        <v>0</v>
      </c>
      <c r="R238" s="561">
        <v>106874</v>
      </c>
      <c r="S238" s="1217">
        <v>0</v>
      </c>
      <c r="T238" s="1217">
        <v>6790</v>
      </c>
      <c r="U238" s="1217">
        <v>-2255</v>
      </c>
      <c r="V238" s="561">
        <v>1342</v>
      </c>
      <c r="W238" s="561">
        <v>0</v>
      </c>
      <c r="X238" s="561">
        <v>0</v>
      </c>
      <c r="Y238" s="561">
        <v>0</v>
      </c>
      <c r="Z238" s="561">
        <v>0</v>
      </c>
      <c r="AA238" s="561">
        <v>6286</v>
      </c>
      <c r="AB238" s="561">
        <v>2237</v>
      </c>
      <c r="AC238" s="561">
        <v>3224</v>
      </c>
      <c r="AD238" s="561">
        <v>0</v>
      </c>
      <c r="AE238" s="561">
        <v>0</v>
      </c>
      <c r="AF238" s="561">
        <v>0</v>
      </c>
      <c r="AG238" s="561">
        <v>4990</v>
      </c>
      <c r="AH238" s="561">
        <v>0</v>
      </c>
      <c r="AI238" s="561">
        <v>7986</v>
      </c>
      <c r="AJ238" s="561">
        <v>856</v>
      </c>
      <c r="AK238" s="561">
        <v>1693</v>
      </c>
      <c r="AL238" s="561">
        <v>1838</v>
      </c>
      <c r="AM238" s="561">
        <v>0</v>
      </c>
      <c r="AN238" s="561">
        <v>0</v>
      </c>
      <c r="AO238" s="561">
        <v>0</v>
      </c>
      <c r="AP238" s="561">
        <v>0</v>
      </c>
      <c r="AQ238" s="561">
        <v>0</v>
      </c>
      <c r="AR238" s="561">
        <v>0</v>
      </c>
    </row>
    <row r="239" spans="1:44" x14ac:dyDescent="0.3">
      <c r="A239" s="1129" t="s">
        <v>3157</v>
      </c>
      <c r="B239" s="1129" t="s">
        <v>3158</v>
      </c>
      <c r="C239" s="1129" t="s">
        <v>3159</v>
      </c>
      <c r="D239" s="1129" t="s">
        <v>384</v>
      </c>
      <c r="E239" s="561">
        <v>-270</v>
      </c>
      <c r="F239" s="561">
        <v>0</v>
      </c>
      <c r="G239" s="561">
        <v>0</v>
      </c>
      <c r="H239" s="561">
        <v>0</v>
      </c>
      <c r="I239" s="561">
        <v>36</v>
      </c>
      <c r="J239" s="561">
        <v>0</v>
      </c>
      <c r="K239" s="561">
        <v>0</v>
      </c>
      <c r="L239" s="561">
        <v>902</v>
      </c>
      <c r="M239" s="561">
        <v>0</v>
      </c>
      <c r="N239" s="561">
        <v>0</v>
      </c>
      <c r="O239" s="561">
        <v>267</v>
      </c>
      <c r="P239" s="561">
        <v>705</v>
      </c>
      <c r="Q239" s="561">
        <v>3912</v>
      </c>
      <c r="R239" s="561">
        <v>12074</v>
      </c>
      <c r="S239" s="1217">
        <v>0</v>
      </c>
      <c r="T239" s="1217">
        <v>632</v>
      </c>
      <c r="U239" s="1217">
        <v>0</v>
      </c>
      <c r="V239" s="561">
        <v>290</v>
      </c>
      <c r="W239" s="561">
        <v>238</v>
      </c>
      <c r="X239" s="561">
        <v>65</v>
      </c>
      <c r="Y239" s="561">
        <v>988</v>
      </c>
      <c r="Z239" s="561">
        <v>427</v>
      </c>
      <c r="AA239" s="561">
        <v>0</v>
      </c>
      <c r="AB239" s="561">
        <v>0</v>
      </c>
      <c r="AC239" s="561">
        <v>0</v>
      </c>
      <c r="AD239" s="561">
        <v>0</v>
      </c>
      <c r="AE239" s="561">
        <v>0</v>
      </c>
      <c r="AF239" s="561">
        <v>0</v>
      </c>
      <c r="AG239" s="561">
        <v>1238</v>
      </c>
      <c r="AH239" s="561">
        <v>0</v>
      </c>
      <c r="AI239" s="561">
        <v>10560</v>
      </c>
      <c r="AJ239" s="561">
        <v>0</v>
      </c>
      <c r="AK239" s="561">
        <v>0</v>
      </c>
      <c r="AL239" s="561">
        <v>0</v>
      </c>
      <c r="AM239" s="561">
        <v>4</v>
      </c>
      <c r="AN239" s="561">
        <v>24</v>
      </c>
      <c r="AO239" s="561">
        <v>4</v>
      </c>
      <c r="AP239" s="561">
        <v>14</v>
      </c>
      <c r="AQ239" s="561">
        <v>29</v>
      </c>
      <c r="AR239" s="561">
        <v>3</v>
      </c>
    </row>
    <row r="240" spans="1:44" x14ac:dyDescent="0.3">
      <c r="A240" s="1129" t="s">
        <v>3160</v>
      </c>
      <c r="B240" s="1129" t="s">
        <v>3161</v>
      </c>
      <c r="C240" s="1129" t="s">
        <v>3162</v>
      </c>
      <c r="D240" s="1129" t="s">
        <v>384</v>
      </c>
      <c r="E240" s="561">
        <v>-164</v>
      </c>
      <c r="F240" s="561">
        <v>0</v>
      </c>
      <c r="G240" s="561">
        <v>0</v>
      </c>
      <c r="H240" s="561">
        <v>0</v>
      </c>
      <c r="I240" s="561">
        <v>34</v>
      </c>
      <c r="J240" s="561">
        <v>0</v>
      </c>
      <c r="K240" s="561">
        <v>0</v>
      </c>
      <c r="L240" s="561">
        <v>308</v>
      </c>
      <c r="M240" s="561">
        <v>0</v>
      </c>
      <c r="N240" s="561">
        <v>0</v>
      </c>
      <c r="O240" s="561">
        <v>203</v>
      </c>
      <c r="P240" s="561">
        <v>743</v>
      </c>
      <c r="Q240" s="561">
        <v>4084</v>
      </c>
      <c r="R240" s="561">
        <v>11331</v>
      </c>
      <c r="S240" s="1217">
        <v>10086</v>
      </c>
      <c r="T240" s="1217">
        <v>65</v>
      </c>
      <c r="U240" s="1217">
        <v>0</v>
      </c>
      <c r="V240" s="561">
        <v>6052</v>
      </c>
      <c r="W240" s="561">
        <v>251</v>
      </c>
      <c r="X240" s="561">
        <v>163</v>
      </c>
      <c r="Y240" s="561">
        <v>0</v>
      </c>
      <c r="Z240" s="561">
        <v>0</v>
      </c>
      <c r="AA240" s="561">
        <v>0</v>
      </c>
      <c r="AB240" s="561">
        <v>0</v>
      </c>
      <c r="AC240" s="561">
        <v>0</v>
      </c>
      <c r="AD240" s="561">
        <v>0</v>
      </c>
      <c r="AE240" s="561">
        <v>0</v>
      </c>
      <c r="AF240" s="561">
        <v>0</v>
      </c>
      <c r="AG240" s="561">
        <v>2000</v>
      </c>
      <c r="AH240" s="561">
        <v>0</v>
      </c>
      <c r="AI240" s="561">
        <v>6933</v>
      </c>
      <c r="AJ240" s="561">
        <v>9239</v>
      </c>
      <c r="AK240" s="561">
        <v>4465</v>
      </c>
      <c r="AL240" s="561">
        <v>0</v>
      </c>
      <c r="AM240" s="561">
        <v>0</v>
      </c>
      <c r="AN240" s="561">
        <v>0</v>
      </c>
      <c r="AO240" s="561">
        <v>0</v>
      </c>
      <c r="AP240" s="561">
        <v>0</v>
      </c>
      <c r="AQ240" s="561">
        <v>5</v>
      </c>
      <c r="AR240" s="561">
        <v>0</v>
      </c>
    </row>
    <row r="241" spans="1:44" x14ac:dyDescent="0.3">
      <c r="A241" s="1129" t="s">
        <v>3163</v>
      </c>
      <c r="B241" s="1129" t="s">
        <v>3164</v>
      </c>
      <c r="C241" s="1129" t="s">
        <v>3165</v>
      </c>
      <c r="D241" s="1129" t="s">
        <v>385</v>
      </c>
      <c r="E241" s="561">
        <v>-11640</v>
      </c>
      <c r="F241" s="561">
        <v>0</v>
      </c>
      <c r="G241" s="561">
        <v>55030</v>
      </c>
      <c r="H241" s="561">
        <v>13312</v>
      </c>
      <c r="I241" s="561">
        <v>486</v>
      </c>
      <c r="J241" s="561">
        <v>20167</v>
      </c>
      <c r="K241" s="561">
        <v>9942</v>
      </c>
      <c r="L241" s="561">
        <v>964</v>
      </c>
      <c r="M241" s="561">
        <v>3411</v>
      </c>
      <c r="N241" s="561">
        <v>1664</v>
      </c>
      <c r="O241" s="561">
        <v>5432</v>
      </c>
      <c r="P241" s="561">
        <v>414</v>
      </c>
      <c r="Q241" s="561">
        <v>985</v>
      </c>
      <c r="R241" s="561">
        <v>93132</v>
      </c>
      <c r="S241" s="1217">
        <v>0</v>
      </c>
      <c r="T241" s="1217">
        <v>0</v>
      </c>
      <c r="U241" s="1217">
        <v>-2150</v>
      </c>
      <c r="V241" s="561">
        <v>3608</v>
      </c>
      <c r="W241" s="561">
        <v>491</v>
      </c>
      <c r="X241" s="561">
        <v>1425</v>
      </c>
      <c r="Y241" s="561">
        <v>0</v>
      </c>
      <c r="Z241" s="561">
        <v>508</v>
      </c>
      <c r="AA241" s="561">
        <v>0</v>
      </c>
      <c r="AB241" s="561">
        <v>0</v>
      </c>
      <c r="AC241" s="561">
        <v>0</v>
      </c>
      <c r="AD241" s="561">
        <v>1522</v>
      </c>
      <c r="AE241" s="561">
        <v>0</v>
      </c>
      <c r="AF241" s="561">
        <v>1368</v>
      </c>
      <c r="AG241" s="561">
        <v>8301</v>
      </c>
      <c r="AH241" s="561">
        <v>0</v>
      </c>
      <c r="AI241" s="561">
        <v>7781</v>
      </c>
      <c r="AJ241" s="561">
        <v>1500</v>
      </c>
      <c r="AK241" s="561">
        <v>5201</v>
      </c>
      <c r="AL241" s="561">
        <v>0</v>
      </c>
      <c r="AM241" s="561">
        <v>29</v>
      </c>
      <c r="AN241" s="561">
        <v>0</v>
      </c>
      <c r="AO241" s="561">
        <v>9</v>
      </c>
      <c r="AP241" s="561">
        <v>1</v>
      </c>
      <c r="AQ241" s="561">
        <v>60</v>
      </c>
      <c r="AR241" s="561">
        <v>4</v>
      </c>
    </row>
    <row r="242" spans="1:44" x14ac:dyDescent="0.3">
      <c r="A242" s="1129" t="s">
        <v>3166</v>
      </c>
      <c r="B242" s="1129" t="s">
        <v>3167</v>
      </c>
      <c r="C242" s="1129" t="s">
        <v>3168</v>
      </c>
      <c r="D242" s="1129" t="s">
        <v>2466</v>
      </c>
      <c r="E242" s="561">
        <v>0</v>
      </c>
      <c r="F242" s="561">
        <v>0</v>
      </c>
      <c r="G242" s="561">
        <v>0</v>
      </c>
      <c r="H242" s="561">
        <v>0</v>
      </c>
      <c r="I242" s="561">
        <v>0</v>
      </c>
      <c r="J242" s="561">
        <v>0</v>
      </c>
      <c r="K242" s="561">
        <v>0</v>
      </c>
      <c r="L242" s="561">
        <v>0</v>
      </c>
      <c r="M242" s="561">
        <v>0</v>
      </c>
      <c r="N242" s="561">
        <v>0</v>
      </c>
      <c r="O242" s="561">
        <v>0</v>
      </c>
      <c r="P242" s="561">
        <v>0</v>
      </c>
      <c r="Q242" s="561">
        <v>0</v>
      </c>
      <c r="R242" s="561">
        <v>0</v>
      </c>
      <c r="S242" s="1217">
        <v>0</v>
      </c>
      <c r="T242" s="1217">
        <v>0</v>
      </c>
      <c r="U242" s="1217">
        <v>0</v>
      </c>
      <c r="V242" s="561">
        <v>3232</v>
      </c>
      <c r="W242" s="561">
        <v>0</v>
      </c>
      <c r="X242" s="561">
        <v>0</v>
      </c>
      <c r="Y242" s="561">
        <v>0</v>
      </c>
      <c r="Z242" s="561">
        <v>100</v>
      </c>
      <c r="AA242" s="561">
        <v>0</v>
      </c>
      <c r="AB242" s="561">
        <v>0</v>
      </c>
      <c r="AC242" s="561">
        <v>0</v>
      </c>
      <c r="AD242" s="561">
        <v>0</v>
      </c>
      <c r="AE242" s="561">
        <v>0</v>
      </c>
      <c r="AF242" s="561">
        <v>0</v>
      </c>
      <c r="AG242" s="561">
        <v>0</v>
      </c>
      <c r="AH242" s="561">
        <v>0</v>
      </c>
      <c r="AI242" s="561">
        <v>0</v>
      </c>
      <c r="AJ242" s="561">
        <v>0</v>
      </c>
      <c r="AK242" s="561">
        <v>0</v>
      </c>
      <c r="AL242" s="561">
        <v>0</v>
      </c>
      <c r="AM242" s="561">
        <v>0</v>
      </c>
      <c r="AN242" s="561">
        <v>0</v>
      </c>
      <c r="AO242" s="561">
        <v>0</v>
      </c>
      <c r="AP242" s="561">
        <v>0</v>
      </c>
      <c r="AQ242" s="561">
        <v>0</v>
      </c>
      <c r="AR242" s="561">
        <v>0</v>
      </c>
    </row>
    <row r="243" spans="1:44" x14ac:dyDescent="0.3">
      <c r="A243" s="1129" t="s">
        <v>3169</v>
      </c>
      <c r="B243" s="1129" t="s">
        <v>3170</v>
      </c>
      <c r="C243" s="1129" t="s">
        <v>3171</v>
      </c>
      <c r="D243" s="1129" t="s">
        <v>384</v>
      </c>
      <c r="E243" s="561">
        <v>-183</v>
      </c>
      <c r="F243" s="561">
        <v>0</v>
      </c>
      <c r="G243" s="561">
        <v>0</v>
      </c>
      <c r="H243" s="561">
        <v>0</v>
      </c>
      <c r="I243" s="561">
        <v>36</v>
      </c>
      <c r="J243" s="561">
        <v>0</v>
      </c>
      <c r="K243" s="561">
        <v>0</v>
      </c>
      <c r="L243" s="561">
        <v>816</v>
      </c>
      <c r="M243" s="561">
        <v>0</v>
      </c>
      <c r="N243" s="561">
        <v>0</v>
      </c>
      <c r="O243" s="561">
        <v>0</v>
      </c>
      <c r="P243" s="561">
        <v>217</v>
      </c>
      <c r="Q243" s="561">
        <v>1523</v>
      </c>
      <c r="R243" s="561">
        <v>15136</v>
      </c>
      <c r="S243" s="1217">
        <v>0</v>
      </c>
      <c r="T243" s="1217">
        <v>0</v>
      </c>
      <c r="U243" s="1217">
        <v>0</v>
      </c>
      <c r="V243" s="561">
        <v>35</v>
      </c>
      <c r="W243" s="561">
        <v>253</v>
      </c>
      <c r="X243" s="561">
        <v>157</v>
      </c>
      <c r="Y243" s="561">
        <v>724</v>
      </c>
      <c r="Z243" s="561">
        <v>157</v>
      </c>
      <c r="AA243" s="561">
        <v>0</v>
      </c>
      <c r="AB243" s="561">
        <v>0</v>
      </c>
      <c r="AC243" s="561">
        <v>0</v>
      </c>
      <c r="AD243" s="561">
        <v>0</v>
      </c>
      <c r="AE243" s="561">
        <v>0</v>
      </c>
      <c r="AF243" s="561">
        <v>0</v>
      </c>
      <c r="AG243" s="561">
        <v>14058</v>
      </c>
      <c r="AH243" s="561">
        <v>0</v>
      </c>
      <c r="AI243" s="561">
        <v>4605</v>
      </c>
      <c r="AJ243" s="561">
        <v>34</v>
      </c>
      <c r="AK243" s="561">
        <v>5735</v>
      </c>
      <c r="AL243" s="561">
        <v>2315</v>
      </c>
      <c r="AM243" s="561">
        <v>6</v>
      </c>
      <c r="AN243" s="561">
        <v>0</v>
      </c>
      <c r="AO243" s="561">
        <v>32</v>
      </c>
      <c r="AP243" s="561">
        <v>0</v>
      </c>
      <c r="AQ243" s="561">
        <v>48</v>
      </c>
      <c r="AR243" s="561">
        <v>0</v>
      </c>
    </row>
    <row r="244" spans="1:44" x14ac:dyDescent="0.3">
      <c r="A244" s="1129" t="s">
        <v>3172</v>
      </c>
      <c r="B244" s="1129" t="s">
        <v>3173</v>
      </c>
      <c r="C244" s="1129" t="s">
        <v>3174</v>
      </c>
      <c r="D244" s="1129" t="s">
        <v>384</v>
      </c>
      <c r="E244" s="561">
        <v>-157</v>
      </c>
      <c r="F244" s="561">
        <v>0</v>
      </c>
      <c r="G244" s="561">
        <v>0</v>
      </c>
      <c r="H244" s="561">
        <v>0</v>
      </c>
      <c r="I244" s="561">
        <v>36</v>
      </c>
      <c r="J244" s="561">
        <v>0</v>
      </c>
      <c r="K244" s="561">
        <v>0</v>
      </c>
      <c r="L244" s="561">
        <v>478</v>
      </c>
      <c r="M244" s="561">
        <v>0</v>
      </c>
      <c r="N244" s="561">
        <v>0</v>
      </c>
      <c r="O244" s="561">
        <v>0</v>
      </c>
      <c r="P244" s="561">
        <v>724</v>
      </c>
      <c r="Q244" s="561">
        <v>4907</v>
      </c>
      <c r="R244" s="561">
        <v>12683</v>
      </c>
      <c r="S244" s="1217">
        <v>745</v>
      </c>
      <c r="T244" s="1217">
        <v>3048</v>
      </c>
      <c r="U244" s="1217">
        <v>0</v>
      </c>
      <c r="V244" s="561">
        <v>2470</v>
      </c>
      <c r="W244" s="561">
        <v>188</v>
      </c>
      <c r="X244" s="561">
        <v>160</v>
      </c>
      <c r="Y244" s="561">
        <v>749</v>
      </c>
      <c r="Z244" s="561">
        <v>0</v>
      </c>
      <c r="AA244" s="561">
        <v>0</v>
      </c>
      <c r="AB244" s="561">
        <v>0</v>
      </c>
      <c r="AC244" s="561">
        <v>0</v>
      </c>
      <c r="AD244" s="561">
        <v>0</v>
      </c>
      <c r="AE244" s="561">
        <v>0</v>
      </c>
      <c r="AF244" s="561">
        <v>0</v>
      </c>
      <c r="AG244" s="561">
        <v>1600</v>
      </c>
      <c r="AH244" s="561">
        <v>0</v>
      </c>
      <c r="AI244" s="561">
        <v>14385</v>
      </c>
      <c r="AJ244" s="561">
        <v>1330</v>
      </c>
      <c r="AK244" s="561">
        <v>7769</v>
      </c>
      <c r="AL244" s="561">
        <v>0</v>
      </c>
      <c r="AM244" s="561">
        <v>18</v>
      </c>
      <c r="AN244" s="561">
        <v>19</v>
      </c>
      <c r="AO244" s="561">
        <v>1</v>
      </c>
      <c r="AP244" s="561">
        <v>0</v>
      </c>
      <c r="AQ244" s="561">
        <v>11</v>
      </c>
      <c r="AR244" s="561">
        <v>1</v>
      </c>
    </row>
    <row r="245" spans="1:44" x14ac:dyDescent="0.3">
      <c r="A245" s="1129" t="s">
        <v>3175</v>
      </c>
      <c r="B245" s="1129" t="s">
        <v>3176</v>
      </c>
      <c r="C245" s="1129" t="s">
        <v>3177</v>
      </c>
      <c r="D245" s="1129" t="s">
        <v>385</v>
      </c>
      <c r="E245" s="561">
        <v>-8352</v>
      </c>
      <c r="F245" s="561">
        <v>0</v>
      </c>
      <c r="G245" s="561">
        <v>121370</v>
      </c>
      <c r="H245" s="561">
        <v>11076</v>
      </c>
      <c r="I245" s="561">
        <v>445</v>
      </c>
      <c r="J245" s="561">
        <v>19389</v>
      </c>
      <c r="K245" s="561">
        <v>8929</v>
      </c>
      <c r="L245" s="561">
        <v>700</v>
      </c>
      <c r="M245" s="561">
        <v>3329</v>
      </c>
      <c r="N245" s="561">
        <v>934</v>
      </c>
      <c r="O245" s="561">
        <v>1113</v>
      </c>
      <c r="P245" s="561">
        <v>705</v>
      </c>
      <c r="Q245" s="561">
        <v>2068</v>
      </c>
      <c r="R245" s="561">
        <v>95989</v>
      </c>
      <c r="S245" s="1217">
        <v>0</v>
      </c>
      <c r="T245" s="1217">
        <v>82</v>
      </c>
      <c r="U245" s="1217">
        <v>-500</v>
      </c>
      <c r="V245" s="561">
        <v>4587</v>
      </c>
      <c r="W245" s="561">
        <v>395</v>
      </c>
      <c r="X245" s="561">
        <v>1301</v>
      </c>
      <c r="Y245" s="561">
        <v>0</v>
      </c>
      <c r="Z245" s="561">
        <v>336</v>
      </c>
      <c r="AA245" s="561">
        <v>0</v>
      </c>
      <c r="AB245" s="561">
        <v>0</v>
      </c>
      <c r="AC245" s="561">
        <v>0</v>
      </c>
      <c r="AD245" s="561">
        <v>6187</v>
      </c>
      <c r="AE245" s="561">
        <v>6987</v>
      </c>
      <c r="AF245" s="561">
        <v>2658</v>
      </c>
      <c r="AG245" s="561">
        <v>10000</v>
      </c>
      <c r="AH245" s="561">
        <v>11484</v>
      </c>
      <c r="AI245" s="561">
        <v>7766</v>
      </c>
      <c r="AJ245" s="561">
        <v>9880</v>
      </c>
      <c r="AK245" s="561">
        <v>21574</v>
      </c>
      <c r="AL245" s="561">
        <v>468</v>
      </c>
      <c r="AM245" s="561">
        <v>72</v>
      </c>
      <c r="AN245" s="561">
        <v>0</v>
      </c>
      <c r="AO245" s="561">
        <v>0</v>
      </c>
      <c r="AP245" s="561">
        <v>1</v>
      </c>
      <c r="AQ245" s="561">
        <v>0</v>
      </c>
      <c r="AR245" s="561">
        <v>0</v>
      </c>
    </row>
    <row r="246" spans="1:44" x14ac:dyDescent="0.3">
      <c r="A246" s="1129" t="s">
        <v>3178</v>
      </c>
      <c r="B246" s="1129" t="s">
        <v>3179</v>
      </c>
      <c r="C246" s="1129" t="s">
        <v>3180</v>
      </c>
      <c r="D246" s="1129" t="s">
        <v>2466</v>
      </c>
      <c r="E246" s="561">
        <v>0</v>
      </c>
      <c r="F246" s="561">
        <v>0</v>
      </c>
      <c r="G246" s="561">
        <v>0</v>
      </c>
      <c r="H246" s="561">
        <v>0</v>
      </c>
      <c r="I246" s="561">
        <v>0</v>
      </c>
      <c r="J246" s="561">
        <v>0</v>
      </c>
      <c r="K246" s="561">
        <v>0</v>
      </c>
      <c r="L246" s="561">
        <v>0</v>
      </c>
      <c r="M246" s="561">
        <v>0</v>
      </c>
      <c r="N246" s="561">
        <v>0</v>
      </c>
      <c r="O246" s="561">
        <v>0</v>
      </c>
      <c r="P246" s="561">
        <v>0</v>
      </c>
      <c r="Q246" s="561">
        <v>0</v>
      </c>
      <c r="R246" s="561">
        <v>0</v>
      </c>
      <c r="S246" s="1217">
        <v>0</v>
      </c>
      <c r="T246" s="1217">
        <v>0</v>
      </c>
      <c r="U246" s="1217">
        <v>0</v>
      </c>
      <c r="V246" s="561">
        <v>31288</v>
      </c>
      <c r="W246" s="561">
        <v>0</v>
      </c>
      <c r="X246" s="561">
        <v>0</v>
      </c>
      <c r="Y246" s="561">
        <v>0</v>
      </c>
      <c r="Z246" s="561">
        <v>0</v>
      </c>
      <c r="AA246" s="561">
        <v>0</v>
      </c>
      <c r="AB246" s="561">
        <v>0</v>
      </c>
      <c r="AC246" s="561">
        <v>0</v>
      </c>
      <c r="AD246" s="561">
        <v>0</v>
      </c>
      <c r="AE246" s="561">
        <v>0</v>
      </c>
      <c r="AF246" s="561">
        <v>0</v>
      </c>
      <c r="AG246" s="561">
        <v>10570</v>
      </c>
      <c r="AH246" s="561">
        <v>0</v>
      </c>
      <c r="AI246" s="561">
        <v>0</v>
      </c>
      <c r="AJ246" s="561">
        <v>0</v>
      </c>
      <c r="AK246" s="561">
        <v>0</v>
      </c>
      <c r="AL246" s="561">
        <v>0</v>
      </c>
      <c r="AM246" s="561">
        <v>0</v>
      </c>
      <c r="AN246" s="561">
        <v>0</v>
      </c>
      <c r="AO246" s="561">
        <v>0</v>
      </c>
      <c r="AP246" s="561">
        <v>0</v>
      </c>
      <c r="AQ246" s="561">
        <v>0</v>
      </c>
      <c r="AR246" s="561">
        <v>0</v>
      </c>
    </row>
    <row r="247" spans="1:44" x14ac:dyDescent="0.3">
      <c r="A247" s="1129" t="s">
        <v>3181</v>
      </c>
      <c r="B247" s="1129" t="s">
        <v>3182</v>
      </c>
      <c r="C247" s="1129" t="s">
        <v>3183</v>
      </c>
      <c r="D247" s="1129" t="s">
        <v>384</v>
      </c>
      <c r="E247" s="561">
        <v>-335</v>
      </c>
      <c r="F247" s="561">
        <v>0</v>
      </c>
      <c r="G247" s="561">
        <v>0</v>
      </c>
      <c r="H247" s="561">
        <v>0</v>
      </c>
      <c r="I247" s="561">
        <v>35</v>
      </c>
      <c r="J247" s="561">
        <v>0</v>
      </c>
      <c r="K247" s="561">
        <v>0</v>
      </c>
      <c r="L247" s="561">
        <v>631</v>
      </c>
      <c r="M247" s="561">
        <v>0</v>
      </c>
      <c r="N247" s="561">
        <v>0</v>
      </c>
      <c r="O247" s="561">
        <v>195</v>
      </c>
      <c r="P247" s="561">
        <v>596</v>
      </c>
      <c r="Q247" s="561">
        <v>3698</v>
      </c>
      <c r="R247" s="561">
        <v>11510</v>
      </c>
      <c r="S247" s="1217">
        <v>0</v>
      </c>
      <c r="T247" s="1217">
        <v>320</v>
      </c>
      <c r="U247" s="1217">
        <v>0</v>
      </c>
      <c r="V247" s="561">
        <v>250</v>
      </c>
      <c r="W247" s="561">
        <v>245</v>
      </c>
      <c r="X247" s="561">
        <v>151</v>
      </c>
      <c r="Y247" s="561">
        <v>805</v>
      </c>
      <c r="Z247" s="561">
        <v>145</v>
      </c>
      <c r="AA247" s="561">
        <v>0</v>
      </c>
      <c r="AB247" s="561">
        <v>0</v>
      </c>
      <c r="AC247" s="561">
        <v>0</v>
      </c>
      <c r="AD247" s="561">
        <v>0</v>
      </c>
      <c r="AE247" s="561">
        <v>0</v>
      </c>
      <c r="AF247" s="561">
        <v>0</v>
      </c>
      <c r="AG247" s="561">
        <v>2149</v>
      </c>
      <c r="AH247" s="561">
        <v>0</v>
      </c>
      <c r="AI247" s="561">
        <v>13812</v>
      </c>
      <c r="AJ247" s="561">
        <v>3640</v>
      </c>
      <c r="AK247" s="561">
        <v>363</v>
      </c>
      <c r="AL247" s="561">
        <v>0</v>
      </c>
      <c r="AM247" s="561">
        <v>14</v>
      </c>
      <c r="AN247" s="561">
        <v>19</v>
      </c>
      <c r="AO247" s="561">
        <v>0</v>
      </c>
      <c r="AP247" s="561">
        <v>1</v>
      </c>
      <c r="AQ247" s="561">
        <v>24</v>
      </c>
      <c r="AR247" s="561">
        <v>0</v>
      </c>
    </row>
    <row r="248" spans="1:44" x14ac:dyDescent="0.3">
      <c r="A248" s="1129" t="s">
        <v>3184</v>
      </c>
      <c r="B248" s="1129" t="s">
        <v>3185</v>
      </c>
      <c r="C248" s="1129" t="s">
        <v>3186</v>
      </c>
      <c r="D248" s="1129" t="s">
        <v>385</v>
      </c>
      <c r="E248" s="561">
        <v>-6589</v>
      </c>
      <c r="F248" s="561">
        <v>0</v>
      </c>
      <c r="G248" s="561">
        <v>154027</v>
      </c>
      <c r="H248" s="561">
        <v>20381</v>
      </c>
      <c r="I248" s="561">
        <v>863</v>
      </c>
      <c r="J248" s="561">
        <v>27768</v>
      </c>
      <c r="K248" s="561">
        <v>14216</v>
      </c>
      <c r="L248" s="561">
        <v>2121</v>
      </c>
      <c r="M248" s="561">
        <v>5522</v>
      </c>
      <c r="N248" s="561">
        <v>2178</v>
      </c>
      <c r="O248" s="561">
        <v>0</v>
      </c>
      <c r="P248" s="561">
        <v>3223</v>
      </c>
      <c r="Q248" s="561">
        <v>8752</v>
      </c>
      <c r="R248" s="561">
        <v>223587</v>
      </c>
      <c r="S248" s="1217">
        <v>12001</v>
      </c>
      <c r="T248" s="1217">
        <v>0</v>
      </c>
      <c r="U248" s="1217">
        <v>-1230</v>
      </c>
      <c r="V248" s="561">
        <v>11454</v>
      </c>
      <c r="W248" s="561">
        <v>724</v>
      </c>
      <c r="X248" s="561">
        <v>2648</v>
      </c>
      <c r="Y248" s="561">
        <v>0</v>
      </c>
      <c r="Z248" s="561">
        <v>985</v>
      </c>
      <c r="AA248" s="561">
        <v>0</v>
      </c>
      <c r="AB248" s="561">
        <v>0</v>
      </c>
      <c r="AC248" s="561">
        <v>0</v>
      </c>
      <c r="AD248" s="561">
        <v>0</v>
      </c>
      <c r="AE248" s="561">
        <v>0</v>
      </c>
      <c r="AF248" s="561">
        <v>11631</v>
      </c>
      <c r="AG248" s="561">
        <v>0</v>
      </c>
      <c r="AH248" s="561">
        <v>0</v>
      </c>
      <c r="AI248" s="561">
        <v>51823</v>
      </c>
      <c r="AJ248" s="561">
        <v>21131</v>
      </c>
      <c r="AK248" s="561">
        <v>30824</v>
      </c>
      <c r="AL248" s="561">
        <v>0</v>
      </c>
      <c r="AM248" s="561">
        <v>32</v>
      </c>
      <c r="AN248" s="561">
        <v>24</v>
      </c>
      <c r="AO248" s="561">
        <v>1</v>
      </c>
      <c r="AP248" s="561">
        <v>4</v>
      </c>
      <c r="AQ248" s="561">
        <v>171</v>
      </c>
      <c r="AR248" s="561">
        <v>0</v>
      </c>
    </row>
    <row r="249" spans="1:44" x14ac:dyDescent="0.3">
      <c r="A249" s="1129" t="s">
        <v>3187</v>
      </c>
      <c r="B249" s="1129" t="s">
        <v>3188</v>
      </c>
      <c r="C249" s="1129" t="s">
        <v>3189</v>
      </c>
      <c r="D249" s="1129" t="s">
        <v>385</v>
      </c>
      <c r="E249" s="561">
        <v>-3178</v>
      </c>
      <c r="F249" s="561">
        <v>0</v>
      </c>
      <c r="G249" s="561">
        <v>73258</v>
      </c>
      <c r="H249" s="561">
        <v>11227</v>
      </c>
      <c r="I249" s="561">
        <v>491</v>
      </c>
      <c r="J249" s="561">
        <v>20585</v>
      </c>
      <c r="K249" s="561">
        <v>8618</v>
      </c>
      <c r="L249" s="561">
        <v>1371</v>
      </c>
      <c r="M249" s="561">
        <v>4042</v>
      </c>
      <c r="N249" s="561">
        <v>509</v>
      </c>
      <c r="O249" s="561">
        <v>0</v>
      </c>
      <c r="P249" s="561">
        <v>1094</v>
      </c>
      <c r="Q249" s="561">
        <v>9729</v>
      </c>
      <c r="R249" s="561">
        <v>158181</v>
      </c>
      <c r="S249" s="1217">
        <v>0</v>
      </c>
      <c r="T249" s="1217">
        <v>0</v>
      </c>
      <c r="U249" s="1217">
        <v>0</v>
      </c>
      <c r="V249" s="561">
        <v>4802</v>
      </c>
      <c r="W249" s="561">
        <v>498</v>
      </c>
      <c r="X249" s="561">
        <v>1610</v>
      </c>
      <c r="Y249" s="561">
        <v>0</v>
      </c>
      <c r="Z249" s="561">
        <v>325</v>
      </c>
      <c r="AA249" s="561">
        <v>0</v>
      </c>
      <c r="AB249" s="561">
        <v>0</v>
      </c>
      <c r="AC249" s="561">
        <v>0</v>
      </c>
      <c r="AD249" s="561">
        <v>2673</v>
      </c>
      <c r="AE249" s="561">
        <v>0</v>
      </c>
      <c r="AF249" s="561">
        <v>537</v>
      </c>
      <c r="AG249" s="561">
        <v>10470</v>
      </c>
      <c r="AH249" s="561">
        <v>216</v>
      </c>
      <c r="AI249" s="561">
        <v>48466</v>
      </c>
      <c r="AJ249" s="561">
        <v>14066</v>
      </c>
      <c r="AK249" s="561">
        <v>25139</v>
      </c>
      <c r="AL249" s="561">
        <v>0</v>
      </c>
      <c r="AM249" s="561">
        <v>32</v>
      </c>
      <c r="AN249" s="561">
        <v>7</v>
      </c>
      <c r="AO249" s="561">
        <v>0</v>
      </c>
      <c r="AP249" s="561">
        <v>0</v>
      </c>
      <c r="AQ249" s="561">
        <v>21</v>
      </c>
      <c r="AR249" s="561">
        <v>3</v>
      </c>
    </row>
    <row r="250" spans="1:44" x14ac:dyDescent="0.3">
      <c r="A250" s="1129" t="s">
        <v>3190</v>
      </c>
      <c r="B250" s="1129" t="s">
        <v>3191</v>
      </c>
      <c r="C250" s="1129" t="s">
        <v>3192</v>
      </c>
      <c r="D250" s="1129" t="s">
        <v>379</v>
      </c>
      <c r="E250" s="561">
        <v>-14531</v>
      </c>
      <c r="F250" s="561">
        <v>0</v>
      </c>
      <c r="G250" s="561">
        <v>193166</v>
      </c>
      <c r="H250" s="561">
        <v>14513</v>
      </c>
      <c r="I250" s="561">
        <v>546</v>
      </c>
      <c r="J250" s="561">
        <v>26235</v>
      </c>
      <c r="K250" s="561">
        <v>11817</v>
      </c>
      <c r="L250" s="561">
        <v>890</v>
      </c>
      <c r="M250" s="561">
        <v>4511</v>
      </c>
      <c r="N250" s="561">
        <v>994</v>
      </c>
      <c r="O250" s="561">
        <v>1597</v>
      </c>
      <c r="P250" s="561">
        <v>469</v>
      </c>
      <c r="Q250" s="561">
        <v>0</v>
      </c>
      <c r="R250" s="561">
        <v>132530</v>
      </c>
      <c r="S250" s="1217">
        <v>30499</v>
      </c>
      <c r="T250" s="1217">
        <v>1000</v>
      </c>
      <c r="U250" s="1217">
        <v>0</v>
      </c>
      <c r="V250" s="561">
        <v>13295</v>
      </c>
      <c r="W250" s="561">
        <v>663</v>
      </c>
      <c r="X250" s="561">
        <v>1825</v>
      </c>
      <c r="Y250" s="561">
        <v>0</v>
      </c>
      <c r="Z250" s="561">
        <v>29</v>
      </c>
      <c r="AA250" s="561">
        <v>0</v>
      </c>
      <c r="AB250" s="561">
        <v>0</v>
      </c>
      <c r="AC250" s="561">
        <v>0</v>
      </c>
      <c r="AD250" s="561">
        <v>-4798</v>
      </c>
      <c r="AE250" s="561">
        <v>4511</v>
      </c>
      <c r="AF250" s="561">
        <v>621</v>
      </c>
      <c r="AG250" s="561">
        <v>7000</v>
      </c>
      <c r="AH250" s="561">
        <v>0</v>
      </c>
      <c r="AI250" s="561">
        <v>11857</v>
      </c>
      <c r="AJ250" s="561">
        <v>12476</v>
      </c>
      <c r="AK250" s="561">
        <v>0</v>
      </c>
      <c r="AL250" s="561">
        <v>9324</v>
      </c>
      <c r="AM250" s="561">
        <v>18</v>
      </c>
      <c r="AN250" s="561">
        <v>1</v>
      </c>
      <c r="AO250" s="561">
        <v>0</v>
      </c>
      <c r="AP250" s="561">
        <v>4</v>
      </c>
      <c r="AQ250" s="561">
        <v>26</v>
      </c>
      <c r="AR250" s="561">
        <v>28</v>
      </c>
    </row>
    <row r="251" spans="1:44" x14ac:dyDescent="0.3">
      <c r="A251" s="1129" t="s">
        <v>3193</v>
      </c>
      <c r="B251" s="1129" t="s">
        <v>3194</v>
      </c>
      <c r="C251" s="1129" t="s">
        <v>3195</v>
      </c>
      <c r="D251" s="1129" t="s">
        <v>384</v>
      </c>
      <c r="E251" s="561">
        <v>-117</v>
      </c>
      <c r="F251" s="561">
        <v>0</v>
      </c>
      <c r="G251" s="561">
        <v>0</v>
      </c>
      <c r="H251" s="561">
        <v>0</v>
      </c>
      <c r="I251" s="561">
        <v>38</v>
      </c>
      <c r="J251" s="561">
        <v>0</v>
      </c>
      <c r="K251" s="561">
        <v>0</v>
      </c>
      <c r="L251" s="561">
        <v>331</v>
      </c>
      <c r="M251" s="561">
        <v>0</v>
      </c>
      <c r="N251" s="561">
        <v>0</v>
      </c>
      <c r="O251" s="561">
        <v>128</v>
      </c>
      <c r="P251" s="561">
        <v>10</v>
      </c>
      <c r="Q251" s="561">
        <v>1367</v>
      </c>
      <c r="R251" s="561">
        <v>6685</v>
      </c>
      <c r="S251" s="1217" t="s">
        <v>2453</v>
      </c>
      <c r="T251" s="1217">
        <v>0</v>
      </c>
      <c r="U251" s="1217">
        <v>0</v>
      </c>
      <c r="V251" s="561">
        <v>1511</v>
      </c>
      <c r="W251" s="561">
        <v>127</v>
      </c>
      <c r="X251" s="561">
        <v>101</v>
      </c>
      <c r="Y251" s="561">
        <v>642</v>
      </c>
      <c r="Z251" s="561">
        <v>0</v>
      </c>
      <c r="AA251" s="561">
        <v>0</v>
      </c>
      <c r="AB251" s="561">
        <v>0</v>
      </c>
      <c r="AC251" s="561">
        <v>0</v>
      </c>
      <c r="AD251" s="561">
        <v>0</v>
      </c>
      <c r="AE251" s="561">
        <v>0</v>
      </c>
      <c r="AF251" s="561">
        <v>0</v>
      </c>
      <c r="AG251" s="561">
        <v>6576</v>
      </c>
      <c r="AH251" s="561">
        <v>0</v>
      </c>
      <c r="AI251" s="561">
        <v>11072</v>
      </c>
      <c r="AJ251" s="561">
        <v>0</v>
      </c>
      <c r="AK251" s="561">
        <v>0</v>
      </c>
      <c r="AL251" s="561">
        <v>0</v>
      </c>
      <c r="AM251" s="561">
        <v>1</v>
      </c>
      <c r="AN251" s="561">
        <v>0</v>
      </c>
      <c r="AO251" s="561">
        <v>0</v>
      </c>
      <c r="AP251" s="561">
        <v>0</v>
      </c>
      <c r="AQ251" s="561">
        <v>3</v>
      </c>
      <c r="AR251" s="561">
        <v>0</v>
      </c>
    </row>
    <row r="252" spans="1:44" x14ac:dyDescent="0.3">
      <c r="A252" s="1129" t="s">
        <v>3196</v>
      </c>
      <c r="B252" s="1129" t="s">
        <v>3197</v>
      </c>
      <c r="C252" s="1129" t="s">
        <v>3198</v>
      </c>
      <c r="D252" s="1129" t="s">
        <v>384</v>
      </c>
      <c r="E252" s="561">
        <v>-131</v>
      </c>
      <c r="F252" s="561">
        <v>0</v>
      </c>
      <c r="G252" s="561">
        <v>0</v>
      </c>
      <c r="H252" s="561">
        <v>0</v>
      </c>
      <c r="I252" s="561">
        <v>35</v>
      </c>
      <c r="J252" s="561">
        <v>0</v>
      </c>
      <c r="K252" s="561">
        <v>0</v>
      </c>
      <c r="L252" s="561">
        <v>307</v>
      </c>
      <c r="M252" s="561">
        <v>0</v>
      </c>
      <c r="N252" s="561">
        <v>0</v>
      </c>
      <c r="O252" s="561">
        <v>12</v>
      </c>
      <c r="P252" s="561">
        <v>679</v>
      </c>
      <c r="Q252" s="561">
        <v>3216</v>
      </c>
      <c r="R252" s="561">
        <v>10123</v>
      </c>
      <c r="S252" s="1217" t="s">
        <v>2453</v>
      </c>
      <c r="T252" s="1217">
        <v>22</v>
      </c>
      <c r="U252" s="1217">
        <v>0</v>
      </c>
      <c r="V252" s="561">
        <v>1731</v>
      </c>
      <c r="W252" s="561">
        <v>172</v>
      </c>
      <c r="X252" s="561">
        <v>170</v>
      </c>
      <c r="Y252" s="561">
        <v>1577</v>
      </c>
      <c r="Z252" s="561">
        <v>581</v>
      </c>
      <c r="AA252" s="561">
        <v>0</v>
      </c>
      <c r="AB252" s="561">
        <v>0</v>
      </c>
      <c r="AC252" s="561">
        <v>0</v>
      </c>
      <c r="AD252" s="561">
        <v>0</v>
      </c>
      <c r="AE252" s="561">
        <v>0</v>
      </c>
      <c r="AF252" s="561">
        <v>0</v>
      </c>
      <c r="AG252" s="561">
        <v>0</v>
      </c>
      <c r="AH252" s="561">
        <v>0</v>
      </c>
      <c r="AI252" s="561">
        <v>0</v>
      </c>
      <c r="AJ252" s="561">
        <v>0</v>
      </c>
      <c r="AK252" s="561">
        <v>0</v>
      </c>
      <c r="AL252" s="561">
        <v>0</v>
      </c>
      <c r="AM252" s="561">
        <v>6</v>
      </c>
      <c r="AN252" s="561">
        <v>0</v>
      </c>
      <c r="AO252" s="561">
        <v>5</v>
      </c>
      <c r="AP252" s="561">
        <v>0</v>
      </c>
      <c r="AQ252" s="561">
        <v>13</v>
      </c>
      <c r="AR252" s="561">
        <v>0</v>
      </c>
    </row>
    <row r="253" spans="1:44" x14ac:dyDescent="0.3">
      <c r="A253" s="1129" t="s">
        <v>3199</v>
      </c>
      <c r="B253" s="1129" t="s">
        <v>3200</v>
      </c>
      <c r="C253" s="1129" t="s">
        <v>3201</v>
      </c>
      <c r="D253" s="1129" t="s">
        <v>2466</v>
      </c>
      <c r="E253" s="561">
        <v>0</v>
      </c>
      <c r="F253" s="561">
        <v>0</v>
      </c>
      <c r="G253" s="561">
        <v>0</v>
      </c>
      <c r="H253" s="561">
        <v>0</v>
      </c>
      <c r="I253" s="561">
        <v>0</v>
      </c>
      <c r="J253" s="561">
        <v>0</v>
      </c>
      <c r="K253" s="561">
        <v>0</v>
      </c>
      <c r="L253" s="561">
        <v>0</v>
      </c>
      <c r="M253" s="561">
        <v>0</v>
      </c>
      <c r="N253" s="561">
        <v>0</v>
      </c>
      <c r="O253" s="561">
        <v>0</v>
      </c>
      <c r="P253" s="561">
        <v>0</v>
      </c>
      <c r="Q253" s="561">
        <v>0</v>
      </c>
      <c r="R253" s="561">
        <v>0</v>
      </c>
      <c r="S253" s="1217">
        <v>0</v>
      </c>
      <c r="T253" s="1217">
        <v>0</v>
      </c>
      <c r="U253" s="1217">
        <v>0</v>
      </c>
      <c r="V253" s="561">
        <v>0</v>
      </c>
      <c r="W253" s="561">
        <v>0</v>
      </c>
      <c r="X253" s="561">
        <v>0</v>
      </c>
      <c r="Y253" s="561">
        <v>0</v>
      </c>
      <c r="Z253" s="561">
        <v>0</v>
      </c>
      <c r="AA253" s="561">
        <v>0</v>
      </c>
      <c r="AB253" s="561">
        <v>0</v>
      </c>
      <c r="AC253" s="561">
        <v>0</v>
      </c>
      <c r="AD253" s="561">
        <v>0</v>
      </c>
      <c r="AE253" s="561">
        <v>0</v>
      </c>
      <c r="AF253" s="561">
        <v>0</v>
      </c>
      <c r="AG253" s="561">
        <v>0</v>
      </c>
      <c r="AH253" s="561">
        <v>0</v>
      </c>
      <c r="AI253" s="561">
        <v>7167</v>
      </c>
      <c r="AJ253" s="561">
        <v>0</v>
      </c>
      <c r="AK253" s="561">
        <v>0</v>
      </c>
      <c r="AL253" s="561">
        <v>0</v>
      </c>
      <c r="AM253" s="561">
        <v>0</v>
      </c>
      <c r="AN253" s="561">
        <v>0</v>
      </c>
      <c r="AO253" s="561">
        <v>0</v>
      </c>
      <c r="AP253" s="561">
        <v>0</v>
      </c>
      <c r="AQ253" s="561">
        <v>0</v>
      </c>
      <c r="AR253" s="561">
        <v>0</v>
      </c>
    </row>
    <row r="254" spans="1:44" x14ac:dyDescent="0.3">
      <c r="A254" s="1129" t="s">
        <v>3202</v>
      </c>
      <c r="B254" s="1129" t="s">
        <v>3203</v>
      </c>
      <c r="C254" s="1129" t="s">
        <v>3204</v>
      </c>
      <c r="D254" s="1129" t="s">
        <v>385</v>
      </c>
      <c r="E254" s="561">
        <v>-2148</v>
      </c>
      <c r="F254" s="561">
        <v>0</v>
      </c>
      <c r="G254" s="561">
        <v>356232</v>
      </c>
      <c r="H254" s="561">
        <v>25883</v>
      </c>
      <c r="I254" s="561">
        <v>1660</v>
      </c>
      <c r="J254" s="561">
        <v>50244</v>
      </c>
      <c r="K254" s="561">
        <v>21377</v>
      </c>
      <c r="L254" s="561">
        <v>2966</v>
      </c>
      <c r="M254" s="561">
        <v>10603</v>
      </c>
      <c r="N254" s="561">
        <v>1223</v>
      </c>
      <c r="O254" s="561">
        <v>0</v>
      </c>
      <c r="P254" s="561">
        <v>4043</v>
      </c>
      <c r="Q254" s="561">
        <v>12953</v>
      </c>
      <c r="R254" s="561">
        <v>507158</v>
      </c>
      <c r="S254" s="1217">
        <v>21837</v>
      </c>
      <c r="T254" s="1217">
        <v>0</v>
      </c>
      <c r="U254" s="1217">
        <v>0</v>
      </c>
      <c r="V254" s="561">
        <v>12947</v>
      </c>
      <c r="W254" s="561">
        <v>1205</v>
      </c>
      <c r="X254" s="561">
        <v>3912</v>
      </c>
      <c r="Y254" s="561">
        <v>0</v>
      </c>
      <c r="Z254" s="561">
        <v>1202</v>
      </c>
      <c r="AA254" s="561">
        <v>0</v>
      </c>
      <c r="AB254" s="561">
        <v>0</v>
      </c>
      <c r="AC254" s="561">
        <v>0</v>
      </c>
      <c r="AD254" s="561">
        <v>16111</v>
      </c>
      <c r="AE254" s="561">
        <v>2209</v>
      </c>
      <c r="AF254" s="561">
        <v>5126</v>
      </c>
      <c r="AG254" s="561">
        <v>0</v>
      </c>
      <c r="AH254" s="561">
        <v>0</v>
      </c>
      <c r="AI254" s="561">
        <v>427602</v>
      </c>
      <c r="AJ254" s="561">
        <v>0</v>
      </c>
      <c r="AK254" s="561">
        <v>73071</v>
      </c>
      <c r="AL254" s="561">
        <v>0</v>
      </c>
      <c r="AM254" s="561">
        <v>88</v>
      </c>
      <c r="AN254" s="561">
        <v>27</v>
      </c>
      <c r="AO254" s="561">
        <v>4</v>
      </c>
      <c r="AP254" s="561">
        <v>22</v>
      </c>
      <c r="AQ254" s="561">
        <v>113</v>
      </c>
      <c r="AR254" s="561">
        <v>7</v>
      </c>
    </row>
    <row r="255" spans="1:44" x14ac:dyDescent="0.3">
      <c r="A255" s="1129" t="s">
        <v>3205</v>
      </c>
      <c r="B255" s="1129" t="s">
        <v>3206</v>
      </c>
      <c r="C255" s="1129" t="s">
        <v>3207</v>
      </c>
      <c r="D255" s="1129" t="s">
        <v>2466</v>
      </c>
      <c r="E255" s="561">
        <v>-4018</v>
      </c>
      <c r="F255" s="561">
        <v>0</v>
      </c>
      <c r="G255" s="561">
        <v>0</v>
      </c>
      <c r="H255" s="561">
        <v>0</v>
      </c>
      <c r="I255" s="561">
        <v>0</v>
      </c>
      <c r="J255" s="561">
        <v>0</v>
      </c>
      <c r="K255" s="561">
        <v>0</v>
      </c>
      <c r="L255" s="561">
        <v>0</v>
      </c>
      <c r="M255" s="561">
        <v>0</v>
      </c>
      <c r="N255" s="561">
        <v>0</v>
      </c>
      <c r="O255" s="561">
        <v>0</v>
      </c>
      <c r="P255" s="561">
        <v>0</v>
      </c>
      <c r="Q255" s="561">
        <v>0</v>
      </c>
      <c r="R255" s="561">
        <v>21202</v>
      </c>
      <c r="S255" s="1217">
        <v>0</v>
      </c>
      <c r="T255" s="1217">
        <v>0</v>
      </c>
      <c r="U255" s="1217">
        <v>0</v>
      </c>
      <c r="V255" s="561">
        <v>58</v>
      </c>
      <c r="W255" s="561">
        <v>0</v>
      </c>
      <c r="X255" s="561">
        <v>224</v>
      </c>
      <c r="Y255" s="561">
        <v>0</v>
      </c>
      <c r="Z255" s="561">
        <v>0</v>
      </c>
      <c r="AA255" s="561">
        <v>0</v>
      </c>
      <c r="AB255" s="561">
        <v>0</v>
      </c>
      <c r="AC255" s="561">
        <v>0</v>
      </c>
      <c r="AD255" s="561">
        <v>0</v>
      </c>
      <c r="AE255" s="561">
        <v>0</v>
      </c>
      <c r="AF255" s="561">
        <v>0</v>
      </c>
      <c r="AG255" s="561">
        <v>2000</v>
      </c>
      <c r="AH255" s="561">
        <v>0</v>
      </c>
      <c r="AI255" s="561">
        <v>3044</v>
      </c>
      <c r="AJ255" s="561">
        <v>0</v>
      </c>
      <c r="AK255" s="561">
        <v>0</v>
      </c>
      <c r="AL255" s="561">
        <v>0</v>
      </c>
      <c r="AM255" s="561">
        <v>0</v>
      </c>
      <c r="AN255" s="561">
        <v>0</v>
      </c>
      <c r="AO255" s="561">
        <v>0</v>
      </c>
      <c r="AP255" s="561">
        <v>0</v>
      </c>
      <c r="AQ255" s="561">
        <v>0</v>
      </c>
      <c r="AR255" s="561">
        <v>0</v>
      </c>
    </row>
    <row r="256" spans="1:44" x14ac:dyDescent="0.3">
      <c r="A256" s="1129" t="s">
        <v>3208</v>
      </c>
      <c r="B256" s="1129" t="s">
        <v>3209</v>
      </c>
      <c r="C256" s="1129" t="s">
        <v>3210</v>
      </c>
      <c r="D256" s="1129" t="s">
        <v>2466</v>
      </c>
      <c r="E256" s="561">
        <v>0</v>
      </c>
      <c r="F256" s="561">
        <v>-97131</v>
      </c>
      <c r="G256" s="561">
        <v>0</v>
      </c>
      <c r="H256" s="561">
        <v>0</v>
      </c>
      <c r="I256" s="561">
        <v>0</v>
      </c>
      <c r="J256" s="561">
        <v>0</v>
      </c>
      <c r="K256" s="561">
        <v>0</v>
      </c>
      <c r="L256" s="561">
        <v>0</v>
      </c>
      <c r="M256" s="561">
        <v>0</v>
      </c>
      <c r="N256" s="561">
        <v>0</v>
      </c>
      <c r="O256" s="561">
        <v>0</v>
      </c>
      <c r="P256" s="561">
        <v>0</v>
      </c>
      <c r="Q256" s="561">
        <v>0</v>
      </c>
      <c r="R256" s="561">
        <v>84406</v>
      </c>
      <c r="S256" s="1217">
        <v>0</v>
      </c>
      <c r="T256" s="1217">
        <v>0</v>
      </c>
      <c r="U256" s="1217">
        <v>0</v>
      </c>
      <c r="V256" s="561">
        <v>490</v>
      </c>
      <c r="W256" s="561">
        <v>0</v>
      </c>
      <c r="X256" s="561">
        <v>0</v>
      </c>
      <c r="Y256" s="561">
        <v>0</v>
      </c>
      <c r="Z256" s="561">
        <v>0</v>
      </c>
      <c r="AA256" s="561">
        <v>4972</v>
      </c>
      <c r="AB256" s="561">
        <v>1908</v>
      </c>
      <c r="AC256" s="561">
        <v>2500</v>
      </c>
      <c r="AD256" s="561">
        <v>0</v>
      </c>
      <c r="AE256" s="561">
        <v>0</v>
      </c>
      <c r="AF256" s="561">
        <v>0</v>
      </c>
      <c r="AG256" s="561">
        <v>5300</v>
      </c>
      <c r="AH256" s="561">
        <v>0</v>
      </c>
      <c r="AI256" s="561">
        <v>18515</v>
      </c>
      <c r="AJ256" s="561">
        <v>0</v>
      </c>
      <c r="AK256" s="561">
        <v>0</v>
      </c>
      <c r="AL256" s="561">
        <v>0</v>
      </c>
      <c r="AM256" s="561">
        <v>0</v>
      </c>
      <c r="AN256" s="561">
        <v>0</v>
      </c>
      <c r="AO256" s="561">
        <v>0</v>
      </c>
      <c r="AP256" s="561">
        <v>0</v>
      </c>
      <c r="AQ256" s="561">
        <v>0</v>
      </c>
      <c r="AR256" s="561">
        <v>0</v>
      </c>
    </row>
    <row r="257" spans="1:44" x14ac:dyDescent="0.3">
      <c r="A257" s="1129" t="s">
        <v>3211</v>
      </c>
      <c r="B257" s="1129" t="s">
        <v>3212</v>
      </c>
      <c r="C257" s="1129" t="s">
        <v>3213</v>
      </c>
      <c r="D257" s="1129" t="s">
        <v>385</v>
      </c>
      <c r="E257" s="561">
        <v>-14829</v>
      </c>
      <c r="F257" s="561">
        <v>0</v>
      </c>
      <c r="G257" s="561">
        <v>190368</v>
      </c>
      <c r="H257" s="561">
        <v>19807</v>
      </c>
      <c r="I257" s="561">
        <v>833</v>
      </c>
      <c r="J257" s="561">
        <v>33910</v>
      </c>
      <c r="K257" s="561">
        <v>15416</v>
      </c>
      <c r="L257" s="561">
        <v>1118</v>
      </c>
      <c r="M257" s="561">
        <v>6656</v>
      </c>
      <c r="N257" s="561">
        <v>1011</v>
      </c>
      <c r="O257" s="561">
        <v>0</v>
      </c>
      <c r="P257" s="561">
        <v>3290</v>
      </c>
      <c r="Q257" s="561">
        <v>11437</v>
      </c>
      <c r="R257" s="561">
        <v>265447</v>
      </c>
      <c r="S257" s="1217">
        <v>27612</v>
      </c>
      <c r="T257" s="1217">
        <v>4870</v>
      </c>
      <c r="U257" s="1217">
        <v>0</v>
      </c>
      <c r="V257" s="561">
        <v>18905</v>
      </c>
      <c r="W257" s="561">
        <v>835</v>
      </c>
      <c r="X257" s="561">
        <v>2615</v>
      </c>
      <c r="Y257" s="561">
        <v>0</v>
      </c>
      <c r="Z257" s="561">
        <v>0</v>
      </c>
      <c r="AA257" s="561">
        <v>0</v>
      </c>
      <c r="AB257" s="561">
        <v>0</v>
      </c>
      <c r="AC257" s="561">
        <v>0</v>
      </c>
      <c r="AD257" s="561">
        <v>7791</v>
      </c>
      <c r="AE257" s="561">
        <v>1159</v>
      </c>
      <c r="AF257" s="561">
        <v>6136</v>
      </c>
      <c r="AG257" s="561">
        <v>51310</v>
      </c>
      <c r="AH257" s="561">
        <v>0</v>
      </c>
      <c r="AI257" s="561">
        <v>115771</v>
      </c>
      <c r="AJ257" s="561">
        <v>14782</v>
      </c>
      <c r="AK257" s="561">
        <v>1017</v>
      </c>
      <c r="AL257" s="561">
        <v>19339</v>
      </c>
      <c r="AM257" s="561">
        <v>15</v>
      </c>
      <c r="AN257" s="561">
        <v>2</v>
      </c>
      <c r="AO257" s="561">
        <v>0</v>
      </c>
      <c r="AP257" s="561">
        <v>0</v>
      </c>
      <c r="AQ257" s="561">
        <v>24</v>
      </c>
      <c r="AR257" s="561">
        <v>0</v>
      </c>
    </row>
    <row r="258" spans="1:44" x14ac:dyDescent="0.3">
      <c r="A258" s="1129" t="s">
        <v>3214</v>
      </c>
      <c r="B258" s="1129" t="s">
        <v>3215</v>
      </c>
      <c r="C258" s="1129" t="s">
        <v>3216</v>
      </c>
      <c r="D258" s="1129" t="s">
        <v>2466</v>
      </c>
      <c r="E258" s="561">
        <v>0</v>
      </c>
      <c r="F258" s="561">
        <v>0</v>
      </c>
      <c r="G258" s="561">
        <v>0</v>
      </c>
      <c r="H258" s="561">
        <v>0</v>
      </c>
      <c r="I258" s="561">
        <v>0</v>
      </c>
      <c r="J258" s="561">
        <v>0</v>
      </c>
      <c r="K258" s="561">
        <v>0</v>
      </c>
      <c r="L258" s="561">
        <v>0</v>
      </c>
      <c r="M258" s="561">
        <v>0</v>
      </c>
      <c r="N258" s="561">
        <v>0</v>
      </c>
      <c r="O258" s="561">
        <v>0</v>
      </c>
      <c r="P258" s="561">
        <v>0</v>
      </c>
      <c r="Q258" s="561">
        <v>0</v>
      </c>
      <c r="R258" s="561">
        <v>0</v>
      </c>
      <c r="S258" s="1217">
        <v>0</v>
      </c>
      <c r="T258" s="1217">
        <v>0</v>
      </c>
      <c r="U258" s="1217">
        <v>0</v>
      </c>
      <c r="V258" s="561">
        <v>10</v>
      </c>
      <c r="W258" s="561">
        <v>0</v>
      </c>
      <c r="X258" s="561">
        <v>0</v>
      </c>
      <c r="Y258" s="561">
        <v>0</v>
      </c>
      <c r="Z258" s="561">
        <v>0</v>
      </c>
      <c r="AA258" s="561">
        <v>0</v>
      </c>
      <c r="AB258" s="561">
        <v>0</v>
      </c>
      <c r="AC258" s="561">
        <v>0</v>
      </c>
      <c r="AD258" s="561">
        <v>0</v>
      </c>
      <c r="AE258" s="561">
        <v>0</v>
      </c>
      <c r="AF258" s="561">
        <v>0</v>
      </c>
      <c r="AG258" s="561">
        <v>551</v>
      </c>
      <c r="AH258" s="561">
        <v>0</v>
      </c>
      <c r="AI258" s="561">
        <v>1367</v>
      </c>
      <c r="AJ258" s="561">
        <v>75</v>
      </c>
      <c r="AK258" s="561">
        <v>0</v>
      </c>
      <c r="AL258" s="561">
        <v>0</v>
      </c>
      <c r="AM258" s="561">
        <v>0</v>
      </c>
      <c r="AN258" s="561">
        <v>0</v>
      </c>
      <c r="AO258" s="561">
        <v>0</v>
      </c>
      <c r="AP258" s="561">
        <v>0</v>
      </c>
      <c r="AQ258" s="561">
        <v>0</v>
      </c>
      <c r="AR258" s="561">
        <v>0</v>
      </c>
    </row>
    <row r="259" spans="1:44" x14ac:dyDescent="0.3">
      <c r="A259" s="1129" t="s">
        <v>3217</v>
      </c>
      <c r="B259" s="1129" t="s">
        <v>3218</v>
      </c>
      <c r="C259" s="1129" t="s">
        <v>3219</v>
      </c>
      <c r="D259" s="1129" t="s">
        <v>2466</v>
      </c>
      <c r="E259" s="561">
        <v>0</v>
      </c>
      <c r="F259" s="561">
        <v>-300382</v>
      </c>
      <c r="G259" s="561">
        <v>0</v>
      </c>
      <c r="H259" s="561">
        <v>0</v>
      </c>
      <c r="I259" s="561">
        <v>0</v>
      </c>
      <c r="J259" s="561">
        <v>0</v>
      </c>
      <c r="K259" s="561">
        <v>0</v>
      </c>
      <c r="L259" s="561">
        <v>0</v>
      </c>
      <c r="M259" s="561">
        <v>0</v>
      </c>
      <c r="N259" s="561">
        <v>0</v>
      </c>
      <c r="O259" s="561">
        <v>0</v>
      </c>
      <c r="P259" s="561">
        <v>0</v>
      </c>
      <c r="Q259" s="561">
        <v>0</v>
      </c>
      <c r="R259" s="561">
        <v>82885</v>
      </c>
      <c r="S259" s="1217">
        <v>0</v>
      </c>
      <c r="T259" s="1217">
        <v>3400</v>
      </c>
      <c r="U259" s="1217">
        <v>0</v>
      </c>
      <c r="V259" s="561">
        <v>2289</v>
      </c>
      <c r="W259" s="561">
        <v>0</v>
      </c>
      <c r="X259" s="561">
        <v>0</v>
      </c>
      <c r="Y259" s="561">
        <v>0</v>
      </c>
      <c r="Z259" s="561">
        <v>0</v>
      </c>
      <c r="AA259" s="561">
        <v>16524</v>
      </c>
      <c r="AB259" s="561">
        <v>6161</v>
      </c>
      <c r="AC259" s="561">
        <v>5736</v>
      </c>
      <c r="AD259" s="561">
        <v>0</v>
      </c>
      <c r="AE259" s="561">
        <v>0</v>
      </c>
      <c r="AF259" s="561">
        <v>0</v>
      </c>
      <c r="AG259" s="561">
        <v>11031</v>
      </c>
      <c r="AH259" s="561">
        <v>0</v>
      </c>
      <c r="AI259" s="561">
        <v>24436</v>
      </c>
      <c r="AJ259" s="561">
        <v>9773</v>
      </c>
      <c r="AK259" s="561">
        <v>0</v>
      </c>
      <c r="AL259" s="561">
        <v>0</v>
      </c>
      <c r="AM259" s="561">
        <v>0</v>
      </c>
      <c r="AN259" s="561">
        <v>0</v>
      </c>
      <c r="AO259" s="561">
        <v>0</v>
      </c>
      <c r="AP259" s="561">
        <v>0</v>
      </c>
      <c r="AQ259" s="561">
        <v>0</v>
      </c>
      <c r="AR259" s="561">
        <v>0</v>
      </c>
    </row>
    <row r="260" spans="1:44" x14ac:dyDescent="0.3">
      <c r="A260" s="1129" t="s">
        <v>3220</v>
      </c>
      <c r="B260" s="1129" t="s">
        <v>3221</v>
      </c>
      <c r="C260" s="1129" t="s">
        <v>3222</v>
      </c>
      <c r="D260" s="1129" t="s">
        <v>384</v>
      </c>
      <c r="E260" s="561">
        <v>-589</v>
      </c>
      <c r="F260" s="561">
        <v>0</v>
      </c>
      <c r="G260" s="561">
        <v>0</v>
      </c>
      <c r="H260" s="561">
        <v>0</v>
      </c>
      <c r="I260" s="561">
        <v>36</v>
      </c>
      <c r="J260" s="561">
        <v>0</v>
      </c>
      <c r="K260" s="561">
        <v>0</v>
      </c>
      <c r="L260" s="561">
        <v>1430</v>
      </c>
      <c r="M260" s="561">
        <v>0</v>
      </c>
      <c r="N260" s="561">
        <v>0</v>
      </c>
      <c r="O260" s="561">
        <v>626</v>
      </c>
      <c r="P260" s="561">
        <v>409</v>
      </c>
      <c r="Q260" s="561">
        <v>0</v>
      </c>
      <c r="R260" s="561">
        <v>11989</v>
      </c>
      <c r="S260" s="1217">
        <v>52761</v>
      </c>
      <c r="T260" s="1217">
        <v>0</v>
      </c>
      <c r="U260" s="1217">
        <v>0</v>
      </c>
      <c r="V260" s="561">
        <v>6414</v>
      </c>
      <c r="W260" s="561">
        <v>569</v>
      </c>
      <c r="X260" s="561">
        <v>381</v>
      </c>
      <c r="Y260" s="561">
        <v>0</v>
      </c>
      <c r="Z260" s="561">
        <v>1364</v>
      </c>
      <c r="AA260" s="561">
        <v>0</v>
      </c>
      <c r="AB260" s="561">
        <v>0</v>
      </c>
      <c r="AC260" s="561">
        <v>0</v>
      </c>
      <c r="AD260" s="561">
        <v>0</v>
      </c>
      <c r="AE260" s="561">
        <v>0</v>
      </c>
      <c r="AF260" s="561">
        <v>0</v>
      </c>
      <c r="AG260" s="561">
        <v>0</v>
      </c>
      <c r="AH260" s="561">
        <v>0</v>
      </c>
      <c r="AI260" s="561">
        <v>10762</v>
      </c>
      <c r="AJ260" s="561">
        <v>5963</v>
      </c>
      <c r="AK260" s="561">
        <v>5759</v>
      </c>
      <c r="AL260" s="561">
        <v>0</v>
      </c>
      <c r="AM260" s="561">
        <v>20</v>
      </c>
      <c r="AN260" s="561">
        <v>37</v>
      </c>
      <c r="AO260" s="561">
        <v>3</v>
      </c>
      <c r="AP260" s="561">
        <v>0</v>
      </c>
      <c r="AQ260" s="561">
        <v>0</v>
      </c>
      <c r="AR260" s="561">
        <v>12</v>
      </c>
    </row>
    <row r="261" spans="1:44" x14ac:dyDescent="0.3">
      <c r="A261" s="1129" t="s">
        <v>3223</v>
      </c>
      <c r="B261" s="1129" t="s">
        <v>3224</v>
      </c>
      <c r="C261" s="1129" t="s">
        <v>3225</v>
      </c>
      <c r="D261" s="1129" t="s">
        <v>385</v>
      </c>
      <c r="E261" s="561">
        <v>-32685</v>
      </c>
      <c r="F261" s="561">
        <v>0</v>
      </c>
      <c r="G261" s="561">
        <v>163955</v>
      </c>
      <c r="H261" s="561">
        <v>39620</v>
      </c>
      <c r="I261" s="561">
        <v>1132</v>
      </c>
      <c r="J261" s="561">
        <v>42768</v>
      </c>
      <c r="K261" s="561">
        <v>20482</v>
      </c>
      <c r="L261" s="561">
        <v>3153</v>
      </c>
      <c r="M261" s="561">
        <v>6781</v>
      </c>
      <c r="N261" s="561">
        <v>3688</v>
      </c>
      <c r="O261" s="561">
        <v>11115</v>
      </c>
      <c r="P261" s="561">
        <v>1148</v>
      </c>
      <c r="Q261" s="561">
        <v>0</v>
      </c>
      <c r="R261" s="561">
        <v>160805</v>
      </c>
      <c r="S261" s="1217">
        <v>77334</v>
      </c>
      <c r="T261" s="1217">
        <v>0</v>
      </c>
      <c r="U261" s="1217">
        <v>0</v>
      </c>
      <c r="V261" s="561">
        <v>19542</v>
      </c>
      <c r="W261" s="561">
        <v>1249</v>
      </c>
      <c r="X261" s="561">
        <v>3877</v>
      </c>
      <c r="Y261" s="561">
        <v>0</v>
      </c>
      <c r="Z261" s="561">
        <v>5221</v>
      </c>
      <c r="AA261" s="561">
        <v>0</v>
      </c>
      <c r="AB261" s="561">
        <v>0</v>
      </c>
      <c r="AC261" s="561">
        <v>0</v>
      </c>
      <c r="AD261" s="561">
        <v>21753</v>
      </c>
      <c r="AE261" s="561">
        <v>8454</v>
      </c>
      <c r="AF261" s="561">
        <v>8872</v>
      </c>
      <c r="AG261" s="561">
        <v>30489</v>
      </c>
      <c r="AH261" s="561">
        <v>48103</v>
      </c>
      <c r="AI261" s="561">
        <v>63883</v>
      </c>
      <c r="AJ261" s="561">
        <v>57991</v>
      </c>
      <c r="AK261" s="561">
        <v>1960</v>
      </c>
      <c r="AL261" s="561">
        <v>0</v>
      </c>
      <c r="AM261" s="561">
        <v>56</v>
      </c>
      <c r="AN261" s="561">
        <v>87</v>
      </c>
      <c r="AO261" s="561">
        <v>194</v>
      </c>
      <c r="AP261" s="561">
        <v>50</v>
      </c>
      <c r="AQ261" s="561">
        <v>318</v>
      </c>
      <c r="AR261" s="561">
        <v>21</v>
      </c>
    </row>
    <row r="262" spans="1:44" x14ac:dyDescent="0.3">
      <c r="A262" s="1129" t="s">
        <v>3226</v>
      </c>
      <c r="B262" s="1129" t="s">
        <v>3227</v>
      </c>
      <c r="C262" s="1129" t="s">
        <v>3228</v>
      </c>
      <c r="D262" s="1129" t="s">
        <v>2595</v>
      </c>
      <c r="E262" s="561">
        <v>-9940</v>
      </c>
      <c r="F262" s="561">
        <v>0</v>
      </c>
      <c r="G262" s="561">
        <v>422486</v>
      </c>
      <c r="H262" s="561">
        <v>48588</v>
      </c>
      <c r="I262" s="561">
        <v>2000</v>
      </c>
      <c r="J262" s="561">
        <v>84892</v>
      </c>
      <c r="K262" s="561">
        <v>38145</v>
      </c>
      <c r="L262" s="561">
        <v>0</v>
      </c>
      <c r="M262" s="561">
        <v>15431</v>
      </c>
      <c r="N262" s="561">
        <v>3154</v>
      </c>
      <c r="O262" s="561">
        <v>0</v>
      </c>
      <c r="P262" s="561">
        <v>1242</v>
      </c>
      <c r="Q262" s="561">
        <v>0</v>
      </c>
      <c r="R262" s="561">
        <v>511722</v>
      </c>
      <c r="S262" s="1217">
        <v>0</v>
      </c>
      <c r="T262" s="1217">
        <v>10806</v>
      </c>
      <c r="U262" s="1217">
        <v>0</v>
      </c>
      <c r="V262" s="561">
        <v>13722</v>
      </c>
      <c r="W262" s="561">
        <v>0</v>
      </c>
      <c r="X262" s="561">
        <v>5308</v>
      </c>
      <c r="Y262" s="561">
        <v>0</v>
      </c>
      <c r="Z262" s="561">
        <v>0</v>
      </c>
      <c r="AA262" s="561">
        <v>0</v>
      </c>
      <c r="AB262" s="561">
        <v>0</v>
      </c>
      <c r="AC262" s="561">
        <v>0</v>
      </c>
      <c r="AD262" s="561">
        <v>23351</v>
      </c>
      <c r="AE262" s="561">
        <v>19078</v>
      </c>
      <c r="AF262" s="561">
        <v>10125</v>
      </c>
      <c r="AG262" s="561">
        <v>36862</v>
      </c>
      <c r="AH262" s="561">
        <v>28463</v>
      </c>
      <c r="AI262" s="561">
        <v>148922</v>
      </c>
      <c r="AJ262" s="561">
        <v>43289</v>
      </c>
      <c r="AK262" s="561">
        <v>8658</v>
      </c>
      <c r="AL262" s="561">
        <v>0</v>
      </c>
      <c r="AM262" s="561">
        <v>0</v>
      </c>
      <c r="AN262" s="561">
        <v>0</v>
      </c>
      <c r="AO262" s="561">
        <v>0</v>
      </c>
      <c r="AP262" s="561">
        <v>0</v>
      </c>
      <c r="AQ262" s="561">
        <v>0</v>
      </c>
      <c r="AR262" s="561">
        <v>0</v>
      </c>
    </row>
    <row r="263" spans="1:44" x14ac:dyDescent="0.3">
      <c r="A263" s="1129" t="s">
        <v>3229</v>
      </c>
      <c r="B263" s="1129" t="s">
        <v>3230</v>
      </c>
      <c r="C263" s="1129" t="s">
        <v>3231</v>
      </c>
      <c r="D263" s="1129" t="s">
        <v>2466</v>
      </c>
      <c r="E263" s="561">
        <v>-9095</v>
      </c>
      <c r="F263" s="561">
        <v>0</v>
      </c>
      <c r="G263" s="561">
        <v>0</v>
      </c>
      <c r="H263" s="561">
        <v>0</v>
      </c>
      <c r="I263" s="561">
        <v>0</v>
      </c>
      <c r="J263" s="561">
        <v>0</v>
      </c>
      <c r="K263" s="561">
        <v>0</v>
      </c>
      <c r="L263" s="561">
        <v>0</v>
      </c>
      <c r="M263" s="561">
        <v>0</v>
      </c>
      <c r="N263" s="561">
        <v>0</v>
      </c>
      <c r="O263" s="561">
        <v>0</v>
      </c>
      <c r="P263" s="561">
        <v>0</v>
      </c>
      <c r="Q263" s="561">
        <v>0</v>
      </c>
      <c r="R263" s="561">
        <v>33165</v>
      </c>
      <c r="S263" s="1217">
        <v>0</v>
      </c>
      <c r="T263" s="1217">
        <v>0</v>
      </c>
      <c r="U263" s="1217">
        <v>0</v>
      </c>
      <c r="V263" s="561">
        <v>663</v>
      </c>
      <c r="W263" s="561">
        <v>0</v>
      </c>
      <c r="X263" s="561">
        <v>369</v>
      </c>
      <c r="Y263" s="561">
        <v>0</v>
      </c>
      <c r="Z263" s="561">
        <v>0</v>
      </c>
      <c r="AA263" s="561">
        <v>0</v>
      </c>
      <c r="AB263" s="561">
        <v>0</v>
      </c>
      <c r="AC263" s="561">
        <v>0</v>
      </c>
      <c r="AD263" s="561">
        <v>0</v>
      </c>
      <c r="AE263" s="561">
        <v>0</v>
      </c>
      <c r="AF263" s="561">
        <v>0</v>
      </c>
      <c r="AG263" s="561">
        <v>5082</v>
      </c>
      <c r="AH263" s="561">
        <v>0</v>
      </c>
      <c r="AI263" s="561">
        <v>4520</v>
      </c>
      <c r="AJ263" s="561">
        <v>200</v>
      </c>
      <c r="AK263" s="561">
        <v>1126</v>
      </c>
      <c r="AL263" s="561">
        <v>0</v>
      </c>
      <c r="AM263" s="561">
        <v>0</v>
      </c>
      <c r="AN263" s="561">
        <v>0</v>
      </c>
      <c r="AO263" s="561">
        <v>0</v>
      </c>
      <c r="AP263" s="561">
        <v>0</v>
      </c>
      <c r="AQ263" s="561">
        <v>0</v>
      </c>
      <c r="AR263" s="561">
        <v>0</v>
      </c>
    </row>
    <row r="264" spans="1:44" x14ac:dyDescent="0.3">
      <c r="A264" s="1129" t="s">
        <v>3232</v>
      </c>
      <c r="B264" s="1129" t="s">
        <v>3233</v>
      </c>
      <c r="C264" s="1129" t="s">
        <v>3234</v>
      </c>
      <c r="D264" s="1129" t="s">
        <v>2466</v>
      </c>
      <c r="E264" s="561">
        <v>0</v>
      </c>
      <c r="F264" s="561">
        <v>-179083</v>
      </c>
      <c r="G264" s="561">
        <v>0</v>
      </c>
      <c r="H264" s="561">
        <v>0</v>
      </c>
      <c r="I264" s="561">
        <v>0</v>
      </c>
      <c r="J264" s="561">
        <v>0</v>
      </c>
      <c r="K264" s="561">
        <v>0</v>
      </c>
      <c r="L264" s="561">
        <v>0</v>
      </c>
      <c r="M264" s="561">
        <v>0</v>
      </c>
      <c r="N264" s="561">
        <v>0</v>
      </c>
      <c r="O264" s="561">
        <v>0</v>
      </c>
      <c r="P264" s="561">
        <v>0</v>
      </c>
      <c r="Q264" s="561">
        <v>0</v>
      </c>
      <c r="R264" s="561">
        <v>101019</v>
      </c>
      <c r="S264" s="1217">
        <v>0</v>
      </c>
      <c r="T264" s="1217">
        <v>0</v>
      </c>
      <c r="U264" s="1217">
        <v>0</v>
      </c>
      <c r="V264" s="561">
        <v>1512</v>
      </c>
      <c r="W264" s="561">
        <v>0</v>
      </c>
      <c r="X264" s="561">
        <v>0</v>
      </c>
      <c r="Y264" s="561">
        <v>0</v>
      </c>
      <c r="Z264" s="561">
        <v>0</v>
      </c>
      <c r="AA264" s="561">
        <v>7829</v>
      </c>
      <c r="AB264" s="561">
        <v>3570</v>
      </c>
      <c r="AC264" s="561">
        <v>3857</v>
      </c>
      <c r="AD264" s="561">
        <v>0</v>
      </c>
      <c r="AE264" s="561">
        <v>0</v>
      </c>
      <c r="AF264" s="561">
        <v>0</v>
      </c>
      <c r="AG264" s="561">
        <v>9131</v>
      </c>
      <c r="AH264" s="561">
        <v>0</v>
      </c>
      <c r="AI264" s="561">
        <v>3971</v>
      </c>
      <c r="AJ264" s="561">
        <v>0</v>
      </c>
      <c r="AK264" s="561">
        <v>36640</v>
      </c>
      <c r="AL264" s="561">
        <v>0</v>
      </c>
      <c r="AM264" s="561">
        <v>0</v>
      </c>
      <c r="AN264" s="561">
        <v>0</v>
      </c>
      <c r="AO264" s="561">
        <v>0</v>
      </c>
      <c r="AP264" s="561">
        <v>0</v>
      </c>
      <c r="AQ264" s="561">
        <v>0</v>
      </c>
      <c r="AR264" s="561">
        <v>0</v>
      </c>
    </row>
    <row r="265" spans="1:44" x14ac:dyDescent="0.3">
      <c r="A265" s="1129" t="s">
        <v>3235</v>
      </c>
      <c r="B265" s="1129" t="s">
        <v>3236</v>
      </c>
      <c r="C265" s="1129" t="s">
        <v>3237</v>
      </c>
      <c r="D265" s="1129" t="s">
        <v>384</v>
      </c>
      <c r="E265" s="561">
        <v>-209</v>
      </c>
      <c r="F265" s="561">
        <v>0</v>
      </c>
      <c r="G265" s="561">
        <v>0</v>
      </c>
      <c r="H265" s="561">
        <v>0</v>
      </c>
      <c r="I265" s="561">
        <v>35</v>
      </c>
      <c r="J265" s="561">
        <v>0</v>
      </c>
      <c r="K265" s="561">
        <v>0</v>
      </c>
      <c r="L265" s="561">
        <v>731</v>
      </c>
      <c r="M265" s="561">
        <v>0</v>
      </c>
      <c r="N265" s="561">
        <v>0</v>
      </c>
      <c r="O265" s="561">
        <v>514</v>
      </c>
      <c r="P265" s="561">
        <v>1027</v>
      </c>
      <c r="Q265" s="561">
        <v>0</v>
      </c>
      <c r="R265" s="561">
        <v>11079</v>
      </c>
      <c r="S265" s="1217">
        <v>457</v>
      </c>
      <c r="T265" s="1217">
        <v>1125</v>
      </c>
      <c r="U265" s="1217">
        <v>0</v>
      </c>
      <c r="V265" s="561">
        <v>2165</v>
      </c>
      <c r="W265" s="561">
        <v>319</v>
      </c>
      <c r="X265" s="561">
        <v>142</v>
      </c>
      <c r="Y265" s="561">
        <v>0</v>
      </c>
      <c r="Z265" s="561">
        <v>210</v>
      </c>
      <c r="AA265" s="561">
        <v>0</v>
      </c>
      <c r="AB265" s="561">
        <v>0</v>
      </c>
      <c r="AC265" s="561">
        <v>0</v>
      </c>
      <c r="AD265" s="561">
        <v>0</v>
      </c>
      <c r="AE265" s="561">
        <v>0</v>
      </c>
      <c r="AF265" s="561">
        <v>0</v>
      </c>
      <c r="AG265" s="561">
        <v>0</v>
      </c>
      <c r="AH265" s="561">
        <v>0</v>
      </c>
      <c r="AI265" s="561">
        <v>12667</v>
      </c>
      <c r="AJ265" s="561">
        <v>0</v>
      </c>
      <c r="AK265" s="561">
        <v>0</v>
      </c>
      <c r="AL265" s="561">
        <v>0</v>
      </c>
      <c r="AM265" s="561">
        <v>18</v>
      </c>
      <c r="AN265" s="561">
        <v>26</v>
      </c>
      <c r="AO265" s="561">
        <v>25</v>
      </c>
      <c r="AP265" s="561">
        <v>0</v>
      </c>
      <c r="AQ265" s="561">
        <v>57</v>
      </c>
      <c r="AR265" s="561">
        <v>0</v>
      </c>
    </row>
    <row r="266" spans="1:44" x14ac:dyDescent="0.3">
      <c r="A266" s="1129" t="s">
        <v>3238</v>
      </c>
      <c r="B266" s="1129" t="s">
        <v>3239</v>
      </c>
      <c r="C266" s="1129" t="s">
        <v>3240</v>
      </c>
      <c r="D266" s="1129" t="s">
        <v>384</v>
      </c>
      <c r="E266" s="561">
        <v>-71</v>
      </c>
      <c r="F266" s="561">
        <v>0</v>
      </c>
      <c r="G266" s="561">
        <v>0</v>
      </c>
      <c r="H266" s="561">
        <v>0</v>
      </c>
      <c r="I266" s="561">
        <v>35</v>
      </c>
      <c r="J266" s="561">
        <v>0</v>
      </c>
      <c r="K266" s="561">
        <v>0</v>
      </c>
      <c r="L266" s="561">
        <v>267</v>
      </c>
      <c r="M266" s="561">
        <v>0</v>
      </c>
      <c r="N266" s="561">
        <v>0</v>
      </c>
      <c r="O266" s="561">
        <v>0</v>
      </c>
      <c r="P266" s="561">
        <v>237</v>
      </c>
      <c r="Q266" s="561">
        <v>0</v>
      </c>
      <c r="R266" s="561">
        <v>4865</v>
      </c>
      <c r="S266" s="1217">
        <v>2213</v>
      </c>
      <c r="T266" s="1217">
        <v>213</v>
      </c>
      <c r="U266" s="1217">
        <v>-213</v>
      </c>
      <c r="V266" s="561">
        <v>526</v>
      </c>
      <c r="W266" s="561">
        <v>79</v>
      </c>
      <c r="X266" s="561">
        <v>73</v>
      </c>
      <c r="Y266" s="561">
        <v>0</v>
      </c>
      <c r="Z266" s="561">
        <v>0</v>
      </c>
      <c r="AA266" s="561">
        <v>0</v>
      </c>
      <c r="AB266" s="561">
        <v>0</v>
      </c>
      <c r="AC266" s="561">
        <v>0</v>
      </c>
      <c r="AD266" s="561">
        <v>0</v>
      </c>
      <c r="AE266" s="561">
        <v>0</v>
      </c>
      <c r="AF266" s="561">
        <v>0</v>
      </c>
      <c r="AG266" s="561">
        <v>1799</v>
      </c>
      <c r="AH266" s="561">
        <v>0</v>
      </c>
      <c r="AI266" s="561">
        <v>877</v>
      </c>
      <c r="AJ266" s="561">
        <v>140</v>
      </c>
      <c r="AK266" s="561">
        <v>0</v>
      </c>
      <c r="AL266" s="561">
        <v>0</v>
      </c>
      <c r="AM266" s="561">
        <v>60</v>
      </c>
      <c r="AN266" s="561">
        <v>3</v>
      </c>
      <c r="AO266" s="561">
        <v>17</v>
      </c>
      <c r="AP266" s="561">
        <v>2</v>
      </c>
      <c r="AQ266" s="561">
        <v>36</v>
      </c>
      <c r="AR266" s="561">
        <v>5</v>
      </c>
    </row>
    <row r="267" spans="1:44" x14ac:dyDescent="0.3">
      <c r="A267" s="1129" t="s">
        <v>3241</v>
      </c>
      <c r="B267" s="1129" t="s">
        <v>3242</v>
      </c>
      <c r="C267" s="1129" t="s">
        <v>3243</v>
      </c>
      <c r="D267" s="1129" t="s">
        <v>379</v>
      </c>
      <c r="E267" s="561">
        <v>0</v>
      </c>
      <c r="F267" s="561">
        <v>0</v>
      </c>
      <c r="G267" s="561">
        <v>165009</v>
      </c>
      <c r="H267" s="561">
        <v>0</v>
      </c>
      <c r="I267" s="561">
        <v>751</v>
      </c>
      <c r="J267" s="561">
        <v>32202</v>
      </c>
      <c r="K267" s="561">
        <v>13802</v>
      </c>
      <c r="L267" s="561">
        <v>1584</v>
      </c>
      <c r="M267" s="561">
        <v>4910</v>
      </c>
      <c r="N267" s="561">
        <v>2242</v>
      </c>
      <c r="O267" s="561">
        <v>8010</v>
      </c>
      <c r="P267" s="561">
        <v>402</v>
      </c>
      <c r="Q267" s="561">
        <v>381</v>
      </c>
      <c r="R267" s="561">
        <v>122581</v>
      </c>
      <c r="S267" s="1217">
        <v>24447</v>
      </c>
      <c r="T267" s="1217">
        <v>0</v>
      </c>
      <c r="U267" s="1217">
        <v>-2600</v>
      </c>
      <c r="V267" s="561">
        <v>3250</v>
      </c>
      <c r="W267" s="561">
        <v>690</v>
      </c>
      <c r="X267" s="561">
        <v>2075</v>
      </c>
      <c r="Y267" s="561">
        <v>0</v>
      </c>
      <c r="Z267" s="561">
        <v>168</v>
      </c>
      <c r="AA267" s="561">
        <v>0</v>
      </c>
      <c r="AB267" s="561">
        <v>0</v>
      </c>
      <c r="AC267" s="561">
        <v>0</v>
      </c>
      <c r="AD267" s="561">
        <v>8578</v>
      </c>
      <c r="AE267" s="561">
        <v>6516</v>
      </c>
      <c r="AF267" s="561">
        <v>0</v>
      </c>
      <c r="AG267" s="561">
        <v>18866</v>
      </c>
      <c r="AH267" s="561">
        <v>0</v>
      </c>
      <c r="AI267" s="561">
        <v>6047</v>
      </c>
      <c r="AJ267" s="561">
        <v>1000</v>
      </c>
      <c r="AK267" s="561">
        <v>40754</v>
      </c>
      <c r="AL267" s="561">
        <v>9644</v>
      </c>
      <c r="AM267" s="561">
        <v>119</v>
      </c>
      <c r="AN267" s="561">
        <v>280</v>
      </c>
      <c r="AO267" s="561">
        <v>1</v>
      </c>
      <c r="AP267" s="561">
        <v>71</v>
      </c>
      <c r="AQ267" s="561">
        <v>46</v>
      </c>
      <c r="AR267" s="561">
        <v>4</v>
      </c>
    </row>
    <row r="268" spans="1:44" x14ac:dyDescent="0.3">
      <c r="A268" s="1129" t="s">
        <v>3244</v>
      </c>
      <c r="B268" s="1129" t="s">
        <v>3245</v>
      </c>
      <c r="C268" s="1129" t="s">
        <v>3246</v>
      </c>
      <c r="D268" s="1129" t="s">
        <v>384</v>
      </c>
      <c r="E268" s="561">
        <v>-256</v>
      </c>
      <c r="F268" s="561">
        <v>0</v>
      </c>
      <c r="G268" s="561">
        <v>0</v>
      </c>
      <c r="H268" s="561">
        <v>0</v>
      </c>
      <c r="I268" s="561">
        <v>40</v>
      </c>
      <c r="J268" s="561">
        <v>0</v>
      </c>
      <c r="K268" s="561">
        <v>0</v>
      </c>
      <c r="L268" s="561">
        <v>2132</v>
      </c>
      <c r="M268" s="561">
        <v>0</v>
      </c>
      <c r="N268" s="561">
        <v>0</v>
      </c>
      <c r="O268" s="561">
        <v>391</v>
      </c>
      <c r="P268" s="561">
        <v>31</v>
      </c>
      <c r="Q268" s="561">
        <v>273</v>
      </c>
      <c r="R268" s="561">
        <v>17266</v>
      </c>
      <c r="S268" s="1217">
        <v>44790</v>
      </c>
      <c r="T268" s="1217">
        <v>4901</v>
      </c>
      <c r="U268" s="1217">
        <v>0</v>
      </c>
      <c r="V268" s="561">
        <v>10583</v>
      </c>
      <c r="W268" s="561">
        <v>389</v>
      </c>
      <c r="X268" s="561">
        <v>300</v>
      </c>
      <c r="Y268" s="561">
        <v>483</v>
      </c>
      <c r="Z268" s="561">
        <v>2827</v>
      </c>
      <c r="AA268" s="561">
        <v>0</v>
      </c>
      <c r="AB268" s="561">
        <v>0</v>
      </c>
      <c r="AC268" s="561">
        <v>0</v>
      </c>
      <c r="AD268" s="561">
        <v>0</v>
      </c>
      <c r="AE268" s="561">
        <v>0</v>
      </c>
      <c r="AF268" s="561">
        <v>0</v>
      </c>
      <c r="AG268" s="561">
        <v>0</v>
      </c>
      <c r="AH268" s="561">
        <v>0</v>
      </c>
      <c r="AI268" s="561">
        <v>0</v>
      </c>
      <c r="AJ268" s="561">
        <v>0</v>
      </c>
      <c r="AK268" s="561">
        <v>0</v>
      </c>
      <c r="AL268" s="561">
        <v>0</v>
      </c>
      <c r="AM268" s="561">
        <v>118</v>
      </c>
      <c r="AN268" s="561">
        <v>13</v>
      </c>
      <c r="AO268" s="561">
        <v>0</v>
      </c>
      <c r="AP268" s="561">
        <v>24</v>
      </c>
      <c r="AQ268" s="561">
        <v>145</v>
      </c>
      <c r="AR268" s="561">
        <v>0</v>
      </c>
    </row>
    <row r="269" spans="1:44" x14ac:dyDescent="0.3">
      <c r="A269" s="1129" t="s">
        <v>3247</v>
      </c>
      <c r="B269" s="1129" t="s">
        <v>3248</v>
      </c>
      <c r="C269" s="1129" t="s">
        <v>3249</v>
      </c>
      <c r="D269" s="1129" t="s">
        <v>2595</v>
      </c>
      <c r="E269" s="561">
        <v>-2489</v>
      </c>
      <c r="F269" s="561">
        <v>0</v>
      </c>
      <c r="G269" s="561">
        <v>347740</v>
      </c>
      <c r="H269" s="561">
        <v>36914</v>
      </c>
      <c r="I269" s="561">
        <v>1482</v>
      </c>
      <c r="J269" s="561">
        <v>48648</v>
      </c>
      <c r="K269" s="561">
        <v>13207</v>
      </c>
      <c r="L269" s="561">
        <v>0</v>
      </c>
      <c r="M269" s="561">
        <v>10026</v>
      </c>
      <c r="N269" s="561">
        <v>1530</v>
      </c>
      <c r="O269" s="561">
        <v>0</v>
      </c>
      <c r="P269" s="561">
        <v>1127</v>
      </c>
      <c r="Q269" s="561">
        <v>0</v>
      </c>
      <c r="R269" s="561">
        <v>533329</v>
      </c>
      <c r="S269" s="1217">
        <v>0</v>
      </c>
      <c r="T269" s="1217">
        <v>3160</v>
      </c>
      <c r="U269" s="1217">
        <v>0</v>
      </c>
      <c r="V269" s="561">
        <v>10747</v>
      </c>
      <c r="W269" s="561">
        <v>0</v>
      </c>
      <c r="X269" s="561">
        <v>4428</v>
      </c>
      <c r="Y269" s="561">
        <v>0</v>
      </c>
      <c r="Z269" s="561">
        <v>0</v>
      </c>
      <c r="AA269" s="561">
        <v>0</v>
      </c>
      <c r="AB269" s="561">
        <v>0</v>
      </c>
      <c r="AC269" s="561">
        <v>0</v>
      </c>
      <c r="AD269" s="561">
        <v>13017</v>
      </c>
      <c r="AE269" s="561">
        <v>0</v>
      </c>
      <c r="AF269" s="561">
        <v>4526</v>
      </c>
      <c r="AG269" s="561">
        <v>42026</v>
      </c>
      <c r="AH269" s="561">
        <v>0</v>
      </c>
      <c r="AI269" s="561">
        <v>143245</v>
      </c>
      <c r="AJ269" s="561">
        <v>44960</v>
      </c>
      <c r="AK269" s="561">
        <v>0</v>
      </c>
      <c r="AL269" s="561">
        <v>8909</v>
      </c>
      <c r="AM269" s="561">
        <v>0</v>
      </c>
      <c r="AN269" s="561">
        <v>0</v>
      </c>
      <c r="AO269" s="561">
        <v>0</v>
      </c>
      <c r="AP269" s="561">
        <v>0</v>
      </c>
      <c r="AQ269" s="561">
        <v>0</v>
      </c>
      <c r="AR269" s="561">
        <v>0</v>
      </c>
    </row>
    <row r="270" spans="1:44" x14ac:dyDescent="0.3">
      <c r="A270" s="1129" t="s">
        <v>3250</v>
      </c>
      <c r="B270" s="1129" t="s">
        <v>3251</v>
      </c>
      <c r="C270" s="1129" t="s">
        <v>3252</v>
      </c>
      <c r="D270" s="1129" t="s">
        <v>2466</v>
      </c>
      <c r="E270" s="561">
        <v>0</v>
      </c>
      <c r="F270" s="561">
        <v>0</v>
      </c>
      <c r="G270" s="561">
        <v>0</v>
      </c>
      <c r="H270" s="561">
        <v>0</v>
      </c>
      <c r="I270" s="561">
        <v>0</v>
      </c>
      <c r="J270" s="561">
        <v>0</v>
      </c>
      <c r="K270" s="561">
        <v>0</v>
      </c>
      <c r="L270" s="561">
        <v>0</v>
      </c>
      <c r="M270" s="561">
        <v>0</v>
      </c>
      <c r="N270" s="561">
        <v>0</v>
      </c>
      <c r="O270" s="561">
        <v>0</v>
      </c>
      <c r="P270" s="561">
        <v>0</v>
      </c>
      <c r="Q270" s="561">
        <v>0</v>
      </c>
      <c r="R270" s="561">
        <v>0</v>
      </c>
      <c r="S270" s="1217">
        <v>0</v>
      </c>
      <c r="T270" s="1217">
        <v>0</v>
      </c>
      <c r="U270" s="1217">
        <v>0</v>
      </c>
      <c r="V270" s="561">
        <v>12</v>
      </c>
      <c r="W270" s="561">
        <v>0</v>
      </c>
      <c r="X270" s="561">
        <v>0</v>
      </c>
      <c r="Y270" s="561">
        <v>0</v>
      </c>
      <c r="Z270" s="561">
        <v>0</v>
      </c>
      <c r="AA270" s="561">
        <v>0</v>
      </c>
      <c r="AB270" s="561">
        <v>0</v>
      </c>
      <c r="AC270" s="561">
        <v>0</v>
      </c>
      <c r="AD270" s="561">
        <v>0</v>
      </c>
      <c r="AE270" s="561">
        <v>0</v>
      </c>
      <c r="AF270" s="561">
        <v>0</v>
      </c>
      <c r="AG270" s="561">
        <v>362</v>
      </c>
      <c r="AH270" s="561">
        <v>2603</v>
      </c>
      <c r="AI270" s="561">
        <v>6552</v>
      </c>
      <c r="AJ270" s="561">
        <v>652</v>
      </c>
      <c r="AK270" s="561">
        <v>0</v>
      </c>
      <c r="AL270" s="561">
        <v>0</v>
      </c>
      <c r="AM270" s="561">
        <v>0</v>
      </c>
      <c r="AN270" s="561">
        <v>0</v>
      </c>
      <c r="AO270" s="561">
        <v>0</v>
      </c>
      <c r="AP270" s="561">
        <v>0</v>
      </c>
      <c r="AQ270" s="561">
        <v>0</v>
      </c>
      <c r="AR270" s="561">
        <v>0</v>
      </c>
    </row>
    <row r="271" spans="1:44" x14ac:dyDescent="0.3">
      <c r="A271" s="1129" t="s">
        <v>3253</v>
      </c>
      <c r="B271" s="1129" t="s">
        <v>3254</v>
      </c>
      <c r="C271" s="1129" t="s">
        <v>3255</v>
      </c>
      <c r="D271" s="1129" t="s">
        <v>384</v>
      </c>
      <c r="E271" s="561">
        <v>-1601</v>
      </c>
      <c r="F271" s="561">
        <v>0</v>
      </c>
      <c r="G271" s="561">
        <v>0</v>
      </c>
      <c r="H271" s="561">
        <v>0</v>
      </c>
      <c r="I271" s="561">
        <v>34</v>
      </c>
      <c r="J271" s="561">
        <v>0</v>
      </c>
      <c r="K271" s="561">
        <v>0</v>
      </c>
      <c r="L271" s="561">
        <v>390</v>
      </c>
      <c r="M271" s="561">
        <v>0</v>
      </c>
      <c r="N271" s="561">
        <v>0</v>
      </c>
      <c r="O271" s="561">
        <v>453</v>
      </c>
      <c r="P271" s="561">
        <v>135</v>
      </c>
      <c r="Q271" s="561">
        <v>3134</v>
      </c>
      <c r="R271" s="561">
        <v>10858</v>
      </c>
      <c r="S271" s="1217">
        <v>0</v>
      </c>
      <c r="T271" s="1217">
        <v>0</v>
      </c>
      <c r="U271" s="1217">
        <v>0</v>
      </c>
      <c r="V271" s="561">
        <v>518</v>
      </c>
      <c r="W271" s="561">
        <v>220</v>
      </c>
      <c r="X271" s="561">
        <v>112</v>
      </c>
      <c r="Y271" s="561">
        <v>0</v>
      </c>
      <c r="Z271" s="561">
        <v>0</v>
      </c>
      <c r="AA271" s="561">
        <v>0</v>
      </c>
      <c r="AB271" s="561">
        <v>0</v>
      </c>
      <c r="AC271" s="561">
        <v>0</v>
      </c>
      <c r="AD271" s="561">
        <v>0</v>
      </c>
      <c r="AE271" s="561">
        <v>0</v>
      </c>
      <c r="AF271" s="561">
        <v>0</v>
      </c>
      <c r="AG271" s="561">
        <v>0</v>
      </c>
      <c r="AH271" s="561">
        <v>0</v>
      </c>
      <c r="AI271" s="561">
        <v>0</v>
      </c>
      <c r="AJ271" s="561">
        <v>0</v>
      </c>
      <c r="AK271" s="561">
        <v>0</v>
      </c>
      <c r="AL271" s="561">
        <v>0</v>
      </c>
      <c r="AM271" s="561">
        <v>13</v>
      </c>
      <c r="AN271" s="561">
        <v>0</v>
      </c>
      <c r="AO271" s="561">
        <v>0</v>
      </c>
      <c r="AP271" s="561">
        <v>0</v>
      </c>
      <c r="AQ271" s="561">
        <v>0</v>
      </c>
      <c r="AR271" s="561">
        <v>0</v>
      </c>
    </row>
    <row r="272" spans="1:44" x14ac:dyDescent="0.3">
      <c r="A272" s="1129" t="s">
        <v>3256</v>
      </c>
      <c r="B272" s="1129" t="s">
        <v>3257</v>
      </c>
      <c r="C272" s="1129" t="s">
        <v>3258</v>
      </c>
      <c r="D272" s="1129" t="s">
        <v>385</v>
      </c>
      <c r="E272" s="561">
        <v>-13233</v>
      </c>
      <c r="F272" s="561">
        <v>0</v>
      </c>
      <c r="G272" s="561">
        <v>130596</v>
      </c>
      <c r="H272" s="561">
        <v>13178</v>
      </c>
      <c r="I272" s="561">
        <v>620</v>
      </c>
      <c r="J272" s="561">
        <v>19114</v>
      </c>
      <c r="K272" s="561">
        <v>9228</v>
      </c>
      <c r="L272" s="561">
        <v>2591</v>
      </c>
      <c r="M272" s="561">
        <v>3472</v>
      </c>
      <c r="N272" s="561">
        <v>1585</v>
      </c>
      <c r="O272" s="561">
        <v>6025</v>
      </c>
      <c r="P272" s="561">
        <v>798</v>
      </c>
      <c r="Q272" s="561">
        <v>862</v>
      </c>
      <c r="R272" s="561">
        <v>111197</v>
      </c>
      <c r="S272" s="1217">
        <v>0</v>
      </c>
      <c r="T272" s="1217">
        <v>0</v>
      </c>
      <c r="U272" s="1217">
        <v>0</v>
      </c>
      <c r="V272" s="561">
        <v>18796</v>
      </c>
      <c r="W272" s="561">
        <v>577</v>
      </c>
      <c r="X272" s="561">
        <v>1536</v>
      </c>
      <c r="Y272" s="561">
        <v>0</v>
      </c>
      <c r="Z272" s="561">
        <v>2031</v>
      </c>
      <c r="AA272" s="561">
        <v>0</v>
      </c>
      <c r="AB272" s="561">
        <v>0</v>
      </c>
      <c r="AC272" s="561">
        <v>0</v>
      </c>
      <c r="AD272" s="561">
        <v>4072</v>
      </c>
      <c r="AE272" s="561">
        <v>2163</v>
      </c>
      <c r="AF272" s="561">
        <v>1591</v>
      </c>
      <c r="AG272" s="561">
        <v>10342</v>
      </c>
      <c r="AH272" s="561">
        <v>0</v>
      </c>
      <c r="AI272" s="561">
        <v>20392</v>
      </c>
      <c r="AJ272" s="561">
        <v>10605</v>
      </c>
      <c r="AK272" s="561">
        <v>0</v>
      </c>
      <c r="AL272" s="561">
        <v>0</v>
      </c>
      <c r="AM272" s="561">
        <v>19</v>
      </c>
      <c r="AN272" s="561">
        <v>1</v>
      </c>
      <c r="AO272" s="561">
        <v>75</v>
      </c>
      <c r="AP272" s="561">
        <v>64</v>
      </c>
      <c r="AQ272" s="561">
        <v>122</v>
      </c>
      <c r="AR272" s="561">
        <v>11</v>
      </c>
    </row>
    <row r="273" spans="1:44" x14ac:dyDescent="0.3">
      <c r="A273" s="1129" t="s">
        <v>3259</v>
      </c>
      <c r="B273" s="1129" t="s">
        <v>3260</v>
      </c>
      <c r="C273" s="1129" t="s">
        <v>3261</v>
      </c>
      <c r="D273" s="1129" t="s">
        <v>385</v>
      </c>
      <c r="E273" s="561">
        <v>-12662</v>
      </c>
      <c r="F273" s="561">
        <v>0</v>
      </c>
      <c r="G273" s="561">
        <v>105869</v>
      </c>
      <c r="H273" s="561">
        <v>17943</v>
      </c>
      <c r="I273" s="561">
        <v>766</v>
      </c>
      <c r="J273" s="561">
        <v>33789</v>
      </c>
      <c r="K273" s="561">
        <v>15955</v>
      </c>
      <c r="L273" s="561">
        <v>2177</v>
      </c>
      <c r="M273" s="561">
        <v>5618</v>
      </c>
      <c r="N273" s="561">
        <v>1527</v>
      </c>
      <c r="O273" s="561">
        <v>6592</v>
      </c>
      <c r="P273" s="561">
        <v>32</v>
      </c>
      <c r="Q273" s="561">
        <v>0</v>
      </c>
      <c r="R273" s="561">
        <v>147949</v>
      </c>
      <c r="S273" s="1217">
        <v>0</v>
      </c>
      <c r="T273" s="1217">
        <v>0</v>
      </c>
      <c r="U273" s="1217">
        <v>0</v>
      </c>
      <c r="V273" s="561">
        <v>18815</v>
      </c>
      <c r="W273" s="561">
        <v>854</v>
      </c>
      <c r="X273" s="561">
        <v>2063</v>
      </c>
      <c r="Y273" s="561">
        <v>0</v>
      </c>
      <c r="Z273" s="561">
        <v>2580</v>
      </c>
      <c r="AA273" s="561">
        <v>0</v>
      </c>
      <c r="AB273" s="561">
        <v>0</v>
      </c>
      <c r="AC273" s="561">
        <v>0</v>
      </c>
      <c r="AD273" s="561">
        <v>3149</v>
      </c>
      <c r="AE273" s="561">
        <v>0</v>
      </c>
      <c r="AF273" s="561">
        <v>1895</v>
      </c>
      <c r="AG273" s="561">
        <v>-64632</v>
      </c>
      <c r="AH273" s="561">
        <v>19414</v>
      </c>
      <c r="AI273" s="561">
        <v>5189</v>
      </c>
      <c r="AJ273" s="561">
        <v>33005</v>
      </c>
      <c r="AK273" s="561">
        <v>8336</v>
      </c>
      <c r="AL273" s="561">
        <v>0</v>
      </c>
      <c r="AM273" s="561">
        <v>205</v>
      </c>
      <c r="AN273" s="561">
        <v>31</v>
      </c>
      <c r="AO273" s="561">
        <v>2</v>
      </c>
      <c r="AP273" s="561">
        <v>189</v>
      </c>
      <c r="AQ273" s="561">
        <v>18</v>
      </c>
      <c r="AR273" s="561">
        <v>1</v>
      </c>
    </row>
    <row r="274" spans="1:44" x14ac:dyDescent="0.3">
      <c r="A274" s="1129" t="s">
        <v>3262</v>
      </c>
      <c r="B274" s="1129" t="s">
        <v>3263</v>
      </c>
      <c r="C274" s="1129" t="s">
        <v>3264</v>
      </c>
      <c r="D274" s="1129" t="s">
        <v>385</v>
      </c>
      <c r="E274" s="561">
        <v>-14797</v>
      </c>
      <c r="F274" s="561">
        <v>0</v>
      </c>
      <c r="G274" s="561">
        <v>104655</v>
      </c>
      <c r="H274" s="561">
        <v>20772</v>
      </c>
      <c r="I274" s="561">
        <v>645</v>
      </c>
      <c r="J274" s="561">
        <v>23104</v>
      </c>
      <c r="K274" s="561">
        <v>10630</v>
      </c>
      <c r="L274" s="561">
        <v>3195</v>
      </c>
      <c r="M274" s="561">
        <v>3896</v>
      </c>
      <c r="N274" s="561">
        <v>1719</v>
      </c>
      <c r="O274" s="561">
        <v>5062</v>
      </c>
      <c r="P274" s="561">
        <v>96</v>
      </c>
      <c r="Q274" s="561">
        <v>0</v>
      </c>
      <c r="R274" s="561">
        <v>107858</v>
      </c>
      <c r="S274" s="1217">
        <v>25751.56</v>
      </c>
      <c r="T274" s="1217">
        <v>49064</v>
      </c>
      <c r="U274" s="1217">
        <v>0</v>
      </c>
      <c r="V274" s="561">
        <v>19047</v>
      </c>
      <c r="W274" s="561">
        <v>804</v>
      </c>
      <c r="X274" s="561">
        <v>1835</v>
      </c>
      <c r="Y274" s="561">
        <v>0</v>
      </c>
      <c r="Z274" s="561">
        <v>1689</v>
      </c>
      <c r="AA274" s="561">
        <v>0</v>
      </c>
      <c r="AB274" s="561">
        <v>0</v>
      </c>
      <c r="AC274" s="561">
        <v>0</v>
      </c>
      <c r="AD274" s="561">
        <v>6397</v>
      </c>
      <c r="AE274" s="561">
        <v>11439</v>
      </c>
      <c r="AF274" s="561">
        <v>2214</v>
      </c>
      <c r="AG274" s="561">
        <v>21410</v>
      </c>
      <c r="AH274" s="561">
        <v>46539</v>
      </c>
      <c r="AI274" s="561">
        <v>147486</v>
      </c>
      <c r="AJ274" s="561">
        <v>11835</v>
      </c>
      <c r="AK274" s="561">
        <v>0</v>
      </c>
      <c r="AL274" s="561">
        <v>0</v>
      </c>
      <c r="AM274" s="561">
        <v>59</v>
      </c>
      <c r="AN274" s="561">
        <v>131</v>
      </c>
      <c r="AO274" s="561">
        <v>41</v>
      </c>
      <c r="AP274" s="561">
        <v>50</v>
      </c>
      <c r="AQ274" s="561">
        <v>268</v>
      </c>
      <c r="AR274" s="561">
        <v>0</v>
      </c>
    </row>
    <row r="275" spans="1:44" x14ac:dyDescent="0.3">
      <c r="A275" s="1129" t="s">
        <v>3265</v>
      </c>
      <c r="B275" s="1129" t="s">
        <v>3266</v>
      </c>
      <c r="C275" s="1129" t="s">
        <v>3267</v>
      </c>
      <c r="D275" s="1129" t="s">
        <v>384</v>
      </c>
      <c r="E275" s="561">
        <v>-256</v>
      </c>
      <c r="F275" s="561">
        <v>0</v>
      </c>
      <c r="G275" s="561">
        <v>0</v>
      </c>
      <c r="H275" s="561">
        <v>0</v>
      </c>
      <c r="I275" s="561">
        <v>36</v>
      </c>
      <c r="J275" s="561">
        <v>0</v>
      </c>
      <c r="K275" s="561">
        <v>0</v>
      </c>
      <c r="L275" s="561">
        <v>799</v>
      </c>
      <c r="M275" s="561">
        <v>0</v>
      </c>
      <c r="N275" s="561">
        <v>0</v>
      </c>
      <c r="O275" s="561">
        <v>743</v>
      </c>
      <c r="P275" s="561">
        <v>2136</v>
      </c>
      <c r="Q275" s="561">
        <v>463</v>
      </c>
      <c r="R275" s="561">
        <v>16565</v>
      </c>
      <c r="S275" s="1217">
        <v>0</v>
      </c>
      <c r="T275" s="1217">
        <v>377</v>
      </c>
      <c r="U275" s="1217">
        <v>0</v>
      </c>
      <c r="V275" s="561">
        <v>102</v>
      </c>
      <c r="W275" s="561">
        <v>411</v>
      </c>
      <c r="X275" s="561">
        <v>240</v>
      </c>
      <c r="Y275" s="561">
        <v>0</v>
      </c>
      <c r="Z275" s="561">
        <v>1680</v>
      </c>
      <c r="AA275" s="561">
        <v>0</v>
      </c>
      <c r="AB275" s="561">
        <v>0</v>
      </c>
      <c r="AC275" s="561">
        <v>0</v>
      </c>
      <c r="AD275" s="561">
        <v>0</v>
      </c>
      <c r="AE275" s="561">
        <v>0</v>
      </c>
      <c r="AF275" s="561">
        <v>0</v>
      </c>
      <c r="AG275" s="561">
        <v>11678</v>
      </c>
      <c r="AH275" s="561">
        <v>0</v>
      </c>
      <c r="AI275" s="561">
        <v>24352</v>
      </c>
      <c r="AJ275" s="561">
        <v>8654</v>
      </c>
      <c r="AK275" s="561">
        <v>0</v>
      </c>
      <c r="AL275" s="561">
        <v>0</v>
      </c>
      <c r="AM275" s="561">
        <v>15</v>
      </c>
      <c r="AN275" s="561">
        <v>14</v>
      </c>
      <c r="AO275" s="561">
        <v>0</v>
      </c>
      <c r="AP275" s="561">
        <v>1</v>
      </c>
      <c r="AQ275" s="561">
        <v>1</v>
      </c>
      <c r="AR275" s="561">
        <v>0</v>
      </c>
    </row>
    <row r="276" spans="1:44" x14ac:dyDescent="0.3">
      <c r="A276" s="1129" t="s">
        <v>3268</v>
      </c>
      <c r="B276" s="1129" t="s">
        <v>3269</v>
      </c>
      <c r="C276" s="1129" t="s">
        <v>3270</v>
      </c>
      <c r="D276" s="1129" t="s">
        <v>385</v>
      </c>
      <c r="E276" s="561">
        <v>-2771</v>
      </c>
      <c r="F276" s="561">
        <v>0</v>
      </c>
      <c r="G276" s="561">
        <v>117771</v>
      </c>
      <c r="H276" s="561">
        <v>11604</v>
      </c>
      <c r="I276" s="561">
        <v>444</v>
      </c>
      <c r="J276" s="561">
        <v>11467</v>
      </c>
      <c r="K276" s="561">
        <v>3322</v>
      </c>
      <c r="L276" s="561">
        <v>3129</v>
      </c>
      <c r="M276" s="561">
        <v>2492</v>
      </c>
      <c r="N276" s="561">
        <v>554</v>
      </c>
      <c r="O276" s="561">
        <v>0</v>
      </c>
      <c r="P276" s="561">
        <v>812</v>
      </c>
      <c r="Q276" s="561">
        <v>0</v>
      </c>
      <c r="R276" s="561">
        <v>126134</v>
      </c>
      <c r="S276" s="1217">
        <v>32836</v>
      </c>
      <c r="T276" s="1217">
        <v>0</v>
      </c>
      <c r="U276" s="1217">
        <v>0</v>
      </c>
      <c r="V276" s="561">
        <v>12419</v>
      </c>
      <c r="W276" s="561">
        <v>474</v>
      </c>
      <c r="X276" s="561">
        <v>1572</v>
      </c>
      <c r="Y276" s="561">
        <v>0</v>
      </c>
      <c r="Z276" s="561">
        <v>2128</v>
      </c>
      <c r="AA276" s="561">
        <v>0</v>
      </c>
      <c r="AB276" s="561">
        <v>0</v>
      </c>
      <c r="AC276" s="561">
        <v>0</v>
      </c>
      <c r="AD276" s="561">
        <v>1780</v>
      </c>
      <c r="AE276" s="561">
        <v>0</v>
      </c>
      <c r="AF276" s="561">
        <v>1519</v>
      </c>
      <c r="AG276" s="561">
        <v>8394</v>
      </c>
      <c r="AH276" s="561">
        <v>0</v>
      </c>
      <c r="AI276" s="561">
        <v>25572</v>
      </c>
      <c r="AJ276" s="561">
        <v>17087</v>
      </c>
      <c r="AK276" s="561">
        <v>11794</v>
      </c>
      <c r="AL276" s="561">
        <v>0</v>
      </c>
      <c r="AM276" s="561">
        <v>16</v>
      </c>
      <c r="AN276" s="561">
        <v>162</v>
      </c>
      <c r="AO276" s="561">
        <v>1</v>
      </c>
      <c r="AP276" s="561">
        <v>0</v>
      </c>
      <c r="AQ276" s="561">
        <v>229</v>
      </c>
      <c r="AR276" s="561">
        <v>0</v>
      </c>
    </row>
    <row r="277" spans="1:44" x14ac:dyDescent="0.3">
      <c r="A277" s="1129" t="s">
        <v>3271</v>
      </c>
      <c r="B277" s="1129" t="s">
        <v>3272</v>
      </c>
      <c r="C277" s="1129" t="s">
        <v>3273</v>
      </c>
      <c r="D277" s="1129" t="s">
        <v>2476</v>
      </c>
      <c r="E277" s="561">
        <v>-13278</v>
      </c>
      <c r="F277" s="561">
        <v>0</v>
      </c>
      <c r="G277" s="561">
        <v>333243</v>
      </c>
      <c r="H277" s="561">
        <v>16539</v>
      </c>
      <c r="I277" s="561">
        <v>36</v>
      </c>
      <c r="J277" s="561">
        <v>26901</v>
      </c>
      <c r="K277" s="561">
        <v>12437</v>
      </c>
      <c r="L277" s="561">
        <v>9891</v>
      </c>
      <c r="M277" s="561">
        <v>4882</v>
      </c>
      <c r="N277" s="561">
        <v>650</v>
      </c>
      <c r="O277" s="561">
        <v>0</v>
      </c>
      <c r="P277" s="561">
        <v>33</v>
      </c>
      <c r="Q277" s="561">
        <v>0</v>
      </c>
      <c r="R277" s="561">
        <v>158005</v>
      </c>
      <c r="S277" s="1217">
        <v>16439.669999999998</v>
      </c>
      <c r="T277" s="1217" t="s">
        <v>2453</v>
      </c>
      <c r="U277" s="1217" t="s">
        <v>2453</v>
      </c>
      <c r="V277" s="561">
        <v>12733</v>
      </c>
      <c r="W277" s="561">
        <v>810</v>
      </c>
      <c r="X277" s="561">
        <v>2114</v>
      </c>
      <c r="Y277" s="561">
        <v>0</v>
      </c>
      <c r="Z277" s="561">
        <v>211</v>
      </c>
      <c r="AA277" s="561">
        <v>0</v>
      </c>
      <c r="AB277" s="561">
        <v>0</v>
      </c>
      <c r="AC277" s="561">
        <v>0</v>
      </c>
      <c r="AD277" s="561">
        <v>27020</v>
      </c>
      <c r="AE277" s="561">
        <v>7272</v>
      </c>
      <c r="AF277" s="561">
        <v>0</v>
      </c>
      <c r="AG277" s="561">
        <v>23141</v>
      </c>
      <c r="AH277" s="561">
        <v>415</v>
      </c>
      <c r="AI277" s="561">
        <v>30846</v>
      </c>
      <c r="AJ277" s="561">
        <v>16474</v>
      </c>
      <c r="AK277" s="561">
        <v>13471</v>
      </c>
      <c r="AL277" s="561">
        <v>0</v>
      </c>
      <c r="AM277" s="561">
        <v>469</v>
      </c>
      <c r="AN277" s="561">
        <v>628</v>
      </c>
      <c r="AO277" s="561">
        <v>386</v>
      </c>
      <c r="AP277" s="561">
        <v>1287</v>
      </c>
      <c r="AQ277" s="561">
        <v>75</v>
      </c>
      <c r="AR277" s="561">
        <v>29</v>
      </c>
    </row>
    <row r="278" spans="1:44" x14ac:dyDescent="0.3">
      <c r="A278" s="1129" t="s">
        <v>3274</v>
      </c>
      <c r="B278" s="1129" t="s">
        <v>3275</v>
      </c>
      <c r="C278" s="1129" t="s">
        <v>3276</v>
      </c>
      <c r="D278" s="1129" t="s">
        <v>385</v>
      </c>
      <c r="E278" s="561">
        <v>-9783</v>
      </c>
      <c r="F278" s="561">
        <v>0</v>
      </c>
      <c r="G278" s="561">
        <v>53571</v>
      </c>
      <c r="H278" s="561">
        <v>13482</v>
      </c>
      <c r="I278" s="561">
        <v>410</v>
      </c>
      <c r="J278" s="561">
        <v>18949</v>
      </c>
      <c r="K278" s="561">
        <v>8547</v>
      </c>
      <c r="L278" s="561">
        <v>470</v>
      </c>
      <c r="M278" s="561">
        <v>3151</v>
      </c>
      <c r="N278" s="561">
        <v>924</v>
      </c>
      <c r="O278" s="561">
        <v>4225</v>
      </c>
      <c r="P278" s="561">
        <v>945</v>
      </c>
      <c r="Q278" s="561">
        <v>742</v>
      </c>
      <c r="R278" s="561">
        <v>83942</v>
      </c>
      <c r="S278" s="1217">
        <v>0</v>
      </c>
      <c r="T278" s="1217">
        <v>0</v>
      </c>
      <c r="U278" s="1217">
        <v>-3687</v>
      </c>
      <c r="V278" s="561">
        <v>5273</v>
      </c>
      <c r="W278" s="561">
        <v>479</v>
      </c>
      <c r="X278" s="561">
        <v>1236</v>
      </c>
      <c r="Y278" s="561">
        <v>0</v>
      </c>
      <c r="Z278" s="561">
        <v>0</v>
      </c>
      <c r="AA278" s="561">
        <v>0</v>
      </c>
      <c r="AB278" s="561">
        <v>0</v>
      </c>
      <c r="AC278" s="561">
        <v>0</v>
      </c>
      <c r="AD278" s="561">
        <v>1881</v>
      </c>
      <c r="AE278" s="561">
        <v>0</v>
      </c>
      <c r="AF278" s="561">
        <v>340</v>
      </c>
      <c r="AG278" s="561">
        <v>6626</v>
      </c>
      <c r="AH278" s="561">
        <v>0</v>
      </c>
      <c r="AI278" s="561">
        <v>6774</v>
      </c>
      <c r="AJ278" s="561">
        <v>2287</v>
      </c>
      <c r="AK278" s="561">
        <v>7804</v>
      </c>
      <c r="AL278" s="561">
        <v>0</v>
      </c>
      <c r="AM278" s="561" t="s">
        <v>2534</v>
      </c>
      <c r="AN278" s="561" t="s">
        <v>2534</v>
      </c>
      <c r="AO278" s="561" t="s">
        <v>2534</v>
      </c>
      <c r="AP278" s="561" t="s">
        <v>2534</v>
      </c>
      <c r="AQ278" s="561" t="s">
        <v>2534</v>
      </c>
      <c r="AR278" s="561" t="s">
        <v>2534</v>
      </c>
    </row>
    <row r="279" spans="1:44" x14ac:dyDescent="0.3">
      <c r="A279" s="1129" t="s">
        <v>3277</v>
      </c>
      <c r="B279" s="1129" t="s">
        <v>3278</v>
      </c>
      <c r="C279" s="1129" t="s">
        <v>3279</v>
      </c>
      <c r="D279" s="1129" t="s">
        <v>384</v>
      </c>
      <c r="E279" s="561">
        <v>-145</v>
      </c>
      <c r="F279" s="561">
        <v>0</v>
      </c>
      <c r="G279" s="561">
        <v>0</v>
      </c>
      <c r="H279" s="561">
        <v>0</v>
      </c>
      <c r="I279" s="561">
        <v>36</v>
      </c>
      <c r="J279" s="561">
        <v>0</v>
      </c>
      <c r="K279" s="561">
        <v>0</v>
      </c>
      <c r="L279" s="561">
        <v>649</v>
      </c>
      <c r="M279" s="561">
        <v>0</v>
      </c>
      <c r="N279" s="561">
        <v>0</v>
      </c>
      <c r="O279" s="561">
        <v>326</v>
      </c>
      <c r="P279" s="561">
        <v>23</v>
      </c>
      <c r="Q279" s="561">
        <v>60</v>
      </c>
      <c r="R279" s="561">
        <v>7405</v>
      </c>
      <c r="S279" s="1217">
        <v>11429</v>
      </c>
      <c r="T279" s="1217">
        <v>0</v>
      </c>
      <c r="U279" s="1217">
        <v>0</v>
      </c>
      <c r="V279" s="561">
        <v>3315</v>
      </c>
      <c r="W279" s="561">
        <v>208</v>
      </c>
      <c r="X279" s="561">
        <v>188</v>
      </c>
      <c r="Y279" s="561">
        <v>201</v>
      </c>
      <c r="Z279" s="561">
        <v>0</v>
      </c>
      <c r="AA279" s="561">
        <v>0</v>
      </c>
      <c r="AB279" s="561">
        <v>0</v>
      </c>
      <c r="AC279" s="561">
        <v>0</v>
      </c>
      <c r="AD279" s="561">
        <v>0</v>
      </c>
      <c r="AE279" s="561">
        <v>0</v>
      </c>
      <c r="AF279" s="561">
        <v>0</v>
      </c>
      <c r="AG279" s="561">
        <v>0</v>
      </c>
      <c r="AH279" s="561">
        <v>0</v>
      </c>
      <c r="AI279" s="561">
        <v>443</v>
      </c>
      <c r="AJ279" s="561">
        <v>0</v>
      </c>
      <c r="AK279" s="561">
        <v>0</v>
      </c>
      <c r="AL279" s="561">
        <v>0</v>
      </c>
      <c r="AM279" s="561">
        <v>1</v>
      </c>
      <c r="AN279" s="561">
        <v>0</v>
      </c>
      <c r="AO279" s="561">
        <v>0</v>
      </c>
      <c r="AP279" s="561">
        <v>0</v>
      </c>
      <c r="AQ279" s="561">
        <v>25</v>
      </c>
      <c r="AR279" s="561">
        <v>2</v>
      </c>
    </row>
    <row r="280" spans="1:44" x14ac:dyDescent="0.3">
      <c r="A280" s="1129" t="s">
        <v>3280</v>
      </c>
      <c r="B280" s="1129" t="s">
        <v>3281</v>
      </c>
      <c r="C280" s="1129" t="s">
        <v>3282</v>
      </c>
      <c r="D280" s="1129" t="s">
        <v>384</v>
      </c>
      <c r="E280" s="561">
        <v>-188</v>
      </c>
      <c r="F280" s="561">
        <v>0</v>
      </c>
      <c r="G280" s="561">
        <v>0</v>
      </c>
      <c r="H280" s="561">
        <v>0</v>
      </c>
      <c r="I280" s="561">
        <v>38</v>
      </c>
      <c r="J280" s="561">
        <v>0</v>
      </c>
      <c r="K280" s="561">
        <v>0</v>
      </c>
      <c r="L280" s="561">
        <v>1384</v>
      </c>
      <c r="M280" s="561">
        <v>0</v>
      </c>
      <c r="N280" s="561">
        <v>0</v>
      </c>
      <c r="O280" s="561">
        <v>0</v>
      </c>
      <c r="P280" s="561">
        <v>433</v>
      </c>
      <c r="Q280" s="561">
        <v>672</v>
      </c>
      <c r="R280" s="561">
        <v>17773</v>
      </c>
      <c r="S280" s="1217">
        <v>0</v>
      </c>
      <c r="T280" s="1217">
        <v>0</v>
      </c>
      <c r="U280" s="1217">
        <v>0</v>
      </c>
      <c r="V280" s="561">
        <v>0</v>
      </c>
      <c r="W280" s="561">
        <v>265</v>
      </c>
      <c r="X280" s="561">
        <v>201</v>
      </c>
      <c r="Y280" s="561">
        <v>1162</v>
      </c>
      <c r="Z280" s="561">
        <v>139</v>
      </c>
      <c r="AA280" s="561">
        <v>0</v>
      </c>
      <c r="AB280" s="561">
        <v>0</v>
      </c>
      <c r="AC280" s="561">
        <v>0</v>
      </c>
      <c r="AD280" s="561">
        <v>0</v>
      </c>
      <c r="AE280" s="561">
        <v>0</v>
      </c>
      <c r="AF280" s="561">
        <v>0</v>
      </c>
      <c r="AG280" s="561">
        <v>3477</v>
      </c>
      <c r="AH280" s="561">
        <v>1371</v>
      </c>
      <c r="AI280" s="561">
        <v>23647</v>
      </c>
      <c r="AJ280" s="561">
        <v>3107</v>
      </c>
      <c r="AK280" s="561">
        <v>3500</v>
      </c>
      <c r="AL280" s="561">
        <v>0</v>
      </c>
      <c r="AM280" s="561">
        <v>13</v>
      </c>
      <c r="AN280" s="561">
        <v>47</v>
      </c>
      <c r="AO280" s="561">
        <v>0</v>
      </c>
      <c r="AP280" s="561">
        <v>0</v>
      </c>
      <c r="AQ280" s="561">
        <v>128</v>
      </c>
      <c r="AR280" s="561">
        <v>4</v>
      </c>
    </row>
    <row r="281" spans="1:44" x14ac:dyDescent="0.3">
      <c r="A281" s="1129" t="s">
        <v>3283</v>
      </c>
      <c r="B281" s="1129" t="s">
        <v>3284</v>
      </c>
      <c r="C281" s="1129" t="s">
        <v>3285</v>
      </c>
      <c r="D281" s="1129" t="s">
        <v>384</v>
      </c>
      <c r="E281" s="561">
        <v>-69</v>
      </c>
      <c r="F281" s="561">
        <v>0</v>
      </c>
      <c r="G281" s="561">
        <v>0</v>
      </c>
      <c r="H281" s="561">
        <v>0</v>
      </c>
      <c r="I281" s="561">
        <v>36</v>
      </c>
      <c r="J281" s="561">
        <v>0</v>
      </c>
      <c r="K281" s="561">
        <v>0</v>
      </c>
      <c r="L281" s="561">
        <v>139</v>
      </c>
      <c r="M281" s="561">
        <v>0</v>
      </c>
      <c r="N281" s="561">
        <v>0</v>
      </c>
      <c r="O281" s="561">
        <v>0</v>
      </c>
      <c r="P281" s="561">
        <v>547</v>
      </c>
      <c r="Q281" s="561">
        <v>666</v>
      </c>
      <c r="R281" s="561">
        <v>5044</v>
      </c>
      <c r="S281" s="1217">
        <v>0</v>
      </c>
      <c r="T281" s="1217">
        <v>9035</v>
      </c>
      <c r="U281" s="1217">
        <v>0</v>
      </c>
      <c r="V281" s="561">
        <v>0</v>
      </c>
      <c r="W281" s="561">
        <v>74</v>
      </c>
      <c r="X281" s="561">
        <v>69</v>
      </c>
      <c r="Y281" s="561">
        <v>781</v>
      </c>
      <c r="Z281" s="561">
        <v>0</v>
      </c>
      <c r="AA281" s="561">
        <v>0</v>
      </c>
      <c r="AB281" s="561">
        <v>0</v>
      </c>
      <c r="AC281" s="561">
        <v>0</v>
      </c>
      <c r="AD281" s="561">
        <v>0</v>
      </c>
      <c r="AE281" s="561">
        <v>0</v>
      </c>
      <c r="AF281" s="561">
        <v>0</v>
      </c>
      <c r="AG281" s="561">
        <v>2896</v>
      </c>
      <c r="AH281" s="561">
        <v>0</v>
      </c>
      <c r="AI281" s="561">
        <v>11484</v>
      </c>
      <c r="AJ281" s="561">
        <v>2119</v>
      </c>
      <c r="AK281" s="561">
        <v>83</v>
      </c>
      <c r="AL281" s="561">
        <v>1959</v>
      </c>
      <c r="AM281" s="561">
        <v>1</v>
      </c>
      <c r="AN281" s="561">
        <v>0</v>
      </c>
      <c r="AO281" s="561">
        <v>0</v>
      </c>
      <c r="AP281" s="561">
        <v>0</v>
      </c>
      <c r="AQ281" s="561">
        <v>5</v>
      </c>
      <c r="AR281" s="561">
        <v>0</v>
      </c>
    </row>
    <row r="282" spans="1:44" x14ac:dyDescent="0.3">
      <c r="A282" s="1129" t="s">
        <v>3286</v>
      </c>
      <c r="B282" s="1129" t="s">
        <v>3287</v>
      </c>
      <c r="C282" s="1129" t="s">
        <v>3288</v>
      </c>
      <c r="D282" s="1129" t="s">
        <v>2476</v>
      </c>
      <c r="E282" s="561">
        <v>-244</v>
      </c>
      <c r="F282" s="561">
        <v>0</v>
      </c>
      <c r="G282" s="561">
        <v>148587</v>
      </c>
      <c r="H282" s="561">
        <v>11247</v>
      </c>
      <c r="I282" s="561">
        <v>40</v>
      </c>
      <c r="J282" s="561">
        <v>13418</v>
      </c>
      <c r="K282" s="561">
        <v>958</v>
      </c>
      <c r="L282" s="561">
        <v>2658</v>
      </c>
      <c r="M282" s="561">
        <v>2891</v>
      </c>
      <c r="N282" s="561">
        <v>345</v>
      </c>
      <c r="O282" s="561">
        <v>0</v>
      </c>
      <c r="P282" s="561">
        <v>14</v>
      </c>
      <c r="Q282" s="561">
        <v>0</v>
      </c>
      <c r="R282" s="561">
        <v>169617</v>
      </c>
      <c r="S282" s="1217">
        <v>0</v>
      </c>
      <c r="T282" s="1217" t="s">
        <v>2453</v>
      </c>
      <c r="U282" s="1217" t="s">
        <v>2453</v>
      </c>
      <c r="V282" s="561">
        <v>3064</v>
      </c>
      <c r="W282" s="561">
        <v>424</v>
      </c>
      <c r="X282" s="561">
        <v>1463</v>
      </c>
      <c r="Y282" s="561">
        <v>0</v>
      </c>
      <c r="Z282" s="561">
        <v>627</v>
      </c>
      <c r="AA282" s="561">
        <v>0</v>
      </c>
      <c r="AB282" s="561">
        <v>0</v>
      </c>
      <c r="AC282" s="561">
        <v>0</v>
      </c>
      <c r="AD282" s="561">
        <v>7759</v>
      </c>
      <c r="AE282" s="561">
        <v>12357</v>
      </c>
      <c r="AF282" s="561">
        <v>0</v>
      </c>
      <c r="AG282" s="561">
        <v>11063</v>
      </c>
      <c r="AH282" s="561">
        <v>8610</v>
      </c>
      <c r="AI282" s="561">
        <v>37037</v>
      </c>
      <c r="AJ282" s="561">
        <v>20281</v>
      </c>
      <c r="AK282" s="561">
        <v>27966</v>
      </c>
      <c r="AL282" s="561">
        <v>15679</v>
      </c>
      <c r="AM282" s="561">
        <v>9</v>
      </c>
      <c r="AN282" s="561">
        <v>451</v>
      </c>
      <c r="AO282" s="561">
        <v>0</v>
      </c>
      <c r="AP282" s="561">
        <v>122</v>
      </c>
      <c r="AQ282" s="561">
        <v>42</v>
      </c>
      <c r="AR282" s="561">
        <v>4</v>
      </c>
    </row>
    <row r="283" spans="1:44" x14ac:dyDescent="0.3">
      <c r="A283" s="1129" t="s">
        <v>3289</v>
      </c>
      <c r="B283" s="1129" t="s">
        <v>3290</v>
      </c>
      <c r="C283" s="1129" t="s">
        <v>3291</v>
      </c>
      <c r="D283" s="1129" t="s">
        <v>379</v>
      </c>
      <c r="E283" s="561">
        <v>0</v>
      </c>
      <c r="F283" s="561">
        <v>0</v>
      </c>
      <c r="G283" s="561">
        <v>188820</v>
      </c>
      <c r="H283" s="561">
        <v>0</v>
      </c>
      <c r="I283" s="561">
        <v>735</v>
      </c>
      <c r="J283" s="561">
        <v>29933</v>
      </c>
      <c r="K283" s="561">
        <v>15147</v>
      </c>
      <c r="L283" s="561">
        <v>1741</v>
      </c>
      <c r="M283" s="561">
        <v>4849</v>
      </c>
      <c r="N283" s="561">
        <v>1725</v>
      </c>
      <c r="O283" s="561">
        <v>7815</v>
      </c>
      <c r="P283" s="561">
        <v>615</v>
      </c>
      <c r="Q283" s="561">
        <v>0</v>
      </c>
      <c r="R283" s="561">
        <v>123170</v>
      </c>
      <c r="S283" s="1217">
        <v>0</v>
      </c>
      <c r="T283" s="1217">
        <v>5594</v>
      </c>
      <c r="U283" s="1217">
        <v>0</v>
      </c>
      <c r="V283" s="561">
        <v>3634</v>
      </c>
      <c r="W283" s="561">
        <v>752</v>
      </c>
      <c r="X283" s="561">
        <v>1892</v>
      </c>
      <c r="Y283" s="561">
        <v>0</v>
      </c>
      <c r="Z283" s="561">
        <v>164</v>
      </c>
      <c r="AA283" s="561">
        <v>0</v>
      </c>
      <c r="AB283" s="561">
        <v>0</v>
      </c>
      <c r="AC283" s="561">
        <v>0</v>
      </c>
      <c r="AD283" s="561">
        <v>11030</v>
      </c>
      <c r="AE283" s="561">
        <v>0</v>
      </c>
      <c r="AF283" s="561">
        <v>51</v>
      </c>
      <c r="AG283" s="561">
        <v>15000</v>
      </c>
      <c r="AH283" s="561">
        <v>0</v>
      </c>
      <c r="AI283" s="561">
        <v>71257</v>
      </c>
      <c r="AJ283" s="561">
        <v>43363</v>
      </c>
      <c r="AK283" s="561">
        <v>18796</v>
      </c>
      <c r="AL283" s="561">
        <v>36504</v>
      </c>
      <c r="AM283" s="561">
        <v>16</v>
      </c>
      <c r="AN283" s="561">
        <v>79</v>
      </c>
      <c r="AO283" s="561">
        <v>31</v>
      </c>
      <c r="AP283" s="561">
        <v>30</v>
      </c>
      <c r="AQ283" s="561">
        <v>97</v>
      </c>
      <c r="AR283" s="561">
        <v>57</v>
      </c>
    </row>
    <row r="284" spans="1:44" x14ac:dyDescent="0.3">
      <c r="A284" s="1129" t="s">
        <v>3292</v>
      </c>
      <c r="B284" s="1129" t="s">
        <v>3293</v>
      </c>
      <c r="C284" s="1129" t="s">
        <v>3294</v>
      </c>
      <c r="D284" s="1129" t="s">
        <v>384</v>
      </c>
      <c r="E284" s="561">
        <v>-105</v>
      </c>
      <c r="F284" s="561">
        <v>0</v>
      </c>
      <c r="G284" s="561">
        <v>0</v>
      </c>
      <c r="H284" s="561">
        <v>0</v>
      </c>
      <c r="I284" s="561">
        <v>36</v>
      </c>
      <c r="J284" s="561">
        <v>0</v>
      </c>
      <c r="K284" s="561">
        <v>0</v>
      </c>
      <c r="L284" s="561">
        <v>497</v>
      </c>
      <c r="M284" s="561">
        <v>0</v>
      </c>
      <c r="N284" s="561">
        <v>0</v>
      </c>
      <c r="O284" s="561">
        <v>0</v>
      </c>
      <c r="P284" s="561">
        <v>440</v>
      </c>
      <c r="Q284" s="561">
        <v>2445</v>
      </c>
      <c r="R284" s="561">
        <v>11434</v>
      </c>
      <c r="S284" s="1217">
        <v>0</v>
      </c>
      <c r="T284" s="1217">
        <v>0</v>
      </c>
      <c r="U284" s="1217">
        <v>0</v>
      </c>
      <c r="V284" s="561">
        <v>0</v>
      </c>
      <c r="W284" s="561">
        <v>122</v>
      </c>
      <c r="X284" s="561">
        <v>81</v>
      </c>
      <c r="Y284" s="561">
        <v>328</v>
      </c>
      <c r="Z284" s="561">
        <v>0</v>
      </c>
      <c r="AA284" s="561">
        <v>0</v>
      </c>
      <c r="AB284" s="561">
        <v>0</v>
      </c>
      <c r="AC284" s="561">
        <v>0</v>
      </c>
      <c r="AD284" s="561">
        <v>0</v>
      </c>
      <c r="AE284" s="561">
        <v>0</v>
      </c>
      <c r="AF284" s="561">
        <v>0</v>
      </c>
      <c r="AG284" s="561">
        <v>1903</v>
      </c>
      <c r="AH284" s="561">
        <v>666</v>
      </c>
      <c r="AI284" s="561">
        <v>9776</v>
      </c>
      <c r="AJ284" s="561">
        <v>1171</v>
      </c>
      <c r="AK284" s="561">
        <v>1487</v>
      </c>
      <c r="AL284" s="561">
        <v>1935</v>
      </c>
      <c r="AM284" s="561">
        <v>9</v>
      </c>
      <c r="AN284" s="561">
        <v>8</v>
      </c>
      <c r="AO284" s="561">
        <v>1</v>
      </c>
      <c r="AP284" s="561">
        <v>14</v>
      </c>
      <c r="AQ284" s="561">
        <v>37</v>
      </c>
      <c r="AR284" s="561">
        <v>2</v>
      </c>
    </row>
    <row r="285" spans="1:44" x14ac:dyDescent="0.3">
      <c r="A285" s="1129" t="s">
        <v>3295</v>
      </c>
      <c r="B285" s="1129" t="s">
        <v>3296</v>
      </c>
      <c r="C285" s="1129" t="s">
        <v>3297</v>
      </c>
      <c r="D285" s="1129" t="s">
        <v>384</v>
      </c>
      <c r="E285" s="561">
        <v>-111</v>
      </c>
      <c r="F285" s="561">
        <v>0</v>
      </c>
      <c r="G285" s="561">
        <v>0</v>
      </c>
      <c r="H285" s="561">
        <v>0</v>
      </c>
      <c r="I285" s="561">
        <v>34</v>
      </c>
      <c r="J285" s="561">
        <v>0</v>
      </c>
      <c r="K285" s="561">
        <v>0</v>
      </c>
      <c r="L285" s="561">
        <v>388</v>
      </c>
      <c r="M285" s="561">
        <v>0</v>
      </c>
      <c r="N285" s="561">
        <v>0</v>
      </c>
      <c r="O285" s="561">
        <v>297</v>
      </c>
      <c r="P285" s="561">
        <v>141</v>
      </c>
      <c r="Q285" s="561">
        <v>80</v>
      </c>
      <c r="R285" s="561">
        <v>6799</v>
      </c>
      <c r="S285" s="1217">
        <v>0</v>
      </c>
      <c r="T285" s="1217">
        <v>0</v>
      </c>
      <c r="U285" s="1217">
        <v>0</v>
      </c>
      <c r="V285" s="561">
        <v>100</v>
      </c>
      <c r="W285" s="561">
        <v>171</v>
      </c>
      <c r="X285" s="561">
        <v>75</v>
      </c>
      <c r="Y285" s="561">
        <v>0</v>
      </c>
      <c r="Z285" s="561">
        <v>149</v>
      </c>
      <c r="AA285" s="561">
        <v>0</v>
      </c>
      <c r="AB285" s="561">
        <v>0</v>
      </c>
      <c r="AC285" s="561">
        <v>0</v>
      </c>
      <c r="AD285" s="561">
        <v>0</v>
      </c>
      <c r="AE285" s="561">
        <v>0</v>
      </c>
      <c r="AF285" s="561">
        <v>0</v>
      </c>
      <c r="AG285" s="561">
        <v>1000</v>
      </c>
      <c r="AH285" s="561">
        <v>558</v>
      </c>
      <c r="AI285" s="561">
        <v>486</v>
      </c>
      <c r="AJ285" s="561">
        <v>2390</v>
      </c>
      <c r="AK285" s="561">
        <v>5566</v>
      </c>
      <c r="AL285" s="561">
        <v>0</v>
      </c>
      <c r="AM285" s="561">
        <v>12</v>
      </c>
      <c r="AN285" s="561">
        <v>1</v>
      </c>
      <c r="AO285" s="561">
        <v>0</v>
      </c>
      <c r="AP285" s="561">
        <v>0</v>
      </c>
      <c r="AQ285" s="561">
        <v>1</v>
      </c>
      <c r="AR285" s="561">
        <v>0</v>
      </c>
    </row>
    <row r="286" spans="1:44" x14ac:dyDescent="0.3">
      <c r="A286" s="1129" t="s">
        <v>3298</v>
      </c>
      <c r="B286" s="1129" t="s">
        <v>3299</v>
      </c>
      <c r="C286" s="1129" t="s">
        <v>3300</v>
      </c>
      <c r="D286" s="1129" t="s">
        <v>384</v>
      </c>
      <c r="E286" s="561">
        <v>-205</v>
      </c>
      <c r="F286" s="561">
        <v>0</v>
      </c>
      <c r="G286" s="561">
        <v>0</v>
      </c>
      <c r="H286" s="561">
        <v>0</v>
      </c>
      <c r="I286" s="561">
        <v>35</v>
      </c>
      <c r="J286" s="561">
        <v>0</v>
      </c>
      <c r="K286" s="561">
        <v>0</v>
      </c>
      <c r="L286" s="561">
        <v>909</v>
      </c>
      <c r="M286" s="561">
        <v>0</v>
      </c>
      <c r="N286" s="561">
        <v>0</v>
      </c>
      <c r="O286" s="561">
        <v>99</v>
      </c>
      <c r="P286" s="561">
        <v>318</v>
      </c>
      <c r="Q286" s="561">
        <v>3323</v>
      </c>
      <c r="R286" s="561">
        <v>12495</v>
      </c>
      <c r="S286" s="1217">
        <v>0</v>
      </c>
      <c r="T286" s="1217">
        <v>0</v>
      </c>
      <c r="U286" s="1217">
        <v>0</v>
      </c>
      <c r="V286" s="561">
        <v>532</v>
      </c>
      <c r="W286" s="561">
        <v>221</v>
      </c>
      <c r="X286" s="561">
        <v>131</v>
      </c>
      <c r="Y286" s="561">
        <v>327</v>
      </c>
      <c r="Z286" s="561">
        <v>0</v>
      </c>
      <c r="AA286" s="561">
        <v>0</v>
      </c>
      <c r="AB286" s="561">
        <v>0</v>
      </c>
      <c r="AC286" s="561">
        <v>0</v>
      </c>
      <c r="AD286" s="561">
        <v>0</v>
      </c>
      <c r="AE286" s="561">
        <v>0</v>
      </c>
      <c r="AF286" s="561">
        <v>0</v>
      </c>
      <c r="AG286" s="561">
        <v>2</v>
      </c>
      <c r="AH286" s="561">
        <v>0</v>
      </c>
      <c r="AI286" s="561">
        <v>8833</v>
      </c>
      <c r="AJ286" s="561">
        <v>0</v>
      </c>
      <c r="AK286" s="561">
        <v>0</v>
      </c>
      <c r="AL286" s="561">
        <v>0</v>
      </c>
      <c r="AM286" s="561">
        <v>25</v>
      </c>
      <c r="AN286" s="561">
        <v>160</v>
      </c>
      <c r="AO286" s="561">
        <v>0</v>
      </c>
      <c r="AP286" s="561">
        <v>3</v>
      </c>
      <c r="AQ286" s="561">
        <v>43</v>
      </c>
      <c r="AR286" s="561">
        <v>3</v>
      </c>
    </row>
    <row r="287" spans="1:44" x14ac:dyDescent="0.3">
      <c r="A287" s="1129" t="s">
        <v>3301</v>
      </c>
      <c r="B287" s="1129" t="s">
        <v>3302</v>
      </c>
      <c r="C287" s="1129" t="s">
        <v>3303</v>
      </c>
      <c r="D287" s="1129" t="s">
        <v>379</v>
      </c>
      <c r="E287" s="561">
        <v>-19347</v>
      </c>
      <c r="F287" s="561">
        <v>0</v>
      </c>
      <c r="G287" s="561">
        <v>119565</v>
      </c>
      <c r="H287" s="561">
        <v>19420</v>
      </c>
      <c r="I287" s="561">
        <v>803</v>
      </c>
      <c r="J287" s="561">
        <v>37419</v>
      </c>
      <c r="K287" s="561">
        <v>17864</v>
      </c>
      <c r="L287" s="561">
        <v>1247</v>
      </c>
      <c r="M287" s="561">
        <v>5886</v>
      </c>
      <c r="N287" s="561">
        <v>2083</v>
      </c>
      <c r="O287" s="561">
        <v>8771</v>
      </c>
      <c r="P287" s="561">
        <v>1452</v>
      </c>
      <c r="Q287" s="561">
        <v>4235</v>
      </c>
      <c r="R287" s="561">
        <v>141917</v>
      </c>
      <c r="S287" s="1217">
        <v>24304</v>
      </c>
      <c r="T287" s="1217">
        <v>0</v>
      </c>
      <c r="U287" s="1217">
        <v>0</v>
      </c>
      <c r="V287" s="561">
        <v>13681</v>
      </c>
      <c r="W287" s="561">
        <v>814</v>
      </c>
      <c r="X287" s="561">
        <v>2516</v>
      </c>
      <c r="Y287" s="561">
        <v>0</v>
      </c>
      <c r="Z287" s="561">
        <v>380</v>
      </c>
      <c r="AA287" s="561">
        <v>0</v>
      </c>
      <c r="AB287" s="561">
        <v>0</v>
      </c>
      <c r="AC287" s="561">
        <v>0</v>
      </c>
      <c r="AD287" s="561">
        <v>2264</v>
      </c>
      <c r="AE287" s="561">
        <v>20280</v>
      </c>
      <c r="AF287" s="561">
        <v>3</v>
      </c>
      <c r="AG287" s="561">
        <v>25000</v>
      </c>
      <c r="AH287" s="561">
        <v>0</v>
      </c>
      <c r="AI287" s="561">
        <v>16588</v>
      </c>
      <c r="AJ287" s="561">
        <v>4000</v>
      </c>
      <c r="AK287" s="561">
        <v>13879</v>
      </c>
      <c r="AL287" s="561">
        <v>0</v>
      </c>
      <c r="AM287" s="561">
        <v>16</v>
      </c>
      <c r="AN287" s="561">
        <v>0</v>
      </c>
      <c r="AO287" s="561">
        <v>7</v>
      </c>
      <c r="AP287" s="561">
        <v>0</v>
      </c>
      <c r="AQ287" s="561">
        <v>126</v>
      </c>
      <c r="AR287" s="561">
        <v>0</v>
      </c>
    </row>
    <row r="288" spans="1:44" x14ac:dyDescent="0.3">
      <c r="A288" s="1129" t="s">
        <v>3304</v>
      </c>
      <c r="B288" s="1129" t="s">
        <v>3305</v>
      </c>
      <c r="C288" s="1129" t="s">
        <v>3306</v>
      </c>
      <c r="D288" s="1129" t="s">
        <v>384</v>
      </c>
      <c r="E288" s="561">
        <v>-154</v>
      </c>
      <c r="F288" s="561">
        <v>0</v>
      </c>
      <c r="G288" s="561">
        <v>0</v>
      </c>
      <c r="H288" s="561">
        <v>0</v>
      </c>
      <c r="I288" s="561">
        <v>37</v>
      </c>
      <c r="J288" s="561">
        <v>0</v>
      </c>
      <c r="K288" s="561">
        <v>0</v>
      </c>
      <c r="L288" s="561">
        <v>652</v>
      </c>
      <c r="M288" s="561">
        <v>0</v>
      </c>
      <c r="N288" s="561">
        <v>0</v>
      </c>
      <c r="O288" s="561">
        <v>0</v>
      </c>
      <c r="P288" s="561">
        <v>1132</v>
      </c>
      <c r="Q288" s="561">
        <v>1156</v>
      </c>
      <c r="R288" s="561">
        <v>10455</v>
      </c>
      <c r="S288" s="1217">
        <v>25293</v>
      </c>
      <c r="T288" s="1217">
        <v>0</v>
      </c>
      <c r="U288" s="1217">
        <v>0</v>
      </c>
      <c r="V288" s="561">
        <v>1093</v>
      </c>
      <c r="W288" s="561">
        <v>191</v>
      </c>
      <c r="X288" s="561">
        <v>176</v>
      </c>
      <c r="Y288" s="561">
        <v>764</v>
      </c>
      <c r="Z288" s="561">
        <v>138</v>
      </c>
      <c r="AA288" s="561">
        <v>0</v>
      </c>
      <c r="AB288" s="561">
        <v>0</v>
      </c>
      <c r="AC288" s="561">
        <v>0</v>
      </c>
      <c r="AD288" s="561">
        <v>0</v>
      </c>
      <c r="AE288" s="561">
        <v>0</v>
      </c>
      <c r="AF288" s="561">
        <v>0</v>
      </c>
      <c r="AG288" s="561">
        <v>2899</v>
      </c>
      <c r="AH288" s="561">
        <v>0</v>
      </c>
      <c r="AI288" s="561">
        <v>28183</v>
      </c>
      <c r="AJ288" s="561">
        <v>0</v>
      </c>
      <c r="AK288" s="561">
        <v>3013</v>
      </c>
      <c r="AL288" s="561">
        <v>0</v>
      </c>
      <c r="AM288" s="561">
        <v>0</v>
      </c>
      <c r="AN288" s="561">
        <v>4</v>
      </c>
      <c r="AO288" s="561">
        <v>0</v>
      </c>
      <c r="AP288" s="561">
        <v>9</v>
      </c>
      <c r="AQ288" s="561">
        <v>35</v>
      </c>
      <c r="AR288" s="561">
        <v>0</v>
      </c>
    </row>
    <row r="289" spans="1:44" x14ac:dyDescent="0.3">
      <c r="A289" s="1129" t="s">
        <v>3307</v>
      </c>
      <c r="B289" s="1129" t="s">
        <v>3308</v>
      </c>
      <c r="C289" s="1129" t="s">
        <v>3309</v>
      </c>
      <c r="D289" s="1129" t="s">
        <v>384</v>
      </c>
      <c r="E289" s="561">
        <v>-124</v>
      </c>
      <c r="F289" s="561">
        <v>0</v>
      </c>
      <c r="G289" s="561">
        <v>0</v>
      </c>
      <c r="H289" s="561">
        <v>0</v>
      </c>
      <c r="I289" s="561">
        <v>40</v>
      </c>
      <c r="J289" s="561">
        <v>0</v>
      </c>
      <c r="K289" s="561">
        <v>0</v>
      </c>
      <c r="L289" s="561">
        <v>733</v>
      </c>
      <c r="M289" s="561">
        <v>0</v>
      </c>
      <c r="N289" s="561">
        <v>0</v>
      </c>
      <c r="O289" s="561">
        <v>0</v>
      </c>
      <c r="P289" s="561">
        <v>775</v>
      </c>
      <c r="Q289" s="561">
        <v>0</v>
      </c>
      <c r="R289" s="561">
        <v>7025</v>
      </c>
      <c r="S289" s="1217">
        <v>39567</v>
      </c>
      <c r="T289" s="1217">
        <v>5201</v>
      </c>
      <c r="U289" s="1217">
        <v>0</v>
      </c>
      <c r="V289" s="561">
        <v>14177</v>
      </c>
      <c r="W289" s="561">
        <v>148</v>
      </c>
      <c r="X289" s="561">
        <v>153</v>
      </c>
      <c r="Y289" s="561">
        <v>279</v>
      </c>
      <c r="Z289" s="561">
        <v>115</v>
      </c>
      <c r="AA289" s="561">
        <v>0</v>
      </c>
      <c r="AB289" s="561">
        <v>0</v>
      </c>
      <c r="AC289" s="561">
        <v>0</v>
      </c>
      <c r="AD289" s="561">
        <v>0</v>
      </c>
      <c r="AE289" s="561">
        <v>0</v>
      </c>
      <c r="AF289" s="561">
        <v>0</v>
      </c>
      <c r="AG289" s="561">
        <v>18637</v>
      </c>
      <c r="AH289" s="561">
        <v>13148</v>
      </c>
      <c r="AI289" s="561">
        <v>20778</v>
      </c>
      <c r="AJ289" s="561">
        <v>106</v>
      </c>
      <c r="AK289" s="561">
        <v>6729</v>
      </c>
      <c r="AL289" s="561">
        <v>538</v>
      </c>
      <c r="AM289" s="561">
        <v>1</v>
      </c>
      <c r="AN289" s="561">
        <v>6</v>
      </c>
      <c r="AO289" s="561">
        <v>0</v>
      </c>
      <c r="AP289" s="561">
        <v>5</v>
      </c>
      <c r="AQ289" s="561">
        <v>42</v>
      </c>
      <c r="AR289" s="561">
        <v>27</v>
      </c>
    </row>
    <row r="290" spans="1:44" x14ac:dyDescent="0.3">
      <c r="A290" s="1129" t="s">
        <v>3310</v>
      </c>
      <c r="B290" s="1129" t="s">
        <v>3311</v>
      </c>
      <c r="C290" s="1129" t="s">
        <v>3312</v>
      </c>
      <c r="D290" s="1129" t="s">
        <v>384</v>
      </c>
      <c r="E290" s="561">
        <v>-123</v>
      </c>
      <c r="F290" s="561">
        <v>0</v>
      </c>
      <c r="G290" s="561">
        <v>0</v>
      </c>
      <c r="H290" s="561">
        <v>0</v>
      </c>
      <c r="I290" s="561">
        <v>35</v>
      </c>
      <c r="J290" s="561">
        <v>0</v>
      </c>
      <c r="K290" s="561">
        <v>0</v>
      </c>
      <c r="L290" s="561">
        <v>360</v>
      </c>
      <c r="M290" s="561">
        <v>0</v>
      </c>
      <c r="N290" s="561">
        <v>0</v>
      </c>
      <c r="O290" s="561">
        <v>0</v>
      </c>
      <c r="P290" s="561">
        <v>1478</v>
      </c>
      <c r="Q290" s="561">
        <v>2900</v>
      </c>
      <c r="R290" s="561">
        <v>11639</v>
      </c>
      <c r="S290" s="1217">
        <v>0</v>
      </c>
      <c r="T290" s="1217">
        <v>5093</v>
      </c>
      <c r="U290" s="1217">
        <v>0</v>
      </c>
      <c r="V290" s="561">
        <v>0</v>
      </c>
      <c r="W290" s="561">
        <v>156</v>
      </c>
      <c r="X290" s="561">
        <v>123</v>
      </c>
      <c r="Y290" s="561">
        <v>101</v>
      </c>
      <c r="Z290" s="561">
        <v>0</v>
      </c>
      <c r="AA290" s="561">
        <v>0</v>
      </c>
      <c r="AB290" s="561">
        <v>0</v>
      </c>
      <c r="AC290" s="561">
        <v>0</v>
      </c>
      <c r="AD290" s="561">
        <v>0</v>
      </c>
      <c r="AE290" s="561">
        <v>0</v>
      </c>
      <c r="AF290" s="561">
        <v>0</v>
      </c>
      <c r="AG290" s="561">
        <v>2604</v>
      </c>
      <c r="AH290" s="561">
        <v>0</v>
      </c>
      <c r="AI290" s="561">
        <v>6444</v>
      </c>
      <c r="AJ290" s="561">
        <v>449</v>
      </c>
      <c r="AK290" s="561">
        <v>3317</v>
      </c>
      <c r="AL290" s="561">
        <v>9652</v>
      </c>
      <c r="AM290" s="561">
        <v>3</v>
      </c>
      <c r="AN290" s="561">
        <v>0</v>
      </c>
      <c r="AO290" s="561">
        <v>0</v>
      </c>
      <c r="AP290" s="561">
        <v>0</v>
      </c>
      <c r="AQ290" s="561">
        <v>6</v>
      </c>
      <c r="AR290" s="561">
        <v>0</v>
      </c>
    </row>
    <row r="291" spans="1:44" x14ac:dyDescent="0.3">
      <c r="A291" s="1129" t="s">
        <v>3313</v>
      </c>
      <c r="B291" s="1129" t="s">
        <v>3314</v>
      </c>
      <c r="C291" s="1129" t="s">
        <v>3315</v>
      </c>
      <c r="D291" s="1129" t="s">
        <v>384</v>
      </c>
      <c r="E291" s="561">
        <v>-131</v>
      </c>
      <c r="F291" s="561">
        <v>0</v>
      </c>
      <c r="G291" s="561">
        <v>0</v>
      </c>
      <c r="H291" s="561">
        <v>0</v>
      </c>
      <c r="I291" s="561">
        <v>39</v>
      </c>
      <c r="J291" s="561">
        <v>0</v>
      </c>
      <c r="K291" s="561">
        <v>0</v>
      </c>
      <c r="L291" s="561">
        <v>1015</v>
      </c>
      <c r="M291" s="561">
        <v>0</v>
      </c>
      <c r="N291" s="561">
        <v>0</v>
      </c>
      <c r="O291" s="561">
        <v>118</v>
      </c>
      <c r="P291" s="561">
        <v>512</v>
      </c>
      <c r="Q291" s="561">
        <v>0</v>
      </c>
      <c r="R291" s="561">
        <v>8008</v>
      </c>
      <c r="S291" s="1217">
        <v>0</v>
      </c>
      <c r="T291" s="1217">
        <v>0</v>
      </c>
      <c r="U291" s="1217">
        <v>-418</v>
      </c>
      <c r="V291" s="561">
        <v>3803</v>
      </c>
      <c r="W291" s="561">
        <v>260</v>
      </c>
      <c r="X291" s="561">
        <v>137</v>
      </c>
      <c r="Y291" s="561">
        <v>0</v>
      </c>
      <c r="Z291" s="561">
        <v>67</v>
      </c>
      <c r="AA291" s="561">
        <v>0</v>
      </c>
      <c r="AB291" s="561">
        <v>0</v>
      </c>
      <c r="AC291" s="561">
        <v>0</v>
      </c>
      <c r="AD291" s="561">
        <v>0</v>
      </c>
      <c r="AE291" s="561">
        <v>0</v>
      </c>
      <c r="AF291" s="561">
        <v>0</v>
      </c>
      <c r="AG291" s="561">
        <v>3349</v>
      </c>
      <c r="AH291" s="561">
        <v>7644</v>
      </c>
      <c r="AI291" s="561">
        <v>703</v>
      </c>
      <c r="AJ291" s="561">
        <v>6871</v>
      </c>
      <c r="AK291" s="561">
        <v>4098</v>
      </c>
      <c r="AL291" s="561">
        <v>154</v>
      </c>
      <c r="AM291" s="561" t="s">
        <v>2534</v>
      </c>
      <c r="AN291" s="561" t="s">
        <v>2534</v>
      </c>
      <c r="AO291" s="561" t="s">
        <v>2534</v>
      </c>
      <c r="AP291" s="561" t="s">
        <v>2534</v>
      </c>
      <c r="AQ291" s="561" t="s">
        <v>2534</v>
      </c>
      <c r="AR291" s="561" t="s">
        <v>2534</v>
      </c>
    </row>
    <row r="292" spans="1:44" x14ac:dyDescent="0.3">
      <c r="A292" s="1129" t="s">
        <v>3316</v>
      </c>
      <c r="B292" s="1129" t="s">
        <v>3317</v>
      </c>
      <c r="C292" s="1129" t="s">
        <v>3318</v>
      </c>
      <c r="D292" s="1129" t="s">
        <v>385</v>
      </c>
      <c r="E292" s="561">
        <v>-120</v>
      </c>
      <c r="F292" s="561">
        <v>0</v>
      </c>
      <c r="G292" s="561">
        <v>11091</v>
      </c>
      <c r="H292" s="561">
        <v>1566</v>
      </c>
      <c r="I292" s="561">
        <v>79</v>
      </c>
      <c r="J292" s="561">
        <v>2738</v>
      </c>
      <c r="K292" s="561">
        <v>270</v>
      </c>
      <c r="L292" s="561">
        <v>155</v>
      </c>
      <c r="M292" s="561">
        <v>594</v>
      </c>
      <c r="N292" s="561">
        <v>56</v>
      </c>
      <c r="O292" s="561">
        <v>0</v>
      </c>
      <c r="P292" s="561">
        <v>45</v>
      </c>
      <c r="Q292" s="561">
        <v>1062</v>
      </c>
      <c r="R292" s="561">
        <v>37216</v>
      </c>
      <c r="S292" s="1217">
        <v>0</v>
      </c>
      <c r="T292" s="1217">
        <v>0</v>
      </c>
      <c r="U292" s="1217">
        <v>0</v>
      </c>
      <c r="V292" s="561">
        <v>619</v>
      </c>
      <c r="W292" s="561">
        <v>56</v>
      </c>
      <c r="X292" s="561">
        <v>312</v>
      </c>
      <c r="Y292" s="561">
        <v>0</v>
      </c>
      <c r="Z292" s="561">
        <v>0</v>
      </c>
      <c r="AA292" s="561">
        <v>0</v>
      </c>
      <c r="AB292" s="561">
        <v>0</v>
      </c>
      <c r="AC292" s="561">
        <v>0</v>
      </c>
      <c r="AD292" s="561">
        <v>12</v>
      </c>
      <c r="AE292" s="561">
        <v>0</v>
      </c>
      <c r="AF292" s="561">
        <v>294</v>
      </c>
      <c r="AG292" s="561">
        <v>3000</v>
      </c>
      <c r="AH292" s="561">
        <v>0</v>
      </c>
      <c r="AI292" s="561">
        <v>12647</v>
      </c>
      <c r="AJ292" s="561">
        <v>8394</v>
      </c>
      <c r="AK292" s="561">
        <v>2685</v>
      </c>
      <c r="AL292" s="561">
        <v>0</v>
      </c>
      <c r="AM292" s="561">
        <v>7</v>
      </c>
      <c r="AN292" s="561">
        <v>4</v>
      </c>
      <c r="AO292" s="561">
        <v>2</v>
      </c>
      <c r="AP292" s="561">
        <v>0</v>
      </c>
      <c r="AQ292" s="561">
        <v>2</v>
      </c>
      <c r="AR292" s="561">
        <v>0</v>
      </c>
    </row>
    <row r="293" spans="1:44" x14ac:dyDescent="0.3">
      <c r="A293" s="1129" t="s">
        <v>3319</v>
      </c>
      <c r="B293" s="1129" t="s">
        <v>3320</v>
      </c>
      <c r="C293" s="1129" t="s">
        <v>3321</v>
      </c>
      <c r="D293" s="1129" t="s">
        <v>379</v>
      </c>
      <c r="E293" s="561">
        <v>0</v>
      </c>
      <c r="F293" s="561">
        <v>0</v>
      </c>
      <c r="G293" s="561">
        <v>227848</v>
      </c>
      <c r="H293" s="561">
        <v>0</v>
      </c>
      <c r="I293" s="561">
        <v>880</v>
      </c>
      <c r="J293" s="561">
        <v>34759</v>
      </c>
      <c r="K293" s="561">
        <v>17379</v>
      </c>
      <c r="L293" s="561">
        <v>2708</v>
      </c>
      <c r="M293" s="561">
        <v>5765</v>
      </c>
      <c r="N293" s="561">
        <v>2218</v>
      </c>
      <c r="O293" s="561">
        <v>9725</v>
      </c>
      <c r="P293" s="561">
        <v>4785</v>
      </c>
      <c r="Q293" s="561">
        <v>0</v>
      </c>
      <c r="R293" s="561">
        <v>161401</v>
      </c>
      <c r="S293" s="1217">
        <v>20594</v>
      </c>
      <c r="T293" s="1217">
        <v>0</v>
      </c>
      <c r="U293" s="1217">
        <v>0</v>
      </c>
      <c r="V293" s="561">
        <v>2726</v>
      </c>
      <c r="W293" s="561">
        <v>1065</v>
      </c>
      <c r="X293" s="561">
        <v>2035</v>
      </c>
      <c r="Y293" s="561">
        <v>0</v>
      </c>
      <c r="Z293" s="561">
        <v>2184</v>
      </c>
      <c r="AA293" s="561">
        <v>0</v>
      </c>
      <c r="AB293" s="561">
        <v>0</v>
      </c>
      <c r="AC293" s="561">
        <v>0</v>
      </c>
      <c r="AD293" s="561">
        <v>12249</v>
      </c>
      <c r="AE293" s="561">
        <v>11511</v>
      </c>
      <c r="AF293" s="561">
        <v>339</v>
      </c>
      <c r="AG293" s="561">
        <v>15331</v>
      </c>
      <c r="AH293" s="561">
        <v>31873</v>
      </c>
      <c r="AI293" s="561">
        <v>83593</v>
      </c>
      <c r="AJ293" s="561">
        <v>75391</v>
      </c>
      <c r="AK293" s="561">
        <v>50285</v>
      </c>
      <c r="AL293" s="561">
        <v>0</v>
      </c>
      <c r="AM293" s="561" t="s">
        <v>2534</v>
      </c>
      <c r="AN293" s="561" t="s">
        <v>2534</v>
      </c>
      <c r="AO293" s="561" t="s">
        <v>2534</v>
      </c>
      <c r="AP293" s="561" t="s">
        <v>2534</v>
      </c>
      <c r="AQ293" s="561" t="s">
        <v>2534</v>
      </c>
      <c r="AR293" s="561" t="s">
        <v>2534</v>
      </c>
    </row>
    <row r="294" spans="1:44" x14ac:dyDescent="0.3">
      <c r="A294" s="1129" t="s">
        <v>3322</v>
      </c>
      <c r="B294" s="1129" t="s">
        <v>3323</v>
      </c>
      <c r="C294" s="1129" t="s">
        <v>3324</v>
      </c>
      <c r="D294" s="1129" t="s">
        <v>379</v>
      </c>
      <c r="E294" s="561">
        <v>0</v>
      </c>
      <c r="F294" s="561">
        <v>0</v>
      </c>
      <c r="G294" s="561">
        <v>296226</v>
      </c>
      <c r="H294" s="561">
        <v>29676</v>
      </c>
      <c r="I294" s="561">
        <v>1093</v>
      </c>
      <c r="J294" s="561">
        <v>55391</v>
      </c>
      <c r="K294" s="561">
        <v>28401</v>
      </c>
      <c r="L294" s="561">
        <v>2332</v>
      </c>
      <c r="M294" s="561">
        <v>8085</v>
      </c>
      <c r="N294" s="561">
        <v>3555</v>
      </c>
      <c r="O294" s="561">
        <v>11784</v>
      </c>
      <c r="P294" s="561">
        <v>379</v>
      </c>
      <c r="Q294" s="561">
        <v>0</v>
      </c>
      <c r="R294" s="561">
        <v>146565</v>
      </c>
      <c r="S294" s="1217">
        <v>51183</v>
      </c>
      <c r="T294" s="1217">
        <v>2992</v>
      </c>
      <c r="U294" s="1217">
        <v>0</v>
      </c>
      <c r="V294" s="561">
        <v>14784</v>
      </c>
      <c r="W294" s="561">
        <v>1035</v>
      </c>
      <c r="X294" s="561">
        <v>3529</v>
      </c>
      <c r="Y294" s="561">
        <v>0</v>
      </c>
      <c r="Z294" s="561">
        <v>20</v>
      </c>
      <c r="AA294" s="561">
        <v>0</v>
      </c>
      <c r="AB294" s="561">
        <v>0</v>
      </c>
      <c r="AC294" s="561">
        <v>0</v>
      </c>
      <c r="AD294" s="561">
        <v>41261</v>
      </c>
      <c r="AE294" s="561">
        <v>0</v>
      </c>
      <c r="AF294" s="561">
        <v>7885</v>
      </c>
      <c r="AG294" s="561">
        <v>15158</v>
      </c>
      <c r="AH294" s="561">
        <v>0</v>
      </c>
      <c r="AI294" s="561">
        <v>126750</v>
      </c>
      <c r="AJ294" s="561">
        <v>0</v>
      </c>
      <c r="AK294" s="561">
        <v>0</v>
      </c>
      <c r="AL294" s="561">
        <v>573</v>
      </c>
      <c r="AM294" s="561">
        <v>119</v>
      </c>
      <c r="AN294" s="561">
        <v>0</v>
      </c>
      <c r="AO294" s="561">
        <v>0</v>
      </c>
      <c r="AP294" s="561">
        <v>36</v>
      </c>
      <c r="AQ294" s="561">
        <v>89</v>
      </c>
      <c r="AR294" s="561">
        <v>3</v>
      </c>
    </row>
    <row r="295" spans="1:44" x14ac:dyDescent="0.3">
      <c r="A295" s="1129" t="s">
        <v>3325</v>
      </c>
      <c r="B295" s="1129" t="s">
        <v>3326</v>
      </c>
      <c r="C295" s="1129" t="s">
        <v>3327</v>
      </c>
      <c r="D295" s="1129" t="s">
        <v>379</v>
      </c>
      <c r="E295" s="561">
        <v>0</v>
      </c>
      <c r="F295" s="561">
        <v>0</v>
      </c>
      <c r="G295" s="561">
        <v>186360</v>
      </c>
      <c r="H295" s="561">
        <v>25646</v>
      </c>
      <c r="I295" s="561">
        <v>787</v>
      </c>
      <c r="J295" s="561">
        <v>41440</v>
      </c>
      <c r="K295" s="561">
        <v>0</v>
      </c>
      <c r="L295" s="561">
        <v>1237</v>
      </c>
      <c r="M295" s="561">
        <v>6671</v>
      </c>
      <c r="N295" s="561">
        <v>1261</v>
      </c>
      <c r="O295" s="561">
        <v>5609</v>
      </c>
      <c r="P295" s="561">
        <v>1436</v>
      </c>
      <c r="Q295" s="561">
        <v>1586</v>
      </c>
      <c r="R295" s="561">
        <v>180126</v>
      </c>
      <c r="S295" s="1217">
        <v>0</v>
      </c>
      <c r="T295" s="1217">
        <v>0</v>
      </c>
      <c r="U295" s="1217">
        <v>0</v>
      </c>
      <c r="V295" s="561">
        <v>6994</v>
      </c>
      <c r="W295" s="561">
        <v>888</v>
      </c>
      <c r="X295" s="561">
        <v>2339</v>
      </c>
      <c r="Y295" s="561">
        <v>0</v>
      </c>
      <c r="Z295" s="561">
        <v>374</v>
      </c>
      <c r="AA295" s="561">
        <v>0</v>
      </c>
      <c r="AB295" s="561">
        <v>0</v>
      </c>
      <c r="AC295" s="561">
        <v>0</v>
      </c>
      <c r="AD295" s="561">
        <v>20458</v>
      </c>
      <c r="AE295" s="561">
        <v>0</v>
      </c>
      <c r="AF295" s="561">
        <v>0</v>
      </c>
      <c r="AG295" s="561">
        <v>16300</v>
      </c>
      <c r="AH295" s="561">
        <v>1589</v>
      </c>
      <c r="AI295" s="561">
        <v>5421</v>
      </c>
      <c r="AJ295" s="561">
        <v>10089</v>
      </c>
      <c r="AK295" s="561">
        <v>0</v>
      </c>
      <c r="AL295" s="561">
        <v>15581</v>
      </c>
      <c r="AM295" s="561">
        <v>81</v>
      </c>
      <c r="AN295" s="561">
        <v>114</v>
      </c>
      <c r="AO295" s="561">
        <v>16</v>
      </c>
      <c r="AP295" s="561">
        <v>6</v>
      </c>
      <c r="AQ295" s="561">
        <v>14</v>
      </c>
      <c r="AR295" s="561">
        <v>2</v>
      </c>
    </row>
    <row r="296" spans="1:44" x14ac:dyDescent="0.3">
      <c r="A296" s="1129" t="s">
        <v>3328</v>
      </c>
      <c r="B296" s="1129" t="s">
        <v>3329</v>
      </c>
      <c r="C296" s="1129" t="s">
        <v>3330</v>
      </c>
      <c r="D296" s="1129" t="s">
        <v>384</v>
      </c>
      <c r="E296" s="561">
        <v>-220</v>
      </c>
      <c r="F296" s="561">
        <v>0</v>
      </c>
      <c r="G296" s="561">
        <v>0</v>
      </c>
      <c r="H296" s="561">
        <v>0</v>
      </c>
      <c r="I296" s="561">
        <v>37</v>
      </c>
      <c r="J296" s="561">
        <v>0</v>
      </c>
      <c r="K296" s="561">
        <v>0</v>
      </c>
      <c r="L296" s="561">
        <v>962</v>
      </c>
      <c r="M296" s="561">
        <v>0</v>
      </c>
      <c r="N296" s="561">
        <v>0</v>
      </c>
      <c r="O296" s="561">
        <v>0</v>
      </c>
      <c r="P296" s="561">
        <v>20</v>
      </c>
      <c r="Q296" s="561">
        <v>5949</v>
      </c>
      <c r="R296" s="561">
        <v>19255</v>
      </c>
      <c r="S296" s="1217">
        <v>0</v>
      </c>
      <c r="T296" s="1217">
        <v>379</v>
      </c>
      <c r="U296" s="1217">
        <v>0</v>
      </c>
      <c r="V296" s="561">
        <v>232</v>
      </c>
      <c r="W296" s="561">
        <v>217</v>
      </c>
      <c r="X296" s="561">
        <v>171</v>
      </c>
      <c r="Y296" s="561">
        <v>1047</v>
      </c>
      <c r="Z296" s="561">
        <v>211</v>
      </c>
      <c r="AA296" s="561">
        <v>0</v>
      </c>
      <c r="AB296" s="561">
        <v>0</v>
      </c>
      <c r="AC296" s="561">
        <v>0</v>
      </c>
      <c r="AD296" s="561">
        <v>0</v>
      </c>
      <c r="AE296" s="561">
        <v>0</v>
      </c>
      <c r="AF296" s="561">
        <v>0</v>
      </c>
      <c r="AG296" s="561">
        <v>1800</v>
      </c>
      <c r="AH296" s="561">
        <v>659</v>
      </c>
      <c r="AI296" s="561">
        <v>9855</v>
      </c>
      <c r="AJ296" s="561">
        <v>2406</v>
      </c>
      <c r="AK296" s="561">
        <v>7391</v>
      </c>
      <c r="AL296" s="561">
        <v>0</v>
      </c>
      <c r="AM296" s="561">
        <v>1</v>
      </c>
      <c r="AN296" s="561">
        <v>25</v>
      </c>
      <c r="AO296" s="561">
        <v>0</v>
      </c>
      <c r="AP296" s="561">
        <v>0</v>
      </c>
      <c r="AQ296" s="561">
        <v>33</v>
      </c>
      <c r="AR296" s="561">
        <v>0</v>
      </c>
    </row>
    <row r="297" spans="1:44" x14ac:dyDescent="0.3">
      <c r="A297" s="1129" t="s">
        <v>3331</v>
      </c>
      <c r="B297" s="1129" t="s">
        <v>3332</v>
      </c>
      <c r="C297" s="1129" t="s">
        <v>3333</v>
      </c>
      <c r="D297" s="1129" t="s">
        <v>379</v>
      </c>
      <c r="E297" s="561">
        <v>-47556</v>
      </c>
      <c r="F297" s="561">
        <v>0</v>
      </c>
      <c r="G297" s="561">
        <v>287504</v>
      </c>
      <c r="H297" s="561">
        <v>39657</v>
      </c>
      <c r="I297" s="561">
        <v>1722</v>
      </c>
      <c r="J297" s="561">
        <v>73903</v>
      </c>
      <c r="K297" s="561">
        <v>36134</v>
      </c>
      <c r="L297" s="561">
        <v>3606</v>
      </c>
      <c r="M297" s="561">
        <v>11836</v>
      </c>
      <c r="N297" s="561">
        <v>4227</v>
      </c>
      <c r="O297" s="561">
        <v>16453</v>
      </c>
      <c r="P297" s="561">
        <v>2273</v>
      </c>
      <c r="Q297" s="561">
        <v>695</v>
      </c>
      <c r="R297" s="561">
        <v>301951</v>
      </c>
      <c r="S297" s="1217">
        <v>18562</v>
      </c>
      <c r="T297" s="1217">
        <v>0</v>
      </c>
      <c r="U297" s="1217">
        <v>0</v>
      </c>
      <c r="V297" s="561">
        <v>0</v>
      </c>
      <c r="W297" s="561">
        <v>1768</v>
      </c>
      <c r="X297" s="561">
        <v>5529</v>
      </c>
      <c r="Y297" s="561">
        <v>0</v>
      </c>
      <c r="Z297" s="561">
        <v>2945</v>
      </c>
      <c r="AA297" s="561">
        <v>0</v>
      </c>
      <c r="AB297" s="561">
        <v>0</v>
      </c>
      <c r="AC297" s="561">
        <v>0</v>
      </c>
      <c r="AD297" s="561">
        <v>8954</v>
      </c>
      <c r="AE297" s="561">
        <v>12514</v>
      </c>
      <c r="AF297" s="561">
        <v>7867</v>
      </c>
      <c r="AG297" s="561">
        <v>15051</v>
      </c>
      <c r="AH297" s="561">
        <v>23261</v>
      </c>
      <c r="AI297" s="561">
        <v>59693</v>
      </c>
      <c r="AJ297" s="561">
        <v>172149</v>
      </c>
      <c r="AK297" s="561">
        <v>19610</v>
      </c>
      <c r="AL297" s="561">
        <v>0</v>
      </c>
      <c r="AM297" s="561">
        <v>167</v>
      </c>
      <c r="AN297" s="561">
        <v>30</v>
      </c>
      <c r="AO297" s="561">
        <v>0</v>
      </c>
      <c r="AP297" s="561">
        <v>1</v>
      </c>
      <c r="AQ297" s="561">
        <v>442</v>
      </c>
      <c r="AR297" s="561">
        <v>2</v>
      </c>
    </row>
    <row r="298" spans="1:44" x14ac:dyDescent="0.3">
      <c r="A298" s="1129" t="s">
        <v>3334</v>
      </c>
      <c r="B298" s="1129" t="s">
        <v>3335</v>
      </c>
      <c r="C298" s="1129" t="s">
        <v>3336</v>
      </c>
      <c r="D298" s="1129" t="s">
        <v>385</v>
      </c>
      <c r="E298" s="561">
        <v>-8668</v>
      </c>
      <c r="F298" s="561">
        <v>0</v>
      </c>
      <c r="G298" s="561">
        <v>132879</v>
      </c>
      <c r="H298" s="561">
        <v>14384</v>
      </c>
      <c r="I298" s="561">
        <v>751</v>
      </c>
      <c r="J298" s="561">
        <v>32675</v>
      </c>
      <c r="K298" s="561">
        <v>14635</v>
      </c>
      <c r="L298" s="561">
        <v>1552</v>
      </c>
      <c r="M298" s="561">
        <v>6098</v>
      </c>
      <c r="N298" s="561">
        <v>666</v>
      </c>
      <c r="O298" s="561">
        <v>0</v>
      </c>
      <c r="P298" s="561">
        <v>2034</v>
      </c>
      <c r="Q298" s="561">
        <v>12281</v>
      </c>
      <c r="R298" s="561">
        <v>231564</v>
      </c>
      <c r="S298" s="1217">
        <v>14860</v>
      </c>
      <c r="T298" s="1217">
        <v>0</v>
      </c>
      <c r="U298" s="1217">
        <v>0</v>
      </c>
      <c r="V298" s="561">
        <v>16701</v>
      </c>
      <c r="W298" s="561">
        <v>656</v>
      </c>
      <c r="X298" s="561">
        <v>2504</v>
      </c>
      <c r="Y298" s="561">
        <v>0</v>
      </c>
      <c r="Z298" s="561">
        <v>399</v>
      </c>
      <c r="AA298" s="561">
        <v>0</v>
      </c>
      <c r="AB298" s="561">
        <v>0</v>
      </c>
      <c r="AC298" s="561">
        <v>0</v>
      </c>
      <c r="AD298" s="561">
        <v>7340</v>
      </c>
      <c r="AE298" s="561">
        <v>0</v>
      </c>
      <c r="AF298" s="561">
        <v>3220</v>
      </c>
      <c r="AG298" s="561">
        <v>8237</v>
      </c>
      <c r="AH298" s="561">
        <v>0</v>
      </c>
      <c r="AI298" s="561">
        <v>24847</v>
      </c>
      <c r="AJ298" s="561">
        <v>0</v>
      </c>
      <c r="AK298" s="561">
        <v>0</v>
      </c>
      <c r="AL298" s="561">
        <v>0</v>
      </c>
      <c r="AM298" s="561">
        <v>69</v>
      </c>
      <c r="AN298" s="561">
        <v>16</v>
      </c>
      <c r="AO298" s="561">
        <v>0</v>
      </c>
      <c r="AP298" s="561">
        <v>0</v>
      </c>
      <c r="AQ298" s="561">
        <v>184</v>
      </c>
      <c r="AR298" s="561">
        <v>0</v>
      </c>
    </row>
    <row r="299" spans="1:44" x14ac:dyDescent="0.3">
      <c r="A299" s="1129" t="s">
        <v>3337</v>
      </c>
      <c r="B299" s="1129" t="s">
        <v>3338</v>
      </c>
      <c r="C299" s="1129" t="s">
        <v>3339</v>
      </c>
      <c r="D299" s="1129" t="s">
        <v>2466</v>
      </c>
      <c r="E299" s="561">
        <v>-2754</v>
      </c>
      <c r="F299" s="561">
        <v>0</v>
      </c>
      <c r="G299" s="561">
        <v>0</v>
      </c>
      <c r="H299" s="561">
        <v>0</v>
      </c>
      <c r="I299" s="561">
        <v>0</v>
      </c>
      <c r="J299" s="561">
        <v>0</v>
      </c>
      <c r="K299" s="561">
        <v>0</v>
      </c>
      <c r="L299" s="561">
        <v>0</v>
      </c>
      <c r="M299" s="561">
        <v>0</v>
      </c>
      <c r="N299" s="561">
        <v>0</v>
      </c>
      <c r="O299" s="561">
        <v>0</v>
      </c>
      <c r="P299" s="561">
        <v>0</v>
      </c>
      <c r="Q299" s="561">
        <v>0</v>
      </c>
      <c r="R299" s="561">
        <v>21446</v>
      </c>
      <c r="S299" s="1217">
        <v>0</v>
      </c>
      <c r="T299" s="1217">
        <v>5652</v>
      </c>
      <c r="U299" s="1217">
        <v>0</v>
      </c>
      <c r="V299" s="561">
        <v>225</v>
      </c>
      <c r="W299" s="561">
        <v>0</v>
      </c>
      <c r="X299" s="561">
        <v>189</v>
      </c>
      <c r="Y299" s="561">
        <v>0</v>
      </c>
      <c r="Z299" s="561">
        <v>0</v>
      </c>
      <c r="AA299" s="561">
        <v>0</v>
      </c>
      <c r="AB299" s="561">
        <v>0</v>
      </c>
      <c r="AC299" s="561">
        <v>0</v>
      </c>
      <c r="AD299" s="561">
        <v>0</v>
      </c>
      <c r="AE299" s="561">
        <v>0</v>
      </c>
      <c r="AF299" s="561">
        <v>0</v>
      </c>
      <c r="AG299" s="561">
        <v>3016</v>
      </c>
      <c r="AH299" s="561">
        <v>6871</v>
      </c>
      <c r="AI299" s="561">
        <v>547</v>
      </c>
      <c r="AJ299" s="561">
        <v>0</v>
      </c>
      <c r="AK299" s="561">
        <v>3253</v>
      </c>
      <c r="AL299" s="561">
        <v>0</v>
      </c>
      <c r="AM299" s="561">
        <v>0</v>
      </c>
      <c r="AN299" s="561">
        <v>0</v>
      </c>
      <c r="AO299" s="561">
        <v>0</v>
      </c>
      <c r="AP299" s="561">
        <v>0</v>
      </c>
      <c r="AQ299" s="561">
        <v>0</v>
      </c>
      <c r="AR299" s="561">
        <v>0</v>
      </c>
    </row>
    <row r="300" spans="1:44" x14ac:dyDescent="0.3">
      <c r="A300" s="1129" t="s">
        <v>3340</v>
      </c>
      <c r="B300" s="1129" t="s">
        <v>3341</v>
      </c>
      <c r="C300" s="1129" t="s">
        <v>3342</v>
      </c>
      <c r="D300" s="1129" t="s">
        <v>385</v>
      </c>
      <c r="E300" s="561">
        <v>-8024</v>
      </c>
      <c r="F300" s="561">
        <v>0</v>
      </c>
      <c r="G300" s="561">
        <v>100295</v>
      </c>
      <c r="H300" s="561">
        <v>8715</v>
      </c>
      <c r="I300" s="561">
        <v>443</v>
      </c>
      <c r="J300" s="561">
        <v>11772</v>
      </c>
      <c r="K300" s="561">
        <v>4922</v>
      </c>
      <c r="L300" s="561">
        <v>2538</v>
      </c>
      <c r="M300" s="561">
        <v>2255</v>
      </c>
      <c r="N300" s="561">
        <v>650</v>
      </c>
      <c r="O300" s="561">
        <v>2570</v>
      </c>
      <c r="P300" s="561">
        <v>1373</v>
      </c>
      <c r="Q300" s="561">
        <v>264</v>
      </c>
      <c r="R300" s="561">
        <v>86755</v>
      </c>
      <c r="S300" s="1217" t="s">
        <v>2453</v>
      </c>
      <c r="T300" s="1217" t="s">
        <v>2453</v>
      </c>
      <c r="U300" s="1217" t="s">
        <v>2453</v>
      </c>
      <c r="V300" s="561">
        <v>15876</v>
      </c>
      <c r="W300" s="561">
        <v>407</v>
      </c>
      <c r="X300" s="561">
        <v>1255</v>
      </c>
      <c r="Y300" s="561">
        <v>0</v>
      </c>
      <c r="Z300" s="561">
        <v>908</v>
      </c>
      <c r="AA300" s="561">
        <v>0</v>
      </c>
      <c r="AB300" s="561">
        <v>0</v>
      </c>
      <c r="AC300" s="561">
        <v>0</v>
      </c>
      <c r="AD300" s="561">
        <v>8643</v>
      </c>
      <c r="AE300" s="561">
        <v>0</v>
      </c>
      <c r="AF300" s="561">
        <v>2551</v>
      </c>
      <c r="AG300" s="561">
        <v>21000</v>
      </c>
      <c r="AH300" s="561">
        <v>0</v>
      </c>
      <c r="AI300" s="561">
        <v>2249</v>
      </c>
      <c r="AJ300" s="561">
        <v>6116</v>
      </c>
      <c r="AK300" s="561">
        <v>6852</v>
      </c>
      <c r="AL300" s="561">
        <v>0</v>
      </c>
      <c r="AM300" s="561">
        <v>146</v>
      </c>
      <c r="AN300" s="561">
        <v>1006</v>
      </c>
      <c r="AO300" s="561">
        <v>2</v>
      </c>
      <c r="AP300" s="561">
        <v>102</v>
      </c>
      <c r="AQ300" s="561">
        <v>38</v>
      </c>
      <c r="AR300" s="561">
        <v>114</v>
      </c>
    </row>
    <row r="301" spans="1:44" x14ac:dyDescent="0.3">
      <c r="A301" s="1129" t="s">
        <v>3343</v>
      </c>
      <c r="B301" s="1129" t="s">
        <v>3344</v>
      </c>
      <c r="C301" s="1129" t="s">
        <v>3345</v>
      </c>
      <c r="D301" s="1129" t="s">
        <v>379</v>
      </c>
      <c r="E301" s="561">
        <v>0</v>
      </c>
      <c r="F301" s="561">
        <v>0</v>
      </c>
      <c r="G301" s="561">
        <v>120140</v>
      </c>
      <c r="H301" s="561">
        <v>13519</v>
      </c>
      <c r="I301" s="561">
        <v>549</v>
      </c>
      <c r="J301" s="561">
        <v>19611</v>
      </c>
      <c r="K301" s="561">
        <v>7953</v>
      </c>
      <c r="L301" s="561">
        <v>1689</v>
      </c>
      <c r="M301" s="561">
        <v>3808</v>
      </c>
      <c r="N301" s="561">
        <v>1120</v>
      </c>
      <c r="O301" s="561">
        <v>0</v>
      </c>
      <c r="P301" s="561">
        <v>403</v>
      </c>
      <c r="Q301" s="561">
        <v>1811</v>
      </c>
      <c r="R301" s="561">
        <v>143372</v>
      </c>
      <c r="S301" s="1217">
        <v>10410.26</v>
      </c>
      <c r="T301" s="1217">
        <v>605</v>
      </c>
      <c r="U301" s="1217">
        <v>-4972</v>
      </c>
      <c r="V301" s="561">
        <v>10672</v>
      </c>
      <c r="W301" s="561">
        <v>448</v>
      </c>
      <c r="X301" s="561">
        <v>1827</v>
      </c>
      <c r="Y301" s="561">
        <v>0</v>
      </c>
      <c r="Z301" s="561">
        <v>313</v>
      </c>
      <c r="AA301" s="561">
        <v>0</v>
      </c>
      <c r="AB301" s="561">
        <v>0</v>
      </c>
      <c r="AC301" s="561">
        <v>0</v>
      </c>
      <c r="AD301" s="561">
        <v>11002</v>
      </c>
      <c r="AE301" s="561">
        <v>0</v>
      </c>
      <c r="AF301" s="561">
        <v>927</v>
      </c>
      <c r="AG301" s="561">
        <v>13498</v>
      </c>
      <c r="AH301" s="561">
        <v>54</v>
      </c>
      <c r="AI301" s="561">
        <v>43099</v>
      </c>
      <c r="AJ301" s="561">
        <v>17902</v>
      </c>
      <c r="AK301" s="561">
        <v>2084</v>
      </c>
      <c r="AL301" s="561">
        <v>0</v>
      </c>
      <c r="AM301" s="561">
        <v>1</v>
      </c>
      <c r="AN301" s="561">
        <v>58</v>
      </c>
      <c r="AO301" s="561">
        <v>0</v>
      </c>
      <c r="AP301" s="561">
        <v>37</v>
      </c>
      <c r="AQ301" s="561">
        <v>121</v>
      </c>
      <c r="AR301" s="561">
        <v>5</v>
      </c>
    </row>
    <row r="302" spans="1:44" x14ac:dyDescent="0.3">
      <c r="A302" s="1129" t="s">
        <v>3346</v>
      </c>
      <c r="B302" s="1129" t="s">
        <v>3347</v>
      </c>
      <c r="C302" s="1129" t="s">
        <v>3348</v>
      </c>
      <c r="D302" s="1129" t="s">
        <v>385</v>
      </c>
      <c r="E302" s="561">
        <v>-9816</v>
      </c>
      <c r="F302" s="561">
        <v>0</v>
      </c>
      <c r="G302" s="561">
        <v>260938</v>
      </c>
      <c r="H302" s="561">
        <v>24386</v>
      </c>
      <c r="I302" s="561">
        <v>1526</v>
      </c>
      <c r="J302" s="561">
        <v>59493</v>
      </c>
      <c r="K302" s="561">
        <v>28834</v>
      </c>
      <c r="L302" s="561">
        <v>3609</v>
      </c>
      <c r="M302" s="561">
        <v>10927</v>
      </c>
      <c r="N302" s="561">
        <v>1376</v>
      </c>
      <c r="O302" s="561">
        <v>0</v>
      </c>
      <c r="P302" s="561">
        <v>4356</v>
      </c>
      <c r="Q302" s="561">
        <v>38762</v>
      </c>
      <c r="R302" s="561">
        <v>433625</v>
      </c>
      <c r="S302" s="1217">
        <v>18019</v>
      </c>
      <c r="T302" s="1217">
        <v>0</v>
      </c>
      <c r="U302" s="1217">
        <v>-45000</v>
      </c>
      <c r="V302" s="561">
        <v>19595</v>
      </c>
      <c r="W302" s="561">
        <v>1252</v>
      </c>
      <c r="X302" s="561">
        <v>5297</v>
      </c>
      <c r="Y302" s="561">
        <v>0</v>
      </c>
      <c r="Z302" s="561">
        <v>2568</v>
      </c>
      <c r="AA302" s="561">
        <v>0</v>
      </c>
      <c r="AB302" s="561">
        <v>0</v>
      </c>
      <c r="AC302" s="561">
        <v>0</v>
      </c>
      <c r="AD302" s="561">
        <v>20424</v>
      </c>
      <c r="AE302" s="561">
        <v>0</v>
      </c>
      <c r="AF302" s="561">
        <v>2370</v>
      </c>
      <c r="AG302" s="561">
        <v>52335</v>
      </c>
      <c r="AH302" s="561">
        <v>15689</v>
      </c>
      <c r="AI302" s="561">
        <v>23704</v>
      </c>
      <c r="AJ302" s="561">
        <v>13224</v>
      </c>
      <c r="AK302" s="561">
        <v>44703</v>
      </c>
      <c r="AL302" s="561">
        <v>16796</v>
      </c>
      <c r="AM302" s="561">
        <v>164</v>
      </c>
      <c r="AN302" s="561">
        <v>45</v>
      </c>
      <c r="AO302" s="561">
        <v>39</v>
      </c>
      <c r="AP302" s="561">
        <v>0</v>
      </c>
      <c r="AQ302" s="561">
        <v>83</v>
      </c>
      <c r="AR302" s="561">
        <v>1</v>
      </c>
    </row>
    <row r="303" spans="1:44" x14ac:dyDescent="0.3">
      <c r="A303" s="1129" t="s">
        <v>3349</v>
      </c>
      <c r="B303" s="1129" t="s">
        <v>3350</v>
      </c>
      <c r="C303" s="1129" t="s">
        <v>3351</v>
      </c>
      <c r="D303" s="1129" t="s">
        <v>384</v>
      </c>
      <c r="E303" s="561">
        <v>-288</v>
      </c>
      <c r="F303" s="561">
        <v>0</v>
      </c>
      <c r="G303" s="561">
        <v>0</v>
      </c>
      <c r="H303" s="561">
        <v>0</v>
      </c>
      <c r="I303" s="561">
        <v>40</v>
      </c>
      <c r="J303" s="561">
        <v>0</v>
      </c>
      <c r="K303" s="561">
        <v>0</v>
      </c>
      <c r="L303" s="561">
        <v>1240</v>
      </c>
      <c r="M303" s="561">
        <v>0</v>
      </c>
      <c r="N303" s="561">
        <v>0</v>
      </c>
      <c r="O303" s="561">
        <v>0</v>
      </c>
      <c r="P303" s="561">
        <v>1879</v>
      </c>
      <c r="Q303" s="561">
        <v>8094</v>
      </c>
      <c r="R303" s="561">
        <v>20349</v>
      </c>
      <c r="S303" s="1217">
        <v>13629</v>
      </c>
      <c r="T303" s="1217">
        <v>4288</v>
      </c>
      <c r="U303" s="1217">
        <v>0</v>
      </c>
      <c r="V303" s="561">
        <v>8838</v>
      </c>
      <c r="W303" s="561">
        <v>229</v>
      </c>
      <c r="X303" s="561">
        <v>220</v>
      </c>
      <c r="Y303" s="561">
        <v>588</v>
      </c>
      <c r="Z303" s="561">
        <v>0</v>
      </c>
      <c r="AA303" s="561">
        <v>0</v>
      </c>
      <c r="AB303" s="561">
        <v>0</v>
      </c>
      <c r="AC303" s="561">
        <v>0</v>
      </c>
      <c r="AD303" s="561">
        <v>0</v>
      </c>
      <c r="AE303" s="561">
        <v>0</v>
      </c>
      <c r="AF303" s="561">
        <v>0</v>
      </c>
      <c r="AG303" s="561">
        <v>19951</v>
      </c>
      <c r="AH303" s="561">
        <v>160</v>
      </c>
      <c r="AI303" s="561">
        <v>28150</v>
      </c>
      <c r="AJ303" s="561">
        <v>1183</v>
      </c>
      <c r="AK303" s="561">
        <v>2481</v>
      </c>
      <c r="AL303" s="561">
        <v>0</v>
      </c>
      <c r="AM303" s="561">
        <v>13</v>
      </c>
      <c r="AN303" s="561">
        <v>3</v>
      </c>
      <c r="AO303" s="561">
        <v>0</v>
      </c>
      <c r="AP303" s="561">
        <v>0</v>
      </c>
      <c r="AQ303" s="561">
        <v>55</v>
      </c>
      <c r="AR303" s="561">
        <v>0</v>
      </c>
    </row>
    <row r="304" spans="1:44" x14ac:dyDescent="0.3">
      <c r="A304" s="1129" t="s">
        <v>3352</v>
      </c>
      <c r="B304" s="1129" t="s">
        <v>3353</v>
      </c>
      <c r="C304" s="1129" t="s">
        <v>3354</v>
      </c>
      <c r="D304" s="1129" t="s">
        <v>384</v>
      </c>
      <c r="E304" s="561">
        <v>-142</v>
      </c>
      <c r="F304" s="561">
        <v>0</v>
      </c>
      <c r="G304" s="561">
        <v>0</v>
      </c>
      <c r="H304" s="561">
        <v>0</v>
      </c>
      <c r="I304" s="561">
        <v>36</v>
      </c>
      <c r="J304" s="561">
        <v>0</v>
      </c>
      <c r="K304" s="561">
        <v>0</v>
      </c>
      <c r="L304" s="561">
        <v>390</v>
      </c>
      <c r="M304" s="561">
        <v>0</v>
      </c>
      <c r="N304" s="561">
        <v>0</v>
      </c>
      <c r="O304" s="561">
        <v>0</v>
      </c>
      <c r="P304" s="561">
        <v>1128</v>
      </c>
      <c r="Q304" s="561">
        <v>1211</v>
      </c>
      <c r="R304" s="561">
        <v>8581</v>
      </c>
      <c r="S304" s="1217">
        <v>3819</v>
      </c>
      <c r="T304" s="1217">
        <v>0</v>
      </c>
      <c r="U304" s="1217">
        <v>0</v>
      </c>
      <c r="V304" s="561">
        <v>1235</v>
      </c>
      <c r="W304" s="561">
        <v>156</v>
      </c>
      <c r="X304" s="561">
        <v>146</v>
      </c>
      <c r="Y304" s="561">
        <v>1834</v>
      </c>
      <c r="Z304" s="561">
        <v>0</v>
      </c>
      <c r="AA304" s="561">
        <v>0</v>
      </c>
      <c r="AB304" s="561">
        <v>0</v>
      </c>
      <c r="AC304" s="561">
        <v>0</v>
      </c>
      <c r="AD304" s="561">
        <v>0</v>
      </c>
      <c r="AE304" s="561">
        <v>0</v>
      </c>
      <c r="AF304" s="561">
        <v>0</v>
      </c>
      <c r="AG304" s="561">
        <v>18336</v>
      </c>
      <c r="AH304" s="561">
        <v>0</v>
      </c>
      <c r="AI304" s="561">
        <v>10935</v>
      </c>
      <c r="AJ304" s="561">
        <v>0</v>
      </c>
      <c r="AK304" s="561">
        <v>0</v>
      </c>
      <c r="AL304" s="561">
        <v>0</v>
      </c>
      <c r="AM304" s="561">
        <v>3</v>
      </c>
      <c r="AN304" s="561">
        <v>0</v>
      </c>
      <c r="AO304" s="561">
        <v>0</v>
      </c>
      <c r="AP304" s="561">
        <v>0</v>
      </c>
      <c r="AQ304" s="561">
        <v>15</v>
      </c>
      <c r="AR304" s="561">
        <v>0</v>
      </c>
    </row>
    <row r="305" spans="1:44" x14ac:dyDescent="0.3">
      <c r="A305" s="1129" t="s">
        <v>3355</v>
      </c>
      <c r="B305" s="1129" t="s">
        <v>3356</v>
      </c>
      <c r="C305" s="1129" t="s">
        <v>3357</v>
      </c>
      <c r="D305" s="1129" t="s">
        <v>2466</v>
      </c>
      <c r="E305" s="561">
        <v>0</v>
      </c>
      <c r="F305" s="561">
        <v>0</v>
      </c>
      <c r="G305" s="561">
        <v>0</v>
      </c>
      <c r="H305" s="561">
        <v>0</v>
      </c>
      <c r="I305" s="561">
        <v>0</v>
      </c>
      <c r="J305" s="561">
        <v>0</v>
      </c>
      <c r="K305" s="561">
        <v>0</v>
      </c>
      <c r="L305" s="561">
        <v>0</v>
      </c>
      <c r="M305" s="561">
        <v>0</v>
      </c>
      <c r="N305" s="561">
        <v>0</v>
      </c>
      <c r="O305" s="561">
        <v>0</v>
      </c>
      <c r="P305" s="561">
        <v>0</v>
      </c>
      <c r="Q305" s="561">
        <v>0</v>
      </c>
      <c r="R305" s="561">
        <v>0</v>
      </c>
      <c r="S305" s="1217">
        <v>0</v>
      </c>
      <c r="T305" s="1217">
        <v>0</v>
      </c>
      <c r="U305" s="1217">
        <v>0</v>
      </c>
      <c r="V305" s="561">
        <v>0</v>
      </c>
      <c r="W305" s="561">
        <v>0</v>
      </c>
      <c r="X305" s="561">
        <v>0</v>
      </c>
      <c r="Y305" s="561">
        <v>0</v>
      </c>
      <c r="Z305" s="561">
        <v>0</v>
      </c>
      <c r="AA305" s="561">
        <v>0</v>
      </c>
      <c r="AB305" s="561">
        <v>0</v>
      </c>
      <c r="AC305" s="561">
        <v>0</v>
      </c>
      <c r="AD305" s="561">
        <v>0</v>
      </c>
      <c r="AE305" s="561">
        <v>0</v>
      </c>
      <c r="AF305" s="561">
        <v>0</v>
      </c>
      <c r="AG305" s="561">
        <v>989</v>
      </c>
      <c r="AH305" s="561">
        <v>0</v>
      </c>
      <c r="AI305" s="561">
        <v>12516</v>
      </c>
      <c r="AJ305" s="561">
        <v>0</v>
      </c>
      <c r="AK305" s="561">
        <v>0</v>
      </c>
      <c r="AL305" s="561">
        <v>0</v>
      </c>
      <c r="AM305" s="561">
        <v>0</v>
      </c>
      <c r="AN305" s="561">
        <v>0</v>
      </c>
      <c r="AO305" s="561">
        <v>0</v>
      </c>
      <c r="AP305" s="561">
        <v>0</v>
      </c>
      <c r="AQ305" s="561">
        <v>0</v>
      </c>
      <c r="AR305" s="561">
        <v>0</v>
      </c>
    </row>
    <row r="306" spans="1:44" x14ac:dyDescent="0.3">
      <c r="A306" s="1129" t="s">
        <v>3358</v>
      </c>
      <c r="B306" s="1129" t="s">
        <v>3359</v>
      </c>
      <c r="C306" s="1129" t="s">
        <v>3360</v>
      </c>
      <c r="D306" s="1129" t="s">
        <v>385</v>
      </c>
      <c r="E306" s="561">
        <v>0</v>
      </c>
      <c r="F306" s="561">
        <v>0</v>
      </c>
      <c r="G306" s="561">
        <v>180780</v>
      </c>
      <c r="H306" s="561">
        <v>11114</v>
      </c>
      <c r="I306" s="561">
        <v>608</v>
      </c>
      <c r="J306" s="561">
        <v>19272</v>
      </c>
      <c r="K306" s="561">
        <v>5715</v>
      </c>
      <c r="L306" s="561">
        <v>1529</v>
      </c>
      <c r="M306" s="561">
        <v>4091</v>
      </c>
      <c r="N306" s="561">
        <v>606</v>
      </c>
      <c r="O306" s="561">
        <v>0</v>
      </c>
      <c r="P306" s="561">
        <v>2671</v>
      </c>
      <c r="Q306" s="561">
        <v>11704</v>
      </c>
      <c r="R306" s="561">
        <v>211850</v>
      </c>
      <c r="S306" s="1217">
        <v>0</v>
      </c>
      <c r="T306" s="1217">
        <v>0</v>
      </c>
      <c r="U306" s="1217">
        <v>0</v>
      </c>
      <c r="V306" s="561">
        <v>4241</v>
      </c>
      <c r="W306" s="561">
        <v>441</v>
      </c>
      <c r="X306" s="561">
        <v>2144</v>
      </c>
      <c r="Y306" s="561">
        <v>0</v>
      </c>
      <c r="Z306" s="561">
        <v>75</v>
      </c>
      <c r="AA306" s="561">
        <v>0</v>
      </c>
      <c r="AB306" s="561">
        <v>0</v>
      </c>
      <c r="AC306" s="561">
        <v>0</v>
      </c>
      <c r="AD306" s="561">
        <v>6313</v>
      </c>
      <c r="AE306" s="561">
        <v>0</v>
      </c>
      <c r="AF306" s="561">
        <v>2131</v>
      </c>
      <c r="AG306" s="561">
        <v>19010</v>
      </c>
      <c r="AH306" s="561">
        <v>8226</v>
      </c>
      <c r="AI306" s="561">
        <v>78952</v>
      </c>
      <c r="AJ306" s="561">
        <v>447</v>
      </c>
      <c r="AK306" s="561">
        <v>42355</v>
      </c>
      <c r="AL306" s="561">
        <v>0</v>
      </c>
      <c r="AM306" s="561">
        <v>82</v>
      </c>
      <c r="AN306" s="561">
        <v>156</v>
      </c>
      <c r="AO306" s="561">
        <v>0</v>
      </c>
      <c r="AP306" s="561">
        <v>5</v>
      </c>
      <c r="AQ306" s="561">
        <v>0</v>
      </c>
      <c r="AR306" s="561">
        <v>0</v>
      </c>
    </row>
    <row r="307" spans="1:44" x14ac:dyDescent="0.3">
      <c r="A307" s="1129" t="s">
        <v>3361</v>
      </c>
      <c r="B307" s="1129" t="s">
        <v>3362</v>
      </c>
      <c r="C307" s="1129" t="s">
        <v>3363</v>
      </c>
      <c r="D307" s="1129" t="s">
        <v>384</v>
      </c>
      <c r="E307" s="561">
        <v>-169</v>
      </c>
      <c r="F307" s="561">
        <v>0</v>
      </c>
      <c r="G307" s="561">
        <v>0</v>
      </c>
      <c r="H307" s="561">
        <v>0</v>
      </c>
      <c r="I307" s="561">
        <v>35</v>
      </c>
      <c r="J307" s="561">
        <v>0</v>
      </c>
      <c r="K307" s="561">
        <v>0</v>
      </c>
      <c r="L307" s="561">
        <v>394</v>
      </c>
      <c r="M307" s="561">
        <v>0</v>
      </c>
      <c r="N307" s="561">
        <v>0</v>
      </c>
      <c r="O307" s="561">
        <v>0</v>
      </c>
      <c r="P307" s="561">
        <v>962</v>
      </c>
      <c r="Q307" s="561">
        <v>4475</v>
      </c>
      <c r="R307" s="561">
        <v>13192</v>
      </c>
      <c r="S307" s="1217">
        <v>0</v>
      </c>
      <c r="T307" s="1217">
        <v>0</v>
      </c>
      <c r="U307" s="1217">
        <v>0</v>
      </c>
      <c r="V307" s="561">
        <v>338</v>
      </c>
      <c r="W307" s="561">
        <v>185</v>
      </c>
      <c r="X307" s="561">
        <v>133</v>
      </c>
      <c r="Y307" s="561">
        <v>585</v>
      </c>
      <c r="Z307" s="561">
        <v>0</v>
      </c>
      <c r="AA307" s="561">
        <v>0</v>
      </c>
      <c r="AB307" s="561">
        <v>0</v>
      </c>
      <c r="AC307" s="561">
        <v>0</v>
      </c>
      <c r="AD307" s="561">
        <v>0</v>
      </c>
      <c r="AE307" s="561">
        <v>0</v>
      </c>
      <c r="AF307" s="561">
        <v>0</v>
      </c>
      <c r="AG307" s="561">
        <v>2142</v>
      </c>
      <c r="AH307" s="561">
        <v>0</v>
      </c>
      <c r="AI307" s="561">
        <v>6298</v>
      </c>
      <c r="AJ307" s="561">
        <v>9175</v>
      </c>
      <c r="AK307" s="561">
        <v>0</v>
      </c>
      <c r="AL307" s="561">
        <v>0</v>
      </c>
      <c r="AM307" s="561">
        <v>3</v>
      </c>
      <c r="AN307" s="561">
        <v>12</v>
      </c>
      <c r="AO307" s="561">
        <v>0</v>
      </c>
      <c r="AP307" s="561">
        <v>1</v>
      </c>
      <c r="AQ307" s="561">
        <v>9</v>
      </c>
      <c r="AR307" s="561">
        <v>0</v>
      </c>
    </row>
    <row r="308" spans="1:44" x14ac:dyDescent="0.3">
      <c r="A308" s="1129" t="s">
        <v>3364</v>
      </c>
      <c r="B308" s="1129" t="s">
        <v>3365</v>
      </c>
      <c r="C308" s="1129" t="s">
        <v>3366</v>
      </c>
      <c r="D308" s="1129" t="s">
        <v>384</v>
      </c>
      <c r="E308" s="561">
        <v>-491</v>
      </c>
      <c r="F308" s="561">
        <v>0</v>
      </c>
      <c r="G308" s="561">
        <v>0</v>
      </c>
      <c r="H308" s="561">
        <v>0</v>
      </c>
      <c r="I308" s="561">
        <v>35</v>
      </c>
      <c r="J308" s="561">
        <v>0</v>
      </c>
      <c r="K308" s="561">
        <v>0</v>
      </c>
      <c r="L308" s="561">
        <v>404</v>
      </c>
      <c r="M308" s="561">
        <v>0</v>
      </c>
      <c r="N308" s="561">
        <v>0</v>
      </c>
      <c r="O308" s="561">
        <v>231</v>
      </c>
      <c r="P308" s="561">
        <v>696</v>
      </c>
      <c r="Q308" s="561">
        <v>1407</v>
      </c>
      <c r="R308" s="561">
        <v>8072</v>
      </c>
      <c r="S308" s="1217">
        <v>16072</v>
      </c>
      <c r="T308" s="1217">
        <v>0</v>
      </c>
      <c r="U308" s="1217">
        <v>0</v>
      </c>
      <c r="V308" s="561">
        <v>1174</v>
      </c>
      <c r="W308" s="561">
        <v>161</v>
      </c>
      <c r="X308" s="561">
        <v>144</v>
      </c>
      <c r="Y308" s="561">
        <v>295</v>
      </c>
      <c r="Z308" s="561">
        <v>0</v>
      </c>
      <c r="AA308" s="561">
        <v>0</v>
      </c>
      <c r="AB308" s="561">
        <v>0</v>
      </c>
      <c r="AC308" s="561">
        <v>0</v>
      </c>
      <c r="AD308" s="561">
        <v>0</v>
      </c>
      <c r="AE308" s="561">
        <v>0</v>
      </c>
      <c r="AF308" s="561">
        <v>0</v>
      </c>
      <c r="AG308" s="561">
        <v>2078</v>
      </c>
      <c r="AH308" s="561">
        <v>0</v>
      </c>
      <c r="AI308" s="561">
        <v>1841</v>
      </c>
      <c r="AJ308" s="561">
        <v>0</v>
      </c>
      <c r="AK308" s="561">
        <v>4121</v>
      </c>
      <c r="AL308" s="561">
        <v>0</v>
      </c>
      <c r="AM308" s="561">
        <v>0</v>
      </c>
      <c r="AN308" s="561">
        <v>2</v>
      </c>
      <c r="AO308" s="561">
        <v>0</v>
      </c>
      <c r="AP308" s="561">
        <v>0</v>
      </c>
      <c r="AQ308" s="561">
        <v>15</v>
      </c>
      <c r="AR308" s="561">
        <v>0</v>
      </c>
    </row>
    <row r="309" spans="1:44" x14ac:dyDescent="0.3">
      <c r="A309" s="1129" t="s">
        <v>3367</v>
      </c>
      <c r="B309" s="1129" t="s">
        <v>3368</v>
      </c>
      <c r="C309" s="1129" t="s">
        <v>3369</v>
      </c>
      <c r="D309" s="1129" t="s">
        <v>384</v>
      </c>
      <c r="E309" s="561">
        <v>-195</v>
      </c>
      <c r="F309" s="561">
        <v>0</v>
      </c>
      <c r="G309" s="561">
        <v>0</v>
      </c>
      <c r="H309" s="561">
        <v>0</v>
      </c>
      <c r="I309" s="561">
        <v>35</v>
      </c>
      <c r="J309" s="561">
        <v>0</v>
      </c>
      <c r="K309" s="561">
        <v>0</v>
      </c>
      <c r="L309" s="561">
        <v>754</v>
      </c>
      <c r="M309" s="561">
        <v>0</v>
      </c>
      <c r="N309" s="561">
        <v>0</v>
      </c>
      <c r="O309" s="561">
        <v>0</v>
      </c>
      <c r="P309" s="561">
        <v>474</v>
      </c>
      <c r="Q309" s="561">
        <v>2686</v>
      </c>
      <c r="R309" s="561">
        <v>12182</v>
      </c>
      <c r="S309" s="1217">
        <v>8834</v>
      </c>
      <c r="T309" s="1217">
        <v>4024</v>
      </c>
      <c r="U309" s="1217">
        <v>0</v>
      </c>
      <c r="V309" s="561">
        <v>2043</v>
      </c>
      <c r="W309" s="561">
        <v>271</v>
      </c>
      <c r="X309" s="561">
        <v>152</v>
      </c>
      <c r="Y309" s="561">
        <v>1183</v>
      </c>
      <c r="Z309" s="561">
        <v>646</v>
      </c>
      <c r="AA309" s="561">
        <v>0</v>
      </c>
      <c r="AB309" s="561">
        <v>0</v>
      </c>
      <c r="AC309" s="561">
        <v>0</v>
      </c>
      <c r="AD309" s="561">
        <v>0</v>
      </c>
      <c r="AE309" s="561">
        <v>0</v>
      </c>
      <c r="AF309" s="561">
        <v>0</v>
      </c>
      <c r="AG309" s="561">
        <v>6675</v>
      </c>
      <c r="AH309" s="561">
        <v>0</v>
      </c>
      <c r="AI309" s="561">
        <v>18622</v>
      </c>
      <c r="AJ309" s="561">
        <v>0</v>
      </c>
      <c r="AK309" s="561">
        <v>0</v>
      </c>
      <c r="AL309" s="561">
        <v>0</v>
      </c>
      <c r="AM309" s="561">
        <v>3</v>
      </c>
      <c r="AN309" s="561">
        <v>1</v>
      </c>
      <c r="AO309" s="561">
        <v>0</v>
      </c>
      <c r="AP309" s="561">
        <v>2</v>
      </c>
      <c r="AQ309" s="561">
        <v>38</v>
      </c>
      <c r="AR309" s="561">
        <v>6</v>
      </c>
    </row>
    <row r="310" spans="1:44" x14ac:dyDescent="0.3">
      <c r="A310" s="1129" t="s">
        <v>3370</v>
      </c>
      <c r="B310" s="1129" t="s">
        <v>3371</v>
      </c>
      <c r="C310" s="1129" t="s">
        <v>3372</v>
      </c>
      <c r="D310" s="1129" t="s">
        <v>384</v>
      </c>
      <c r="E310" s="561">
        <v>-291</v>
      </c>
      <c r="F310" s="561">
        <v>0</v>
      </c>
      <c r="G310" s="561">
        <v>0</v>
      </c>
      <c r="H310" s="561">
        <v>0</v>
      </c>
      <c r="I310" s="561">
        <v>36</v>
      </c>
      <c r="J310" s="561">
        <v>0</v>
      </c>
      <c r="K310" s="561">
        <v>0</v>
      </c>
      <c r="L310" s="561">
        <v>513</v>
      </c>
      <c r="M310" s="561">
        <v>0</v>
      </c>
      <c r="N310" s="561">
        <v>0</v>
      </c>
      <c r="O310" s="561">
        <v>0</v>
      </c>
      <c r="P310" s="561">
        <v>1392</v>
      </c>
      <c r="Q310" s="561">
        <v>5803</v>
      </c>
      <c r="R310" s="561">
        <v>15278</v>
      </c>
      <c r="S310" s="1217">
        <v>0</v>
      </c>
      <c r="T310" s="1217">
        <v>134</v>
      </c>
      <c r="U310" s="1217">
        <v>0</v>
      </c>
      <c r="V310" s="561">
        <v>480</v>
      </c>
      <c r="W310" s="561">
        <v>225</v>
      </c>
      <c r="X310" s="561">
        <v>134</v>
      </c>
      <c r="Y310" s="561">
        <v>2144</v>
      </c>
      <c r="Z310" s="561">
        <v>220</v>
      </c>
      <c r="AA310" s="561">
        <v>0</v>
      </c>
      <c r="AB310" s="561">
        <v>0</v>
      </c>
      <c r="AC310" s="561">
        <v>0</v>
      </c>
      <c r="AD310" s="561">
        <v>0</v>
      </c>
      <c r="AE310" s="561">
        <v>0</v>
      </c>
      <c r="AF310" s="561">
        <v>0</v>
      </c>
      <c r="AG310" s="561">
        <v>6419</v>
      </c>
      <c r="AH310" s="561">
        <v>0</v>
      </c>
      <c r="AI310" s="561">
        <v>39498</v>
      </c>
      <c r="AJ310" s="561">
        <v>2100</v>
      </c>
      <c r="AK310" s="561">
        <v>201</v>
      </c>
      <c r="AL310" s="561">
        <v>0</v>
      </c>
      <c r="AM310" s="561">
        <v>3</v>
      </c>
      <c r="AN310" s="561">
        <v>14</v>
      </c>
      <c r="AO310" s="561">
        <v>2</v>
      </c>
      <c r="AP310" s="561">
        <v>0</v>
      </c>
      <c r="AQ310" s="561">
        <v>45</v>
      </c>
      <c r="AR310" s="561">
        <v>0</v>
      </c>
    </row>
    <row r="311" spans="1:44" x14ac:dyDescent="0.3">
      <c r="A311" s="1129" t="s">
        <v>3373</v>
      </c>
      <c r="B311" s="1129" t="s">
        <v>3374</v>
      </c>
      <c r="C311" s="1129" t="s">
        <v>3375</v>
      </c>
      <c r="D311" s="1129" t="s">
        <v>384</v>
      </c>
      <c r="E311" s="561">
        <v>-149</v>
      </c>
      <c r="F311" s="561">
        <v>0</v>
      </c>
      <c r="G311" s="561">
        <v>0</v>
      </c>
      <c r="H311" s="561">
        <v>0</v>
      </c>
      <c r="I311" s="561">
        <v>37</v>
      </c>
      <c r="J311" s="561">
        <v>0</v>
      </c>
      <c r="K311" s="561">
        <v>0</v>
      </c>
      <c r="L311" s="561">
        <v>995</v>
      </c>
      <c r="M311" s="561">
        <v>0</v>
      </c>
      <c r="N311" s="561">
        <v>0</v>
      </c>
      <c r="O311" s="561">
        <v>0</v>
      </c>
      <c r="P311" s="561">
        <v>1438</v>
      </c>
      <c r="Q311" s="561">
        <v>8179</v>
      </c>
      <c r="R311" s="561">
        <v>17804</v>
      </c>
      <c r="S311" s="1217">
        <v>0</v>
      </c>
      <c r="T311" s="1217">
        <v>0</v>
      </c>
      <c r="U311" s="1217">
        <v>0</v>
      </c>
      <c r="V311" s="561">
        <v>0</v>
      </c>
      <c r="W311" s="561">
        <v>207</v>
      </c>
      <c r="X311" s="561">
        <v>168</v>
      </c>
      <c r="Y311" s="561">
        <v>497</v>
      </c>
      <c r="Z311" s="561">
        <v>0</v>
      </c>
      <c r="AA311" s="561">
        <v>0</v>
      </c>
      <c r="AB311" s="561">
        <v>0</v>
      </c>
      <c r="AC311" s="561">
        <v>0</v>
      </c>
      <c r="AD311" s="561">
        <v>0</v>
      </c>
      <c r="AE311" s="561">
        <v>0</v>
      </c>
      <c r="AF311" s="561">
        <v>0</v>
      </c>
      <c r="AG311" s="561">
        <v>51169</v>
      </c>
      <c r="AH311" s="561">
        <v>0</v>
      </c>
      <c r="AI311" s="561">
        <v>11563</v>
      </c>
      <c r="AJ311" s="561">
        <v>0</v>
      </c>
      <c r="AK311" s="561">
        <v>0</v>
      </c>
      <c r="AL311" s="561">
        <v>0</v>
      </c>
      <c r="AM311" s="561">
        <v>7</v>
      </c>
      <c r="AN311" s="561">
        <v>0</v>
      </c>
      <c r="AO311" s="561">
        <v>0</v>
      </c>
      <c r="AP311" s="561">
        <v>1</v>
      </c>
      <c r="AQ311" s="561">
        <v>40</v>
      </c>
      <c r="AR311" s="561">
        <v>1</v>
      </c>
    </row>
    <row r="312" spans="1:44" x14ac:dyDescent="0.3">
      <c r="A312" s="1129" t="s">
        <v>3376</v>
      </c>
      <c r="B312" s="1129" t="s">
        <v>3377</v>
      </c>
      <c r="C312" s="1129" t="s">
        <v>3378</v>
      </c>
      <c r="D312" s="1129" t="s">
        <v>384</v>
      </c>
      <c r="E312" s="561">
        <v>-131</v>
      </c>
      <c r="F312" s="561">
        <v>0</v>
      </c>
      <c r="G312" s="561">
        <v>0</v>
      </c>
      <c r="H312" s="561">
        <v>0</v>
      </c>
      <c r="I312" s="561">
        <v>35</v>
      </c>
      <c r="J312" s="561">
        <v>0</v>
      </c>
      <c r="K312" s="561">
        <v>0</v>
      </c>
      <c r="L312" s="561">
        <v>363</v>
      </c>
      <c r="M312" s="561">
        <v>0</v>
      </c>
      <c r="N312" s="561">
        <v>0</v>
      </c>
      <c r="O312" s="561">
        <v>53</v>
      </c>
      <c r="P312" s="561">
        <v>500</v>
      </c>
      <c r="Q312" s="561">
        <v>475</v>
      </c>
      <c r="R312" s="561">
        <v>9528</v>
      </c>
      <c r="S312" s="1217">
        <v>0</v>
      </c>
      <c r="T312" s="1217">
        <v>3973</v>
      </c>
      <c r="U312" s="1217">
        <v>0</v>
      </c>
      <c r="V312" s="561">
        <v>0</v>
      </c>
      <c r="W312" s="561">
        <v>182</v>
      </c>
      <c r="X312" s="561">
        <v>162</v>
      </c>
      <c r="Y312" s="561">
        <v>361</v>
      </c>
      <c r="Z312" s="561">
        <v>18</v>
      </c>
      <c r="AA312" s="561">
        <v>0</v>
      </c>
      <c r="AB312" s="561">
        <v>0</v>
      </c>
      <c r="AC312" s="561">
        <v>0</v>
      </c>
      <c r="AD312" s="561">
        <v>0</v>
      </c>
      <c r="AE312" s="561">
        <v>0</v>
      </c>
      <c r="AF312" s="561">
        <v>0</v>
      </c>
      <c r="AG312" s="561">
        <v>5167</v>
      </c>
      <c r="AH312" s="561">
        <v>0</v>
      </c>
      <c r="AI312" s="561">
        <v>8217</v>
      </c>
      <c r="AJ312" s="561">
        <v>961</v>
      </c>
      <c r="AK312" s="561">
        <v>4763</v>
      </c>
      <c r="AL312" s="561">
        <v>0</v>
      </c>
      <c r="AM312" s="561">
        <v>18</v>
      </c>
      <c r="AN312" s="561">
        <v>0</v>
      </c>
      <c r="AO312" s="561">
        <v>6</v>
      </c>
      <c r="AP312" s="561">
        <v>3</v>
      </c>
      <c r="AQ312" s="561">
        <v>28</v>
      </c>
      <c r="AR312" s="561">
        <v>0</v>
      </c>
    </row>
    <row r="313" spans="1:44" x14ac:dyDescent="0.3">
      <c r="A313" s="1129" t="s">
        <v>3379</v>
      </c>
      <c r="B313" s="1129" t="s">
        <v>3380</v>
      </c>
      <c r="C313" s="1129" t="s">
        <v>3381</v>
      </c>
      <c r="D313" s="1129" t="s">
        <v>384</v>
      </c>
      <c r="E313" s="561">
        <v>-236</v>
      </c>
      <c r="F313" s="561">
        <v>0</v>
      </c>
      <c r="G313" s="561">
        <v>0</v>
      </c>
      <c r="H313" s="561">
        <v>0</v>
      </c>
      <c r="I313" s="561">
        <v>36</v>
      </c>
      <c r="J313" s="561">
        <v>0</v>
      </c>
      <c r="K313" s="561">
        <v>0</v>
      </c>
      <c r="L313" s="561">
        <v>220</v>
      </c>
      <c r="M313" s="561">
        <v>0</v>
      </c>
      <c r="N313" s="561">
        <v>0</v>
      </c>
      <c r="O313" s="561">
        <v>0</v>
      </c>
      <c r="P313" s="561">
        <v>78</v>
      </c>
      <c r="Q313" s="561">
        <v>2945</v>
      </c>
      <c r="R313" s="561">
        <v>8786</v>
      </c>
      <c r="S313" s="1217">
        <v>0</v>
      </c>
      <c r="T313" s="1217">
        <v>0</v>
      </c>
      <c r="U313" s="1217">
        <v>0</v>
      </c>
      <c r="V313" s="561">
        <v>235</v>
      </c>
      <c r="W313" s="561">
        <v>206</v>
      </c>
      <c r="X313" s="561">
        <v>153</v>
      </c>
      <c r="Y313" s="561">
        <v>482</v>
      </c>
      <c r="Z313" s="561">
        <v>0</v>
      </c>
      <c r="AA313" s="561">
        <v>0</v>
      </c>
      <c r="AB313" s="561">
        <v>0</v>
      </c>
      <c r="AC313" s="561">
        <v>0</v>
      </c>
      <c r="AD313" s="561">
        <v>0</v>
      </c>
      <c r="AE313" s="561">
        <v>0</v>
      </c>
      <c r="AF313" s="561">
        <v>0</v>
      </c>
      <c r="AG313" s="561">
        <v>8329</v>
      </c>
      <c r="AH313" s="561">
        <v>0</v>
      </c>
      <c r="AI313" s="561">
        <v>0</v>
      </c>
      <c r="AJ313" s="561">
        <v>142</v>
      </c>
      <c r="AK313" s="561">
        <v>8110</v>
      </c>
      <c r="AL313" s="561">
        <v>0</v>
      </c>
      <c r="AM313" s="561">
        <v>12</v>
      </c>
      <c r="AN313" s="561">
        <v>0</v>
      </c>
      <c r="AO313" s="561">
        <v>0</v>
      </c>
      <c r="AP313" s="561">
        <v>0</v>
      </c>
      <c r="AQ313" s="561">
        <v>4</v>
      </c>
      <c r="AR313" s="561">
        <v>0</v>
      </c>
    </row>
    <row r="314" spans="1:44" x14ac:dyDescent="0.3">
      <c r="A314" s="1129" t="s">
        <v>3382</v>
      </c>
      <c r="B314" s="1129" t="s">
        <v>3383</v>
      </c>
      <c r="C314" s="1129" t="s">
        <v>3384</v>
      </c>
      <c r="D314" s="1129" t="s">
        <v>379</v>
      </c>
      <c r="E314" s="561">
        <v>-18867</v>
      </c>
      <c r="F314" s="561">
        <v>0</v>
      </c>
      <c r="G314" s="561">
        <v>127098</v>
      </c>
      <c r="H314" s="561">
        <v>15891</v>
      </c>
      <c r="I314" s="561">
        <v>460</v>
      </c>
      <c r="J314" s="561">
        <v>26221</v>
      </c>
      <c r="K314" s="561">
        <v>12935</v>
      </c>
      <c r="L314" s="561">
        <v>909</v>
      </c>
      <c r="M314" s="561">
        <v>4004</v>
      </c>
      <c r="N314" s="561">
        <v>1150</v>
      </c>
      <c r="O314" s="561">
        <v>5940</v>
      </c>
      <c r="P314" s="561">
        <v>41</v>
      </c>
      <c r="Q314" s="561">
        <v>0</v>
      </c>
      <c r="R314" s="561">
        <v>79919</v>
      </c>
      <c r="S314" s="1217">
        <v>12329</v>
      </c>
      <c r="T314" s="1217">
        <v>800</v>
      </c>
      <c r="U314" s="1217">
        <v>0</v>
      </c>
      <c r="V314" s="561">
        <v>25026</v>
      </c>
      <c r="W314" s="561">
        <v>666</v>
      </c>
      <c r="X314" s="561">
        <v>1559</v>
      </c>
      <c r="Y314" s="561">
        <v>0</v>
      </c>
      <c r="Z314" s="561">
        <v>0</v>
      </c>
      <c r="AA314" s="561">
        <v>0</v>
      </c>
      <c r="AB314" s="561">
        <v>0</v>
      </c>
      <c r="AC314" s="561">
        <v>0</v>
      </c>
      <c r="AD314" s="561">
        <v>2128</v>
      </c>
      <c r="AE314" s="561">
        <v>0</v>
      </c>
      <c r="AF314" s="561">
        <v>1948</v>
      </c>
      <c r="AG314" s="561">
        <v>11212</v>
      </c>
      <c r="AH314" s="561">
        <v>4387</v>
      </c>
      <c r="AI314" s="561">
        <v>14568</v>
      </c>
      <c r="AJ314" s="561">
        <v>7202</v>
      </c>
      <c r="AK314" s="561">
        <v>3021</v>
      </c>
      <c r="AL314" s="561">
        <v>0</v>
      </c>
      <c r="AM314" s="561">
        <v>8</v>
      </c>
      <c r="AN314" s="561">
        <v>6</v>
      </c>
      <c r="AO314" s="561">
        <v>1</v>
      </c>
      <c r="AP314" s="561">
        <v>1</v>
      </c>
      <c r="AQ314" s="561">
        <v>19</v>
      </c>
      <c r="AR314" s="561">
        <v>1</v>
      </c>
    </row>
    <row r="315" spans="1:44" x14ac:dyDescent="0.3">
      <c r="A315" s="1129" t="s">
        <v>3385</v>
      </c>
      <c r="B315" s="1129" t="s">
        <v>3386</v>
      </c>
      <c r="C315" s="1129" t="s">
        <v>3387</v>
      </c>
      <c r="D315" s="1129" t="s">
        <v>2466</v>
      </c>
      <c r="E315" s="561">
        <v>-13216</v>
      </c>
      <c r="F315" s="561">
        <v>0</v>
      </c>
      <c r="G315" s="561">
        <v>0</v>
      </c>
      <c r="H315" s="561">
        <v>0</v>
      </c>
      <c r="I315" s="561">
        <v>0</v>
      </c>
      <c r="J315" s="561">
        <v>0</v>
      </c>
      <c r="K315" s="561">
        <v>0</v>
      </c>
      <c r="L315" s="561">
        <v>0</v>
      </c>
      <c r="M315" s="561">
        <v>0</v>
      </c>
      <c r="N315" s="561">
        <v>0</v>
      </c>
      <c r="O315" s="561">
        <v>0</v>
      </c>
      <c r="P315" s="561">
        <v>0</v>
      </c>
      <c r="Q315" s="561">
        <v>0</v>
      </c>
      <c r="R315" s="561">
        <v>34019</v>
      </c>
      <c r="S315" s="1217">
        <v>0</v>
      </c>
      <c r="T315" s="1217">
        <v>100</v>
      </c>
      <c r="U315" s="1217">
        <v>0</v>
      </c>
      <c r="V315" s="561">
        <v>797</v>
      </c>
      <c r="W315" s="561">
        <v>0</v>
      </c>
      <c r="X315" s="561">
        <v>458</v>
      </c>
      <c r="Y315" s="561">
        <v>0</v>
      </c>
      <c r="Z315" s="561">
        <v>0</v>
      </c>
      <c r="AA315" s="561">
        <v>0</v>
      </c>
      <c r="AB315" s="561">
        <v>0</v>
      </c>
      <c r="AC315" s="561">
        <v>0</v>
      </c>
      <c r="AD315" s="561">
        <v>0</v>
      </c>
      <c r="AE315" s="561">
        <v>0</v>
      </c>
      <c r="AF315" s="561">
        <v>0</v>
      </c>
      <c r="AG315" s="561">
        <v>5000</v>
      </c>
      <c r="AH315" s="561">
        <v>0</v>
      </c>
      <c r="AI315" s="561">
        <v>5310</v>
      </c>
      <c r="AJ315" s="561">
        <v>9527</v>
      </c>
      <c r="AK315" s="561">
        <v>0</v>
      </c>
      <c r="AL315" s="561">
        <v>0</v>
      </c>
      <c r="AM315" s="561">
        <v>0</v>
      </c>
      <c r="AN315" s="561">
        <v>0</v>
      </c>
      <c r="AO315" s="561">
        <v>0</v>
      </c>
      <c r="AP315" s="561">
        <v>0</v>
      </c>
      <c r="AQ315" s="561">
        <v>0</v>
      </c>
      <c r="AR315" s="561">
        <v>0</v>
      </c>
    </row>
    <row r="316" spans="1:44" x14ac:dyDescent="0.3">
      <c r="A316" s="1129" t="s">
        <v>3388</v>
      </c>
      <c r="B316" s="1129" t="s">
        <v>3389</v>
      </c>
      <c r="C316" s="1129" t="s">
        <v>3390</v>
      </c>
      <c r="D316" s="1129" t="s">
        <v>2466</v>
      </c>
      <c r="E316" s="561">
        <v>0</v>
      </c>
      <c r="F316" s="561">
        <v>0</v>
      </c>
      <c r="G316" s="561">
        <v>0</v>
      </c>
      <c r="H316" s="561">
        <v>0</v>
      </c>
      <c r="I316" s="561">
        <v>0</v>
      </c>
      <c r="J316" s="561">
        <v>0</v>
      </c>
      <c r="K316" s="561">
        <v>0</v>
      </c>
      <c r="L316" s="561">
        <v>0</v>
      </c>
      <c r="M316" s="561">
        <v>0</v>
      </c>
      <c r="N316" s="561">
        <v>0</v>
      </c>
      <c r="O316" s="561">
        <v>0</v>
      </c>
      <c r="P316" s="561">
        <v>0</v>
      </c>
      <c r="Q316" s="561">
        <v>0</v>
      </c>
      <c r="R316" s="561">
        <v>100125</v>
      </c>
      <c r="S316" s="1217">
        <v>0</v>
      </c>
      <c r="T316" s="1217">
        <v>0</v>
      </c>
      <c r="U316" s="1217">
        <v>0</v>
      </c>
      <c r="V316" s="561">
        <v>2169</v>
      </c>
      <c r="W316" s="561">
        <v>0</v>
      </c>
      <c r="X316" s="561">
        <v>0</v>
      </c>
      <c r="Y316" s="561">
        <v>0</v>
      </c>
      <c r="Z316" s="561">
        <v>100</v>
      </c>
      <c r="AA316" s="561">
        <v>0</v>
      </c>
      <c r="AB316" s="561">
        <v>0</v>
      </c>
      <c r="AC316" s="561">
        <v>0</v>
      </c>
      <c r="AD316" s="561">
        <v>0</v>
      </c>
      <c r="AE316" s="561">
        <v>0</v>
      </c>
      <c r="AF316" s="561">
        <v>0</v>
      </c>
      <c r="AG316" s="561">
        <v>5002</v>
      </c>
      <c r="AH316" s="561">
        <v>12621</v>
      </c>
      <c r="AI316" s="561">
        <v>57796</v>
      </c>
      <c r="AJ316" s="561">
        <v>10600</v>
      </c>
      <c r="AK316" s="561">
        <v>27497</v>
      </c>
      <c r="AL316" s="561">
        <v>0</v>
      </c>
      <c r="AM316" s="561">
        <v>0</v>
      </c>
      <c r="AN316" s="561">
        <v>0</v>
      </c>
      <c r="AO316" s="561">
        <v>0</v>
      </c>
      <c r="AP316" s="561">
        <v>0</v>
      </c>
      <c r="AQ316" s="561">
        <v>0</v>
      </c>
      <c r="AR316" s="561">
        <v>0</v>
      </c>
    </row>
    <row r="317" spans="1:44" x14ac:dyDescent="0.3">
      <c r="A317" s="1129" t="s">
        <v>3391</v>
      </c>
      <c r="B317" s="1129" t="s">
        <v>3392</v>
      </c>
      <c r="C317" s="1129" t="s">
        <v>3393</v>
      </c>
      <c r="D317" s="1129" t="s">
        <v>2466</v>
      </c>
      <c r="E317" s="561">
        <v>0</v>
      </c>
      <c r="F317" s="561">
        <v>-250091</v>
      </c>
      <c r="G317" s="561">
        <v>0</v>
      </c>
      <c r="H317" s="561">
        <v>0</v>
      </c>
      <c r="I317" s="561">
        <v>0</v>
      </c>
      <c r="J317" s="561">
        <v>0</v>
      </c>
      <c r="K317" s="561">
        <v>0</v>
      </c>
      <c r="L317" s="561">
        <v>0</v>
      </c>
      <c r="M317" s="561">
        <v>0</v>
      </c>
      <c r="N317" s="561">
        <v>0</v>
      </c>
      <c r="O317" s="561">
        <v>0</v>
      </c>
      <c r="P317" s="561">
        <v>0</v>
      </c>
      <c r="Q317" s="561">
        <v>0</v>
      </c>
      <c r="R317" s="561">
        <v>0</v>
      </c>
      <c r="S317" s="1217">
        <v>0</v>
      </c>
      <c r="T317" s="1217">
        <v>0</v>
      </c>
      <c r="U317" s="1217">
        <v>0</v>
      </c>
      <c r="V317" s="561">
        <v>1210</v>
      </c>
      <c r="W317" s="561">
        <v>0</v>
      </c>
      <c r="X317" s="561">
        <v>0</v>
      </c>
      <c r="Y317" s="561">
        <v>0</v>
      </c>
      <c r="Z317" s="561">
        <v>0</v>
      </c>
      <c r="AA317" s="561">
        <v>9933</v>
      </c>
      <c r="AB317" s="561">
        <v>5044</v>
      </c>
      <c r="AC317" s="561">
        <v>5354</v>
      </c>
      <c r="AD317" s="561">
        <v>0</v>
      </c>
      <c r="AE317" s="561">
        <v>0</v>
      </c>
      <c r="AF317" s="561">
        <v>0</v>
      </c>
      <c r="AG317" s="561">
        <v>25269</v>
      </c>
      <c r="AH317" s="561">
        <v>2448</v>
      </c>
      <c r="AI317" s="561">
        <v>30943</v>
      </c>
      <c r="AJ317" s="561">
        <v>10144</v>
      </c>
      <c r="AK317" s="561">
        <v>1054</v>
      </c>
      <c r="AL317" s="561">
        <v>506</v>
      </c>
      <c r="AM317" s="561">
        <v>0</v>
      </c>
      <c r="AN317" s="561">
        <v>0</v>
      </c>
      <c r="AO317" s="561">
        <v>0</v>
      </c>
      <c r="AP317" s="561">
        <v>0</v>
      </c>
      <c r="AQ317" s="561">
        <v>0</v>
      </c>
      <c r="AR317" s="561">
        <v>0</v>
      </c>
    </row>
    <row r="318" spans="1:44" x14ac:dyDescent="0.3">
      <c r="A318" s="1129" t="s">
        <v>3394</v>
      </c>
      <c r="B318" s="1129" t="s">
        <v>3395</v>
      </c>
      <c r="C318" s="1129" t="s">
        <v>3396</v>
      </c>
      <c r="D318" s="1129" t="s">
        <v>385</v>
      </c>
      <c r="E318" s="561">
        <v>-14104</v>
      </c>
      <c r="F318" s="561">
        <v>0</v>
      </c>
      <c r="G318" s="561">
        <v>198627</v>
      </c>
      <c r="H318" s="561">
        <v>20164</v>
      </c>
      <c r="I318" s="561">
        <v>762</v>
      </c>
      <c r="J318" s="561">
        <v>28829</v>
      </c>
      <c r="K318" s="561">
        <v>13206</v>
      </c>
      <c r="L318" s="561">
        <v>2981</v>
      </c>
      <c r="M318" s="561">
        <v>4854</v>
      </c>
      <c r="N318" s="561">
        <v>1694</v>
      </c>
      <c r="O318" s="561">
        <v>7260</v>
      </c>
      <c r="P318" s="561">
        <v>54</v>
      </c>
      <c r="Q318" s="561">
        <v>0</v>
      </c>
      <c r="R318" s="561">
        <v>128167</v>
      </c>
      <c r="S318" s="1217">
        <v>3090</v>
      </c>
      <c r="T318" s="1217">
        <v>0</v>
      </c>
      <c r="U318" s="1217">
        <v>0</v>
      </c>
      <c r="V318" s="561">
        <v>11301</v>
      </c>
      <c r="W318" s="561">
        <v>827</v>
      </c>
      <c r="X318" s="561">
        <v>2107</v>
      </c>
      <c r="Y318" s="561">
        <v>0</v>
      </c>
      <c r="Z318" s="561">
        <v>2140</v>
      </c>
      <c r="AA318" s="561">
        <v>0</v>
      </c>
      <c r="AB318" s="561">
        <v>0</v>
      </c>
      <c r="AC318" s="561">
        <v>0</v>
      </c>
      <c r="AD318" s="561">
        <v>4206</v>
      </c>
      <c r="AE318" s="561">
        <v>3987</v>
      </c>
      <c r="AF318" s="561">
        <v>1069</v>
      </c>
      <c r="AG318" s="561">
        <v>10066</v>
      </c>
      <c r="AH318" s="561">
        <v>4345</v>
      </c>
      <c r="AI318" s="561">
        <v>1028</v>
      </c>
      <c r="AJ318" s="561">
        <v>4998</v>
      </c>
      <c r="AK318" s="561">
        <v>9720</v>
      </c>
      <c r="AL318" s="561">
        <v>15437</v>
      </c>
      <c r="AM318" s="561">
        <v>51</v>
      </c>
      <c r="AN318" s="561">
        <v>109</v>
      </c>
      <c r="AO318" s="561">
        <v>2</v>
      </c>
      <c r="AP318" s="561">
        <v>2</v>
      </c>
      <c r="AQ318" s="561">
        <v>246</v>
      </c>
      <c r="AR318" s="561">
        <v>4</v>
      </c>
    </row>
    <row r="319" spans="1:44" x14ac:dyDescent="0.3">
      <c r="A319" s="1129" t="s">
        <v>3397</v>
      </c>
      <c r="B319" s="1129" t="s">
        <v>3398</v>
      </c>
      <c r="C319" s="1129" t="s">
        <v>3399</v>
      </c>
      <c r="D319" s="1129" t="s">
        <v>385</v>
      </c>
      <c r="E319" s="561">
        <v>-7799</v>
      </c>
      <c r="F319" s="561">
        <v>0</v>
      </c>
      <c r="G319" s="561">
        <v>73225</v>
      </c>
      <c r="H319" s="561">
        <v>11104</v>
      </c>
      <c r="I319" s="561">
        <v>483</v>
      </c>
      <c r="J319" s="561">
        <v>20439</v>
      </c>
      <c r="K319" s="561">
        <v>9619</v>
      </c>
      <c r="L319" s="561">
        <v>1742</v>
      </c>
      <c r="M319" s="561">
        <v>3605</v>
      </c>
      <c r="N319" s="561">
        <v>1098</v>
      </c>
      <c r="O319" s="561">
        <v>240</v>
      </c>
      <c r="P319" s="561">
        <v>4</v>
      </c>
      <c r="Q319" s="561">
        <v>485</v>
      </c>
      <c r="R319" s="561">
        <v>109957</v>
      </c>
      <c r="S319" s="1217">
        <v>37972</v>
      </c>
      <c r="T319" s="1217">
        <v>288</v>
      </c>
      <c r="U319" s="1217">
        <v>0</v>
      </c>
      <c r="V319" s="561">
        <v>11611</v>
      </c>
      <c r="W319" s="561">
        <v>568</v>
      </c>
      <c r="X319" s="561">
        <v>1417</v>
      </c>
      <c r="Y319" s="561">
        <v>0</v>
      </c>
      <c r="Z319" s="561">
        <v>1614</v>
      </c>
      <c r="AA319" s="561">
        <v>0</v>
      </c>
      <c r="AB319" s="561">
        <v>0</v>
      </c>
      <c r="AC319" s="561">
        <v>0</v>
      </c>
      <c r="AD319" s="561">
        <v>3725</v>
      </c>
      <c r="AE319" s="561">
        <v>11648</v>
      </c>
      <c r="AF319" s="561">
        <v>1659</v>
      </c>
      <c r="AG319" s="561">
        <v>10000</v>
      </c>
      <c r="AH319" s="561">
        <v>0</v>
      </c>
      <c r="AI319" s="561">
        <v>39751</v>
      </c>
      <c r="AJ319" s="561">
        <v>5422</v>
      </c>
      <c r="AK319" s="561">
        <v>15634</v>
      </c>
      <c r="AL319" s="561">
        <v>53</v>
      </c>
      <c r="AM319" s="561">
        <v>47</v>
      </c>
      <c r="AN319" s="561">
        <v>62</v>
      </c>
      <c r="AO319" s="561">
        <v>99</v>
      </c>
      <c r="AP319" s="561">
        <v>0</v>
      </c>
      <c r="AQ319" s="561">
        <v>196</v>
      </c>
      <c r="AR319" s="561">
        <v>0</v>
      </c>
    </row>
    <row r="320" spans="1:44" x14ac:dyDescent="0.3">
      <c r="A320" s="1129" t="s">
        <v>3400</v>
      </c>
      <c r="B320" s="1129" t="s">
        <v>3401</v>
      </c>
      <c r="C320" s="1129" t="s">
        <v>3402</v>
      </c>
      <c r="D320" s="1129" t="s">
        <v>2476</v>
      </c>
      <c r="E320" s="561">
        <v>-45827</v>
      </c>
      <c r="F320" s="561">
        <v>0</v>
      </c>
      <c r="G320" s="561">
        <v>229899</v>
      </c>
      <c r="H320" s="561">
        <v>33384</v>
      </c>
      <c r="I320" s="561">
        <v>43</v>
      </c>
      <c r="J320" s="561">
        <v>43196</v>
      </c>
      <c r="K320" s="561">
        <v>22018</v>
      </c>
      <c r="L320" s="561">
        <v>10483</v>
      </c>
      <c r="M320" s="561">
        <v>6872</v>
      </c>
      <c r="N320" s="561">
        <v>2134</v>
      </c>
      <c r="O320" s="561">
        <v>2375</v>
      </c>
      <c r="P320" s="561">
        <v>2812</v>
      </c>
      <c r="Q320" s="561">
        <v>0</v>
      </c>
      <c r="R320" s="561">
        <v>155898</v>
      </c>
      <c r="S320" s="1217">
        <v>20860</v>
      </c>
      <c r="T320" s="1217">
        <v>0</v>
      </c>
      <c r="U320" s="1217">
        <v>0</v>
      </c>
      <c r="V320" s="561">
        <v>43842</v>
      </c>
      <c r="W320" s="561">
        <v>1748</v>
      </c>
      <c r="X320" s="561">
        <v>3380</v>
      </c>
      <c r="Y320" s="561">
        <v>0</v>
      </c>
      <c r="Z320" s="561">
        <v>45</v>
      </c>
      <c r="AA320" s="561">
        <v>0</v>
      </c>
      <c r="AB320" s="561">
        <v>0</v>
      </c>
      <c r="AC320" s="561">
        <v>0</v>
      </c>
      <c r="AD320" s="561">
        <v>15059</v>
      </c>
      <c r="AE320" s="561">
        <v>8714</v>
      </c>
      <c r="AF320" s="561">
        <v>5738</v>
      </c>
      <c r="AG320" s="561">
        <v>22443</v>
      </c>
      <c r="AH320" s="561">
        <v>63567</v>
      </c>
      <c r="AI320" s="561">
        <v>32101</v>
      </c>
      <c r="AJ320" s="561">
        <v>48491</v>
      </c>
      <c r="AK320" s="561">
        <v>94895</v>
      </c>
      <c r="AL320" s="561">
        <v>0</v>
      </c>
      <c r="AM320" s="561" t="s">
        <v>2534</v>
      </c>
      <c r="AN320" s="561" t="s">
        <v>2534</v>
      </c>
      <c r="AO320" s="561" t="s">
        <v>2534</v>
      </c>
      <c r="AP320" s="561" t="s">
        <v>2534</v>
      </c>
      <c r="AQ320" s="561" t="s">
        <v>2534</v>
      </c>
      <c r="AR320" s="561" t="s">
        <v>2534</v>
      </c>
    </row>
    <row r="321" spans="1:44" x14ac:dyDescent="0.3">
      <c r="A321" s="1129" t="s">
        <v>3403</v>
      </c>
      <c r="B321" s="1129" t="s">
        <v>3404</v>
      </c>
      <c r="C321" s="1129" t="s">
        <v>3405</v>
      </c>
      <c r="D321" s="1129" t="s">
        <v>384</v>
      </c>
      <c r="E321" s="561">
        <v>-116</v>
      </c>
      <c r="F321" s="561">
        <v>0</v>
      </c>
      <c r="G321" s="561">
        <v>0</v>
      </c>
      <c r="H321" s="561">
        <v>0</v>
      </c>
      <c r="I321" s="561">
        <v>39</v>
      </c>
      <c r="J321" s="561">
        <v>0</v>
      </c>
      <c r="K321" s="561">
        <v>0</v>
      </c>
      <c r="L321" s="561">
        <v>1249</v>
      </c>
      <c r="M321" s="561">
        <v>0</v>
      </c>
      <c r="N321" s="561">
        <v>0</v>
      </c>
      <c r="O321" s="561">
        <v>0</v>
      </c>
      <c r="P321" s="561">
        <v>12</v>
      </c>
      <c r="Q321" s="561">
        <v>0</v>
      </c>
      <c r="R321" s="561">
        <v>9296</v>
      </c>
      <c r="S321" s="1217">
        <v>0</v>
      </c>
      <c r="T321" s="1217">
        <v>8710</v>
      </c>
      <c r="U321" s="1217">
        <v>0</v>
      </c>
      <c r="V321" s="561">
        <v>19965</v>
      </c>
      <c r="W321" s="561">
        <v>199</v>
      </c>
      <c r="X321" s="561">
        <v>198</v>
      </c>
      <c r="Y321" s="561">
        <v>1728</v>
      </c>
      <c r="Z321" s="561">
        <v>173</v>
      </c>
      <c r="AA321" s="561">
        <v>0</v>
      </c>
      <c r="AB321" s="561">
        <v>0</v>
      </c>
      <c r="AC321" s="561">
        <v>0</v>
      </c>
      <c r="AD321" s="561">
        <v>0</v>
      </c>
      <c r="AE321" s="561">
        <v>0</v>
      </c>
      <c r="AF321" s="561">
        <v>0</v>
      </c>
      <c r="AG321" s="561">
        <v>3083</v>
      </c>
      <c r="AH321" s="561">
        <v>1638</v>
      </c>
      <c r="AI321" s="561">
        <v>10657</v>
      </c>
      <c r="AJ321" s="561">
        <v>35242</v>
      </c>
      <c r="AK321" s="561">
        <v>10069</v>
      </c>
      <c r="AL321" s="561">
        <v>0</v>
      </c>
      <c r="AM321" s="561">
        <v>13</v>
      </c>
      <c r="AN321" s="561">
        <v>149</v>
      </c>
      <c r="AO321" s="561">
        <v>0</v>
      </c>
      <c r="AP321" s="561">
        <v>0</v>
      </c>
      <c r="AQ321" s="561">
        <v>49</v>
      </c>
      <c r="AR321" s="561">
        <v>0</v>
      </c>
    </row>
    <row r="322" spans="1:44" x14ac:dyDescent="0.3">
      <c r="A322" s="1129" t="s">
        <v>3406</v>
      </c>
      <c r="B322" s="1129" t="s">
        <v>3407</v>
      </c>
      <c r="C322" s="1129" t="s">
        <v>3408</v>
      </c>
      <c r="D322" s="1129" t="s">
        <v>384</v>
      </c>
      <c r="E322" s="561">
        <v>-172</v>
      </c>
      <c r="F322" s="561">
        <v>0</v>
      </c>
      <c r="G322" s="561">
        <v>0</v>
      </c>
      <c r="H322" s="561">
        <v>0</v>
      </c>
      <c r="I322" s="561">
        <v>38</v>
      </c>
      <c r="J322" s="561">
        <v>0</v>
      </c>
      <c r="K322" s="561">
        <v>0</v>
      </c>
      <c r="L322" s="561">
        <v>1041</v>
      </c>
      <c r="M322" s="561">
        <v>0</v>
      </c>
      <c r="N322" s="561">
        <v>0</v>
      </c>
      <c r="O322" s="561">
        <v>0</v>
      </c>
      <c r="P322" s="561">
        <v>48</v>
      </c>
      <c r="Q322" s="561">
        <v>4077</v>
      </c>
      <c r="R322" s="561">
        <v>17521</v>
      </c>
      <c r="S322" s="1217">
        <v>23902</v>
      </c>
      <c r="T322" s="1217">
        <v>0</v>
      </c>
      <c r="U322" s="1217">
        <v>0</v>
      </c>
      <c r="V322" s="561">
        <v>6018</v>
      </c>
      <c r="W322" s="561">
        <v>233</v>
      </c>
      <c r="X322" s="561">
        <v>193</v>
      </c>
      <c r="Y322" s="561">
        <v>1492</v>
      </c>
      <c r="Z322" s="561">
        <v>117</v>
      </c>
      <c r="AA322" s="561">
        <v>0</v>
      </c>
      <c r="AB322" s="561">
        <v>0</v>
      </c>
      <c r="AC322" s="561">
        <v>0</v>
      </c>
      <c r="AD322" s="561">
        <v>0</v>
      </c>
      <c r="AE322" s="561">
        <v>0</v>
      </c>
      <c r="AF322" s="561">
        <v>0</v>
      </c>
      <c r="AG322" s="561">
        <v>4606</v>
      </c>
      <c r="AH322" s="561">
        <v>0</v>
      </c>
      <c r="AI322" s="561">
        <v>5741</v>
      </c>
      <c r="AJ322" s="561">
        <v>0</v>
      </c>
      <c r="AK322" s="561">
        <v>0</v>
      </c>
      <c r="AL322" s="561">
        <v>0</v>
      </c>
      <c r="AM322" s="561">
        <v>41</v>
      </c>
      <c r="AN322" s="561">
        <v>9</v>
      </c>
      <c r="AO322" s="561">
        <v>0</v>
      </c>
      <c r="AP322" s="561">
        <v>0</v>
      </c>
      <c r="AQ322" s="561">
        <v>135</v>
      </c>
      <c r="AR322" s="561">
        <v>39</v>
      </c>
    </row>
    <row r="323" spans="1:44" x14ac:dyDescent="0.3">
      <c r="A323" s="1129" t="s">
        <v>3409</v>
      </c>
      <c r="B323" s="1129" t="s">
        <v>3410</v>
      </c>
      <c r="C323" s="1129" t="s">
        <v>3411</v>
      </c>
      <c r="D323" s="1129" t="s">
        <v>379</v>
      </c>
      <c r="E323" s="561">
        <v>0</v>
      </c>
      <c r="F323" s="561">
        <v>0</v>
      </c>
      <c r="G323" s="561">
        <v>149849</v>
      </c>
      <c r="H323" s="561">
        <v>17055</v>
      </c>
      <c r="I323" s="561">
        <v>567</v>
      </c>
      <c r="J323" s="561">
        <v>26848</v>
      </c>
      <c r="K323" s="561">
        <v>0</v>
      </c>
      <c r="L323" s="561">
        <v>776</v>
      </c>
      <c r="M323" s="561">
        <v>4212</v>
      </c>
      <c r="N323" s="561">
        <v>1278</v>
      </c>
      <c r="O323" s="561">
        <v>6296</v>
      </c>
      <c r="P323" s="561">
        <v>61</v>
      </c>
      <c r="Q323" s="561">
        <v>406</v>
      </c>
      <c r="R323" s="561">
        <v>101456</v>
      </c>
      <c r="S323" s="1217">
        <v>0</v>
      </c>
      <c r="T323" s="1217">
        <v>6024</v>
      </c>
      <c r="U323" s="1217">
        <v>0</v>
      </c>
      <c r="V323" s="561">
        <v>4459</v>
      </c>
      <c r="W323" s="561">
        <v>592</v>
      </c>
      <c r="X323" s="561">
        <v>1553</v>
      </c>
      <c r="Y323" s="561">
        <v>0</v>
      </c>
      <c r="Z323" s="561">
        <v>461</v>
      </c>
      <c r="AA323" s="561">
        <v>0</v>
      </c>
      <c r="AB323" s="561">
        <v>0</v>
      </c>
      <c r="AC323" s="561">
        <v>0</v>
      </c>
      <c r="AD323" s="561">
        <v>10015</v>
      </c>
      <c r="AE323" s="561">
        <v>3179</v>
      </c>
      <c r="AF323" s="561">
        <v>1584</v>
      </c>
      <c r="AG323" s="561">
        <v>16994</v>
      </c>
      <c r="AH323" s="561">
        <v>0</v>
      </c>
      <c r="AI323" s="561">
        <v>11424</v>
      </c>
      <c r="AJ323" s="561">
        <v>18930</v>
      </c>
      <c r="AK323" s="561">
        <v>5340</v>
      </c>
      <c r="AL323" s="561">
        <v>4356</v>
      </c>
      <c r="AM323" s="561">
        <v>15</v>
      </c>
      <c r="AN323" s="561">
        <v>0</v>
      </c>
      <c r="AO323" s="561">
        <v>9</v>
      </c>
      <c r="AP323" s="561">
        <v>0</v>
      </c>
      <c r="AQ323" s="561">
        <v>17</v>
      </c>
      <c r="AR323" s="561">
        <v>3</v>
      </c>
    </row>
    <row r="324" spans="1:44" x14ac:dyDescent="0.3">
      <c r="A324" s="1129" t="s">
        <v>3412</v>
      </c>
      <c r="B324" s="1129" t="s">
        <v>3413</v>
      </c>
      <c r="C324" s="1129" t="s">
        <v>3414</v>
      </c>
      <c r="D324" s="1129" t="s">
        <v>384</v>
      </c>
      <c r="E324" s="561">
        <v>-142</v>
      </c>
      <c r="F324" s="561">
        <v>0</v>
      </c>
      <c r="G324" s="561">
        <v>0</v>
      </c>
      <c r="H324" s="561">
        <v>0</v>
      </c>
      <c r="I324" s="561">
        <v>36</v>
      </c>
      <c r="J324" s="561">
        <v>0</v>
      </c>
      <c r="K324" s="561">
        <v>0</v>
      </c>
      <c r="L324" s="561">
        <v>429</v>
      </c>
      <c r="M324" s="561">
        <v>0</v>
      </c>
      <c r="N324" s="561">
        <v>0</v>
      </c>
      <c r="O324" s="561">
        <v>0</v>
      </c>
      <c r="P324" s="561">
        <v>204</v>
      </c>
      <c r="Q324" s="561">
        <v>1537</v>
      </c>
      <c r="R324" s="561">
        <v>10410</v>
      </c>
      <c r="S324" s="1217">
        <v>0</v>
      </c>
      <c r="T324" s="1217">
        <v>1666</v>
      </c>
      <c r="U324" s="1217">
        <v>0</v>
      </c>
      <c r="V324" s="561">
        <v>0</v>
      </c>
      <c r="W324" s="561">
        <v>229</v>
      </c>
      <c r="X324" s="561">
        <v>123</v>
      </c>
      <c r="Y324" s="561">
        <v>2035</v>
      </c>
      <c r="Z324" s="561">
        <v>263</v>
      </c>
      <c r="AA324" s="561">
        <v>0</v>
      </c>
      <c r="AB324" s="561">
        <v>0</v>
      </c>
      <c r="AC324" s="561">
        <v>0</v>
      </c>
      <c r="AD324" s="561">
        <v>0</v>
      </c>
      <c r="AE324" s="561">
        <v>0</v>
      </c>
      <c r="AF324" s="561">
        <v>0</v>
      </c>
      <c r="AG324" s="561">
        <v>0</v>
      </c>
      <c r="AH324" s="561">
        <v>0</v>
      </c>
      <c r="AI324" s="561">
        <v>0</v>
      </c>
      <c r="AJ324" s="561">
        <v>0</v>
      </c>
      <c r="AK324" s="561">
        <v>0</v>
      </c>
      <c r="AL324" s="561">
        <v>0</v>
      </c>
      <c r="AM324" s="561">
        <v>10</v>
      </c>
      <c r="AN324" s="561">
        <v>0</v>
      </c>
      <c r="AO324" s="561">
        <v>0</v>
      </c>
      <c r="AP324" s="561">
        <v>0</v>
      </c>
      <c r="AQ324" s="561">
        <v>10</v>
      </c>
      <c r="AR324" s="561">
        <v>0</v>
      </c>
    </row>
    <row r="325" spans="1:44" x14ac:dyDescent="0.3">
      <c r="A325" s="1129" t="s">
        <v>3415</v>
      </c>
      <c r="B325" s="1129" t="s">
        <v>3416</v>
      </c>
      <c r="C325" s="1129" t="s">
        <v>3417</v>
      </c>
      <c r="D325" s="1129" t="s">
        <v>2595</v>
      </c>
      <c r="E325" s="561">
        <v>-14460</v>
      </c>
      <c r="F325" s="561">
        <v>0</v>
      </c>
      <c r="G325" s="561">
        <v>394575</v>
      </c>
      <c r="H325" s="561">
        <v>46455</v>
      </c>
      <c r="I325" s="561">
        <v>2019</v>
      </c>
      <c r="J325" s="561">
        <v>87334</v>
      </c>
      <c r="K325" s="561">
        <v>40352</v>
      </c>
      <c r="L325" s="561">
        <v>0</v>
      </c>
      <c r="M325" s="561">
        <v>15496</v>
      </c>
      <c r="N325" s="561">
        <v>2618</v>
      </c>
      <c r="O325" s="561">
        <v>0</v>
      </c>
      <c r="P325" s="561">
        <v>564</v>
      </c>
      <c r="Q325" s="561">
        <v>0</v>
      </c>
      <c r="R325" s="561">
        <v>487660</v>
      </c>
      <c r="S325" s="1217">
        <v>0</v>
      </c>
      <c r="T325" s="1217">
        <v>0</v>
      </c>
      <c r="U325" s="1217">
        <v>0</v>
      </c>
      <c r="V325" s="561">
        <v>15623</v>
      </c>
      <c r="W325" s="561">
        <v>0</v>
      </c>
      <c r="X325" s="561">
        <v>4890</v>
      </c>
      <c r="Y325" s="561">
        <v>0</v>
      </c>
      <c r="Z325" s="561">
        <v>0</v>
      </c>
      <c r="AA325" s="561">
        <v>0</v>
      </c>
      <c r="AB325" s="561">
        <v>0</v>
      </c>
      <c r="AC325" s="561">
        <v>0</v>
      </c>
      <c r="AD325" s="561">
        <v>21538</v>
      </c>
      <c r="AE325" s="561">
        <v>0</v>
      </c>
      <c r="AF325" s="561">
        <v>6782</v>
      </c>
      <c r="AG325" s="561">
        <v>48477</v>
      </c>
      <c r="AH325" s="561">
        <v>4029</v>
      </c>
      <c r="AI325" s="561">
        <v>98149</v>
      </c>
      <c r="AJ325" s="561">
        <v>155172</v>
      </c>
      <c r="AK325" s="561">
        <v>104731</v>
      </c>
      <c r="AL325" s="561">
        <v>0</v>
      </c>
      <c r="AM325" s="561">
        <v>0</v>
      </c>
      <c r="AN325" s="561">
        <v>0</v>
      </c>
      <c r="AO325" s="561">
        <v>0</v>
      </c>
      <c r="AP325" s="561">
        <v>0</v>
      </c>
      <c r="AQ325" s="561">
        <v>0</v>
      </c>
      <c r="AR325" s="561">
        <v>0</v>
      </c>
    </row>
    <row r="326" spans="1:44" x14ac:dyDescent="0.3">
      <c r="A326" s="1129" t="s">
        <v>3418</v>
      </c>
      <c r="B326" s="1129" t="s">
        <v>3419</v>
      </c>
      <c r="C326" s="1129" t="s">
        <v>3420</v>
      </c>
      <c r="D326" s="1129" t="s">
        <v>2466</v>
      </c>
      <c r="E326" s="561">
        <v>-7621</v>
      </c>
      <c r="F326" s="561">
        <v>0</v>
      </c>
      <c r="G326" s="561">
        <v>0</v>
      </c>
      <c r="H326" s="561">
        <v>0</v>
      </c>
      <c r="I326" s="561">
        <v>0</v>
      </c>
      <c r="J326" s="561">
        <v>0</v>
      </c>
      <c r="K326" s="561">
        <v>0</v>
      </c>
      <c r="L326" s="561">
        <v>0</v>
      </c>
      <c r="M326" s="561">
        <v>0</v>
      </c>
      <c r="N326" s="561">
        <v>0</v>
      </c>
      <c r="O326" s="561">
        <v>0</v>
      </c>
      <c r="P326" s="561">
        <v>0</v>
      </c>
      <c r="Q326" s="561">
        <v>0</v>
      </c>
      <c r="R326" s="561">
        <v>33914</v>
      </c>
      <c r="S326" s="1217">
        <v>0</v>
      </c>
      <c r="T326" s="1217">
        <v>0</v>
      </c>
      <c r="U326" s="1217">
        <v>0</v>
      </c>
      <c r="V326" s="561">
        <v>673</v>
      </c>
      <c r="W326" s="561">
        <v>0</v>
      </c>
      <c r="X326" s="561">
        <v>306</v>
      </c>
      <c r="Y326" s="561">
        <v>0</v>
      </c>
      <c r="Z326" s="561">
        <v>0</v>
      </c>
      <c r="AA326" s="561">
        <v>0</v>
      </c>
      <c r="AB326" s="561">
        <v>0</v>
      </c>
      <c r="AC326" s="561">
        <v>0</v>
      </c>
      <c r="AD326" s="561">
        <v>0</v>
      </c>
      <c r="AE326" s="561">
        <v>0</v>
      </c>
      <c r="AF326" s="561">
        <v>0</v>
      </c>
      <c r="AG326" s="561">
        <v>1906</v>
      </c>
      <c r="AH326" s="561">
        <v>6330</v>
      </c>
      <c r="AI326" s="561">
        <v>6105</v>
      </c>
      <c r="AJ326" s="561">
        <v>1500</v>
      </c>
      <c r="AK326" s="561">
        <v>1707</v>
      </c>
      <c r="AL326" s="561">
        <v>0</v>
      </c>
      <c r="AM326" s="561">
        <v>0</v>
      </c>
      <c r="AN326" s="561">
        <v>0</v>
      </c>
      <c r="AO326" s="561">
        <v>0</v>
      </c>
      <c r="AP326" s="561">
        <v>0</v>
      </c>
      <c r="AQ326" s="561">
        <v>0</v>
      </c>
      <c r="AR326" s="561">
        <v>0</v>
      </c>
    </row>
    <row r="327" spans="1:44" x14ac:dyDescent="0.3">
      <c r="A327" s="1129" t="s">
        <v>3421</v>
      </c>
      <c r="B327" s="1129" t="s">
        <v>3422</v>
      </c>
      <c r="C327" s="1129" t="s">
        <v>3423</v>
      </c>
      <c r="D327" s="1129" t="s">
        <v>384</v>
      </c>
      <c r="E327" s="561">
        <v>-123</v>
      </c>
      <c r="F327" s="561">
        <v>0</v>
      </c>
      <c r="G327" s="561">
        <v>0</v>
      </c>
      <c r="H327" s="561">
        <v>0</v>
      </c>
      <c r="I327" s="561">
        <v>34</v>
      </c>
      <c r="J327" s="561">
        <v>0</v>
      </c>
      <c r="K327" s="561">
        <v>0</v>
      </c>
      <c r="L327" s="561">
        <v>241</v>
      </c>
      <c r="M327" s="561">
        <v>0</v>
      </c>
      <c r="N327" s="561">
        <v>0</v>
      </c>
      <c r="O327" s="561">
        <v>0</v>
      </c>
      <c r="P327" s="561">
        <v>51</v>
      </c>
      <c r="Q327" s="561">
        <v>1837</v>
      </c>
      <c r="R327" s="561">
        <v>8230</v>
      </c>
      <c r="S327" s="1217">
        <v>0</v>
      </c>
      <c r="T327" s="1217">
        <v>0</v>
      </c>
      <c r="U327" s="1217">
        <v>0</v>
      </c>
      <c r="V327" s="561">
        <v>95</v>
      </c>
      <c r="W327" s="561">
        <v>142</v>
      </c>
      <c r="X327" s="561">
        <v>99</v>
      </c>
      <c r="Y327" s="561">
        <v>428</v>
      </c>
      <c r="Z327" s="561">
        <v>0</v>
      </c>
      <c r="AA327" s="561">
        <v>0</v>
      </c>
      <c r="AB327" s="561">
        <v>0</v>
      </c>
      <c r="AC327" s="561">
        <v>0</v>
      </c>
      <c r="AD327" s="561">
        <v>0</v>
      </c>
      <c r="AE327" s="561">
        <v>0</v>
      </c>
      <c r="AF327" s="561">
        <v>0</v>
      </c>
      <c r="AG327" s="561">
        <v>4972</v>
      </c>
      <c r="AH327" s="561">
        <v>0</v>
      </c>
      <c r="AI327" s="561">
        <v>258</v>
      </c>
      <c r="AJ327" s="561">
        <v>0</v>
      </c>
      <c r="AK327" s="561">
        <v>3984</v>
      </c>
      <c r="AL327" s="561">
        <v>0</v>
      </c>
      <c r="AM327" s="561">
        <v>2</v>
      </c>
      <c r="AN327" s="561">
        <v>0</v>
      </c>
      <c r="AO327" s="561">
        <v>0</v>
      </c>
      <c r="AP327" s="561">
        <v>0</v>
      </c>
      <c r="AQ327" s="561">
        <v>5</v>
      </c>
      <c r="AR327" s="561">
        <v>1</v>
      </c>
    </row>
    <row r="328" spans="1:44" x14ac:dyDescent="0.3">
      <c r="A328" s="1129" t="s">
        <v>3424</v>
      </c>
      <c r="B328" s="1129" t="s">
        <v>3425</v>
      </c>
      <c r="C328" s="1129" t="s">
        <v>3426</v>
      </c>
      <c r="D328" s="1129" t="s">
        <v>2466</v>
      </c>
      <c r="E328" s="561">
        <v>0</v>
      </c>
      <c r="F328" s="561">
        <v>-154948</v>
      </c>
      <c r="G328" s="561">
        <v>0</v>
      </c>
      <c r="H328" s="561">
        <v>0</v>
      </c>
      <c r="I328" s="561">
        <v>0</v>
      </c>
      <c r="J328" s="561">
        <v>0</v>
      </c>
      <c r="K328" s="561">
        <v>0</v>
      </c>
      <c r="L328" s="561">
        <v>0</v>
      </c>
      <c r="M328" s="561">
        <v>0</v>
      </c>
      <c r="N328" s="561">
        <v>0</v>
      </c>
      <c r="O328" s="561">
        <v>0</v>
      </c>
      <c r="P328" s="561">
        <v>0</v>
      </c>
      <c r="Q328" s="561">
        <v>0</v>
      </c>
      <c r="R328" s="561">
        <v>106274</v>
      </c>
      <c r="S328" s="1217">
        <v>0</v>
      </c>
      <c r="T328" s="1217">
        <v>2157</v>
      </c>
      <c r="U328" s="1217">
        <v>0</v>
      </c>
      <c r="V328" s="561">
        <v>2088</v>
      </c>
      <c r="W328" s="561">
        <v>0</v>
      </c>
      <c r="X328" s="561">
        <v>0</v>
      </c>
      <c r="Y328" s="561">
        <v>0</v>
      </c>
      <c r="Z328" s="561">
        <v>0</v>
      </c>
      <c r="AA328" s="561">
        <v>8120</v>
      </c>
      <c r="AB328" s="561">
        <v>3014</v>
      </c>
      <c r="AC328" s="561">
        <v>3532</v>
      </c>
      <c r="AD328" s="561">
        <v>0</v>
      </c>
      <c r="AE328" s="561">
        <v>0</v>
      </c>
      <c r="AF328" s="561">
        <v>0</v>
      </c>
      <c r="AG328" s="561">
        <v>9636</v>
      </c>
      <c r="AH328" s="561">
        <v>0</v>
      </c>
      <c r="AI328" s="561">
        <v>35883</v>
      </c>
      <c r="AJ328" s="561">
        <v>0</v>
      </c>
      <c r="AK328" s="561">
        <v>0</v>
      </c>
      <c r="AL328" s="561">
        <v>0</v>
      </c>
      <c r="AM328" s="561">
        <v>0</v>
      </c>
      <c r="AN328" s="561">
        <v>0</v>
      </c>
      <c r="AO328" s="561">
        <v>0</v>
      </c>
      <c r="AP328" s="561">
        <v>0</v>
      </c>
      <c r="AQ328" s="561">
        <v>0</v>
      </c>
      <c r="AR328" s="561">
        <v>0</v>
      </c>
    </row>
    <row r="329" spans="1:44" x14ac:dyDescent="0.3">
      <c r="A329" s="1129" t="s">
        <v>3427</v>
      </c>
      <c r="B329" s="1129" t="s">
        <v>3428</v>
      </c>
      <c r="C329" s="1129" t="s">
        <v>3429</v>
      </c>
      <c r="D329" s="1129" t="s">
        <v>384</v>
      </c>
      <c r="E329" s="561">
        <v>-149</v>
      </c>
      <c r="F329" s="561">
        <v>0</v>
      </c>
      <c r="G329" s="561">
        <v>0</v>
      </c>
      <c r="H329" s="561">
        <v>0</v>
      </c>
      <c r="I329" s="561">
        <v>38</v>
      </c>
      <c r="J329" s="561">
        <v>0</v>
      </c>
      <c r="K329" s="561">
        <v>0</v>
      </c>
      <c r="L329" s="561">
        <v>1110</v>
      </c>
      <c r="M329" s="561">
        <v>0</v>
      </c>
      <c r="N329" s="561">
        <v>0</v>
      </c>
      <c r="O329" s="561">
        <v>284</v>
      </c>
      <c r="P329" s="561">
        <v>97</v>
      </c>
      <c r="Q329" s="561">
        <v>0</v>
      </c>
      <c r="R329" s="561">
        <v>7041</v>
      </c>
      <c r="S329" s="1217">
        <v>29263.08</v>
      </c>
      <c r="T329" s="1217">
        <v>150</v>
      </c>
      <c r="U329" s="1217">
        <v>0</v>
      </c>
      <c r="V329" s="561">
        <v>8410</v>
      </c>
      <c r="W329" s="561">
        <v>249</v>
      </c>
      <c r="X329" s="561">
        <v>201</v>
      </c>
      <c r="Y329" s="561">
        <v>0</v>
      </c>
      <c r="Z329" s="561">
        <v>285</v>
      </c>
      <c r="AA329" s="561">
        <v>0</v>
      </c>
      <c r="AB329" s="561">
        <v>0</v>
      </c>
      <c r="AC329" s="561">
        <v>0</v>
      </c>
      <c r="AD329" s="561">
        <v>0</v>
      </c>
      <c r="AE329" s="561">
        <v>0</v>
      </c>
      <c r="AF329" s="561">
        <v>0</v>
      </c>
      <c r="AG329" s="561">
        <v>5303</v>
      </c>
      <c r="AH329" s="561">
        <v>811</v>
      </c>
      <c r="AI329" s="561">
        <v>7117</v>
      </c>
      <c r="AJ329" s="561">
        <v>72</v>
      </c>
      <c r="AK329" s="561">
        <v>758</v>
      </c>
      <c r="AL329" s="561">
        <v>0</v>
      </c>
      <c r="AM329" s="561">
        <v>5</v>
      </c>
      <c r="AN329" s="561">
        <v>1</v>
      </c>
      <c r="AO329" s="561">
        <v>0</v>
      </c>
      <c r="AP329" s="561">
        <v>0</v>
      </c>
      <c r="AQ329" s="561">
        <v>143</v>
      </c>
      <c r="AR329" s="561">
        <v>1</v>
      </c>
    </row>
    <row r="330" spans="1:44" x14ac:dyDescent="0.3">
      <c r="A330" s="1129" t="s">
        <v>3430</v>
      </c>
      <c r="B330" s="1129" t="s">
        <v>3431</v>
      </c>
      <c r="C330" s="1129" t="s">
        <v>3432</v>
      </c>
      <c r="D330" s="1129" t="s">
        <v>379</v>
      </c>
      <c r="E330" s="561">
        <v>0</v>
      </c>
      <c r="F330" s="561">
        <v>0</v>
      </c>
      <c r="G330" s="561">
        <v>233568</v>
      </c>
      <c r="H330" s="561">
        <v>0</v>
      </c>
      <c r="I330" s="561">
        <v>749</v>
      </c>
      <c r="J330" s="561">
        <v>28668</v>
      </c>
      <c r="K330" s="561">
        <v>11980</v>
      </c>
      <c r="L330" s="561">
        <v>1614</v>
      </c>
      <c r="M330" s="561">
        <v>5614</v>
      </c>
      <c r="N330" s="561">
        <v>883</v>
      </c>
      <c r="O330" s="561">
        <v>0</v>
      </c>
      <c r="P330" s="561">
        <v>865</v>
      </c>
      <c r="Q330" s="561">
        <v>0</v>
      </c>
      <c r="R330" s="561">
        <v>206235</v>
      </c>
      <c r="S330" s="1217">
        <v>2711</v>
      </c>
      <c r="T330" s="1217">
        <v>182</v>
      </c>
      <c r="U330" s="1217">
        <v>0</v>
      </c>
      <c r="V330" s="561">
        <v>21657</v>
      </c>
      <c r="W330" s="561">
        <v>644</v>
      </c>
      <c r="X330" s="561">
        <v>2149</v>
      </c>
      <c r="Y330" s="561">
        <v>0</v>
      </c>
      <c r="Z330" s="561">
        <v>157</v>
      </c>
      <c r="AA330" s="561">
        <v>0</v>
      </c>
      <c r="AB330" s="561">
        <v>0</v>
      </c>
      <c r="AC330" s="561">
        <v>0</v>
      </c>
      <c r="AD330" s="561">
        <v>13720</v>
      </c>
      <c r="AE330" s="561">
        <v>0</v>
      </c>
      <c r="AF330" s="561">
        <v>1747</v>
      </c>
      <c r="AG330" s="561">
        <v>14515</v>
      </c>
      <c r="AH330" s="561">
        <v>985</v>
      </c>
      <c r="AI330" s="561">
        <v>37476</v>
      </c>
      <c r="AJ330" s="561">
        <v>17116</v>
      </c>
      <c r="AK330" s="561">
        <v>25194</v>
      </c>
      <c r="AL330" s="561">
        <v>66</v>
      </c>
      <c r="AM330" s="561">
        <v>56</v>
      </c>
      <c r="AN330" s="561">
        <v>8</v>
      </c>
      <c r="AO330" s="561">
        <v>69</v>
      </c>
      <c r="AP330" s="561">
        <v>0</v>
      </c>
      <c r="AQ330" s="561">
        <v>64</v>
      </c>
      <c r="AR330" s="561">
        <v>2</v>
      </c>
    </row>
    <row r="331" spans="1:44" x14ac:dyDescent="0.3">
      <c r="A331" s="1129" t="s">
        <v>3433</v>
      </c>
      <c r="B331" s="1129" t="s">
        <v>3434</v>
      </c>
      <c r="C331" s="1129" t="s">
        <v>3435</v>
      </c>
      <c r="D331" s="1129" t="s">
        <v>385</v>
      </c>
      <c r="E331" s="561">
        <v>-6686</v>
      </c>
      <c r="F331" s="561">
        <v>0</v>
      </c>
      <c r="G331" s="561">
        <v>101426</v>
      </c>
      <c r="H331" s="561">
        <v>16664</v>
      </c>
      <c r="I331" s="561">
        <v>549</v>
      </c>
      <c r="J331" s="561">
        <v>20163</v>
      </c>
      <c r="K331" s="561">
        <v>8848</v>
      </c>
      <c r="L331" s="561">
        <v>1235</v>
      </c>
      <c r="M331" s="561">
        <v>3698</v>
      </c>
      <c r="N331" s="561">
        <v>1172</v>
      </c>
      <c r="O331" s="561">
        <v>3829</v>
      </c>
      <c r="P331" s="561">
        <v>603</v>
      </c>
      <c r="Q331" s="561">
        <v>1073</v>
      </c>
      <c r="R331" s="561">
        <v>125612</v>
      </c>
      <c r="S331" s="1217">
        <v>0</v>
      </c>
      <c r="T331" s="1217">
        <v>3817</v>
      </c>
      <c r="U331" s="1217">
        <v>0</v>
      </c>
      <c r="V331" s="561">
        <v>2198</v>
      </c>
      <c r="W331" s="561">
        <v>553</v>
      </c>
      <c r="X331" s="561">
        <v>1570</v>
      </c>
      <c r="Y331" s="561">
        <v>0</v>
      </c>
      <c r="Z331" s="561">
        <v>60</v>
      </c>
      <c r="AA331" s="561">
        <v>0</v>
      </c>
      <c r="AB331" s="561">
        <v>0</v>
      </c>
      <c r="AC331" s="561">
        <v>0</v>
      </c>
      <c r="AD331" s="561">
        <v>3537</v>
      </c>
      <c r="AE331" s="561">
        <v>2254</v>
      </c>
      <c r="AF331" s="561">
        <v>3356</v>
      </c>
      <c r="AG331" s="561">
        <v>8000</v>
      </c>
      <c r="AH331" s="561">
        <v>0</v>
      </c>
      <c r="AI331" s="561">
        <v>30042</v>
      </c>
      <c r="AJ331" s="561">
        <v>0</v>
      </c>
      <c r="AK331" s="561">
        <v>0</v>
      </c>
      <c r="AL331" s="561">
        <v>0</v>
      </c>
      <c r="AM331" s="561">
        <v>5</v>
      </c>
      <c r="AN331" s="561">
        <v>13</v>
      </c>
      <c r="AO331" s="561">
        <v>13</v>
      </c>
      <c r="AP331" s="561">
        <v>0</v>
      </c>
      <c r="AQ331" s="561">
        <v>0</v>
      </c>
      <c r="AR331" s="561">
        <v>0</v>
      </c>
    </row>
    <row r="332" spans="1:44" x14ac:dyDescent="0.3">
      <c r="A332" s="1129" t="s">
        <v>3436</v>
      </c>
      <c r="B332" s="1129" t="s">
        <v>3437</v>
      </c>
      <c r="C332" s="1129" t="s">
        <v>3438</v>
      </c>
      <c r="D332" s="1129" t="s">
        <v>385</v>
      </c>
      <c r="E332" s="561">
        <v>-29489</v>
      </c>
      <c r="F332" s="561">
        <v>0</v>
      </c>
      <c r="G332" s="561">
        <v>108011</v>
      </c>
      <c r="H332" s="561">
        <v>26481</v>
      </c>
      <c r="I332" s="561">
        <v>841</v>
      </c>
      <c r="J332" s="561">
        <v>38525</v>
      </c>
      <c r="K332" s="561">
        <v>18996</v>
      </c>
      <c r="L332" s="561">
        <v>1748</v>
      </c>
      <c r="M332" s="561">
        <v>5827</v>
      </c>
      <c r="N332" s="561">
        <v>2677</v>
      </c>
      <c r="O332" s="561">
        <v>8686</v>
      </c>
      <c r="P332" s="561">
        <v>189</v>
      </c>
      <c r="Q332" s="561">
        <v>0</v>
      </c>
      <c r="R332" s="561">
        <v>116978</v>
      </c>
      <c r="S332" s="1217">
        <v>14203.26</v>
      </c>
      <c r="T332" s="1217">
        <v>0</v>
      </c>
      <c r="U332" s="1217">
        <v>0</v>
      </c>
      <c r="V332" s="561">
        <v>26932</v>
      </c>
      <c r="W332" s="561">
        <v>843</v>
      </c>
      <c r="X332" s="561">
        <v>2516</v>
      </c>
      <c r="Y332" s="561">
        <v>0</v>
      </c>
      <c r="Z332" s="561">
        <v>2192</v>
      </c>
      <c r="AA332" s="561">
        <v>0</v>
      </c>
      <c r="AB332" s="561">
        <v>0</v>
      </c>
      <c r="AC332" s="561">
        <v>0</v>
      </c>
      <c r="AD332" s="561">
        <v>1257</v>
      </c>
      <c r="AE332" s="561">
        <v>8828</v>
      </c>
      <c r="AF332" s="561">
        <v>3654</v>
      </c>
      <c r="AG332" s="561">
        <v>14800</v>
      </c>
      <c r="AH332" s="561">
        <v>4995</v>
      </c>
      <c r="AI332" s="561">
        <v>0</v>
      </c>
      <c r="AJ332" s="561">
        <v>5347</v>
      </c>
      <c r="AK332" s="561">
        <v>0</v>
      </c>
      <c r="AL332" s="561">
        <v>29733</v>
      </c>
      <c r="AM332" s="561">
        <v>61</v>
      </c>
      <c r="AN332" s="561">
        <v>0</v>
      </c>
      <c r="AO332" s="561">
        <v>0</v>
      </c>
      <c r="AP332" s="561">
        <v>0</v>
      </c>
      <c r="AQ332" s="561">
        <v>33</v>
      </c>
      <c r="AR332" s="561">
        <v>0</v>
      </c>
    </row>
    <row r="333" spans="1:44" x14ac:dyDescent="0.3">
      <c r="A333" s="1129" t="s">
        <v>3439</v>
      </c>
      <c r="B333" s="1129" t="s">
        <v>3440</v>
      </c>
      <c r="C333" s="1129" t="s">
        <v>3441</v>
      </c>
      <c r="D333" s="1129" t="s">
        <v>384</v>
      </c>
      <c r="E333" s="561">
        <v>-169</v>
      </c>
      <c r="F333" s="561">
        <v>0</v>
      </c>
      <c r="G333" s="561">
        <v>0</v>
      </c>
      <c r="H333" s="561">
        <v>0</v>
      </c>
      <c r="I333" s="561">
        <v>37</v>
      </c>
      <c r="J333" s="561">
        <v>0</v>
      </c>
      <c r="K333" s="561">
        <v>0</v>
      </c>
      <c r="L333" s="561">
        <v>791</v>
      </c>
      <c r="M333" s="561">
        <v>0</v>
      </c>
      <c r="N333" s="561">
        <v>0</v>
      </c>
      <c r="O333" s="561">
        <v>0</v>
      </c>
      <c r="P333" s="561">
        <v>1326</v>
      </c>
      <c r="Q333" s="561">
        <v>5273</v>
      </c>
      <c r="R333" s="561">
        <v>15874</v>
      </c>
      <c r="S333" s="1217">
        <v>0</v>
      </c>
      <c r="T333" s="1217">
        <v>1465</v>
      </c>
      <c r="U333" s="1217">
        <v>0</v>
      </c>
      <c r="V333" s="561">
        <v>0</v>
      </c>
      <c r="W333" s="561">
        <v>234</v>
      </c>
      <c r="X333" s="561">
        <v>150</v>
      </c>
      <c r="Y333" s="561">
        <v>2907</v>
      </c>
      <c r="Z333" s="561">
        <v>303</v>
      </c>
      <c r="AA333" s="561">
        <v>0</v>
      </c>
      <c r="AB333" s="561">
        <v>0</v>
      </c>
      <c r="AC333" s="561">
        <v>0</v>
      </c>
      <c r="AD333" s="561">
        <v>0</v>
      </c>
      <c r="AE333" s="561">
        <v>0</v>
      </c>
      <c r="AF333" s="561">
        <v>0</v>
      </c>
      <c r="AG333" s="561">
        <v>13062</v>
      </c>
      <c r="AH333" s="561">
        <v>0</v>
      </c>
      <c r="AI333" s="561">
        <v>16746</v>
      </c>
      <c r="AJ333" s="561">
        <v>1500</v>
      </c>
      <c r="AK333" s="561">
        <v>7844</v>
      </c>
      <c r="AL333" s="561">
        <v>0</v>
      </c>
      <c r="AM333" s="561">
        <v>16</v>
      </c>
      <c r="AN333" s="561">
        <v>0</v>
      </c>
      <c r="AO333" s="561">
        <v>0</v>
      </c>
      <c r="AP333" s="561">
        <v>0</v>
      </c>
      <c r="AQ333" s="561">
        <v>33</v>
      </c>
      <c r="AR333" s="561">
        <v>0</v>
      </c>
    </row>
    <row r="334" spans="1:44" x14ac:dyDescent="0.3">
      <c r="A334" s="1129" t="s">
        <v>3442</v>
      </c>
      <c r="B334" s="1129" t="s">
        <v>3443</v>
      </c>
      <c r="C334" s="1129" t="s">
        <v>3444</v>
      </c>
      <c r="D334" s="1129" t="s">
        <v>384</v>
      </c>
      <c r="E334" s="561">
        <v>-208</v>
      </c>
      <c r="F334" s="561">
        <v>0</v>
      </c>
      <c r="G334" s="561">
        <v>0</v>
      </c>
      <c r="H334" s="561">
        <v>0</v>
      </c>
      <c r="I334" s="561">
        <v>35</v>
      </c>
      <c r="J334" s="561">
        <v>0</v>
      </c>
      <c r="K334" s="561">
        <v>0</v>
      </c>
      <c r="L334" s="561">
        <v>526</v>
      </c>
      <c r="M334" s="561">
        <v>0</v>
      </c>
      <c r="N334" s="561">
        <v>0</v>
      </c>
      <c r="O334" s="561">
        <v>0</v>
      </c>
      <c r="P334" s="561">
        <v>490</v>
      </c>
      <c r="Q334" s="561">
        <v>5949</v>
      </c>
      <c r="R334" s="561">
        <v>17559</v>
      </c>
      <c r="S334" s="1217">
        <v>15722</v>
      </c>
      <c r="T334" s="1217">
        <v>1179</v>
      </c>
      <c r="U334" s="1217">
        <v>0</v>
      </c>
      <c r="V334" s="561">
        <v>3474</v>
      </c>
      <c r="W334" s="561">
        <v>217</v>
      </c>
      <c r="X334" s="561">
        <v>161</v>
      </c>
      <c r="Y334" s="561">
        <v>998</v>
      </c>
      <c r="Z334" s="561">
        <v>0</v>
      </c>
      <c r="AA334" s="561">
        <v>0</v>
      </c>
      <c r="AB334" s="561">
        <v>0</v>
      </c>
      <c r="AC334" s="561">
        <v>0</v>
      </c>
      <c r="AD334" s="561">
        <v>0</v>
      </c>
      <c r="AE334" s="561">
        <v>0</v>
      </c>
      <c r="AF334" s="561">
        <v>0</v>
      </c>
      <c r="AG334" s="561">
        <v>2169</v>
      </c>
      <c r="AH334" s="561">
        <v>0</v>
      </c>
      <c r="AI334" s="561">
        <v>9379</v>
      </c>
      <c r="AJ334" s="561">
        <v>3851</v>
      </c>
      <c r="AK334" s="561">
        <v>10480</v>
      </c>
      <c r="AL334" s="561">
        <v>0</v>
      </c>
      <c r="AM334" s="561">
        <v>19</v>
      </c>
      <c r="AN334" s="561">
        <v>9</v>
      </c>
      <c r="AO334" s="561">
        <v>1</v>
      </c>
      <c r="AP334" s="561">
        <v>0</v>
      </c>
      <c r="AQ334" s="561">
        <v>6</v>
      </c>
      <c r="AR334" s="561">
        <v>6</v>
      </c>
    </row>
    <row r="335" spans="1:44" x14ac:dyDescent="0.3">
      <c r="A335" s="1129" t="s">
        <v>3445</v>
      </c>
      <c r="B335" s="1129" t="s">
        <v>3446</v>
      </c>
      <c r="C335" s="1129" t="s">
        <v>3447</v>
      </c>
      <c r="D335" s="1129" t="s">
        <v>2595</v>
      </c>
      <c r="E335" s="561">
        <v>-23359</v>
      </c>
      <c r="F335" s="561">
        <v>0</v>
      </c>
      <c r="G335" s="561">
        <v>308276</v>
      </c>
      <c r="H335" s="561">
        <v>35036</v>
      </c>
      <c r="I335" s="561">
        <v>1834</v>
      </c>
      <c r="J335" s="561">
        <v>80808</v>
      </c>
      <c r="K335" s="561">
        <v>35786</v>
      </c>
      <c r="L335" s="561">
        <v>0</v>
      </c>
      <c r="M335" s="561">
        <v>14269</v>
      </c>
      <c r="N335" s="561">
        <v>2293</v>
      </c>
      <c r="O335" s="561">
        <v>0</v>
      </c>
      <c r="P335" s="561">
        <v>1102</v>
      </c>
      <c r="Q335" s="561">
        <v>0</v>
      </c>
      <c r="R335" s="561">
        <v>454787</v>
      </c>
      <c r="S335" s="1217">
        <v>0</v>
      </c>
      <c r="T335" s="1217">
        <v>10460</v>
      </c>
      <c r="U335" s="1217">
        <v>0</v>
      </c>
      <c r="V335" s="561">
        <v>11579</v>
      </c>
      <c r="W335" s="561">
        <v>0</v>
      </c>
      <c r="X335" s="561">
        <v>4700</v>
      </c>
      <c r="Y335" s="561">
        <v>0</v>
      </c>
      <c r="Z335" s="561">
        <v>0</v>
      </c>
      <c r="AA335" s="561">
        <v>0</v>
      </c>
      <c r="AB335" s="561">
        <v>0</v>
      </c>
      <c r="AC335" s="561">
        <v>0</v>
      </c>
      <c r="AD335" s="561">
        <v>17526</v>
      </c>
      <c r="AE335" s="561">
        <v>0</v>
      </c>
      <c r="AF335" s="561">
        <v>5627</v>
      </c>
      <c r="AG335" s="561">
        <v>22344</v>
      </c>
      <c r="AH335" s="561">
        <v>0</v>
      </c>
      <c r="AI335" s="561">
        <v>47966</v>
      </c>
      <c r="AJ335" s="561">
        <v>51599</v>
      </c>
      <c r="AK335" s="561">
        <v>0</v>
      </c>
      <c r="AL335" s="561">
        <v>23068</v>
      </c>
      <c r="AM335" s="561">
        <v>0</v>
      </c>
      <c r="AN335" s="561">
        <v>0</v>
      </c>
      <c r="AO335" s="561">
        <v>0</v>
      </c>
      <c r="AP335" s="561">
        <v>0</v>
      </c>
      <c r="AQ335" s="561">
        <v>0</v>
      </c>
      <c r="AR335" s="561">
        <v>0</v>
      </c>
    </row>
    <row r="336" spans="1:44" x14ac:dyDescent="0.3">
      <c r="A336" s="1129" t="s">
        <v>3448</v>
      </c>
      <c r="B336" s="1129" t="s">
        <v>3449</v>
      </c>
      <c r="C336" s="1129" t="s">
        <v>3450</v>
      </c>
      <c r="D336" s="1129" t="s">
        <v>2466</v>
      </c>
      <c r="E336" s="561">
        <v>0</v>
      </c>
      <c r="F336" s="561">
        <v>-92221</v>
      </c>
      <c r="G336" s="561">
        <v>0</v>
      </c>
      <c r="H336" s="561">
        <v>0</v>
      </c>
      <c r="I336" s="561">
        <v>0</v>
      </c>
      <c r="J336" s="561">
        <v>0</v>
      </c>
      <c r="K336" s="561">
        <v>0</v>
      </c>
      <c r="L336" s="561">
        <v>0</v>
      </c>
      <c r="M336" s="561">
        <v>0</v>
      </c>
      <c r="N336" s="561">
        <v>0</v>
      </c>
      <c r="O336" s="561">
        <v>0</v>
      </c>
      <c r="P336" s="561">
        <v>0</v>
      </c>
      <c r="Q336" s="561">
        <v>0</v>
      </c>
      <c r="R336" s="561">
        <v>79830</v>
      </c>
      <c r="S336" s="1217">
        <v>0</v>
      </c>
      <c r="T336" s="1217">
        <v>8185</v>
      </c>
      <c r="U336" s="1217">
        <v>-3265</v>
      </c>
      <c r="V336" s="561">
        <v>246</v>
      </c>
      <c r="W336" s="561">
        <v>0</v>
      </c>
      <c r="X336" s="561">
        <v>0</v>
      </c>
      <c r="Y336" s="561">
        <v>0</v>
      </c>
      <c r="Z336" s="561">
        <v>0</v>
      </c>
      <c r="AA336" s="561">
        <v>4311</v>
      </c>
      <c r="AB336" s="561">
        <v>1801</v>
      </c>
      <c r="AC336" s="561">
        <v>2370</v>
      </c>
      <c r="AD336" s="561">
        <v>0</v>
      </c>
      <c r="AE336" s="561">
        <v>0</v>
      </c>
      <c r="AF336" s="561">
        <v>0</v>
      </c>
      <c r="AG336" s="561">
        <v>4600</v>
      </c>
      <c r="AH336" s="561">
        <v>0</v>
      </c>
      <c r="AI336" s="561">
        <v>8939</v>
      </c>
      <c r="AJ336" s="561">
        <v>0</v>
      </c>
      <c r="AK336" s="561">
        <v>12740</v>
      </c>
      <c r="AL336" s="561">
        <v>1476</v>
      </c>
      <c r="AM336" s="561">
        <v>0</v>
      </c>
      <c r="AN336" s="561">
        <v>0</v>
      </c>
      <c r="AO336" s="561">
        <v>0</v>
      </c>
      <c r="AP336" s="561">
        <v>0</v>
      </c>
      <c r="AQ336" s="561">
        <v>0</v>
      </c>
      <c r="AR336" s="561">
        <v>0</v>
      </c>
    </row>
    <row r="337" spans="1:44" x14ac:dyDescent="0.3">
      <c r="A337" s="1129" t="s">
        <v>3451</v>
      </c>
      <c r="B337" s="1129" t="s">
        <v>3452</v>
      </c>
      <c r="C337" s="1129" t="s">
        <v>3453</v>
      </c>
      <c r="D337" s="1129" t="s">
        <v>379</v>
      </c>
      <c r="E337" s="561">
        <v>-35376</v>
      </c>
      <c r="F337" s="561">
        <v>0</v>
      </c>
      <c r="G337" s="561">
        <v>130366</v>
      </c>
      <c r="H337" s="561">
        <v>28253</v>
      </c>
      <c r="I337" s="561">
        <v>866</v>
      </c>
      <c r="J337" s="561">
        <v>45542</v>
      </c>
      <c r="K337" s="561">
        <v>23050</v>
      </c>
      <c r="L337" s="561">
        <v>1483</v>
      </c>
      <c r="M337" s="561">
        <v>6859</v>
      </c>
      <c r="N337" s="561">
        <v>2158</v>
      </c>
      <c r="O337" s="561">
        <v>10302</v>
      </c>
      <c r="P337" s="561">
        <v>1282</v>
      </c>
      <c r="Q337" s="561">
        <v>65</v>
      </c>
      <c r="R337" s="561">
        <v>137359</v>
      </c>
      <c r="S337" s="1217">
        <v>0</v>
      </c>
      <c r="T337" s="1217">
        <v>4153</v>
      </c>
      <c r="U337" s="1217">
        <v>0</v>
      </c>
      <c r="V337" s="561">
        <v>12471</v>
      </c>
      <c r="W337" s="561">
        <v>1123</v>
      </c>
      <c r="X337" s="561">
        <v>2427</v>
      </c>
      <c r="Y337" s="561">
        <v>0</v>
      </c>
      <c r="Z337" s="561">
        <v>316</v>
      </c>
      <c r="AA337" s="561">
        <v>0</v>
      </c>
      <c r="AB337" s="561">
        <v>0</v>
      </c>
      <c r="AC337" s="561">
        <v>0</v>
      </c>
      <c r="AD337" s="561">
        <v>7758</v>
      </c>
      <c r="AE337" s="561">
        <v>0</v>
      </c>
      <c r="AF337" s="561">
        <v>5321</v>
      </c>
      <c r="AG337" s="561">
        <v>13500</v>
      </c>
      <c r="AH337" s="561">
        <v>6271</v>
      </c>
      <c r="AI337" s="561">
        <v>109639</v>
      </c>
      <c r="AJ337" s="561">
        <v>7526</v>
      </c>
      <c r="AK337" s="561">
        <v>30034</v>
      </c>
      <c r="AL337" s="561">
        <v>0</v>
      </c>
      <c r="AM337" s="561">
        <v>27</v>
      </c>
      <c r="AN337" s="561">
        <v>44</v>
      </c>
      <c r="AO337" s="561">
        <v>25</v>
      </c>
      <c r="AP337" s="561">
        <v>10</v>
      </c>
      <c r="AQ337" s="561">
        <v>52</v>
      </c>
      <c r="AR337" s="561">
        <v>13</v>
      </c>
    </row>
    <row r="338" spans="1:44" x14ac:dyDescent="0.3">
      <c r="A338" s="1129" t="s">
        <v>3454</v>
      </c>
      <c r="B338" s="1129" t="s">
        <v>3455</v>
      </c>
      <c r="C338" s="1129" t="s">
        <v>3456</v>
      </c>
      <c r="D338" s="1129" t="s">
        <v>2595</v>
      </c>
      <c r="E338" s="561">
        <v>-3433</v>
      </c>
      <c r="F338" s="561">
        <v>0</v>
      </c>
      <c r="G338" s="561">
        <v>674697</v>
      </c>
      <c r="H338" s="561">
        <v>45150</v>
      </c>
      <c r="I338" s="561">
        <v>2490</v>
      </c>
      <c r="J338" s="561">
        <v>80362</v>
      </c>
      <c r="K338" s="561">
        <v>14074</v>
      </c>
      <c r="L338" s="561">
        <v>0</v>
      </c>
      <c r="M338" s="561">
        <v>17477</v>
      </c>
      <c r="N338" s="561">
        <v>2357</v>
      </c>
      <c r="O338" s="561">
        <v>0</v>
      </c>
      <c r="P338" s="561">
        <v>888</v>
      </c>
      <c r="Q338" s="561">
        <v>0</v>
      </c>
      <c r="R338" s="561">
        <v>972289</v>
      </c>
      <c r="S338" s="1217">
        <v>0</v>
      </c>
      <c r="T338" s="1217">
        <v>0</v>
      </c>
      <c r="U338" s="1217">
        <v>0</v>
      </c>
      <c r="V338" s="561">
        <v>17748</v>
      </c>
      <c r="W338" s="561">
        <v>0</v>
      </c>
      <c r="X338" s="561">
        <v>7824</v>
      </c>
      <c r="Y338" s="561">
        <v>0</v>
      </c>
      <c r="Z338" s="561">
        <v>0</v>
      </c>
      <c r="AA338" s="561">
        <v>0</v>
      </c>
      <c r="AB338" s="561">
        <v>0</v>
      </c>
      <c r="AC338" s="561">
        <v>0</v>
      </c>
      <c r="AD338" s="561">
        <v>52137</v>
      </c>
      <c r="AE338" s="561">
        <v>144003</v>
      </c>
      <c r="AF338" s="561">
        <v>0</v>
      </c>
      <c r="AG338" s="561">
        <v>49071</v>
      </c>
      <c r="AH338" s="561">
        <v>19469</v>
      </c>
      <c r="AI338" s="561">
        <v>24219</v>
      </c>
      <c r="AJ338" s="561">
        <v>50521</v>
      </c>
      <c r="AK338" s="561">
        <v>74323</v>
      </c>
      <c r="AL338" s="561">
        <v>0</v>
      </c>
      <c r="AM338" s="561">
        <v>0</v>
      </c>
      <c r="AN338" s="561">
        <v>0</v>
      </c>
      <c r="AO338" s="561">
        <v>0</v>
      </c>
      <c r="AP338" s="561">
        <v>0</v>
      </c>
      <c r="AQ338" s="561">
        <v>0</v>
      </c>
      <c r="AR338" s="561">
        <v>0</v>
      </c>
    </row>
    <row r="339" spans="1:44" x14ac:dyDescent="0.3">
      <c r="A339" s="1129" t="s">
        <v>3457</v>
      </c>
      <c r="B339" s="1129" t="s">
        <v>3458</v>
      </c>
      <c r="C339" s="1129" t="s">
        <v>3459</v>
      </c>
      <c r="D339" s="1129" t="s">
        <v>384</v>
      </c>
      <c r="E339" s="561">
        <v>-99</v>
      </c>
      <c r="F339" s="561">
        <v>0</v>
      </c>
      <c r="G339" s="561">
        <v>0</v>
      </c>
      <c r="H339" s="561">
        <v>0</v>
      </c>
      <c r="I339" s="561">
        <v>37</v>
      </c>
      <c r="J339" s="561">
        <v>0</v>
      </c>
      <c r="K339" s="561">
        <v>0</v>
      </c>
      <c r="L339" s="561">
        <v>495</v>
      </c>
      <c r="M339" s="561">
        <v>0</v>
      </c>
      <c r="N339" s="561">
        <v>0</v>
      </c>
      <c r="O339" s="561">
        <v>0</v>
      </c>
      <c r="P339" s="561">
        <v>12</v>
      </c>
      <c r="Q339" s="561">
        <v>946</v>
      </c>
      <c r="R339" s="561">
        <v>11372</v>
      </c>
      <c r="S339" s="1217">
        <v>0</v>
      </c>
      <c r="T339" s="1217">
        <v>0</v>
      </c>
      <c r="U339" s="1217">
        <v>0</v>
      </c>
      <c r="V339" s="561">
        <v>1254</v>
      </c>
      <c r="W339" s="561">
        <v>120</v>
      </c>
      <c r="X339" s="561">
        <v>124</v>
      </c>
      <c r="Y339" s="561">
        <v>622</v>
      </c>
      <c r="Z339" s="561">
        <v>92</v>
      </c>
      <c r="AA339" s="561">
        <v>0</v>
      </c>
      <c r="AB339" s="561">
        <v>0</v>
      </c>
      <c r="AC339" s="561">
        <v>0</v>
      </c>
      <c r="AD339" s="561">
        <v>0</v>
      </c>
      <c r="AE339" s="561">
        <v>0</v>
      </c>
      <c r="AF339" s="561">
        <v>0</v>
      </c>
      <c r="AG339" s="561">
        <v>5061</v>
      </c>
      <c r="AH339" s="561">
        <v>0</v>
      </c>
      <c r="AI339" s="561">
        <v>24286</v>
      </c>
      <c r="AJ339" s="561">
        <v>1191</v>
      </c>
      <c r="AK339" s="561">
        <v>12997</v>
      </c>
      <c r="AL339" s="561">
        <v>0</v>
      </c>
      <c r="AM339" s="561">
        <v>5</v>
      </c>
      <c r="AN339" s="561">
        <v>2</v>
      </c>
      <c r="AO339" s="561">
        <v>0</v>
      </c>
      <c r="AP339" s="561">
        <v>0</v>
      </c>
      <c r="AQ339" s="561">
        <v>40</v>
      </c>
      <c r="AR339" s="561">
        <v>0</v>
      </c>
    </row>
    <row r="340" spans="1:44" x14ac:dyDescent="0.3">
      <c r="A340" s="1129" t="s">
        <v>3460</v>
      </c>
      <c r="B340" s="1129" t="s">
        <v>3461</v>
      </c>
      <c r="C340" s="1129" t="s">
        <v>3462</v>
      </c>
      <c r="D340" s="1129" t="s">
        <v>2466</v>
      </c>
      <c r="E340" s="561">
        <v>0</v>
      </c>
      <c r="F340" s="561">
        <v>-131995</v>
      </c>
      <c r="G340" s="561">
        <v>0</v>
      </c>
      <c r="H340" s="561">
        <v>0</v>
      </c>
      <c r="I340" s="561">
        <v>0</v>
      </c>
      <c r="J340" s="561">
        <v>0</v>
      </c>
      <c r="K340" s="561">
        <v>0</v>
      </c>
      <c r="L340" s="561">
        <v>0</v>
      </c>
      <c r="M340" s="561">
        <v>0</v>
      </c>
      <c r="N340" s="561">
        <v>0</v>
      </c>
      <c r="O340" s="561">
        <v>0</v>
      </c>
      <c r="P340" s="561">
        <v>0</v>
      </c>
      <c r="Q340" s="561">
        <v>0</v>
      </c>
      <c r="R340" s="561">
        <v>177764</v>
      </c>
      <c r="S340" s="1217">
        <v>0</v>
      </c>
      <c r="T340" s="1217">
        <v>7100</v>
      </c>
      <c r="U340" s="1217">
        <v>0</v>
      </c>
      <c r="V340" s="561">
        <v>290</v>
      </c>
      <c r="W340" s="561">
        <v>0</v>
      </c>
      <c r="X340" s="561">
        <v>0</v>
      </c>
      <c r="Y340" s="561">
        <v>0</v>
      </c>
      <c r="Z340" s="561">
        <v>0</v>
      </c>
      <c r="AA340" s="561">
        <v>5689</v>
      </c>
      <c r="AB340" s="561">
        <v>2588</v>
      </c>
      <c r="AC340" s="561">
        <v>3964</v>
      </c>
      <c r="AD340" s="561">
        <v>0</v>
      </c>
      <c r="AE340" s="561">
        <v>0</v>
      </c>
      <c r="AF340" s="561">
        <v>0</v>
      </c>
      <c r="AG340" s="561">
        <v>12066</v>
      </c>
      <c r="AH340" s="561">
        <v>0</v>
      </c>
      <c r="AI340" s="561">
        <v>16318</v>
      </c>
      <c r="AJ340" s="561">
        <v>0</v>
      </c>
      <c r="AK340" s="561">
        <v>8823</v>
      </c>
      <c r="AL340" s="561">
        <v>0</v>
      </c>
      <c r="AM340" s="561">
        <v>0</v>
      </c>
      <c r="AN340" s="561">
        <v>0</v>
      </c>
      <c r="AO340" s="561">
        <v>0</v>
      </c>
      <c r="AP340" s="561">
        <v>0</v>
      </c>
      <c r="AQ340" s="561">
        <v>0</v>
      </c>
      <c r="AR340" s="561">
        <v>0</v>
      </c>
    </row>
    <row r="341" spans="1:44" x14ac:dyDescent="0.3">
      <c r="A341" s="1129" t="s">
        <v>3463</v>
      </c>
      <c r="B341" s="1129" t="s">
        <v>3464</v>
      </c>
      <c r="C341" s="1129" t="s">
        <v>3465</v>
      </c>
      <c r="D341" s="1129" t="s">
        <v>2466</v>
      </c>
      <c r="E341" s="561">
        <v>0</v>
      </c>
      <c r="F341" s="561">
        <v>-217042</v>
      </c>
      <c r="G341" s="561">
        <v>0</v>
      </c>
      <c r="H341" s="561">
        <v>0</v>
      </c>
      <c r="I341" s="561">
        <v>0</v>
      </c>
      <c r="J341" s="561">
        <v>0</v>
      </c>
      <c r="K341" s="561">
        <v>0</v>
      </c>
      <c r="L341" s="561">
        <v>0</v>
      </c>
      <c r="M341" s="561">
        <v>0</v>
      </c>
      <c r="N341" s="561">
        <v>0</v>
      </c>
      <c r="O341" s="561">
        <v>0</v>
      </c>
      <c r="P341" s="561">
        <v>0</v>
      </c>
      <c r="Q341" s="561">
        <v>0</v>
      </c>
      <c r="R341" s="561">
        <v>177340</v>
      </c>
      <c r="S341" s="1217">
        <v>0</v>
      </c>
      <c r="T341" s="1217">
        <v>6891</v>
      </c>
      <c r="U341" s="1217">
        <v>0</v>
      </c>
      <c r="V341" s="561">
        <v>184</v>
      </c>
      <c r="W341" s="561">
        <v>0</v>
      </c>
      <c r="X341" s="561">
        <v>0</v>
      </c>
      <c r="Y341" s="561">
        <v>0</v>
      </c>
      <c r="Z341" s="561">
        <v>0</v>
      </c>
      <c r="AA341" s="561">
        <v>10682</v>
      </c>
      <c r="AB341" s="561">
        <v>4297</v>
      </c>
      <c r="AC341" s="561">
        <v>5503</v>
      </c>
      <c r="AD341" s="561">
        <v>0</v>
      </c>
      <c r="AE341" s="561">
        <v>0</v>
      </c>
      <c r="AF341" s="561">
        <v>0</v>
      </c>
      <c r="AG341" s="561">
        <v>15033</v>
      </c>
      <c r="AH341" s="561">
        <v>3743</v>
      </c>
      <c r="AI341" s="561">
        <v>31467</v>
      </c>
      <c r="AJ341" s="561">
        <v>3690</v>
      </c>
      <c r="AK341" s="561">
        <v>0</v>
      </c>
      <c r="AL341" s="561">
        <v>0</v>
      </c>
      <c r="AM341" s="561">
        <v>0</v>
      </c>
      <c r="AN341" s="561">
        <v>0</v>
      </c>
      <c r="AO341" s="561">
        <v>0</v>
      </c>
      <c r="AP341" s="561">
        <v>0</v>
      </c>
      <c r="AQ341" s="561">
        <v>0</v>
      </c>
      <c r="AR341" s="561">
        <v>0</v>
      </c>
    </row>
    <row r="342" spans="1:44" x14ac:dyDescent="0.3">
      <c r="A342" s="1129" t="s">
        <v>3466</v>
      </c>
      <c r="B342" s="1129" t="s">
        <v>3467</v>
      </c>
      <c r="C342" s="1129" t="s">
        <v>3468</v>
      </c>
      <c r="D342" s="1129" t="s">
        <v>2476</v>
      </c>
      <c r="E342" s="561">
        <v>-8608</v>
      </c>
      <c r="F342" s="561">
        <v>0</v>
      </c>
      <c r="G342" s="561">
        <v>150938</v>
      </c>
      <c r="H342" s="561">
        <v>11844</v>
      </c>
      <c r="I342" s="561">
        <v>37</v>
      </c>
      <c r="J342" s="561">
        <v>14831</v>
      </c>
      <c r="K342" s="561">
        <v>5017</v>
      </c>
      <c r="L342" s="561">
        <v>3110</v>
      </c>
      <c r="M342" s="561">
        <v>3226</v>
      </c>
      <c r="N342" s="561">
        <v>579</v>
      </c>
      <c r="O342" s="561">
        <v>0</v>
      </c>
      <c r="P342" s="561">
        <v>16</v>
      </c>
      <c r="Q342" s="561">
        <v>0</v>
      </c>
      <c r="R342" s="561">
        <v>134885</v>
      </c>
      <c r="S342" s="1217">
        <v>25961</v>
      </c>
      <c r="T342" s="1217">
        <v>0</v>
      </c>
      <c r="U342" s="1217">
        <v>-2300</v>
      </c>
      <c r="V342" s="561">
        <v>10884</v>
      </c>
      <c r="W342" s="561">
        <v>536</v>
      </c>
      <c r="X342" s="561">
        <v>1732</v>
      </c>
      <c r="Y342" s="561">
        <v>0</v>
      </c>
      <c r="Z342" s="561">
        <v>538</v>
      </c>
      <c r="AA342" s="561">
        <v>0</v>
      </c>
      <c r="AB342" s="561">
        <v>0</v>
      </c>
      <c r="AC342" s="561">
        <v>0</v>
      </c>
      <c r="AD342" s="561">
        <v>3129</v>
      </c>
      <c r="AE342" s="561">
        <v>0</v>
      </c>
      <c r="AF342" s="561">
        <v>463</v>
      </c>
      <c r="AG342" s="561">
        <v>8894</v>
      </c>
      <c r="AH342" s="561">
        <v>0</v>
      </c>
      <c r="AI342" s="561">
        <v>3977</v>
      </c>
      <c r="AJ342" s="561">
        <v>18224</v>
      </c>
      <c r="AK342" s="561">
        <v>4859</v>
      </c>
      <c r="AL342" s="561">
        <v>0</v>
      </c>
      <c r="AM342" s="561">
        <v>39</v>
      </c>
      <c r="AN342" s="561">
        <v>537</v>
      </c>
      <c r="AO342" s="561">
        <v>0</v>
      </c>
      <c r="AP342" s="561">
        <v>64</v>
      </c>
      <c r="AQ342" s="561">
        <v>430</v>
      </c>
      <c r="AR342" s="561">
        <v>39</v>
      </c>
    </row>
    <row r="343" spans="1:44" x14ac:dyDescent="0.3">
      <c r="A343" s="1129" t="s">
        <v>3469</v>
      </c>
      <c r="B343" s="1129" t="s">
        <v>3470</v>
      </c>
      <c r="C343" s="1129" t="s">
        <v>3471</v>
      </c>
      <c r="D343" s="1129" t="s">
        <v>384</v>
      </c>
      <c r="E343" s="561">
        <v>-363</v>
      </c>
      <c r="F343" s="561">
        <v>0</v>
      </c>
      <c r="G343" s="561">
        <v>0</v>
      </c>
      <c r="H343" s="561">
        <v>0</v>
      </c>
      <c r="I343" s="561">
        <v>36</v>
      </c>
      <c r="J343" s="561">
        <v>0</v>
      </c>
      <c r="K343" s="561">
        <v>0</v>
      </c>
      <c r="L343" s="561">
        <v>1346</v>
      </c>
      <c r="M343" s="561">
        <v>0</v>
      </c>
      <c r="N343" s="561">
        <v>0</v>
      </c>
      <c r="O343" s="561">
        <v>539</v>
      </c>
      <c r="P343" s="561">
        <v>988</v>
      </c>
      <c r="Q343" s="561">
        <v>2166</v>
      </c>
      <c r="R343" s="561">
        <v>12605</v>
      </c>
      <c r="S343" s="1217">
        <v>0</v>
      </c>
      <c r="T343" s="1217">
        <v>391</v>
      </c>
      <c r="U343" s="1217">
        <v>0</v>
      </c>
      <c r="V343" s="561">
        <v>134</v>
      </c>
      <c r="W343" s="561">
        <v>371</v>
      </c>
      <c r="X343" s="561">
        <v>200</v>
      </c>
      <c r="Y343" s="561">
        <v>0</v>
      </c>
      <c r="Z343" s="561">
        <v>706</v>
      </c>
      <c r="AA343" s="561">
        <v>0</v>
      </c>
      <c r="AB343" s="561">
        <v>0</v>
      </c>
      <c r="AC343" s="561">
        <v>0</v>
      </c>
      <c r="AD343" s="561">
        <v>0</v>
      </c>
      <c r="AE343" s="561">
        <v>0</v>
      </c>
      <c r="AF343" s="561">
        <v>0</v>
      </c>
      <c r="AG343" s="561">
        <v>3103</v>
      </c>
      <c r="AH343" s="561">
        <v>0</v>
      </c>
      <c r="AI343" s="561">
        <v>10992</v>
      </c>
      <c r="AJ343" s="561">
        <v>0</v>
      </c>
      <c r="AK343" s="561">
        <v>5877</v>
      </c>
      <c r="AL343" s="561">
        <v>0</v>
      </c>
      <c r="AM343" s="561">
        <v>18</v>
      </c>
      <c r="AN343" s="561">
        <v>137</v>
      </c>
      <c r="AO343" s="561">
        <v>10</v>
      </c>
      <c r="AP343" s="561">
        <v>0</v>
      </c>
      <c r="AQ343" s="561">
        <v>127</v>
      </c>
      <c r="AR343" s="561">
        <v>0</v>
      </c>
    </row>
    <row r="344" spans="1:44" x14ac:dyDescent="0.3">
      <c r="A344" s="1129" t="s">
        <v>3472</v>
      </c>
      <c r="B344" s="1129" t="s">
        <v>3473</v>
      </c>
      <c r="C344" s="1129" t="s">
        <v>3474</v>
      </c>
      <c r="D344" s="1129" t="s">
        <v>385</v>
      </c>
      <c r="E344" s="561">
        <v>-5726</v>
      </c>
      <c r="F344" s="561">
        <v>0</v>
      </c>
      <c r="G344" s="561">
        <v>98882</v>
      </c>
      <c r="H344" s="561">
        <v>11912</v>
      </c>
      <c r="I344" s="561">
        <v>559</v>
      </c>
      <c r="J344" s="561">
        <v>15717</v>
      </c>
      <c r="K344" s="561">
        <v>6656</v>
      </c>
      <c r="L344" s="561">
        <v>3242</v>
      </c>
      <c r="M344" s="561">
        <v>3365</v>
      </c>
      <c r="N344" s="561">
        <v>999</v>
      </c>
      <c r="O344" s="561">
        <v>0</v>
      </c>
      <c r="P344" s="561">
        <v>1038</v>
      </c>
      <c r="Q344" s="561">
        <v>12943</v>
      </c>
      <c r="R344" s="561">
        <v>152706</v>
      </c>
      <c r="S344" s="1217">
        <v>5524.89</v>
      </c>
      <c r="T344" s="1217">
        <v>67</v>
      </c>
      <c r="U344" s="1217">
        <v>-6831</v>
      </c>
      <c r="V344" s="561">
        <v>12763</v>
      </c>
      <c r="W344" s="561">
        <v>526</v>
      </c>
      <c r="X344" s="561">
        <v>1665</v>
      </c>
      <c r="Y344" s="561">
        <v>0</v>
      </c>
      <c r="Z344" s="561">
        <v>583</v>
      </c>
      <c r="AA344" s="561">
        <v>0</v>
      </c>
      <c r="AB344" s="561">
        <v>0</v>
      </c>
      <c r="AC344" s="561">
        <v>0</v>
      </c>
      <c r="AD344" s="561">
        <v>3685</v>
      </c>
      <c r="AE344" s="561">
        <v>0</v>
      </c>
      <c r="AF344" s="561">
        <v>3765</v>
      </c>
      <c r="AG344" s="561">
        <v>8496</v>
      </c>
      <c r="AH344" s="561">
        <v>120</v>
      </c>
      <c r="AI344" s="561">
        <v>1550</v>
      </c>
      <c r="AJ344" s="561">
        <v>21453</v>
      </c>
      <c r="AK344" s="561">
        <v>16313</v>
      </c>
      <c r="AL344" s="561">
        <v>0</v>
      </c>
      <c r="AM344" s="561" t="s">
        <v>2534</v>
      </c>
      <c r="AN344" s="561" t="s">
        <v>2534</v>
      </c>
      <c r="AO344" s="561" t="s">
        <v>2534</v>
      </c>
      <c r="AP344" s="561" t="s">
        <v>2534</v>
      </c>
      <c r="AQ344" s="561" t="s">
        <v>2534</v>
      </c>
      <c r="AR344" s="561" t="s">
        <v>2534</v>
      </c>
    </row>
    <row r="345" spans="1:44" x14ac:dyDescent="0.3">
      <c r="A345" s="1129" t="s">
        <v>3475</v>
      </c>
      <c r="B345" s="1129" t="s">
        <v>3476</v>
      </c>
      <c r="C345" s="1129" t="s">
        <v>3477</v>
      </c>
      <c r="D345" s="1129" t="s">
        <v>379</v>
      </c>
      <c r="E345" s="561">
        <v>0</v>
      </c>
      <c r="F345" s="561">
        <v>0</v>
      </c>
      <c r="G345" s="561">
        <v>130186</v>
      </c>
      <c r="H345" s="561">
        <v>0</v>
      </c>
      <c r="I345" s="561">
        <v>711</v>
      </c>
      <c r="J345" s="561">
        <v>31390</v>
      </c>
      <c r="K345" s="561">
        <v>15526</v>
      </c>
      <c r="L345" s="561">
        <v>1564</v>
      </c>
      <c r="M345" s="561">
        <v>5049</v>
      </c>
      <c r="N345" s="561">
        <v>1716</v>
      </c>
      <c r="O345" s="561">
        <v>7602</v>
      </c>
      <c r="P345" s="561">
        <v>415</v>
      </c>
      <c r="Q345" s="561">
        <v>37</v>
      </c>
      <c r="R345" s="561">
        <v>124513</v>
      </c>
      <c r="S345" s="1217">
        <v>0</v>
      </c>
      <c r="T345" s="1217">
        <v>5403</v>
      </c>
      <c r="U345" s="1217">
        <v>0</v>
      </c>
      <c r="V345" s="561">
        <v>3726</v>
      </c>
      <c r="W345" s="561">
        <v>763</v>
      </c>
      <c r="X345" s="561">
        <v>1853</v>
      </c>
      <c r="Y345" s="561">
        <v>0</v>
      </c>
      <c r="Z345" s="561">
        <v>407</v>
      </c>
      <c r="AA345" s="561">
        <v>0</v>
      </c>
      <c r="AB345" s="561">
        <v>0</v>
      </c>
      <c r="AC345" s="561">
        <v>0</v>
      </c>
      <c r="AD345" s="561">
        <v>9528</v>
      </c>
      <c r="AE345" s="561">
        <v>0</v>
      </c>
      <c r="AF345" s="561">
        <v>1442</v>
      </c>
      <c r="AG345" s="561">
        <v>27537</v>
      </c>
      <c r="AH345" s="561">
        <v>15920</v>
      </c>
      <c r="AI345" s="561">
        <v>34825</v>
      </c>
      <c r="AJ345" s="561">
        <v>11243</v>
      </c>
      <c r="AK345" s="561">
        <v>25051</v>
      </c>
      <c r="AL345" s="561">
        <v>0</v>
      </c>
      <c r="AM345" s="561">
        <v>165</v>
      </c>
      <c r="AN345" s="561">
        <v>151</v>
      </c>
      <c r="AO345" s="561">
        <v>23</v>
      </c>
      <c r="AP345" s="561">
        <v>2</v>
      </c>
      <c r="AQ345" s="561">
        <v>63</v>
      </c>
      <c r="AR345" s="561">
        <v>4</v>
      </c>
    </row>
    <row r="346" spans="1:44" x14ac:dyDescent="0.3">
      <c r="A346" s="1129" t="s">
        <v>3478</v>
      </c>
      <c r="B346" s="1129" t="s">
        <v>3479</v>
      </c>
      <c r="C346" s="1129" t="s">
        <v>3480</v>
      </c>
      <c r="D346" s="1129" t="s">
        <v>384</v>
      </c>
      <c r="E346" s="561">
        <v>-363</v>
      </c>
      <c r="F346" s="561">
        <v>0</v>
      </c>
      <c r="G346" s="561">
        <v>0</v>
      </c>
      <c r="H346" s="561">
        <v>0</v>
      </c>
      <c r="I346" s="561">
        <v>36</v>
      </c>
      <c r="J346" s="561">
        <v>0</v>
      </c>
      <c r="K346" s="561">
        <v>0</v>
      </c>
      <c r="L346" s="561">
        <v>480</v>
      </c>
      <c r="M346" s="561">
        <v>0</v>
      </c>
      <c r="N346" s="561">
        <v>0</v>
      </c>
      <c r="O346" s="561">
        <v>279</v>
      </c>
      <c r="P346" s="561">
        <v>286</v>
      </c>
      <c r="Q346" s="561">
        <v>0</v>
      </c>
      <c r="R346" s="561">
        <v>4926</v>
      </c>
      <c r="S346" s="1217">
        <v>12293</v>
      </c>
      <c r="T346" s="1217">
        <v>708</v>
      </c>
      <c r="U346" s="1217">
        <v>0</v>
      </c>
      <c r="V346" s="561">
        <v>2554</v>
      </c>
      <c r="W346" s="561">
        <v>178</v>
      </c>
      <c r="X346" s="561">
        <v>107</v>
      </c>
      <c r="Y346" s="561">
        <v>321</v>
      </c>
      <c r="Z346" s="561">
        <v>0</v>
      </c>
      <c r="AA346" s="561">
        <v>0</v>
      </c>
      <c r="AB346" s="561">
        <v>0</v>
      </c>
      <c r="AC346" s="561">
        <v>0</v>
      </c>
      <c r="AD346" s="561">
        <v>0</v>
      </c>
      <c r="AE346" s="561">
        <v>0</v>
      </c>
      <c r="AF346" s="561">
        <v>0</v>
      </c>
      <c r="AG346" s="561">
        <v>10733</v>
      </c>
      <c r="AH346" s="561">
        <v>5551</v>
      </c>
      <c r="AI346" s="561">
        <v>11187</v>
      </c>
      <c r="AJ346" s="561">
        <v>1559</v>
      </c>
      <c r="AK346" s="561">
        <v>1838</v>
      </c>
      <c r="AL346" s="561">
        <v>0</v>
      </c>
      <c r="AM346" s="561">
        <v>7</v>
      </c>
      <c r="AN346" s="561">
        <v>2</v>
      </c>
      <c r="AO346" s="561">
        <v>0</v>
      </c>
      <c r="AP346" s="561">
        <v>0</v>
      </c>
      <c r="AQ346" s="561">
        <v>21</v>
      </c>
      <c r="AR346" s="561">
        <v>1</v>
      </c>
    </row>
    <row r="347" spans="1:44" x14ac:dyDescent="0.3">
      <c r="A347" s="1129" t="s">
        <v>3481</v>
      </c>
      <c r="B347" s="1129" t="s">
        <v>3482</v>
      </c>
      <c r="C347" s="1129" t="s">
        <v>3483</v>
      </c>
      <c r="D347" s="1129" t="s">
        <v>384</v>
      </c>
      <c r="E347" s="561">
        <v>-133</v>
      </c>
      <c r="F347" s="561">
        <v>0</v>
      </c>
      <c r="G347" s="561">
        <v>0</v>
      </c>
      <c r="H347" s="561">
        <v>0</v>
      </c>
      <c r="I347" s="561">
        <v>37</v>
      </c>
      <c r="J347" s="561">
        <v>0</v>
      </c>
      <c r="K347" s="561">
        <v>0</v>
      </c>
      <c r="L347" s="561">
        <v>651</v>
      </c>
      <c r="M347" s="561">
        <v>0</v>
      </c>
      <c r="N347" s="561">
        <v>0</v>
      </c>
      <c r="O347" s="561">
        <v>0</v>
      </c>
      <c r="P347" s="561">
        <v>303</v>
      </c>
      <c r="Q347" s="561">
        <v>1396</v>
      </c>
      <c r="R347" s="561">
        <v>11352</v>
      </c>
      <c r="S347" s="1217">
        <v>750</v>
      </c>
      <c r="T347" s="1217">
        <v>0</v>
      </c>
      <c r="U347" s="1217">
        <v>-500</v>
      </c>
      <c r="V347" s="561">
        <v>2474</v>
      </c>
      <c r="W347" s="561">
        <v>156</v>
      </c>
      <c r="X347" s="561">
        <v>121</v>
      </c>
      <c r="Y347" s="561">
        <v>587</v>
      </c>
      <c r="Z347" s="561">
        <v>0</v>
      </c>
      <c r="AA347" s="561">
        <v>0</v>
      </c>
      <c r="AB347" s="561">
        <v>0</v>
      </c>
      <c r="AC347" s="561">
        <v>0</v>
      </c>
      <c r="AD347" s="561">
        <v>0</v>
      </c>
      <c r="AE347" s="561">
        <v>0</v>
      </c>
      <c r="AF347" s="561">
        <v>0</v>
      </c>
      <c r="AG347" s="561">
        <v>2966</v>
      </c>
      <c r="AH347" s="561">
        <v>175</v>
      </c>
      <c r="AI347" s="561">
        <v>7201</v>
      </c>
      <c r="AJ347" s="561">
        <v>1040</v>
      </c>
      <c r="AK347" s="561">
        <v>1420</v>
      </c>
      <c r="AL347" s="561">
        <v>0</v>
      </c>
      <c r="AM347" s="561">
        <v>7</v>
      </c>
      <c r="AN347" s="561">
        <v>0</v>
      </c>
      <c r="AO347" s="561">
        <v>12</v>
      </c>
      <c r="AP347" s="561">
        <v>0</v>
      </c>
      <c r="AQ347" s="561">
        <v>33</v>
      </c>
      <c r="AR347" s="561">
        <v>2</v>
      </c>
    </row>
    <row r="348" spans="1:44" x14ac:dyDescent="0.3">
      <c r="A348" s="1129" t="s">
        <v>3484</v>
      </c>
      <c r="B348" s="1129" t="s">
        <v>3485</v>
      </c>
      <c r="C348" s="1129" t="s">
        <v>3486</v>
      </c>
      <c r="D348" s="1129" t="s">
        <v>2466</v>
      </c>
      <c r="E348" s="561">
        <v>0</v>
      </c>
      <c r="F348" s="561">
        <v>0</v>
      </c>
      <c r="G348" s="561">
        <v>0</v>
      </c>
      <c r="H348" s="561">
        <v>0</v>
      </c>
      <c r="I348" s="561">
        <v>0</v>
      </c>
      <c r="J348" s="561">
        <v>0</v>
      </c>
      <c r="K348" s="561">
        <v>0</v>
      </c>
      <c r="L348" s="561">
        <v>0</v>
      </c>
      <c r="M348" s="561">
        <v>0</v>
      </c>
      <c r="N348" s="561">
        <v>0</v>
      </c>
      <c r="O348" s="561">
        <v>0</v>
      </c>
      <c r="P348" s="561">
        <v>0</v>
      </c>
      <c r="Q348" s="561">
        <v>0</v>
      </c>
      <c r="R348" s="561">
        <v>0</v>
      </c>
      <c r="S348" s="1217">
        <v>0</v>
      </c>
      <c r="T348" s="1217">
        <v>0</v>
      </c>
      <c r="U348" s="1217">
        <v>0</v>
      </c>
      <c r="V348" s="561">
        <v>12601</v>
      </c>
      <c r="W348" s="561">
        <v>0</v>
      </c>
      <c r="X348" s="561">
        <v>0</v>
      </c>
      <c r="Y348" s="561">
        <v>0</v>
      </c>
      <c r="Z348" s="561">
        <v>100</v>
      </c>
      <c r="AA348" s="561">
        <v>0</v>
      </c>
      <c r="AB348" s="561">
        <v>0</v>
      </c>
      <c r="AC348" s="561">
        <v>0</v>
      </c>
      <c r="AD348" s="561">
        <v>0</v>
      </c>
      <c r="AE348" s="561">
        <v>0</v>
      </c>
      <c r="AF348" s="561">
        <v>0</v>
      </c>
      <c r="AG348" s="561">
        <v>1038</v>
      </c>
      <c r="AH348" s="561">
        <v>0</v>
      </c>
      <c r="AI348" s="561">
        <v>83934</v>
      </c>
      <c r="AJ348" s="561">
        <v>0</v>
      </c>
      <c r="AK348" s="561">
        <v>0</v>
      </c>
      <c r="AL348" s="561">
        <v>0</v>
      </c>
      <c r="AM348" s="561">
        <v>0</v>
      </c>
      <c r="AN348" s="561">
        <v>0</v>
      </c>
      <c r="AO348" s="561">
        <v>0</v>
      </c>
      <c r="AP348" s="561">
        <v>0</v>
      </c>
      <c r="AQ348" s="561">
        <v>0</v>
      </c>
      <c r="AR348" s="561">
        <v>0</v>
      </c>
    </row>
    <row r="349" spans="1:44" x14ac:dyDescent="0.3">
      <c r="A349" s="1129" t="s">
        <v>3487</v>
      </c>
      <c r="B349" s="1129" t="s">
        <v>3488</v>
      </c>
      <c r="C349" s="1129" t="s">
        <v>3489</v>
      </c>
      <c r="D349" s="1129" t="s">
        <v>384</v>
      </c>
      <c r="E349" s="561">
        <v>-288</v>
      </c>
      <c r="F349" s="561">
        <v>0</v>
      </c>
      <c r="G349" s="561">
        <v>0</v>
      </c>
      <c r="H349" s="561">
        <v>0</v>
      </c>
      <c r="I349" s="561">
        <v>35</v>
      </c>
      <c r="J349" s="561">
        <v>0</v>
      </c>
      <c r="K349" s="561">
        <v>0</v>
      </c>
      <c r="L349" s="561">
        <v>937</v>
      </c>
      <c r="M349" s="561">
        <v>0</v>
      </c>
      <c r="N349" s="561">
        <v>0</v>
      </c>
      <c r="O349" s="561">
        <v>0</v>
      </c>
      <c r="P349" s="561">
        <v>352</v>
      </c>
      <c r="Q349" s="561">
        <v>6002</v>
      </c>
      <c r="R349" s="561">
        <v>16432</v>
      </c>
      <c r="S349" s="1217">
        <v>0</v>
      </c>
      <c r="T349" s="1217">
        <v>1500</v>
      </c>
      <c r="U349" s="1217">
        <v>0</v>
      </c>
      <c r="V349" s="561">
        <v>0</v>
      </c>
      <c r="W349" s="561">
        <v>289</v>
      </c>
      <c r="X349" s="561">
        <v>140</v>
      </c>
      <c r="Y349" s="561">
        <v>1222</v>
      </c>
      <c r="Z349" s="561">
        <v>315</v>
      </c>
      <c r="AA349" s="561">
        <v>0</v>
      </c>
      <c r="AB349" s="561">
        <v>0</v>
      </c>
      <c r="AC349" s="561">
        <v>0</v>
      </c>
      <c r="AD349" s="561">
        <v>0</v>
      </c>
      <c r="AE349" s="561">
        <v>0</v>
      </c>
      <c r="AF349" s="561">
        <v>0</v>
      </c>
      <c r="AG349" s="561">
        <v>2434</v>
      </c>
      <c r="AH349" s="561">
        <v>0</v>
      </c>
      <c r="AI349" s="561">
        <v>11183</v>
      </c>
      <c r="AJ349" s="561">
        <v>0</v>
      </c>
      <c r="AK349" s="561">
        <v>12004</v>
      </c>
      <c r="AL349" s="561">
        <v>0</v>
      </c>
      <c r="AM349" s="561">
        <v>21</v>
      </c>
      <c r="AN349" s="561">
        <v>2</v>
      </c>
      <c r="AO349" s="561">
        <v>14</v>
      </c>
      <c r="AP349" s="561">
        <v>12</v>
      </c>
      <c r="AQ349" s="561">
        <v>38</v>
      </c>
      <c r="AR349" s="561">
        <v>0</v>
      </c>
    </row>
    <row r="350" spans="1:44" x14ac:dyDescent="0.3">
      <c r="A350" s="1129" t="s">
        <v>3490</v>
      </c>
      <c r="B350" s="1129" t="s">
        <v>3491</v>
      </c>
      <c r="C350" s="1129" t="s">
        <v>3492</v>
      </c>
      <c r="D350" s="1129" t="s">
        <v>385</v>
      </c>
      <c r="E350" s="561">
        <v>-12689</v>
      </c>
      <c r="F350" s="561">
        <v>0</v>
      </c>
      <c r="G350" s="561">
        <v>134699</v>
      </c>
      <c r="H350" s="561">
        <v>14856</v>
      </c>
      <c r="I350" s="561">
        <v>506</v>
      </c>
      <c r="J350" s="561">
        <v>20619</v>
      </c>
      <c r="K350" s="561">
        <v>9652</v>
      </c>
      <c r="L350" s="561">
        <v>1137</v>
      </c>
      <c r="M350" s="561">
        <v>3388</v>
      </c>
      <c r="N350" s="561">
        <v>1417</v>
      </c>
      <c r="O350" s="561">
        <v>3094</v>
      </c>
      <c r="P350" s="561">
        <v>2122</v>
      </c>
      <c r="Q350" s="561">
        <v>7071</v>
      </c>
      <c r="R350" s="561">
        <v>100930</v>
      </c>
      <c r="S350" s="1217">
        <v>0</v>
      </c>
      <c r="T350" s="1217">
        <v>0</v>
      </c>
      <c r="U350" s="1217">
        <v>-2000</v>
      </c>
      <c r="V350" s="561">
        <v>8398</v>
      </c>
      <c r="W350" s="561">
        <v>560</v>
      </c>
      <c r="X350" s="561">
        <v>1588</v>
      </c>
      <c r="Y350" s="561">
        <v>0</v>
      </c>
      <c r="Z350" s="561">
        <v>287</v>
      </c>
      <c r="AA350" s="561">
        <v>0</v>
      </c>
      <c r="AB350" s="561">
        <v>0</v>
      </c>
      <c r="AC350" s="561">
        <v>0</v>
      </c>
      <c r="AD350" s="561">
        <v>8656</v>
      </c>
      <c r="AE350" s="561">
        <v>0</v>
      </c>
      <c r="AF350" s="561">
        <v>2271</v>
      </c>
      <c r="AG350" s="561">
        <v>26448</v>
      </c>
      <c r="AH350" s="561">
        <v>1285</v>
      </c>
      <c r="AI350" s="561">
        <v>26167</v>
      </c>
      <c r="AJ350" s="561">
        <v>24110</v>
      </c>
      <c r="AK350" s="561">
        <v>0</v>
      </c>
      <c r="AL350" s="561">
        <v>705</v>
      </c>
      <c r="AM350" s="561">
        <v>1</v>
      </c>
      <c r="AN350" s="561">
        <v>0</v>
      </c>
      <c r="AO350" s="561">
        <v>2</v>
      </c>
      <c r="AP350" s="561">
        <v>1</v>
      </c>
      <c r="AQ350" s="561">
        <v>79</v>
      </c>
      <c r="AR350" s="561">
        <v>6</v>
      </c>
    </row>
    <row r="351" spans="1:44" x14ac:dyDescent="0.3">
      <c r="A351" s="1129" t="s">
        <v>3493</v>
      </c>
      <c r="B351" s="1129" t="s">
        <v>3494</v>
      </c>
      <c r="C351" s="1129" t="s">
        <v>3495</v>
      </c>
      <c r="D351" s="1129" t="s">
        <v>384</v>
      </c>
      <c r="E351" s="561">
        <v>-815</v>
      </c>
      <c r="F351" s="561">
        <v>0</v>
      </c>
      <c r="G351" s="561">
        <v>0</v>
      </c>
      <c r="H351" s="561">
        <v>0</v>
      </c>
      <c r="I351" s="561">
        <v>35</v>
      </c>
      <c r="J351" s="561">
        <v>0</v>
      </c>
      <c r="K351" s="561">
        <v>0</v>
      </c>
      <c r="L351" s="561">
        <v>1457</v>
      </c>
      <c r="M351" s="561">
        <v>0</v>
      </c>
      <c r="N351" s="561">
        <v>0</v>
      </c>
      <c r="O351" s="561">
        <v>591</v>
      </c>
      <c r="P351" s="561">
        <v>925</v>
      </c>
      <c r="Q351" s="561">
        <v>2750</v>
      </c>
      <c r="R351" s="561">
        <v>13424</v>
      </c>
      <c r="S351" s="1217">
        <v>5564</v>
      </c>
      <c r="T351" s="1217">
        <v>70</v>
      </c>
      <c r="U351" s="1217">
        <v>0</v>
      </c>
      <c r="V351" s="561">
        <v>1070</v>
      </c>
      <c r="W351" s="561">
        <v>438</v>
      </c>
      <c r="X351" s="561">
        <v>208</v>
      </c>
      <c r="Y351" s="561">
        <v>200</v>
      </c>
      <c r="Z351" s="561">
        <v>0</v>
      </c>
      <c r="AA351" s="561">
        <v>0</v>
      </c>
      <c r="AB351" s="561">
        <v>0</v>
      </c>
      <c r="AC351" s="561">
        <v>0</v>
      </c>
      <c r="AD351" s="561">
        <v>0</v>
      </c>
      <c r="AE351" s="561">
        <v>0</v>
      </c>
      <c r="AF351" s="561">
        <v>0</v>
      </c>
      <c r="AG351" s="561">
        <v>4000</v>
      </c>
      <c r="AH351" s="561">
        <v>0</v>
      </c>
      <c r="AI351" s="561">
        <v>20332</v>
      </c>
      <c r="AJ351" s="561">
        <v>3062</v>
      </c>
      <c r="AK351" s="561">
        <v>7446</v>
      </c>
      <c r="AL351" s="561">
        <v>3294</v>
      </c>
      <c r="AM351" s="561">
        <v>55</v>
      </c>
      <c r="AN351" s="561">
        <v>50</v>
      </c>
      <c r="AO351" s="561">
        <v>23</v>
      </c>
      <c r="AP351" s="561">
        <v>0</v>
      </c>
      <c r="AQ351" s="561">
        <v>57</v>
      </c>
      <c r="AR351" s="561">
        <v>0</v>
      </c>
    </row>
    <row r="352" spans="1:44" x14ac:dyDescent="0.3">
      <c r="A352" s="1129" t="s">
        <v>3496</v>
      </c>
      <c r="B352" s="1129" t="s">
        <v>3497</v>
      </c>
      <c r="C352" s="1129" t="s">
        <v>3498</v>
      </c>
      <c r="D352" s="1129" t="s">
        <v>384</v>
      </c>
      <c r="E352" s="561">
        <v>-276</v>
      </c>
      <c r="F352" s="561">
        <v>0</v>
      </c>
      <c r="G352" s="561">
        <v>0</v>
      </c>
      <c r="H352" s="561">
        <v>0</v>
      </c>
      <c r="I352" s="561">
        <v>36</v>
      </c>
      <c r="J352" s="561">
        <v>0</v>
      </c>
      <c r="K352" s="561">
        <v>0</v>
      </c>
      <c r="L352" s="561">
        <v>934</v>
      </c>
      <c r="M352" s="561">
        <v>0</v>
      </c>
      <c r="N352" s="561">
        <v>0</v>
      </c>
      <c r="O352" s="561">
        <v>0</v>
      </c>
      <c r="P352" s="561">
        <v>12</v>
      </c>
      <c r="Q352" s="561">
        <v>2505</v>
      </c>
      <c r="R352" s="561">
        <v>11708</v>
      </c>
      <c r="S352" s="1217">
        <v>0</v>
      </c>
      <c r="T352" s="1217">
        <v>8327</v>
      </c>
      <c r="U352" s="1217">
        <v>0</v>
      </c>
      <c r="V352" s="561">
        <v>134</v>
      </c>
      <c r="W352" s="561">
        <v>218</v>
      </c>
      <c r="X352" s="561">
        <v>163</v>
      </c>
      <c r="Y352" s="561">
        <v>2459</v>
      </c>
      <c r="Z352" s="561">
        <v>187</v>
      </c>
      <c r="AA352" s="561">
        <v>0</v>
      </c>
      <c r="AB352" s="561">
        <v>0</v>
      </c>
      <c r="AC352" s="561">
        <v>0</v>
      </c>
      <c r="AD352" s="561">
        <v>0</v>
      </c>
      <c r="AE352" s="561">
        <v>0</v>
      </c>
      <c r="AF352" s="561">
        <v>0</v>
      </c>
      <c r="AG352" s="561">
        <v>2604</v>
      </c>
      <c r="AH352" s="561">
        <v>0</v>
      </c>
      <c r="AI352" s="561">
        <v>29523</v>
      </c>
      <c r="AJ352" s="561">
        <v>8460</v>
      </c>
      <c r="AK352" s="561">
        <v>821</v>
      </c>
      <c r="AL352" s="561">
        <v>7110</v>
      </c>
      <c r="AM352" s="561">
        <v>51</v>
      </c>
      <c r="AN352" s="561">
        <v>29</v>
      </c>
      <c r="AO352" s="561">
        <v>15</v>
      </c>
      <c r="AP352" s="561">
        <v>11</v>
      </c>
      <c r="AQ352" s="561">
        <v>133</v>
      </c>
      <c r="AR352" s="561">
        <v>0</v>
      </c>
    </row>
    <row r="353" spans="1:44" x14ac:dyDescent="0.3">
      <c r="A353" s="1129" t="s">
        <v>3499</v>
      </c>
      <c r="B353" s="1129" t="s">
        <v>3500</v>
      </c>
      <c r="C353" s="1129" t="s">
        <v>3501</v>
      </c>
      <c r="D353" s="1129" t="s">
        <v>384</v>
      </c>
      <c r="E353" s="561">
        <v>-187</v>
      </c>
      <c r="F353" s="561">
        <v>0</v>
      </c>
      <c r="G353" s="561">
        <v>0</v>
      </c>
      <c r="H353" s="561">
        <v>0</v>
      </c>
      <c r="I353" s="561">
        <v>38</v>
      </c>
      <c r="J353" s="561">
        <v>0</v>
      </c>
      <c r="K353" s="561">
        <v>0</v>
      </c>
      <c r="L353" s="561">
        <v>505</v>
      </c>
      <c r="M353" s="561">
        <v>0</v>
      </c>
      <c r="N353" s="561">
        <v>0</v>
      </c>
      <c r="O353" s="561">
        <v>0</v>
      </c>
      <c r="P353" s="561">
        <v>1430</v>
      </c>
      <c r="Q353" s="561">
        <v>2927</v>
      </c>
      <c r="R353" s="561">
        <v>8719</v>
      </c>
      <c r="S353" s="1217">
        <v>0</v>
      </c>
      <c r="T353" s="1217">
        <v>0</v>
      </c>
      <c r="U353" s="1217">
        <v>0</v>
      </c>
      <c r="V353" s="561">
        <v>273</v>
      </c>
      <c r="W353" s="561">
        <v>151</v>
      </c>
      <c r="X353" s="561">
        <v>114</v>
      </c>
      <c r="Y353" s="561">
        <v>1546</v>
      </c>
      <c r="Z353" s="561">
        <v>0</v>
      </c>
      <c r="AA353" s="561">
        <v>0</v>
      </c>
      <c r="AB353" s="561">
        <v>0</v>
      </c>
      <c r="AC353" s="561">
        <v>0</v>
      </c>
      <c r="AD353" s="561">
        <v>0</v>
      </c>
      <c r="AE353" s="561">
        <v>0</v>
      </c>
      <c r="AF353" s="561">
        <v>0</v>
      </c>
      <c r="AG353" s="561">
        <v>1000</v>
      </c>
      <c r="AH353" s="561">
        <v>26412</v>
      </c>
      <c r="AI353" s="561">
        <v>10709</v>
      </c>
      <c r="AJ353" s="561">
        <v>1479</v>
      </c>
      <c r="AK353" s="561">
        <v>2926</v>
      </c>
      <c r="AL353" s="561">
        <v>0</v>
      </c>
      <c r="AM353" s="561">
        <v>6</v>
      </c>
      <c r="AN353" s="561">
        <v>5</v>
      </c>
      <c r="AO353" s="561">
        <v>1</v>
      </c>
      <c r="AP353" s="561">
        <v>1</v>
      </c>
      <c r="AQ353" s="561">
        <v>6</v>
      </c>
      <c r="AR353" s="561">
        <v>9</v>
      </c>
    </row>
    <row r="354" spans="1:44" x14ac:dyDescent="0.3">
      <c r="A354" s="1129" t="s">
        <v>3502</v>
      </c>
      <c r="B354" s="1129" t="s">
        <v>3503</v>
      </c>
      <c r="C354" s="1129" t="s">
        <v>3504</v>
      </c>
      <c r="D354" s="1129" t="s">
        <v>2466</v>
      </c>
      <c r="E354" s="561">
        <v>0</v>
      </c>
      <c r="F354" s="561">
        <v>-304286</v>
      </c>
      <c r="G354" s="561">
        <v>0</v>
      </c>
      <c r="H354" s="561">
        <v>0</v>
      </c>
      <c r="I354" s="561">
        <v>0</v>
      </c>
      <c r="J354" s="561">
        <v>0</v>
      </c>
      <c r="K354" s="561">
        <v>0</v>
      </c>
      <c r="L354" s="561">
        <v>0</v>
      </c>
      <c r="M354" s="561">
        <v>0</v>
      </c>
      <c r="N354" s="561">
        <v>0</v>
      </c>
      <c r="O354" s="561">
        <v>0</v>
      </c>
      <c r="P354" s="561">
        <v>0</v>
      </c>
      <c r="Q354" s="561">
        <v>0</v>
      </c>
      <c r="R354" s="561">
        <v>278886</v>
      </c>
      <c r="S354" s="1217">
        <v>0</v>
      </c>
      <c r="T354" s="1217">
        <v>16690</v>
      </c>
      <c r="U354" s="1217">
        <v>0</v>
      </c>
      <c r="V354" s="561">
        <v>1224</v>
      </c>
      <c r="W354" s="561">
        <v>0</v>
      </c>
      <c r="X354" s="561">
        <v>0</v>
      </c>
      <c r="Y354" s="561">
        <v>0</v>
      </c>
      <c r="Z354" s="561">
        <v>0</v>
      </c>
      <c r="AA354" s="561">
        <v>16932</v>
      </c>
      <c r="AB354" s="561">
        <v>6093</v>
      </c>
      <c r="AC354" s="561">
        <v>8492</v>
      </c>
      <c r="AD354" s="561">
        <v>0</v>
      </c>
      <c r="AE354" s="561">
        <v>0</v>
      </c>
      <c r="AF354" s="561">
        <v>0</v>
      </c>
      <c r="AG354" s="561">
        <v>15527</v>
      </c>
      <c r="AH354" s="561">
        <v>0</v>
      </c>
      <c r="AI354" s="561">
        <v>101422</v>
      </c>
      <c r="AJ354" s="561">
        <v>0</v>
      </c>
      <c r="AK354" s="561">
        <v>0</v>
      </c>
      <c r="AL354" s="561">
        <v>0</v>
      </c>
      <c r="AM354" s="561">
        <v>0</v>
      </c>
      <c r="AN354" s="561">
        <v>0</v>
      </c>
      <c r="AO354" s="561">
        <v>0</v>
      </c>
      <c r="AP354" s="561">
        <v>0</v>
      </c>
      <c r="AQ354" s="561">
        <v>0</v>
      </c>
      <c r="AR354" s="561">
        <v>0</v>
      </c>
    </row>
    <row r="355" spans="1:44" x14ac:dyDescent="0.3">
      <c r="A355" s="1129" t="s">
        <v>3505</v>
      </c>
      <c r="B355" s="1129" t="s">
        <v>3506</v>
      </c>
      <c r="C355" s="1129" t="s">
        <v>3507</v>
      </c>
      <c r="D355" s="1129" t="s">
        <v>384</v>
      </c>
      <c r="E355" s="561">
        <v>-422</v>
      </c>
      <c r="F355" s="561">
        <v>0</v>
      </c>
      <c r="G355" s="561">
        <v>0</v>
      </c>
      <c r="H355" s="561">
        <v>0</v>
      </c>
      <c r="I355" s="561">
        <v>35</v>
      </c>
      <c r="J355" s="561">
        <v>0</v>
      </c>
      <c r="K355" s="561">
        <v>0</v>
      </c>
      <c r="L355" s="561">
        <v>1698</v>
      </c>
      <c r="M355" s="561">
        <v>0</v>
      </c>
      <c r="N355" s="561">
        <v>0</v>
      </c>
      <c r="O355" s="561">
        <v>608</v>
      </c>
      <c r="P355" s="561">
        <v>724</v>
      </c>
      <c r="Q355" s="561">
        <v>3088</v>
      </c>
      <c r="R355" s="561">
        <v>16169</v>
      </c>
      <c r="S355" s="1217">
        <v>13031</v>
      </c>
      <c r="T355" s="1217">
        <v>0</v>
      </c>
      <c r="U355" s="1217">
        <v>0</v>
      </c>
      <c r="V355" s="561">
        <v>1873</v>
      </c>
      <c r="W355" s="561">
        <v>477</v>
      </c>
      <c r="X355" s="561">
        <v>241</v>
      </c>
      <c r="Y355" s="561">
        <v>0</v>
      </c>
      <c r="Z355" s="561">
        <v>1006</v>
      </c>
      <c r="AA355" s="561">
        <v>0</v>
      </c>
      <c r="AB355" s="561">
        <v>0</v>
      </c>
      <c r="AC355" s="561">
        <v>0</v>
      </c>
      <c r="AD355" s="561">
        <v>0</v>
      </c>
      <c r="AE355" s="561">
        <v>0</v>
      </c>
      <c r="AF355" s="561">
        <v>0</v>
      </c>
      <c r="AG355" s="561">
        <v>2011</v>
      </c>
      <c r="AH355" s="561">
        <v>0</v>
      </c>
      <c r="AI355" s="561">
        <v>6483</v>
      </c>
      <c r="AJ355" s="561">
        <v>6259</v>
      </c>
      <c r="AK355" s="561">
        <v>3830</v>
      </c>
      <c r="AL355" s="561">
        <v>0</v>
      </c>
      <c r="AM355" s="561">
        <v>14</v>
      </c>
      <c r="AN355" s="561">
        <v>127</v>
      </c>
      <c r="AO355" s="561">
        <v>0</v>
      </c>
      <c r="AP355" s="561">
        <v>1</v>
      </c>
      <c r="AQ355" s="561">
        <v>19</v>
      </c>
      <c r="AR355" s="561">
        <v>58</v>
      </c>
    </row>
    <row r="356" spans="1:44" x14ac:dyDescent="0.3">
      <c r="A356" s="1129" t="s">
        <v>3508</v>
      </c>
      <c r="B356" s="1129" t="s">
        <v>3509</v>
      </c>
      <c r="C356" s="1129" t="s">
        <v>3510</v>
      </c>
      <c r="D356" s="1129" t="s">
        <v>2466</v>
      </c>
      <c r="E356" s="561">
        <v>0</v>
      </c>
      <c r="F356" s="561">
        <v>0</v>
      </c>
      <c r="G356" s="561">
        <v>0</v>
      </c>
      <c r="H356" s="561">
        <v>0</v>
      </c>
      <c r="I356" s="561">
        <v>0</v>
      </c>
      <c r="J356" s="561">
        <v>0</v>
      </c>
      <c r="K356" s="561">
        <v>0</v>
      </c>
      <c r="L356" s="561">
        <v>0</v>
      </c>
      <c r="M356" s="561">
        <v>0</v>
      </c>
      <c r="N356" s="561">
        <v>0</v>
      </c>
      <c r="O356" s="561">
        <v>0</v>
      </c>
      <c r="P356" s="561">
        <v>0</v>
      </c>
      <c r="Q356" s="561">
        <v>0</v>
      </c>
      <c r="R356" s="561">
        <v>0</v>
      </c>
      <c r="S356" s="1217">
        <v>0</v>
      </c>
      <c r="T356" s="1217">
        <v>530</v>
      </c>
      <c r="U356" s="1217">
        <v>0</v>
      </c>
      <c r="V356" s="561">
        <v>2</v>
      </c>
      <c r="W356" s="561">
        <v>0</v>
      </c>
      <c r="X356" s="561">
        <v>0</v>
      </c>
      <c r="Y356" s="561">
        <v>0</v>
      </c>
      <c r="Z356" s="561">
        <v>0</v>
      </c>
      <c r="AA356" s="561">
        <v>0</v>
      </c>
      <c r="AB356" s="561">
        <v>0</v>
      </c>
      <c r="AC356" s="561">
        <v>0</v>
      </c>
      <c r="AD356" s="561">
        <v>0</v>
      </c>
      <c r="AE356" s="561">
        <v>0</v>
      </c>
      <c r="AF356" s="561">
        <v>0</v>
      </c>
      <c r="AG356" s="561">
        <v>1221</v>
      </c>
      <c r="AH356" s="561">
        <v>0</v>
      </c>
      <c r="AI356" s="561">
        <v>3008</v>
      </c>
      <c r="AJ356" s="561">
        <v>0</v>
      </c>
      <c r="AK356" s="561">
        <v>495</v>
      </c>
      <c r="AL356" s="561">
        <v>0</v>
      </c>
      <c r="AM356" s="561">
        <v>0</v>
      </c>
      <c r="AN356" s="561">
        <v>0</v>
      </c>
      <c r="AO356" s="561">
        <v>0</v>
      </c>
      <c r="AP356" s="561">
        <v>0</v>
      </c>
      <c r="AQ356" s="561">
        <v>0</v>
      </c>
      <c r="AR356" s="561">
        <v>0</v>
      </c>
    </row>
    <row r="357" spans="1:44" x14ac:dyDescent="0.3">
      <c r="A357" s="1129" t="s">
        <v>3511</v>
      </c>
      <c r="B357" s="1129" t="s">
        <v>3512</v>
      </c>
      <c r="C357" s="1129" t="s">
        <v>3513</v>
      </c>
      <c r="D357" s="1129" t="s">
        <v>384</v>
      </c>
      <c r="E357" s="561">
        <v>-99</v>
      </c>
      <c r="F357" s="561">
        <v>0</v>
      </c>
      <c r="G357" s="561">
        <v>0</v>
      </c>
      <c r="H357" s="561">
        <v>0</v>
      </c>
      <c r="I357" s="561">
        <v>39</v>
      </c>
      <c r="J357" s="561">
        <v>0</v>
      </c>
      <c r="K357" s="561">
        <v>0</v>
      </c>
      <c r="L357" s="561">
        <v>646</v>
      </c>
      <c r="M357" s="561">
        <v>0</v>
      </c>
      <c r="N357" s="561">
        <v>0</v>
      </c>
      <c r="O357" s="561">
        <v>0</v>
      </c>
      <c r="P357" s="561">
        <v>233</v>
      </c>
      <c r="Q357" s="561">
        <v>2612</v>
      </c>
      <c r="R357" s="561">
        <v>10875</v>
      </c>
      <c r="S357" s="1217">
        <v>0</v>
      </c>
      <c r="T357" s="1217">
        <v>0</v>
      </c>
      <c r="U357" s="1217">
        <v>0</v>
      </c>
      <c r="V357" s="561">
        <v>193</v>
      </c>
      <c r="W357" s="561">
        <v>170</v>
      </c>
      <c r="X357" s="561">
        <v>146</v>
      </c>
      <c r="Y357" s="561">
        <v>174</v>
      </c>
      <c r="Z357" s="561">
        <v>62</v>
      </c>
      <c r="AA357" s="561">
        <v>0</v>
      </c>
      <c r="AB357" s="561">
        <v>0</v>
      </c>
      <c r="AC357" s="561">
        <v>0</v>
      </c>
      <c r="AD357" s="561">
        <v>0</v>
      </c>
      <c r="AE357" s="561">
        <v>0</v>
      </c>
      <c r="AF357" s="561">
        <v>0</v>
      </c>
      <c r="AG357" s="561">
        <v>4528</v>
      </c>
      <c r="AH357" s="561">
        <v>0</v>
      </c>
      <c r="AI357" s="561">
        <v>4903</v>
      </c>
      <c r="AJ357" s="561">
        <v>9258</v>
      </c>
      <c r="AK357" s="561">
        <v>1435</v>
      </c>
      <c r="AL357" s="561">
        <v>0</v>
      </c>
      <c r="AM357" s="561">
        <v>0</v>
      </c>
      <c r="AN357" s="561">
        <v>1</v>
      </c>
      <c r="AO357" s="561">
        <v>0</v>
      </c>
      <c r="AP357" s="561">
        <v>0</v>
      </c>
      <c r="AQ357" s="561">
        <v>41</v>
      </c>
      <c r="AR357" s="561">
        <v>0</v>
      </c>
    </row>
    <row r="358" spans="1:44" x14ac:dyDescent="0.3">
      <c r="A358" s="1129" t="s">
        <v>3514</v>
      </c>
      <c r="B358" s="1129" t="s">
        <v>3515</v>
      </c>
      <c r="C358" s="1129" t="s">
        <v>3516</v>
      </c>
      <c r="D358" s="1129" t="s">
        <v>385</v>
      </c>
      <c r="E358" s="561">
        <v>-8739</v>
      </c>
      <c r="F358" s="561">
        <v>0</v>
      </c>
      <c r="G358" s="561">
        <v>73170</v>
      </c>
      <c r="H358" s="561">
        <v>13454</v>
      </c>
      <c r="I358" s="561">
        <v>476</v>
      </c>
      <c r="J358" s="561">
        <v>15825</v>
      </c>
      <c r="K358" s="561">
        <v>6871</v>
      </c>
      <c r="L358" s="561">
        <v>1714</v>
      </c>
      <c r="M358" s="561">
        <v>2862</v>
      </c>
      <c r="N358" s="561">
        <v>1027</v>
      </c>
      <c r="O358" s="561">
        <v>698</v>
      </c>
      <c r="P358" s="561">
        <v>6</v>
      </c>
      <c r="Q358" s="561">
        <v>0</v>
      </c>
      <c r="R358" s="561">
        <v>97249</v>
      </c>
      <c r="S358" s="1217">
        <v>3704</v>
      </c>
      <c r="T358" s="1217" t="s">
        <v>2453</v>
      </c>
      <c r="U358" s="1217" t="s">
        <v>2453</v>
      </c>
      <c r="V358" s="561">
        <v>35684</v>
      </c>
      <c r="W358" s="561">
        <v>399</v>
      </c>
      <c r="X358" s="561">
        <v>1593</v>
      </c>
      <c r="Y358" s="561">
        <v>0</v>
      </c>
      <c r="Z358" s="561">
        <v>228</v>
      </c>
      <c r="AA358" s="561">
        <v>0</v>
      </c>
      <c r="AB358" s="561">
        <v>0</v>
      </c>
      <c r="AC358" s="561">
        <v>0</v>
      </c>
      <c r="AD358" s="561">
        <v>0</v>
      </c>
      <c r="AE358" s="561">
        <v>2534</v>
      </c>
      <c r="AF358" s="561">
        <v>1674</v>
      </c>
      <c r="AG358" s="561">
        <v>11000</v>
      </c>
      <c r="AH358" s="561">
        <v>0</v>
      </c>
      <c r="AI358" s="561">
        <v>32971</v>
      </c>
      <c r="AJ358" s="561">
        <v>0</v>
      </c>
      <c r="AK358" s="561">
        <v>24899</v>
      </c>
      <c r="AL358" s="561">
        <v>0</v>
      </c>
      <c r="AM358" s="561">
        <v>1</v>
      </c>
      <c r="AN358" s="561">
        <v>467</v>
      </c>
      <c r="AO358" s="561">
        <v>29</v>
      </c>
      <c r="AP358" s="561">
        <v>0</v>
      </c>
      <c r="AQ358" s="561">
        <v>203</v>
      </c>
      <c r="AR358" s="561">
        <v>2</v>
      </c>
    </row>
    <row r="359" spans="1:44" x14ac:dyDescent="0.3">
      <c r="A359" s="1129" t="s">
        <v>3517</v>
      </c>
      <c r="B359" s="1129" t="s">
        <v>3518</v>
      </c>
      <c r="C359" s="1129" t="s">
        <v>3519</v>
      </c>
      <c r="D359" s="1129" t="s">
        <v>384</v>
      </c>
      <c r="E359" s="561">
        <v>-167</v>
      </c>
      <c r="F359" s="561">
        <v>0</v>
      </c>
      <c r="G359" s="561">
        <v>0</v>
      </c>
      <c r="H359" s="561">
        <v>0</v>
      </c>
      <c r="I359" s="561">
        <v>37</v>
      </c>
      <c r="J359" s="561">
        <v>0</v>
      </c>
      <c r="K359" s="561">
        <v>0</v>
      </c>
      <c r="L359" s="561">
        <v>834</v>
      </c>
      <c r="M359" s="561">
        <v>0</v>
      </c>
      <c r="N359" s="561">
        <v>0</v>
      </c>
      <c r="O359" s="561">
        <v>0</v>
      </c>
      <c r="P359" s="561">
        <v>517</v>
      </c>
      <c r="Q359" s="561">
        <v>3946</v>
      </c>
      <c r="R359" s="561">
        <v>17155</v>
      </c>
      <c r="S359" s="1217">
        <v>0</v>
      </c>
      <c r="T359" s="1217">
        <v>6675</v>
      </c>
      <c r="U359" s="1217">
        <v>0</v>
      </c>
      <c r="V359" s="561">
        <v>0</v>
      </c>
      <c r="W359" s="561">
        <v>242</v>
      </c>
      <c r="X359" s="561">
        <v>158</v>
      </c>
      <c r="Y359" s="561">
        <v>1785</v>
      </c>
      <c r="Z359" s="561">
        <v>310</v>
      </c>
      <c r="AA359" s="561">
        <v>0</v>
      </c>
      <c r="AB359" s="561">
        <v>0</v>
      </c>
      <c r="AC359" s="561">
        <v>0</v>
      </c>
      <c r="AD359" s="561">
        <v>0</v>
      </c>
      <c r="AE359" s="561">
        <v>0</v>
      </c>
      <c r="AF359" s="561">
        <v>0</v>
      </c>
      <c r="AG359" s="561">
        <v>11165</v>
      </c>
      <c r="AH359" s="561">
        <v>0</v>
      </c>
      <c r="AI359" s="561">
        <v>16509</v>
      </c>
      <c r="AJ359" s="561">
        <v>3250</v>
      </c>
      <c r="AK359" s="561">
        <v>2497</v>
      </c>
      <c r="AL359" s="561">
        <v>0</v>
      </c>
      <c r="AM359" s="561">
        <v>5</v>
      </c>
      <c r="AN359" s="561">
        <v>85</v>
      </c>
      <c r="AO359" s="561">
        <v>0</v>
      </c>
      <c r="AP359" s="561">
        <v>5</v>
      </c>
      <c r="AQ359" s="561">
        <v>8</v>
      </c>
      <c r="AR359" s="561">
        <v>0</v>
      </c>
    </row>
    <row r="360" spans="1:44" x14ac:dyDescent="0.3">
      <c r="A360" s="1129" t="s">
        <v>3520</v>
      </c>
      <c r="B360" s="1129" t="s">
        <v>3521</v>
      </c>
      <c r="C360" s="1129" t="s">
        <v>3522</v>
      </c>
      <c r="D360" s="1129" t="s">
        <v>385</v>
      </c>
      <c r="E360" s="561">
        <v>-8458</v>
      </c>
      <c r="F360" s="561">
        <v>0</v>
      </c>
      <c r="G360" s="561">
        <v>63615</v>
      </c>
      <c r="H360" s="561">
        <v>11600</v>
      </c>
      <c r="I360" s="561">
        <v>401</v>
      </c>
      <c r="J360" s="561">
        <v>22115</v>
      </c>
      <c r="K360" s="561">
        <v>10903</v>
      </c>
      <c r="L360" s="561">
        <v>1485</v>
      </c>
      <c r="M360" s="561">
        <v>3625</v>
      </c>
      <c r="N360" s="561">
        <v>658</v>
      </c>
      <c r="O360" s="561">
        <v>2085</v>
      </c>
      <c r="P360" s="561">
        <v>3</v>
      </c>
      <c r="Q360" s="561">
        <v>532</v>
      </c>
      <c r="R360" s="561">
        <v>96428</v>
      </c>
      <c r="S360" s="1217">
        <v>0</v>
      </c>
      <c r="T360" s="1217">
        <v>239</v>
      </c>
      <c r="U360" s="1217">
        <v>0</v>
      </c>
      <c r="V360" s="561">
        <v>9500</v>
      </c>
      <c r="W360" s="561">
        <v>466</v>
      </c>
      <c r="X360" s="561">
        <v>1225</v>
      </c>
      <c r="Y360" s="561">
        <v>0</v>
      </c>
      <c r="Z360" s="561">
        <v>1040</v>
      </c>
      <c r="AA360" s="561">
        <v>0</v>
      </c>
      <c r="AB360" s="561">
        <v>0</v>
      </c>
      <c r="AC360" s="561">
        <v>0</v>
      </c>
      <c r="AD360" s="561">
        <v>3058</v>
      </c>
      <c r="AE360" s="561">
        <v>0</v>
      </c>
      <c r="AF360" s="561">
        <v>3262</v>
      </c>
      <c r="AG360" s="561">
        <v>0</v>
      </c>
      <c r="AH360" s="561">
        <v>0</v>
      </c>
      <c r="AI360" s="561">
        <v>62220</v>
      </c>
      <c r="AJ360" s="561">
        <v>0</v>
      </c>
      <c r="AK360" s="561">
        <v>0</v>
      </c>
      <c r="AL360" s="561">
        <v>0</v>
      </c>
      <c r="AM360" s="561">
        <v>25</v>
      </c>
      <c r="AN360" s="561">
        <v>44</v>
      </c>
      <c r="AO360" s="561">
        <v>43</v>
      </c>
      <c r="AP360" s="561">
        <v>28</v>
      </c>
      <c r="AQ360" s="561">
        <v>33</v>
      </c>
      <c r="AR360" s="561">
        <v>0</v>
      </c>
    </row>
    <row r="361" spans="1:44" x14ac:dyDescent="0.3">
      <c r="A361" s="1129" t="s">
        <v>3523</v>
      </c>
      <c r="B361" s="1129" t="s">
        <v>3524</v>
      </c>
      <c r="C361" s="1129" t="s">
        <v>3525</v>
      </c>
      <c r="D361" s="1129" t="s">
        <v>384</v>
      </c>
      <c r="E361" s="561">
        <v>-351</v>
      </c>
      <c r="F361" s="561">
        <v>0</v>
      </c>
      <c r="G361" s="561">
        <v>0</v>
      </c>
      <c r="H361" s="561">
        <v>0</v>
      </c>
      <c r="I361" s="561">
        <v>35</v>
      </c>
      <c r="J361" s="561">
        <v>0</v>
      </c>
      <c r="K361" s="561">
        <v>0</v>
      </c>
      <c r="L361" s="561">
        <v>516</v>
      </c>
      <c r="M361" s="561">
        <v>0</v>
      </c>
      <c r="N361" s="561">
        <v>0</v>
      </c>
      <c r="O361" s="561">
        <v>263</v>
      </c>
      <c r="P361" s="561">
        <v>824</v>
      </c>
      <c r="Q361" s="561">
        <v>2372</v>
      </c>
      <c r="R361" s="561">
        <v>7526</v>
      </c>
      <c r="S361" s="1217">
        <v>0</v>
      </c>
      <c r="T361" s="1217">
        <v>0</v>
      </c>
      <c r="U361" s="1217">
        <v>0</v>
      </c>
      <c r="V361" s="561">
        <v>10</v>
      </c>
      <c r="W361" s="561">
        <v>155</v>
      </c>
      <c r="X361" s="561">
        <v>90</v>
      </c>
      <c r="Y361" s="561">
        <v>0</v>
      </c>
      <c r="Z361" s="561">
        <v>126</v>
      </c>
      <c r="AA361" s="561">
        <v>0</v>
      </c>
      <c r="AB361" s="561">
        <v>0</v>
      </c>
      <c r="AC361" s="561">
        <v>0</v>
      </c>
      <c r="AD361" s="561">
        <v>0</v>
      </c>
      <c r="AE361" s="561">
        <v>0</v>
      </c>
      <c r="AF361" s="561">
        <v>0</v>
      </c>
      <c r="AG361" s="561">
        <v>1084</v>
      </c>
      <c r="AH361" s="561">
        <v>0</v>
      </c>
      <c r="AI361" s="561">
        <v>11633</v>
      </c>
      <c r="AJ361" s="561">
        <v>577</v>
      </c>
      <c r="AK361" s="561">
        <v>2013</v>
      </c>
      <c r="AL361" s="561">
        <v>0</v>
      </c>
      <c r="AM361" s="561">
        <v>1</v>
      </c>
      <c r="AN361" s="561">
        <v>1</v>
      </c>
      <c r="AO361" s="561">
        <v>9</v>
      </c>
      <c r="AP361" s="561">
        <v>20</v>
      </c>
      <c r="AQ361" s="561">
        <v>5</v>
      </c>
      <c r="AR361" s="561">
        <v>1</v>
      </c>
    </row>
    <row r="362" spans="1:44" x14ac:dyDescent="0.3">
      <c r="A362" s="1129" t="s">
        <v>3526</v>
      </c>
      <c r="B362" s="1129" t="s">
        <v>3527</v>
      </c>
      <c r="C362" s="1129" t="s">
        <v>3528</v>
      </c>
      <c r="D362" s="1129" t="s">
        <v>2476</v>
      </c>
      <c r="E362" s="561">
        <v>-42719</v>
      </c>
      <c r="F362" s="561">
        <v>0</v>
      </c>
      <c r="G362" s="561">
        <v>343196</v>
      </c>
      <c r="H362" s="561">
        <v>41749</v>
      </c>
      <c r="I362" s="561">
        <v>46</v>
      </c>
      <c r="J362" s="561">
        <v>40347</v>
      </c>
      <c r="K362" s="561">
        <v>20738</v>
      </c>
      <c r="L362" s="561">
        <v>10758</v>
      </c>
      <c r="M362" s="561">
        <v>6409</v>
      </c>
      <c r="N362" s="561">
        <v>2039</v>
      </c>
      <c r="O362" s="561">
        <v>5130</v>
      </c>
      <c r="P362" s="561">
        <v>4411</v>
      </c>
      <c r="Q362" s="561">
        <v>0</v>
      </c>
      <c r="R362" s="561">
        <v>148077</v>
      </c>
      <c r="S362" s="1217">
        <v>36652</v>
      </c>
      <c r="T362" s="1217">
        <v>2320</v>
      </c>
      <c r="U362" s="1217">
        <v>0</v>
      </c>
      <c r="V362" s="561">
        <v>1306</v>
      </c>
      <c r="W362" s="561">
        <v>1798</v>
      </c>
      <c r="X362" s="561">
        <v>3294</v>
      </c>
      <c r="Y362" s="561">
        <v>0</v>
      </c>
      <c r="Z362" s="561">
        <v>2307</v>
      </c>
      <c r="AA362" s="561">
        <v>0</v>
      </c>
      <c r="AB362" s="561">
        <v>0</v>
      </c>
      <c r="AC362" s="561">
        <v>0</v>
      </c>
      <c r="AD362" s="561">
        <v>33977</v>
      </c>
      <c r="AE362" s="561">
        <v>0</v>
      </c>
      <c r="AF362" s="561">
        <v>7286</v>
      </c>
      <c r="AG362" s="561">
        <v>21234</v>
      </c>
      <c r="AH362" s="561">
        <v>0</v>
      </c>
      <c r="AI362" s="561">
        <v>112663</v>
      </c>
      <c r="AJ362" s="561">
        <v>23991</v>
      </c>
      <c r="AK362" s="561">
        <v>30362</v>
      </c>
      <c r="AL362" s="561">
        <v>0</v>
      </c>
      <c r="AM362" s="561">
        <v>231</v>
      </c>
      <c r="AN362" s="561">
        <v>1321</v>
      </c>
      <c r="AO362" s="561">
        <v>0</v>
      </c>
      <c r="AP362" s="561">
        <v>831</v>
      </c>
      <c r="AQ362" s="561">
        <v>695</v>
      </c>
      <c r="AR362" s="561">
        <v>14</v>
      </c>
    </row>
    <row r="363" spans="1:44" x14ac:dyDescent="0.3">
      <c r="A363" s="1129" t="s">
        <v>3529</v>
      </c>
      <c r="B363" s="1129" t="s">
        <v>3530</v>
      </c>
      <c r="C363" s="1129" t="s">
        <v>3531</v>
      </c>
      <c r="D363" s="1129" t="s">
        <v>379</v>
      </c>
      <c r="E363" s="561">
        <v>0</v>
      </c>
      <c r="F363" s="561">
        <v>0</v>
      </c>
      <c r="G363" s="561">
        <v>199543</v>
      </c>
      <c r="H363" s="561">
        <v>0</v>
      </c>
      <c r="I363" s="561">
        <v>562</v>
      </c>
      <c r="J363" s="561">
        <v>22594</v>
      </c>
      <c r="K363" s="561">
        <v>10146</v>
      </c>
      <c r="L363" s="561">
        <v>1460</v>
      </c>
      <c r="M363" s="561">
        <v>4137</v>
      </c>
      <c r="N363" s="561">
        <v>579</v>
      </c>
      <c r="O363" s="561">
        <v>0</v>
      </c>
      <c r="P363" s="561">
        <v>575</v>
      </c>
      <c r="Q363" s="561">
        <v>137</v>
      </c>
      <c r="R363" s="561">
        <v>139288</v>
      </c>
      <c r="S363" s="1217">
        <v>0</v>
      </c>
      <c r="T363" s="1217">
        <v>0</v>
      </c>
      <c r="U363" s="1217">
        <v>0</v>
      </c>
      <c r="V363" s="561">
        <v>9510</v>
      </c>
      <c r="W363" s="561">
        <v>517</v>
      </c>
      <c r="X363" s="561">
        <v>1505</v>
      </c>
      <c r="Y363" s="561">
        <v>0</v>
      </c>
      <c r="Z363" s="561">
        <v>22</v>
      </c>
      <c r="AA363" s="561">
        <v>0</v>
      </c>
      <c r="AB363" s="561">
        <v>0</v>
      </c>
      <c r="AC363" s="561">
        <v>0</v>
      </c>
      <c r="AD363" s="561">
        <v>15612</v>
      </c>
      <c r="AE363" s="561">
        <v>0</v>
      </c>
      <c r="AF363" s="561">
        <v>0</v>
      </c>
      <c r="AG363" s="561">
        <v>10500</v>
      </c>
      <c r="AH363" s="561">
        <v>1696</v>
      </c>
      <c r="AI363" s="561">
        <v>14908</v>
      </c>
      <c r="AJ363" s="561">
        <v>40845</v>
      </c>
      <c r="AK363" s="561">
        <v>11143</v>
      </c>
      <c r="AL363" s="561">
        <v>1749</v>
      </c>
      <c r="AM363" s="561">
        <v>129</v>
      </c>
      <c r="AN363" s="561">
        <v>6</v>
      </c>
      <c r="AO363" s="561">
        <v>9</v>
      </c>
      <c r="AP363" s="561">
        <v>41</v>
      </c>
      <c r="AQ363" s="561">
        <v>47</v>
      </c>
      <c r="AR363" s="561">
        <v>49</v>
      </c>
    </row>
    <row r="364" spans="1:44" x14ac:dyDescent="0.3">
      <c r="A364" s="1129" t="s">
        <v>3532</v>
      </c>
      <c r="B364" s="1129" t="s">
        <v>3533</v>
      </c>
      <c r="C364" s="1129" t="s">
        <v>3534</v>
      </c>
      <c r="D364" s="1129" t="s">
        <v>384</v>
      </c>
      <c r="E364" s="561">
        <v>-216</v>
      </c>
      <c r="F364" s="561">
        <v>0</v>
      </c>
      <c r="G364" s="561">
        <v>0</v>
      </c>
      <c r="H364" s="561">
        <v>0</v>
      </c>
      <c r="I364" s="561">
        <v>36</v>
      </c>
      <c r="J364" s="561">
        <v>0</v>
      </c>
      <c r="K364" s="561">
        <v>0</v>
      </c>
      <c r="L364" s="561">
        <v>998</v>
      </c>
      <c r="M364" s="561">
        <v>0</v>
      </c>
      <c r="N364" s="561">
        <v>0</v>
      </c>
      <c r="O364" s="561">
        <v>0</v>
      </c>
      <c r="P364" s="561">
        <v>848</v>
      </c>
      <c r="Q364" s="561">
        <v>3921</v>
      </c>
      <c r="R364" s="561">
        <v>14298</v>
      </c>
      <c r="S364" s="1217">
        <v>0</v>
      </c>
      <c r="T364" s="1217">
        <v>8442</v>
      </c>
      <c r="U364" s="1217">
        <v>0</v>
      </c>
      <c r="V364" s="561">
        <v>0</v>
      </c>
      <c r="W364" s="561">
        <v>226</v>
      </c>
      <c r="X364" s="561">
        <v>98</v>
      </c>
      <c r="Y364" s="561">
        <v>446</v>
      </c>
      <c r="Z364" s="561">
        <v>179</v>
      </c>
      <c r="AA364" s="561">
        <v>0</v>
      </c>
      <c r="AB364" s="561">
        <v>0</v>
      </c>
      <c r="AC364" s="561">
        <v>0</v>
      </c>
      <c r="AD364" s="561">
        <v>0</v>
      </c>
      <c r="AE364" s="561">
        <v>0</v>
      </c>
      <c r="AF364" s="561">
        <v>0</v>
      </c>
      <c r="AG364" s="561">
        <v>4355</v>
      </c>
      <c r="AH364" s="561">
        <v>0</v>
      </c>
      <c r="AI364" s="561">
        <v>13607</v>
      </c>
      <c r="AJ364" s="561">
        <v>684</v>
      </c>
      <c r="AK364" s="561">
        <v>2664</v>
      </c>
      <c r="AL364" s="561">
        <v>0</v>
      </c>
      <c r="AM364" s="561">
        <v>2</v>
      </c>
      <c r="AN364" s="561">
        <v>13</v>
      </c>
      <c r="AO364" s="561">
        <v>0</v>
      </c>
      <c r="AP364" s="561">
        <v>6</v>
      </c>
      <c r="AQ364" s="561">
        <v>58</v>
      </c>
      <c r="AR364" s="561">
        <v>0</v>
      </c>
    </row>
    <row r="365" spans="1:44" x14ac:dyDescent="0.3">
      <c r="A365" s="1129" t="s">
        <v>3535</v>
      </c>
      <c r="B365" s="1129" t="s">
        <v>3536</v>
      </c>
      <c r="C365" s="1129" t="s">
        <v>3537</v>
      </c>
      <c r="D365" s="1129" t="s">
        <v>2466</v>
      </c>
      <c r="E365" s="561">
        <v>-13704</v>
      </c>
      <c r="F365" s="561">
        <v>0</v>
      </c>
      <c r="G365" s="561">
        <v>0</v>
      </c>
      <c r="H365" s="561">
        <v>0</v>
      </c>
      <c r="I365" s="561">
        <v>0</v>
      </c>
      <c r="J365" s="561">
        <v>0</v>
      </c>
      <c r="K365" s="561">
        <v>0</v>
      </c>
      <c r="L365" s="561">
        <v>0</v>
      </c>
      <c r="M365" s="561">
        <v>0</v>
      </c>
      <c r="N365" s="561">
        <v>0</v>
      </c>
      <c r="O365" s="561">
        <v>0</v>
      </c>
      <c r="P365" s="561">
        <v>0</v>
      </c>
      <c r="Q365" s="561">
        <v>0</v>
      </c>
      <c r="R365" s="561">
        <v>30657</v>
      </c>
      <c r="S365" s="1217">
        <v>0</v>
      </c>
      <c r="T365" s="1217">
        <v>500</v>
      </c>
      <c r="U365" s="1217">
        <v>0</v>
      </c>
      <c r="V365" s="561">
        <v>0</v>
      </c>
      <c r="W365" s="561">
        <v>0</v>
      </c>
      <c r="X365" s="561">
        <v>468</v>
      </c>
      <c r="Y365" s="561">
        <v>0</v>
      </c>
      <c r="Z365" s="561">
        <v>0</v>
      </c>
      <c r="AA365" s="561">
        <v>0</v>
      </c>
      <c r="AB365" s="561">
        <v>0</v>
      </c>
      <c r="AC365" s="561">
        <v>0</v>
      </c>
      <c r="AD365" s="561">
        <v>0</v>
      </c>
      <c r="AE365" s="561">
        <v>0</v>
      </c>
      <c r="AF365" s="561">
        <v>0</v>
      </c>
      <c r="AG365" s="561">
        <v>4072</v>
      </c>
      <c r="AH365" s="561">
        <v>0</v>
      </c>
      <c r="AI365" s="561">
        <v>27456</v>
      </c>
      <c r="AJ365" s="561">
        <v>0</v>
      </c>
      <c r="AK365" s="561">
        <v>1000</v>
      </c>
      <c r="AL365" s="561">
        <v>0</v>
      </c>
      <c r="AM365" s="561">
        <v>0</v>
      </c>
      <c r="AN365" s="561">
        <v>0</v>
      </c>
      <c r="AO365" s="561">
        <v>0</v>
      </c>
      <c r="AP365" s="561">
        <v>0</v>
      </c>
      <c r="AQ365" s="561">
        <v>0</v>
      </c>
      <c r="AR365" s="561">
        <v>0</v>
      </c>
    </row>
    <row r="366" spans="1:44" x14ac:dyDescent="0.3">
      <c r="A366" s="1129" t="s">
        <v>3538</v>
      </c>
      <c r="B366" s="1129" t="s">
        <v>3539</v>
      </c>
      <c r="C366" s="1129" t="s">
        <v>3540</v>
      </c>
      <c r="D366" s="1129" t="s">
        <v>384</v>
      </c>
      <c r="E366" s="561">
        <v>-150</v>
      </c>
      <c r="F366" s="561">
        <v>0</v>
      </c>
      <c r="G366" s="561">
        <v>0</v>
      </c>
      <c r="H366" s="561">
        <v>0</v>
      </c>
      <c r="I366" s="561">
        <v>38</v>
      </c>
      <c r="J366" s="561">
        <v>0</v>
      </c>
      <c r="K366" s="561">
        <v>0</v>
      </c>
      <c r="L366" s="561">
        <v>435</v>
      </c>
      <c r="M366" s="561">
        <v>0</v>
      </c>
      <c r="N366" s="561">
        <v>0</v>
      </c>
      <c r="O366" s="561">
        <v>0</v>
      </c>
      <c r="P366" s="561">
        <v>1102</v>
      </c>
      <c r="Q366" s="561">
        <v>5186</v>
      </c>
      <c r="R366" s="561">
        <v>12568</v>
      </c>
      <c r="S366" s="1217">
        <v>4819.93</v>
      </c>
      <c r="T366" s="1217">
        <v>267</v>
      </c>
      <c r="U366" s="1217">
        <v>0</v>
      </c>
      <c r="V366" s="561">
        <v>8705</v>
      </c>
      <c r="W366" s="561">
        <v>135</v>
      </c>
      <c r="X366" s="561">
        <v>148</v>
      </c>
      <c r="Y366" s="561">
        <v>2060</v>
      </c>
      <c r="Z366" s="561">
        <v>0</v>
      </c>
      <c r="AA366" s="561">
        <v>0</v>
      </c>
      <c r="AB366" s="561">
        <v>0</v>
      </c>
      <c r="AC366" s="561">
        <v>0</v>
      </c>
      <c r="AD366" s="561">
        <v>0</v>
      </c>
      <c r="AE366" s="561">
        <v>0</v>
      </c>
      <c r="AF366" s="561">
        <v>0</v>
      </c>
      <c r="AG366" s="561">
        <v>2706</v>
      </c>
      <c r="AH366" s="561">
        <v>0</v>
      </c>
      <c r="AI366" s="561">
        <v>13202</v>
      </c>
      <c r="AJ366" s="561">
        <v>0</v>
      </c>
      <c r="AK366" s="561">
        <v>4000</v>
      </c>
      <c r="AL366" s="561">
        <v>5724</v>
      </c>
      <c r="AM366" s="561">
        <v>17</v>
      </c>
      <c r="AN366" s="561">
        <v>7</v>
      </c>
      <c r="AO366" s="561">
        <v>0</v>
      </c>
      <c r="AP366" s="561">
        <v>0</v>
      </c>
      <c r="AQ366" s="561">
        <v>12</v>
      </c>
      <c r="AR366" s="561">
        <v>0</v>
      </c>
    </row>
    <row r="367" spans="1:44" x14ac:dyDescent="0.3">
      <c r="A367" s="1129" t="s">
        <v>3541</v>
      </c>
      <c r="B367" s="1129" t="s">
        <v>3542</v>
      </c>
      <c r="C367" s="1129" t="s">
        <v>3543</v>
      </c>
      <c r="D367" s="1129" t="s">
        <v>384</v>
      </c>
      <c r="E367" s="561">
        <v>-147</v>
      </c>
      <c r="F367" s="561">
        <v>0</v>
      </c>
      <c r="G367" s="561">
        <v>0</v>
      </c>
      <c r="H367" s="561">
        <v>0</v>
      </c>
      <c r="I367" s="561">
        <v>38</v>
      </c>
      <c r="J367" s="561">
        <v>0</v>
      </c>
      <c r="K367" s="561">
        <v>0</v>
      </c>
      <c r="L367" s="561">
        <v>771</v>
      </c>
      <c r="M367" s="561">
        <v>0</v>
      </c>
      <c r="N367" s="561">
        <v>0</v>
      </c>
      <c r="O367" s="561">
        <v>0</v>
      </c>
      <c r="P367" s="561">
        <v>1596</v>
      </c>
      <c r="Q367" s="561">
        <v>5942</v>
      </c>
      <c r="R367" s="561">
        <v>15506</v>
      </c>
      <c r="S367" s="1217">
        <v>0</v>
      </c>
      <c r="T367" s="1217">
        <v>0</v>
      </c>
      <c r="U367" s="1217">
        <v>0</v>
      </c>
      <c r="V367" s="561">
        <v>0</v>
      </c>
      <c r="W367" s="561">
        <v>206</v>
      </c>
      <c r="X367" s="561">
        <v>142</v>
      </c>
      <c r="Y367" s="561">
        <v>2340</v>
      </c>
      <c r="Z367" s="561">
        <v>0</v>
      </c>
      <c r="AA367" s="561">
        <v>0</v>
      </c>
      <c r="AB367" s="561">
        <v>0</v>
      </c>
      <c r="AC367" s="561">
        <v>0</v>
      </c>
      <c r="AD367" s="561">
        <v>0</v>
      </c>
      <c r="AE367" s="561">
        <v>0</v>
      </c>
      <c r="AF367" s="561">
        <v>0</v>
      </c>
      <c r="AG367" s="561">
        <v>25809</v>
      </c>
      <c r="AH367" s="561">
        <v>0</v>
      </c>
      <c r="AI367" s="561">
        <v>9943</v>
      </c>
      <c r="AJ367" s="561">
        <v>0</v>
      </c>
      <c r="AK367" s="561">
        <v>0</v>
      </c>
      <c r="AL367" s="561">
        <v>0</v>
      </c>
      <c r="AM367" s="561">
        <v>9</v>
      </c>
      <c r="AN367" s="561">
        <v>0</v>
      </c>
      <c r="AO367" s="561">
        <v>0</v>
      </c>
      <c r="AP367" s="561">
        <v>21</v>
      </c>
      <c r="AQ367" s="561">
        <v>44</v>
      </c>
      <c r="AR367" s="561">
        <v>2</v>
      </c>
    </row>
    <row r="368" spans="1:44" x14ac:dyDescent="0.3">
      <c r="A368" s="1129" t="s">
        <v>3544</v>
      </c>
      <c r="B368" s="1129" t="s">
        <v>3545</v>
      </c>
      <c r="C368" s="1129" t="s">
        <v>3546</v>
      </c>
      <c r="D368" s="1129" t="s">
        <v>379</v>
      </c>
      <c r="E368" s="561">
        <v>-18916</v>
      </c>
      <c r="F368" s="561">
        <v>0</v>
      </c>
      <c r="G368" s="561">
        <v>192427</v>
      </c>
      <c r="H368" s="561">
        <v>28885</v>
      </c>
      <c r="I368" s="561">
        <v>1039</v>
      </c>
      <c r="J368" s="561">
        <v>43247</v>
      </c>
      <c r="K368" s="561">
        <v>21493</v>
      </c>
      <c r="L368" s="561">
        <v>1843</v>
      </c>
      <c r="M368" s="561">
        <v>7214</v>
      </c>
      <c r="N368" s="561">
        <v>2318</v>
      </c>
      <c r="O368" s="561">
        <v>9047</v>
      </c>
      <c r="P368" s="561">
        <v>810</v>
      </c>
      <c r="Q368" s="561">
        <v>3887</v>
      </c>
      <c r="R368" s="561">
        <v>196114</v>
      </c>
      <c r="S368" s="1217">
        <v>0</v>
      </c>
      <c r="T368" s="1217">
        <v>0</v>
      </c>
      <c r="U368" s="1217">
        <v>-1000</v>
      </c>
      <c r="V368" s="561">
        <v>13810</v>
      </c>
      <c r="W368" s="561">
        <v>1074</v>
      </c>
      <c r="X368" s="561">
        <v>2848</v>
      </c>
      <c r="Y368" s="561">
        <v>0</v>
      </c>
      <c r="Z368" s="561">
        <v>238</v>
      </c>
      <c r="AA368" s="561">
        <v>0</v>
      </c>
      <c r="AB368" s="561">
        <v>0</v>
      </c>
      <c r="AC368" s="561">
        <v>0</v>
      </c>
      <c r="AD368" s="561">
        <v>7304</v>
      </c>
      <c r="AE368" s="561">
        <v>3684</v>
      </c>
      <c r="AF368" s="561">
        <v>4036</v>
      </c>
      <c r="AG368" s="561">
        <v>16284</v>
      </c>
      <c r="AH368" s="561">
        <v>0</v>
      </c>
      <c r="AI368" s="561">
        <v>46841</v>
      </c>
      <c r="AJ368" s="561">
        <v>0</v>
      </c>
      <c r="AK368" s="561">
        <v>32528</v>
      </c>
      <c r="AL368" s="561">
        <v>2124</v>
      </c>
      <c r="AM368" s="561">
        <v>22</v>
      </c>
      <c r="AN368" s="561">
        <v>0</v>
      </c>
      <c r="AO368" s="561">
        <v>0</v>
      </c>
      <c r="AP368" s="561">
        <v>25</v>
      </c>
      <c r="AQ368" s="561">
        <v>210</v>
      </c>
      <c r="AR368" s="561">
        <v>15</v>
      </c>
    </row>
    <row r="369" spans="1:44" x14ac:dyDescent="0.3">
      <c r="A369" s="1129" t="s">
        <v>3547</v>
      </c>
      <c r="B369" s="1129" t="s">
        <v>3548</v>
      </c>
      <c r="C369" s="1129" t="s">
        <v>3549</v>
      </c>
      <c r="D369" s="1129" t="s">
        <v>379</v>
      </c>
      <c r="E369" s="561">
        <v>0</v>
      </c>
      <c r="F369" s="561">
        <v>0</v>
      </c>
      <c r="G369" s="561">
        <v>199382</v>
      </c>
      <c r="H369" s="561">
        <v>21016</v>
      </c>
      <c r="I369" s="561">
        <v>896</v>
      </c>
      <c r="J369" s="561">
        <v>38055</v>
      </c>
      <c r="K369" s="561">
        <v>17495</v>
      </c>
      <c r="L369" s="561">
        <v>1431</v>
      </c>
      <c r="M369" s="561">
        <v>6264</v>
      </c>
      <c r="N369" s="561">
        <v>3088</v>
      </c>
      <c r="O369" s="561">
        <v>9837</v>
      </c>
      <c r="P369" s="561">
        <v>153</v>
      </c>
      <c r="Q369" s="561">
        <v>0</v>
      </c>
      <c r="R369" s="561">
        <v>162776</v>
      </c>
      <c r="S369" s="1217">
        <v>0</v>
      </c>
      <c r="T369" s="1217">
        <v>0</v>
      </c>
      <c r="U369" s="1217">
        <v>0</v>
      </c>
      <c r="V369" s="561">
        <v>5644</v>
      </c>
      <c r="W369" s="561">
        <v>848</v>
      </c>
      <c r="X369" s="561">
        <v>2435</v>
      </c>
      <c r="Y369" s="561">
        <v>0</v>
      </c>
      <c r="Z369" s="561">
        <v>835</v>
      </c>
      <c r="AA369" s="561">
        <v>0</v>
      </c>
      <c r="AB369" s="561">
        <v>0</v>
      </c>
      <c r="AC369" s="561">
        <v>0</v>
      </c>
      <c r="AD369" s="561">
        <v>13694</v>
      </c>
      <c r="AE369" s="561">
        <v>0</v>
      </c>
      <c r="AF369" s="561">
        <v>3811</v>
      </c>
      <c r="AG369" s="561">
        <v>19559</v>
      </c>
      <c r="AH369" s="561">
        <v>18928</v>
      </c>
      <c r="AI369" s="561">
        <v>67445</v>
      </c>
      <c r="AJ369" s="561">
        <v>44698</v>
      </c>
      <c r="AK369" s="561">
        <v>39949</v>
      </c>
      <c r="AL369" s="561">
        <v>0</v>
      </c>
      <c r="AM369" s="561">
        <v>15</v>
      </c>
      <c r="AN369" s="561">
        <v>2</v>
      </c>
      <c r="AO369" s="561">
        <v>1</v>
      </c>
      <c r="AP369" s="561">
        <v>1</v>
      </c>
      <c r="AQ369" s="561">
        <v>113</v>
      </c>
      <c r="AR369" s="561">
        <v>4</v>
      </c>
    </row>
    <row r="370" spans="1:44" x14ac:dyDescent="0.3">
      <c r="A370" s="1129" t="s">
        <v>3550</v>
      </c>
      <c r="B370" s="1129" t="s">
        <v>3551</v>
      </c>
      <c r="C370" s="1129" t="s">
        <v>3552</v>
      </c>
      <c r="D370" s="1129" t="s">
        <v>2476</v>
      </c>
      <c r="E370" s="561">
        <v>-23654</v>
      </c>
      <c r="F370" s="561">
        <v>0</v>
      </c>
      <c r="G370" s="561">
        <v>234851</v>
      </c>
      <c r="H370" s="561">
        <v>19082</v>
      </c>
      <c r="I370" s="561">
        <v>38</v>
      </c>
      <c r="J370" s="561">
        <v>27548</v>
      </c>
      <c r="K370" s="561">
        <v>11703</v>
      </c>
      <c r="L370" s="561">
        <v>8898</v>
      </c>
      <c r="M370" s="561">
        <v>4763</v>
      </c>
      <c r="N370" s="561">
        <v>1345</v>
      </c>
      <c r="O370" s="561">
        <v>4829</v>
      </c>
      <c r="P370" s="561">
        <v>221</v>
      </c>
      <c r="Q370" s="561">
        <v>0</v>
      </c>
      <c r="R370" s="561">
        <v>147956</v>
      </c>
      <c r="S370" s="1217">
        <v>6906</v>
      </c>
      <c r="T370" s="1217">
        <v>0</v>
      </c>
      <c r="U370" s="1217">
        <v>0</v>
      </c>
      <c r="V370" s="561">
        <v>15117</v>
      </c>
      <c r="W370" s="561">
        <v>865</v>
      </c>
      <c r="X370" s="561">
        <v>2387</v>
      </c>
      <c r="Y370" s="561">
        <v>0</v>
      </c>
      <c r="Z370" s="561">
        <v>964</v>
      </c>
      <c r="AA370" s="561">
        <v>0</v>
      </c>
      <c r="AB370" s="561">
        <v>0</v>
      </c>
      <c r="AC370" s="561">
        <v>0</v>
      </c>
      <c r="AD370" s="561">
        <v>7115</v>
      </c>
      <c r="AE370" s="561">
        <v>3575</v>
      </c>
      <c r="AF370" s="561">
        <v>4058</v>
      </c>
      <c r="AG370" s="561">
        <v>14906</v>
      </c>
      <c r="AH370" s="561">
        <v>0</v>
      </c>
      <c r="AI370" s="561">
        <v>77081</v>
      </c>
      <c r="AJ370" s="561">
        <v>0</v>
      </c>
      <c r="AK370" s="561">
        <v>0</v>
      </c>
      <c r="AL370" s="561">
        <v>0</v>
      </c>
      <c r="AM370" s="561" t="s">
        <v>2534</v>
      </c>
      <c r="AN370" s="561" t="s">
        <v>2534</v>
      </c>
      <c r="AO370" s="561" t="s">
        <v>2534</v>
      </c>
      <c r="AP370" s="561" t="s">
        <v>2534</v>
      </c>
      <c r="AQ370" s="561" t="s">
        <v>2534</v>
      </c>
      <c r="AR370" s="561" t="s">
        <v>2534</v>
      </c>
    </row>
    <row r="371" spans="1:44" x14ac:dyDescent="0.3">
      <c r="A371" s="1129" t="s">
        <v>3553</v>
      </c>
      <c r="B371" s="1129" t="s">
        <v>3554</v>
      </c>
      <c r="C371" s="1129" t="s">
        <v>3555</v>
      </c>
      <c r="D371" s="1129" t="s">
        <v>2476</v>
      </c>
      <c r="E371" s="561">
        <v>-29448</v>
      </c>
      <c r="F371" s="561">
        <v>0</v>
      </c>
      <c r="G371" s="561">
        <v>208127</v>
      </c>
      <c r="H371" s="561">
        <v>33481</v>
      </c>
      <c r="I371" s="561">
        <v>40</v>
      </c>
      <c r="J371" s="561">
        <v>40231</v>
      </c>
      <c r="K371" s="561">
        <v>20954</v>
      </c>
      <c r="L371" s="561">
        <v>8707</v>
      </c>
      <c r="M371" s="561">
        <v>5676</v>
      </c>
      <c r="N371" s="561">
        <v>1640</v>
      </c>
      <c r="O371" s="561">
        <v>0</v>
      </c>
      <c r="P371" s="561">
        <v>7810</v>
      </c>
      <c r="Q371" s="561">
        <v>0</v>
      </c>
      <c r="R371" s="561">
        <v>74387</v>
      </c>
      <c r="S371" s="1217">
        <v>128271</v>
      </c>
      <c r="T371" s="1217" t="s">
        <v>2453</v>
      </c>
      <c r="U371" s="1217" t="s">
        <v>2453</v>
      </c>
      <c r="V371" s="561">
        <v>0</v>
      </c>
      <c r="W371" s="561">
        <v>1335</v>
      </c>
      <c r="X371" s="561">
        <v>2443</v>
      </c>
      <c r="Y371" s="561">
        <v>0</v>
      </c>
      <c r="Z371" s="561">
        <v>1591</v>
      </c>
      <c r="AA371" s="561">
        <v>0</v>
      </c>
      <c r="AB371" s="561">
        <v>0</v>
      </c>
      <c r="AC371" s="561">
        <v>0</v>
      </c>
      <c r="AD371" s="561">
        <v>13783</v>
      </c>
      <c r="AE371" s="561">
        <v>0</v>
      </c>
      <c r="AF371" s="561">
        <v>0</v>
      </c>
      <c r="AG371" s="561">
        <v>15333</v>
      </c>
      <c r="AH371" s="561">
        <v>1767</v>
      </c>
      <c r="AI371" s="561">
        <v>148565</v>
      </c>
      <c r="AJ371" s="561">
        <v>75702</v>
      </c>
      <c r="AK371" s="561">
        <v>98553</v>
      </c>
      <c r="AL371" s="561">
        <v>35398</v>
      </c>
      <c r="AM371" s="561">
        <v>83</v>
      </c>
      <c r="AN371" s="561">
        <v>1986</v>
      </c>
      <c r="AO371" s="561">
        <v>0</v>
      </c>
      <c r="AP371" s="561">
        <v>612</v>
      </c>
      <c r="AQ371" s="561">
        <v>1366</v>
      </c>
      <c r="AR371" s="561">
        <v>1</v>
      </c>
    </row>
    <row r="372" spans="1:44" x14ac:dyDescent="0.3">
      <c r="A372" s="1129" t="s">
        <v>3556</v>
      </c>
      <c r="B372" s="1129" t="s">
        <v>3557</v>
      </c>
      <c r="C372" s="1129" t="s">
        <v>3558</v>
      </c>
      <c r="D372" s="1129" t="s">
        <v>385</v>
      </c>
      <c r="E372" s="561">
        <v>-2043</v>
      </c>
      <c r="F372" s="561">
        <v>0</v>
      </c>
      <c r="G372" s="561">
        <v>138233</v>
      </c>
      <c r="H372" s="561">
        <v>14632</v>
      </c>
      <c r="I372" s="561">
        <v>519</v>
      </c>
      <c r="J372" s="561">
        <v>18360</v>
      </c>
      <c r="K372" s="561">
        <v>7662</v>
      </c>
      <c r="L372" s="561">
        <v>1318</v>
      </c>
      <c r="M372" s="561">
        <v>3604</v>
      </c>
      <c r="N372" s="561">
        <v>663</v>
      </c>
      <c r="O372" s="561">
        <v>0</v>
      </c>
      <c r="P372" s="561">
        <v>1097</v>
      </c>
      <c r="Q372" s="561">
        <v>3004</v>
      </c>
      <c r="R372" s="561">
        <v>137975</v>
      </c>
      <c r="S372" s="1217">
        <v>0</v>
      </c>
      <c r="T372" s="1217">
        <v>0</v>
      </c>
      <c r="U372" s="1217">
        <v>0</v>
      </c>
      <c r="V372" s="561">
        <v>40115</v>
      </c>
      <c r="W372" s="561">
        <v>476</v>
      </c>
      <c r="X372" s="561">
        <v>1659</v>
      </c>
      <c r="Y372" s="561">
        <v>0</v>
      </c>
      <c r="Z372" s="561">
        <v>626</v>
      </c>
      <c r="AA372" s="561">
        <v>0</v>
      </c>
      <c r="AB372" s="561">
        <v>0</v>
      </c>
      <c r="AC372" s="561">
        <v>0</v>
      </c>
      <c r="AD372" s="561">
        <v>10386</v>
      </c>
      <c r="AE372" s="561">
        <v>0</v>
      </c>
      <c r="AF372" s="561">
        <v>4000</v>
      </c>
      <c r="AG372" s="561">
        <v>5000</v>
      </c>
      <c r="AH372" s="561">
        <v>0</v>
      </c>
      <c r="AI372" s="561">
        <v>0</v>
      </c>
      <c r="AJ372" s="561">
        <v>68011</v>
      </c>
      <c r="AK372" s="561">
        <v>0</v>
      </c>
      <c r="AL372" s="561">
        <v>0</v>
      </c>
      <c r="AM372" s="561">
        <v>93</v>
      </c>
      <c r="AN372" s="561">
        <v>41</v>
      </c>
      <c r="AO372" s="561">
        <v>0</v>
      </c>
      <c r="AP372" s="561">
        <v>0</v>
      </c>
      <c r="AQ372" s="561">
        <v>83</v>
      </c>
      <c r="AR372" s="561">
        <v>0</v>
      </c>
    </row>
    <row r="373" spans="1:44" x14ac:dyDescent="0.3">
      <c r="A373" s="1129" t="s">
        <v>3559</v>
      </c>
      <c r="B373" s="1129" t="s">
        <v>3560</v>
      </c>
      <c r="C373" s="1129" t="s">
        <v>3561</v>
      </c>
      <c r="D373" s="1129" t="s">
        <v>384</v>
      </c>
      <c r="E373" s="561">
        <v>-200</v>
      </c>
      <c r="F373" s="561">
        <v>0</v>
      </c>
      <c r="G373" s="561">
        <v>0</v>
      </c>
      <c r="H373" s="561">
        <v>0</v>
      </c>
      <c r="I373" s="561">
        <v>38</v>
      </c>
      <c r="J373" s="561">
        <v>0</v>
      </c>
      <c r="K373" s="561">
        <v>0</v>
      </c>
      <c r="L373" s="561">
        <v>926</v>
      </c>
      <c r="M373" s="561">
        <v>0</v>
      </c>
      <c r="N373" s="561">
        <v>0</v>
      </c>
      <c r="O373" s="561">
        <v>0</v>
      </c>
      <c r="P373" s="561">
        <v>1529</v>
      </c>
      <c r="Q373" s="561">
        <v>2524</v>
      </c>
      <c r="R373" s="561">
        <v>13727</v>
      </c>
      <c r="S373" s="1217" t="s">
        <v>2453</v>
      </c>
      <c r="T373" s="1217">
        <v>0</v>
      </c>
      <c r="U373" s="1217">
        <v>0</v>
      </c>
      <c r="V373" s="561">
        <v>8426</v>
      </c>
      <c r="W373" s="561">
        <v>253</v>
      </c>
      <c r="X373" s="561">
        <v>231</v>
      </c>
      <c r="Y373" s="561">
        <v>1347</v>
      </c>
      <c r="Z373" s="561">
        <v>222</v>
      </c>
      <c r="AA373" s="561">
        <v>0</v>
      </c>
      <c r="AB373" s="561">
        <v>0</v>
      </c>
      <c r="AC373" s="561">
        <v>0</v>
      </c>
      <c r="AD373" s="561">
        <v>0</v>
      </c>
      <c r="AE373" s="561">
        <v>0</v>
      </c>
      <c r="AF373" s="561">
        <v>0</v>
      </c>
      <c r="AG373" s="561">
        <v>0</v>
      </c>
      <c r="AH373" s="561">
        <v>1881</v>
      </c>
      <c r="AI373" s="561">
        <v>7152</v>
      </c>
      <c r="AJ373" s="561">
        <v>6912</v>
      </c>
      <c r="AK373" s="561">
        <v>1500</v>
      </c>
      <c r="AL373" s="561">
        <v>0</v>
      </c>
      <c r="AM373" s="561">
        <v>26</v>
      </c>
      <c r="AN373" s="561">
        <v>9</v>
      </c>
      <c r="AO373" s="561">
        <v>0</v>
      </c>
      <c r="AP373" s="561">
        <v>0</v>
      </c>
      <c r="AQ373" s="561">
        <v>16</v>
      </c>
      <c r="AR373" s="561">
        <v>4</v>
      </c>
    </row>
    <row r="374" spans="1:44" x14ac:dyDescent="0.3">
      <c r="A374" s="1129" t="s">
        <v>3562</v>
      </c>
      <c r="B374" s="1129" t="s">
        <v>3563</v>
      </c>
      <c r="C374" s="1129" t="s">
        <v>3564</v>
      </c>
      <c r="D374" s="1129" t="s">
        <v>2595</v>
      </c>
      <c r="E374" s="561">
        <v>-2072</v>
      </c>
      <c r="F374" s="561">
        <v>0</v>
      </c>
      <c r="G374" s="561">
        <v>330843</v>
      </c>
      <c r="H374" s="561">
        <v>27268</v>
      </c>
      <c r="I374" s="561">
        <v>1351</v>
      </c>
      <c r="J374" s="561">
        <v>46218</v>
      </c>
      <c r="K374" s="561">
        <v>18669</v>
      </c>
      <c r="L374" s="561">
        <v>0</v>
      </c>
      <c r="M374" s="561">
        <v>9776</v>
      </c>
      <c r="N374" s="561">
        <v>1516</v>
      </c>
      <c r="O374" s="561">
        <v>0</v>
      </c>
      <c r="P374" s="561">
        <v>1256</v>
      </c>
      <c r="Q374" s="561">
        <v>0</v>
      </c>
      <c r="R374" s="561">
        <v>413263</v>
      </c>
      <c r="S374" s="1217">
        <v>0</v>
      </c>
      <c r="T374" s="1217">
        <v>0</v>
      </c>
      <c r="U374" s="1217">
        <v>0</v>
      </c>
      <c r="V374" s="561">
        <v>13145</v>
      </c>
      <c r="W374" s="561">
        <v>0</v>
      </c>
      <c r="X374" s="561">
        <v>3823</v>
      </c>
      <c r="Y374" s="561">
        <v>0</v>
      </c>
      <c r="Z374" s="561">
        <v>0</v>
      </c>
      <c r="AA374" s="561">
        <v>0</v>
      </c>
      <c r="AB374" s="561">
        <v>0</v>
      </c>
      <c r="AC374" s="561">
        <v>0</v>
      </c>
      <c r="AD374" s="561">
        <v>17169</v>
      </c>
      <c r="AE374" s="561">
        <v>39488</v>
      </c>
      <c r="AF374" s="561">
        <v>0</v>
      </c>
      <c r="AG374" s="561">
        <v>25910</v>
      </c>
      <c r="AH374" s="561">
        <v>0</v>
      </c>
      <c r="AI374" s="561">
        <v>49547</v>
      </c>
      <c r="AJ374" s="561">
        <v>39712</v>
      </c>
      <c r="AK374" s="561">
        <v>55846</v>
      </c>
      <c r="AL374" s="561">
        <v>0</v>
      </c>
      <c r="AM374" s="561">
        <v>0</v>
      </c>
      <c r="AN374" s="561">
        <v>0</v>
      </c>
      <c r="AO374" s="561">
        <v>0</v>
      </c>
      <c r="AP374" s="561">
        <v>0</v>
      </c>
      <c r="AQ374" s="561">
        <v>0</v>
      </c>
      <c r="AR374" s="561">
        <v>0</v>
      </c>
    </row>
    <row r="375" spans="1:44" x14ac:dyDescent="0.3">
      <c r="A375" s="1129" t="s">
        <v>3565</v>
      </c>
      <c r="B375" s="1129" t="s">
        <v>3566</v>
      </c>
      <c r="C375" s="1129" t="s">
        <v>3567</v>
      </c>
      <c r="D375" s="1129" t="s">
        <v>2466</v>
      </c>
      <c r="E375" s="561">
        <v>0</v>
      </c>
      <c r="F375" s="561">
        <v>-70262</v>
      </c>
      <c r="G375" s="561">
        <v>0</v>
      </c>
      <c r="H375" s="561">
        <v>0</v>
      </c>
      <c r="I375" s="561">
        <v>0</v>
      </c>
      <c r="J375" s="561">
        <v>0</v>
      </c>
      <c r="K375" s="561">
        <v>0</v>
      </c>
      <c r="L375" s="561">
        <v>0</v>
      </c>
      <c r="M375" s="561">
        <v>0</v>
      </c>
      <c r="N375" s="561">
        <v>0</v>
      </c>
      <c r="O375" s="561">
        <v>0</v>
      </c>
      <c r="P375" s="561">
        <v>0</v>
      </c>
      <c r="Q375" s="561">
        <v>0</v>
      </c>
      <c r="R375" s="561">
        <v>68851</v>
      </c>
      <c r="S375" s="1217">
        <v>0</v>
      </c>
      <c r="T375" s="1217">
        <v>2590</v>
      </c>
      <c r="U375" s="1217">
        <v>0</v>
      </c>
      <c r="V375" s="561">
        <v>427</v>
      </c>
      <c r="W375" s="561">
        <v>0</v>
      </c>
      <c r="X375" s="561">
        <v>0</v>
      </c>
      <c r="Y375" s="561">
        <v>0</v>
      </c>
      <c r="Z375" s="561">
        <v>0</v>
      </c>
      <c r="AA375" s="561">
        <v>3561</v>
      </c>
      <c r="AB375" s="561">
        <v>1373</v>
      </c>
      <c r="AC375" s="561">
        <v>1903</v>
      </c>
      <c r="AD375" s="561">
        <v>0</v>
      </c>
      <c r="AE375" s="561">
        <v>0</v>
      </c>
      <c r="AF375" s="561">
        <v>0</v>
      </c>
      <c r="AG375" s="561">
        <v>6000</v>
      </c>
      <c r="AH375" s="561">
        <v>0</v>
      </c>
      <c r="AI375" s="561">
        <v>7454</v>
      </c>
      <c r="AJ375" s="561">
        <v>0</v>
      </c>
      <c r="AK375" s="561">
        <v>0</v>
      </c>
      <c r="AL375" s="561">
        <v>0</v>
      </c>
      <c r="AM375" s="561">
        <v>0</v>
      </c>
      <c r="AN375" s="561">
        <v>0</v>
      </c>
      <c r="AO375" s="561">
        <v>0</v>
      </c>
      <c r="AP375" s="561">
        <v>0</v>
      </c>
      <c r="AQ375" s="561">
        <v>0</v>
      </c>
      <c r="AR375" s="561">
        <v>0</v>
      </c>
    </row>
    <row r="376" spans="1:44" x14ac:dyDescent="0.3">
      <c r="A376" s="1129" t="s">
        <v>3568</v>
      </c>
      <c r="B376" s="1129" t="s">
        <v>3569</v>
      </c>
      <c r="C376" s="1129" t="s">
        <v>3570</v>
      </c>
      <c r="D376" s="1129" t="s">
        <v>384</v>
      </c>
      <c r="E376" s="561">
        <v>-129</v>
      </c>
      <c r="F376" s="561">
        <v>0</v>
      </c>
      <c r="G376" s="561">
        <v>0</v>
      </c>
      <c r="H376" s="561">
        <v>0</v>
      </c>
      <c r="I376" s="561">
        <v>37</v>
      </c>
      <c r="J376" s="561">
        <v>0</v>
      </c>
      <c r="K376" s="561">
        <v>0</v>
      </c>
      <c r="L376" s="561">
        <v>1275</v>
      </c>
      <c r="M376" s="561">
        <v>0</v>
      </c>
      <c r="N376" s="561">
        <v>0</v>
      </c>
      <c r="O376" s="561">
        <v>45</v>
      </c>
      <c r="P376" s="561">
        <v>784</v>
      </c>
      <c r="Q376" s="561">
        <v>0</v>
      </c>
      <c r="R376" s="561">
        <v>10998</v>
      </c>
      <c r="S376" s="1217">
        <v>0</v>
      </c>
      <c r="T376" s="1217">
        <v>0</v>
      </c>
      <c r="U376" s="1217">
        <v>0</v>
      </c>
      <c r="V376" s="561">
        <v>846</v>
      </c>
      <c r="W376" s="561">
        <v>246</v>
      </c>
      <c r="X376" s="561">
        <v>208</v>
      </c>
      <c r="Y376" s="561">
        <v>0</v>
      </c>
      <c r="Z376" s="561">
        <v>490</v>
      </c>
      <c r="AA376" s="561">
        <v>0</v>
      </c>
      <c r="AB376" s="561">
        <v>0</v>
      </c>
      <c r="AC376" s="561">
        <v>0</v>
      </c>
      <c r="AD376" s="561">
        <v>0</v>
      </c>
      <c r="AE376" s="561">
        <v>0</v>
      </c>
      <c r="AF376" s="561">
        <v>0</v>
      </c>
      <c r="AG376" s="561">
        <v>2000</v>
      </c>
      <c r="AH376" s="561">
        <v>0</v>
      </c>
      <c r="AI376" s="561">
        <v>2920</v>
      </c>
      <c r="AJ376" s="561">
        <v>21564</v>
      </c>
      <c r="AK376" s="561">
        <v>701</v>
      </c>
      <c r="AL376" s="561">
        <v>0</v>
      </c>
      <c r="AM376" s="561">
        <v>31</v>
      </c>
      <c r="AN376" s="561">
        <v>100</v>
      </c>
      <c r="AO376" s="561">
        <v>48</v>
      </c>
      <c r="AP376" s="561">
        <v>0</v>
      </c>
      <c r="AQ376" s="561">
        <v>60</v>
      </c>
      <c r="AR376" s="561">
        <v>0</v>
      </c>
    </row>
    <row r="377" spans="1:44" x14ac:dyDescent="0.3">
      <c r="A377" s="1129" t="s">
        <v>3571</v>
      </c>
      <c r="B377" s="1129" t="s">
        <v>3572</v>
      </c>
      <c r="C377" s="1129" t="s">
        <v>3573</v>
      </c>
      <c r="D377" s="1129" t="s">
        <v>384</v>
      </c>
      <c r="E377" s="561">
        <v>-160</v>
      </c>
      <c r="F377" s="561">
        <v>0</v>
      </c>
      <c r="G377" s="561">
        <v>0</v>
      </c>
      <c r="H377" s="561">
        <v>0</v>
      </c>
      <c r="I377" s="561">
        <v>38</v>
      </c>
      <c r="J377" s="561">
        <v>0</v>
      </c>
      <c r="K377" s="561">
        <v>0</v>
      </c>
      <c r="L377" s="561">
        <v>1094</v>
      </c>
      <c r="M377" s="561">
        <v>0</v>
      </c>
      <c r="N377" s="561">
        <v>0</v>
      </c>
      <c r="O377" s="561">
        <v>0</v>
      </c>
      <c r="P377" s="561">
        <v>1011</v>
      </c>
      <c r="Q377" s="561">
        <v>5087</v>
      </c>
      <c r="R377" s="561">
        <v>17725</v>
      </c>
      <c r="S377" s="1217" t="s">
        <v>3574</v>
      </c>
      <c r="T377" s="1217">
        <v>1145</v>
      </c>
      <c r="U377" s="1217">
        <v>0</v>
      </c>
      <c r="V377" s="561">
        <v>4431</v>
      </c>
      <c r="W377" s="561">
        <v>212</v>
      </c>
      <c r="X377" s="561">
        <v>163</v>
      </c>
      <c r="Y377" s="561">
        <v>722</v>
      </c>
      <c r="Z377" s="561">
        <v>70</v>
      </c>
      <c r="AA377" s="561">
        <v>0</v>
      </c>
      <c r="AB377" s="561">
        <v>0</v>
      </c>
      <c r="AC377" s="561">
        <v>0</v>
      </c>
      <c r="AD377" s="561">
        <v>0</v>
      </c>
      <c r="AE377" s="561">
        <v>0</v>
      </c>
      <c r="AF377" s="561">
        <v>0</v>
      </c>
      <c r="AG377" s="561">
        <v>4591</v>
      </c>
      <c r="AH377" s="561">
        <v>111</v>
      </c>
      <c r="AI377" s="561">
        <v>16557</v>
      </c>
      <c r="AJ377" s="561">
        <v>2714</v>
      </c>
      <c r="AK377" s="561">
        <v>0</v>
      </c>
      <c r="AL377" s="561">
        <v>1081</v>
      </c>
      <c r="AM377" s="561">
        <v>7</v>
      </c>
      <c r="AN377" s="561">
        <v>0</v>
      </c>
      <c r="AO377" s="561">
        <v>1</v>
      </c>
      <c r="AP377" s="561">
        <v>0</v>
      </c>
      <c r="AQ377" s="561">
        <v>1</v>
      </c>
      <c r="AR377" s="561">
        <v>0</v>
      </c>
    </row>
    <row r="378" spans="1:44" x14ac:dyDescent="0.3">
      <c r="A378" s="1129" t="s">
        <v>3575</v>
      </c>
      <c r="B378" s="1129" t="s">
        <v>3576</v>
      </c>
      <c r="C378" s="1129" t="s">
        <v>3577</v>
      </c>
      <c r="D378" s="1129" t="s">
        <v>384</v>
      </c>
      <c r="E378" s="561">
        <v>-202</v>
      </c>
      <c r="F378" s="561">
        <v>0</v>
      </c>
      <c r="G378" s="561">
        <v>0</v>
      </c>
      <c r="H378" s="561">
        <v>0</v>
      </c>
      <c r="I378" s="561">
        <v>35</v>
      </c>
      <c r="J378" s="561">
        <v>0</v>
      </c>
      <c r="K378" s="561">
        <v>0</v>
      </c>
      <c r="L378" s="561">
        <v>1088</v>
      </c>
      <c r="M378" s="561">
        <v>0</v>
      </c>
      <c r="N378" s="561">
        <v>0</v>
      </c>
      <c r="O378" s="561">
        <v>0</v>
      </c>
      <c r="P378" s="561">
        <v>1394</v>
      </c>
      <c r="Q378" s="561">
        <v>9767</v>
      </c>
      <c r="R378" s="561">
        <v>25103</v>
      </c>
      <c r="S378" s="1217">
        <v>2542</v>
      </c>
      <c r="T378" s="1217">
        <v>23115</v>
      </c>
      <c r="U378" s="1217">
        <v>0</v>
      </c>
      <c r="V378" s="561">
        <v>1865</v>
      </c>
      <c r="W378" s="561">
        <v>237</v>
      </c>
      <c r="X378" s="561">
        <v>176</v>
      </c>
      <c r="Y378" s="561">
        <v>1270</v>
      </c>
      <c r="Z378" s="561">
        <v>0</v>
      </c>
      <c r="AA378" s="561">
        <v>0</v>
      </c>
      <c r="AB378" s="561">
        <v>0</v>
      </c>
      <c r="AC378" s="561">
        <v>0</v>
      </c>
      <c r="AD378" s="561">
        <v>0</v>
      </c>
      <c r="AE378" s="561">
        <v>0</v>
      </c>
      <c r="AF378" s="561">
        <v>0</v>
      </c>
      <c r="AG378" s="561">
        <v>6500</v>
      </c>
      <c r="AH378" s="561">
        <v>0</v>
      </c>
      <c r="AI378" s="561">
        <v>43618</v>
      </c>
      <c r="AJ378" s="561">
        <v>3944</v>
      </c>
      <c r="AK378" s="561">
        <v>5444</v>
      </c>
      <c r="AL378" s="561">
        <v>0</v>
      </c>
      <c r="AM378" s="561">
        <v>18</v>
      </c>
      <c r="AN378" s="561">
        <v>16</v>
      </c>
      <c r="AO378" s="561">
        <v>0</v>
      </c>
      <c r="AP378" s="561">
        <v>0</v>
      </c>
      <c r="AQ378" s="561">
        <v>22</v>
      </c>
      <c r="AR378" s="561">
        <v>0</v>
      </c>
    </row>
    <row r="379" spans="1:44" x14ac:dyDescent="0.3">
      <c r="A379" s="1129" t="s">
        <v>3578</v>
      </c>
      <c r="B379" s="1129" t="s">
        <v>3579</v>
      </c>
      <c r="C379" s="1129" t="s">
        <v>3580</v>
      </c>
      <c r="D379" s="1129" t="s">
        <v>384</v>
      </c>
      <c r="E379" s="561">
        <v>-192</v>
      </c>
      <c r="F379" s="561">
        <v>0</v>
      </c>
      <c r="G379" s="561">
        <v>0</v>
      </c>
      <c r="H379" s="561">
        <v>0</v>
      </c>
      <c r="I379" s="561">
        <v>39</v>
      </c>
      <c r="J379" s="561">
        <v>0</v>
      </c>
      <c r="K379" s="561">
        <v>0</v>
      </c>
      <c r="L379" s="561">
        <v>1409</v>
      </c>
      <c r="M379" s="561">
        <v>0</v>
      </c>
      <c r="N379" s="561">
        <v>0</v>
      </c>
      <c r="O379" s="561">
        <v>0</v>
      </c>
      <c r="P379" s="561">
        <v>224</v>
      </c>
      <c r="Q379" s="561">
        <v>2384</v>
      </c>
      <c r="R379" s="561">
        <v>13213</v>
      </c>
      <c r="S379" s="1217">
        <v>3382</v>
      </c>
      <c r="T379" s="1217">
        <v>0</v>
      </c>
      <c r="U379" s="1217">
        <v>0</v>
      </c>
      <c r="V379" s="561">
        <v>7557</v>
      </c>
      <c r="W379" s="561">
        <v>318</v>
      </c>
      <c r="X379" s="561">
        <v>212</v>
      </c>
      <c r="Y379" s="561">
        <v>574</v>
      </c>
      <c r="Z379" s="561">
        <v>126</v>
      </c>
      <c r="AA379" s="561">
        <v>0</v>
      </c>
      <c r="AB379" s="561">
        <v>0</v>
      </c>
      <c r="AC379" s="561">
        <v>0</v>
      </c>
      <c r="AD379" s="561">
        <v>0</v>
      </c>
      <c r="AE379" s="561">
        <v>0</v>
      </c>
      <c r="AF379" s="561">
        <v>0</v>
      </c>
      <c r="AG379" s="561">
        <v>6771</v>
      </c>
      <c r="AH379" s="561">
        <v>301</v>
      </c>
      <c r="AI379" s="561">
        <v>6893</v>
      </c>
      <c r="AJ379" s="561">
        <v>5154</v>
      </c>
      <c r="AK379" s="561">
        <v>0</v>
      </c>
      <c r="AL379" s="561">
        <v>271</v>
      </c>
      <c r="AM379" s="561">
        <v>9</v>
      </c>
      <c r="AN379" s="561">
        <v>24</v>
      </c>
      <c r="AO379" s="561">
        <v>0</v>
      </c>
      <c r="AP379" s="561">
        <v>0</v>
      </c>
      <c r="AQ379" s="561">
        <v>82</v>
      </c>
      <c r="AR379" s="561">
        <v>56</v>
      </c>
    </row>
    <row r="380" spans="1:44" x14ac:dyDescent="0.3">
      <c r="A380" s="1129" t="s">
        <v>3581</v>
      </c>
      <c r="B380" s="1129" t="s">
        <v>3582</v>
      </c>
      <c r="C380" s="1129" t="s">
        <v>3583</v>
      </c>
      <c r="D380" s="1129" t="s">
        <v>385</v>
      </c>
      <c r="E380" s="561">
        <v>-456</v>
      </c>
      <c r="F380" s="561">
        <v>0</v>
      </c>
      <c r="G380" s="561">
        <v>139193</v>
      </c>
      <c r="H380" s="561">
        <v>6932</v>
      </c>
      <c r="I380" s="561">
        <v>325</v>
      </c>
      <c r="J380" s="561">
        <v>10282</v>
      </c>
      <c r="K380" s="561">
        <v>995</v>
      </c>
      <c r="L380" s="561">
        <v>785</v>
      </c>
      <c r="M380" s="561">
        <v>2191</v>
      </c>
      <c r="N380" s="561">
        <v>361</v>
      </c>
      <c r="O380" s="561">
        <v>0</v>
      </c>
      <c r="P380" s="561">
        <v>825</v>
      </c>
      <c r="Q380" s="561">
        <v>6292</v>
      </c>
      <c r="R380" s="561">
        <v>137931</v>
      </c>
      <c r="S380" s="1217">
        <v>0</v>
      </c>
      <c r="T380" s="1217">
        <v>0</v>
      </c>
      <c r="U380" s="1217">
        <v>0</v>
      </c>
      <c r="V380" s="561">
        <v>8922</v>
      </c>
      <c r="W380" s="561">
        <v>293</v>
      </c>
      <c r="X380" s="561">
        <v>1270</v>
      </c>
      <c r="Y380" s="561">
        <v>0</v>
      </c>
      <c r="Z380" s="561">
        <v>406</v>
      </c>
      <c r="AA380" s="561">
        <v>0</v>
      </c>
      <c r="AB380" s="561">
        <v>0</v>
      </c>
      <c r="AC380" s="561">
        <v>0</v>
      </c>
      <c r="AD380" s="561">
        <v>12069</v>
      </c>
      <c r="AE380" s="561">
        <v>0</v>
      </c>
      <c r="AF380" s="561">
        <v>1018</v>
      </c>
      <c r="AG380" s="561">
        <v>4000</v>
      </c>
      <c r="AH380" s="561">
        <v>0</v>
      </c>
      <c r="AI380" s="561">
        <v>2561</v>
      </c>
      <c r="AJ380" s="561">
        <v>0</v>
      </c>
      <c r="AK380" s="561">
        <v>0</v>
      </c>
      <c r="AL380" s="561">
        <v>0</v>
      </c>
      <c r="AM380" s="561">
        <v>30</v>
      </c>
      <c r="AN380" s="561">
        <v>24</v>
      </c>
      <c r="AO380" s="561">
        <v>26</v>
      </c>
      <c r="AP380" s="561">
        <v>13</v>
      </c>
      <c r="AQ380" s="561">
        <v>70</v>
      </c>
      <c r="AR380" s="561">
        <v>0</v>
      </c>
    </row>
    <row r="381" spans="1:44" x14ac:dyDescent="0.3">
      <c r="A381" s="1129" t="s">
        <v>3584</v>
      </c>
      <c r="B381" s="1129" t="s">
        <v>3585</v>
      </c>
      <c r="C381" s="1129" t="s">
        <v>3586</v>
      </c>
      <c r="D381" s="1129" t="s">
        <v>384</v>
      </c>
      <c r="E381" s="561">
        <v>-112</v>
      </c>
      <c r="F381" s="561">
        <v>0</v>
      </c>
      <c r="G381" s="561">
        <v>0</v>
      </c>
      <c r="H381" s="561">
        <v>0</v>
      </c>
      <c r="I381" s="561">
        <v>35</v>
      </c>
      <c r="J381" s="561">
        <v>0</v>
      </c>
      <c r="K381" s="561">
        <v>0</v>
      </c>
      <c r="L381" s="561">
        <v>330</v>
      </c>
      <c r="M381" s="561">
        <v>0</v>
      </c>
      <c r="N381" s="561">
        <v>0</v>
      </c>
      <c r="O381" s="561">
        <v>63</v>
      </c>
      <c r="P381" s="561">
        <v>216</v>
      </c>
      <c r="Q381" s="561">
        <v>2451</v>
      </c>
      <c r="R381" s="561">
        <v>8414</v>
      </c>
      <c r="S381" s="1217">
        <v>0</v>
      </c>
      <c r="T381" s="1217">
        <v>0</v>
      </c>
      <c r="U381" s="1217">
        <v>0</v>
      </c>
      <c r="V381" s="561">
        <v>692</v>
      </c>
      <c r="W381" s="561">
        <v>110</v>
      </c>
      <c r="X381" s="561">
        <v>71</v>
      </c>
      <c r="Y381" s="561">
        <v>611</v>
      </c>
      <c r="Z381" s="561">
        <v>0</v>
      </c>
      <c r="AA381" s="561">
        <v>0</v>
      </c>
      <c r="AB381" s="561">
        <v>0</v>
      </c>
      <c r="AC381" s="561">
        <v>0</v>
      </c>
      <c r="AD381" s="561">
        <v>0</v>
      </c>
      <c r="AE381" s="561">
        <v>0</v>
      </c>
      <c r="AF381" s="561">
        <v>0</v>
      </c>
      <c r="AG381" s="561">
        <v>1718</v>
      </c>
      <c r="AH381" s="561">
        <v>0</v>
      </c>
      <c r="AI381" s="561">
        <v>6496</v>
      </c>
      <c r="AJ381" s="561">
        <v>4658</v>
      </c>
      <c r="AK381" s="561">
        <v>0</v>
      </c>
      <c r="AL381" s="561">
        <v>0</v>
      </c>
      <c r="AM381" s="561">
        <v>6</v>
      </c>
      <c r="AN381" s="561">
        <v>10</v>
      </c>
      <c r="AO381" s="561">
        <v>0</v>
      </c>
      <c r="AP381" s="561">
        <v>0</v>
      </c>
      <c r="AQ381" s="561">
        <v>4</v>
      </c>
      <c r="AR381" s="561">
        <v>0</v>
      </c>
    </row>
    <row r="382" spans="1:44" x14ac:dyDescent="0.3">
      <c r="A382" s="1129" t="s">
        <v>3587</v>
      </c>
      <c r="B382" s="1129" t="s">
        <v>3588</v>
      </c>
      <c r="C382" s="1129" t="s">
        <v>3589</v>
      </c>
      <c r="D382" s="1129" t="s">
        <v>384</v>
      </c>
      <c r="E382" s="561">
        <v>-211</v>
      </c>
      <c r="F382" s="561">
        <v>0</v>
      </c>
      <c r="G382" s="561">
        <v>0</v>
      </c>
      <c r="H382" s="561">
        <v>0</v>
      </c>
      <c r="I382" s="561">
        <v>36</v>
      </c>
      <c r="J382" s="561">
        <v>0</v>
      </c>
      <c r="K382" s="561">
        <v>0</v>
      </c>
      <c r="L382" s="561">
        <v>306</v>
      </c>
      <c r="M382" s="561">
        <v>0</v>
      </c>
      <c r="N382" s="561">
        <v>0</v>
      </c>
      <c r="O382" s="561">
        <v>294</v>
      </c>
      <c r="P382" s="561">
        <v>523</v>
      </c>
      <c r="Q382" s="561">
        <v>805</v>
      </c>
      <c r="R382" s="561">
        <v>10119</v>
      </c>
      <c r="S382" s="1217">
        <v>6692</v>
      </c>
      <c r="T382" s="1217">
        <v>0</v>
      </c>
      <c r="U382" s="1217">
        <v>0</v>
      </c>
      <c r="V382" s="561">
        <v>3057</v>
      </c>
      <c r="W382" s="561">
        <v>256</v>
      </c>
      <c r="X382" s="561">
        <v>209</v>
      </c>
      <c r="Y382" s="561">
        <v>0</v>
      </c>
      <c r="Z382" s="561">
        <v>50</v>
      </c>
      <c r="AA382" s="561">
        <v>0</v>
      </c>
      <c r="AB382" s="561">
        <v>0</v>
      </c>
      <c r="AC382" s="561">
        <v>0</v>
      </c>
      <c r="AD382" s="561">
        <v>0</v>
      </c>
      <c r="AE382" s="561">
        <v>0</v>
      </c>
      <c r="AF382" s="561">
        <v>0</v>
      </c>
      <c r="AG382" s="561">
        <v>960</v>
      </c>
      <c r="AH382" s="561">
        <v>0</v>
      </c>
      <c r="AI382" s="561">
        <v>0</v>
      </c>
      <c r="AJ382" s="561">
        <v>0</v>
      </c>
      <c r="AK382" s="561">
        <v>0</v>
      </c>
      <c r="AL382" s="561">
        <v>0</v>
      </c>
      <c r="AM382" s="561">
        <v>10</v>
      </c>
      <c r="AN382" s="561">
        <v>0</v>
      </c>
      <c r="AO382" s="561">
        <v>0</v>
      </c>
      <c r="AP382" s="561">
        <v>0</v>
      </c>
      <c r="AQ382" s="561">
        <v>28</v>
      </c>
      <c r="AR382" s="561">
        <v>1</v>
      </c>
    </row>
    <row r="383" spans="1:44" x14ac:dyDescent="0.3">
      <c r="A383" s="1129" t="s">
        <v>3590</v>
      </c>
      <c r="B383" s="1129" t="s">
        <v>3591</v>
      </c>
      <c r="C383" s="1129" t="s">
        <v>3592</v>
      </c>
      <c r="D383" s="1129" t="s">
        <v>384</v>
      </c>
      <c r="E383" s="561">
        <v>-143</v>
      </c>
      <c r="F383" s="561">
        <v>0</v>
      </c>
      <c r="G383" s="561">
        <v>0</v>
      </c>
      <c r="H383" s="561">
        <v>0</v>
      </c>
      <c r="I383" s="561">
        <v>35</v>
      </c>
      <c r="J383" s="561">
        <v>0</v>
      </c>
      <c r="K383" s="561">
        <v>0</v>
      </c>
      <c r="L383" s="561">
        <v>483</v>
      </c>
      <c r="M383" s="561">
        <v>0</v>
      </c>
      <c r="N383" s="561">
        <v>0</v>
      </c>
      <c r="O383" s="561">
        <v>305</v>
      </c>
      <c r="P383" s="561">
        <v>499</v>
      </c>
      <c r="Q383" s="561">
        <v>2850</v>
      </c>
      <c r="R383" s="561">
        <v>10999</v>
      </c>
      <c r="S383" s="1217">
        <v>0</v>
      </c>
      <c r="T383" s="1217">
        <v>6066</v>
      </c>
      <c r="U383" s="1217">
        <v>0</v>
      </c>
      <c r="V383" s="561">
        <v>318</v>
      </c>
      <c r="W383" s="561">
        <v>213</v>
      </c>
      <c r="X383" s="561">
        <v>124</v>
      </c>
      <c r="Y383" s="561">
        <v>586</v>
      </c>
      <c r="Z383" s="561">
        <v>0</v>
      </c>
      <c r="AA383" s="561">
        <v>0</v>
      </c>
      <c r="AB383" s="561">
        <v>0</v>
      </c>
      <c r="AC383" s="561">
        <v>0</v>
      </c>
      <c r="AD383" s="561">
        <v>0</v>
      </c>
      <c r="AE383" s="561">
        <v>0</v>
      </c>
      <c r="AF383" s="561">
        <v>0</v>
      </c>
      <c r="AG383" s="561">
        <v>3327</v>
      </c>
      <c r="AH383" s="561">
        <v>0</v>
      </c>
      <c r="AI383" s="561">
        <v>14261</v>
      </c>
      <c r="AJ383" s="561">
        <v>1309</v>
      </c>
      <c r="AK383" s="561">
        <v>4536</v>
      </c>
      <c r="AL383" s="561">
        <v>0</v>
      </c>
      <c r="AM383" s="561">
        <v>8</v>
      </c>
      <c r="AN383" s="561">
        <v>1</v>
      </c>
      <c r="AO383" s="561">
        <v>0</v>
      </c>
      <c r="AP383" s="561">
        <v>3</v>
      </c>
      <c r="AQ383" s="561">
        <v>1</v>
      </c>
      <c r="AR383" s="561">
        <v>1</v>
      </c>
    </row>
    <row r="384" spans="1:44" x14ac:dyDescent="0.3">
      <c r="A384" s="1129" t="s">
        <v>3593</v>
      </c>
      <c r="B384" s="1129" t="s">
        <v>3594</v>
      </c>
      <c r="C384" s="1129" t="s">
        <v>3595</v>
      </c>
      <c r="D384" s="1129" t="s">
        <v>2466</v>
      </c>
      <c r="E384" s="561">
        <v>0</v>
      </c>
      <c r="F384" s="561">
        <v>0</v>
      </c>
      <c r="G384" s="561">
        <v>0</v>
      </c>
      <c r="H384" s="561">
        <v>0</v>
      </c>
      <c r="I384" s="561">
        <v>0</v>
      </c>
      <c r="J384" s="561">
        <v>0</v>
      </c>
      <c r="K384" s="561">
        <v>0</v>
      </c>
      <c r="L384" s="561">
        <v>0</v>
      </c>
      <c r="M384" s="561">
        <v>0</v>
      </c>
      <c r="N384" s="561">
        <v>0</v>
      </c>
      <c r="O384" s="561">
        <v>0</v>
      </c>
      <c r="P384" s="561">
        <v>0</v>
      </c>
      <c r="Q384" s="561">
        <v>0</v>
      </c>
      <c r="R384" s="561">
        <v>0</v>
      </c>
      <c r="S384" s="1217">
        <v>0</v>
      </c>
      <c r="T384" s="1217">
        <v>3159</v>
      </c>
      <c r="U384" s="1217">
        <v>0</v>
      </c>
      <c r="V384" s="561">
        <v>465</v>
      </c>
      <c r="W384" s="561">
        <v>0</v>
      </c>
      <c r="X384" s="561">
        <v>0</v>
      </c>
      <c r="Y384" s="561">
        <v>0</v>
      </c>
      <c r="Z384" s="561">
        <v>0</v>
      </c>
      <c r="AA384" s="561">
        <v>0</v>
      </c>
      <c r="AB384" s="561">
        <v>0</v>
      </c>
      <c r="AC384" s="561">
        <v>0</v>
      </c>
      <c r="AD384" s="561">
        <v>0</v>
      </c>
      <c r="AE384" s="561">
        <v>0</v>
      </c>
      <c r="AF384" s="561">
        <v>0</v>
      </c>
      <c r="AG384" s="561">
        <v>26230</v>
      </c>
      <c r="AH384" s="561">
        <v>5094</v>
      </c>
      <c r="AI384" s="561">
        <v>0</v>
      </c>
      <c r="AJ384" s="561">
        <v>0</v>
      </c>
      <c r="AK384" s="561">
        <v>5094</v>
      </c>
      <c r="AL384" s="561">
        <v>0</v>
      </c>
      <c r="AM384" s="561">
        <v>0</v>
      </c>
      <c r="AN384" s="561">
        <v>0</v>
      </c>
      <c r="AO384" s="561">
        <v>0</v>
      </c>
      <c r="AP384" s="561">
        <v>0</v>
      </c>
      <c r="AQ384" s="561">
        <v>0</v>
      </c>
      <c r="AR384" s="561">
        <v>0</v>
      </c>
    </row>
    <row r="385" spans="1:44" x14ac:dyDescent="0.3">
      <c r="A385" s="1129" t="s">
        <v>3596</v>
      </c>
      <c r="B385" s="1129" t="s">
        <v>3597</v>
      </c>
      <c r="C385" s="1129" t="s">
        <v>3598</v>
      </c>
      <c r="D385" s="1129" t="s">
        <v>2466</v>
      </c>
      <c r="E385" s="561">
        <v>0</v>
      </c>
      <c r="F385" s="561">
        <v>-159409</v>
      </c>
      <c r="G385" s="561">
        <v>0</v>
      </c>
      <c r="H385" s="561">
        <v>0</v>
      </c>
      <c r="I385" s="561">
        <v>0</v>
      </c>
      <c r="J385" s="561">
        <v>0</v>
      </c>
      <c r="K385" s="561">
        <v>0</v>
      </c>
      <c r="L385" s="561">
        <v>0</v>
      </c>
      <c r="M385" s="561">
        <v>0</v>
      </c>
      <c r="N385" s="561">
        <v>0</v>
      </c>
      <c r="O385" s="561">
        <v>0</v>
      </c>
      <c r="P385" s="561">
        <v>0</v>
      </c>
      <c r="Q385" s="561">
        <v>0</v>
      </c>
      <c r="R385" s="561">
        <v>137998</v>
      </c>
      <c r="S385" s="1217">
        <v>0</v>
      </c>
      <c r="T385" s="1217">
        <v>0</v>
      </c>
      <c r="U385" s="1217">
        <v>0</v>
      </c>
      <c r="V385" s="561">
        <v>2839</v>
      </c>
      <c r="W385" s="561">
        <v>0</v>
      </c>
      <c r="X385" s="561">
        <v>0</v>
      </c>
      <c r="Y385" s="561">
        <v>0</v>
      </c>
      <c r="Z385" s="561">
        <v>0</v>
      </c>
      <c r="AA385" s="561">
        <v>7916</v>
      </c>
      <c r="AB385" s="561">
        <v>3108</v>
      </c>
      <c r="AC385" s="561">
        <v>4207</v>
      </c>
      <c r="AD385" s="561">
        <v>0</v>
      </c>
      <c r="AE385" s="561">
        <v>0</v>
      </c>
      <c r="AF385" s="561">
        <v>0</v>
      </c>
      <c r="AG385" s="561">
        <v>7750</v>
      </c>
      <c r="AH385" s="561">
        <v>0</v>
      </c>
      <c r="AI385" s="561">
        <v>8159</v>
      </c>
      <c r="AJ385" s="561">
        <v>1464</v>
      </c>
      <c r="AK385" s="561">
        <v>2156</v>
      </c>
      <c r="AL385" s="561">
        <v>0</v>
      </c>
      <c r="AM385" s="561">
        <v>0</v>
      </c>
      <c r="AN385" s="561">
        <v>0</v>
      </c>
      <c r="AO385" s="561">
        <v>0</v>
      </c>
      <c r="AP385" s="561">
        <v>0</v>
      </c>
      <c r="AQ385" s="561">
        <v>0</v>
      </c>
      <c r="AR385" s="561">
        <v>0</v>
      </c>
    </row>
    <row r="386" spans="1:44" x14ac:dyDescent="0.3">
      <c r="A386" s="1129" t="s">
        <v>3599</v>
      </c>
      <c r="B386" s="1129" t="s">
        <v>3600</v>
      </c>
      <c r="C386" s="1129" t="s">
        <v>3601</v>
      </c>
      <c r="D386" s="1129" t="s">
        <v>2466</v>
      </c>
      <c r="E386" s="561">
        <v>0</v>
      </c>
      <c r="F386" s="561">
        <v>0</v>
      </c>
      <c r="G386" s="561">
        <v>0</v>
      </c>
      <c r="H386" s="561">
        <v>0</v>
      </c>
      <c r="I386" s="561">
        <v>0</v>
      </c>
      <c r="J386" s="561">
        <v>0</v>
      </c>
      <c r="K386" s="561">
        <v>0</v>
      </c>
      <c r="L386" s="561">
        <v>0</v>
      </c>
      <c r="M386" s="561">
        <v>0</v>
      </c>
      <c r="N386" s="561">
        <v>0</v>
      </c>
      <c r="O386" s="561">
        <v>0</v>
      </c>
      <c r="P386" s="561">
        <v>0</v>
      </c>
      <c r="Q386" s="561">
        <v>0</v>
      </c>
      <c r="R386" s="561">
        <v>0</v>
      </c>
      <c r="S386" s="1217">
        <v>0</v>
      </c>
      <c r="T386" s="1217">
        <v>0</v>
      </c>
      <c r="U386" s="1217">
        <v>0</v>
      </c>
      <c r="V386" s="561">
        <v>12194</v>
      </c>
      <c r="W386" s="561">
        <v>0</v>
      </c>
      <c r="X386" s="561">
        <v>0</v>
      </c>
      <c r="Y386" s="561">
        <v>0</v>
      </c>
      <c r="Z386" s="561">
        <v>721</v>
      </c>
      <c r="AA386" s="561">
        <v>0</v>
      </c>
      <c r="AB386" s="561">
        <v>0</v>
      </c>
      <c r="AC386" s="561">
        <v>0</v>
      </c>
      <c r="AD386" s="561">
        <v>0</v>
      </c>
      <c r="AE386" s="561">
        <v>0</v>
      </c>
      <c r="AF386" s="561">
        <v>0</v>
      </c>
      <c r="AG386" s="561">
        <v>6437</v>
      </c>
      <c r="AH386" s="561">
        <v>0</v>
      </c>
      <c r="AI386" s="561">
        <v>233103</v>
      </c>
      <c r="AJ386" s="561">
        <v>24244</v>
      </c>
      <c r="AK386" s="561">
        <v>8956</v>
      </c>
      <c r="AL386" s="561">
        <v>0</v>
      </c>
      <c r="AM386" s="561">
        <v>0</v>
      </c>
      <c r="AN386" s="561">
        <v>0</v>
      </c>
      <c r="AO386" s="561">
        <v>0</v>
      </c>
      <c r="AP386" s="561">
        <v>0</v>
      </c>
      <c r="AQ386" s="561">
        <v>0</v>
      </c>
      <c r="AR386" s="561">
        <v>0</v>
      </c>
    </row>
    <row r="387" spans="1:44" x14ac:dyDescent="0.3">
      <c r="A387" s="1129" t="s">
        <v>3602</v>
      </c>
      <c r="B387" s="1129" t="s">
        <v>3603</v>
      </c>
      <c r="C387" s="1129" t="s">
        <v>3604</v>
      </c>
      <c r="D387" s="1129" t="s">
        <v>2466</v>
      </c>
      <c r="E387" s="561">
        <v>-29525</v>
      </c>
      <c r="F387" s="561">
        <v>0</v>
      </c>
      <c r="G387" s="561">
        <v>0</v>
      </c>
      <c r="H387" s="561">
        <v>0</v>
      </c>
      <c r="I387" s="561">
        <v>0</v>
      </c>
      <c r="J387" s="561">
        <v>0</v>
      </c>
      <c r="K387" s="561">
        <v>0</v>
      </c>
      <c r="L387" s="561">
        <v>0</v>
      </c>
      <c r="M387" s="561">
        <v>0</v>
      </c>
      <c r="N387" s="561">
        <v>0</v>
      </c>
      <c r="O387" s="561">
        <v>0</v>
      </c>
      <c r="P387" s="561">
        <v>0</v>
      </c>
      <c r="Q387" s="561">
        <v>0</v>
      </c>
      <c r="R387" s="561">
        <v>61296</v>
      </c>
      <c r="S387" s="1217">
        <v>0</v>
      </c>
      <c r="T387" s="1217">
        <v>11343</v>
      </c>
      <c r="U387" s="1217">
        <v>0</v>
      </c>
      <c r="V387" s="561">
        <v>785</v>
      </c>
      <c r="W387" s="561">
        <v>0</v>
      </c>
      <c r="X387" s="561">
        <v>919</v>
      </c>
      <c r="Y387" s="561">
        <v>0</v>
      </c>
      <c r="Z387" s="561">
        <v>0</v>
      </c>
      <c r="AA387" s="561">
        <v>0</v>
      </c>
      <c r="AB387" s="561">
        <v>0</v>
      </c>
      <c r="AC387" s="561">
        <v>0</v>
      </c>
      <c r="AD387" s="561">
        <v>0</v>
      </c>
      <c r="AE387" s="561">
        <v>0</v>
      </c>
      <c r="AF387" s="561">
        <v>0</v>
      </c>
      <c r="AG387" s="561">
        <v>4002</v>
      </c>
      <c r="AH387" s="561">
        <v>1438</v>
      </c>
      <c r="AI387" s="561">
        <v>18039</v>
      </c>
      <c r="AJ387" s="561">
        <v>4559</v>
      </c>
      <c r="AK387" s="561">
        <v>0</v>
      </c>
      <c r="AL387" s="561">
        <v>0</v>
      </c>
      <c r="AM387" s="561">
        <v>0</v>
      </c>
      <c r="AN387" s="561">
        <v>0</v>
      </c>
      <c r="AO387" s="561">
        <v>0</v>
      </c>
      <c r="AP387" s="561">
        <v>0</v>
      </c>
      <c r="AQ387" s="561">
        <v>0</v>
      </c>
      <c r="AR387" s="561">
        <v>0</v>
      </c>
    </row>
    <row r="388" spans="1:44" x14ac:dyDescent="0.3">
      <c r="A388" s="1129" t="s">
        <v>3605</v>
      </c>
      <c r="B388" s="1129" t="s">
        <v>3606</v>
      </c>
      <c r="C388" s="1129" t="s">
        <v>3607</v>
      </c>
      <c r="D388" s="1129" t="s">
        <v>2466</v>
      </c>
      <c r="E388" s="561">
        <v>0</v>
      </c>
      <c r="F388" s="561">
        <v>-598219</v>
      </c>
      <c r="G388" s="561">
        <v>0</v>
      </c>
      <c r="H388" s="561">
        <v>0</v>
      </c>
      <c r="I388" s="561">
        <v>0</v>
      </c>
      <c r="J388" s="561">
        <v>0</v>
      </c>
      <c r="K388" s="561">
        <v>0</v>
      </c>
      <c r="L388" s="561">
        <v>0</v>
      </c>
      <c r="M388" s="561">
        <v>0</v>
      </c>
      <c r="N388" s="561">
        <v>0</v>
      </c>
      <c r="O388" s="561">
        <v>0</v>
      </c>
      <c r="P388" s="561">
        <v>0</v>
      </c>
      <c r="Q388" s="561">
        <v>0</v>
      </c>
      <c r="R388" s="561">
        <v>175423</v>
      </c>
      <c r="S388" s="1217">
        <v>0</v>
      </c>
      <c r="T388" s="1217">
        <v>13824</v>
      </c>
      <c r="U388" s="1217">
        <v>0</v>
      </c>
      <c r="V388" s="561">
        <v>2367</v>
      </c>
      <c r="W388" s="561">
        <v>0</v>
      </c>
      <c r="X388" s="561">
        <v>0</v>
      </c>
      <c r="Y388" s="561">
        <v>0</v>
      </c>
      <c r="Z388" s="561">
        <v>0</v>
      </c>
      <c r="AA388" s="561">
        <v>30694</v>
      </c>
      <c r="AB388" s="561">
        <v>12211</v>
      </c>
      <c r="AC388" s="561">
        <v>11644</v>
      </c>
      <c r="AD388" s="561">
        <v>0</v>
      </c>
      <c r="AE388" s="561">
        <v>0</v>
      </c>
      <c r="AF388" s="561">
        <v>0</v>
      </c>
      <c r="AG388" s="561">
        <v>16726</v>
      </c>
      <c r="AH388" s="561">
        <v>0</v>
      </c>
      <c r="AI388" s="561">
        <v>51651</v>
      </c>
      <c r="AJ388" s="561">
        <v>0</v>
      </c>
      <c r="AK388" s="561">
        <v>21045</v>
      </c>
      <c r="AL388" s="561">
        <v>0</v>
      </c>
      <c r="AM388" s="561">
        <v>0</v>
      </c>
      <c r="AN388" s="561">
        <v>0</v>
      </c>
      <c r="AO388" s="561">
        <v>0</v>
      </c>
      <c r="AP388" s="561">
        <v>0</v>
      </c>
      <c r="AQ388" s="561">
        <v>0</v>
      </c>
      <c r="AR388" s="561">
        <v>0</v>
      </c>
    </row>
    <row r="389" spans="1:44" x14ac:dyDescent="0.3">
      <c r="A389" s="1129" t="s">
        <v>3608</v>
      </c>
      <c r="B389" s="1129" t="s">
        <v>3609</v>
      </c>
      <c r="C389" s="1129" t="s">
        <v>3610</v>
      </c>
      <c r="D389" s="1129" t="s">
        <v>385</v>
      </c>
      <c r="E389" s="561">
        <v>-9393</v>
      </c>
      <c r="F389" s="561">
        <v>0</v>
      </c>
      <c r="G389" s="561">
        <v>151167</v>
      </c>
      <c r="H389" s="561">
        <v>8797</v>
      </c>
      <c r="I389" s="561">
        <v>718</v>
      </c>
      <c r="J389" s="561">
        <v>26857</v>
      </c>
      <c r="K389" s="561">
        <v>11478</v>
      </c>
      <c r="L389" s="561">
        <v>1040</v>
      </c>
      <c r="M389" s="561">
        <v>4891</v>
      </c>
      <c r="N389" s="561">
        <v>538</v>
      </c>
      <c r="O389" s="561">
        <v>0</v>
      </c>
      <c r="P389" s="561">
        <v>1966</v>
      </c>
      <c r="Q389" s="561">
        <v>4600</v>
      </c>
      <c r="R389" s="561">
        <v>189128</v>
      </c>
      <c r="S389" s="1217">
        <v>4930</v>
      </c>
      <c r="T389" s="1217">
        <v>307</v>
      </c>
      <c r="U389" s="1217">
        <v>0</v>
      </c>
      <c r="V389" s="561">
        <v>6294</v>
      </c>
      <c r="W389" s="561">
        <v>430</v>
      </c>
      <c r="X389" s="561">
        <v>3320</v>
      </c>
      <c r="Y389" s="561">
        <v>0</v>
      </c>
      <c r="Z389" s="561">
        <v>11</v>
      </c>
      <c r="AA389" s="561">
        <v>0</v>
      </c>
      <c r="AB389" s="561">
        <v>0</v>
      </c>
      <c r="AC389" s="561">
        <v>0</v>
      </c>
      <c r="AD389" s="561">
        <v>0</v>
      </c>
      <c r="AE389" s="561">
        <v>0</v>
      </c>
      <c r="AF389" s="561">
        <v>0</v>
      </c>
      <c r="AG389" s="561">
        <v>0</v>
      </c>
      <c r="AH389" s="561">
        <v>0</v>
      </c>
      <c r="AI389" s="561">
        <v>0</v>
      </c>
      <c r="AJ389" s="561">
        <v>0</v>
      </c>
      <c r="AK389" s="561">
        <v>0</v>
      </c>
      <c r="AL389" s="561">
        <v>0</v>
      </c>
      <c r="AM389" s="561">
        <v>19</v>
      </c>
      <c r="AN389" s="561">
        <v>0</v>
      </c>
      <c r="AO389" s="561">
        <v>17</v>
      </c>
      <c r="AP389" s="561">
        <v>0</v>
      </c>
      <c r="AQ389" s="561">
        <v>32</v>
      </c>
      <c r="AR389" s="561">
        <v>0</v>
      </c>
    </row>
    <row r="390" spans="1:44" x14ac:dyDescent="0.3">
      <c r="A390" s="1129" t="s">
        <v>3611</v>
      </c>
      <c r="B390" s="1129" t="s">
        <v>3612</v>
      </c>
      <c r="C390" s="1129" t="s">
        <v>3613</v>
      </c>
      <c r="D390" s="1129" t="s">
        <v>385</v>
      </c>
      <c r="E390" s="561">
        <v>-5496</v>
      </c>
      <c r="F390" s="561">
        <v>0</v>
      </c>
      <c r="G390" s="561">
        <v>200436</v>
      </c>
      <c r="H390" s="561">
        <v>21630</v>
      </c>
      <c r="I390" s="561">
        <v>994</v>
      </c>
      <c r="J390" s="561">
        <v>29364</v>
      </c>
      <c r="K390" s="561">
        <v>12422</v>
      </c>
      <c r="L390" s="561">
        <v>2972</v>
      </c>
      <c r="M390" s="561">
        <v>6366</v>
      </c>
      <c r="N390" s="561">
        <v>1169</v>
      </c>
      <c r="O390" s="561">
        <v>0</v>
      </c>
      <c r="P390" s="561">
        <v>3530</v>
      </c>
      <c r="Q390" s="561">
        <v>13898</v>
      </c>
      <c r="R390" s="561">
        <v>286758</v>
      </c>
      <c r="S390" s="1217">
        <v>14515.43</v>
      </c>
      <c r="T390" s="1217">
        <v>0</v>
      </c>
      <c r="U390" s="1217">
        <v>-7833</v>
      </c>
      <c r="V390" s="561">
        <v>20738</v>
      </c>
      <c r="W390" s="561">
        <v>772</v>
      </c>
      <c r="X390" s="561">
        <v>3079</v>
      </c>
      <c r="Y390" s="561">
        <v>0</v>
      </c>
      <c r="Z390" s="561">
        <v>1590</v>
      </c>
      <c r="AA390" s="561">
        <v>0</v>
      </c>
      <c r="AB390" s="561">
        <v>0</v>
      </c>
      <c r="AC390" s="561">
        <v>0</v>
      </c>
      <c r="AD390" s="561">
        <v>10563</v>
      </c>
      <c r="AE390" s="561">
        <v>0</v>
      </c>
      <c r="AF390" s="561">
        <v>6410</v>
      </c>
      <c r="AG390" s="561">
        <v>35899</v>
      </c>
      <c r="AH390" s="561">
        <v>3703</v>
      </c>
      <c r="AI390" s="561">
        <v>35686</v>
      </c>
      <c r="AJ390" s="561">
        <v>4383</v>
      </c>
      <c r="AK390" s="561">
        <v>20535</v>
      </c>
      <c r="AL390" s="561">
        <v>0</v>
      </c>
      <c r="AM390" s="561">
        <v>114</v>
      </c>
      <c r="AN390" s="561">
        <v>395</v>
      </c>
      <c r="AO390" s="561">
        <v>0</v>
      </c>
      <c r="AP390" s="561">
        <v>14</v>
      </c>
      <c r="AQ390" s="561">
        <v>257</v>
      </c>
      <c r="AR390" s="561">
        <v>0</v>
      </c>
    </row>
    <row r="391" spans="1:44" x14ac:dyDescent="0.3">
      <c r="A391" s="1129" t="s">
        <v>3614</v>
      </c>
      <c r="B391" s="1129" t="s">
        <v>3615</v>
      </c>
      <c r="C391" s="1129" t="s">
        <v>3616</v>
      </c>
      <c r="D391" s="1129" t="s">
        <v>2466</v>
      </c>
      <c r="E391" s="561">
        <v>0</v>
      </c>
      <c r="F391" s="561">
        <v>0</v>
      </c>
      <c r="G391" s="561">
        <v>0</v>
      </c>
      <c r="H391" s="561">
        <v>0</v>
      </c>
      <c r="I391" s="561">
        <v>0</v>
      </c>
      <c r="J391" s="561">
        <v>0</v>
      </c>
      <c r="K391" s="561">
        <v>0</v>
      </c>
      <c r="L391" s="561">
        <v>0</v>
      </c>
      <c r="M391" s="561">
        <v>0</v>
      </c>
      <c r="N391" s="561">
        <v>0</v>
      </c>
      <c r="O391" s="561">
        <v>0</v>
      </c>
      <c r="P391" s="561">
        <v>0</v>
      </c>
      <c r="Q391" s="561">
        <v>0</v>
      </c>
      <c r="R391" s="561">
        <v>0</v>
      </c>
      <c r="S391" s="1217">
        <v>0</v>
      </c>
      <c r="T391" s="1217">
        <v>14063</v>
      </c>
      <c r="U391" s="1217">
        <v>0</v>
      </c>
      <c r="V391" s="561">
        <v>0</v>
      </c>
      <c r="W391" s="561">
        <v>0</v>
      </c>
      <c r="X391" s="561">
        <v>0</v>
      </c>
      <c r="Y391" s="561">
        <v>0</v>
      </c>
      <c r="Z391" s="561">
        <v>100</v>
      </c>
      <c r="AA391" s="561">
        <v>0</v>
      </c>
      <c r="AB391" s="561">
        <v>0</v>
      </c>
      <c r="AC391" s="561">
        <v>0</v>
      </c>
      <c r="AD391" s="561">
        <v>0</v>
      </c>
      <c r="AE391" s="561">
        <v>0</v>
      </c>
      <c r="AF391" s="561">
        <v>0</v>
      </c>
      <c r="AG391" s="561">
        <v>5213</v>
      </c>
      <c r="AH391" s="561">
        <v>0</v>
      </c>
      <c r="AI391" s="561">
        <v>4997</v>
      </c>
      <c r="AJ391" s="561">
        <v>2761</v>
      </c>
      <c r="AK391" s="561">
        <v>5817</v>
      </c>
      <c r="AL391" s="561">
        <v>0</v>
      </c>
      <c r="AM391" s="561">
        <v>0</v>
      </c>
      <c r="AN391" s="561">
        <v>0</v>
      </c>
      <c r="AO391" s="561">
        <v>0</v>
      </c>
      <c r="AP391" s="561">
        <v>0</v>
      </c>
      <c r="AQ391" s="561">
        <v>0</v>
      </c>
      <c r="AR391" s="561">
        <v>0</v>
      </c>
    </row>
    <row r="392" spans="1:44" x14ac:dyDescent="0.3">
      <c r="A392" s="1129" t="s">
        <v>3617</v>
      </c>
      <c r="B392" s="1129" t="s">
        <v>3618</v>
      </c>
      <c r="C392" s="1129" t="s">
        <v>3619</v>
      </c>
      <c r="D392" s="1129" t="s">
        <v>384</v>
      </c>
      <c r="E392" s="561">
        <v>-257</v>
      </c>
      <c r="F392" s="561">
        <v>0</v>
      </c>
      <c r="G392" s="561">
        <v>0</v>
      </c>
      <c r="H392" s="561">
        <v>0</v>
      </c>
      <c r="I392" s="561">
        <v>36</v>
      </c>
      <c r="J392" s="561">
        <v>0</v>
      </c>
      <c r="K392" s="561">
        <v>0</v>
      </c>
      <c r="L392" s="561">
        <v>646</v>
      </c>
      <c r="M392" s="561">
        <v>0</v>
      </c>
      <c r="N392" s="561">
        <v>0</v>
      </c>
      <c r="O392" s="561">
        <v>0</v>
      </c>
      <c r="P392" s="561">
        <v>506</v>
      </c>
      <c r="Q392" s="561">
        <v>5840</v>
      </c>
      <c r="R392" s="561">
        <v>12147</v>
      </c>
      <c r="S392" s="1217">
        <v>0</v>
      </c>
      <c r="T392" s="1217">
        <v>540</v>
      </c>
      <c r="U392" s="1217">
        <v>0</v>
      </c>
      <c r="V392" s="561">
        <v>0</v>
      </c>
      <c r="W392" s="561">
        <v>175</v>
      </c>
      <c r="X392" s="561">
        <v>117</v>
      </c>
      <c r="Y392" s="561">
        <v>1965</v>
      </c>
      <c r="Z392" s="561">
        <v>0</v>
      </c>
      <c r="AA392" s="561">
        <v>0</v>
      </c>
      <c r="AB392" s="561">
        <v>0</v>
      </c>
      <c r="AC392" s="561">
        <v>0</v>
      </c>
      <c r="AD392" s="561">
        <v>0</v>
      </c>
      <c r="AE392" s="561">
        <v>0</v>
      </c>
      <c r="AF392" s="561">
        <v>0</v>
      </c>
      <c r="AG392" s="561">
        <v>12251</v>
      </c>
      <c r="AH392" s="561">
        <v>0</v>
      </c>
      <c r="AI392" s="561">
        <v>15848</v>
      </c>
      <c r="AJ392" s="561">
        <v>0</v>
      </c>
      <c r="AK392" s="561">
        <v>0</v>
      </c>
      <c r="AL392" s="561">
        <v>0</v>
      </c>
      <c r="AM392" s="561">
        <v>15</v>
      </c>
      <c r="AN392" s="561">
        <v>33</v>
      </c>
      <c r="AO392" s="561">
        <v>0</v>
      </c>
      <c r="AP392" s="561">
        <v>0</v>
      </c>
      <c r="AQ392" s="561">
        <v>23</v>
      </c>
      <c r="AR392" s="561">
        <v>0</v>
      </c>
    </row>
    <row r="393" spans="1:44" x14ac:dyDescent="0.3">
      <c r="A393" s="1129" t="s">
        <v>3620</v>
      </c>
      <c r="B393" s="1129" t="s">
        <v>3621</v>
      </c>
      <c r="C393" s="1129" t="s">
        <v>3622</v>
      </c>
      <c r="D393" s="1129" t="s">
        <v>384</v>
      </c>
      <c r="E393" s="561">
        <v>-480</v>
      </c>
      <c r="F393" s="561">
        <v>0</v>
      </c>
      <c r="G393" s="561">
        <v>0</v>
      </c>
      <c r="H393" s="561">
        <v>0</v>
      </c>
      <c r="I393" s="561">
        <v>36</v>
      </c>
      <c r="J393" s="561">
        <v>0</v>
      </c>
      <c r="K393" s="561">
        <v>0</v>
      </c>
      <c r="L393" s="561">
        <v>1367</v>
      </c>
      <c r="M393" s="561">
        <v>0</v>
      </c>
      <c r="N393" s="561">
        <v>0</v>
      </c>
      <c r="O393" s="561">
        <v>243</v>
      </c>
      <c r="P393" s="561">
        <v>744</v>
      </c>
      <c r="Q393" s="561">
        <v>5967</v>
      </c>
      <c r="R393" s="561">
        <v>18075</v>
      </c>
      <c r="S393" s="1217">
        <v>0</v>
      </c>
      <c r="T393" s="1217">
        <v>8670</v>
      </c>
      <c r="U393" s="1217">
        <v>0</v>
      </c>
      <c r="V393" s="561">
        <v>169</v>
      </c>
      <c r="W393" s="561">
        <v>348</v>
      </c>
      <c r="X393" s="561">
        <v>181</v>
      </c>
      <c r="Y393" s="561">
        <v>1012</v>
      </c>
      <c r="Z393" s="561">
        <v>359</v>
      </c>
      <c r="AA393" s="561">
        <v>0</v>
      </c>
      <c r="AB393" s="561">
        <v>0</v>
      </c>
      <c r="AC393" s="561">
        <v>0</v>
      </c>
      <c r="AD393" s="561">
        <v>0</v>
      </c>
      <c r="AE393" s="561">
        <v>0</v>
      </c>
      <c r="AF393" s="561">
        <v>0</v>
      </c>
      <c r="AG393" s="561">
        <v>5516</v>
      </c>
      <c r="AH393" s="561">
        <v>0</v>
      </c>
      <c r="AI393" s="561">
        <v>36223</v>
      </c>
      <c r="AJ393" s="561">
        <v>367</v>
      </c>
      <c r="AK393" s="561">
        <v>7852</v>
      </c>
      <c r="AL393" s="561">
        <v>0</v>
      </c>
      <c r="AM393" s="561">
        <v>3</v>
      </c>
      <c r="AN393" s="561">
        <v>1</v>
      </c>
      <c r="AO393" s="561">
        <v>13</v>
      </c>
      <c r="AP393" s="561">
        <v>0</v>
      </c>
      <c r="AQ393" s="561">
        <v>53</v>
      </c>
      <c r="AR393" s="561">
        <v>2</v>
      </c>
    </row>
    <row r="394" spans="1:44" x14ac:dyDescent="0.3">
      <c r="A394" s="1129" t="s">
        <v>3623</v>
      </c>
      <c r="B394" s="1129" t="s">
        <v>3624</v>
      </c>
      <c r="C394" s="1129" t="s">
        <v>3625</v>
      </c>
      <c r="D394" s="1129" t="s">
        <v>2595</v>
      </c>
      <c r="E394" s="561">
        <v>-2778</v>
      </c>
      <c r="F394" s="561">
        <v>0</v>
      </c>
      <c r="G394" s="561">
        <v>600616</v>
      </c>
      <c r="H394" s="561">
        <v>40853</v>
      </c>
      <c r="I394" s="561">
        <v>1946</v>
      </c>
      <c r="J394" s="561">
        <v>69567</v>
      </c>
      <c r="K394" s="561">
        <v>25429</v>
      </c>
      <c r="L394" s="561">
        <v>0</v>
      </c>
      <c r="M394" s="561">
        <v>14453</v>
      </c>
      <c r="N394" s="561">
        <v>1858</v>
      </c>
      <c r="O394" s="561">
        <v>0</v>
      </c>
      <c r="P394" s="561">
        <v>943</v>
      </c>
      <c r="Q394" s="561">
        <v>0</v>
      </c>
      <c r="R394" s="561">
        <v>644548</v>
      </c>
      <c r="S394" s="1217">
        <v>0</v>
      </c>
      <c r="T394" s="1217">
        <v>4484</v>
      </c>
      <c r="U394" s="1217">
        <v>0</v>
      </c>
      <c r="V394" s="561">
        <v>18678</v>
      </c>
      <c r="W394" s="561">
        <v>0</v>
      </c>
      <c r="X394" s="561">
        <v>6109</v>
      </c>
      <c r="Y394" s="561">
        <v>0</v>
      </c>
      <c r="Z394" s="561">
        <v>0</v>
      </c>
      <c r="AA394" s="561">
        <v>0</v>
      </c>
      <c r="AB394" s="561">
        <v>0</v>
      </c>
      <c r="AC394" s="561">
        <v>0</v>
      </c>
      <c r="AD394" s="561">
        <v>21216</v>
      </c>
      <c r="AE394" s="561">
        <v>0</v>
      </c>
      <c r="AF394" s="561">
        <v>0</v>
      </c>
      <c r="AG394" s="561">
        <v>36286</v>
      </c>
      <c r="AH394" s="561">
        <v>55663</v>
      </c>
      <c r="AI394" s="561">
        <v>36943</v>
      </c>
      <c r="AJ394" s="561">
        <v>6208</v>
      </c>
      <c r="AK394" s="561">
        <v>45467</v>
      </c>
      <c r="AL394" s="561">
        <v>17562</v>
      </c>
      <c r="AM394" s="561">
        <v>0</v>
      </c>
      <c r="AN394" s="561">
        <v>0</v>
      </c>
      <c r="AO394" s="561">
        <v>0</v>
      </c>
      <c r="AP394" s="561">
        <v>0</v>
      </c>
      <c r="AQ394" s="561">
        <v>0</v>
      </c>
      <c r="AR394" s="561">
        <v>0</v>
      </c>
    </row>
    <row r="395" spans="1:44" x14ac:dyDescent="0.3">
      <c r="A395" s="1129" t="s">
        <v>3626</v>
      </c>
      <c r="B395" s="1129" t="s">
        <v>3627</v>
      </c>
      <c r="C395" s="1129" t="s">
        <v>3628</v>
      </c>
      <c r="D395" s="1129" t="s">
        <v>2466</v>
      </c>
      <c r="E395" s="561">
        <v>0</v>
      </c>
      <c r="F395" s="561">
        <v>0</v>
      </c>
      <c r="G395" s="561">
        <v>0</v>
      </c>
      <c r="H395" s="561">
        <v>0</v>
      </c>
      <c r="I395" s="561">
        <v>0</v>
      </c>
      <c r="J395" s="561">
        <v>0</v>
      </c>
      <c r="K395" s="561">
        <v>0</v>
      </c>
      <c r="L395" s="561">
        <v>0</v>
      </c>
      <c r="M395" s="561">
        <v>0</v>
      </c>
      <c r="N395" s="561">
        <v>0</v>
      </c>
      <c r="O395" s="561">
        <v>0</v>
      </c>
      <c r="P395" s="561">
        <v>0</v>
      </c>
      <c r="Q395" s="561">
        <v>0</v>
      </c>
      <c r="R395" s="561">
        <v>182552</v>
      </c>
      <c r="S395" s="1217">
        <v>0</v>
      </c>
      <c r="T395" s="1217">
        <v>99</v>
      </c>
      <c r="U395" s="1217">
        <v>0</v>
      </c>
      <c r="V395" s="561">
        <v>0</v>
      </c>
      <c r="W395" s="561">
        <v>0</v>
      </c>
      <c r="X395" s="561">
        <v>0</v>
      </c>
      <c r="Y395" s="561">
        <v>0</v>
      </c>
      <c r="Z395" s="561">
        <v>100</v>
      </c>
      <c r="AA395" s="561">
        <v>0</v>
      </c>
      <c r="AB395" s="561">
        <v>0</v>
      </c>
      <c r="AC395" s="561">
        <v>0</v>
      </c>
      <c r="AD395" s="561">
        <v>0</v>
      </c>
      <c r="AE395" s="561">
        <v>0</v>
      </c>
      <c r="AF395" s="561">
        <v>0</v>
      </c>
      <c r="AG395" s="561">
        <v>14161</v>
      </c>
      <c r="AH395" s="561">
        <v>0</v>
      </c>
      <c r="AI395" s="561">
        <v>62618</v>
      </c>
      <c r="AJ395" s="561">
        <v>40915</v>
      </c>
      <c r="AK395" s="561">
        <v>0</v>
      </c>
      <c r="AL395" s="561">
        <v>8606</v>
      </c>
      <c r="AM395" s="561">
        <v>0</v>
      </c>
      <c r="AN395" s="561">
        <v>0</v>
      </c>
      <c r="AO395" s="561">
        <v>0</v>
      </c>
      <c r="AP395" s="561">
        <v>0</v>
      </c>
      <c r="AQ395" s="561">
        <v>0</v>
      </c>
      <c r="AR395" s="561">
        <v>0</v>
      </c>
    </row>
    <row r="396" spans="1:44" x14ac:dyDescent="0.3">
      <c r="A396" s="1129" t="s">
        <v>3629</v>
      </c>
      <c r="B396" s="1129" t="s">
        <v>3630</v>
      </c>
      <c r="C396" s="1129" t="s">
        <v>3631</v>
      </c>
      <c r="D396" s="1129" t="s">
        <v>2466</v>
      </c>
      <c r="E396" s="561">
        <v>-21137</v>
      </c>
      <c r="F396" s="561">
        <v>0</v>
      </c>
      <c r="G396" s="561">
        <v>0</v>
      </c>
      <c r="H396" s="561">
        <v>0</v>
      </c>
      <c r="I396" s="561">
        <v>0</v>
      </c>
      <c r="J396" s="561">
        <v>0</v>
      </c>
      <c r="K396" s="561">
        <v>0</v>
      </c>
      <c r="L396" s="561">
        <v>0</v>
      </c>
      <c r="M396" s="561">
        <v>0</v>
      </c>
      <c r="N396" s="561">
        <v>0</v>
      </c>
      <c r="O396" s="561">
        <v>0</v>
      </c>
      <c r="P396" s="561">
        <v>0</v>
      </c>
      <c r="Q396" s="561">
        <v>0</v>
      </c>
      <c r="R396" s="561">
        <v>58584</v>
      </c>
      <c r="S396" s="1217">
        <v>0</v>
      </c>
      <c r="T396" s="1217">
        <v>560</v>
      </c>
      <c r="U396" s="1217">
        <v>0</v>
      </c>
      <c r="V396" s="561">
        <v>1669</v>
      </c>
      <c r="W396" s="561">
        <v>0</v>
      </c>
      <c r="X396" s="561">
        <v>699</v>
      </c>
      <c r="Y396" s="561">
        <v>0</v>
      </c>
      <c r="Z396" s="561">
        <v>0</v>
      </c>
      <c r="AA396" s="561">
        <v>0</v>
      </c>
      <c r="AB396" s="561">
        <v>0</v>
      </c>
      <c r="AC396" s="561">
        <v>0</v>
      </c>
      <c r="AD396" s="561">
        <v>0</v>
      </c>
      <c r="AE396" s="561">
        <v>0</v>
      </c>
      <c r="AF396" s="561">
        <v>0</v>
      </c>
      <c r="AG396" s="561">
        <v>5700</v>
      </c>
      <c r="AH396" s="561">
        <v>0</v>
      </c>
      <c r="AI396" s="561">
        <v>17253</v>
      </c>
      <c r="AJ396" s="561">
        <v>4487</v>
      </c>
      <c r="AK396" s="561">
        <v>3069</v>
      </c>
      <c r="AL396" s="561">
        <v>0</v>
      </c>
      <c r="AM396" s="561">
        <v>0</v>
      </c>
      <c r="AN396" s="561">
        <v>0</v>
      </c>
      <c r="AO396" s="561">
        <v>0</v>
      </c>
      <c r="AP396" s="561">
        <v>0</v>
      </c>
      <c r="AQ396" s="561">
        <v>0</v>
      </c>
      <c r="AR396" s="561">
        <v>0</v>
      </c>
    </row>
    <row r="397" spans="1:44" x14ac:dyDescent="0.3">
      <c r="A397" s="1129" t="s">
        <v>3632</v>
      </c>
      <c r="B397" s="1129" t="s">
        <v>3633</v>
      </c>
      <c r="C397" s="1129" t="s">
        <v>3634</v>
      </c>
      <c r="D397" s="1129" t="s">
        <v>2466</v>
      </c>
      <c r="E397" s="561">
        <v>0</v>
      </c>
      <c r="F397" s="561">
        <v>-420876</v>
      </c>
      <c r="G397" s="561">
        <v>0</v>
      </c>
      <c r="H397" s="561">
        <v>0</v>
      </c>
      <c r="I397" s="561">
        <v>0</v>
      </c>
      <c r="J397" s="561">
        <v>0</v>
      </c>
      <c r="K397" s="561">
        <v>0</v>
      </c>
      <c r="L397" s="561">
        <v>0</v>
      </c>
      <c r="M397" s="561">
        <v>0</v>
      </c>
      <c r="N397" s="561">
        <v>0</v>
      </c>
      <c r="O397" s="561">
        <v>0</v>
      </c>
      <c r="P397" s="561">
        <v>0</v>
      </c>
      <c r="Q397" s="561">
        <v>0</v>
      </c>
      <c r="R397" s="561">
        <v>0</v>
      </c>
      <c r="S397" s="1217">
        <v>0</v>
      </c>
      <c r="T397" s="1217">
        <v>14712</v>
      </c>
      <c r="U397" s="1217">
        <v>0</v>
      </c>
      <c r="V397" s="561">
        <v>5163</v>
      </c>
      <c r="W397" s="561">
        <v>0</v>
      </c>
      <c r="X397" s="561">
        <v>0</v>
      </c>
      <c r="Y397" s="561">
        <v>0</v>
      </c>
      <c r="Z397" s="561">
        <v>0</v>
      </c>
      <c r="AA397" s="561">
        <v>22446</v>
      </c>
      <c r="AB397" s="561">
        <v>8521</v>
      </c>
      <c r="AC397" s="561">
        <v>10300</v>
      </c>
      <c r="AD397" s="561">
        <v>0</v>
      </c>
      <c r="AE397" s="561">
        <v>0</v>
      </c>
      <c r="AF397" s="561">
        <v>0</v>
      </c>
      <c r="AG397" s="561">
        <v>14550</v>
      </c>
      <c r="AH397" s="561">
        <v>13241</v>
      </c>
      <c r="AI397" s="561">
        <v>11165</v>
      </c>
      <c r="AJ397" s="561">
        <v>854</v>
      </c>
      <c r="AK397" s="561">
        <v>27198</v>
      </c>
      <c r="AL397" s="561">
        <v>46777</v>
      </c>
      <c r="AM397" s="561">
        <v>0</v>
      </c>
      <c r="AN397" s="561">
        <v>0</v>
      </c>
      <c r="AO397" s="561">
        <v>0</v>
      </c>
      <c r="AP397" s="561">
        <v>0</v>
      </c>
      <c r="AQ397" s="561">
        <v>0</v>
      </c>
      <c r="AR397" s="561">
        <v>0</v>
      </c>
    </row>
    <row r="398" spans="1:44" x14ac:dyDescent="0.3">
      <c r="A398" s="1129" t="s">
        <v>3635</v>
      </c>
      <c r="B398" s="1129" t="s">
        <v>3636</v>
      </c>
      <c r="C398" s="1129" t="s">
        <v>3637</v>
      </c>
      <c r="D398" s="1129" t="s">
        <v>2466</v>
      </c>
      <c r="E398" s="561">
        <v>0</v>
      </c>
      <c r="F398" s="561">
        <v>0</v>
      </c>
      <c r="G398" s="561">
        <v>0</v>
      </c>
      <c r="H398" s="561">
        <v>0</v>
      </c>
      <c r="I398" s="561">
        <v>0</v>
      </c>
      <c r="J398" s="561">
        <v>0</v>
      </c>
      <c r="K398" s="561">
        <v>0</v>
      </c>
      <c r="L398" s="561">
        <v>0</v>
      </c>
      <c r="M398" s="561">
        <v>0</v>
      </c>
      <c r="N398" s="561">
        <v>0</v>
      </c>
      <c r="O398" s="561">
        <v>0</v>
      </c>
      <c r="P398" s="561">
        <v>0</v>
      </c>
      <c r="Q398" s="561">
        <v>0</v>
      </c>
      <c r="R398" s="561">
        <v>0</v>
      </c>
      <c r="S398" s="1217">
        <v>0</v>
      </c>
      <c r="T398" s="1217">
        <v>0</v>
      </c>
      <c r="U398" s="1217">
        <v>0</v>
      </c>
      <c r="V398" s="561">
        <v>18</v>
      </c>
      <c r="W398" s="561">
        <v>0</v>
      </c>
      <c r="X398" s="561">
        <v>0</v>
      </c>
      <c r="Y398" s="561">
        <v>0</v>
      </c>
      <c r="Z398" s="561">
        <v>0</v>
      </c>
      <c r="AA398" s="561">
        <v>0</v>
      </c>
      <c r="AB398" s="561">
        <v>0</v>
      </c>
      <c r="AC398" s="561">
        <v>0</v>
      </c>
      <c r="AD398" s="561">
        <v>0</v>
      </c>
      <c r="AE398" s="561">
        <v>0</v>
      </c>
      <c r="AF398" s="561">
        <v>0</v>
      </c>
      <c r="AG398" s="561">
        <v>3312</v>
      </c>
      <c r="AH398" s="561">
        <v>0</v>
      </c>
      <c r="AI398" s="561">
        <v>0</v>
      </c>
      <c r="AJ398" s="561">
        <v>13052</v>
      </c>
      <c r="AK398" s="561">
        <v>19619</v>
      </c>
      <c r="AL398" s="561">
        <v>4479</v>
      </c>
      <c r="AM398" s="561">
        <v>0</v>
      </c>
      <c r="AN398" s="561">
        <v>0</v>
      </c>
      <c r="AO398" s="561">
        <v>0</v>
      </c>
      <c r="AP398" s="561">
        <v>0</v>
      </c>
      <c r="AQ398" s="561">
        <v>0</v>
      </c>
      <c r="AR398" s="561">
        <v>0</v>
      </c>
    </row>
    <row r="399" spans="1:44" x14ac:dyDescent="0.3">
      <c r="A399" s="1129" t="s">
        <v>3638</v>
      </c>
      <c r="B399" s="1129" t="s">
        <v>3639</v>
      </c>
      <c r="C399" s="1129" t="s">
        <v>3640</v>
      </c>
      <c r="D399" s="1129" t="s">
        <v>2476</v>
      </c>
      <c r="E399" s="561">
        <v>-37864</v>
      </c>
      <c r="F399" s="561">
        <v>0</v>
      </c>
      <c r="G399" s="561">
        <v>106302</v>
      </c>
      <c r="H399" s="561">
        <v>37301</v>
      </c>
      <c r="I399" s="561">
        <v>52</v>
      </c>
      <c r="J399" s="561">
        <v>41593</v>
      </c>
      <c r="K399" s="561">
        <v>21773</v>
      </c>
      <c r="L399" s="561">
        <v>13240</v>
      </c>
      <c r="M399" s="561">
        <v>5789</v>
      </c>
      <c r="N399" s="561">
        <v>1072</v>
      </c>
      <c r="O399" s="561">
        <v>0</v>
      </c>
      <c r="P399" s="561">
        <v>996</v>
      </c>
      <c r="Q399" s="561">
        <v>196</v>
      </c>
      <c r="R399" s="561">
        <v>74837</v>
      </c>
      <c r="S399" s="1217">
        <v>13749.25</v>
      </c>
      <c r="T399" s="1217">
        <v>0</v>
      </c>
      <c r="U399" s="1217">
        <v>0</v>
      </c>
      <c r="V399" s="561">
        <v>4408</v>
      </c>
      <c r="W399" s="561">
        <v>1470</v>
      </c>
      <c r="X399" s="561">
        <v>2742</v>
      </c>
      <c r="Y399" s="561">
        <v>0</v>
      </c>
      <c r="Z399" s="561">
        <v>823</v>
      </c>
      <c r="AA399" s="561">
        <v>0</v>
      </c>
      <c r="AB399" s="561">
        <v>0</v>
      </c>
      <c r="AC399" s="561">
        <v>0</v>
      </c>
      <c r="AD399" s="561">
        <v>4001</v>
      </c>
      <c r="AE399" s="561">
        <v>5405</v>
      </c>
      <c r="AF399" s="561">
        <v>3073</v>
      </c>
      <c r="AG399" s="561">
        <v>59671</v>
      </c>
      <c r="AH399" s="561">
        <v>0</v>
      </c>
      <c r="AI399" s="561">
        <v>196296</v>
      </c>
      <c r="AJ399" s="561">
        <v>35340</v>
      </c>
      <c r="AK399" s="561">
        <v>46992</v>
      </c>
      <c r="AL399" s="561">
        <v>0</v>
      </c>
      <c r="AM399" s="561">
        <v>835</v>
      </c>
      <c r="AN399" s="561">
        <v>2039</v>
      </c>
      <c r="AO399" s="561">
        <v>7</v>
      </c>
      <c r="AP399" s="561">
        <v>1438</v>
      </c>
      <c r="AQ399" s="561">
        <v>250</v>
      </c>
      <c r="AR399" s="561">
        <v>68</v>
      </c>
    </row>
    <row r="400" spans="1:44" x14ac:dyDescent="0.3">
      <c r="A400" s="1129" t="s">
        <v>3641</v>
      </c>
      <c r="B400" s="1129" t="s">
        <v>3642</v>
      </c>
      <c r="C400" s="1129" t="s">
        <v>3643</v>
      </c>
      <c r="D400" s="1129" t="s">
        <v>379</v>
      </c>
      <c r="E400" s="561">
        <v>0</v>
      </c>
      <c r="F400" s="561">
        <v>0</v>
      </c>
      <c r="G400" s="561">
        <v>299335</v>
      </c>
      <c r="H400" s="561">
        <v>0</v>
      </c>
      <c r="I400" s="561">
        <v>930</v>
      </c>
      <c r="J400" s="561">
        <v>44904</v>
      </c>
      <c r="K400" s="561">
        <v>20680</v>
      </c>
      <c r="L400" s="561">
        <v>1791</v>
      </c>
      <c r="M400" s="561">
        <v>6966</v>
      </c>
      <c r="N400" s="561">
        <v>2117</v>
      </c>
      <c r="O400" s="561">
        <v>7045</v>
      </c>
      <c r="P400" s="561">
        <v>1489</v>
      </c>
      <c r="Q400" s="561">
        <v>111</v>
      </c>
      <c r="R400" s="561">
        <v>160918</v>
      </c>
      <c r="S400" s="1217">
        <v>19645</v>
      </c>
      <c r="T400" s="1217">
        <v>3989</v>
      </c>
      <c r="U400" s="1217">
        <v>0</v>
      </c>
      <c r="V400" s="561">
        <v>15626</v>
      </c>
      <c r="W400" s="561">
        <v>900</v>
      </c>
      <c r="X400" s="561">
        <v>2817</v>
      </c>
      <c r="Y400" s="561">
        <v>0</v>
      </c>
      <c r="Z400" s="561">
        <v>1322</v>
      </c>
      <c r="AA400" s="561">
        <v>0</v>
      </c>
      <c r="AB400" s="561">
        <v>0</v>
      </c>
      <c r="AC400" s="561">
        <v>0</v>
      </c>
      <c r="AD400" s="561">
        <v>20594</v>
      </c>
      <c r="AE400" s="561">
        <v>0</v>
      </c>
      <c r="AF400" s="561">
        <v>1643</v>
      </c>
      <c r="AG400" s="561">
        <v>13555</v>
      </c>
      <c r="AH400" s="561">
        <v>2156</v>
      </c>
      <c r="AI400" s="561">
        <v>65874</v>
      </c>
      <c r="AJ400" s="561">
        <v>10616</v>
      </c>
      <c r="AK400" s="561">
        <v>0</v>
      </c>
      <c r="AL400" s="561">
        <v>0</v>
      </c>
      <c r="AM400" s="561">
        <v>28</v>
      </c>
      <c r="AN400" s="561">
        <v>0</v>
      </c>
      <c r="AO400" s="561">
        <v>17</v>
      </c>
      <c r="AP400" s="561">
        <v>151</v>
      </c>
      <c r="AQ400" s="561">
        <v>64</v>
      </c>
      <c r="AR400" s="561">
        <v>1</v>
      </c>
    </row>
    <row r="401" spans="1:44" x14ac:dyDescent="0.3">
      <c r="A401" s="1129" t="s">
        <v>3644</v>
      </c>
      <c r="B401" s="1129" t="s">
        <v>3645</v>
      </c>
      <c r="C401" s="1129" t="s">
        <v>3646</v>
      </c>
      <c r="D401" s="1129" t="s">
        <v>385</v>
      </c>
      <c r="E401" s="561">
        <v>-1576</v>
      </c>
      <c r="F401" s="561">
        <v>0</v>
      </c>
      <c r="G401" s="561">
        <v>253667</v>
      </c>
      <c r="H401" s="561">
        <v>20366</v>
      </c>
      <c r="I401" s="561">
        <v>1078</v>
      </c>
      <c r="J401" s="561">
        <v>37036</v>
      </c>
      <c r="K401" s="561">
        <v>12635</v>
      </c>
      <c r="L401" s="561">
        <v>2372</v>
      </c>
      <c r="M401" s="561">
        <v>7976</v>
      </c>
      <c r="N401" s="561">
        <v>1036</v>
      </c>
      <c r="O401" s="561">
        <v>0</v>
      </c>
      <c r="P401" s="561">
        <v>1687</v>
      </c>
      <c r="Q401" s="561">
        <v>35414</v>
      </c>
      <c r="R401" s="561">
        <v>404233</v>
      </c>
      <c r="S401" s="1217">
        <v>1088</v>
      </c>
      <c r="T401" s="1217">
        <v>9280</v>
      </c>
      <c r="U401" s="1217">
        <v>-1000</v>
      </c>
      <c r="V401" s="561">
        <v>11461</v>
      </c>
      <c r="W401" s="561">
        <v>895</v>
      </c>
      <c r="X401" s="561">
        <v>3151</v>
      </c>
      <c r="Y401" s="561">
        <v>0</v>
      </c>
      <c r="Z401" s="561">
        <v>627</v>
      </c>
      <c r="AA401" s="561">
        <v>0</v>
      </c>
      <c r="AB401" s="561">
        <v>0</v>
      </c>
      <c r="AC401" s="561">
        <v>0</v>
      </c>
      <c r="AD401" s="561">
        <v>13185</v>
      </c>
      <c r="AE401" s="561">
        <v>0</v>
      </c>
      <c r="AF401" s="561">
        <v>6328</v>
      </c>
      <c r="AG401" s="561">
        <v>34056</v>
      </c>
      <c r="AH401" s="561">
        <v>700</v>
      </c>
      <c r="AI401" s="561">
        <v>23063</v>
      </c>
      <c r="AJ401" s="561">
        <v>11833</v>
      </c>
      <c r="AK401" s="561">
        <v>0</v>
      </c>
      <c r="AL401" s="561">
        <v>47907</v>
      </c>
      <c r="AM401" s="561">
        <v>0</v>
      </c>
      <c r="AN401" s="561">
        <v>0</v>
      </c>
      <c r="AO401" s="561">
        <v>10</v>
      </c>
      <c r="AP401" s="561">
        <v>28</v>
      </c>
      <c r="AQ401" s="561">
        <v>71</v>
      </c>
      <c r="AR401" s="561">
        <v>3</v>
      </c>
    </row>
    <row r="402" spans="1:44" x14ac:dyDescent="0.3">
      <c r="A402" s="1129" t="s">
        <v>3647</v>
      </c>
      <c r="B402" s="1129" t="s">
        <v>3648</v>
      </c>
      <c r="C402" s="1129" t="s">
        <v>3649</v>
      </c>
      <c r="D402" s="1129" t="s">
        <v>2466</v>
      </c>
      <c r="E402" s="561">
        <v>0</v>
      </c>
      <c r="F402" s="561">
        <v>-83385</v>
      </c>
      <c r="G402" s="561">
        <v>0</v>
      </c>
      <c r="H402" s="561">
        <v>0</v>
      </c>
      <c r="I402" s="561">
        <v>0</v>
      </c>
      <c r="J402" s="561">
        <v>0</v>
      </c>
      <c r="K402" s="561">
        <v>0</v>
      </c>
      <c r="L402" s="561">
        <v>0</v>
      </c>
      <c r="M402" s="561">
        <v>0</v>
      </c>
      <c r="N402" s="561">
        <v>0</v>
      </c>
      <c r="O402" s="561">
        <v>0</v>
      </c>
      <c r="P402" s="561">
        <v>0</v>
      </c>
      <c r="Q402" s="561">
        <v>0</v>
      </c>
      <c r="R402" s="561">
        <v>77636</v>
      </c>
      <c r="S402" s="1217">
        <v>0</v>
      </c>
      <c r="T402" s="1217">
        <v>3972</v>
      </c>
      <c r="U402" s="1217">
        <v>0</v>
      </c>
      <c r="V402" s="561">
        <v>41</v>
      </c>
      <c r="W402" s="561">
        <v>0</v>
      </c>
      <c r="X402" s="561">
        <v>0</v>
      </c>
      <c r="Y402" s="561">
        <v>0</v>
      </c>
      <c r="Z402" s="561">
        <v>0</v>
      </c>
      <c r="AA402" s="561">
        <v>3621</v>
      </c>
      <c r="AB402" s="561">
        <v>1648</v>
      </c>
      <c r="AC402" s="561">
        <v>2372</v>
      </c>
      <c r="AD402" s="561">
        <v>0</v>
      </c>
      <c r="AE402" s="561">
        <v>0</v>
      </c>
      <c r="AF402" s="561">
        <v>0</v>
      </c>
      <c r="AG402" s="561">
        <v>3875</v>
      </c>
      <c r="AH402" s="561">
        <v>0</v>
      </c>
      <c r="AI402" s="561">
        <v>7607</v>
      </c>
      <c r="AJ402" s="561">
        <v>592</v>
      </c>
      <c r="AK402" s="561">
        <v>200</v>
      </c>
      <c r="AL402" s="561">
        <v>0</v>
      </c>
      <c r="AM402" s="561">
        <v>0</v>
      </c>
      <c r="AN402" s="561">
        <v>0</v>
      </c>
      <c r="AO402" s="561">
        <v>0</v>
      </c>
      <c r="AP402" s="561">
        <v>0</v>
      </c>
      <c r="AQ402" s="561">
        <v>0</v>
      </c>
      <c r="AR402" s="561">
        <v>0</v>
      </c>
    </row>
    <row r="403" spans="1:44" x14ac:dyDescent="0.3">
      <c r="A403" s="1129" t="s">
        <v>3650</v>
      </c>
      <c r="B403" s="1129" t="s">
        <v>3651</v>
      </c>
      <c r="C403" s="1129" t="s">
        <v>3652</v>
      </c>
      <c r="D403" s="1129" t="s">
        <v>384</v>
      </c>
      <c r="E403" s="561">
        <v>-212</v>
      </c>
      <c r="F403" s="561">
        <v>0</v>
      </c>
      <c r="G403" s="561">
        <v>0</v>
      </c>
      <c r="H403" s="561">
        <v>0</v>
      </c>
      <c r="I403" s="561">
        <v>37</v>
      </c>
      <c r="J403" s="561">
        <v>0</v>
      </c>
      <c r="K403" s="561">
        <v>0</v>
      </c>
      <c r="L403" s="561">
        <v>782</v>
      </c>
      <c r="M403" s="561">
        <v>0</v>
      </c>
      <c r="N403" s="561">
        <v>0</v>
      </c>
      <c r="O403" s="561">
        <v>0</v>
      </c>
      <c r="P403" s="561">
        <v>1811</v>
      </c>
      <c r="Q403" s="561">
        <v>4917</v>
      </c>
      <c r="R403" s="561">
        <v>15263</v>
      </c>
      <c r="S403" s="1217">
        <v>16162</v>
      </c>
      <c r="T403" s="1217">
        <v>5192</v>
      </c>
      <c r="U403" s="1217">
        <v>0</v>
      </c>
      <c r="V403" s="561">
        <v>5074</v>
      </c>
      <c r="W403" s="561">
        <v>219</v>
      </c>
      <c r="X403" s="561">
        <v>196</v>
      </c>
      <c r="Y403" s="561">
        <v>575</v>
      </c>
      <c r="Z403" s="561">
        <v>96</v>
      </c>
      <c r="AA403" s="561">
        <v>0</v>
      </c>
      <c r="AB403" s="561">
        <v>0</v>
      </c>
      <c r="AC403" s="561">
        <v>0</v>
      </c>
      <c r="AD403" s="561">
        <v>0</v>
      </c>
      <c r="AE403" s="561">
        <v>0</v>
      </c>
      <c r="AF403" s="561">
        <v>0</v>
      </c>
      <c r="AG403" s="561">
        <v>2789</v>
      </c>
      <c r="AH403" s="561">
        <v>0</v>
      </c>
      <c r="AI403" s="561">
        <v>20262</v>
      </c>
      <c r="AJ403" s="561">
        <v>8571</v>
      </c>
      <c r="AK403" s="561">
        <v>3791</v>
      </c>
      <c r="AL403" s="561">
        <v>0</v>
      </c>
      <c r="AM403" s="561">
        <v>8</v>
      </c>
      <c r="AN403" s="561">
        <v>1</v>
      </c>
      <c r="AO403" s="561">
        <v>0</v>
      </c>
      <c r="AP403" s="561">
        <v>0</v>
      </c>
      <c r="AQ403" s="561">
        <v>81</v>
      </c>
      <c r="AR403" s="561">
        <v>2</v>
      </c>
    </row>
    <row r="404" spans="1:44" x14ac:dyDescent="0.3">
      <c r="A404" s="1129" t="s">
        <v>3653</v>
      </c>
      <c r="B404" s="1129" t="s">
        <v>3654</v>
      </c>
      <c r="C404" s="1129" t="s">
        <v>3655</v>
      </c>
      <c r="D404" s="1129" t="s">
        <v>385</v>
      </c>
      <c r="E404" s="561">
        <v>-184</v>
      </c>
      <c r="F404" s="561">
        <v>0</v>
      </c>
      <c r="G404" s="561">
        <v>96280</v>
      </c>
      <c r="H404" s="561">
        <v>5516</v>
      </c>
      <c r="I404" s="561">
        <v>312</v>
      </c>
      <c r="J404" s="561">
        <v>9510</v>
      </c>
      <c r="K404" s="561">
        <v>2784</v>
      </c>
      <c r="L404" s="561">
        <v>2348</v>
      </c>
      <c r="M404" s="561">
        <v>2084</v>
      </c>
      <c r="N404" s="561">
        <v>269</v>
      </c>
      <c r="O404" s="561">
        <v>0</v>
      </c>
      <c r="P404" s="561">
        <v>1036</v>
      </c>
      <c r="Q404" s="561">
        <v>2392</v>
      </c>
      <c r="R404" s="561">
        <v>103575</v>
      </c>
      <c r="S404" s="1217">
        <v>0</v>
      </c>
      <c r="T404" s="1217">
        <v>0</v>
      </c>
      <c r="U404" s="1217">
        <v>0</v>
      </c>
      <c r="V404" s="561">
        <v>7395</v>
      </c>
      <c r="W404" s="561">
        <v>241</v>
      </c>
      <c r="X404" s="561">
        <v>899</v>
      </c>
      <c r="Y404" s="561">
        <v>0</v>
      </c>
      <c r="Z404" s="561">
        <v>453</v>
      </c>
      <c r="AA404" s="561">
        <v>0</v>
      </c>
      <c r="AB404" s="561">
        <v>0</v>
      </c>
      <c r="AC404" s="561">
        <v>0</v>
      </c>
      <c r="AD404" s="561">
        <v>2547</v>
      </c>
      <c r="AE404" s="561">
        <v>941</v>
      </c>
      <c r="AF404" s="561">
        <v>951</v>
      </c>
      <c r="AG404" s="561">
        <v>10213</v>
      </c>
      <c r="AH404" s="561">
        <v>0</v>
      </c>
      <c r="AI404" s="561">
        <v>1048</v>
      </c>
      <c r="AJ404" s="561">
        <v>791</v>
      </c>
      <c r="AK404" s="561">
        <v>0</v>
      </c>
      <c r="AL404" s="561">
        <v>4748</v>
      </c>
      <c r="AM404" s="561">
        <v>24</v>
      </c>
      <c r="AN404" s="561">
        <v>203</v>
      </c>
      <c r="AO404" s="561">
        <v>15</v>
      </c>
      <c r="AP404" s="561">
        <v>45</v>
      </c>
      <c r="AQ404" s="561">
        <v>9</v>
      </c>
      <c r="AR404" s="561">
        <v>11</v>
      </c>
    </row>
    <row r="405" spans="1:44" x14ac:dyDescent="0.3">
      <c r="A405" s="1129" t="s">
        <v>3656</v>
      </c>
      <c r="B405" s="1129" t="s">
        <v>3657</v>
      </c>
      <c r="C405" s="1129" t="s">
        <v>3658</v>
      </c>
      <c r="D405" s="1129" t="s">
        <v>379</v>
      </c>
      <c r="E405" s="561">
        <v>0</v>
      </c>
      <c r="F405" s="561">
        <v>0</v>
      </c>
      <c r="G405" s="561">
        <v>226551</v>
      </c>
      <c r="H405" s="561">
        <v>34723</v>
      </c>
      <c r="I405" s="561">
        <v>974</v>
      </c>
      <c r="J405" s="561">
        <v>49545</v>
      </c>
      <c r="K405" s="561">
        <v>0</v>
      </c>
      <c r="L405" s="561">
        <v>1284</v>
      </c>
      <c r="M405" s="561">
        <v>7877</v>
      </c>
      <c r="N405" s="561">
        <v>2419</v>
      </c>
      <c r="O405" s="561">
        <v>9758</v>
      </c>
      <c r="P405" s="561">
        <v>416</v>
      </c>
      <c r="Q405" s="561">
        <v>0</v>
      </c>
      <c r="R405" s="561">
        <v>194099</v>
      </c>
      <c r="S405" s="1217">
        <v>0</v>
      </c>
      <c r="T405" s="1217">
        <v>0</v>
      </c>
      <c r="U405" s="1217">
        <v>-2601</v>
      </c>
      <c r="V405" s="561">
        <v>8020</v>
      </c>
      <c r="W405" s="561">
        <v>1128</v>
      </c>
      <c r="X405" s="561">
        <v>2701</v>
      </c>
      <c r="Y405" s="561">
        <v>0</v>
      </c>
      <c r="Z405" s="561">
        <v>433</v>
      </c>
      <c r="AA405" s="561">
        <v>0</v>
      </c>
      <c r="AB405" s="561">
        <v>0</v>
      </c>
      <c r="AC405" s="561">
        <v>0</v>
      </c>
      <c r="AD405" s="561">
        <v>10491</v>
      </c>
      <c r="AE405" s="561">
        <v>0</v>
      </c>
      <c r="AF405" s="561">
        <v>6627</v>
      </c>
      <c r="AG405" s="561">
        <v>13176</v>
      </c>
      <c r="AH405" s="561">
        <v>5285</v>
      </c>
      <c r="AI405" s="561">
        <v>22405</v>
      </c>
      <c r="AJ405" s="561">
        <v>10204</v>
      </c>
      <c r="AK405" s="561">
        <v>494</v>
      </c>
      <c r="AL405" s="561">
        <v>0</v>
      </c>
      <c r="AM405" s="561">
        <v>129</v>
      </c>
      <c r="AN405" s="561">
        <v>8</v>
      </c>
      <c r="AO405" s="561">
        <v>7</v>
      </c>
      <c r="AP405" s="561">
        <v>1</v>
      </c>
      <c r="AQ405" s="561">
        <v>47</v>
      </c>
      <c r="AR405" s="561">
        <v>6</v>
      </c>
    </row>
    <row r="406" spans="1:44" x14ac:dyDescent="0.3">
      <c r="A406" s="1129" t="s">
        <v>3659</v>
      </c>
      <c r="B406" s="1129" t="s">
        <v>3660</v>
      </c>
      <c r="C406" s="1129" t="s">
        <v>3661</v>
      </c>
      <c r="D406" s="1129" t="s">
        <v>384</v>
      </c>
      <c r="E406" s="561">
        <v>-138</v>
      </c>
      <c r="F406" s="561">
        <v>0</v>
      </c>
      <c r="G406" s="561">
        <v>0</v>
      </c>
      <c r="H406" s="561">
        <v>0</v>
      </c>
      <c r="I406" s="561">
        <v>40</v>
      </c>
      <c r="J406" s="561">
        <v>0</v>
      </c>
      <c r="K406" s="561">
        <v>0</v>
      </c>
      <c r="L406" s="561">
        <v>930</v>
      </c>
      <c r="M406" s="561">
        <v>0</v>
      </c>
      <c r="N406" s="561">
        <v>0</v>
      </c>
      <c r="O406" s="561">
        <v>0</v>
      </c>
      <c r="P406" s="561">
        <v>213</v>
      </c>
      <c r="Q406" s="561">
        <v>0</v>
      </c>
      <c r="R406" s="561">
        <v>12783</v>
      </c>
      <c r="S406" s="1217">
        <v>3149.26</v>
      </c>
      <c r="T406" s="1217">
        <v>0</v>
      </c>
      <c r="U406" s="1217">
        <v>0</v>
      </c>
      <c r="V406" s="561">
        <v>65993</v>
      </c>
      <c r="W406" s="561">
        <v>189</v>
      </c>
      <c r="X406" s="561">
        <v>160</v>
      </c>
      <c r="Y406" s="561">
        <v>978</v>
      </c>
      <c r="Z406" s="561">
        <v>167</v>
      </c>
      <c r="AA406" s="561">
        <v>0</v>
      </c>
      <c r="AB406" s="561">
        <v>0</v>
      </c>
      <c r="AC406" s="561">
        <v>0</v>
      </c>
      <c r="AD406" s="561">
        <v>0</v>
      </c>
      <c r="AE406" s="561">
        <v>0</v>
      </c>
      <c r="AF406" s="561">
        <v>0</v>
      </c>
      <c r="AG406" s="561">
        <v>0</v>
      </c>
      <c r="AH406" s="561">
        <v>0</v>
      </c>
      <c r="AI406" s="561">
        <v>0</v>
      </c>
      <c r="AJ406" s="561">
        <v>0</v>
      </c>
      <c r="AK406" s="561">
        <v>0</v>
      </c>
      <c r="AL406" s="561">
        <v>0</v>
      </c>
      <c r="AM406" s="561">
        <v>21</v>
      </c>
      <c r="AN406" s="561">
        <v>3</v>
      </c>
      <c r="AO406" s="561">
        <v>3</v>
      </c>
      <c r="AP406" s="561">
        <v>44</v>
      </c>
      <c r="AQ406" s="561">
        <v>11</v>
      </c>
      <c r="AR406" s="561">
        <v>45</v>
      </c>
    </row>
    <row r="407" spans="1:44" x14ac:dyDescent="0.3">
      <c r="A407" s="1129" t="s">
        <v>3662</v>
      </c>
      <c r="B407" s="1129" t="s">
        <v>3663</v>
      </c>
      <c r="C407" s="1129" t="s">
        <v>3664</v>
      </c>
      <c r="D407" s="1129" t="s">
        <v>385</v>
      </c>
      <c r="E407" s="561">
        <v>-224</v>
      </c>
      <c r="F407" s="561">
        <v>0</v>
      </c>
      <c r="G407" s="561">
        <v>87845</v>
      </c>
      <c r="H407" s="561">
        <v>6409</v>
      </c>
      <c r="I407" s="561">
        <v>321</v>
      </c>
      <c r="J407" s="561">
        <v>8185</v>
      </c>
      <c r="K407" s="561">
        <v>582</v>
      </c>
      <c r="L407" s="561">
        <v>1038</v>
      </c>
      <c r="M407" s="561">
        <v>1757</v>
      </c>
      <c r="N407" s="561">
        <v>250</v>
      </c>
      <c r="O407" s="561">
        <v>0</v>
      </c>
      <c r="P407" s="561">
        <v>1512</v>
      </c>
      <c r="Q407" s="561">
        <v>5871</v>
      </c>
      <c r="R407" s="561">
        <v>156067</v>
      </c>
      <c r="S407" s="1217">
        <v>1061</v>
      </c>
      <c r="T407" s="1217">
        <v>115</v>
      </c>
      <c r="U407" s="1217">
        <v>0</v>
      </c>
      <c r="V407" s="561">
        <v>5285</v>
      </c>
      <c r="W407" s="561">
        <v>173</v>
      </c>
      <c r="X407" s="561">
        <v>1225</v>
      </c>
      <c r="Y407" s="561">
        <v>0</v>
      </c>
      <c r="Z407" s="561">
        <v>219</v>
      </c>
      <c r="AA407" s="561">
        <v>0</v>
      </c>
      <c r="AB407" s="561">
        <v>0</v>
      </c>
      <c r="AC407" s="561">
        <v>0</v>
      </c>
      <c r="AD407" s="561">
        <v>6619</v>
      </c>
      <c r="AE407" s="561">
        <v>0</v>
      </c>
      <c r="AF407" s="561">
        <v>740</v>
      </c>
      <c r="AG407" s="561">
        <v>9485</v>
      </c>
      <c r="AH407" s="561">
        <v>35522</v>
      </c>
      <c r="AI407" s="561">
        <v>41561</v>
      </c>
      <c r="AJ407" s="561">
        <v>31862</v>
      </c>
      <c r="AK407" s="561">
        <v>21255</v>
      </c>
      <c r="AL407" s="561">
        <v>0</v>
      </c>
      <c r="AM407" s="561">
        <v>5</v>
      </c>
      <c r="AN407" s="561">
        <v>13</v>
      </c>
      <c r="AO407" s="561">
        <v>0</v>
      </c>
      <c r="AP407" s="561">
        <v>15</v>
      </c>
      <c r="AQ407" s="561">
        <v>59</v>
      </c>
      <c r="AR407" s="561">
        <v>0</v>
      </c>
    </row>
    <row r="408" spans="1:44" x14ac:dyDescent="0.3">
      <c r="A408" s="1129" t="s">
        <v>3665</v>
      </c>
      <c r="B408" s="1129" t="s">
        <v>3666</v>
      </c>
      <c r="C408" s="1129" t="s">
        <v>3667</v>
      </c>
      <c r="D408" s="1129" t="s">
        <v>379</v>
      </c>
      <c r="E408" s="561">
        <v>0</v>
      </c>
      <c r="F408" s="561">
        <v>0</v>
      </c>
      <c r="G408" s="561">
        <v>157456</v>
      </c>
      <c r="H408" s="561">
        <v>24764</v>
      </c>
      <c r="I408" s="561">
        <v>845</v>
      </c>
      <c r="J408" s="561">
        <v>38225</v>
      </c>
      <c r="K408" s="561">
        <v>18210</v>
      </c>
      <c r="L408" s="561">
        <v>1893</v>
      </c>
      <c r="M408" s="561">
        <v>6022</v>
      </c>
      <c r="N408" s="561">
        <v>3008</v>
      </c>
      <c r="O408" s="561">
        <v>9636</v>
      </c>
      <c r="P408" s="561">
        <v>257</v>
      </c>
      <c r="Q408" s="561">
        <v>0</v>
      </c>
      <c r="R408" s="561">
        <v>142666</v>
      </c>
      <c r="S408" s="1217">
        <v>13460</v>
      </c>
      <c r="T408" s="1217">
        <v>0</v>
      </c>
      <c r="U408" s="1217">
        <v>-5000</v>
      </c>
      <c r="V408" s="561">
        <v>30287</v>
      </c>
      <c r="W408" s="561">
        <v>869</v>
      </c>
      <c r="X408" s="561">
        <v>2456</v>
      </c>
      <c r="Y408" s="561">
        <v>0</v>
      </c>
      <c r="Z408" s="561">
        <v>871</v>
      </c>
      <c r="AA408" s="561">
        <v>0</v>
      </c>
      <c r="AB408" s="561">
        <v>0</v>
      </c>
      <c r="AC408" s="561">
        <v>0</v>
      </c>
      <c r="AD408" s="561">
        <v>12530</v>
      </c>
      <c r="AE408" s="561">
        <v>0</v>
      </c>
      <c r="AF408" s="561">
        <v>6028</v>
      </c>
      <c r="AG408" s="561">
        <v>17021</v>
      </c>
      <c r="AH408" s="561">
        <v>2668</v>
      </c>
      <c r="AI408" s="561">
        <v>17541</v>
      </c>
      <c r="AJ408" s="561">
        <v>2472</v>
      </c>
      <c r="AK408" s="561">
        <v>18669</v>
      </c>
      <c r="AL408" s="561">
        <v>17</v>
      </c>
      <c r="AM408" s="561">
        <v>41</v>
      </c>
      <c r="AN408" s="561">
        <v>150</v>
      </c>
      <c r="AO408" s="561">
        <v>0</v>
      </c>
      <c r="AP408" s="561">
        <v>0</v>
      </c>
      <c r="AQ408" s="561">
        <v>134</v>
      </c>
      <c r="AR408" s="561">
        <v>5</v>
      </c>
    </row>
    <row r="409" spans="1:44" x14ac:dyDescent="0.3">
      <c r="A409" s="1129" t="s">
        <v>3668</v>
      </c>
      <c r="B409" s="1129" t="s">
        <v>3669</v>
      </c>
      <c r="C409" s="1129" t="s">
        <v>3670</v>
      </c>
      <c r="D409" s="1129" t="s">
        <v>384</v>
      </c>
      <c r="E409" s="561">
        <v>-160</v>
      </c>
      <c r="F409" s="561">
        <v>0</v>
      </c>
      <c r="G409" s="561">
        <v>0</v>
      </c>
      <c r="H409" s="561">
        <v>0</v>
      </c>
      <c r="I409" s="561">
        <v>36</v>
      </c>
      <c r="J409" s="561">
        <v>0</v>
      </c>
      <c r="K409" s="561">
        <v>0</v>
      </c>
      <c r="L409" s="561">
        <v>1000</v>
      </c>
      <c r="M409" s="561">
        <v>0</v>
      </c>
      <c r="N409" s="561">
        <v>0</v>
      </c>
      <c r="O409" s="561">
        <v>358</v>
      </c>
      <c r="P409" s="561">
        <v>33</v>
      </c>
      <c r="Q409" s="561">
        <v>170</v>
      </c>
      <c r="R409" s="561">
        <v>7537</v>
      </c>
      <c r="S409" s="1217">
        <v>0</v>
      </c>
      <c r="T409" s="1217">
        <v>1937</v>
      </c>
      <c r="U409" s="1217">
        <v>-500</v>
      </c>
      <c r="V409" s="561">
        <v>204</v>
      </c>
      <c r="W409" s="561">
        <v>235</v>
      </c>
      <c r="X409" s="561">
        <v>114</v>
      </c>
      <c r="Y409" s="561">
        <v>645</v>
      </c>
      <c r="Z409" s="561">
        <v>78</v>
      </c>
      <c r="AA409" s="561">
        <v>0</v>
      </c>
      <c r="AB409" s="561">
        <v>0</v>
      </c>
      <c r="AC409" s="561">
        <v>0</v>
      </c>
      <c r="AD409" s="561">
        <v>0</v>
      </c>
      <c r="AE409" s="561">
        <v>0</v>
      </c>
      <c r="AF409" s="561">
        <v>0</v>
      </c>
      <c r="AG409" s="561">
        <v>2079</v>
      </c>
      <c r="AH409" s="561">
        <v>0</v>
      </c>
      <c r="AI409" s="561">
        <v>6187</v>
      </c>
      <c r="AJ409" s="561">
        <v>4513</v>
      </c>
      <c r="AK409" s="561">
        <v>0</v>
      </c>
      <c r="AL409" s="561">
        <v>0</v>
      </c>
      <c r="AM409" s="561">
        <v>17</v>
      </c>
      <c r="AN409" s="561">
        <v>10</v>
      </c>
      <c r="AO409" s="561">
        <v>1</v>
      </c>
      <c r="AP409" s="561">
        <v>0</v>
      </c>
      <c r="AQ409" s="561">
        <v>30</v>
      </c>
      <c r="AR409" s="561">
        <v>3</v>
      </c>
    </row>
    <row r="410" spans="1:44" x14ac:dyDescent="0.3">
      <c r="A410" s="1129" t="s">
        <v>3671</v>
      </c>
      <c r="B410" s="1129" t="s">
        <v>3672</v>
      </c>
      <c r="C410" s="1129" t="s">
        <v>3673</v>
      </c>
      <c r="D410" s="1129" t="s">
        <v>2595</v>
      </c>
      <c r="E410" s="561">
        <v>-879</v>
      </c>
      <c r="F410" s="561">
        <v>0</v>
      </c>
      <c r="G410" s="561">
        <v>295179</v>
      </c>
      <c r="H410" s="561">
        <v>35717</v>
      </c>
      <c r="I410" s="561">
        <v>1419</v>
      </c>
      <c r="J410" s="561">
        <v>57053</v>
      </c>
      <c r="K410" s="561">
        <v>23470</v>
      </c>
      <c r="L410" s="561">
        <v>0</v>
      </c>
      <c r="M410" s="561">
        <v>10433</v>
      </c>
      <c r="N410" s="561">
        <v>1834</v>
      </c>
      <c r="O410" s="561">
        <v>0</v>
      </c>
      <c r="P410" s="561">
        <v>375</v>
      </c>
      <c r="Q410" s="561">
        <v>0</v>
      </c>
      <c r="R410" s="561">
        <v>357152</v>
      </c>
      <c r="S410" s="1217">
        <v>0</v>
      </c>
      <c r="T410" s="1217">
        <v>0</v>
      </c>
      <c r="U410" s="1217">
        <v>0</v>
      </c>
      <c r="V410" s="561">
        <v>15885</v>
      </c>
      <c r="W410" s="561">
        <v>0</v>
      </c>
      <c r="X410" s="561">
        <v>3945</v>
      </c>
      <c r="Y410" s="561">
        <v>0</v>
      </c>
      <c r="Z410" s="561">
        <v>0</v>
      </c>
      <c r="AA410" s="561">
        <v>0</v>
      </c>
      <c r="AB410" s="561">
        <v>0</v>
      </c>
      <c r="AC410" s="561">
        <v>0</v>
      </c>
      <c r="AD410" s="561">
        <v>9453</v>
      </c>
      <c r="AE410" s="561">
        <v>0</v>
      </c>
      <c r="AF410" s="561">
        <v>7133</v>
      </c>
      <c r="AG410" s="561">
        <v>0</v>
      </c>
      <c r="AH410" s="561">
        <v>0</v>
      </c>
      <c r="AI410" s="561">
        <v>1136</v>
      </c>
      <c r="AJ410" s="561">
        <v>50403</v>
      </c>
      <c r="AK410" s="561">
        <v>0</v>
      </c>
      <c r="AL410" s="561">
        <v>37530</v>
      </c>
      <c r="AM410" s="561">
        <v>0</v>
      </c>
      <c r="AN410" s="561">
        <v>0</v>
      </c>
      <c r="AO410" s="561">
        <v>0</v>
      </c>
      <c r="AP410" s="561">
        <v>0</v>
      </c>
      <c r="AQ410" s="561">
        <v>0</v>
      </c>
      <c r="AR410" s="561">
        <v>0</v>
      </c>
    </row>
    <row r="411" spans="1:44" x14ac:dyDescent="0.3">
      <c r="A411" s="1129" t="s">
        <v>3674</v>
      </c>
      <c r="B411" s="1129" t="s">
        <v>3675</v>
      </c>
      <c r="C411" s="1129" t="s">
        <v>3676</v>
      </c>
      <c r="D411" s="1129" t="s">
        <v>384</v>
      </c>
      <c r="E411" s="561">
        <v>-141</v>
      </c>
      <c r="F411" s="561">
        <v>0</v>
      </c>
      <c r="G411" s="561">
        <v>0</v>
      </c>
      <c r="H411" s="561">
        <v>0</v>
      </c>
      <c r="I411" s="561">
        <v>36</v>
      </c>
      <c r="J411" s="561">
        <v>0</v>
      </c>
      <c r="K411" s="561">
        <v>0</v>
      </c>
      <c r="L411" s="561">
        <v>873</v>
      </c>
      <c r="M411" s="561">
        <v>0</v>
      </c>
      <c r="N411" s="561">
        <v>0</v>
      </c>
      <c r="O411" s="561">
        <v>117</v>
      </c>
      <c r="P411" s="561">
        <v>51</v>
      </c>
      <c r="Q411" s="561">
        <v>0</v>
      </c>
      <c r="R411" s="561">
        <v>10879</v>
      </c>
      <c r="S411" s="1217">
        <v>0</v>
      </c>
      <c r="T411" s="1217">
        <v>28</v>
      </c>
      <c r="U411" s="1217">
        <v>0</v>
      </c>
      <c r="V411" s="561">
        <v>5334</v>
      </c>
      <c r="W411" s="561">
        <v>280</v>
      </c>
      <c r="X411" s="561">
        <v>152</v>
      </c>
      <c r="Y411" s="561">
        <v>227</v>
      </c>
      <c r="Z411" s="561">
        <v>811</v>
      </c>
      <c r="AA411" s="561">
        <v>0</v>
      </c>
      <c r="AB411" s="561">
        <v>0</v>
      </c>
      <c r="AC411" s="561">
        <v>0</v>
      </c>
      <c r="AD411" s="561">
        <v>0</v>
      </c>
      <c r="AE411" s="561">
        <v>0</v>
      </c>
      <c r="AF411" s="561">
        <v>0</v>
      </c>
      <c r="AG411" s="561">
        <v>760</v>
      </c>
      <c r="AH411" s="561">
        <v>0</v>
      </c>
      <c r="AI411" s="561">
        <v>694</v>
      </c>
      <c r="AJ411" s="561">
        <v>1006</v>
      </c>
      <c r="AK411" s="561">
        <v>0</v>
      </c>
      <c r="AL411" s="561">
        <v>28</v>
      </c>
      <c r="AM411" s="561">
        <v>188</v>
      </c>
      <c r="AN411" s="561">
        <v>108</v>
      </c>
      <c r="AO411" s="561">
        <v>0</v>
      </c>
      <c r="AP411" s="561">
        <v>168</v>
      </c>
      <c r="AQ411" s="561">
        <v>32</v>
      </c>
      <c r="AR411" s="561">
        <v>2</v>
      </c>
    </row>
    <row r="412" spans="1:44" x14ac:dyDescent="0.3">
      <c r="A412" s="1129" t="s">
        <v>3677</v>
      </c>
      <c r="B412" s="1129" t="s">
        <v>3678</v>
      </c>
      <c r="C412" s="1129" t="s">
        <v>3679</v>
      </c>
      <c r="D412" s="1129" t="s">
        <v>384</v>
      </c>
      <c r="E412" s="561">
        <v>-207</v>
      </c>
      <c r="F412" s="561">
        <v>0</v>
      </c>
      <c r="G412" s="561">
        <v>0</v>
      </c>
      <c r="H412" s="561">
        <v>0</v>
      </c>
      <c r="I412" s="561">
        <v>35</v>
      </c>
      <c r="J412" s="561">
        <v>0</v>
      </c>
      <c r="K412" s="561">
        <v>0</v>
      </c>
      <c r="L412" s="561">
        <v>736</v>
      </c>
      <c r="M412" s="561">
        <v>0</v>
      </c>
      <c r="N412" s="561">
        <v>0</v>
      </c>
      <c r="O412" s="561">
        <v>0</v>
      </c>
      <c r="P412" s="561">
        <v>575</v>
      </c>
      <c r="Q412" s="561">
        <v>3406</v>
      </c>
      <c r="R412" s="561">
        <v>10299</v>
      </c>
      <c r="S412" s="1217">
        <v>0</v>
      </c>
      <c r="T412" s="1217">
        <v>11635</v>
      </c>
      <c r="U412" s="1217">
        <v>0</v>
      </c>
      <c r="V412" s="561">
        <v>0</v>
      </c>
      <c r="W412" s="561">
        <v>240</v>
      </c>
      <c r="X412" s="561">
        <v>133</v>
      </c>
      <c r="Y412" s="561">
        <v>3166</v>
      </c>
      <c r="Z412" s="561">
        <v>0</v>
      </c>
      <c r="AA412" s="561">
        <v>0</v>
      </c>
      <c r="AB412" s="561">
        <v>0</v>
      </c>
      <c r="AC412" s="561">
        <v>0</v>
      </c>
      <c r="AD412" s="561">
        <v>0</v>
      </c>
      <c r="AE412" s="561">
        <v>0</v>
      </c>
      <c r="AF412" s="561">
        <v>0</v>
      </c>
      <c r="AG412" s="561">
        <v>15119</v>
      </c>
      <c r="AH412" s="561">
        <v>2911</v>
      </c>
      <c r="AI412" s="561">
        <v>61216</v>
      </c>
      <c r="AJ412" s="561">
        <v>1303</v>
      </c>
      <c r="AK412" s="561">
        <v>1791</v>
      </c>
      <c r="AL412" s="561">
        <v>9206</v>
      </c>
      <c r="AM412" s="561">
        <v>23</v>
      </c>
      <c r="AN412" s="561">
        <v>5</v>
      </c>
      <c r="AO412" s="561">
        <v>0</v>
      </c>
      <c r="AP412" s="561">
        <v>3</v>
      </c>
      <c r="AQ412" s="561">
        <v>12</v>
      </c>
      <c r="AR412" s="561">
        <v>0</v>
      </c>
    </row>
    <row r="413" spans="1:44" x14ac:dyDescent="0.3">
      <c r="A413" s="1129" t="s">
        <v>3680</v>
      </c>
      <c r="B413" s="1129" t="s">
        <v>3681</v>
      </c>
      <c r="C413" s="1129" t="s">
        <v>3682</v>
      </c>
      <c r="D413" s="1129" t="s">
        <v>384</v>
      </c>
      <c r="E413" s="561">
        <v>-200</v>
      </c>
      <c r="F413" s="561">
        <v>0</v>
      </c>
      <c r="G413" s="561">
        <v>0</v>
      </c>
      <c r="H413" s="561">
        <v>0</v>
      </c>
      <c r="I413" s="561">
        <v>34</v>
      </c>
      <c r="J413" s="561">
        <v>0</v>
      </c>
      <c r="K413" s="561">
        <v>0</v>
      </c>
      <c r="L413" s="561">
        <v>515</v>
      </c>
      <c r="M413" s="561">
        <v>0</v>
      </c>
      <c r="N413" s="561">
        <v>0</v>
      </c>
      <c r="O413" s="561">
        <v>374</v>
      </c>
      <c r="P413" s="561">
        <v>977</v>
      </c>
      <c r="Q413" s="561">
        <v>1183</v>
      </c>
      <c r="R413" s="561">
        <v>10456</v>
      </c>
      <c r="S413" s="1217">
        <v>0</v>
      </c>
      <c r="T413" s="1217">
        <v>768</v>
      </c>
      <c r="U413" s="1217">
        <v>0</v>
      </c>
      <c r="V413" s="561">
        <v>0</v>
      </c>
      <c r="W413" s="561">
        <v>268</v>
      </c>
      <c r="X413" s="561">
        <v>129</v>
      </c>
      <c r="Y413" s="561">
        <v>0</v>
      </c>
      <c r="Z413" s="561">
        <v>76</v>
      </c>
      <c r="AA413" s="561">
        <v>0</v>
      </c>
      <c r="AB413" s="561">
        <v>0</v>
      </c>
      <c r="AC413" s="561">
        <v>0</v>
      </c>
      <c r="AD413" s="561">
        <v>0</v>
      </c>
      <c r="AE413" s="561">
        <v>0</v>
      </c>
      <c r="AF413" s="561">
        <v>0</v>
      </c>
      <c r="AG413" s="561">
        <v>16758</v>
      </c>
      <c r="AH413" s="561">
        <v>0</v>
      </c>
      <c r="AI413" s="561">
        <v>7730</v>
      </c>
      <c r="AJ413" s="561">
        <v>425</v>
      </c>
      <c r="AK413" s="561">
        <v>9850</v>
      </c>
      <c r="AL413" s="561">
        <v>1085</v>
      </c>
      <c r="AM413" s="561">
        <v>8</v>
      </c>
      <c r="AN413" s="561">
        <v>5</v>
      </c>
      <c r="AO413" s="561">
        <v>0</v>
      </c>
      <c r="AP413" s="561">
        <v>5</v>
      </c>
      <c r="AQ413" s="561">
        <v>0</v>
      </c>
      <c r="AR413" s="561">
        <v>1</v>
      </c>
    </row>
    <row r="414" spans="1:44" x14ac:dyDescent="0.3">
      <c r="A414" s="1129" t="s">
        <v>3683</v>
      </c>
      <c r="B414" s="1129" t="s">
        <v>3684</v>
      </c>
      <c r="C414" s="1129" t="s">
        <v>3685</v>
      </c>
      <c r="D414" s="1129" t="s">
        <v>384</v>
      </c>
      <c r="E414" s="561">
        <v>-178</v>
      </c>
      <c r="F414" s="561">
        <v>0</v>
      </c>
      <c r="G414" s="561">
        <v>0</v>
      </c>
      <c r="H414" s="561">
        <v>0</v>
      </c>
      <c r="I414" s="561">
        <v>34</v>
      </c>
      <c r="J414" s="561">
        <v>0</v>
      </c>
      <c r="K414" s="561">
        <v>0</v>
      </c>
      <c r="L414" s="561">
        <v>527</v>
      </c>
      <c r="M414" s="561">
        <v>0</v>
      </c>
      <c r="N414" s="561">
        <v>0</v>
      </c>
      <c r="O414" s="561">
        <v>400</v>
      </c>
      <c r="P414" s="561">
        <v>313</v>
      </c>
      <c r="Q414" s="561">
        <v>2385</v>
      </c>
      <c r="R414" s="561">
        <v>11240</v>
      </c>
      <c r="S414" s="1217">
        <v>0</v>
      </c>
      <c r="T414" s="1217">
        <v>0</v>
      </c>
      <c r="U414" s="1217">
        <v>0</v>
      </c>
      <c r="V414" s="561">
        <v>803</v>
      </c>
      <c r="W414" s="561">
        <v>265</v>
      </c>
      <c r="X414" s="561">
        <v>92</v>
      </c>
      <c r="Y414" s="561">
        <v>0</v>
      </c>
      <c r="Z414" s="561">
        <v>1024</v>
      </c>
      <c r="AA414" s="561">
        <v>0</v>
      </c>
      <c r="AB414" s="561">
        <v>0</v>
      </c>
      <c r="AC414" s="561">
        <v>0</v>
      </c>
      <c r="AD414" s="561">
        <v>0</v>
      </c>
      <c r="AE414" s="561">
        <v>0</v>
      </c>
      <c r="AF414" s="561">
        <v>0</v>
      </c>
      <c r="AG414" s="561">
        <v>5676</v>
      </c>
      <c r="AH414" s="561">
        <v>0</v>
      </c>
      <c r="AI414" s="561">
        <v>12774</v>
      </c>
      <c r="AJ414" s="561">
        <v>2874</v>
      </c>
      <c r="AK414" s="561">
        <v>1333</v>
      </c>
      <c r="AL414" s="561">
        <v>0</v>
      </c>
      <c r="AM414" s="561">
        <v>5</v>
      </c>
      <c r="AN414" s="561">
        <v>0</v>
      </c>
      <c r="AO414" s="561">
        <v>1</v>
      </c>
      <c r="AP414" s="561">
        <v>1</v>
      </c>
      <c r="AQ414" s="561">
        <v>37</v>
      </c>
      <c r="AR414" s="561">
        <v>1</v>
      </c>
    </row>
    <row r="415" spans="1:44" x14ac:dyDescent="0.3">
      <c r="A415" s="1129" t="s">
        <v>3686</v>
      </c>
      <c r="B415" s="1129" t="s">
        <v>3687</v>
      </c>
      <c r="C415" s="1129" t="s">
        <v>3688</v>
      </c>
      <c r="D415" s="1129" t="s">
        <v>385</v>
      </c>
      <c r="E415" s="561">
        <v>-1046</v>
      </c>
      <c r="F415" s="561">
        <v>0</v>
      </c>
      <c r="G415" s="561">
        <v>93971</v>
      </c>
      <c r="H415" s="561">
        <v>9378</v>
      </c>
      <c r="I415" s="561">
        <v>434</v>
      </c>
      <c r="J415" s="561">
        <v>15953</v>
      </c>
      <c r="K415" s="561">
        <v>6623</v>
      </c>
      <c r="L415" s="561">
        <v>978</v>
      </c>
      <c r="M415" s="561">
        <v>3202</v>
      </c>
      <c r="N415" s="561">
        <v>400</v>
      </c>
      <c r="O415" s="561">
        <v>0</v>
      </c>
      <c r="P415" s="561">
        <v>691</v>
      </c>
      <c r="Q415" s="561">
        <v>1119</v>
      </c>
      <c r="R415" s="561">
        <v>121299</v>
      </c>
      <c r="S415" s="1217">
        <v>28971</v>
      </c>
      <c r="T415" s="1217">
        <v>0</v>
      </c>
      <c r="U415" s="1217">
        <v>0</v>
      </c>
      <c r="V415" s="561">
        <v>10946</v>
      </c>
      <c r="W415" s="561">
        <v>338</v>
      </c>
      <c r="X415" s="561">
        <v>1322</v>
      </c>
      <c r="Y415" s="561">
        <v>0</v>
      </c>
      <c r="Z415" s="561">
        <v>1079</v>
      </c>
      <c r="AA415" s="561">
        <v>0</v>
      </c>
      <c r="AB415" s="561">
        <v>0</v>
      </c>
      <c r="AC415" s="561">
        <v>0</v>
      </c>
      <c r="AD415" s="561">
        <v>4434</v>
      </c>
      <c r="AE415" s="561">
        <v>9649</v>
      </c>
      <c r="AF415" s="561">
        <v>1831</v>
      </c>
      <c r="AG415" s="561">
        <v>10392</v>
      </c>
      <c r="AH415" s="561">
        <v>233</v>
      </c>
      <c r="AI415" s="561">
        <v>15818</v>
      </c>
      <c r="AJ415" s="561">
        <v>534</v>
      </c>
      <c r="AK415" s="561">
        <v>0</v>
      </c>
      <c r="AL415" s="561">
        <v>7189</v>
      </c>
      <c r="AM415" s="561">
        <v>0</v>
      </c>
      <c r="AN415" s="561">
        <v>0</v>
      </c>
      <c r="AO415" s="561">
        <v>58</v>
      </c>
      <c r="AP415" s="561">
        <v>0</v>
      </c>
      <c r="AQ415" s="561">
        <v>0</v>
      </c>
      <c r="AR415" s="561">
        <v>6</v>
      </c>
    </row>
    <row r="416" spans="1:44" x14ac:dyDescent="0.3">
      <c r="A416" s="1209" t="s">
        <v>3689</v>
      </c>
      <c r="B416" s="1209" t="s">
        <v>3690</v>
      </c>
      <c r="C416" s="1209" t="s">
        <v>3691</v>
      </c>
      <c r="D416" s="1209" t="s">
        <v>2466</v>
      </c>
      <c r="E416" s="561">
        <v>0</v>
      </c>
      <c r="F416" s="561">
        <v>-100229</v>
      </c>
      <c r="G416" s="561">
        <v>0</v>
      </c>
      <c r="H416" s="561">
        <v>0</v>
      </c>
      <c r="I416" s="561">
        <v>0</v>
      </c>
      <c r="J416" s="561">
        <v>0</v>
      </c>
      <c r="K416" s="561">
        <v>0</v>
      </c>
      <c r="L416" s="561">
        <v>0</v>
      </c>
      <c r="M416" s="561">
        <v>0</v>
      </c>
      <c r="N416" s="561">
        <v>0</v>
      </c>
      <c r="O416" s="561">
        <v>0</v>
      </c>
      <c r="P416" s="561">
        <v>0</v>
      </c>
      <c r="Q416" s="561">
        <v>0</v>
      </c>
      <c r="R416" s="561">
        <v>138732</v>
      </c>
      <c r="S416" s="1217">
        <v>0</v>
      </c>
      <c r="T416" s="1217">
        <v>8714</v>
      </c>
      <c r="U416" s="1217">
        <v>0</v>
      </c>
      <c r="V416" s="561">
        <v>147</v>
      </c>
      <c r="W416" s="561">
        <v>0</v>
      </c>
      <c r="X416" s="561">
        <v>0</v>
      </c>
      <c r="Y416" s="561">
        <v>0</v>
      </c>
      <c r="Z416" s="561">
        <v>100</v>
      </c>
      <c r="AA416" s="561">
        <v>4934</v>
      </c>
      <c r="AB416" s="561">
        <v>1947</v>
      </c>
      <c r="AC416" s="561">
        <v>2856</v>
      </c>
      <c r="AD416" s="561">
        <v>0</v>
      </c>
      <c r="AE416" s="561">
        <v>0</v>
      </c>
      <c r="AF416" s="561">
        <v>0</v>
      </c>
      <c r="AG416" s="561">
        <v>0</v>
      </c>
      <c r="AH416" s="561">
        <v>0</v>
      </c>
      <c r="AI416" s="561">
        <v>0</v>
      </c>
      <c r="AJ416" s="561">
        <v>0</v>
      </c>
      <c r="AK416" s="561">
        <v>0</v>
      </c>
      <c r="AL416" s="561">
        <v>0</v>
      </c>
      <c r="AM416" s="561">
        <v>0</v>
      </c>
      <c r="AN416" s="561">
        <v>0</v>
      </c>
      <c r="AO416" s="561">
        <v>0</v>
      </c>
      <c r="AP416" s="561">
        <v>0</v>
      </c>
      <c r="AQ416" s="561">
        <v>0</v>
      </c>
      <c r="AR416" s="561">
        <v>0</v>
      </c>
    </row>
    <row r="417" spans="1:44" x14ac:dyDescent="0.3">
      <c r="A417" s="1129" t="s">
        <v>3692</v>
      </c>
      <c r="B417" s="1129" t="s">
        <v>3693</v>
      </c>
      <c r="C417" s="1129" t="s">
        <v>3694</v>
      </c>
      <c r="D417" s="1129" t="s">
        <v>2466</v>
      </c>
      <c r="E417" s="561">
        <v>0</v>
      </c>
      <c r="F417" s="561">
        <v>0</v>
      </c>
      <c r="G417" s="561">
        <v>0</v>
      </c>
      <c r="H417" s="561">
        <v>0</v>
      </c>
      <c r="I417" s="561">
        <v>0</v>
      </c>
      <c r="J417" s="561">
        <v>0</v>
      </c>
      <c r="K417" s="561">
        <v>0</v>
      </c>
      <c r="L417" s="561">
        <v>0</v>
      </c>
      <c r="M417" s="561">
        <v>0</v>
      </c>
      <c r="N417" s="561">
        <v>0</v>
      </c>
      <c r="O417" s="561">
        <v>0</v>
      </c>
      <c r="P417" s="561">
        <v>0</v>
      </c>
      <c r="Q417" s="561">
        <v>0</v>
      </c>
      <c r="R417" s="561">
        <v>0</v>
      </c>
      <c r="S417" s="1217">
        <v>0</v>
      </c>
      <c r="T417" s="1217">
        <v>1569</v>
      </c>
      <c r="U417" s="1217">
        <v>0</v>
      </c>
      <c r="V417" s="561">
        <v>0</v>
      </c>
      <c r="W417" s="561">
        <v>0</v>
      </c>
      <c r="X417" s="561">
        <v>0</v>
      </c>
      <c r="Y417" s="561">
        <v>0</v>
      </c>
      <c r="Z417" s="561">
        <v>0</v>
      </c>
      <c r="AA417" s="561">
        <v>0</v>
      </c>
      <c r="AB417" s="561">
        <v>0</v>
      </c>
      <c r="AC417" s="561">
        <v>0</v>
      </c>
      <c r="AD417" s="561">
        <v>0</v>
      </c>
      <c r="AE417" s="561">
        <v>0</v>
      </c>
      <c r="AF417" s="561">
        <v>0</v>
      </c>
      <c r="AG417" s="561">
        <v>234</v>
      </c>
      <c r="AH417" s="561">
        <v>622</v>
      </c>
      <c r="AI417" s="561">
        <v>1607</v>
      </c>
      <c r="AJ417" s="561">
        <v>2286</v>
      </c>
      <c r="AK417" s="561">
        <v>0</v>
      </c>
      <c r="AL417" s="561">
        <v>0</v>
      </c>
      <c r="AM417" s="561">
        <v>0</v>
      </c>
      <c r="AN417" s="561">
        <v>0</v>
      </c>
      <c r="AO417" s="561">
        <v>0</v>
      </c>
      <c r="AP417" s="561">
        <v>0</v>
      </c>
      <c r="AQ417" s="561">
        <v>0</v>
      </c>
      <c r="AR417" s="561">
        <v>0</v>
      </c>
    </row>
    <row r="418" spans="1:44" x14ac:dyDescent="0.3">
      <c r="A418" s="1129"/>
      <c r="B418" s="1129"/>
      <c r="C418" s="1129"/>
      <c r="D418" s="1129"/>
      <c r="N418" s="1130"/>
      <c r="O418" s="1130"/>
      <c r="P418" s="1131"/>
      <c r="Q418" s="1025"/>
      <c r="R418" s="1025"/>
      <c r="S418" s="1132"/>
    </row>
    <row r="419" spans="1:44" x14ac:dyDescent="0.3">
      <c r="S419" s="561"/>
    </row>
    <row r="420" spans="1:44" ht="14.25" customHeight="1" x14ac:dyDescent="0.3">
      <c r="D420" s="1025"/>
      <c r="F420" s="1026"/>
      <c r="G420" s="1025"/>
      <c r="H420" s="1025"/>
      <c r="I420" s="1025"/>
      <c r="J420" s="1025"/>
      <c r="K420" s="1025"/>
      <c r="L420" s="1025"/>
      <c r="M420" s="1025"/>
      <c r="N420" s="1025"/>
      <c r="O420" s="1025"/>
      <c r="P420" s="1025"/>
      <c r="Q420" s="1025"/>
      <c r="R420" s="1025"/>
      <c r="S420" s="1025"/>
      <c r="T420" s="1025"/>
      <c r="U420" s="1025"/>
      <c r="V420" s="1025"/>
      <c r="X420" s="1025"/>
      <c r="Y420" s="1025"/>
      <c r="Z420" s="1025"/>
      <c r="AA420" s="1025"/>
      <c r="AB420" s="1025"/>
      <c r="AC420" s="1025"/>
    </row>
    <row r="421" spans="1:44" x14ac:dyDescent="0.3">
      <c r="D421" s="1026"/>
      <c r="F421" s="1131"/>
      <c r="G421" s="1197"/>
      <c r="H421" s="1131"/>
      <c r="I421" s="1025"/>
      <c r="J421" s="1131"/>
      <c r="K421" s="1131"/>
      <c r="L421" s="1131"/>
      <c r="M421" s="1131"/>
      <c r="N421" s="1025"/>
      <c r="O421" s="1025"/>
      <c r="P421" s="1131"/>
      <c r="Q421" s="1131"/>
      <c r="R421" s="1025"/>
      <c r="S421" s="1133"/>
      <c r="T421" s="1131"/>
      <c r="U421" s="1131"/>
      <c r="V421" s="1193"/>
      <c r="X421" s="1131"/>
    </row>
    <row r="424" spans="1:44" x14ac:dyDescent="0.3">
      <c r="V424" s="1131"/>
    </row>
    <row r="435" spans="9:23" x14ac:dyDescent="0.3">
      <c r="I435" s="1131"/>
      <c r="M435" s="1130"/>
      <c r="N435" s="1130"/>
      <c r="O435" s="1130"/>
      <c r="P435" s="1131"/>
      <c r="Q435" s="1025"/>
      <c r="R435" s="1130"/>
      <c r="S435" s="1132"/>
      <c r="T435" s="1132"/>
      <c r="U435" s="1132"/>
      <c r="V435" s="1026"/>
      <c r="W435" s="1026"/>
    </row>
    <row r="436" spans="9:23" x14ac:dyDescent="0.3">
      <c r="I436" s="1131"/>
      <c r="M436" s="1130"/>
      <c r="N436" s="1130"/>
      <c r="O436" s="1130"/>
      <c r="P436" s="1131"/>
      <c r="Q436" s="1025"/>
      <c r="R436" s="1130"/>
      <c r="S436" s="1132"/>
      <c r="T436" s="1132"/>
      <c r="U436" s="1132"/>
      <c r="V436" s="1026"/>
      <c r="W436" s="1026"/>
    </row>
    <row r="437" spans="9:23" x14ac:dyDescent="0.3">
      <c r="I437" s="1131"/>
      <c r="M437" s="1130"/>
      <c r="N437" s="1130"/>
      <c r="O437" s="1130"/>
      <c r="P437" s="1131"/>
      <c r="Q437" s="1025"/>
      <c r="R437" s="1130"/>
      <c r="S437" s="1132"/>
      <c r="T437" s="1132"/>
      <c r="U437" s="1132"/>
      <c r="V437" s="1026"/>
      <c r="W437" s="1026"/>
    </row>
    <row r="438" spans="9:23" x14ac:dyDescent="0.3">
      <c r="I438" s="1131"/>
      <c r="M438" s="1130"/>
      <c r="N438" s="1130"/>
      <c r="O438" s="1130"/>
      <c r="P438" s="1131"/>
      <c r="Q438" s="1025"/>
      <c r="R438" s="1130"/>
      <c r="S438" s="1132"/>
      <c r="T438" s="1132"/>
      <c r="U438" s="1132"/>
      <c r="V438" s="1026"/>
      <c r="W438" s="1026"/>
    </row>
    <row r="439" spans="9:23" x14ac:dyDescent="0.3">
      <c r="I439" s="1131"/>
      <c r="M439" s="1130"/>
      <c r="N439" s="1130"/>
      <c r="O439" s="1130"/>
      <c r="P439" s="1131"/>
      <c r="Q439" s="1025"/>
      <c r="R439" s="1130"/>
      <c r="S439" s="1132"/>
      <c r="T439" s="1132"/>
      <c r="U439" s="1132"/>
      <c r="V439" s="1026"/>
      <c r="W439" s="1026"/>
    </row>
    <row r="440" spans="9:23" x14ac:dyDescent="0.3">
      <c r="I440" s="1131"/>
      <c r="M440" s="1130"/>
      <c r="N440" s="1130"/>
      <c r="O440" s="1130"/>
      <c r="P440" s="1131"/>
      <c r="Q440" s="1025"/>
      <c r="R440" s="1130"/>
      <c r="S440" s="1132"/>
      <c r="T440" s="1132"/>
      <c r="U440" s="1132"/>
      <c r="V440" s="1026"/>
      <c r="W440" s="1026"/>
    </row>
    <row r="441" spans="9:23" x14ac:dyDescent="0.3">
      <c r="I441" s="1131"/>
      <c r="M441" s="1130"/>
      <c r="N441" s="1130"/>
      <c r="O441" s="1130"/>
      <c r="P441" s="1131"/>
      <c r="Q441" s="1025"/>
      <c r="R441" s="1130"/>
      <c r="S441" s="1132"/>
      <c r="T441" s="1132"/>
      <c r="U441" s="1132"/>
      <c r="V441" s="1026"/>
      <c r="W441" s="1026"/>
    </row>
    <row r="443" spans="9:23" x14ac:dyDescent="0.3">
      <c r="I443" s="1131"/>
      <c r="M443" s="1130"/>
      <c r="N443" s="1130"/>
      <c r="O443" s="1130"/>
      <c r="P443" s="1131"/>
      <c r="Q443" s="1025"/>
      <c r="R443" s="1130"/>
      <c r="S443" s="1132"/>
      <c r="T443" s="1132"/>
      <c r="U443" s="1132"/>
      <c r="V443" s="1026"/>
      <c r="W443" s="1026"/>
    </row>
    <row r="444" spans="9:23" x14ac:dyDescent="0.3">
      <c r="I444" s="1131"/>
      <c r="M444" s="1130"/>
      <c r="N444" s="1130"/>
      <c r="O444" s="1130"/>
      <c r="P444" s="1131"/>
      <c r="Q444" s="1025"/>
      <c r="R444" s="1130"/>
      <c r="S444" s="1132"/>
      <c r="T444" s="1132"/>
      <c r="U444" s="1132"/>
      <c r="V444" s="1026"/>
      <c r="W444" s="1026"/>
    </row>
    <row r="445" spans="9:23" x14ac:dyDescent="0.3">
      <c r="I445" s="1131"/>
      <c r="M445" s="1130"/>
      <c r="N445" s="1130"/>
      <c r="O445" s="1130"/>
      <c r="P445" s="1131"/>
      <c r="Q445" s="1025"/>
      <c r="R445" s="1130"/>
      <c r="S445" s="1132"/>
      <c r="T445" s="1132"/>
      <c r="U445" s="1132"/>
      <c r="V445" s="1026"/>
      <c r="W445" s="1026"/>
    </row>
    <row r="446" spans="9:23" x14ac:dyDescent="0.3">
      <c r="I446" s="1131"/>
      <c r="M446" s="1130"/>
      <c r="N446" s="1130"/>
      <c r="O446" s="1130"/>
      <c r="P446" s="1131"/>
      <c r="Q446" s="1025"/>
      <c r="R446" s="1130"/>
      <c r="S446" s="1132"/>
      <c r="T446" s="1132"/>
      <c r="U446" s="1132"/>
      <c r="V446" s="1026"/>
      <c r="W446" s="1026"/>
    </row>
    <row r="447" spans="9:23" x14ac:dyDescent="0.3">
      <c r="I447" s="1131"/>
      <c r="M447" s="1130"/>
      <c r="N447" s="1130"/>
      <c r="O447" s="1130"/>
      <c r="P447" s="1131"/>
      <c r="Q447" s="1025"/>
      <c r="R447" s="1130"/>
      <c r="S447" s="1132"/>
      <c r="T447" s="1132"/>
      <c r="U447" s="1132"/>
      <c r="V447" s="1026"/>
      <c r="W447" s="1026"/>
    </row>
    <row r="448" spans="9:23" x14ac:dyDescent="0.3">
      <c r="I448" s="1131"/>
      <c r="M448" s="1130"/>
      <c r="N448" s="1130"/>
      <c r="O448" s="1130"/>
      <c r="P448" s="1131"/>
      <c r="Q448" s="1025"/>
      <c r="R448" s="1130"/>
      <c r="S448" s="1132"/>
      <c r="T448" s="1132"/>
      <c r="U448" s="1132"/>
      <c r="V448" s="1026"/>
      <c r="W448" s="1026"/>
    </row>
    <row r="449" spans="9:23" x14ac:dyDescent="0.3">
      <c r="I449" s="1131"/>
      <c r="M449" s="1130"/>
      <c r="N449" s="1130"/>
      <c r="O449" s="1130"/>
      <c r="P449" s="1131"/>
      <c r="Q449" s="1025"/>
      <c r="R449" s="1130"/>
      <c r="S449" s="1132"/>
      <c r="T449" s="1132"/>
      <c r="U449" s="1132"/>
      <c r="V449" s="1026"/>
      <c r="W449" s="1026"/>
    </row>
    <row r="450" spans="9:23" x14ac:dyDescent="0.3">
      <c r="I450" s="1131"/>
      <c r="M450" s="1130"/>
      <c r="N450" s="1130"/>
      <c r="O450" s="1130"/>
      <c r="P450" s="1131"/>
      <c r="Q450" s="1025"/>
      <c r="R450" s="1130"/>
      <c r="S450" s="1132"/>
      <c r="T450" s="1132"/>
      <c r="U450" s="1132"/>
      <c r="V450" s="1026"/>
      <c r="W450" s="1026"/>
    </row>
    <row r="452" spans="9:23" x14ac:dyDescent="0.3">
      <c r="I452" s="1131"/>
      <c r="M452" s="1130"/>
      <c r="N452" s="1130"/>
      <c r="O452" s="1130"/>
      <c r="P452" s="1131"/>
      <c r="Q452" s="1025"/>
      <c r="R452" s="1130"/>
      <c r="S452" s="1132"/>
      <c r="T452" s="1132"/>
      <c r="U452" s="1132"/>
      <c r="V452" s="1026"/>
      <c r="W452" s="1026"/>
    </row>
    <row r="453" spans="9:23" x14ac:dyDescent="0.3">
      <c r="I453" s="1131"/>
      <c r="M453" s="1130"/>
      <c r="N453" s="1130"/>
      <c r="O453" s="1130"/>
      <c r="P453" s="1131"/>
      <c r="Q453" s="1025"/>
      <c r="R453" s="1130"/>
      <c r="S453" s="1132"/>
      <c r="T453" s="1132"/>
      <c r="U453" s="1132"/>
      <c r="V453" s="1026"/>
      <c r="W453" s="1026"/>
    </row>
    <row r="454" spans="9:23" x14ac:dyDescent="0.3">
      <c r="I454" s="1131"/>
      <c r="M454" s="1130"/>
      <c r="N454" s="1130"/>
      <c r="O454" s="1130"/>
      <c r="P454" s="1131"/>
      <c r="Q454" s="1025"/>
      <c r="R454" s="1130"/>
      <c r="S454" s="1132"/>
      <c r="T454" s="1132"/>
      <c r="U454" s="1132"/>
      <c r="V454" s="1026"/>
      <c r="W454" s="1026"/>
    </row>
    <row r="455" spans="9:23" x14ac:dyDescent="0.3">
      <c r="I455" s="1131"/>
      <c r="M455" s="1130"/>
      <c r="N455" s="1130"/>
      <c r="O455" s="1130"/>
      <c r="P455" s="1131"/>
      <c r="Q455" s="1025"/>
      <c r="R455" s="1130"/>
      <c r="S455" s="1132"/>
      <c r="T455" s="1132"/>
      <c r="U455" s="1132"/>
      <c r="V455" s="1026"/>
      <c r="W455" s="1026"/>
    </row>
    <row r="456" spans="9:23" x14ac:dyDescent="0.3">
      <c r="I456" s="1131"/>
      <c r="M456" s="1130"/>
      <c r="N456" s="1130"/>
      <c r="O456" s="1130"/>
      <c r="P456" s="1131"/>
      <c r="Q456" s="1025"/>
      <c r="R456" s="1130"/>
      <c r="S456" s="1132"/>
      <c r="T456" s="1132"/>
      <c r="U456" s="1132"/>
      <c r="V456" s="1026"/>
      <c r="W456" s="1026"/>
    </row>
  </sheetData>
  <sheetProtection sheet="1" objects="1" scenarios="1"/>
  <autoFilter ref="A2:AR417" xr:uid="{182CB58C-B0A3-4FE4-8D3F-91AE4BAB8042}"/>
  <phoneticPr fontId="18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193-4654-4A22-AC9A-27BB51A7BDF8}">
  <sheetPr codeName="Sheet13">
    <tabColor theme="5" tint="0.59999389629810485"/>
  </sheetPr>
  <dimension ref="A1:M416"/>
  <sheetViews>
    <sheetView workbookViewId="0">
      <selection activeCell="B1" sqref="B1:L1"/>
    </sheetView>
  </sheetViews>
  <sheetFormatPr defaultRowHeight="12.5" x14ac:dyDescent="0.25"/>
  <cols>
    <col min="1" max="2" width="26.81640625" customWidth="1"/>
    <col min="3" max="3" width="13.54296875" customWidth="1"/>
    <col min="4" max="4" width="31.54296875" customWidth="1"/>
    <col min="5" max="5" width="8.7265625" customWidth="1"/>
    <col min="6" max="6" width="17.453125" customWidth="1"/>
    <col min="7" max="7" width="16.81640625" customWidth="1"/>
    <col min="8" max="8" width="51.1796875" customWidth="1"/>
    <col min="13" max="13" width="10" customWidth="1"/>
  </cols>
  <sheetData>
    <row r="1" spans="1:13" ht="37.5" x14ac:dyDescent="0.25">
      <c r="A1" s="609" t="s">
        <v>3695</v>
      </c>
      <c r="B1" s="609">
        <v>0</v>
      </c>
      <c r="C1" s="631" t="s">
        <v>3696</v>
      </c>
      <c r="D1" s="631" t="s">
        <v>3697</v>
      </c>
      <c r="E1" s="609" t="s">
        <v>367</v>
      </c>
      <c r="F1" s="609" t="s">
        <v>3698</v>
      </c>
      <c r="G1" s="609" t="s">
        <v>3699</v>
      </c>
      <c r="H1" s="609" t="s">
        <v>3700</v>
      </c>
      <c r="I1" s="609" t="s">
        <v>3701</v>
      </c>
      <c r="J1" s="631" t="s">
        <v>3702</v>
      </c>
      <c r="K1" s="631" t="s">
        <v>3703</v>
      </c>
      <c r="L1" s="631" t="s">
        <v>3704</v>
      </c>
      <c r="M1" s="1121" t="s">
        <v>3705</v>
      </c>
    </row>
    <row r="2" spans="1:13" x14ac:dyDescent="0.25">
      <c r="A2" s="609" t="s">
        <v>9</v>
      </c>
      <c r="B2" s="609" t="s">
        <v>3706</v>
      </c>
      <c r="C2" s="631" t="s">
        <v>2403</v>
      </c>
      <c r="D2" s="631" t="s">
        <v>3707</v>
      </c>
      <c r="E2" s="609">
        <v>0</v>
      </c>
      <c r="F2" s="609">
        <v>0</v>
      </c>
      <c r="G2" s="609">
        <v>0</v>
      </c>
      <c r="H2" s="609" t="s">
        <v>3708</v>
      </c>
      <c r="I2" s="609">
        <v>0</v>
      </c>
      <c r="J2" s="609">
        <v>0</v>
      </c>
      <c r="K2" s="609">
        <v>0</v>
      </c>
      <c r="L2" s="609">
        <v>0</v>
      </c>
      <c r="M2" s="609">
        <v>0</v>
      </c>
    </row>
    <row r="3" spans="1:13" x14ac:dyDescent="0.25">
      <c r="A3" t="s">
        <v>2449</v>
      </c>
      <c r="B3" t="s">
        <v>2449</v>
      </c>
      <c r="C3" t="s">
        <v>2447</v>
      </c>
      <c r="D3" t="s">
        <v>2448</v>
      </c>
      <c r="E3" t="s">
        <v>384</v>
      </c>
      <c r="F3">
        <v>2</v>
      </c>
      <c r="G3">
        <v>0</v>
      </c>
      <c r="H3" t="s">
        <v>3709</v>
      </c>
      <c r="I3">
        <v>0</v>
      </c>
      <c r="J3">
        <v>1</v>
      </c>
      <c r="K3">
        <v>1</v>
      </c>
      <c r="L3">
        <v>1</v>
      </c>
      <c r="M3">
        <v>0</v>
      </c>
    </row>
    <row r="4" spans="1:13" x14ac:dyDescent="0.25">
      <c r="A4" t="s">
        <v>2452</v>
      </c>
      <c r="B4" t="s">
        <v>2452</v>
      </c>
      <c r="C4" t="s">
        <v>2450</v>
      </c>
      <c r="D4" t="s">
        <v>2451</v>
      </c>
      <c r="E4" t="s">
        <v>384</v>
      </c>
      <c r="F4">
        <v>2</v>
      </c>
      <c r="G4">
        <v>0</v>
      </c>
      <c r="H4" t="s">
        <v>3709</v>
      </c>
      <c r="I4">
        <v>0</v>
      </c>
      <c r="J4">
        <v>1</v>
      </c>
      <c r="K4">
        <v>1</v>
      </c>
      <c r="L4">
        <v>1</v>
      </c>
      <c r="M4">
        <v>0</v>
      </c>
    </row>
    <row r="5" spans="1:13" x14ac:dyDescent="0.25">
      <c r="A5" t="s">
        <v>2456</v>
      </c>
      <c r="B5" t="s">
        <v>2456</v>
      </c>
      <c r="C5" t="s">
        <v>2454</v>
      </c>
      <c r="D5" t="s">
        <v>2455</v>
      </c>
      <c r="E5" t="s">
        <v>384</v>
      </c>
      <c r="F5">
        <v>2</v>
      </c>
      <c r="G5">
        <v>0</v>
      </c>
      <c r="H5" t="s">
        <v>3709</v>
      </c>
      <c r="I5">
        <v>1</v>
      </c>
      <c r="J5">
        <v>1</v>
      </c>
      <c r="K5">
        <v>1</v>
      </c>
      <c r="L5">
        <v>1</v>
      </c>
      <c r="M5">
        <v>0</v>
      </c>
    </row>
    <row r="6" spans="1:13" x14ac:dyDescent="0.25">
      <c r="A6" t="s">
        <v>2459</v>
      </c>
      <c r="B6" t="s">
        <v>2459</v>
      </c>
      <c r="C6" t="s">
        <v>2457</v>
      </c>
      <c r="D6" t="s">
        <v>2458</v>
      </c>
      <c r="E6" t="s">
        <v>384</v>
      </c>
      <c r="F6">
        <v>2</v>
      </c>
      <c r="G6">
        <v>0</v>
      </c>
      <c r="H6" t="s">
        <v>3709</v>
      </c>
      <c r="I6">
        <v>0</v>
      </c>
      <c r="J6">
        <v>1</v>
      </c>
      <c r="K6">
        <v>1</v>
      </c>
      <c r="L6">
        <v>1</v>
      </c>
      <c r="M6">
        <v>0</v>
      </c>
    </row>
    <row r="7" spans="1:13" x14ac:dyDescent="0.25">
      <c r="A7" t="s">
        <v>2462</v>
      </c>
      <c r="B7" t="s">
        <v>2462</v>
      </c>
      <c r="C7" t="s">
        <v>2460</v>
      </c>
      <c r="D7" t="s">
        <v>2461</v>
      </c>
      <c r="E7" t="s">
        <v>384</v>
      </c>
      <c r="F7">
        <v>2</v>
      </c>
      <c r="G7">
        <v>1</v>
      </c>
      <c r="H7" t="s">
        <v>3710</v>
      </c>
      <c r="I7">
        <v>0</v>
      </c>
      <c r="J7">
        <v>1</v>
      </c>
      <c r="K7">
        <v>1</v>
      </c>
      <c r="L7">
        <v>1</v>
      </c>
      <c r="M7">
        <v>0</v>
      </c>
    </row>
    <row r="8" spans="1:13" x14ac:dyDescent="0.25">
      <c r="A8" t="s">
        <v>2465</v>
      </c>
      <c r="B8" t="s">
        <v>2465</v>
      </c>
      <c r="C8" t="s">
        <v>2463</v>
      </c>
      <c r="D8" t="s">
        <v>2464</v>
      </c>
      <c r="E8" t="s">
        <v>375</v>
      </c>
      <c r="F8">
        <v>4</v>
      </c>
      <c r="G8">
        <v>1</v>
      </c>
      <c r="H8" t="s">
        <v>3711</v>
      </c>
      <c r="I8">
        <v>0</v>
      </c>
      <c r="J8">
        <v>0</v>
      </c>
      <c r="K8">
        <v>0</v>
      </c>
      <c r="L8">
        <v>0</v>
      </c>
      <c r="M8">
        <v>0</v>
      </c>
    </row>
    <row r="9" spans="1:13" x14ac:dyDescent="0.25">
      <c r="A9" t="s">
        <v>2469</v>
      </c>
      <c r="B9" t="s">
        <v>2469</v>
      </c>
      <c r="C9" t="s">
        <v>2467</v>
      </c>
      <c r="D9" t="s">
        <v>2468</v>
      </c>
      <c r="E9" t="s">
        <v>373</v>
      </c>
      <c r="F9">
        <v>4</v>
      </c>
      <c r="G9">
        <v>0</v>
      </c>
      <c r="H9" t="s">
        <v>3712</v>
      </c>
      <c r="I9">
        <v>0</v>
      </c>
      <c r="J9">
        <v>0</v>
      </c>
      <c r="K9">
        <v>0</v>
      </c>
      <c r="L9">
        <v>0</v>
      </c>
      <c r="M9">
        <v>0</v>
      </c>
    </row>
    <row r="10" spans="1:13" x14ac:dyDescent="0.25">
      <c r="A10" t="s">
        <v>2472</v>
      </c>
      <c r="B10" t="s">
        <v>2472</v>
      </c>
      <c r="C10" t="s">
        <v>2470</v>
      </c>
      <c r="D10" t="s">
        <v>2471</v>
      </c>
      <c r="E10" t="s">
        <v>384</v>
      </c>
      <c r="F10">
        <v>2</v>
      </c>
      <c r="G10">
        <v>0</v>
      </c>
      <c r="H10" t="s">
        <v>3709</v>
      </c>
      <c r="I10">
        <v>1</v>
      </c>
      <c r="J10">
        <v>1</v>
      </c>
      <c r="K10">
        <v>1</v>
      </c>
      <c r="L10">
        <v>1</v>
      </c>
      <c r="M10">
        <v>0</v>
      </c>
    </row>
    <row r="11" spans="1:13" x14ac:dyDescent="0.25">
      <c r="A11" t="s">
        <v>2475</v>
      </c>
      <c r="B11" t="s">
        <v>2475</v>
      </c>
      <c r="C11" t="s">
        <v>2473</v>
      </c>
      <c r="D11" t="s">
        <v>2474</v>
      </c>
      <c r="E11" t="s">
        <v>380</v>
      </c>
      <c r="F11">
        <v>1</v>
      </c>
      <c r="G11">
        <v>0</v>
      </c>
      <c r="H11" t="s">
        <v>3713</v>
      </c>
      <c r="I11">
        <v>1</v>
      </c>
      <c r="J11">
        <v>1</v>
      </c>
      <c r="K11">
        <v>1</v>
      </c>
      <c r="L11">
        <v>1</v>
      </c>
      <c r="M11">
        <v>1</v>
      </c>
    </row>
    <row r="12" spans="1:13" x14ac:dyDescent="0.25">
      <c r="A12" t="s">
        <v>2479</v>
      </c>
      <c r="B12" t="s">
        <v>2479</v>
      </c>
      <c r="C12" t="s">
        <v>2477</v>
      </c>
      <c r="D12" t="s">
        <v>2478</v>
      </c>
      <c r="E12" t="s">
        <v>380</v>
      </c>
      <c r="F12">
        <v>1</v>
      </c>
      <c r="G12">
        <v>0</v>
      </c>
      <c r="H12" t="s">
        <v>3713</v>
      </c>
      <c r="I12">
        <v>1</v>
      </c>
      <c r="J12">
        <v>1</v>
      </c>
      <c r="K12">
        <v>1</v>
      </c>
      <c r="L12">
        <v>1</v>
      </c>
      <c r="M12">
        <v>1</v>
      </c>
    </row>
    <row r="13" spans="1:13" x14ac:dyDescent="0.25">
      <c r="A13" t="s">
        <v>2482</v>
      </c>
      <c r="B13" t="s">
        <v>2482</v>
      </c>
      <c r="C13" t="s">
        <v>2480</v>
      </c>
      <c r="D13" t="s">
        <v>2481</v>
      </c>
      <c r="E13" t="s">
        <v>379</v>
      </c>
      <c r="F13">
        <v>1</v>
      </c>
      <c r="G13">
        <v>1</v>
      </c>
      <c r="H13" t="s">
        <v>3714</v>
      </c>
      <c r="I13">
        <v>0</v>
      </c>
      <c r="J13">
        <v>1</v>
      </c>
      <c r="K13">
        <v>1</v>
      </c>
      <c r="L13">
        <v>1</v>
      </c>
      <c r="M13">
        <v>1</v>
      </c>
    </row>
    <row r="14" spans="1:13" x14ac:dyDescent="0.25">
      <c r="A14" t="s">
        <v>2485</v>
      </c>
      <c r="B14" t="s">
        <v>2485</v>
      </c>
      <c r="C14" t="s">
        <v>2483</v>
      </c>
      <c r="D14" t="s">
        <v>2484</v>
      </c>
      <c r="E14" t="s">
        <v>384</v>
      </c>
      <c r="F14">
        <v>2</v>
      </c>
      <c r="G14">
        <v>0</v>
      </c>
      <c r="H14" t="s">
        <v>3709</v>
      </c>
      <c r="I14">
        <v>0</v>
      </c>
      <c r="J14">
        <v>1</v>
      </c>
      <c r="K14">
        <v>1</v>
      </c>
      <c r="L14">
        <v>1</v>
      </c>
      <c r="M14">
        <v>0</v>
      </c>
    </row>
    <row r="15" spans="1:13" x14ac:dyDescent="0.25">
      <c r="A15" t="s">
        <v>2488</v>
      </c>
      <c r="B15" t="s">
        <v>2488</v>
      </c>
      <c r="C15" t="s">
        <v>2486</v>
      </c>
      <c r="D15" t="s">
        <v>2487</v>
      </c>
      <c r="E15" t="s">
        <v>384</v>
      </c>
      <c r="F15">
        <v>2</v>
      </c>
      <c r="G15">
        <v>1</v>
      </c>
      <c r="H15" t="s">
        <v>3710</v>
      </c>
      <c r="I15">
        <v>1</v>
      </c>
      <c r="J15">
        <v>1</v>
      </c>
      <c r="K15">
        <v>1</v>
      </c>
      <c r="L15">
        <v>1</v>
      </c>
      <c r="M15">
        <v>0</v>
      </c>
    </row>
    <row r="16" spans="1:13" x14ac:dyDescent="0.25">
      <c r="A16" t="s">
        <v>2491</v>
      </c>
      <c r="B16" t="s">
        <v>2491</v>
      </c>
      <c r="C16" t="s">
        <v>2489</v>
      </c>
      <c r="D16" t="s">
        <v>2490</v>
      </c>
      <c r="E16" t="s">
        <v>384</v>
      </c>
      <c r="F16">
        <v>2</v>
      </c>
      <c r="G16">
        <v>1</v>
      </c>
      <c r="H16" t="s">
        <v>3710</v>
      </c>
      <c r="I16">
        <v>1</v>
      </c>
      <c r="J16">
        <v>1</v>
      </c>
      <c r="K16">
        <v>1</v>
      </c>
      <c r="L16">
        <v>1</v>
      </c>
      <c r="M16">
        <v>0</v>
      </c>
    </row>
    <row r="17" spans="1:13" x14ac:dyDescent="0.25">
      <c r="A17" t="s">
        <v>2494</v>
      </c>
      <c r="B17" t="s">
        <v>2494</v>
      </c>
      <c r="C17" t="s">
        <v>2492</v>
      </c>
      <c r="D17" t="s">
        <v>2493</v>
      </c>
      <c r="E17" t="s">
        <v>385</v>
      </c>
      <c r="F17">
        <v>1</v>
      </c>
      <c r="G17">
        <v>1</v>
      </c>
      <c r="H17" t="s">
        <v>3714</v>
      </c>
      <c r="I17">
        <v>1</v>
      </c>
      <c r="J17">
        <v>1</v>
      </c>
      <c r="K17">
        <v>1</v>
      </c>
      <c r="L17">
        <v>1</v>
      </c>
      <c r="M17">
        <v>1</v>
      </c>
    </row>
    <row r="18" spans="1:13" x14ac:dyDescent="0.25">
      <c r="A18" t="s">
        <v>2497</v>
      </c>
      <c r="B18" t="s">
        <v>2497</v>
      </c>
      <c r="C18" t="s">
        <v>2495</v>
      </c>
      <c r="D18" t="s">
        <v>2496</v>
      </c>
      <c r="E18" t="s">
        <v>385</v>
      </c>
      <c r="F18">
        <v>1</v>
      </c>
      <c r="G18">
        <v>0</v>
      </c>
      <c r="H18" t="s">
        <v>3713</v>
      </c>
      <c r="I18">
        <v>1</v>
      </c>
      <c r="J18">
        <v>1</v>
      </c>
      <c r="K18">
        <v>1</v>
      </c>
      <c r="L18">
        <v>1</v>
      </c>
      <c r="M18">
        <v>1</v>
      </c>
    </row>
    <row r="19" spans="1:13" x14ac:dyDescent="0.25">
      <c r="A19" t="s">
        <v>3715</v>
      </c>
      <c r="B19" t="s">
        <v>3715</v>
      </c>
      <c r="C19" t="s">
        <v>2498</v>
      </c>
      <c r="D19" t="s">
        <v>2499</v>
      </c>
      <c r="E19" t="s">
        <v>373</v>
      </c>
      <c r="F19">
        <v>4</v>
      </c>
      <c r="G19">
        <v>1</v>
      </c>
      <c r="H19" t="s">
        <v>3711</v>
      </c>
      <c r="I19">
        <v>0</v>
      </c>
      <c r="J19">
        <v>0</v>
      </c>
      <c r="K19">
        <v>0</v>
      </c>
      <c r="L19">
        <v>0</v>
      </c>
      <c r="M19">
        <v>0</v>
      </c>
    </row>
    <row r="20" spans="1:13" x14ac:dyDescent="0.25">
      <c r="A20" t="s">
        <v>2503</v>
      </c>
      <c r="B20" t="s">
        <v>2503</v>
      </c>
      <c r="C20" t="s">
        <v>2501</v>
      </c>
      <c r="D20" t="s">
        <v>2502</v>
      </c>
      <c r="E20" t="s">
        <v>375</v>
      </c>
      <c r="F20">
        <v>4</v>
      </c>
      <c r="G20">
        <v>0</v>
      </c>
      <c r="H20" t="s">
        <v>3712</v>
      </c>
      <c r="I20">
        <v>0</v>
      </c>
      <c r="J20">
        <v>0</v>
      </c>
      <c r="K20">
        <v>0</v>
      </c>
      <c r="L20">
        <v>0</v>
      </c>
      <c r="M20">
        <v>0</v>
      </c>
    </row>
    <row r="21" spans="1:13" x14ac:dyDescent="0.25">
      <c r="A21" t="s">
        <v>3716</v>
      </c>
      <c r="B21" t="s">
        <v>3716</v>
      </c>
      <c r="C21" t="s">
        <v>2504</v>
      </c>
      <c r="D21" t="s">
        <v>2505</v>
      </c>
      <c r="E21" t="s">
        <v>373</v>
      </c>
      <c r="F21">
        <v>4</v>
      </c>
      <c r="G21">
        <v>0</v>
      </c>
      <c r="H21" t="s">
        <v>3712</v>
      </c>
      <c r="I21">
        <v>0</v>
      </c>
      <c r="J21">
        <v>0</v>
      </c>
      <c r="K21">
        <v>0</v>
      </c>
      <c r="L21">
        <v>0</v>
      </c>
      <c r="M21">
        <v>0</v>
      </c>
    </row>
    <row r="22" spans="1:13" x14ac:dyDescent="0.25">
      <c r="A22" t="s">
        <v>2509</v>
      </c>
      <c r="B22" t="s">
        <v>2509</v>
      </c>
      <c r="C22" t="s">
        <v>2507</v>
      </c>
      <c r="D22" t="s">
        <v>2508</v>
      </c>
      <c r="E22" t="s">
        <v>380</v>
      </c>
      <c r="F22">
        <v>1</v>
      </c>
      <c r="G22">
        <v>1</v>
      </c>
      <c r="H22" t="s">
        <v>3714</v>
      </c>
      <c r="I22">
        <v>1</v>
      </c>
      <c r="J22">
        <v>1</v>
      </c>
      <c r="K22">
        <v>1</v>
      </c>
      <c r="L22">
        <v>1</v>
      </c>
      <c r="M22">
        <v>1</v>
      </c>
    </row>
    <row r="23" spans="1:13" x14ac:dyDescent="0.25">
      <c r="A23" t="s">
        <v>2512</v>
      </c>
      <c r="B23" t="s">
        <v>2512</v>
      </c>
      <c r="C23" t="s">
        <v>2510</v>
      </c>
      <c r="D23" t="s">
        <v>2511</v>
      </c>
      <c r="E23" t="s">
        <v>379</v>
      </c>
      <c r="F23">
        <v>1</v>
      </c>
      <c r="G23">
        <v>1</v>
      </c>
      <c r="H23" t="s">
        <v>3714</v>
      </c>
      <c r="I23">
        <v>1</v>
      </c>
      <c r="J23">
        <v>1</v>
      </c>
      <c r="K23">
        <v>1</v>
      </c>
      <c r="L23">
        <v>1</v>
      </c>
      <c r="M23">
        <v>1</v>
      </c>
    </row>
    <row r="24" spans="1:13" x14ac:dyDescent="0.25">
      <c r="A24" t="s">
        <v>2515</v>
      </c>
      <c r="B24" t="s">
        <v>2515</v>
      </c>
      <c r="C24" t="s">
        <v>2513</v>
      </c>
      <c r="D24" t="s">
        <v>2514</v>
      </c>
      <c r="E24" t="s">
        <v>384</v>
      </c>
      <c r="F24">
        <v>2</v>
      </c>
      <c r="G24">
        <v>0</v>
      </c>
      <c r="H24" t="s">
        <v>3709</v>
      </c>
      <c r="I24">
        <v>0</v>
      </c>
      <c r="J24">
        <v>1</v>
      </c>
      <c r="K24">
        <v>1</v>
      </c>
      <c r="L24">
        <v>1</v>
      </c>
      <c r="M24">
        <v>0</v>
      </c>
    </row>
    <row r="25" spans="1:13" x14ac:dyDescent="0.25">
      <c r="A25" t="s">
        <v>2518</v>
      </c>
      <c r="B25" t="s">
        <v>2518</v>
      </c>
      <c r="C25" t="s">
        <v>2516</v>
      </c>
      <c r="D25" t="s">
        <v>2517</v>
      </c>
      <c r="E25" t="s">
        <v>385</v>
      </c>
      <c r="F25">
        <v>1</v>
      </c>
      <c r="G25">
        <v>0</v>
      </c>
      <c r="H25" t="s">
        <v>3713</v>
      </c>
      <c r="I25">
        <v>0</v>
      </c>
      <c r="J25">
        <v>1</v>
      </c>
      <c r="K25">
        <v>1</v>
      </c>
      <c r="L25">
        <v>1</v>
      </c>
      <c r="M25">
        <v>1</v>
      </c>
    </row>
    <row r="26" spans="1:13" x14ac:dyDescent="0.25">
      <c r="A26" t="s">
        <v>2521</v>
      </c>
      <c r="B26" t="s">
        <v>2521</v>
      </c>
      <c r="C26" t="s">
        <v>2519</v>
      </c>
      <c r="D26" t="s">
        <v>2520</v>
      </c>
      <c r="E26" t="s">
        <v>385</v>
      </c>
      <c r="F26">
        <v>1</v>
      </c>
      <c r="G26">
        <v>0</v>
      </c>
      <c r="H26" t="s">
        <v>3713</v>
      </c>
      <c r="I26">
        <v>0</v>
      </c>
      <c r="J26">
        <v>1</v>
      </c>
      <c r="K26">
        <v>1</v>
      </c>
      <c r="L26">
        <v>1</v>
      </c>
      <c r="M26">
        <v>1</v>
      </c>
    </row>
    <row r="27" spans="1:13" x14ac:dyDescent="0.25">
      <c r="A27" t="s">
        <v>2524</v>
      </c>
      <c r="B27" t="s">
        <v>2524</v>
      </c>
      <c r="C27" t="s">
        <v>2522</v>
      </c>
      <c r="D27" t="s">
        <v>2523</v>
      </c>
      <c r="E27" t="s">
        <v>384</v>
      </c>
      <c r="F27">
        <v>2</v>
      </c>
      <c r="G27">
        <v>0</v>
      </c>
      <c r="H27" t="s">
        <v>3709</v>
      </c>
      <c r="I27">
        <v>0</v>
      </c>
      <c r="J27">
        <v>1</v>
      </c>
      <c r="K27">
        <v>1</v>
      </c>
      <c r="L27">
        <v>1</v>
      </c>
      <c r="M27">
        <v>0</v>
      </c>
    </row>
    <row r="28" spans="1:13" x14ac:dyDescent="0.25">
      <c r="A28" t="s">
        <v>2527</v>
      </c>
      <c r="B28" t="s">
        <v>2527</v>
      </c>
      <c r="C28" t="s">
        <v>2525</v>
      </c>
      <c r="D28" t="s">
        <v>2526</v>
      </c>
      <c r="E28" t="s">
        <v>379</v>
      </c>
      <c r="F28">
        <v>1</v>
      </c>
      <c r="G28">
        <v>0</v>
      </c>
      <c r="H28" t="s">
        <v>3713</v>
      </c>
      <c r="I28">
        <v>0</v>
      </c>
      <c r="J28">
        <v>1</v>
      </c>
      <c r="K28">
        <v>1</v>
      </c>
      <c r="L28">
        <v>1</v>
      </c>
      <c r="M28">
        <v>1</v>
      </c>
    </row>
    <row r="29" spans="1:13" x14ac:dyDescent="0.25">
      <c r="A29" t="s">
        <v>2530</v>
      </c>
      <c r="B29" t="s">
        <v>2530</v>
      </c>
      <c r="C29" t="s">
        <v>2528</v>
      </c>
      <c r="D29" t="s">
        <v>2529</v>
      </c>
      <c r="E29" t="s">
        <v>384</v>
      </c>
      <c r="F29">
        <v>2</v>
      </c>
      <c r="G29">
        <v>0</v>
      </c>
      <c r="H29" t="s">
        <v>3709</v>
      </c>
      <c r="I29">
        <v>0</v>
      </c>
      <c r="J29">
        <v>1</v>
      </c>
      <c r="K29">
        <v>1</v>
      </c>
      <c r="L29">
        <v>1</v>
      </c>
      <c r="M29">
        <v>0</v>
      </c>
    </row>
    <row r="30" spans="1:13" x14ac:dyDescent="0.25">
      <c r="A30" t="s">
        <v>2533</v>
      </c>
      <c r="B30" t="s">
        <v>2533</v>
      </c>
      <c r="C30" t="s">
        <v>2531</v>
      </c>
      <c r="D30" t="s">
        <v>2532</v>
      </c>
      <c r="E30" t="s">
        <v>385</v>
      </c>
      <c r="F30">
        <v>1</v>
      </c>
      <c r="G30">
        <v>0</v>
      </c>
      <c r="H30" t="s">
        <v>3713</v>
      </c>
      <c r="I30">
        <v>1</v>
      </c>
      <c r="J30">
        <v>1</v>
      </c>
      <c r="K30">
        <v>1</v>
      </c>
      <c r="L30">
        <v>1</v>
      </c>
      <c r="M30">
        <v>1</v>
      </c>
    </row>
    <row r="31" spans="1:13" x14ac:dyDescent="0.25">
      <c r="A31" t="s">
        <v>2537</v>
      </c>
      <c r="B31" t="s">
        <v>2537</v>
      </c>
      <c r="C31" t="s">
        <v>2535</v>
      </c>
      <c r="D31" t="s">
        <v>2536</v>
      </c>
      <c r="E31" t="s">
        <v>385</v>
      </c>
      <c r="F31">
        <v>1</v>
      </c>
      <c r="G31">
        <v>1</v>
      </c>
      <c r="H31" t="s">
        <v>3714</v>
      </c>
      <c r="I31">
        <v>1</v>
      </c>
      <c r="J31">
        <v>1</v>
      </c>
      <c r="K31">
        <v>1</v>
      </c>
      <c r="L31">
        <v>1</v>
      </c>
      <c r="M31">
        <v>1</v>
      </c>
    </row>
    <row r="32" spans="1:13" x14ac:dyDescent="0.25">
      <c r="A32" t="s">
        <v>2540</v>
      </c>
      <c r="B32" t="s">
        <v>2540</v>
      </c>
      <c r="C32" t="s">
        <v>2538</v>
      </c>
      <c r="D32" t="s">
        <v>2539</v>
      </c>
      <c r="E32" t="s">
        <v>379</v>
      </c>
      <c r="F32">
        <v>1</v>
      </c>
      <c r="G32">
        <v>0</v>
      </c>
      <c r="H32" t="s">
        <v>3713</v>
      </c>
      <c r="I32">
        <v>1</v>
      </c>
      <c r="J32">
        <v>1</v>
      </c>
      <c r="K32">
        <v>1</v>
      </c>
      <c r="L32">
        <v>1</v>
      </c>
      <c r="M32">
        <v>1</v>
      </c>
    </row>
    <row r="33" spans="1:13" x14ac:dyDescent="0.25">
      <c r="A33" t="s">
        <v>2543</v>
      </c>
      <c r="B33" t="s">
        <v>2543</v>
      </c>
      <c r="C33" t="s">
        <v>2541</v>
      </c>
      <c r="D33" t="s">
        <v>2542</v>
      </c>
      <c r="E33" t="s">
        <v>384</v>
      </c>
      <c r="F33">
        <v>2</v>
      </c>
      <c r="G33">
        <v>1</v>
      </c>
      <c r="H33" t="s">
        <v>3710</v>
      </c>
      <c r="I33">
        <v>0</v>
      </c>
      <c r="J33">
        <v>1</v>
      </c>
      <c r="K33">
        <v>1</v>
      </c>
      <c r="L33">
        <v>1</v>
      </c>
      <c r="M33">
        <v>0</v>
      </c>
    </row>
    <row r="34" spans="1:13" x14ac:dyDescent="0.25">
      <c r="A34" t="s">
        <v>2546</v>
      </c>
      <c r="B34" t="s">
        <v>2546</v>
      </c>
      <c r="C34" t="s">
        <v>2544</v>
      </c>
      <c r="D34" t="s">
        <v>2545</v>
      </c>
      <c r="E34" t="s">
        <v>384</v>
      </c>
      <c r="F34">
        <v>2</v>
      </c>
      <c r="G34">
        <v>0</v>
      </c>
      <c r="H34" t="s">
        <v>3709</v>
      </c>
      <c r="I34">
        <v>0</v>
      </c>
      <c r="J34">
        <v>1</v>
      </c>
      <c r="K34">
        <v>1</v>
      </c>
      <c r="L34">
        <v>1</v>
      </c>
      <c r="M34">
        <v>0</v>
      </c>
    </row>
    <row r="35" spans="1:13" x14ac:dyDescent="0.25">
      <c r="A35" t="s">
        <v>2549</v>
      </c>
      <c r="B35" t="s">
        <v>2549</v>
      </c>
      <c r="C35" t="s">
        <v>2547</v>
      </c>
      <c r="D35" t="s">
        <v>2548</v>
      </c>
      <c r="E35" t="s">
        <v>380</v>
      </c>
      <c r="F35">
        <v>1</v>
      </c>
      <c r="G35">
        <v>0</v>
      </c>
      <c r="H35" t="s">
        <v>3713</v>
      </c>
      <c r="I35">
        <v>1</v>
      </c>
      <c r="J35">
        <v>1</v>
      </c>
      <c r="K35">
        <v>1</v>
      </c>
      <c r="L35">
        <v>1</v>
      </c>
      <c r="M35">
        <v>1</v>
      </c>
    </row>
    <row r="36" spans="1:13" x14ac:dyDescent="0.25">
      <c r="A36" t="s">
        <v>2552</v>
      </c>
      <c r="B36" t="s">
        <v>2552</v>
      </c>
      <c r="C36" t="s">
        <v>2550</v>
      </c>
      <c r="D36" t="s">
        <v>2551</v>
      </c>
      <c r="E36" t="s">
        <v>384</v>
      </c>
      <c r="F36">
        <v>2</v>
      </c>
      <c r="G36">
        <v>1</v>
      </c>
      <c r="H36" t="s">
        <v>3710</v>
      </c>
      <c r="I36">
        <v>1</v>
      </c>
      <c r="J36">
        <v>1</v>
      </c>
      <c r="K36">
        <v>1</v>
      </c>
      <c r="L36">
        <v>1</v>
      </c>
      <c r="M36">
        <v>0</v>
      </c>
    </row>
    <row r="37" spans="1:13" x14ac:dyDescent="0.25">
      <c r="A37" t="s">
        <v>2555</v>
      </c>
      <c r="B37" t="s">
        <v>2555</v>
      </c>
      <c r="C37" t="s">
        <v>2553</v>
      </c>
      <c r="D37" t="s">
        <v>2554</v>
      </c>
      <c r="E37" t="s">
        <v>385</v>
      </c>
      <c r="F37">
        <v>1</v>
      </c>
      <c r="G37">
        <v>1</v>
      </c>
      <c r="H37" t="s">
        <v>3714</v>
      </c>
      <c r="I37">
        <v>1</v>
      </c>
      <c r="J37">
        <v>1</v>
      </c>
      <c r="K37">
        <v>1</v>
      </c>
      <c r="L37">
        <v>1</v>
      </c>
      <c r="M37">
        <v>1</v>
      </c>
    </row>
    <row r="38" spans="1:13" x14ac:dyDescent="0.25">
      <c r="A38" t="s">
        <v>2558</v>
      </c>
      <c r="B38" t="s">
        <v>2558</v>
      </c>
      <c r="C38" t="s">
        <v>2556</v>
      </c>
      <c r="D38" t="s">
        <v>2557</v>
      </c>
      <c r="E38" t="s">
        <v>385</v>
      </c>
      <c r="F38">
        <v>1</v>
      </c>
      <c r="G38">
        <v>0</v>
      </c>
      <c r="H38" t="s">
        <v>3713</v>
      </c>
      <c r="I38">
        <v>1</v>
      </c>
      <c r="J38">
        <v>1</v>
      </c>
      <c r="K38">
        <v>1</v>
      </c>
      <c r="L38">
        <v>1</v>
      </c>
      <c r="M38">
        <v>1</v>
      </c>
    </row>
    <row r="39" spans="1:13" x14ac:dyDescent="0.25">
      <c r="A39" t="s">
        <v>2561</v>
      </c>
      <c r="B39" t="s">
        <v>2561</v>
      </c>
      <c r="C39" t="s">
        <v>2559</v>
      </c>
      <c r="D39" t="s">
        <v>2560</v>
      </c>
      <c r="E39" t="s">
        <v>384</v>
      </c>
      <c r="F39">
        <v>2</v>
      </c>
      <c r="G39">
        <v>0</v>
      </c>
      <c r="H39" t="s">
        <v>3709</v>
      </c>
      <c r="I39">
        <v>1</v>
      </c>
      <c r="J39">
        <v>1</v>
      </c>
      <c r="K39">
        <v>1</v>
      </c>
      <c r="L39">
        <v>1</v>
      </c>
      <c r="M39">
        <v>0</v>
      </c>
    </row>
    <row r="40" spans="1:13" x14ac:dyDescent="0.25">
      <c r="A40" t="s">
        <v>2564</v>
      </c>
      <c r="B40" t="s">
        <v>2564</v>
      </c>
      <c r="C40" t="s">
        <v>2562</v>
      </c>
      <c r="D40" t="s">
        <v>2563</v>
      </c>
      <c r="E40" t="s">
        <v>380</v>
      </c>
      <c r="F40">
        <v>1</v>
      </c>
      <c r="G40">
        <v>0</v>
      </c>
      <c r="H40" t="s">
        <v>3713</v>
      </c>
      <c r="I40">
        <v>1</v>
      </c>
      <c r="J40">
        <v>1</v>
      </c>
      <c r="K40">
        <v>1</v>
      </c>
      <c r="L40">
        <v>1</v>
      </c>
      <c r="M40">
        <v>1</v>
      </c>
    </row>
    <row r="41" spans="1:13" x14ac:dyDescent="0.25">
      <c r="A41" t="s">
        <v>2567</v>
      </c>
      <c r="B41" t="s">
        <v>2567</v>
      </c>
      <c r="C41" t="s">
        <v>2565</v>
      </c>
      <c r="D41" t="s">
        <v>2566</v>
      </c>
      <c r="E41" t="s">
        <v>384</v>
      </c>
      <c r="F41">
        <v>2</v>
      </c>
      <c r="G41">
        <v>0</v>
      </c>
      <c r="H41" t="s">
        <v>3709</v>
      </c>
      <c r="I41">
        <v>0</v>
      </c>
      <c r="J41">
        <v>1</v>
      </c>
      <c r="K41">
        <v>1</v>
      </c>
      <c r="L41">
        <v>1</v>
      </c>
      <c r="M41">
        <v>0</v>
      </c>
    </row>
    <row r="42" spans="1:13" x14ac:dyDescent="0.25">
      <c r="A42" t="s">
        <v>2570</v>
      </c>
      <c r="B42" t="s">
        <v>2570</v>
      </c>
      <c r="C42" t="s">
        <v>2568</v>
      </c>
      <c r="D42" t="s">
        <v>2569</v>
      </c>
      <c r="E42" t="s">
        <v>384</v>
      </c>
      <c r="F42">
        <v>2</v>
      </c>
      <c r="G42">
        <v>0</v>
      </c>
      <c r="H42" t="s">
        <v>3709</v>
      </c>
      <c r="I42">
        <v>0</v>
      </c>
      <c r="J42">
        <v>1</v>
      </c>
      <c r="K42">
        <v>1</v>
      </c>
      <c r="L42">
        <v>1</v>
      </c>
      <c r="M42">
        <v>0</v>
      </c>
    </row>
    <row r="43" spans="1:13" x14ac:dyDescent="0.25">
      <c r="A43" t="s">
        <v>2573</v>
      </c>
      <c r="B43" t="s">
        <v>2573</v>
      </c>
      <c r="C43" t="s">
        <v>2571</v>
      </c>
      <c r="D43" t="s">
        <v>2572</v>
      </c>
      <c r="E43" t="s">
        <v>384</v>
      </c>
      <c r="F43">
        <v>2</v>
      </c>
      <c r="G43">
        <v>0</v>
      </c>
      <c r="H43" t="s">
        <v>3709</v>
      </c>
      <c r="I43">
        <v>0</v>
      </c>
      <c r="J43">
        <v>1</v>
      </c>
      <c r="K43">
        <v>1</v>
      </c>
      <c r="L43">
        <v>1</v>
      </c>
      <c r="M43">
        <v>0</v>
      </c>
    </row>
    <row r="44" spans="1:13" x14ac:dyDescent="0.25">
      <c r="A44" t="s">
        <v>3717</v>
      </c>
      <c r="B44" t="s">
        <v>3717</v>
      </c>
      <c r="C44" t="s">
        <v>2577</v>
      </c>
      <c r="D44" t="s">
        <v>2578</v>
      </c>
      <c r="E44" t="s">
        <v>385</v>
      </c>
      <c r="F44">
        <v>1</v>
      </c>
      <c r="G44">
        <v>0</v>
      </c>
      <c r="H44" t="s">
        <v>3713</v>
      </c>
      <c r="I44">
        <v>1</v>
      </c>
      <c r="J44">
        <v>1</v>
      </c>
      <c r="K44">
        <v>1</v>
      </c>
      <c r="L44">
        <v>1</v>
      </c>
      <c r="M44">
        <v>1</v>
      </c>
    </row>
    <row r="45" spans="1:13" x14ac:dyDescent="0.25">
      <c r="A45" t="s">
        <v>3718</v>
      </c>
      <c r="B45" t="s">
        <v>3718</v>
      </c>
      <c r="C45" t="s">
        <v>2574</v>
      </c>
      <c r="D45" t="s">
        <v>2575</v>
      </c>
      <c r="E45" t="s">
        <v>373</v>
      </c>
      <c r="F45">
        <v>4</v>
      </c>
      <c r="G45">
        <v>0</v>
      </c>
      <c r="H45" t="s">
        <v>3712</v>
      </c>
      <c r="I45">
        <v>0</v>
      </c>
      <c r="J45">
        <v>0</v>
      </c>
      <c r="K45">
        <v>0</v>
      </c>
      <c r="L45">
        <v>0</v>
      </c>
      <c r="M45">
        <v>0</v>
      </c>
    </row>
    <row r="46" spans="1:13" x14ac:dyDescent="0.25">
      <c r="A46" t="s">
        <v>2582</v>
      </c>
      <c r="B46" t="s">
        <v>2582</v>
      </c>
      <c r="C46" t="s">
        <v>2580</v>
      </c>
      <c r="D46" t="s">
        <v>2581</v>
      </c>
      <c r="E46" t="s">
        <v>384</v>
      </c>
      <c r="F46">
        <v>2</v>
      </c>
      <c r="G46">
        <v>0</v>
      </c>
      <c r="H46" t="s">
        <v>3709</v>
      </c>
      <c r="I46">
        <v>0</v>
      </c>
      <c r="J46">
        <v>1</v>
      </c>
      <c r="K46">
        <v>1</v>
      </c>
      <c r="L46">
        <v>1</v>
      </c>
      <c r="M46">
        <v>0</v>
      </c>
    </row>
    <row r="47" spans="1:13" x14ac:dyDescent="0.25">
      <c r="A47" t="s">
        <v>2585</v>
      </c>
      <c r="B47" t="s">
        <v>2585</v>
      </c>
      <c r="C47" t="s">
        <v>2583</v>
      </c>
      <c r="D47" t="s">
        <v>2584</v>
      </c>
      <c r="E47" t="s">
        <v>379</v>
      </c>
      <c r="F47">
        <v>1</v>
      </c>
      <c r="G47">
        <v>0</v>
      </c>
      <c r="H47" t="s">
        <v>3713</v>
      </c>
      <c r="I47">
        <v>0</v>
      </c>
      <c r="J47">
        <v>1</v>
      </c>
      <c r="K47">
        <v>1</v>
      </c>
      <c r="L47">
        <v>1</v>
      </c>
      <c r="M47">
        <v>1</v>
      </c>
    </row>
    <row r="48" spans="1:13" x14ac:dyDescent="0.25">
      <c r="A48" t="s">
        <v>2588</v>
      </c>
      <c r="B48" t="s">
        <v>2588</v>
      </c>
      <c r="C48" t="s">
        <v>2586</v>
      </c>
      <c r="D48" t="s">
        <v>2587</v>
      </c>
      <c r="E48" t="s">
        <v>379</v>
      </c>
      <c r="F48">
        <v>1</v>
      </c>
      <c r="G48">
        <v>0</v>
      </c>
      <c r="H48" t="s">
        <v>3713</v>
      </c>
      <c r="I48">
        <v>0</v>
      </c>
      <c r="J48">
        <v>1</v>
      </c>
      <c r="K48">
        <v>1</v>
      </c>
      <c r="L48">
        <v>1</v>
      </c>
      <c r="M48">
        <v>1</v>
      </c>
    </row>
    <row r="49" spans="1:13" x14ac:dyDescent="0.25">
      <c r="A49" t="s">
        <v>2591</v>
      </c>
      <c r="B49" t="s">
        <v>2591</v>
      </c>
      <c r="C49" t="s">
        <v>2589</v>
      </c>
      <c r="D49" t="s">
        <v>2590</v>
      </c>
      <c r="E49" t="s">
        <v>384</v>
      </c>
      <c r="F49">
        <v>2</v>
      </c>
      <c r="G49">
        <v>0</v>
      </c>
      <c r="H49" t="s">
        <v>3709</v>
      </c>
      <c r="I49">
        <v>0</v>
      </c>
      <c r="J49">
        <v>1</v>
      </c>
      <c r="K49">
        <v>1</v>
      </c>
      <c r="L49">
        <v>1</v>
      </c>
      <c r="M49">
        <v>0</v>
      </c>
    </row>
    <row r="50" spans="1:13" x14ac:dyDescent="0.25">
      <c r="A50" t="s">
        <v>2594</v>
      </c>
      <c r="B50" t="s">
        <v>2594</v>
      </c>
      <c r="C50" t="s">
        <v>2592</v>
      </c>
      <c r="D50" t="s">
        <v>2593</v>
      </c>
      <c r="E50" t="s">
        <v>372</v>
      </c>
      <c r="F50">
        <v>1</v>
      </c>
      <c r="G50">
        <v>0</v>
      </c>
      <c r="H50" t="s">
        <v>3713</v>
      </c>
      <c r="I50">
        <v>0</v>
      </c>
      <c r="J50">
        <v>0</v>
      </c>
      <c r="K50">
        <v>0</v>
      </c>
      <c r="L50">
        <v>0</v>
      </c>
      <c r="M50">
        <v>1</v>
      </c>
    </row>
    <row r="51" spans="1:13" x14ac:dyDescent="0.25">
      <c r="A51" t="s">
        <v>2598</v>
      </c>
      <c r="B51" t="s">
        <v>2598</v>
      </c>
      <c r="C51" t="s">
        <v>2596</v>
      </c>
      <c r="D51" t="s">
        <v>2597</v>
      </c>
      <c r="E51" t="s">
        <v>382</v>
      </c>
      <c r="F51">
        <v>5</v>
      </c>
      <c r="G51">
        <v>0</v>
      </c>
      <c r="H51" t="s">
        <v>3719</v>
      </c>
      <c r="I51">
        <v>0</v>
      </c>
      <c r="J51">
        <v>0</v>
      </c>
      <c r="K51">
        <v>0</v>
      </c>
      <c r="L51">
        <v>0</v>
      </c>
      <c r="M51">
        <v>0</v>
      </c>
    </row>
    <row r="52" spans="1:13" x14ac:dyDescent="0.25">
      <c r="A52" t="s">
        <v>3720</v>
      </c>
      <c r="B52" t="s">
        <v>3720</v>
      </c>
      <c r="C52" t="s">
        <v>2599</v>
      </c>
      <c r="D52" t="s">
        <v>2600</v>
      </c>
      <c r="E52" t="s">
        <v>373</v>
      </c>
      <c r="F52">
        <v>4</v>
      </c>
      <c r="G52">
        <v>1</v>
      </c>
      <c r="H52" t="s">
        <v>3711</v>
      </c>
      <c r="I52">
        <v>0</v>
      </c>
      <c r="J52">
        <v>0</v>
      </c>
      <c r="K52">
        <v>0</v>
      </c>
      <c r="L52">
        <v>0</v>
      </c>
      <c r="M52">
        <v>0</v>
      </c>
    </row>
    <row r="53" spans="1:13" x14ac:dyDescent="0.25">
      <c r="A53" t="s">
        <v>2604</v>
      </c>
      <c r="B53" t="s">
        <v>2604</v>
      </c>
      <c r="C53" t="s">
        <v>2602</v>
      </c>
      <c r="D53" t="s">
        <v>2603</v>
      </c>
      <c r="E53" t="s">
        <v>375</v>
      </c>
      <c r="F53">
        <v>4</v>
      </c>
      <c r="G53">
        <v>1</v>
      </c>
      <c r="H53" t="s">
        <v>3711</v>
      </c>
      <c r="I53">
        <v>0</v>
      </c>
      <c r="J53">
        <v>0</v>
      </c>
      <c r="K53">
        <v>0</v>
      </c>
      <c r="L53">
        <v>0</v>
      </c>
      <c r="M53">
        <v>0</v>
      </c>
    </row>
    <row r="54" spans="1:13" x14ac:dyDescent="0.25">
      <c r="A54" t="s">
        <v>2607</v>
      </c>
      <c r="B54" t="s">
        <v>2607</v>
      </c>
      <c r="C54" t="s">
        <v>2605</v>
      </c>
      <c r="D54" t="s">
        <v>2606</v>
      </c>
      <c r="E54" t="s">
        <v>378</v>
      </c>
      <c r="F54">
        <v>1</v>
      </c>
      <c r="G54">
        <v>0</v>
      </c>
      <c r="H54" t="s">
        <v>3713</v>
      </c>
      <c r="I54">
        <v>1</v>
      </c>
      <c r="J54">
        <v>1</v>
      </c>
      <c r="K54">
        <v>1</v>
      </c>
      <c r="L54">
        <v>1</v>
      </c>
      <c r="M54">
        <v>1</v>
      </c>
    </row>
    <row r="55" spans="1:13" x14ac:dyDescent="0.25">
      <c r="A55" t="s">
        <v>2610</v>
      </c>
      <c r="B55" t="s">
        <v>2610</v>
      </c>
      <c r="C55" t="s">
        <v>2608</v>
      </c>
      <c r="D55" t="s">
        <v>2609</v>
      </c>
      <c r="E55" t="s">
        <v>384</v>
      </c>
      <c r="F55">
        <v>2</v>
      </c>
      <c r="G55">
        <v>0</v>
      </c>
      <c r="H55" t="s">
        <v>3709</v>
      </c>
      <c r="I55">
        <v>1</v>
      </c>
      <c r="J55">
        <v>1</v>
      </c>
      <c r="K55">
        <v>1</v>
      </c>
      <c r="L55">
        <v>1</v>
      </c>
      <c r="M55">
        <v>0</v>
      </c>
    </row>
    <row r="56" spans="1:13" x14ac:dyDescent="0.25">
      <c r="A56" t="s">
        <v>2614</v>
      </c>
      <c r="B56" t="s">
        <v>2614</v>
      </c>
      <c r="C56" t="s">
        <v>2612</v>
      </c>
      <c r="D56" t="s">
        <v>2613</v>
      </c>
      <c r="E56" t="s">
        <v>384</v>
      </c>
      <c r="F56">
        <v>2</v>
      </c>
      <c r="G56">
        <v>0</v>
      </c>
      <c r="H56" t="s">
        <v>3709</v>
      </c>
      <c r="I56">
        <v>1</v>
      </c>
      <c r="J56">
        <v>1</v>
      </c>
      <c r="K56">
        <v>1</v>
      </c>
      <c r="L56">
        <v>1</v>
      </c>
      <c r="M56">
        <v>0</v>
      </c>
    </row>
    <row r="57" spans="1:13" x14ac:dyDescent="0.25">
      <c r="A57" t="s">
        <v>2617</v>
      </c>
      <c r="B57" t="s">
        <v>2617</v>
      </c>
      <c r="C57" t="s">
        <v>2615</v>
      </c>
      <c r="D57" t="s">
        <v>2616</v>
      </c>
      <c r="E57" t="s">
        <v>384</v>
      </c>
      <c r="F57">
        <v>2</v>
      </c>
      <c r="G57">
        <v>1</v>
      </c>
      <c r="H57" t="s">
        <v>3710</v>
      </c>
      <c r="I57">
        <v>1</v>
      </c>
      <c r="J57">
        <v>1</v>
      </c>
      <c r="K57">
        <v>1</v>
      </c>
      <c r="L57">
        <v>1</v>
      </c>
      <c r="M57">
        <v>0</v>
      </c>
    </row>
    <row r="58" spans="1:13" x14ac:dyDescent="0.25">
      <c r="A58" t="s">
        <v>2620</v>
      </c>
      <c r="B58" t="s">
        <v>2620</v>
      </c>
      <c r="C58" t="s">
        <v>2618</v>
      </c>
      <c r="D58" t="s">
        <v>2619</v>
      </c>
      <c r="E58" t="s">
        <v>385</v>
      </c>
      <c r="F58">
        <v>1</v>
      </c>
      <c r="G58">
        <v>0</v>
      </c>
      <c r="H58" t="s">
        <v>3713</v>
      </c>
      <c r="I58">
        <v>0</v>
      </c>
      <c r="J58">
        <v>1</v>
      </c>
      <c r="K58">
        <v>1</v>
      </c>
      <c r="L58">
        <v>1</v>
      </c>
      <c r="M58">
        <v>1</v>
      </c>
    </row>
    <row r="59" spans="1:13" x14ac:dyDescent="0.25">
      <c r="A59" t="s">
        <v>2623</v>
      </c>
      <c r="B59" t="s">
        <v>2623</v>
      </c>
      <c r="C59" t="s">
        <v>2621</v>
      </c>
      <c r="D59" t="s">
        <v>2622</v>
      </c>
      <c r="E59" t="s">
        <v>384</v>
      </c>
      <c r="F59">
        <v>2</v>
      </c>
      <c r="G59">
        <v>0</v>
      </c>
      <c r="H59" t="s">
        <v>3709</v>
      </c>
      <c r="I59">
        <v>0</v>
      </c>
      <c r="J59">
        <v>1</v>
      </c>
      <c r="K59">
        <v>1</v>
      </c>
      <c r="L59">
        <v>1</v>
      </c>
      <c r="M59">
        <v>0</v>
      </c>
    </row>
    <row r="60" spans="1:13" x14ac:dyDescent="0.25">
      <c r="A60" t="s">
        <v>2626</v>
      </c>
      <c r="B60" t="s">
        <v>2626</v>
      </c>
      <c r="C60" t="s">
        <v>2624</v>
      </c>
      <c r="D60" t="s">
        <v>2625</v>
      </c>
      <c r="E60" t="s">
        <v>384</v>
      </c>
      <c r="F60">
        <v>2</v>
      </c>
      <c r="G60">
        <v>0</v>
      </c>
      <c r="H60" t="s">
        <v>3709</v>
      </c>
      <c r="I60">
        <v>1</v>
      </c>
      <c r="J60">
        <v>1</v>
      </c>
      <c r="K60">
        <v>1</v>
      </c>
      <c r="L60">
        <v>1</v>
      </c>
      <c r="M60">
        <v>0</v>
      </c>
    </row>
    <row r="61" spans="1:13" x14ac:dyDescent="0.25">
      <c r="A61" t="s">
        <v>2629</v>
      </c>
      <c r="B61" t="s">
        <v>2629</v>
      </c>
      <c r="C61" t="s">
        <v>2627</v>
      </c>
      <c r="D61" t="s">
        <v>2628</v>
      </c>
      <c r="E61" t="s">
        <v>384</v>
      </c>
      <c r="F61">
        <v>2</v>
      </c>
      <c r="G61">
        <v>0</v>
      </c>
      <c r="H61" t="s">
        <v>3709</v>
      </c>
      <c r="I61">
        <v>1</v>
      </c>
      <c r="J61">
        <v>1</v>
      </c>
      <c r="K61">
        <v>1</v>
      </c>
      <c r="L61">
        <v>1</v>
      </c>
      <c r="M61">
        <v>0</v>
      </c>
    </row>
    <row r="62" spans="1:13" x14ac:dyDescent="0.25">
      <c r="A62" t="s">
        <v>2632</v>
      </c>
      <c r="B62" t="s">
        <v>2632</v>
      </c>
      <c r="C62" t="s">
        <v>2630</v>
      </c>
      <c r="D62" t="s">
        <v>2631</v>
      </c>
      <c r="E62" t="s">
        <v>384</v>
      </c>
      <c r="F62">
        <v>2</v>
      </c>
      <c r="G62">
        <v>0</v>
      </c>
      <c r="H62" t="s">
        <v>3709</v>
      </c>
      <c r="I62">
        <v>0</v>
      </c>
      <c r="J62">
        <v>1</v>
      </c>
      <c r="K62">
        <v>1</v>
      </c>
      <c r="L62">
        <v>1</v>
      </c>
      <c r="M62">
        <v>0</v>
      </c>
    </row>
    <row r="63" spans="1:13" x14ac:dyDescent="0.25">
      <c r="A63" t="s">
        <v>3721</v>
      </c>
      <c r="B63" t="s">
        <v>3721</v>
      </c>
      <c r="C63" t="s">
        <v>2633</v>
      </c>
      <c r="D63" t="s">
        <v>2634</v>
      </c>
      <c r="E63" t="s">
        <v>373</v>
      </c>
      <c r="F63">
        <v>4</v>
      </c>
      <c r="G63">
        <v>0</v>
      </c>
      <c r="H63" t="s">
        <v>3712</v>
      </c>
      <c r="I63">
        <v>0</v>
      </c>
      <c r="J63">
        <v>0</v>
      </c>
      <c r="K63">
        <v>0</v>
      </c>
      <c r="L63">
        <v>0</v>
      </c>
      <c r="M63">
        <v>0</v>
      </c>
    </row>
    <row r="64" spans="1:13" x14ac:dyDescent="0.25">
      <c r="A64" t="s">
        <v>2638</v>
      </c>
      <c r="B64" t="s">
        <v>2638</v>
      </c>
      <c r="C64" t="s">
        <v>2636</v>
      </c>
      <c r="D64" t="s">
        <v>2637</v>
      </c>
      <c r="E64" t="s">
        <v>385</v>
      </c>
      <c r="F64">
        <v>1</v>
      </c>
      <c r="G64">
        <v>1</v>
      </c>
      <c r="H64" t="s">
        <v>3714</v>
      </c>
      <c r="I64">
        <v>1</v>
      </c>
      <c r="J64">
        <v>1</v>
      </c>
      <c r="K64">
        <v>1</v>
      </c>
      <c r="L64">
        <v>1</v>
      </c>
      <c r="M64">
        <v>1</v>
      </c>
    </row>
    <row r="65" spans="1:13" x14ac:dyDescent="0.25">
      <c r="A65" t="s">
        <v>2641</v>
      </c>
      <c r="B65" t="s">
        <v>2641</v>
      </c>
      <c r="C65" t="s">
        <v>2639</v>
      </c>
      <c r="D65" t="s">
        <v>2640</v>
      </c>
      <c r="E65" t="s">
        <v>375</v>
      </c>
      <c r="F65">
        <v>4</v>
      </c>
      <c r="G65">
        <v>0</v>
      </c>
      <c r="H65" t="s">
        <v>3712</v>
      </c>
      <c r="I65">
        <v>0</v>
      </c>
      <c r="J65">
        <v>0</v>
      </c>
      <c r="K65">
        <v>0</v>
      </c>
      <c r="L65">
        <v>0</v>
      </c>
      <c r="M65">
        <v>0</v>
      </c>
    </row>
    <row r="66" spans="1:13" x14ac:dyDescent="0.25">
      <c r="A66" t="s">
        <v>2644</v>
      </c>
      <c r="B66" t="s">
        <v>2644</v>
      </c>
      <c r="C66" t="s">
        <v>2642</v>
      </c>
      <c r="D66" t="s">
        <v>2643</v>
      </c>
      <c r="E66" t="s">
        <v>385</v>
      </c>
      <c r="F66">
        <v>1</v>
      </c>
      <c r="G66">
        <v>0</v>
      </c>
      <c r="H66" t="s">
        <v>3713</v>
      </c>
      <c r="I66">
        <v>1</v>
      </c>
      <c r="J66">
        <v>1</v>
      </c>
      <c r="K66">
        <v>1</v>
      </c>
      <c r="L66">
        <v>1</v>
      </c>
      <c r="M66">
        <v>1</v>
      </c>
    </row>
    <row r="67" spans="1:13" x14ac:dyDescent="0.25">
      <c r="A67" t="s">
        <v>2647</v>
      </c>
      <c r="B67" t="s">
        <v>2647</v>
      </c>
      <c r="C67" t="s">
        <v>2645</v>
      </c>
      <c r="D67" t="s">
        <v>2646</v>
      </c>
      <c r="E67" t="s">
        <v>384</v>
      </c>
      <c r="F67">
        <v>2</v>
      </c>
      <c r="G67">
        <v>0</v>
      </c>
      <c r="H67" t="s">
        <v>3709</v>
      </c>
      <c r="I67">
        <v>1</v>
      </c>
      <c r="J67">
        <v>1</v>
      </c>
      <c r="K67">
        <v>1</v>
      </c>
      <c r="L67">
        <v>1</v>
      </c>
      <c r="M67">
        <v>0</v>
      </c>
    </row>
    <row r="68" spans="1:13" x14ac:dyDescent="0.25">
      <c r="A68" t="s">
        <v>2650</v>
      </c>
      <c r="B68" t="s">
        <v>2650</v>
      </c>
      <c r="C68" t="s">
        <v>2648</v>
      </c>
      <c r="D68" t="s">
        <v>2649</v>
      </c>
      <c r="E68" t="s">
        <v>384</v>
      </c>
      <c r="F68">
        <v>2</v>
      </c>
      <c r="G68">
        <v>0</v>
      </c>
      <c r="H68" t="s">
        <v>3709</v>
      </c>
      <c r="I68">
        <v>1</v>
      </c>
      <c r="J68">
        <v>1</v>
      </c>
      <c r="K68">
        <v>1</v>
      </c>
      <c r="L68">
        <v>1</v>
      </c>
      <c r="M68">
        <v>0</v>
      </c>
    </row>
    <row r="69" spans="1:13" x14ac:dyDescent="0.25">
      <c r="A69" t="s">
        <v>2653</v>
      </c>
      <c r="B69" t="s">
        <v>2653</v>
      </c>
      <c r="C69" t="s">
        <v>2651</v>
      </c>
      <c r="D69" t="s">
        <v>2652</v>
      </c>
      <c r="E69" t="s">
        <v>384</v>
      </c>
      <c r="F69">
        <v>2</v>
      </c>
      <c r="G69">
        <v>1</v>
      </c>
      <c r="H69" t="s">
        <v>3710</v>
      </c>
      <c r="I69">
        <v>1</v>
      </c>
      <c r="J69">
        <v>1</v>
      </c>
      <c r="K69">
        <v>1</v>
      </c>
      <c r="L69">
        <v>1</v>
      </c>
      <c r="M69">
        <v>0</v>
      </c>
    </row>
    <row r="70" spans="1:13" x14ac:dyDescent="0.25">
      <c r="A70" t="s">
        <v>2656</v>
      </c>
      <c r="B70" t="s">
        <v>2656</v>
      </c>
      <c r="C70" t="s">
        <v>2654</v>
      </c>
      <c r="D70" t="s">
        <v>2655</v>
      </c>
      <c r="E70" t="s">
        <v>374</v>
      </c>
      <c r="F70">
        <v>1</v>
      </c>
      <c r="G70">
        <v>0</v>
      </c>
      <c r="H70" t="s">
        <v>3713</v>
      </c>
      <c r="I70">
        <v>1</v>
      </c>
      <c r="J70">
        <v>1</v>
      </c>
      <c r="K70">
        <v>1</v>
      </c>
      <c r="L70">
        <v>1</v>
      </c>
      <c r="M70">
        <v>0</v>
      </c>
    </row>
    <row r="71" spans="1:13" x14ac:dyDescent="0.25">
      <c r="A71" t="s">
        <v>3722</v>
      </c>
      <c r="B71" t="s">
        <v>3722</v>
      </c>
      <c r="C71" t="s">
        <v>2657</v>
      </c>
      <c r="D71" t="s">
        <v>2658</v>
      </c>
      <c r="E71" t="s">
        <v>373</v>
      </c>
      <c r="F71">
        <v>4</v>
      </c>
      <c r="G71">
        <v>1</v>
      </c>
      <c r="H71" t="s">
        <v>3711</v>
      </c>
      <c r="I71">
        <v>0</v>
      </c>
      <c r="J71">
        <v>0</v>
      </c>
      <c r="K71">
        <v>0</v>
      </c>
      <c r="L71">
        <v>0</v>
      </c>
      <c r="M71">
        <v>0</v>
      </c>
    </row>
    <row r="72" spans="1:13" x14ac:dyDescent="0.25">
      <c r="A72" t="s">
        <v>2662</v>
      </c>
      <c r="B72" t="s">
        <v>2662</v>
      </c>
      <c r="C72" t="s">
        <v>2660</v>
      </c>
      <c r="D72" t="s">
        <v>2661</v>
      </c>
      <c r="E72" t="s">
        <v>375</v>
      </c>
      <c r="F72">
        <v>4</v>
      </c>
      <c r="G72">
        <v>0</v>
      </c>
      <c r="H72" t="s">
        <v>3712</v>
      </c>
      <c r="I72">
        <v>0</v>
      </c>
      <c r="J72">
        <v>0</v>
      </c>
      <c r="K72">
        <v>0</v>
      </c>
      <c r="L72">
        <v>0</v>
      </c>
      <c r="M72">
        <v>0</v>
      </c>
    </row>
    <row r="73" spans="1:13" x14ac:dyDescent="0.25">
      <c r="A73" t="s">
        <v>2665</v>
      </c>
      <c r="B73" t="s">
        <v>2665</v>
      </c>
      <c r="C73" t="s">
        <v>2663</v>
      </c>
      <c r="D73" t="s">
        <v>2664</v>
      </c>
      <c r="E73" t="s">
        <v>384</v>
      </c>
      <c r="F73">
        <v>2</v>
      </c>
      <c r="G73">
        <v>0</v>
      </c>
      <c r="H73" t="s">
        <v>3709</v>
      </c>
      <c r="I73">
        <v>0</v>
      </c>
      <c r="J73">
        <v>1</v>
      </c>
      <c r="K73">
        <v>1</v>
      </c>
      <c r="L73">
        <v>1</v>
      </c>
      <c r="M73">
        <v>0</v>
      </c>
    </row>
    <row r="74" spans="1:13" x14ac:dyDescent="0.25">
      <c r="A74" t="s">
        <v>2668</v>
      </c>
      <c r="B74" t="s">
        <v>2668</v>
      </c>
      <c r="C74" t="s">
        <v>2666</v>
      </c>
      <c r="D74" t="s">
        <v>2667</v>
      </c>
      <c r="E74" t="s">
        <v>385</v>
      </c>
      <c r="F74">
        <v>1</v>
      </c>
      <c r="G74">
        <v>0</v>
      </c>
      <c r="H74" t="s">
        <v>3713</v>
      </c>
      <c r="I74">
        <v>1</v>
      </c>
      <c r="J74">
        <v>1</v>
      </c>
      <c r="K74">
        <v>1</v>
      </c>
      <c r="L74">
        <v>1</v>
      </c>
      <c r="M74">
        <v>1</v>
      </c>
    </row>
    <row r="75" spans="1:13" x14ac:dyDescent="0.25">
      <c r="A75" t="s">
        <v>2671</v>
      </c>
      <c r="B75" t="s">
        <v>2671</v>
      </c>
      <c r="C75" t="s">
        <v>2669</v>
      </c>
      <c r="D75" t="s">
        <v>2670</v>
      </c>
      <c r="E75" t="s">
        <v>384</v>
      </c>
      <c r="F75">
        <v>2</v>
      </c>
      <c r="G75">
        <v>1</v>
      </c>
      <c r="H75" t="s">
        <v>3710</v>
      </c>
      <c r="I75">
        <v>1</v>
      </c>
      <c r="J75">
        <v>1</v>
      </c>
      <c r="K75">
        <v>1</v>
      </c>
      <c r="L75">
        <v>1</v>
      </c>
      <c r="M75">
        <v>0</v>
      </c>
    </row>
    <row r="76" spans="1:13" x14ac:dyDescent="0.25">
      <c r="A76" t="s">
        <v>2674</v>
      </c>
      <c r="B76" t="s">
        <v>2674</v>
      </c>
      <c r="C76" t="s">
        <v>2672</v>
      </c>
      <c r="D76" t="s">
        <v>2673</v>
      </c>
      <c r="E76" t="s">
        <v>379</v>
      </c>
      <c r="F76">
        <v>1</v>
      </c>
      <c r="G76">
        <v>0</v>
      </c>
      <c r="H76" t="s">
        <v>3713</v>
      </c>
      <c r="I76">
        <v>0</v>
      </c>
      <c r="J76">
        <v>1</v>
      </c>
      <c r="K76">
        <v>1</v>
      </c>
      <c r="L76">
        <v>1</v>
      </c>
      <c r="M76">
        <v>1</v>
      </c>
    </row>
    <row r="77" spans="1:13" x14ac:dyDescent="0.25">
      <c r="A77" t="s">
        <v>2677</v>
      </c>
      <c r="B77" t="s">
        <v>2677</v>
      </c>
      <c r="C77" t="s">
        <v>2675</v>
      </c>
      <c r="D77" t="s">
        <v>2676</v>
      </c>
      <c r="E77" t="s">
        <v>384</v>
      </c>
      <c r="F77">
        <v>2</v>
      </c>
      <c r="G77">
        <v>0</v>
      </c>
      <c r="H77" t="s">
        <v>3709</v>
      </c>
      <c r="I77">
        <v>1</v>
      </c>
      <c r="J77">
        <v>1</v>
      </c>
      <c r="K77">
        <v>1</v>
      </c>
      <c r="L77">
        <v>1</v>
      </c>
      <c r="M77">
        <v>0</v>
      </c>
    </row>
    <row r="78" spans="1:13" x14ac:dyDescent="0.25">
      <c r="A78" t="s">
        <v>2680</v>
      </c>
      <c r="B78" t="s">
        <v>2680</v>
      </c>
      <c r="C78" t="s">
        <v>2678</v>
      </c>
      <c r="D78" t="s">
        <v>2679</v>
      </c>
      <c r="E78" t="s">
        <v>380</v>
      </c>
      <c r="F78">
        <v>1</v>
      </c>
      <c r="G78">
        <v>0</v>
      </c>
      <c r="H78" t="s">
        <v>3713</v>
      </c>
      <c r="I78">
        <v>1</v>
      </c>
      <c r="J78">
        <v>1</v>
      </c>
      <c r="K78">
        <v>1</v>
      </c>
      <c r="L78">
        <v>1</v>
      </c>
      <c r="M78">
        <v>1</v>
      </c>
    </row>
    <row r="79" spans="1:13" x14ac:dyDescent="0.25">
      <c r="A79" t="s">
        <v>3723</v>
      </c>
      <c r="B79" t="s">
        <v>3723</v>
      </c>
      <c r="C79" t="s">
        <v>2681</v>
      </c>
      <c r="D79" t="s">
        <v>2682</v>
      </c>
      <c r="E79" t="s">
        <v>385</v>
      </c>
      <c r="F79">
        <v>1</v>
      </c>
      <c r="G79">
        <v>0</v>
      </c>
      <c r="H79" t="s">
        <v>3713</v>
      </c>
      <c r="I79">
        <v>0</v>
      </c>
      <c r="J79">
        <v>1</v>
      </c>
      <c r="K79">
        <v>1</v>
      </c>
      <c r="L79">
        <v>1</v>
      </c>
      <c r="M79">
        <v>1</v>
      </c>
    </row>
    <row r="80" spans="1:13" x14ac:dyDescent="0.25">
      <c r="A80" t="s">
        <v>2689</v>
      </c>
      <c r="B80" t="s">
        <v>2689</v>
      </c>
      <c r="C80" t="s">
        <v>2687</v>
      </c>
      <c r="D80" t="s">
        <v>2688</v>
      </c>
      <c r="E80" t="s">
        <v>375</v>
      </c>
      <c r="F80">
        <v>4</v>
      </c>
      <c r="G80">
        <v>0</v>
      </c>
      <c r="H80" t="s">
        <v>3712</v>
      </c>
      <c r="I80">
        <v>0</v>
      </c>
      <c r="J80">
        <v>0</v>
      </c>
      <c r="K80">
        <v>0</v>
      </c>
      <c r="L80">
        <v>0</v>
      </c>
      <c r="M80">
        <v>0</v>
      </c>
    </row>
    <row r="81" spans="1:13" x14ac:dyDescent="0.25">
      <c r="A81" t="s">
        <v>2686</v>
      </c>
      <c r="B81" t="s">
        <v>2686</v>
      </c>
      <c r="C81" t="s">
        <v>2684</v>
      </c>
      <c r="D81" t="s">
        <v>2685</v>
      </c>
      <c r="E81" t="s">
        <v>373</v>
      </c>
      <c r="F81">
        <v>4</v>
      </c>
      <c r="G81">
        <v>0</v>
      </c>
      <c r="H81" t="s">
        <v>3712</v>
      </c>
      <c r="I81">
        <v>0</v>
      </c>
      <c r="J81">
        <v>0</v>
      </c>
      <c r="K81">
        <v>0</v>
      </c>
      <c r="L81">
        <v>0</v>
      </c>
      <c r="M81">
        <v>0</v>
      </c>
    </row>
    <row r="82" spans="1:13" x14ac:dyDescent="0.25">
      <c r="A82" t="s">
        <v>2692</v>
      </c>
      <c r="B82" t="s">
        <v>2692</v>
      </c>
      <c r="C82" t="s">
        <v>2690</v>
      </c>
      <c r="D82" t="s">
        <v>2691</v>
      </c>
      <c r="E82" t="s">
        <v>384</v>
      </c>
      <c r="F82">
        <v>2</v>
      </c>
      <c r="G82">
        <v>1</v>
      </c>
      <c r="H82" t="s">
        <v>3710</v>
      </c>
      <c r="I82">
        <v>1</v>
      </c>
      <c r="J82">
        <v>1</v>
      </c>
      <c r="K82">
        <v>1</v>
      </c>
      <c r="L82">
        <v>1</v>
      </c>
      <c r="M82">
        <v>0</v>
      </c>
    </row>
    <row r="83" spans="1:13" x14ac:dyDescent="0.25">
      <c r="A83" t="s">
        <v>2695</v>
      </c>
      <c r="B83" t="s">
        <v>2695</v>
      </c>
      <c r="C83" t="s">
        <v>2693</v>
      </c>
      <c r="D83" t="s">
        <v>2694</v>
      </c>
      <c r="E83" t="s">
        <v>385</v>
      </c>
      <c r="F83">
        <v>1</v>
      </c>
      <c r="G83">
        <v>0</v>
      </c>
      <c r="H83" t="s">
        <v>3713</v>
      </c>
      <c r="I83">
        <v>0</v>
      </c>
      <c r="J83">
        <v>1</v>
      </c>
      <c r="K83">
        <v>1</v>
      </c>
      <c r="L83">
        <v>1</v>
      </c>
      <c r="M83">
        <v>1</v>
      </c>
    </row>
    <row r="84" spans="1:13" x14ac:dyDescent="0.25">
      <c r="A84" t="s">
        <v>2698</v>
      </c>
      <c r="B84" t="s">
        <v>2698</v>
      </c>
      <c r="C84" t="s">
        <v>2696</v>
      </c>
      <c r="D84" t="s">
        <v>2697</v>
      </c>
      <c r="E84" t="s">
        <v>384</v>
      </c>
      <c r="F84">
        <v>2</v>
      </c>
      <c r="G84">
        <v>0</v>
      </c>
      <c r="H84" t="s">
        <v>3709</v>
      </c>
      <c r="I84">
        <v>1</v>
      </c>
      <c r="J84">
        <v>1</v>
      </c>
      <c r="K84">
        <v>1</v>
      </c>
      <c r="L84">
        <v>1</v>
      </c>
      <c r="M84">
        <v>0</v>
      </c>
    </row>
    <row r="85" spans="1:13" x14ac:dyDescent="0.25">
      <c r="A85" t="s">
        <v>2701</v>
      </c>
      <c r="B85" t="s">
        <v>2701</v>
      </c>
      <c r="C85" t="s">
        <v>2699</v>
      </c>
      <c r="D85" t="s">
        <v>2700</v>
      </c>
      <c r="E85" t="s">
        <v>381</v>
      </c>
      <c r="F85">
        <v>8</v>
      </c>
      <c r="G85">
        <v>0</v>
      </c>
      <c r="H85" t="s">
        <v>3724</v>
      </c>
      <c r="I85">
        <v>0</v>
      </c>
      <c r="J85">
        <v>0</v>
      </c>
      <c r="K85">
        <v>0</v>
      </c>
      <c r="L85">
        <v>0</v>
      </c>
      <c r="M85">
        <v>0</v>
      </c>
    </row>
    <row r="86" spans="1:13" x14ac:dyDescent="0.25">
      <c r="A86" t="s">
        <v>2704</v>
      </c>
      <c r="B86" t="s">
        <v>2704</v>
      </c>
      <c r="C86" t="s">
        <v>2702</v>
      </c>
      <c r="D86" t="s">
        <v>2703</v>
      </c>
      <c r="E86" t="s">
        <v>385</v>
      </c>
      <c r="F86">
        <v>1</v>
      </c>
      <c r="G86">
        <v>0</v>
      </c>
      <c r="H86" t="s">
        <v>3713</v>
      </c>
      <c r="I86">
        <v>0</v>
      </c>
      <c r="J86">
        <v>1</v>
      </c>
      <c r="K86">
        <v>1</v>
      </c>
      <c r="L86">
        <v>1</v>
      </c>
      <c r="M86">
        <v>1</v>
      </c>
    </row>
    <row r="87" spans="1:13" x14ac:dyDescent="0.25">
      <c r="A87" t="s">
        <v>2707</v>
      </c>
      <c r="B87" t="s">
        <v>2707</v>
      </c>
      <c r="C87" t="s">
        <v>2705</v>
      </c>
      <c r="D87" t="s">
        <v>2706</v>
      </c>
      <c r="E87" t="s">
        <v>372</v>
      </c>
      <c r="F87">
        <v>1</v>
      </c>
      <c r="G87">
        <v>0</v>
      </c>
      <c r="H87" t="s">
        <v>3713</v>
      </c>
      <c r="I87">
        <v>0</v>
      </c>
      <c r="J87">
        <v>0</v>
      </c>
      <c r="K87">
        <v>0</v>
      </c>
      <c r="L87">
        <v>0</v>
      </c>
      <c r="M87">
        <v>1</v>
      </c>
    </row>
    <row r="88" spans="1:13" x14ac:dyDescent="0.25">
      <c r="A88" t="s">
        <v>3725</v>
      </c>
      <c r="B88" t="s">
        <v>3725</v>
      </c>
      <c r="C88" t="s">
        <v>2708</v>
      </c>
      <c r="D88" t="s">
        <v>2709</v>
      </c>
      <c r="E88" t="s">
        <v>373</v>
      </c>
      <c r="F88">
        <v>4</v>
      </c>
      <c r="G88">
        <v>0</v>
      </c>
      <c r="H88" t="s">
        <v>3712</v>
      </c>
      <c r="I88">
        <v>0</v>
      </c>
      <c r="J88">
        <v>0</v>
      </c>
      <c r="K88">
        <v>0</v>
      </c>
      <c r="L88">
        <v>0</v>
      </c>
      <c r="M88">
        <v>0</v>
      </c>
    </row>
    <row r="89" spans="1:13" x14ac:dyDescent="0.25">
      <c r="A89" t="s">
        <v>2713</v>
      </c>
      <c r="B89" t="s">
        <v>2713</v>
      </c>
      <c r="C89" t="s">
        <v>2711</v>
      </c>
      <c r="D89" t="s">
        <v>2712</v>
      </c>
      <c r="E89" t="s">
        <v>384</v>
      </c>
      <c r="F89">
        <v>2</v>
      </c>
      <c r="G89">
        <v>1</v>
      </c>
      <c r="H89" t="s">
        <v>3710</v>
      </c>
      <c r="I89">
        <v>0</v>
      </c>
      <c r="J89">
        <v>1</v>
      </c>
      <c r="K89">
        <v>1</v>
      </c>
      <c r="L89">
        <v>1</v>
      </c>
      <c r="M89">
        <v>0</v>
      </c>
    </row>
    <row r="90" spans="1:13" x14ac:dyDescent="0.25">
      <c r="A90" t="s">
        <v>2716</v>
      </c>
      <c r="B90" t="s">
        <v>2716</v>
      </c>
      <c r="C90" t="s">
        <v>2714</v>
      </c>
      <c r="D90" t="s">
        <v>2715</v>
      </c>
      <c r="E90" t="s">
        <v>375</v>
      </c>
      <c r="F90">
        <v>4</v>
      </c>
      <c r="G90">
        <v>1</v>
      </c>
      <c r="H90" t="s">
        <v>3711</v>
      </c>
      <c r="I90">
        <v>0</v>
      </c>
      <c r="J90">
        <v>0</v>
      </c>
      <c r="K90">
        <v>0</v>
      </c>
      <c r="L90">
        <v>0</v>
      </c>
      <c r="M90">
        <v>0</v>
      </c>
    </row>
    <row r="91" spans="1:13" x14ac:dyDescent="0.25">
      <c r="A91" t="s">
        <v>2719</v>
      </c>
      <c r="B91" t="s">
        <v>2719</v>
      </c>
      <c r="C91" t="s">
        <v>2717</v>
      </c>
      <c r="D91" t="s">
        <v>2718</v>
      </c>
      <c r="E91" t="s">
        <v>372</v>
      </c>
      <c r="F91">
        <v>1</v>
      </c>
      <c r="G91">
        <v>0</v>
      </c>
      <c r="H91" t="s">
        <v>3713</v>
      </c>
      <c r="I91">
        <v>0</v>
      </c>
      <c r="J91">
        <v>0</v>
      </c>
      <c r="K91">
        <v>0</v>
      </c>
      <c r="L91">
        <v>0</v>
      </c>
      <c r="M91">
        <v>1</v>
      </c>
    </row>
    <row r="92" spans="1:13" x14ac:dyDescent="0.25">
      <c r="A92" t="s">
        <v>2722</v>
      </c>
      <c r="B92" t="s">
        <v>2722</v>
      </c>
      <c r="C92" t="s">
        <v>2720</v>
      </c>
      <c r="D92" t="s">
        <v>2721</v>
      </c>
      <c r="E92" t="s">
        <v>375</v>
      </c>
      <c r="F92">
        <v>4</v>
      </c>
      <c r="G92">
        <v>0</v>
      </c>
      <c r="H92" t="s">
        <v>3712</v>
      </c>
      <c r="I92">
        <v>0</v>
      </c>
      <c r="J92">
        <v>0</v>
      </c>
      <c r="K92">
        <v>0</v>
      </c>
      <c r="L92">
        <v>0</v>
      </c>
      <c r="M92">
        <v>0</v>
      </c>
    </row>
    <row r="93" spans="1:13" x14ac:dyDescent="0.25">
      <c r="A93" t="s">
        <v>3726</v>
      </c>
      <c r="B93" t="s">
        <v>3726</v>
      </c>
      <c r="C93" t="s">
        <v>2723</v>
      </c>
      <c r="D93" t="s">
        <v>2724</v>
      </c>
      <c r="E93" t="s">
        <v>373</v>
      </c>
      <c r="F93">
        <v>4</v>
      </c>
      <c r="G93">
        <v>0</v>
      </c>
      <c r="H93" t="s">
        <v>3712</v>
      </c>
      <c r="I93">
        <v>0</v>
      </c>
      <c r="J93">
        <v>0</v>
      </c>
      <c r="K93">
        <v>0</v>
      </c>
      <c r="L93">
        <v>0</v>
      </c>
      <c r="M93">
        <v>0</v>
      </c>
    </row>
    <row r="94" spans="1:13" x14ac:dyDescent="0.25">
      <c r="A94" t="s">
        <v>2728</v>
      </c>
      <c r="B94" t="s">
        <v>2728</v>
      </c>
      <c r="C94" t="s">
        <v>2726</v>
      </c>
      <c r="D94" t="s">
        <v>2727</v>
      </c>
      <c r="E94" t="s">
        <v>382</v>
      </c>
      <c r="F94">
        <v>5</v>
      </c>
      <c r="G94">
        <v>0</v>
      </c>
      <c r="H94" t="s">
        <v>3719</v>
      </c>
      <c r="I94">
        <v>0</v>
      </c>
      <c r="J94">
        <v>0</v>
      </c>
      <c r="K94">
        <v>0</v>
      </c>
      <c r="L94">
        <v>0</v>
      </c>
      <c r="M94">
        <v>0</v>
      </c>
    </row>
    <row r="95" spans="1:13" x14ac:dyDescent="0.25">
      <c r="A95" t="s">
        <v>2731</v>
      </c>
      <c r="B95" t="s">
        <v>2731</v>
      </c>
      <c r="C95" t="s">
        <v>2729</v>
      </c>
      <c r="D95" t="s">
        <v>2730</v>
      </c>
      <c r="E95" t="s">
        <v>379</v>
      </c>
      <c r="F95">
        <v>1</v>
      </c>
      <c r="G95">
        <v>0</v>
      </c>
      <c r="H95" t="s">
        <v>3713</v>
      </c>
      <c r="I95">
        <v>0</v>
      </c>
      <c r="J95">
        <v>1</v>
      </c>
      <c r="K95">
        <v>1</v>
      </c>
      <c r="L95">
        <v>1</v>
      </c>
      <c r="M95">
        <v>1</v>
      </c>
    </row>
    <row r="96" spans="1:13" x14ac:dyDescent="0.25">
      <c r="A96" t="s">
        <v>2740</v>
      </c>
      <c r="B96" t="s">
        <v>2740</v>
      </c>
      <c r="C96" t="s">
        <v>2738</v>
      </c>
      <c r="D96" t="s">
        <v>2739</v>
      </c>
      <c r="E96" t="s">
        <v>385</v>
      </c>
      <c r="F96">
        <v>1</v>
      </c>
      <c r="G96">
        <v>0</v>
      </c>
      <c r="H96" t="s">
        <v>3713</v>
      </c>
      <c r="I96">
        <v>1</v>
      </c>
      <c r="J96">
        <v>1</v>
      </c>
      <c r="K96">
        <v>1</v>
      </c>
      <c r="L96">
        <v>1</v>
      </c>
      <c r="M96">
        <v>1</v>
      </c>
    </row>
    <row r="97" spans="1:13" x14ac:dyDescent="0.25">
      <c r="A97" t="s">
        <v>3727</v>
      </c>
      <c r="B97" t="s">
        <v>3727</v>
      </c>
      <c r="C97" t="s">
        <v>2732</v>
      </c>
      <c r="D97" t="s">
        <v>2733</v>
      </c>
      <c r="E97" t="s">
        <v>376</v>
      </c>
      <c r="F97">
        <v>4</v>
      </c>
      <c r="G97">
        <v>0</v>
      </c>
      <c r="H97" t="s">
        <v>3712</v>
      </c>
      <c r="I97">
        <v>0</v>
      </c>
      <c r="J97">
        <v>0</v>
      </c>
      <c r="K97">
        <v>0</v>
      </c>
      <c r="L97">
        <v>0</v>
      </c>
      <c r="M97">
        <v>0</v>
      </c>
    </row>
    <row r="98" spans="1:13" x14ac:dyDescent="0.25">
      <c r="A98" t="s">
        <v>2737</v>
      </c>
      <c r="B98" t="s">
        <v>2737</v>
      </c>
      <c r="C98" t="s">
        <v>2735</v>
      </c>
      <c r="D98" t="s">
        <v>2736</v>
      </c>
      <c r="E98" t="s">
        <v>375</v>
      </c>
      <c r="F98">
        <v>4</v>
      </c>
      <c r="G98">
        <v>1</v>
      </c>
      <c r="H98" t="s">
        <v>3711</v>
      </c>
      <c r="I98">
        <v>0</v>
      </c>
      <c r="J98">
        <v>0</v>
      </c>
      <c r="K98">
        <v>0</v>
      </c>
      <c r="L98">
        <v>0</v>
      </c>
      <c r="M98">
        <v>0</v>
      </c>
    </row>
    <row r="99" spans="1:13" x14ac:dyDescent="0.25">
      <c r="A99" t="s">
        <v>2743</v>
      </c>
      <c r="B99" t="s">
        <v>2743</v>
      </c>
      <c r="C99" t="s">
        <v>2741</v>
      </c>
      <c r="D99" t="s">
        <v>2742</v>
      </c>
      <c r="E99" t="s">
        <v>384</v>
      </c>
      <c r="F99">
        <v>2</v>
      </c>
      <c r="G99">
        <v>0</v>
      </c>
      <c r="H99" t="s">
        <v>3709</v>
      </c>
      <c r="I99">
        <v>0</v>
      </c>
      <c r="J99">
        <v>1</v>
      </c>
      <c r="K99">
        <v>1</v>
      </c>
      <c r="L99">
        <v>1</v>
      </c>
      <c r="M99">
        <v>0</v>
      </c>
    </row>
    <row r="100" spans="1:13" x14ac:dyDescent="0.25">
      <c r="A100" t="s">
        <v>2746</v>
      </c>
      <c r="B100" t="s">
        <v>2746</v>
      </c>
      <c r="C100" t="s">
        <v>2744</v>
      </c>
      <c r="D100" t="s">
        <v>2745</v>
      </c>
      <c r="E100" t="s">
        <v>379</v>
      </c>
      <c r="F100">
        <v>1</v>
      </c>
      <c r="G100">
        <v>0</v>
      </c>
      <c r="H100" t="s">
        <v>3713</v>
      </c>
      <c r="I100">
        <v>1</v>
      </c>
      <c r="J100">
        <v>1</v>
      </c>
      <c r="K100">
        <v>1</v>
      </c>
      <c r="L100">
        <v>1</v>
      </c>
      <c r="M100">
        <v>1</v>
      </c>
    </row>
    <row r="101" spans="1:13" x14ac:dyDescent="0.25">
      <c r="A101" t="s">
        <v>2749</v>
      </c>
      <c r="B101" t="s">
        <v>2749</v>
      </c>
      <c r="C101" t="s">
        <v>2747</v>
      </c>
      <c r="D101" t="s">
        <v>2748</v>
      </c>
      <c r="E101" t="s">
        <v>385</v>
      </c>
      <c r="F101">
        <v>1</v>
      </c>
      <c r="G101">
        <v>0</v>
      </c>
      <c r="H101" t="s">
        <v>3713</v>
      </c>
      <c r="I101">
        <v>0</v>
      </c>
      <c r="J101">
        <v>1</v>
      </c>
      <c r="K101">
        <v>1</v>
      </c>
      <c r="L101">
        <v>1</v>
      </c>
      <c r="M101">
        <v>1</v>
      </c>
    </row>
    <row r="102" spans="1:13" x14ac:dyDescent="0.25">
      <c r="A102" t="s">
        <v>3728</v>
      </c>
      <c r="B102" t="s">
        <v>3728</v>
      </c>
      <c r="C102" t="s">
        <v>2750</v>
      </c>
      <c r="D102" t="s">
        <v>2751</v>
      </c>
      <c r="E102" t="s">
        <v>373</v>
      </c>
      <c r="F102">
        <v>4</v>
      </c>
      <c r="G102">
        <v>0</v>
      </c>
      <c r="H102" t="s">
        <v>3712</v>
      </c>
      <c r="I102">
        <v>0</v>
      </c>
      <c r="J102">
        <v>0</v>
      </c>
      <c r="K102">
        <v>0</v>
      </c>
      <c r="L102">
        <v>0</v>
      </c>
      <c r="M102">
        <v>0</v>
      </c>
    </row>
    <row r="103" spans="1:13" x14ac:dyDescent="0.25">
      <c r="A103" t="s">
        <v>2755</v>
      </c>
      <c r="B103" t="s">
        <v>2755</v>
      </c>
      <c r="C103" t="s">
        <v>2753</v>
      </c>
      <c r="D103" t="s">
        <v>2754</v>
      </c>
      <c r="E103" t="s">
        <v>375</v>
      </c>
      <c r="F103">
        <v>4</v>
      </c>
      <c r="G103">
        <v>0</v>
      </c>
      <c r="H103" t="s">
        <v>3712</v>
      </c>
      <c r="I103">
        <v>0</v>
      </c>
      <c r="J103">
        <v>0</v>
      </c>
      <c r="K103">
        <v>0</v>
      </c>
      <c r="L103">
        <v>0</v>
      </c>
      <c r="M103">
        <v>0</v>
      </c>
    </row>
    <row r="104" spans="1:13" x14ac:dyDescent="0.25">
      <c r="A104" t="s">
        <v>2758</v>
      </c>
      <c r="B104" t="s">
        <v>2758</v>
      </c>
      <c r="C104" t="s">
        <v>2756</v>
      </c>
      <c r="D104" t="s">
        <v>2757</v>
      </c>
      <c r="E104" t="s">
        <v>380</v>
      </c>
      <c r="F104">
        <v>1</v>
      </c>
      <c r="G104">
        <v>0</v>
      </c>
      <c r="H104" t="s">
        <v>3713</v>
      </c>
      <c r="I104">
        <v>0</v>
      </c>
      <c r="J104">
        <v>1</v>
      </c>
      <c r="K104">
        <v>1</v>
      </c>
      <c r="L104">
        <v>1</v>
      </c>
      <c r="M104">
        <v>1</v>
      </c>
    </row>
    <row r="105" spans="1:13" x14ac:dyDescent="0.25">
      <c r="A105" t="s">
        <v>2761</v>
      </c>
      <c r="B105" t="s">
        <v>2761</v>
      </c>
      <c r="C105" t="s">
        <v>2759</v>
      </c>
      <c r="D105" t="s">
        <v>2760</v>
      </c>
      <c r="E105" t="s">
        <v>384</v>
      </c>
      <c r="F105">
        <v>2</v>
      </c>
      <c r="G105">
        <v>0</v>
      </c>
      <c r="H105" t="s">
        <v>3709</v>
      </c>
      <c r="I105">
        <v>1</v>
      </c>
      <c r="J105">
        <v>1</v>
      </c>
      <c r="K105">
        <v>1</v>
      </c>
      <c r="L105">
        <v>1</v>
      </c>
      <c r="M105">
        <v>0</v>
      </c>
    </row>
    <row r="106" spans="1:13" x14ac:dyDescent="0.25">
      <c r="A106" t="s">
        <v>2764</v>
      </c>
      <c r="B106" t="s">
        <v>2764</v>
      </c>
      <c r="C106" t="s">
        <v>2762</v>
      </c>
      <c r="D106" t="s">
        <v>2763</v>
      </c>
      <c r="E106" t="s">
        <v>384</v>
      </c>
      <c r="F106">
        <v>2</v>
      </c>
      <c r="G106">
        <v>1</v>
      </c>
      <c r="H106" t="s">
        <v>3710</v>
      </c>
      <c r="I106">
        <v>1</v>
      </c>
      <c r="J106">
        <v>1</v>
      </c>
      <c r="K106">
        <v>1</v>
      </c>
      <c r="L106">
        <v>1</v>
      </c>
      <c r="M106">
        <v>0</v>
      </c>
    </row>
    <row r="107" spans="1:13" x14ac:dyDescent="0.25">
      <c r="A107" t="s">
        <v>2767</v>
      </c>
      <c r="B107" t="s">
        <v>2767</v>
      </c>
      <c r="C107" t="s">
        <v>2765</v>
      </c>
      <c r="D107" t="s">
        <v>2766</v>
      </c>
      <c r="E107" t="s">
        <v>384</v>
      </c>
      <c r="F107">
        <v>2</v>
      </c>
      <c r="G107">
        <v>0</v>
      </c>
      <c r="H107" t="s">
        <v>3709</v>
      </c>
      <c r="I107">
        <v>1</v>
      </c>
      <c r="J107">
        <v>1</v>
      </c>
      <c r="K107">
        <v>1</v>
      </c>
      <c r="L107">
        <v>1</v>
      </c>
      <c r="M107">
        <v>0</v>
      </c>
    </row>
    <row r="108" spans="1:13" x14ac:dyDescent="0.25">
      <c r="A108" t="s">
        <v>2770</v>
      </c>
      <c r="B108" t="s">
        <v>2770</v>
      </c>
      <c r="C108" t="s">
        <v>2768</v>
      </c>
      <c r="D108" t="s">
        <v>2769</v>
      </c>
      <c r="E108" t="s">
        <v>384</v>
      </c>
      <c r="F108">
        <v>2</v>
      </c>
      <c r="G108">
        <v>1</v>
      </c>
      <c r="H108" t="s">
        <v>3710</v>
      </c>
      <c r="I108">
        <v>0</v>
      </c>
      <c r="J108">
        <v>1</v>
      </c>
      <c r="K108">
        <v>1</v>
      </c>
      <c r="L108">
        <v>1</v>
      </c>
      <c r="M108">
        <v>0</v>
      </c>
    </row>
    <row r="109" spans="1:13" x14ac:dyDescent="0.25">
      <c r="A109" t="s">
        <v>2773</v>
      </c>
      <c r="B109" t="s">
        <v>2773</v>
      </c>
      <c r="C109" t="s">
        <v>2771</v>
      </c>
      <c r="D109" t="s">
        <v>2772</v>
      </c>
      <c r="E109" t="s">
        <v>384</v>
      </c>
      <c r="F109">
        <v>2</v>
      </c>
      <c r="G109">
        <v>0</v>
      </c>
      <c r="H109" t="s">
        <v>3709</v>
      </c>
      <c r="I109">
        <v>0</v>
      </c>
      <c r="J109">
        <v>1</v>
      </c>
      <c r="K109">
        <v>1</v>
      </c>
      <c r="L109">
        <v>1</v>
      </c>
      <c r="M109">
        <v>0</v>
      </c>
    </row>
    <row r="110" spans="1:13" x14ac:dyDescent="0.25">
      <c r="A110" t="s">
        <v>2776</v>
      </c>
      <c r="B110" t="s">
        <v>2776</v>
      </c>
      <c r="C110" t="s">
        <v>2774</v>
      </c>
      <c r="D110" t="s">
        <v>2775</v>
      </c>
      <c r="E110" t="s">
        <v>386</v>
      </c>
      <c r="F110">
        <v>7</v>
      </c>
      <c r="G110">
        <v>0</v>
      </c>
      <c r="H110" t="s">
        <v>3712</v>
      </c>
      <c r="I110">
        <v>0</v>
      </c>
      <c r="J110">
        <v>0</v>
      </c>
      <c r="K110">
        <v>0</v>
      </c>
      <c r="L110">
        <v>0</v>
      </c>
      <c r="M110">
        <v>0</v>
      </c>
    </row>
    <row r="111" spans="1:13" x14ac:dyDescent="0.25">
      <c r="A111" t="s">
        <v>2779</v>
      </c>
      <c r="B111" t="s">
        <v>2779</v>
      </c>
      <c r="C111" t="s">
        <v>2777</v>
      </c>
      <c r="D111" t="s">
        <v>2778</v>
      </c>
      <c r="E111" t="s">
        <v>382</v>
      </c>
      <c r="F111">
        <v>5</v>
      </c>
      <c r="G111">
        <v>0</v>
      </c>
      <c r="H111" t="s">
        <v>3719</v>
      </c>
      <c r="I111">
        <v>0</v>
      </c>
      <c r="J111">
        <v>0</v>
      </c>
      <c r="K111">
        <v>0</v>
      </c>
      <c r="L111">
        <v>0</v>
      </c>
      <c r="M111">
        <v>0</v>
      </c>
    </row>
    <row r="112" spans="1:13" x14ac:dyDescent="0.25">
      <c r="A112" t="s">
        <v>2782</v>
      </c>
      <c r="B112" t="s">
        <v>2782</v>
      </c>
      <c r="C112" t="s">
        <v>2780</v>
      </c>
      <c r="D112" t="s">
        <v>2781</v>
      </c>
      <c r="E112" t="s">
        <v>385</v>
      </c>
      <c r="F112">
        <v>1</v>
      </c>
      <c r="G112">
        <v>0</v>
      </c>
      <c r="H112" t="s">
        <v>3713</v>
      </c>
      <c r="I112">
        <v>0</v>
      </c>
      <c r="J112">
        <v>1</v>
      </c>
      <c r="K112">
        <v>1</v>
      </c>
      <c r="L112">
        <v>1</v>
      </c>
      <c r="M112">
        <v>1</v>
      </c>
    </row>
    <row r="113" spans="1:13" x14ac:dyDescent="0.25">
      <c r="A113" t="s">
        <v>2785</v>
      </c>
      <c r="B113" t="s">
        <v>2785</v>
      </c>
      <c r="C113" t="s">
        <v>2783</v>
      </c>
      <c r="D113" t="s">
        <v>2784</v>
      </c>
      <c r="E113" t="s">
        <v>384</v>
      </c>
      <c r="F113">
        <v>2</v>
      </c>
      <c r="G113">
        <v>0</v>
      </c>
      <c r="H113" t="s">
        <v>3709</v>
      </c>
      <c r="I113">
        <v>0</v>
      </c>
      <c r="J113">
        <v>1</v>
      </c>
      <c r="K113">
        <v>1</v>
      </c>
      <c r="L113">
        <v>1</v>
      </c>
      <c r="M113">
        <v>0</v>
      </c>
    </row>
    <row r="114" spans="1:13" x14ac:dyDescent="0.25">
      <c r="A114" t="s">
        <v>2788</v>
      </c>
      <c r="B114" t="s">
        <v>2788</v>
      </c>
      <c r="C114" t="s">
        <v>2786</v>
      </c>
      <c r="D114" t="s">
        <v>2787</v>
      </c>
      <c r="E114" t="s">
        <v>384</v>
      </c>
      <c r="F114">
        <v>2</v>
      </c>
      <c r="G114">
        <v>0</v>
      </c>
      <c r="H114" t="s">
        <v>3709</v>
      </c>
      <c r="I114">
        <v>1</v>
      </c>
      <c r="J114">
        <v>1</v>
      </c>
      <c r="K114">
        <v>1</v>
      </c>
      <c r="L114">
        <v>1</v>
      </c>
      <c r="M114">
        <v>0</v>
      </c>
    </row>
    <row r="115" spans="1:13" x14ac:dyDescent="0.25">
      <c r="A115" t="s">
        <v>2791</v>
      </c>
      <c r="B115" t="s">
        <v>2791</v>
      </c>
      <c r="C115" t="s">
        <v>2789</v>
      </c>
      <c r="D115" t="s">
        <v>2790</v>
      </c>
      <c r="E115" t="s">
        <v>372</v>
      </c>
      <c r="F115">
        <v>1</v>
      </c>
      <c r="G115">
        <v>0</v>
      </c>
      <c r="H115" t="s">
        <v>3713</v>
      </c>
      <c r="I115">
        <v>0</v>
      </c>
      <c r="J115">
        <v>0</v>
      </c>
      <c r="K115">
        <v>0</v>
      </c>
      <c r="L115">
        <v>0</v>
      </c>
      <c r="M115">
        <v>1</v>
      </c>
    </row>
    <row r="116" spans="1:13" x14ac:dyDescent="0.25">
      <c r="A116" t="s">
        <v>3729</v>
      </c>
      <c r="B116" t="s">
        <v>3729</v>
      </c>
      <c r="C116" t="s">
        <v>2792</v>
      </c>
      <c r="D116" t="s">
        <v>2793</v>
      </c>
      <c r="E116" t="s">
        <v>373</v>
      </c>
      <c r="F116">
        <v>4</v>
      </c>
      <c r="G116">
        <v>1</v>
      </c>
      <c r="H116" t="s">
        <v>3711</v>
      </c>
      <c r="I116">
        <v>0</v>
      </c>
      <c r="J116">
        <v>0</v>
      </c>
      <c r="K116">
        <v>0</v>
      </c>
      <c r="L116">
        <v>0</v>
      </c>
      <c r="M116">
        <v>0</v>
      </c>
    </row>
    <row r="117" spans="1:13" x14ac:dyDescent="0.25">
      <c r="A117" t="s">
        <v>2797</v>
      </c>
      <c r="B117" t="s">
        <v>2797</v>
      </c>
      <c r="C117" t="s">
        <v>2795</v>
      </c>
      <c r="D117" t="s">
        <v>2796</v>
      </c>
      <c r="E117" t="s">
        <v>384</v>
      </c>
      <c r="F117">
        <v>2</v>
      </c>
      <c r="G117">
        <v>0</v>
      </c>
      <c r="H117" t="s">
        <v>3709</v>
      </c>
      <c r="I117">
        <v>1</v>
      </c>
      <c r="J117">
        <v>1</v>
      </c>
      <c r="K117">
        <v>1</v>
      </c>
      <c r="L117">
        <v>1</v>
      </c>
      <c r="M117">
        <v>0</v>
      </c>
    </row>
    <row r="118" spans="1:13" x14ac:dyDescent="0.25">
      <c r="A118" t="s">
        <v>2800</v>
      </c>
      <c r="B118" t="s">
        <v>2800</v>
      </c>
      <c r="C118" t="s">
        <v>2798</v>
      </c>
      <c r="D118" t="s">
        <v>2799</v>
      </c>
      <c r="E118" t="s">
        <v>384</v>
      </c>
      <c r="F118">
        <v>2</v>
      </c>
      <c r="G118">
        <v>1</v>
      </c>
      <c r="H118" t="s">
        <v>3710</v>
      </c>
      <c r="I118">
        <v>0</v>
      </c>
      <c r="J118">
        <v>1</v>
      </c>
      <c r="K118">
        <v>1</v>
      </c>
      <c r="L118">
        <v>1</v>
      </c>
      <c r="M118">
        <v>0</v>
      </c>
    </row>
    <row r="119" spans="1:13" x14ac:dyDescent="0.25">
      <c r="A119" t="s">
        <v>2803</v>
      </c>
      <c r="B119" t="s">
        <v>2803</v>
      </c>
      <c r="C119" t="s">
        <v>2801</v>
      </c>
      <c r="D119" t="s">
        <v>2802</v>
      </c>
      <c r="E119" t="s">
        <v>384</v>
      </c>
      <c r="F119">
        <v>2</v>
      </c>
      <c r="G119">
        <v>0</v>
      </c>
      <c r="H119" t="s">
        <v>3709</v>
      </c>
      <c r="I119">
        <v>1</v>
      </c>
      <c r="J119">
        <v>1</v>
      </c>
      <c r="K119">
        <v>1</v>
      </c>
      <c r="L119">
        <v>1</v>
      </c>
      <c r="M119">
        <v>0</v>
      </c>
    </row>
    <row r="120" spans="1:13" x14ac:dyDescent="0.25">
      <c r="A120" t="s">
        <v>2806</v>
      </c>
      <c r="B120" t="s">
        <v>2806</v>
      </c>
      <c r="C120" t="s">
        <v>2804</v>
      </c>
      <c r="D120" t="s">
        <v>2805</v>
      </c>
      <c r="E120" t="s">
        <v>380</v>
      </c>
      <c r="F120">
        <v>1</v>
      </c>
      <c r="G120">
        <v>0</v>
      </c>
      <c r="H120" t="s">
        <v>3713</v>
      </c>
      <c r="I120">
        <v>1</v>
      </c>
      <c r="J120">
        <v>1</v>
      </c>
      <c r="K120">
        <v>1</v>
      </c>
      <c r="L120">
        <v>1</v>
      </c>
      <c r="M120">
        <v>1</v>
      </c>
    </row>
    <row r="121" spans="1:13" x14ac:dyDescent="0.25">
      <c r="A121" t="s">
        <v>2809</v>
      </c>
      <c r="B121" t="s">
        <v>2809</v>
      </c>
      <c r="C121" t="s">
        <v>2807</v>
      </c>
      <c r="D121" t="s">
        <v>2808</v>
      </c>
      <c r="E121" t="s">
        <v>384</v>
      </c>
      <c r="F121">
        <v>2</v>
      </c>
      <c r="G121">
        <v>1</v>
      </c>
      <c r="H121" t="s">
        <v>3710</v>
      </c>
      <c r="I121">
        <v>0</v>
      </c>
      <c r="J121">
        <v>1</v>
      </c>
      <c r="K121">
        <v>1</v>
      </c>
      <c r="L121">
        <v>1</v>
      </c>
      <c r="M121">
        <v>0</v>
      </c>
    </row>
    <row r="122" spans="1:13" x14ac:dyDescent="0.25">
      <c r="A122" t="s">
        <v>2812</v>
      </c>
      <c r="B122" t="s">
        <v>2812</v>
      </c>
      <c r="C122" t="s">
        <v>2810</v>
      </c>
      <c r="D122" t="s">
        <v>2811</v>
      </c>
      <c r="E122" t="s">
        <v>384</v>
      </c>
      <c r="F122">
        <v>2</v>
      </c>
      <c r="G122">
        <v>1</v>
      </c>
      <c r="H122" t="s">
        <v>3710</v>
      </c>
      <c r="I122">
        <v>1</v>
      </c>
      <c r="J122">
        <v>1</v>
      </c>
      <c r="K122">
        <v>1</v>
      </c>
      <c r="L122">
        <v>1</v>
      </c>
      <c r="M122">
        <v>0</v>
      </c>
    </row>
    <row r="123" spans="1:13" x14ac:dyDescent="0.25">
      <c r="A123" t="s">
        <v>2815</v>
      </c>
      <c r="B123" t="s">
        <v>2815</v>
      </c>
      <c r="C123" t="s">
        <v>2813</v>
      </c>
      <c r="D123" t="s">
        <v>2814</v>
      </c>
      <c r="E123" t="s">
        <v>384</v>
      </c>
      <c r="F123">
        <v>2</v>
      </c>
      <c r="G123">
        <v>0</v>
      </c>
      <c r="H123" t="s">
        <v>3709</v>
      </c>
      <c r="I123">
        <v>0</v>
      </c>
      <c r="J123">
        <v>1</v>
      </c>
      <c r="K123">
        <v>1</v>
      </c>
      <c r="L123">
        <v>1</v>
      </c>
      <c r="M123">
        <v>0</v>
      </c>
    </row>
    <row r="124" spans="1:13" x14ac:dyDescent="0.25">
      <c r="A124" t="s">
        <v>2818</v>
      </c>
      <c r="B124" t="s">
        <v>2818</v>
      </c>
      <c r="C124" t="s">
        <v>2816</v>
      </c>
      <c r="D124" t="s">
        <v>2817</v>
      </c>
      <c r="E124" t="s">
        <v>372</v>
      </c>
      <c r="F124">
        <v>1</v>
      </c>
      <c r="G124">
        <v>1</v>
      </c>
      <c r="H124" t="s">
        <v>3714</v>
      </c>
      <c r="I124">
        <v>0</v>
      </c>
      <c r="J124">
        <v>0</v>
      </c>
      <c r="K124">
        <v>0</v>
      </c>
      <c r="L124">
        <v>0</v>
      </c>
      <c r="M124">
        <v>1</v>
      </c>
    </row>
    <row r="125" spans="1:13" x14ac:dyDescent="0.25">
      <c r="A125" t="s">
        <v>3730</v>
      </c>
      <c r="B125" t="s">
        <v>3730</v>
      </c>
      <c r="C125" t="s">
        <v>2822</v>
      </c>
      <c r="D125" t="s">
        <v>2823</v>
      </c>
      <c r="E125" t="s">
        <v>373</v>
      </c>
      <c r="F125">
        <v>4</v>
      </c>
      <c r="G125">
        <v>0</v>
      </c>
      <c r="H125" t="s">
        <v>3712</v>
      </c>
      <c r="I125">
        <v>0</v>
      </c>
      <c r="J125">
        <v>0</v>
      </c>
      <c r="K125">
        <v>0</v>
      </c>
      <c r="L125">
        <v>0</v>
      </c>
      <c r="M125">
        <v>0</v>
      </c>
    </row>
    <row r="126" spans="1:13" x14ac:dyDescent="0.25">
      <c r="A126" t="s">
        <v>3731</v>
      </c>
      <c r="B126" t="s">
        <v>3731</v>
      </c>
      <c r="C126" t="s">
        <v>2819</v>
      </c>
      <c r="D126" t="s">
        <v>2820</v>
      </c>
      <c r="E126" t="s">
        <v>375</v>
      </c>
      <c r="F126">
        <v>4</v>
      </c>
      <c r="G126">
        <v>0</v>
      </c>
      <c r="H126" t="s">
        <v>3712</v>
      </c>
      <c r="I126">
        <v>0</v>
      </c>
      <c r="J126">
        <v>0</v>
      </c>
      <c r="K126">
        <v>0</v>
      </c>
      <c r="L126">
        <v>0</v>
      </c>
      <c r="M126">
        <v>0</v>
      </c>
    </row>
    <row r="127" spans="1:13" x14ac:dyDescent="0.25">
      <c r="A127" t="s">
        <v>2827</v>
      </c>
      <c r="B127" t="s">
        <v>2827</v>
      </c>
      <c r="C127" t="s">
        <v>2825</v>
      </c>
      <c r="D127" t="s">
        <v>2826</v>
      </c>
      <c r="E127" t="s">
        <v>384</v>
      </c>
      <c r="F127">
        <v>2</v>
      </c>
      <c r="G127">
        <v>0</v>
      </c>
      <c r="H127" t="s">
        <v>3709</v>
      </c>
      <c r="I127">
        <v>1</v>
      </c>
      <c r="J127">
        <v>1</v>
      </c>
      <c r="K127">
        <v>1</v>
      </c>
      <c r="L127">
        <v>1</v>
      </c>
      <c r="M127">
        <v>0</v>
      </c>
    </row>
    <row r="128" spans="1:13" x14ac:dyDescent="0.25">
      <c r="A128" t="s">
        <v>2830</v>
      </c>
      <c r="B128" t="s">
        <v>2830</v>
      </c>
      <c r="C128" t="s">
        <v>2828</v>
      </c>
      <c r="D128" t="s">
        <v>2829</v>
      </c>
      <c r="E128" t="s">
        <v>381</v>
      </c>
      <c r="F128">
        <v>8</v>
      </c>
      <c r="G128">
        <v>0</v>
      </c>
      <c r="H128" t="s">
        <v>3724</v>
      </c>
      <c r="I128">
        <v>0</v>
      </c>
      <c r="J128">
        <v>0</v>
      </c>
      <c r="K128">
        <v>0</v>
      </c>
      <c r="L128">
        <v>0</v>
      </c>
      <c r="M128">
        <v>0</v>
      </c>
    </row>
    <row r="129" spans="1:13" x14ac:dyDescent="0.25">
      <c r="A129" t="s">
        <v>2833</v>
      </c>
      <c r="B129" t="s">
        <v>2833</v>
      </c>
      <c r="C129" t="s">
        <v>2831</v>
      </c>
      <c r="D129" t="s">
        <v>2832</v>
      </c>
      <c r="E129" t="s">
        <v>384</v>
      </c>
      <c r="F129">
        <v>2</v>
      </c>
      <c r="G129">
        <v>0</v>
      </c>
      <c r="H129" t="s">
        <v>3709</v>
      </c>
      <c r="I129">
        <v>1</v>
      </c>
      <c r="J129">
        <v>1</v>
      </c>
      <c r="K129">
        <v>1</v>
      </c>
      <c r="L129">
        <v>1</v>
      </c>
      <c r="M129">
        <v>0</v>
      </c>
    </row>
    <row r="130" spans="1:13" x14ac:dyDescent="0.25">
      <c r="A130" t="s">
        <v>2836</v>
      </c>
      <c r="B130" t="s">
        <v>2836</v>
      </c>
      <c r="C130" t="s">
        <v>2834</v>
      </c>
      <c r="D130" t="s">
        <v>2835</v>
      </c>
      <c r="E130" t="s">
        <v>384</v>
      </c>
      <c r="F130">
        <v>2</v>
      </c>
      <c r="G130">
        <v>1</v>
      </c>
      <c r="H130" t="s">
        <v>3710</v>
      </c>
      <c r="I130">
        <v>0</v>
      </c>
      <c r="J130">
        <v>1</v>
      </c>
      <c r="K130">
        <v>1</v>
      </c>
      <c r="L130">
        <v>1</v>
      </c>
      <c r="M130">
        <v>0</v>
      </c>
    </row>
    <row r="131" spans="1:13" x14ac:dyDescent="0.25">
      <c r="A131" t="s">
        <v>2839</v>
      </c>
      <c r="B131" t="s">
        <v>2839</v>
      </c>
      <c r="C131" t="s">
        <v>2837</v>
      </c>
      <c r="D131" t="s">
        <v>2838</v>
      </c>
      <c r="E131" t="s">
        <v>384</v>
      </c>
      <c r="F131">
        <v>2</v>
      </c>
      <c r="G131">
        <v>0</v>
      </c>
      <c r="H131" t="s">
        <v>3709</v>
      </c>
      <c r="I131">
        <v>1</v>
      </c>
      <c r="J131">
        <v>1</v>
      </c>
      <c r="K131">
        <v>1</v>
      </c>
      <c r="L131">
        <v>1</v>
      </c>
      <c r="M131">
        <v>0</v>
      </c>
    </row>
    <row r="132" spans="1:13" x14ac:dyDescent="0.25">
      <c r="A132" t="s">
        <v>2842</v>
      </c>
      <c r="B132" t="s">
        <v>2842</v>
      </c>
      <c r="C132" t="s">
        <v>2840</v>
      </c>
      <c r="D132" t="s">
        <v>2841</v>
      </c>
      <c r="E132" t="s">
        <v>384</v>
      </c>
      <c r="F132">
        <v>2</v>
      </c>
      <c r="G132">
        <v>0</v>
      </c>
      <c r="H132" t="s">
        <v>3709</v>
      </c>
      <c r="I132">
        <v>0</v>
      </c>
      <c r="J132">
        <v>1</v>
      </c>
      <c r="K132">
        <v>1</v>
      </c>
      <c r="L132">
        <v>1</v>
      </c>
      <c r="M132">
        <v>0</v>
      </c>
    </row>
    <row r="133" spans="1:13" x14ac:dyDescent="0.25">
      <c r="A133" t="s">
        <v>2845</v>
      </c>
      <c r="B133" t="s">
        <v>2845</v>
      </c>
      <c r="C133" t="s">
        <v>2843</v>
      </c>
      <c r="D133" t="s">
        <v>2844</v>
      </c>
      <c r="E133" t="s">
        <v>384</v>
      </c>
      <c r="F133">
        <v>2</v>
      </c>
      <c r="G133">
        <v>0</v>
      </c>
      <c r="H133" t="s">
        <v>3709</v>
      </c>
      <c r="I133">
        <v>0</v>
      </c>
      <c r="J133">
        <v>1</v>
      </c>
      <c r="K133">
        <v>1</v>
      </c>
      <c r="L133">
        <v>1</v>
      </c>
      <c r="M133">
        <v>0</v>
      </c>
    </row>
    <row r="134" spans="1:13" x14ac:dyDescent="0.25">
      <c r="A134" t="s">
        <v>2848</v>
      </c>
      <c r="B134" t="s">
        <v>2848</v>
      </c>
      <c r="C134" t="s">
        <v>2846</v>
      </c>
      <c r="D134" t="s">
        <v>2847</v>
      </c>
      <c r="E134" t="s">
        <v>379</v>
      </c>
      <c r="F134">
        <v>1</v>
      </c>
      <c r="G134">
        <v>0</v>
      </c>
      <c r="H134" t="s">
        <v>3713</v>
      </c>
      <c r="I134">
        <v>1</v>
      </c>
      <c r="J134">
        <v>1</v>
      </c>
      <c r="K134">
        <v>1</v>
      </c>
      <c r="L134">
        <v>1</v>
      </c>
      <c r="M134">
        <v>1</v>
      </c>
    </row>
    <row r="135" spans="1:13" x14ac:dyDescent="0.25">
      <c r="A135" t="s">
        <v>2851</v>
      </c>
      <c r="B135" t="s">
        <v>2851</v>
      </c>
      <c r="C135" t="s">
        <v>2849</v>
      </c>
      <c r="D135" t="s">
        <v>2850</v>
      </c>
      <c r="E135" t="s">
        <v>384</v>
      </c>
      <c r="F135">
        <v>2</v>
      </c>
      <c r="G135">
        <v>0</v>
      </c>
      <c r="H135" t="s">
        <v>3709</v>
      </c>
      <c r="I135">
        <v>1</v>
      </c>
      <c r="J135">
        <v>1</v>
      </c>
      <c r="K135">
        <v>1</v>
      </c>
      <c r="L135">
        <v>1</v>
      </c>
      <c r="M135">
        <v>0</v>
      </c>
    </row>
    <row r="136" spans="1:13" x14ac:dyDescent="0.25">
      <c r="A136" t="s">
        <v>2854</v>
      </c>
      <c r="B136" t="s">
        <v>2854</v>
      </c>
      <c r="C136" t="s">
        <v>2852</v>
      </c>
      <c r="D136" t="s">
        <v>2853</v>
      </c>
      <c r="E136" t="s">
        <v>384</v>
      </c>
      <c r="F136">
        <v>2</v>
      </c>
      <c r="G136">
        <v>0</v>
      </c>
      <c r="H136" t="s">
        <v>3709</v>
      </c>
      <c r="I136">
        <v>1</v>
      </c>
      <c r="J136">
        <v>1</v>
      </c>
      <c r="K136">
        <v>1</v>
      </c>
      <c r="L136">
        <v>1</v>
      </c>
      <c r="M136">
        <v>0</v>
      </c>
    </row>
    <row r="137" spans="1:13" x14ac:dyDescent="0.25">
      <c r="A137" t="s">
        <v>2857</v>
      </c>
      <c r="B137" t="s">
        <v>2857</v>
      </c>
      <c r="C137" t="s">
        <v>2855</v>
      </c>
      <c r="D137" t="s">
        <v>2856</v>
      </c>
      <c r="E137" t="s">
        <v>372</v>
      </c>
      <c r="F137">
        <v>1</v>
      </c>
      <c r="G137">
        <v>0</v>
      </c>
      <c r="H137" t="s">
        <v>3713</v>
      </c>
      <c r="I137">
        <v>0</v>
      </c>
      <c r="J137">
        <v>0</v>
      </c>
      <c r="K137">
        <v>0</v>
      </c>
      <c r="L137">
        <v>0</v>
      </c>
      <c r="M137">
        <v>1</v>
      </c>
    </row>
    <row r="138" spans="1:13" x14ac:dyDescent="0.25">
      <c r="A138" t="s">
        <v>2860</v>
      </c>
      <c r="B138" t="s">
        <v>2860</v>
      </c>
      <c r="C138" t="s">
        <v>2858</v>
      </c>
      <c r="D138" t="s">
        <v>2859</v>
      </c>
      <c r="E138" t="s">
        <v>375</v>
      </c>
      <c r="F138">
        <v>4</v>
      </c>
      <c r="G138">
        <v>0</v>
      </c>
      <c r="H138" t="s">
        <v>3712</v>
      </c>
      <c r="I138">
        <v>0</v>
      </c>
      <c r="J138">
        <v>0</v>
      </c>
      <c r="K138">
        <v>0</v>
      </c>
      <c r="L138">
        <v>0</v>
      </c>
      <c r="M138">
        <v>0</v>
      </c>
    </row>
    <row r="139" spans="1:13" x14ac:dyDescent="0.25">
      <c r="A139" t="s">
        <v>2863</v>
      </c>
      <c r="B139" t="s">
        <v>2863</v>
      </c>
      <c r="C139" t="s">
        <v>2861</v>
      </c>
      <c r="D139" t="s">
        <v>2862</v>
      </c>
      <c r="E139" t="s">
        <v>384</v>
      </c>
      <c r="F139">
        <v>2</v>
      </c>
      <c r="G139">
        <v>0</v>
      </c>
      <c r="H139" t="s">
        <v>3709</v>
      </c>
      <c r="I139">
        <v>1</v>
      </c>
      <c r="J139">
        <v>1</v>
      </c>
      <c r="K139">
        <v>1</v>
      </c>
      <c r="L139">
        <v>1</v>
      </c>
      <c r="M139">
        <v>0</v>
      </c>
    </row>
    <row r="140" spans="1:13" x14ac:dyDescent="0.25">
      <c r="A140" t="s">
        <v>2866</v>
      </c>
      <c r="B140" t="s">
        <v>2866</v>
      </c>
      <c r="C140" t="s">
        <v>2864</v>
      </c>
      <c r="D140" t="s">
        <v>2865</v>
      </c>
      <c r="E140" t="s">
        <v>384</v>
      </c>
      <c r="F140">
        <v>2</v>
      </c>
      <c r="G140">
        <v>1</v>
      </c>
      <c r="H140" t="s">
        <v>3710</v>
      </c>
      <c r="I140">
        <v>0</v>
      </c>
      <c r="J140">
        <v>1</v>
      </c>
      <c r="K140">
        <v>1</v>
      </c>
      <c r="L140">
        <v>1</v>
      </c>
      <c r="M140">
        <v>0</v>
      </c>
    </row>
    <row r="141" spans="1:13" x14ac:dyDescent="0.25">
      <c r="A141" t="s">
        <v>2869</v>
      </c>
      <c r="B141" t="s">
        <v>2869</v>
      </c>
      <c r="C141" t="s">
        <v>2867</v>
      </c>
      <c r="D141" t="s">
        <v>2868</v>
      </c>
      <c r="E141" t="s">
        <v>384</v>
      </c>
      <c r="F141">
        <v>2</v>
      </c>
      <c r="G141">
        <v>0</v>
      </c>
      <c r="H141" t="s">
        <v>3709</v>
      </c>
      <c r="I141">
        <v>0</v>
      </c>
      <c r="J141">
        <v>1</v>
      </c>
      <c r="K141">
        <v>1</v>
      </c>
      <c r="L141">
        <v>1</v>
      </c>
      <c r="M141">
        <v>0</v>
      </c>
    </row>
    <row r="142" spans="1:13" x14ac:dyDescent="0.25">
      <c r="A142" t="s">
        <v>2872</v>
      </c>
      <c r="B142" t="s">
        <v>2872</v>
      </c>
      <c r="C142" t="s">
        <v>2870</v>
      </c>
      <c r="D142" t="s">
        <v>2871</v>
      </c>
      <c r="E142" t="s">
        <v>382</v>
      </c>
      <c r="F142">
        <v>5</v>
      </c>
      <c r="G142">
        <v>0</v>
      </c>
      <c r="H142" t="s">
        <v>3719</v>
      </c>
      <c r="I142">
        <v>0</v>
      </c>
      <c r="J142">
        <v>0</v>
      </c>
      <c r="K142">
        <v>0</v>
      </c>
      <c r="L142">
        <v>0</v>
      </c>
      <c r="M142">
        <v>0</v>
      </c>
    </row>
    <row r="143" spans="1:13" x14ac:dyDescent="0.25">
      <c r="A143" t="s">
        <v>2875</v>
      </c>
      <c r="B143" t="s">
        <v>2875</v>
      </c>
      <c r="C143" t="s">
        <v>2873</v>
      </c>
      <c r="D143" t="s">
        <v>2874</v>
      </c>
      <c r="E143" t="s">
        <v>377</v>
      </c>
      <c r="F143">
        <v>6</v>
      </c>
      <c r="G143">
        <v>1</v>
      </c>
      <c r="H143" t="s">
        <v>3714</v>
      </c>
      <c r="I143">
        <v>0</v>
      </c>
      <c r="J143">
        <v>0</v>
      </c>
      <c r="K143">
        <v>0</v>
      </c>
      <c r="L143">
        <v>0</v>
      </c>
      <c r="M143">
        <v>0</v>
      </c>
    </row>
    <row r="144" spans="1:13" x14ac:dyDescent="0.25">
      <c r="A144" t="s">
        <v>2878</v>
      </c>
      <c r="B144" t="s">
        <v>2878</v>
      </c>
      <c r="C144" t="s">
        <v>2876</v>
      </c>
      <c r="D144" t="s">
        <v>2877</v>
      </c>
      <c r="E144" t="s">
        <v>382</v>
      </c>
      <c r="F144">
        <v>3</v>
      </c>
      <c r="G144">
        <v>0</v>
      </c>
      <c r="H144" s="260" t="s">
        <v>3724</v>
      </c>
      <c r="I144">
        <v>0</v>
      </c>
      <c r="J144">
        <v>0</v>
      </c>
      <c r="K144">
        <v>0</v>
      </c>
      <c r="L144">
        <v>0</v>
      </c>
      <c r="M144">
        <v>0</v>
      </c>
    </row>
    <row r="145" spans="1:13" x14ac:dyDescent="0.25">
      <c r="A145" t="s">
        <v>2881</v>
      </c>
      <c r="B145" t="s">
        <v>2881</v>
      </c>
      <c r="C145" t="s">
        <v>2879</v>
      </c>
      <c r="D145" t="s">
        <v>2880</v>
      </c>
      <c r="E145" t="s">
        <v>375</v>
      </c>
      <c r="F145">
        <v>4</v>
      </c>
      <c r="G145">
        <v>0</v>
      </c>
      <c r="H145" t="s">
        <v>3712</v>
      </c>
      <c r="I145">
        <v>0</v>
      </c>
      <c r="J145">
        <v>0</v>
      </c>
      <c r="K145">
        <v>0</v>
      </c>
      <c r="L145">
        <v>0</v>
      </c>
      <c r="M145">
        <v>0</v>
      </c>
    </row>
    <row r="146" spans="1:13" x14ac:dyDescent="0.25">
      <c r="A146" t="s">
        <v>2884</v>
      </c>
      <c r="B146" t="s">
        <v>2884</v>
      </c>
      <c r="C146" t="s">
        <v>2882</v>
      </c>
      <c r="D146" t="s">
        <v>2883</v>
      </c>
      <c r="E146" t="s">
        <v>378</v>
      </c>
      <c r="F146">
        <v>1</v>
      </c>
      <c r="G146">
        <v>1</v>
      </c>
      <c r="H146" t="s">
        <v>3732</v>
      </c>
      <c r="I146">
        <v>1</v>
      </c>
      <c r="J146">
        <v>1</v>
      </c>
      <c r="K146">
        <v>1</v>
      </c>
      <c r="L146">
        <v>1</v>
      </c>
      <c r="M146">
        <v>1</v>
      </c>
    </row>
    <row r="147" spans="1:13" x14ac:dyDescent="0.25">
      <c r="A147" t="s">
        <v>2887</v>
      </c>
      <c r="B147" t="s">
        <v>2887</v>
      </c>
      <c r="C147" t="s">
        <v>2885</v>
      </c>
      <c r="D147" t="s">
        <v>2886</v>
      </c>
      <c r="E147" t="s">
        <v>384</v>
      </c>
      <c r="F147">
        <v>2</v>
      </c>
      <c r="G147">
        <v>1</v>
      </c>
      <c r="H147" t="s">
        <v>3710</v>
      </c>
      <c r="I147">
        <v>0</v>
      </c>
      <c r="J147">
        <v>1</v>
      </c>
      <c r="K147">
        <v>1</v>
      </c>
      <c r="L147">
        <v>1</v>
      </c>
      <c r="M147">
        <v>0</v>
      </c>
    </row>
    <row r="148" spans="1:13" x14ac:dyDescent="0.25">
      <c r="A148" t="s">
        <v>2890</v>
      </c>
      <c r="B148" t="s">
        <v>2890</v>
      </c>
      <c r="C148" t="s">
        <v>2888</v>
      </c>
      <c r="D148" t="s">
        <v>2889</v>
      </c>
      <c r="E148" t="s">
        <v>378</v>
      </c>
      <c r="F148">
        <v>1</v>
      </c>
      <c r="G148">
        <v>1</v>
      </c>
      <c r="H148" t="s">
        <v>3714</v>
      </c>
      <c r="I148">
        <v>1</v>
      </c>
      <c r="J148">
        <v>1</v>
      </c>
      <c r="K148">
        <v>1</v>
      </c>
      <c r="L148">
        <v>1</v>
      </c>
      <c r="M148">
        <v>1</v>
      </c>
    </row>
    <row r="149" spans="1:13" x14ac:dyDescent="0.25">
      <c r="A149" t="s">
        <v>2893</v>
      </c>
      <c r="B149" t="s">
        <v>2893</v>
      </c>
      <c r="C149" t="s">
        <v>2891</v>
      </c>
      <c r="D149" t="s">
        <v>2892</v>
      </c>
      <c r="E149" t="s">
        <v>385</v>
      </c>
      <c r="F149">
        <v>1</v>
      </c>
      <c r="G149">
        <v>0</v>
      </c>
      <c r="H149" t="s">
        <v>3713</v>
      </c>
      <c r="I149">
        <v>0</v>
      </c>
      <c r="J149">
        <v>1</v>
      </c>
      <c r="K149">
        <v>1</v>
      </c>
      <c r="L149">
        <v>1</v>
      </c>
      <c r="M149">
        <v>1</v>
      </c>
    </row>
    <row r="150" spans="1:13" x14ac:dyDescent="0.25">
      <c r="A150" t="s">
        <v>2896</v>
      </c>
      <c r="B150" t="s">
        <v>2896</v>
      </c>
      <c r="C150" t="s">
        <v>2894</v>
      </c>
      <c r="D150" t="s">
        <v>2895</v>
      </c>
      <c r="E150" t="s">
        <v>378</v>
      </c>
      <c r="F150">
        <v>1</v>
      </c>
      <c r="G150">
        <v>0</v>
      </c>
      <c r="H150" t="s">
        <v>3713</v>
      </c>
      <c r="I150">
        <v>1</v>
      </c>
      <c r="J150">
        <v>1</v>
      </c>
      <c r="K150">
        <v>1</v>
      </c>
      <c r="L150">
        <v>1</v>
      </c>
      <c r="M150">
        <v>1</v>
      </c>
    </row>
    <row r="151" spans="1:13" x14ac:dyDescent="0.25">
      <c r="A151" t="s">
        <v>2899</v>
      </c>
      <c r="B151" t="s">
        <v>2899</v>
      </c>
      <c r="C151" t="s">
        <v>2897</v>
      </c>
      <c r="D151" t="s">
        <v>2898</v>
      </c>
      <c r="E151" t="s">
        <v>372</v>
      </c>
      <c r="F151">
        <v>1</v>
      </c>
      <c r="G151">
        <v>1</v>
      </c>
      <c r="H151" t="s">
        <v>3714</v>
      </c>
      <c r="I151">
        <v>0</v>
      </c>
      <c r="J151">
        <v>0</v>
      </c>
      <c r="K151">
        <v>0</v>
      </c>
      <c r="L151">
        <v>0</v>
      </c>
      <c r="M151">
        <v>1</v>
      </c>
    </row>
    <row r="152" spans="1:13" x14ac:dyDescent="0.25">
      <c r="A152" t="s">
        <v>2902</v>
      </c>
      <c r="B152" t="s">
        <v>2902</v>
      </c>
      <c r="C152" t="s">
        <v>2900</v>
      </c>
      <c r="D152" t="s">
        <v>2901</v>
      </c>
      <c r="E152" t="s">
        <v>373</v>
      </c>
      <c r="F152">
        <v>4</v>
      </c>
      <c r="G152">
        <v>1</v>
      </c>
      <c r="H152" t="s">
        <v>3711</v>
      </c>
      <c r="I152">
        <v>0</v>
      </c>
      <c r="J152">
        <v>0</v>
      </c>
      <c r="K152">
        <v>0</v>
      </c>
      <c r="L152">
        <v>0</v>
      </c>
      <c r="M152">
        <v>0</v>
      </c>
    </row>
    <row r="153" spans="1:13" x14ac:dyDescent="0.25">
      <c r="A153" t="s">
        <v>2905</v>
      </c>
      <c r="B153" t="s">
        <v>2905</v>
      </c>
      <c r="C153" t="s">
        <v>2903</v>
      </c>
      <c r="D153" t="s">
        <v>2904</v>
      </c>
      <c r="E153" t="s">
        <v>375</v>
      </c>
      <c r="F153">
        <v>4</v>
      </c>
      <c r="G153">
        <v>0</v>
      </c>
      <c r="H153" t="s">
        <v>3712</v>
      </c>
      <c r="I153">
        <v>0</v>
      </c>
      <c r="J153">
        <v>0</v>
      </c>
      <c r="K153">
        <v>0</v>
      </c>
      <c r="L153">
        <v>0</v>
      </c>
      <c r="M153">
        <v>0</v>
      </c>
    </row>
    <row r="154" spans="1:13" x14ac:dyDescent="0.25">
      <c r="A154" t="s">
        <v>2908</v>
      </c>
      <c r="B154" t="s">
        <v>2908</v>
      </c>
      <c r="C154" t="s">
        <v>2906</v>
      </c>
      <c r="D154" t="s">
        <v>2907</v>
      </c>
      <c r="E154" t="s">
        <v>384</v>
      </c>
      <c r="F154">
        <v>2</v>
      </c>
      <c r="G154">
        <v>0</v>
      </c>
      <c r="H154" t="s">
        <v>3709</v>
      </c>
      <c r="I154">
        <v>0</v>
      </c>
      <c r="J154">
        <v>1</v>
      </c>
      <c r="K154">
        <v>1</v>
      </c>
      <c r="L154">
        <v>1</v>
      </c>
      <c r="M154">
        <v>0</v>
      </c>
    </row>
    <row r="155" spans="1:13" x14ac:dyDescent="0.25">
      <c r="A155" t="s">
        <v>2911</v>
      </c>
      <c r="B155" t="s">
        <v>2911</v>
      </c>
      <c r="C155" t="s">
        <v>2909</v>
      </c>
      <c r="D155" t="s">
        <v>2910</v>
      </c>
      <c r="E155" t="s">
        <v>380</v>
      </c>
      <c r="F155">
        <v>1</v>
      </c>
      <c r="G155">
        <v>0</v>
      </c>
      <c r="H155" t="s">
        <v>3713</v>
      </c>
      <c r="I155">
        <v>1</v>
      </c>
      <c r="J155">
        <v>1</v>
      </c>
      <c r="K155">
        <v>1</v>
      </c>
      <c r="L155">
        <v>1</v>
      </c>
      <c r="M155">
        <v>1</v>
      </c>
    </row>
    <row r="156" spans="1:13" x14ac:dyDescent="0.25">
      <c r="A156" t="s">
        <v>2914</v>
      </c>
      <c r="B156" t="s">
        <v>2914</v>
      </c>
      <c r="C156" t="s">
        <v>2912</v>
      </c>
      <c r="D156" t="s">
        <v>2913</v>
      </c>
      <c r="E156" t="s">
        <v>384</v>
      </c>
      <c r="F156">
        <v>2</v>
      </c>
      <c r="G156">
        <v>0</v>
      </c>
      <c r="H156" t="s">
        <v>3709</v>
      </c>
      <c r="I156">
        <v>0</v>
      </c>
      <c r="J156">
        <v>1</v>
      </c>
      <c r="K156">
        <v>1</v>
      </c>
      <c r="L156">
        <v>1</v>
      </c>
      <c r="M156">
        <v>0</v>
      </c>
    </row>
    <row r="157" spans="1:13" x14ac:dyDescent="0.25">
      <c r="A157" t="s">
        <v>2917</v>
      </c>
      <c r="B157" t="s">
        <v>2917</v>
      </c>
      <c r="C157" t="s">
        <v>2915</v>
      </c>
      <c r="D157" t="s">
        <v>2916</v>
      </c>
      <c r="E157" t="s">
        <v>380</v>
      </c>
      <c r="F157">
        <v>1</v>
      </c>
      <c r="G157">
        <v>0</v>
      </c>
      <c r="H157" t="s">
        <v>3713</v>
      </c>
      <c r="I157">
        <v>1</v>
      </c>
      <c r="J157">
        <v>1</v>
      </c>
      <c r="K157">
        <v>1</v>
      </c>
      <c r="L157">
        <v>1</v>
      </c>
      <c r="M157">
        <v>1</v>
      </c>
    </row>
    <row r="158" spans="1:13" x14ac:dyDescent="0.25">
      <c r="A158" t="s">
        <v>2920</v>
      </c>
      <c r="B158" t="s">
        <v>2920</v>
      </c>
      <c r="C158" t="s">
        <v>2918</v>
      </c>
      <c r="D158" t="s">
        <v>2919</v>
      </c>
      <c r="E158" t="s">
        <v>384</v>
      </c>
      <c r="F158">
        <v>2</v>
      </c>
      <c r="G158">
        <v>0</v>
      </c>
      <c r="H158" t="s">
        <v>3709</v>
      </c>
      <c r="I158">
        <v>0</v>
      </c>
      <c r="J158">
        <v>1</v>
      </c>
      <c r="K158">
        <v>1</v>
      </c>
      <c r="L158">
        <v>1</v>
      </c>
      <c r="M158">
        <v>0</v>
      </c>
    </row>
    <row r="159" spans="1:13" x14ac:dyDescent="0.25">
      <c r="A159" t="s">
        <v>2923</v>
      </c>
      <c r="B159" t="s">
        <v>2923</v>
      </c>
      <c r="C159" t="s">
        <v>2921</v>
      </c>
      <c r="D159" t="s">
        <v>2922</v>
      </c>
      <c r="E159" t="s">
        <v>385</v>
      </c>
      <c r="F159">
        <v>1</v>
      </c>
      <c r="G159">
        <v>0</v>
      </c>
      <c r="H159" t="s">
        <v>3713</v>
      </c>
      <c r="I159">
        <v>0</v>
      </c>
      <c r="J159">
        <v>1</v>
      </c>
      <c r="K159">
        <v>1</v>
      </c>
      <c r="L159">
        <v>1</v>
      </c>
      <c r="M159">
        <v>1</v>
      </c>
    </row>
    <row r="160" spans="1:13" x14ac:dyDescent="0.25">
      <c r="A160" t="s">
        <v>2926</v>
      </c>
      <c r="B160" t="s">
        <v>2926</v>
      </c>
      <c r="C160" t="s">
        <v>2924</v>
      </c>
      <c r="D160" t="s">
        <v>2925</v>
      </c>
      <c r="E160" t="s">
        <v>384</v>
      </c>
      <c r="F160">
        <v>2</v>
      </c>
      <c r="G160">
        <v>0</v>
      </c>
      <c r="H160" t="s">
        <v>3709</v>
      </c>
      <c r="I160">
        <v>0</v>
      </c>
      <c r="J160">
        <v>1</v>
      </c>
      <c r="K160">
        <v>1</v>
      </c>
      <c r="L160">
        <v>1</v>
      </c>
      <c r="M160">
        <v>0</v>
      </c>
    </row>
    <row r="161" spans="1:13" x14ac:dyDescent="0.25">
      <c r="A161" t="s">
        <v>2929</v>
      </c>
      <c r="B161" t="s">
        <v>2929</v>
      </c>
      <c r="C161" t="s">
        <v>2927</v>
      </c>
      <c r="D161" t="s">
        <v>2928</v>
      </c>
      <c r="E161" t="s">
        <v>384</v>
      </c>
      <c r="F161">
        <v>2</v>
      </c>
      <c r="G161">
        <v>1</v>
      </c>
      <c r="H161" t="s">
        <v>3710</v>
      </c>
      <c r="I161">
        <v>1</v>
      </c>
      <c r="J161">
        <v>1</v>
      </c>
      <c r="K161">
        <v>1</v>
      </c>
      <c r="L161">
        <v>1</v>
      </c>
      <c r="M161">
        <v>0</v>
      </c>
    </row>
    <row r="162" spans="1:13" x14ac:dyDescent="0.25">
      <c r="A162" t="s">
        <v>2932</v>
      </c>
      <c r="B162" t="s">
        <v>2932</v>
      </c>
      <c r="C162" t="s">
        <v>2930</v>
      </c>
      <c r="D162" t="s">
        <v>2931</v>
      </c>
      <c r="E162" t="s">
        <v>380</v>
      </c>
      <c r="F162">
        <v>1</v>
      </c>
      <c r="G162">
        <v>0</v>
      </c>
      <c r="H162" t="s">
        <v>3713</v>
      </c>
      <c r="I162">
        <v>1</v>
      </c>
      <c r="J162">
        <v>1</v>
      </c>
      <c r="K162">
        <v>1</v>
      </c>
      <c r="L162">
        <v>1</v>
      </c>
      <c r="M162">
        <v>1</v>
      </c>
    </row>
    <row r="163" spans="1:13" x14ac:dyDescent="0.25">
      <c r="A163" t="s">
        <v>3733</v>
      </c>
      <c r="B163" t="s">
        <v>3733</v>
      </c>
      <c r="C163" t="s">
        <v>2933</v>
      </c>
      <c r="D163" t="s">
        <v>2934</v>
      </c>
      <c r="E163" t="s">
        <v>373</v>
      </c>
      <c r="F163">
        <v>4</v>
      </c>
      <c r="G163">
        <v>1</v>
      </c>
      <c r="H163" t="s">
        <v>3711</v>
      </c>
      <c r="I163">
        <v>0</v>
      </c>
      <c r="J163">
        <v>0</v>
      </c>
      <c r="K163">
        <v>0</v>
      </c>
      <c r="L163">
        <v>0</v>
      </c>
      <c r="M163">
        <v>0</v>
      </c>
    </row>
    <row r="164" spans="1:13" x14ac:dyDescent="0.25">
      <c r="A164" t="s">
        <v>2938</v>
      </c>
      <c r="B164" t="s">
        <v>2938</v>
      </c>
      <c r="C164" t="s">
        <v>2936</v>
      </c>
      <c r="D164" t="s">
        <v>2937</v>
      </c>
      <c r="E164" t="s">
        <v>385</v>
      </c>
      <c r="F164">
        <v>1</v>
      </c>
      <c r="G164">
        <v>0</v>
      </c>
      <c r="H164" t="s">
        <v>3713</v>
      </c>
      <c r="I164">
        <v>0</v>
      </c>
      <c r="J164">
        <v>1</v>
      </c>
      <c r="K164">
        <v>1</v>
      </c>
      <c r="L164">
        <v>1</v>
      </c>
      <c r="M164">
        <v>1</v>
      </c>
    </row>
    <row r="165" spans="1:13" x14ac:dyDescent="0.25">
      <c r="A165" t="s">
        <v>2941</v>
      </c>
      <c r="B165" t="s">
        <v>2941</v>
      </c>
      <c r="C165" t="s">
        <v>2939</v>
      </c>
      <c r="D165" t="s">
        <v>2940</v>
      </c>
      <c r="E165" t="s">
        <v>372</v>
      </c>
      <c r="F165">
        <v>1</v>
      </c>
      <c r="G165">
        <v>1</v>
      </c>
      <c r="H165" t="s">
        <v>3714</v>
      </c>
      <c r="I165">
        <v>0</v>
      </c>
      <c r="J165">
        <v>0</v>
      </c>
      <c r="K165">
        <v>0</v>
      </c>
      <c r="L165">
        <v>0</v>
      </c>
      <c r="M165">
        <v>1</v>
      </c>
    </row>
    <row r="166" spans="1:13" x14ac:dyDescent="0.25">
      <c r="A166" t="s">
        <v>2944</v>
      </c>
      <c r="B166" t="s">
        <v>2944</v>
      </c>
      <c r="C166" t="s">
        <v>2942</v>
      </c>
      <c r="D166" t="s">
        <v>2943</v>
      </c>
      <c r="E166" t="s">
        <v>375</v>
      </c>
      <c r="F166">
        <v>4</v>
      </c>
      <c r="G166">
        <v>0</v>
      </c>
      <c r="H166" t="s">
        <v>3712</v>
      </c>
      <c r="I166">
        <v>0</v>
      </c>
      <c r="J166">
        <v>0</v>
      </c>
      <c r="K166">
        <v>0</v>
      </c>
      <c r="L166">
        <v>0</v>
      </c>
      <c r="M166">
        <v>0</v>
      </c>
    </row>
    <row r="167" spans="1:13" x14ac:dyDescent="0.25">
      <c r="A167" t="s">
        <v>2947</v>
      </c>
      <c r="B167" t="s">
        <v>2947</v>
      </c>
      <c r="C167" t="s">
        <v>2945</v>
      </c>
      <c r="D167" t="s">
        <v>2946</v>
      </c>
      <c r="E167" t="s">
        <v>384</v>
      </c>
      <c r="F167">
        <v>2</v>
      </c>
      <c r="G167">
        <v>0</v>
      </c>
      <c r="H167" t="s">
        <v>3709</v>
      </c>
      <c r="I167">
        <v>1</v>
      </c>
      <c r="J167">
        <v>1</v>
      </c>
      <c r="K167">
        <v>1</v>
      </c>
      <c r="L167">
        <v>1</v>
      </c>
      <c r="M167">
        <v>0</v>
      </c>
    </row>
    <row r="168" spans="1:13" x14ac:dyDescent="0.25">
      <c r="A168" t="s">
        <v>2950</v>
      </c>
      <c r="B168" t="s">
        <v>2950</v>
      </c>
      <c r="C168" t="s">
        <v>2948</v>
      </c>
      <c r="D168" t="s">
        <v>2949</v>
      </c>
      <c r="E168" t="s">
        <v>384</v>
      </c>
      <c r="F168">
        <v>2</v>
      </c>
      <c r="G168">
        <v>0</v>
      </c>
      <c r="H168" t="s">
        <v>3709</v>
      </c>
      <c r="I168">
        <v>0</v>
      </c>
      <c r="J168">
        <v>1</v>
      </c>
      <c r="K168">
        <v>1</v>
      </c>
      <c r="L168">
        <v>1</v>
      </c>
      <c r="M168">
        <v>0</v>
      </c>
    </row>
    <row r="169" spans="1:13" x14ac:dyDescent="0.25">
      <c r="A169" t="s">
        <v>2953</v>
      </c>
      <c r="B169" t="s">
        <v>2953</v>
      </c>
      <c r="C169" t="s">
        <v>2951</v>
      </c>
      <c r="D169" t="s">
        <v>2952</v>
      </c>
      <c r="E169" t="s">
        <v>380</v>
      </c>
      <c r="F169">
        <v>1</v>
      </c>
      <c r="G169">
        <v>0</v>
      </c>
      <c r="H169" t="s">
        <v>3713</v>
      </c>
      <c r="I169">
        <v>1</v>
      </c>
      <c r="J169">
        <v>1</v>
      </c>
      <c r="K169">
        <v>1</v>
      </c>
      <c r="L169">
        <v>1</v>
      </c>
      <c r="M169">
        <v>1</v>
      </c>
    </row>
    <row r="170" spans="1:13" x14ac:dyDescent="0.25">
      <c r="A170" t="s">
        <v>2956</v>
      </c>
      <c r="B170" t="s">
        <v>2956</v>
      </c>
      <c r="C170" t="s">
        <v>2954</v>
      </c>
      <c r="D170" t="s">
        <v>2955</v>
      </c>
      <c r="E170" t="s">
        <v>384</v>
      </c>
      <c r="F170">
        <v>2</v>
      </c>
      <c r="G170">
        <v>0</v>
      </c>
      <c r="H170" t="s">
        <v>3709</v>
      </c>
      <c r="I170">
        <v>0</v>
      </c>
      <c r="J170">
        <v>1</v>
      </c>
      <c r="K170">
        <v>1</v>
      </c>
      <c r="L170">
        <v>1</v>
      </c>
      <c r="M170">
        <v>0</v>
      </c>
    </row>
    <row r="171" spans="1:13" x14ac:dyDescent="0.25">
      <c r="A171" t="s">
        <v>2959</v>
      </c>
      <c r="B171" t="s">
        <v>2959</v>
      </c>
      <c r="C171" t="s">
        <v>2957</v>
      </c>
      <c r="D171" t="s">
        <v>2958</v>
      </c>
      <c r="E171" t="s">
        <v>384</v>
      </c>
      <c r="F171">
        <v>2</v>
      </c>
      <c r="G171">
        <v>0</v>
      </c>
      <c r="H171" t="s">
        <v>3709</v>
      </c>
      <c r="I171">
        <v>1</v>
      </c>
      <c r="J171">
        <v>1</v>
      </c>
      <c r="K171">
        <v>1</v>
      </c>
      <c r="L171">
        <v>1</v>
      </c>
      <c r="M171">
        <v>0</v>
      </c>
    </row>
    <row r="172" spans="1:13" x14ac:dyDescent="0.25">
      <c r="A172" t="s">
        <v>2962</v>
      </c>
      <c r="B172" t="s">
        <v>2962</v>
      </c>
      <c r="C172" t="s">
        <v>2960</v>
      </c>
      <c r="D172" t="s">
        <v>2961</v>
      </c>
      <c r="E172" t="s">
        <v>380</v>
      </c>
      <c r="F172">
        <v>1</v>
      </c>
      <c r="G172">
        <v>0</v>
      </c>
      <c r="H172" t="s">
        <v>3713</v>
      </c>
      <c r="I172">
        <v>1</v>
      </c>
      <c r="J172">
        <v>1</v>
      </c>
      <c r="K172">
        <v>1</v>
      </c>
      <c r="L172">
        <v>1</v>
      </c>
      <c r="M172">
        <v>1</v>
      </c>
    </row>
    <row r="173" spans="1:13" x14ac:dyDescent="0.25">
      <c r="A173" t="s">
        <v>2965</v>
      </c>
      <c r="B173" t="s">
        <v>2965</v>
      </c>
      <c r="C173" t="s">
        <v>2963</v>
      </c>
      <c r="D173" t="s">
        <v>2964</v>
      </c>
      <c r="E173" t="s">
        <v>382</v>
      </c>
      <c r="F173">
        <v>5</v>
      </c>
      <c r="G173">
        <v>0</v>
      </c>
      <c r="H173" t="s">
        <v>3719</v>
      </c>
      <c r="I173">
        <v>0</v>
      </c>
      <c r="J173">
        <v>0</v>
      </c>
      <c r="K173">
        <v>0</v>
      </c>
      <c r="L173">
        <v>0</v>
      </c>
      <c r="M173">
        <v>0</v>
      </c>
    </row>
    <row r="174" spans="1:13" x14ac:dyDescent="0.25">
      <c r="A174" t="s">
        <v>3734</v>
      </c>
      <c r="B174" t="s">
        <v>3734</v>
      </c>
      <c r="C174" t="s">
        <v>2966</v>
      </c>
      <c r="D174" t="s">
        <v>2967</v>
      </c>
      <c r="E174" t="s">
        <v>373</v>
      </c>
      <c r="F174">
        <v>4</v>
      </c>
      <c r="G174">
        <v>0</v>
      </c>
      <c r="H174" t="s">
        <v>3712</v>
      </c>
      <c r="I174">
        <v>0</v>
      </c>
      <c r="J174">
        <v>0</v>
      </c>
      <c r="K174">
        <v>0</v>
      </c>
      <c r="L174">
        <v>0</v>
      </c>
      <c r="M174">
        <v>0</v>
      </c>
    </row>
    <row r="175" spans="1:13" x14ac:dyDescent="0.25">
      <c r="A175" t="s">
        <v>2971</v>
      </c>
      <c r="B175" t="s">
        <v>2971</v>
      </c>
      <c r="C175" t="s">
        <v>2969</v>
      </c>
      <c r="D175" t="s">
        <v>2970</v>
      </c>
      <c r="E175" t="s">
        <v>375</v>
      </c>
      <c r="F175">
        <v>4</v>
      </c>
      <c r="G175">
        <v>1</v>
      </c>
      <c r="H175" t="s">
        <v>3711</v>
      </c>
      <c r="I175">
        <v>0</v>
      </c>
      <c r="J175">
        <v>0</v>
      </c>
      <c r="K175">
        <v>0</v>
      </c>
      <c r="L175">
        <v>0</v>
      </c>
      <c r="M175">
        <v>0</v>
      </c>
    </row>
    <row r="176" spans="1:13" x14ac:dyDescent="0.25">
      <c r="A176" t="s">
        <v>2974</v>
      </c>
      <c r="B176" t="s">
        <v>2974</v>
      </c>
      <c r="C176" t="s">
        <v>2972</v>
      </c>
      <c r="D176" t="s">
        <v>2973</v>
      </c>
      <c r="E176" t="s">
        <v>384</v>
      </c>
      <c r="F176">
        <v>2</v>
      </c>
      <c r="G176">
        <v>0</v>
      </c>
      <c r="H176" t="s">
        <v>3709</v>
      </c>
      <c r="I176">
        <v>1</v>
      </c>
      <c r="J176">
        <v>1</v>
      </c>
      <c r="K176">
        <v>1</v>
      </c>
      <c r="L176">
        <v>1</v>
      </c>
      <c r="M176">
        <v>0</v>
      </c>
    </row>
    <row r="177" spans="1:13" x14ac:dyDescent="0.25">
      <c r="A177" t="s">
        <v>2977</v>
      </c>
      <c r="B177" t="s">
        <v>2977</v>
      </c>
      <c r="C177" t="s">
        <v>2975</v>
      </c>
      <c r="D177" t="s">
        <v>2976</v>
      </c>
      <c r="E177" t="s">
        <v>384</v>
      </c>
      <c r="F177">
        <v>2</v>
      </c>
      <c r="G177">
        <v>0</v>
      </c>
      <c r="H177" t="s">
        <v>3709</v>
      </c>
      <c r="I177">
        <v>0</v>
      </c>
      <c r="J177">
        <v>1</v>
      </c>
      <c r="K177">
        <v>1</v>
      </c>
      <c r="L177">
        <v>1</v>
      </c>
      <c r="M177">
        <v>0</v>
      </c>
    </row>
    <row r="178" spans="1:13" x14ac:dyDescent="0.25">
      <c r="A178" t="s">
        <v>2980</v>
      </c>
      <c r="B178" t="s">
        <v>2980</v>
      </c>
      <c r="C178" t="s">
        <v>2978</v>
      </c>
      <c r="D178" t="s">
        <v>2979</v>
      </c>
      <c r="E178" t="s">
        <v>384</v>
      </c>
      <c r="F178">
        <v>2</v>
      </c>
      <c r="G178">
        <v>0</v>
      </c>
      <c r="H178" t="s">
        <v>3709</v>
      </c>
      <c r="I178">
        <v>0</v>
      </c>
      <c r="J178">
        <v>1</v>
      </c>
      <c r="K178">
        <v>1</v>
      </c>
      <c r="L178">
        <v>1</v>
      </c>
      <c r="M178">
        <v>0</v>
      </c>
    </row>
    <row r="179" spans="1:13" x14ac:dyDescent="0.25">
      <c r="A179" t="s">
        <v>2983</v>
      </c>
      <c r="B179" t="s">
        <v>2983</v>
      </c>
      <c r="C179" t="s">
        <v>2981</v>
      </c>
      <c r="D179" t="s">
        <v>2982</v>
      </c>
      <c r="E179" t="s">
        <v>385</v>
      </c>
      <c r="F179">
        <v>1</v>
      </c>
      <c r="G179">
        <v>0</v>
      </c>
      <c r="H179" t="s">
        <v>3713</v>
      </c>
      <c r="I179">
        <v>0</v>
      </c>
      <c r="J179">
        <v>1</v>
      </c>
      <c r="K179">
        <v>1</v>
      </c>
      <c r="L179">
        <v>1</v>
      </c>
      <c r="M179">
        <v>1</v>
      </c>
    </row>
    <row r="180" spans="1:13" x14ac:dyDescent="0.25">
      <c r="A180" t="s">
        <v>2986</v>
      </c>
      <c r="B180" t="s">
        <v>2986</v>
      </c>
      <c r="C180" t="s">
        <v>2984</v>
      </c>
      <c r="D180" t="s">
        <v>2985</v>
      </c>
      <c r="E180" t="s">
        <v>383</v>
      </c>
      <c r="F180">
        <v>1</v>
      </c>
      <c r="G180">
        <v>0</v>
      </c>
      <c r="H180" t="s">
        <v>3713</v>
      </c>
      <c r="I180">
        <v>0</v>
      </c>
      <c r="J180">
        <v>1</v>
      </c>
      <c r="K180">
        <v>1</v>
      </c>
      <c r="L180">
        <v>1</v>
      </c>
      <c r="M180">
        <v>1</v>
      </c>
    </row>
    <row r="181" spans="1:13" x14ac:dyDescent="0.25">
      <c r="A181" t="s">
        <v>2989</v>
      </c>
      <c r="B181" t="s">
        <v>2989</v>
      </c>
      <c r="C181" t="s">
        <v>2987</v>
      </c>
      <c r="D181" t="s">
        <v>2988</v>
      </c>
      <c r="E181" t="s">
        <v>378</v>
      </c>
      <c r="F181">
        <v>1</v>
      </c>
      <c r="G181">
        <v>0</v>
      </c>
      <c r="H181" t="s">
        <v>3713</v>
      </c>
      <c r="I181">
        <v>1</v>
      </c>
      <c r="J181">
        <v>1</v>
      </c>
      <c r="K181">
        <v>1</v>
      </c>
      <c r="L181">
        <v>1</v>
      </c>
      <c r="M181">
        <v>1</v>
      </c>
    </row>
    <row r="182" spans="1:13" x14ac:dyDescent="0.25">
      <c r="A182" t="s">
        <v>2992</v>
      </c>
      <c r="B182" t="s">
        <v>2992</v>
      </c>
      <c r="C182" t="s">
        <v>2990</v>
      </c>
      <c r="D182" t="s">
        <v>2991</v>
      </c>
      <c r="E182" t="s">
        <v>378</v>
      </c>
      <c r="F182">
        <v>1</v>
      </c>
      <c r="G182">
        <v>0</v>
      </c>
      <c r="H182" t="s">
        <v>3713</v>
      </c>
      <c r="I182">
        <v>1</v>
      </c>
      <c r="J182">
        <v>1</v>
      </c>
      <c r="K182">
        <v>1</v>
      </c>
      <c r="L182">
        <v>1</v>
      </c>
      <c r="M182">
        <v>1</v>
      </c>
    </row>
    <row r="183" spans="1:13" x14ac:dyDescent="0.25">
      <c r="A183" t="s">
        <v>2995</v>
      </c>
      <c r="B183" t="s">
        <v>2995</v>
      </c>
      <c r="C183" t="s">
        <v>2993</v>
      </c>
      <c r="D183" t="s">
        <v>2994</v>
      </c>
      <c r="E183" t="s">
        <v>372</v>
      </c>
      <c r="F183">
        <v>1</v>
      </c>
      <c r="G183">
        <v>1</v>
      </c>
      <c r="H183" t="s">
        <v>3714</v>
      </c>
      <c r="I183">
        <v>0</v>
      </c>
      <c r="J183">
        <v>0</v>
      </c>
      <c r="K183">
        <v>0</v>
      </c>
      <c r="L183">
        <v>0</v>
      </c>
      <c r="M183">
        <v>1</v>
      </c>
    </row>
    <row r="184" spans="1:13" x14ac:dyDescent="0.25">
      <c r="A184" t="s">
        <v>3735</v>
      </c>
      <c r="B184" t="s">
        <v>3735</v>
      </c>
      <c r="C184" t="s">
        <v>2996</v>
      </c>
      <c r="D184" t="s">
        <v>2997</v>
      </c>
      <c r="E184" t="s">
        <v>373</v>
      </c>
      <c r="F184">
        <v>4</v>
      </c>
      <c r="G184">
        <v>0</v>
      </c>
      <c r="H184" t="s">
        <v>3712</v>
      </c>
      <c r="I184">
        <v>0</v>
      </c>
      <c r="J184">
        <v>0</v>
      </c>
      <c r="K184">
        <v>0</v>
      </c>
      <c r="L184">
        <v>0</v>
      </c>
      <c r="M184">
        <v>0</v>
      </c>
    </row>
    <row r="185" spans="1:13" x14ac:dyDescent="0.25">
      <c r="A185" t="s">
        <v>3001</v>
      </c>
      <c r="B185" t="s">
        <v>3001</v>
      </c>
      <c r="C185" t="s">
        <v>2999</v>
      </c>
      <c r="D185" t="s">
        <v>3000</v>
      </c>
      <c r="E185" t="s">
        <v>375</v>
      </c>
      <c r="F185">
        <v>4</v>
      </c>
      <c r="G185">
        <v>0</v>
      </c>
      <c r="H185" t="s">
        <v>3712</v>
      </c>
      <c r="I185">
        <v>0</v>
      </c>
      <c r="J185">
        <v>0</v>
      </c>
      <c r="K185">
        <v>0</v>
      </c>
      <c r="L185">
        <v>0</v>
      </c>
      <c r="M185">
        <v>0</v>
      </c>
    </row>
    <row r="186" spans="1:13" x14ac:dyDescent="0.25">
      <c r="A186" t="s">
        <v>3004</v>
      </c>
      <c r="B186" t="s">
        <v>3004</v>
      </c>
      <c r="C186" t="s">
        <v>3002</v>
      </c>
      <c r="D186" t="s">
        <v>3003</v>
      </c>
      <c r="E186" t="s">
        <v>384</v>
      </c>
      <c r="F186">
        <v>2</v>
      </c>
      <c r="G186">
        <v>1</v>
      </c>
      <c r="H186" t="s">
        <v>3710</v>
      </c>
      <c r="I186">
        <v>1</v>
      </c>
      <c r="J186">
        <v>1</v>
      </c>
      <c r="K186">
        <v>1</v>
      </c>
      <c r="L186">
        <v>1</v>
      </c>
      <c r="M186">
        <v>0</v>
      </c>
    </row>
    <row r="187" spans="1:13" x14ac:dyDescent="0.25">
      <c r="A187" t="s">
        <v>3007</v>
      </c>
      <c r="B187" t="s">
        <v>3007</v>
      </c>
      <c r="C187" t="s">
        <v>3005</v>
      </c>
      <c r="D187" t="s">
        <v>3006</v>
      </c>
      <c r="E187" t="s">
        <v>385</v>
      </c>
      <c r="F187">
        <v>1</v>
      </c>
      <c r="G187">
        <v>0</v>
      </c>
      <c r="H187" t="s">
        <v>3713</v>
      </c>
      <c r="I187">
        <v>1</v>
      </c>
      <c r="J187">
        <v>1</v>
      </c>
      <c r="K187">
        <v>1</v>
      </c>
      <c r="L187">
        <v>1</v>
      </c>
      <c r="M187">
        <v>1</v>
      </c>
    </row>
    <row r="188" spans="1:13" x14ac:dyDescent="0.25">
      <c r="A188" t="s">
        <v>3010</v>
      </c>
      <c r="B188" t="s">
        <v>3010</v>
      </c>
      <c r="C188" t="s">
        <v>3008</v>
      </c>
      <c r="D188" t="s">
        <v>3009</v>
      </c>
      <c r="E188" t="s">
        <v>380</v>
      </c>
      <c r="F188">
        <v>1</v>
      </c>
      <c r="G188">
        <v>0</v>
      </c>
      <c r="H188" t="s">
        <v>3713</v>
      </c>
      <c r="I188">
        <v>1</v>
      </c>
      <c r="J188">
        <v>1</v>
      </c>
      <c r="K188">
        <v>1</v>
      </c>
      <c r="L188">
        <v>1</v>
      </c>
      <c r="M188">
        <v>1</v>
      </c>
    </row>
    <row r="189" spans="1:13" x14ac:dyDescent="0.25">
      <c r="A189" t="s">
        <v>3013</v>
      </c>
      <c r="B189" t="s">
        <v>3013</v>
      </c>
      <c r="C189" t="s">
        <v>3011</v>
      </c>
      <c r="D189" t="s">
        <v>3012</v>
      </c>
      <c r="E189" t="s">
        <v>379</v>
      </c>
      <c r="F189">
        <v>1</v>
      </c>
      <c r="G189">
        <v>1</v>
      </c>
      <c r="H189" t="s">
        <v>3714</v>
      </c>
      <c r="I189">
        <v>0</v>
      </c>
      <c r="J189">
        <v>1</v>
      </c>
      <c r="K189">
        <v>1</v>
      </c>
      <c r="L189">
        <v>1</v>
      </c>
      <c r="M189">
        <v>1</v>
      </c>
    </row>
    <row r="190" spans="1:13" x14ac:dyDescent="0.25">
      <c r="A190" t="s">
        <v>3016</v>
      </c>
      <c r="B190" t="s">
        <v>3016</v>
      </c>
      <c r="C190" t="s">
        <v>3014</v>
      </c>
      <c r="D190" t="s">
        <v>3015</v>
      </c>
      <c r="E190" t="s">
        <v>379</v>
      </c>
      <c r="F190">
        <v>1</v>
      </c>
      <c r="G190">
        <v>1</v>
      </c>
      <c r="H190" t="s">
        <v>3714</v>
      </c>
      <c r="I190">
        <v>0</v>
      </c>
      <c r="J190">
        <v>1</v>
      </c>
      <c r="K190">
        <v>1</v>
      </c>
      <c r="L190">
        <v>1</v>
      </c>
      <c r="M190">
        <v>1</v>
      </c>
    </row>
    <row r="191" spans="1:13" x14ac:dyDescent="0.25">
      <c r="A191" t="s">
        <v>3019</v>
      </c>
      <c r="B191" t="s">
        <v>3019</v>
      </c>
      <c r="C191" t="s">
        <v>3017</v>
      </c>
      <c r="D191" t="s">
        <v>3018</v>
      </c>
      <c r="E191" t="s">
        <v>381</v>
      </c>
      <c r="F191">
        <v>8</v>
      </c>
      <c r="G191">
        <v>0</v>
      </c>
      <c r="H191" t="s">
        <v>3736</v>
      </c>
      <c r="I191">
        <v>0</v>
      </c>
      <c r="J191">
        <v>0</v>
      </c>
      <c r="K191">
        <v>0</v>
      </c>
      <c r="L191">
        <v>0</v>
      </c>
      <c r="M191">
        <v>0</v>
      </c>
    </row>
    <row r="192" spans="1:13" x14ac:dyDescent="0.25">
      <c r="A192" t="s">
        <v>3022</v>
      </c>
      <c r="B192" t="s">
        <v>3022</v>
      </c>
      <c r="C192" t="s">
        <v>3020</v>
      </c>
      <c r="D192" t="s">
        <v>3021</v>
      </c>
      <c r="E192" t="s">
        <v>378</v>
      </c>
      <c r="F192">
        <v>1</v>
      </c>
      <c r="G192">
        <v>0</v>
      </c>
      <c r="H192" t="s">
        <v>3713</v>
      </c>
      <c r="I192">
        <v>1</v>
      </c>
      <c r="J192">
        <v>1</v>
      </c>
      <c r="K192">
        <v>1</v>
      </c>
      <c r="L192">
        <v>1</v>
      </c>
      <c r="M192">
        <v>1</v>
      </c>
    </row>
    <row r="193" spans="1:13" x14ac:dyDescent="0.25">
      <c r="A193" t="s">
        <v>3025</v>
      </c>
      <c r="B193" t="s">
        <v>3025</v>
      </c>
      <c r="C193" t="s">
        <v>3023</v>
      </c>
      <c r="D193" t="s">
        <v>3024</v>
      </c>
      <c r="E193" t="s">
        <v>372</v>
      </c>
      <c r="F193">
        <v>1</v>
      </c>
      <c r="G193">
        <v>1</v>
      </c>
      <c r="H193" t="s">
        <v>3714</v>
      </c>
      <c r="I193">
        <v>0</v>
      </c>
      <c r="J193">
        <v>0</v>
      </c>
      <c r="K193">
        <v>0</v>
      </c>
      <c r="L193">
        <v>0</v>
      </c>
      <c r="M193">
        <v>1</v>
      </c>
    </row>
    <row r="194" spans="1:13" x14ac:dyDescent="0.25">
      <c r="A194" t="s">
        <v>3028</v>
      </c>
      <c r="B194" t="s">
        <v>3028</v>
      </c>
      <c r="C194" t="s">
        <v>3026</v>
      </c>
      <c r="D194" t="s">
        <v>3027</v>
      </c>
      <c r="E194" t="s">
        <v>382</v>
      </c>
      <c r="F194">
        <v>5</v>
      </c>
      <c r="G194">
        <v>0</v>
      </c>
      <c r="H194" t="s">
        <v>3719</v>
      </c>
      <c r="I194">
        <v>0</v>
      </c>
      <c r="J194">
        <v>0</v>
      </c>
      <c r="K194">
        <v>0</v>
      </c>
      <c r="L194">
        <v>0</v>
      </c>
      <c r="M194">
        <v>0</v>
      </c>
    </row>
    <row r="195" spans="1:13" x14ac:dyDescent="0.25">
      <c r="A195" t="s">
        <v>3737</v>
      </c>
      <c r="B195" t="s">
        <v>3737</v>
      </c>
      <c r="C195" t="s">
        <v>3029</v>
      </c>
      <c r="D195" t="s">
        <v>3030</v>
      </c>
      <c r="E195" t="s">
        <v>373</v>
      </c>
      <c r="F195">
        <v>4</v>
      </c>
      <c r="G195">
        <v>1</v>
      </c>
      <c r="H195" t="s">
        <v>3711</v>
      </c>
      <c r="I195">
        <v>0</v>
      </c>
      <c r="J195">
        <v>0</v>
      </c>
      <c r="K195">
        <v>0</v>
      </c>
      <c r="L195">
        <v>0</v>
      </c>
      <c r="M195">
        <v>0</v>
      </c>
    </row>
    <row r="196" spans="1:13" x14ac:dyDescent="0.25">
      <c r="A196" t="s">
        <v>3034</v>
      </c>
      <c r="B196" t="s">
        <v>3034</v>
      </c>
      <c r="C196" t="s">
        <v>3032</v>
      </c>
      <c r="D196" t="s">
        <v>3033</v>
      </c>
      <c r="E196" t="s">
        <v>375</v>
      </c>
      <c r="F196">
        <v>4</v>
      </c>
      <c r="G196">
        <v>1</v>
      </c>
      <c r="H196" t="s">
        <v>3711</v>
      </c>
      <c r="I196">
        <v>0</v>
      </c>
      <c r="J196">
        <v>0</v>
      </c>
      <c r="K196">
        <v>0</v>
      </c>
      <c r="L196">
        <v>0</v>
      </c>
      <c r="M196">
        <v>0</v>
      </c>
    </row>
    <row r="197" spans="1:13" x14ac:dyDescent="0.25">
      <c r="A197" t="s">
        <v>3037</v>
      </c>
      <c r="B197" t="s">
        <v>3037</v>
      </c>
      <c r="C197" t="s">
        <v>3035</v>
      </c>
      <c r="D197" t="s">
        <v>3036</v>
      </c>
      <c r="E197" t="s">
        <v>384</v>
      </c>
      <c r="F197">
        <v>2</v>
      </c>
      <c r="G197">
        <v>1</v>
      </c>
      <c r="H197" t="s">
        <v>3710</v>
      </c>
      <c r="I197">
        <v>0</v>
      </c>
      <c r="J197">
        <v>1</v>
      </c>
      <c r="K197">
        <v>1</v>
      </c>
      <c r="L197">
        <v>1</v>
      </c>
      <c r="M197">
        <v>0</v>
      </c>
    </row>
    <row r="198" spans="1:13" x14ac:dyDescent="0.25">
      <c r="A198" t="s">
        <v>3039</v>
      </c>
      <c r="B198" t="s">
        <v>3039</v>
      </c>
      <c r="C198" t="s">
        <v>3038</v>
      </c>
      <c r="D198" t="s">
        <v>3038</v>
      </c>
      <c r="E198" t="s">
        <v>381</v>
      </c>
      <c r="F198">
        <v>8</v>
      </c>
      <c r="G198">
        <v>0</v>
      </c>
      <c r="H198" t="s">
        <v>3736</v>
      </c>
      <c r="I198">
        <v>0</v>
      </c>
      <c r="J198">
        <v>0</v>
      </c>
      <c r="K198">
        <v>0</v>
      </c>
      <c r="L198">
        <v>0</v>
      </c>
      <c r="M198">
        <v>0</v>
      </c>
    </row>
    <row r="199" spans="1:13" x14ac:dyDescent="0.25">
      <c r="A199" t="s">
        <v>3042</v>
      </c>
      <c r="B199" t="s">
        <v>3042</v>
      </c>
      <c r="C199" t="s">
        <v>3040</v>
      </c>
      <c r="D199" t="s">
        <v>3041</v>
      </c>
      <c r="E199" t="s">
        <v>379</v>
      </c>
      <c r="F199">
        <v>1</v>
      </c>
      <c r="G199">
        <v>1</v>
      </c>
      <c r="H199" t="s">
        <v>3714</v>
      </c>
      <c r="I199">
        <v>1</v>
      </c>
      <c r="J199">
        <v>1</v>
      </c>
      <c r="K199">
        <v>1</v>
      </c>
      <c r="L199">
        <v>1</v>
      </c>
      <c r="M199">
        <v>1</v>
      </c>
    </row>
    <row r="200" spans="1:13" x14ac:dyDescent="0.25">
      <c r="A200" t="s">
        <v>3045</v>
      </c>
      <c r="B200" t="s">
        <v>3045</v>
      </c>
      <c r="C200" t="s">
        <v>3043</v>
      </c>
      <c r="D200" t="s">
        <v>3044</v>
      </c>
      <c r="E200" t="s">
        <v>385</v>
      </c>
      <c r="F200">
        <v>1</v>
      </c>
      <c r="G200">
        <v>0</v>
      </c>
      <c r="H200" t="s">
        <v>3713</v>
      </c>
      <c r="I200">
        <v>0</v>
      </c>
      <c r="J200">
        <v>1</v>
      </c>
      <c r="K200">
        <v>1</v>
      </c>
      <c r="L200">
        <v>1</v>
      </c>
      <c r="M200">
        <v>1</v>
      </c>
    </row>
    <row r="201" spans="1:13" x14ac:dyDescent="0.25">
      <c r="A201" t="s">
        <v>3048</v>
      </c>
      <c r="B201" t="s">
        <v>3048</v>
      </c>
      <c r="C201" t="s">
        <v>3046</v>
      </c>
      <c r="D201" t="s">
        <v>3047</v>
      </c>
      <c r="E201" t="s">
        <v>372</v>
      </c>
      <c r="F201">
        <v>1</v>
      </c>
      <c r="G201">
        <v>0</v>
      </c>
      <c r="H201" t="s">
        <v>3713</v>
      </c>
      <c r="I201">
        <v>0</v>
      </c>
      <c r="J201">
        <v>0</v>
      </c>
      <c r="K201">
        <v>0</v>
      </c>
      <c r="L201">
        <v>0</v>
      </c>
      <c r="M201">
        <v>1</v>
      </c>
    </row>
    <row r="202" spans="1:13" x14ac:dyDescent="0.25">
      <c r="A202" t="s">
        <v>3738</v>
      </c>
      <c r="B202" t="s">
        <v>3738</v>
      </c>
      <c r="C202" t="s">
        <v>3049</v>
      </c>
      <c r="D202" t="s">
        <v>3050</v>
      </c>
      <c r="E202" t="s">
        <v>373</v>
      </c>
      <c r="F202">
        <v>4</v>
      </c>
      <c r="G202">
        <v>0</v>
      </c>
      <c r="H202" t="s">
        <v>3712</v>
      </c>
      <c r="I202">
        <v>0</v>
      </c>
      <c r="J202">
        <v>0</v>
      </c>
      <c r="K202">
        <v>0</v>
      </c>
      <c r="L202">
        <v>0</v>
      </c>
      <c r="M202">
        <v>0</v>
      </c>
    </row>
    <row r="203" spans="1:13" x14ac:dyDescent="0.25">
      <c r="A203" t="s">
        <v>3054</v>
      </c>
      <c r="B203" t="s">
        <v>3054</v>
      </c>
      <c r="C203" t="s">
        <v>3052</v>
      </c>
      <c r="D203" t="s">
        <v>3053</v>
      </c>
      <c r="E203" t="s">
        <v>375</v>
      </c>
      <c r="F203">
        <v>4</v>
      </c>
      <c r="G203">
        <v>0</v>
      </c>
      <c r="H203" t="s">
        <v>3712</v>
      </c>
      <c r="I203">
        <v>0</v>
      </c>
      <c r="J203">
        <v>0</v>
      </c>
      <c r="K203">
        <v>0</v>
      </c>
      <c r="L203">
        <v>0</v>
      </c>
      <c r="M203">
        <v>0</v>
      </c>
    </row>
    <row r="204" spans="1:13" x14ac:dyDescent="0.25">
      <c r="A204" t="s">
        <v>3057</v>
      </c>
      <c r="B204" t="s">
        <v>3057</v>
      </c>
      <c r="C204" t="s">
        <v>3055</v>
      </c>
      <c r="D204" t="s">
        <v>3056</v>
      </c>
      <c r="E204" t="s">
        <v>384</v>
      </c>
      <c r="F204">
        <v>2</v>
      </c>
      <c r="G204">
        <v>0</v>
      </c>
      <c r="H204" t="s">
        <v>3709</v>
      </c>
      <c r="I204">
        <v>1</v>
      </c>
      <c r="J204">
        <v>1</v>
      </c>
      <c r="K204">
        <v>1</v>
      </c>
      <c r="L204">
        <v>1</v>
      </c>
      <c r="M204">
        <v>0</v>
      </c>
    </row>
    <row r="205" spans="1:13" x14ac:dyDescent="0.25">
      <c r="A205" t="s">
        <v>3060</v>
      </c>
      <c r="B205" t="s">
        <v>3060</v>
      </c>
      <c r="C205" t="s">
        <v>3058</v>
      </c>
      <c r="D205" t="s">
        <v>3059</v>
      </c>
      <c r="E205" t="s">
        <v>378</v>
      </c>
      <c r="F205">
        <v>1</v>
      </c>
      <c r="G205">
        <v>1</v>
      </c>
      <c r="H205" t="s">
        <v>3714</v>
      </c>
      <c r="I205">
        <v>1</v>
      </c>
      <c r="J205">
        <v>1</v>
      </c>
      <c r="K205">
        <v>1</v>
      </c>
      <c r="L205">
        <v>1</v>
      </c>
      <c r="M205">
        <v>1</v>
      </c>
    </row>
    <row r="206" spans="1:13" x14ac:dyDescent="0.25">
      <c r="A206" t="s">
        <v>3063</v>
      </c>
      <c r="B206" t="s">
        <v>3063</v>
      </c>
      <c r="C206" t="s">
        <v>3061</v>
      </c>
      <c r="D206" t="s">
        <v>3062</v>
      </c>
      <c r="E206" t="s">
        <v>384</v>
      </c>
      <c r="F206">
        <v>2</v>
      </c>
      <c r="G206">
        <v>0</v>
      </c>
      <c r="H206" t="s">
        <v>3709</v>
      </c>
      <c r="I206">
        <v>1</v>
      </c>
      <c r="J206">
        <v>1</v>
      </c>
      <c r="K206">
        <v>1</v>
      </c>
      <c r="L206">
        <v>1</v>
      </c>
      <c r="M206">
        <v>0</v>
      </c>
    </row>
    <row r="207" spans="1:13" x14ac:dyDescent="0.25">
      <c r="A207" t="s">
        <v>3066</v>
      </c>
      <c r="B207" t="s">
        <v>3066</v>
      </c>
      <c r="C207" t="s">
        <v>3064</v>
      </c>
      <c r="D207" t="s">
        <v>3065</v>
      </c>
      <c r="E207" t="s">
        <v>384</v>
      </c>
      <c r="F207">
        <v>2</v>
      </c>
      <c r="G207">
        <v>1</v>
      </c>
      <c r="H207" t="s">
        <v>3710</v>
      </c>
      <c r="I207">
        <v>1</v>
      </c>
      <c r="J207">
        <v>1</v>
      </c>
      <c r="K207">
        <v>1</v>
      </c>
      <c r="L207">
        <v>1</v>
      </c>
      <c r="M207">
        <v>0</v>
      </c>
    </row>
    <row r="208" spans="1:13" x14ac:dyDescent="0.25">
      <c r="A208" t="s">
        <v>3069</v>
      </c>
      <c r="B208" t="s">
        <v>3069</v>
      </c>
      <c r="C208" t="s">
        <v>3067</v>
      </c>
      <c r="D208" t="s">
        <v>3068</v>
      </c>
      <c r="E208" t="s">
        <v>372</v>
      </c>
      <c r="F208">
        <v>1</v>
      </c>
      <c r="G208">
        <v>1</v>
      </c>
      <c r="H208" t="s">
        <v>3714</v>
      </c>
      <c r="I208">
        <v>0</v>
      </c>
      <c r="J208">
        <v>0</v>
      </c>
      <c r="K208">
        <v>0</v>
      </c>
      <c r="L208">
        <v>0</v>
      </c>
      <c r="M208">
        <v>1</v>
      </c>
    </row>
    <row r="209" spans="1:13" x14ac:dyDescent="0.25">
      <c r="A209" t="s">
        <v>3072</v>
      </c>
      <c r="B209" t="s">
        <v>3072</v>
      </c>
      <c r="C209" t="s">
        <v>3070</v>
      </c>
      <c r="D209" t="s">
        <v>3071</v>
      </c>
      <c r="E209" t="s">
        <v>375</v>
      </c>
      <c r="F209">
        <v>4</v>
      </c>
      <c r="G209">
        <v>1</v>
      </c>
      <c r="H209" t="s">
        <v>3711</v>
      </c>
      <c r="I209">
        <v>0</v>
      </c>
      <c r="J209">
        <v>0</v>
      </c>
      <c r="K209">
        <v>0</v>
      </c>
      <c r="L209">
        <v>0</v>
      </c>
      <c r="M209">
        <v>0</v>
      </c>
    </row>
    <row r="210" spans="1:13" x14ac:dyDescent="0.25">
      <c r="A210" t="s">
        <v>3075</v>
      </c>
      <c r="B210" t="s">
        <v>3075</v>
      </c>
      <c r="C210" t="s">
        <v>3073</v>
      </c>
      <c r="D210" t="s">
        <v>3074</v>
      </c>
      <c r="E210" t="s">
        <v>379</v>
      </c>
      <c r="F210">
        <v>1</v>
      </c>
      <c r="G210">
        <v>1</v>
      </c>
      <c r="H210" t="s">
        <v>3714</v>
      </c>
      <c r="I210">
        <v>0</v>
      </c>
      <c r="J210">
        <v>1</v>
      </c>
      <c r="K210">
        <v>1</v>
      </c>
      <c r="L210">
        <v>1</v>
      </c>
      <c r="M210">
        <v>1</v>
      </c>
    </row>
    <row r="211" spans="1:13" x14ac:dyDescent="0.25">
      <c r="A211" t="s">
        <v>3078</v>
      </c>
      <c r="B211" t="s">
        <v>3078</v>
      </c>
      <c r="C211" t="s">
        <v>3076</v>
      </c>
      <c r="D211" t="s">
        <v>3077</v>
      </c>
      <c r="E211" t="s">
        <v>382</v>
      </c>
      <c r="F211">
        <v>5</v>
      </c>
      <c r="G211">
        <v>0</v>
      </c>
      <c r="H211" t="s">
        <v>3719</v>
      </c>
      <c r="I211">
        <v>0</v>
      </c>
      <c r="J211">
        <v>0</v>
      </c>
      <c r="K211">
        <v>0</v>
      </c>
      <c r="L211">
        <v>0</v>
      </c>
      <c r="M211">
        <v>0</v>
      </c>
    </row>
    <row r="212" spans="1:13" x14ac:dyDescent="0.25">
      <c r="A212" t="s">
        <v>3081</v>
      </c>
      <c r="B212" t="s">
        <v>3081</v>
      </c>
      <c r="C212" t="s">
        <v>3079</v>
      </c>
      <c r="D212" t="s">
        <v>3080</v>
      </c>
      <c r="E212" t="s">
        <v>385</v>
      </c>
      <c r="F212">
        <v>1</v>
      </c>
      <c r="G212">
        <v>1</v>
      </c>
      <c r="H212" t="s">
        <v>3714</v>
      </c>
      <c r="I212">
        <v>0</v>
      </c>
      <c r="J212">
        <v>1</v>
      </c>
      <c r="K212">
        <v>1</v>
      </c>
      <c r="L212">
        <v>1</v>
      </c>
      <c r="M212">
        <v>1</v>
      </c>
    </row>
    <row r="213" spans="1:13" x14ac:dyDescent="0.25">
      <c r="A213" t="s">
        <v>3084</v>
      </c>
      <c r="B213" t="s">
        <v>3084</v>
      </c>
      <c r="C213" t="s">
        <v>3082</v>
      </c>
      <c r="D213" t="s">
        <v>3083</v>
      </c>
      <c r="E213" t="s">
        <v>384</v>
      </c>
      <c r="F213">
        <v>2</v>
      </c>
      <c r="G213">
        <v>1</v>
      </c>
      <c r="H213" t="s">
        <v>3710</v>
      </c>
      <c r="I213">
        <v>1</v>
      </c>
      <c r="J213">
        <v>1</v>
      </c>
      <c r="K213">
        <v>1</v>
      </c>
      <c r="L213">
        <v>1</v>
      </c>
      <c r="M213">
        <v>0</v>
      </c>
    </row>
    <row r="214" spans="1:13" x14ac:dyDescent="0.25">
      <c r="A214" t="s">
        <v>3087</v>
      </c>
      <c r="B214" t="s">
        <v>3087</v>
      </c>
      <c r="C214" t="s">
        <v>3085</v>
      </c>
      <c r="D214" t="s">
        <v>3086</v>
      </c>
      <c r="E214" t="s">
        <v>384</v>
      </c>
      <c r="F214">
        <v>2</v>
      </c>
      <c r="G214">
        <v>0</v>
      </c>
      <c r="H214" t="s">
        <v>3709</v>
      </c>
      <c r="I214">
        <v>0</v>
      </c>
      <c r="J214">
        <v>1</v>
      </c>
      <c r="K214">
        <v>1</v>
      </c>
      <c r="L214">
        <v>1</v>
      </c>
      <c r="M214">
        <v>0</v>
      </c>
    </row>
    <row r="215" spans="1:13" x14ac:dyDescent="0.25">
      <c r="A215" t="s">
        <v>3090</v>
      </c>
      <c r="B215" t="s">
        <v>3090</v>
      </c>
      <c r="C215" t="s">
        <v>3088</v>
      </c>
      <c r="D215" t="s">
        <v>3089</v>
      </c>
      <c r="E215" t="s">
        <v>384</v>
      </c>
      <c r="F215">
        <v>2</v>
      </c>
      <c r="G215">
        <v>1</v>
      </c>
      <c r="H215" t="s">
        <v>3710</v>
      </c>
      <c r="I215">
        <v>1</v>
      </c>
      <c r="J215">
        <v>1</v>
      </c>
      <c r="K215">
        <v>1</v>
      </c>
      <c r="L215">
        <v>1</v>
      </c>
      <c r="M215">
        <v>0</v>
      </c>
    </row>
    <row r="216" spans="1:13" x14ac:dyDescent="0.25">
      <c r="A216" t="s">
        <v>3093</v>
      </c>
      <c r="B216" t="s">
        <v>3093</v>
      </c>
      <c r="C216" t="s">
        <v>3091</v>
      </c>
      <c r="D216" t="s">
        <v>3092</v>
      </c>
      <c r="E216" t="s">
        <v>379</v>
      </c>
      <c r="F216">
        <v>1</v>
      </c>
      <c r="G216">
        <v>0</v>
      </c>
      <c r="H216" t="s">
        <v>3713</v>
      </c>
      <c r="I216">
        <v>0</v>
      </c>
      <c r="J216">
        <v>1</v>
      </c>
      <c r="K216">
        <v>1</v>
      </c>
      <c r="L216">
        <v>1</v>
      </c>
      <c r="M216">
        <v>1</v>
      </c>
    </row>
    <row r="217" spans="1:13" x14ac:dyDescent="0.25">
      <c r="A217" t="s">
        <v>3096</v>
      </c>
      <c r="B217" t="s">
        <v>3096</v>
      </c>
      <c r="C217" t="s">
        <v>3094</v>
      </c>
      <c r="D217" t="s">
        <v>3095</v>
      </c>
      <c r="E217" t="s">
        <v>384</v>
      </c>
      <c r="F217">
        <v>2</v>
      </c>
      <c r="G217">
        <v>0</v>
      </c>
      <c r="H217" t="s">
        <v>3709</v>
      </c>
      <c r="I217">
        <v>0</v>
      </c>
      <c r="J217">
        <v>1</v>
      </c>
      <c r="K217">
        <v>1</v>
      </c>
      <c r="L217">
        <v>1</v>
      </c>
      <c r="M217">
        <v>0</v>
      </c>
    </row>
    <row r="218" spans="1:13" x14ac:dyDescent="0.25">
      <c r="A218" t="s">
        <v>3099</v>
      </c>
      <c r="B218" t="s">
        <v>3099</v>
      </c>
      <c r="C218" t="s">
        <v>3097</v>
      </c>
      <c r="D218" t="s">
        <v>3098</v>
      </c>
      <c r="E218" t="s">
        <v>385</v>
      </c>
      <c r="F218">
        <v>1</v>
      </c>
      <c r="G218">
        <v>0</v>
      </c>
      <c r="H218" t="s">
        <v>3713</v>
      </c>
      <c r="I218">
        <v>0</v>
      </c>
      <c r="J218">
        <v>1</v>
      </c>
      <c r="K218">
        <v>1</v>
      </c>
      <c r="L218">
        <v>1</v>
      </c>
      <c r="M218">
        <v>1</v>
      </c>
    </row>
    <row r="219" spans="1:13" x14ac:dyDescent="0.25">
      <c r="A219" t="s">
        <v>3102</v>
      </c>
      <c r="B219" t="s">
        <v>3102</v>
      </c>
      <c r="C219" t="s">
        <v>3100</v>
      </c>
      <c r="D219" t="s">
        <v>3101</v>
      </c>
      <c r="E219" t="s">
        <v>384</v>
      </c>
      <c r="F219">
        <v>2</v>
      </c>
      <c r="G219">
        <v>0</v>
      </c>
      <c r="H219" t="s">
        <v>3709</v>
      </c>
      <c r="I219">
        <v>0</v>
      </c>
      <c r="J219">
        <v>1</v>
      </c>
      <c r="K219">
        <v>1</v>
      </c>
      <c r="L219">
        <v>1</v>
      </c>
      <c r="M219">
        <v>0</v>
      </c>
    </row>
    <row r="220" spans="1:13" x14ac:dyDescent="0.25">
      <c r="A220" t="s">
        <v>3105</v>
      </c>
      <c r="B220" t="s">
        <v>3105</v>
      </c>
      <c r="C220" t="s">
        <v>3103</v>
      </c>
      <c r="D220" t="s">
        <v>3104</v>
      </c>
      <c r="E220" t="s">
        <v>376</v>
      </c>
      <c r="F220">
        <v>4</v>
      </c>
      <c r="G220">
        <v>0</v>
      </c>
      <c r="H220" t="s">
        <v>3712</v>
      </c>
      <c r="I220">
        <v>0</v>
      </c>
      <c r="J220">
        <v>0</v>
      </c>
      <c r="K220">
        <v>0</v>
      </c>
      <c r="L220">
        <v>0</v>
      </c>
      <c r="M220">
        <v>0</v>
      </c>
    </row>
    <row r="221" spans="1:13" x14ac:dyDescent="0.25">
      <c r="A221" t="s">
        <v>3108</v>
      </c>
      <c r="B221" t="s">
        <v>3108</v>
      </c>
      <c r="C221" t="s">
        <v>3106</v>
      </c>
      <c r="D221" t="s">
        <v>3107</v>
      </c>
      <c r="E221" t="s">
        <v>375</v>
      </c>
      <c r="F221">
        <v>4</v>
      </c>
      <c r="G221">
        <v>1</v>
      </c>
      <c r="H221" t="s">
        <v>3711</v>
      </c>
      <c r="I221">
        <v>0</v>
      </c>
      <c r="J221">
        <v>0</v>
      </c>
      <c r="K221">
        <v>0</v>
      </c>
      <c r="L221">
        <v>0</v>
      </c>
      <c r="M221">
        <v>0</v>
      </c>
    </row>
    <row r="222" spans="1:13" x14ac:dyDescent="0.25">
      <c r="A222" t="s">
        <v>3111</v>
      </c>
      <c r="B222" t="s">
        <v>3111</v>
      </c>
      <c r="C222" t="s">
        <v>3109</v>
      </c>
      <c r="D222" t="s">
        <v>3110</v>
      </c>
      <c r="E222" t="s">
        <v>386</v>
      </c>
      <c r="F222">
        <v>7</v>
      </c>
      <c r="G222">
        <v>0</v>
      </c>
      <c r="H222" t="s">
        <v>3712</v>
      </c>
      <c r="I222">
        <v>0</v>
      </c>
      <c r="J222">
        <v>0</v>
      </c>
      <c r="K222">
        <v>0</v>
      </c>
      <c r="L222">
        <v>0</v>
      </c>
      <c r="M222">
        <v>0</v>
      </c>
    </row>
    <row r="223" spans="1:13" x14ac:dyDescent="0.25">
      <c r="A223" t="s">
        <v>3114</v>
      </c>
      <c r="B223" t="s">
        <v>3114</v>
      </c>
      <c r="C223" t="s">
        <v>3112</v>
      </c>
      <c r="D223" t="s">
        <v>3113</v>
      </c>
      <c r="E223" t="s">
        <v>380</v>
      </c>
      <c r="F223">
        <v>1</v>
      </c>
      <c r="G223">
        <v>1</v>
      </c>
      <c r="H223" t="s">
        <v>3714</v>
      </c>
      <c r="I223">
        <v>1</v>
      </c>
      <c r="J223">
        <v>1</v>
      </c>
      <c r="K223">
        <v>1</v>
      </c>
      <c r="L223">
        <v>1</v>
      </c>
      <c r="M223">
        <v>1</v>
      </c>
    </row>
    <row r="224" spans="1:13" x14ac:dyDescent="0.25">
      <c r="A224" t="s">
        <v>3117</v>
      </c>
      <c r="B224" t="s">
        <v>3117</v>
      </c>
      <c r="C224" t="s">
        <v>3115</v>
      </c>
      <c r="D224" t="s">
        <v>3116</v>
      </c>
      <c r="E224" t="s">
        <v>384</v>
      </c>
      <c r="F224">
        <v>2</v>
      </c>
      <c r="G224">
        <v>0</v>
      </c>
      <c r="H224" t="s">
        <v>3709</v>
      </c>
      <c r="I224">
        <v>0</v>
      </c>
      <c r="J224">
        <v>1</v>
      </c>
      <c r="K224">
        <v>1</v>
      </c>
      <c r="L224">
        <v>1</v>
      </c>
      <c r="M224">
        <v>0</v>
      </c>
    </row>
    <row r="225" spans="1:13" x14ac:dyDescent="0.25">
      <c r="A225" t="s">
        <v>3120</v>
      </c>
      <c r="B225" t="s">
        <v>3120</v>
      </c>
      <c r="C225" t="s">
        <v>3118</v>
      </c>
      <c r="D225" t="s">
        <v>3119</v>
      </c>
      <c r="E225" t="s">
        <v>384</v>
      </c>
      <c r="F225">
        <v>2</v>
      </c>
      <c r="G225">
        <v>1</v>
      </c>
      <c r="H225" t="s">
        <v>3710</v>
      </c>
      <c r="I225">
        <v>1</v>
      </c>
      <c r="J225">
        <v>1</v>
      </c>
      <c r="K225">
        <v>1</v>
      </c>
      <c r="L225">
        <v>1</v>
      </c>
      <c r="M225">
        <v>0</v>
      </c>
    </row>
    <row r="226" spans="1:13" x14ac:dyDescent="0.25">
      <c r="A226" t="s">
        <v>3123</v>
      </c>
      <c r="B226" t="s">
        <v>3123</v>
      </c>
      <c r="C226" t="s">
        <v>3121</v>
      </c>
      <c r="D226" t="s">
        <v>3122</v>
      </c>
      <c r="E226" t="s">
        <v>384</v>
      </c>
      <c r="F226">
        <v>2</v>
      </c>
      <c r="G226">
        <v>0</v>
      </c>
      <c r="H226" t="s">
        <v>3709</v>
      </c>
      <c r="I226">
        <v>0</v>
      </c>
      <c r="J226">
        <v>1</v>
      </c>
      <c r="K226">
        <v>1</v>
      </c>
      <c r="L226">
        <v>1</v>
      </c>
      <c r="M226">
        <v>0</v>
      </c>
    </row>
    <row r="227" spans="1:13" x14ac:dyDescent="0.25">
      <c r="A227" t="s">
        <v>3126</v>
      </c>
      <c r="B227" t="s">
        <v>3126</v>
      </c>
      <c r="C227" t="s">
        <v>3124</v>
      </c>
      <c r="D227" t="s">
        <v>3125</v>
      </c>
      <c r="E227" t="s">
        <v>385</v>
      </c>
      <c r="F227">
        <v>1</v>
      </c>
      <c r="G227">
        <v>1</v>
      </c>
      <c r="H227" t="s">
        <v>3714</v>
      </c>
      <c r="I227">
        <v>0</v>
      </c>
      <c r="J227">
        <v>1</v>
      </c>
      <c r="K227">
        <v>1</v>
      </c>
      <c r="L227">
        <v>1</v>
      </c>
      <c r="M227">
        <v>1</v>
      </c>
    </row>
    <row r="228" spans="1:13" x14ac:dyDescent="0.25">
      <c r="A228" t="s">
        <v>3129</v>
      </c>
      <c r="B228" t="s">
        <v>3129</v>
      </c>
      <c r="C228" t="s">
        <v>3127</v>
      </c>
      <c r="D228" t="s">
        <v>3128</v>
      </c>
      <c r="E228" t="s">
        <v>385</v>
      </c>
      <c r="F228">
        <v>1</v>
      </c>
      <c r="G228">
        <v>0</v>
      </c>
      <c r="H228" t="s">
        <v>3713</v>
      </c>
      <c r="I228">
        <v>0</v>
      </c>
      <c r="J228">
        <v>1</v>
      </c>
      <c r="K228">
        <v>1</v>
      </c>
      <c r="L228">
        <v>1</v>
      </c>
      <c r="M228">
        <v>1</v>
      </c>
    </row>
    <row r="229" spans="1:13" x14ac:dyDescent="0.25">
      <c r="A229" t="s">
        <v>3132</v>
      </c>
      <c r="B229" t="s">
        <v>3132</v>
      </c>
      <c r="C229" t="s">
        <v>3130</v>
      </c>
      <c r="D229" t="s">
        <v>3131</v>
      </c>
      <c r="E229" t="s">
        <v>384</v>
      </c>
      <c r="F229">
        <v>2</v>
      </c>
      <c r="G229">
        <v>1</v>
      </c>
      <c r="H229" t="s">
        <v>3710</v>
      </c>
      <c r="I229">
        <v>1</v>
      </c>
      <c r="J229">
        <v>1</v>
      </c>
      <c r="K229">
        <v>1</v>
      </c>
      <c r="L229">
        <v>1</v>
      </c>
      <c r="M229">
        <v>0</v>
      </c>
    </row>
    <row r="230" spans="1:13" x14ac:dyDescent="0.25">
      <c r="A230" t="s">
        <v>3135</v>
      </c>
      <c r="B230" t="s">
        <v>3135</v>
      </c>
      <c r="C230" t="s">
        <v>3133</v>
      </c>
      <c r="D230" t="s">
        <v>3134</v>
      </c>
      <c r="E230" t="s">
        <v>384</v>
      </c>
      <c r="F230">
        <v>2</v>
      </c>
      <c r="G230">
        <v>0</v>
      </c>
      <c r="H230" t="s">
        <v>3709</v>
      </c>
      <c r="I230">
        <v>1</v>
      </c>
      <c r="J230">
        <v>1</v>
      </c>
      <c r="K230">
        <v>1</v>
      </c>
      <c r="L230">
        <v>1</v>
      </c>
      <c r="M230">
        <v>0</v>
      </c>
    </row>
    <row r="231" spans="1:13" x14ac:dyDescent="0.25">
      <c r="A231" t="s">
        <v>3138</v>
      </c>
      <c r="B231" t="s">
        <v>3138</v>
      </c>
      <c r="C231" t="s">
        <v>3136</v>
      </c>
      <c r="D231" t="s">
        <v>3137</v>
      </c>
      <c r="E231" t="s">
        <v>381</v>
      </c>
      <c r="F231">
        <v>8</v>
      </c>
      <c r="G231">
        <v>0</v>
      </c>
      <c r="H231" t="s">
        <v>3736</v>
      </c>
      <c r="I231">
        <v>0</v>
      </c>
      <c r="J231">
        <v>0</v>
      </c>
      <c r="K231">
        <v>0</v>
      </c>
      <c r="L231">
        <v>0</v>
      </c>
      <c r="M231">
        <v>0</v>
      </c>
    </row>
    <row r="232" spans="1:13" x14ac:dyDescent="0.25">
      <c r="A232" t="s">
        <v>3141</v>
      </c>
      <c r="B232" t="s">
        <v>3141</v>
      </c>
      <c r="C232" t="s">
        <v>3139</v>
      </c>
      <c r="D232" t="s">
        <v>3140</v>
      </c>
      <c r="E232" t="s">
        <v>384</v>
      </c>
      <c r="F232">
        <v>2</v>
      </c>
      <c r="G232">
        <v>0</v>
      </c>
      <c r="H232" t="s">
        <v>3709</v>
      </c>
      <c r="I232">
        <v>1</v>
      </c>
      <c r="J232">
        <v>1</v>
      </c>
      <c r="K232">
        <v>1</v>
      </c>
      <c r="L232">
        <v>1</v>
      </c>
      <c r="M232">
        <v>0</v>
      </c>
    </row>
    <row r="233" spans="1:13" x14ac:dyDescent="0.25">
      <c r="A233" t="s">
        <v>3144</v>
      </c>
      <c r="B233" t="s">
        <v>3144</v>
      </c>
      <c r="C233" t="s">
        <v>3142</v>
      </c>
      <c r="D233" t="s">
        <v>3143</v>
      </c>
      <c r="E233" t="s">
        <v>379</v>
      </c>
      <c r="F233">
        <v>1</v>
      </c>
      <c r="G233">
        <v>0</v>
      </c>
      <c r="H233" t="s">
        <v>3713</v>
      </c>
      <c r="I233">
        <v>1</v>
      </c>
      <c r="J233">
        <v>1</v>
      </c>
      <c r="K233">
        <v>1</v>
      </c>
      <c r="L233">
        <v>1</v>
      </c>
      <c r="M233">
        <v>1</v>
      </c>
    </row>
    <row r="234" spans="1:13" x14ac:dyDescent="0.25">
      <c r="A234" t="s">
        <v>3147</v>
      </c>
      <c r="B234" t="s">
        <v>3147</v>
      </c>
      <c r="C234" t="s">
        <v>3145</v>
      </c>
      <c r="D234" t="s">
        <v>3146</v>
      </c>
      <c r="E234" t="s">
        <v>384</v>
      </c>
      <c r="F234">
        <v>2</v>
      </c>
      <c r="G234">
        <v>1</v>
      </c>
      <c r="H234" t="s">
        <v>3710</v>
      </c>
      <c r="I234">
        <v>0</v>
      </c>
      <c r="J234">
        <v>1</v>
      </c>
      <c r="K234">
        <v>1</v>
      </c>
      <c r="L234">
        <v>1</v>
      </c>
      <c r="M234">
        <v>0</v>
      </c>
    </row>
    <row r="235" spans="1:13" x14ac:dyDescent="0.25">
      <c r="A235" t="s">
        <v>3150</v>
      </c>
      <c r="B235" t="s">
        <v>3150</v>
      </c>
      <c r="C235" t="s">
        <v>3148</v>
      </c>
      <c r="D235" t="s">
        <v>3149</v>
      </c>
      <c r="E235" t="s">
        <v>380</v>
      </c>
      <c r="F235">
        <v>1</v>
      </c>
      <c r="G235">
        <v>0</v>
      </c>
      <c r="H235" t="s">
        <v>3713</v>
      </c>
      <c r="I235">
        <v>1</v>
      </c>
      <c r="J235">
        <v>1</v>
      </c>
      <c r="K235">
        <v>1</v>
      </c>
      <c r="L235">
        <v>1</v>
      </c>
      <c r="M235">
        <v>1</v>
      </c>
    </row>
    <row r="236" spans="1:13" x14ac:dyDescent="0.25">
      <c r="A236" t="s">
        <v>3153</v>
      </c>
      <c r="B236" t="s">
        <v>3153</v>
      </c>
      <c r="C236" t="s">
        <v>3151</v>
      </c>
      <c r="D236" t="s">
        <v>3152</v>
      </c>
      <c r="E236" t="s">
        <v>372</v>
      </c>
      <c r="F236">
        <v>1</v>
      </c>
      <c r="G236">
        <v>1</v>
      </c>
      <c r="H236" t="s">
        <v>3714</v>
      </c>
      <c r="I236">
        <v>0</v>
      </c>
      <c r="J236">
        <v>0</v>
      </c>
      <c r="K236">
        <v>0</v>
      </c>
      <c r="L236">
        <v>0</v>
      </c>
      <c r="M236">
        <v>1</v>
      </c>
    </row>
    <row r="237" spans="1:13" x14ac:dyDescent="0.25">
      <c r="A237" t="s">
        <v>3156</v>
      </c>
      <c r="B237" t="s">
        <v>3156</v>
      </c>
      <c r="C237" t="s">
        <v>3154</v>
      </c>
      <c r="D237" t="s">
        <v>3155</v>
      </c>
      <c r="E237" t="s">
        <v>375</v>
      </c>
      <c r="F237">
        <v>4</v>
      </c>
      <c r="G237">
        <v>0</v>
      </c>
      <c r="H237" t="s">
        <v>3712</v>
      </c>
      <c r="I237">
        <v>0</v>
      </c>
      <c r="J237">
        <v>0</v>
      </c>
      <c r="K237">
        <v>0</v>
      </c>
      <c r="L237">
        <v>0</v>
      </c>
      <c r="M237">
        <v>0</v>
      </c>
    </row>
    <row r="238" spans="1:13" x14ac:dyDescent="0.25">
      <c r="A238" t="s">
        <v>3159</v>
      </c>
      <c r="B238" t="s">
        <v>3159</v>
      </c>
      <c r="C238" t="s">
        <v>3157</v>
      </c>
      <c r="D238" t="s">
        <v>3158</v>
      </c>
      <c r="E238" t="s">
        <v>384</v>
      </c>
      <c r="F238">
        <v>2</v>
      </c>
      <c r="G238">
        <v>0</v>
      </c>
      <c r="H238" t="s">
        <v>3709</v>
      </c>
      <c r="I238">
        <v>0</v>
      </c>
      <c r="J238">
        <v>1</v>
      </c>
      <c r="K238">
        <v>1</v>
      </c>
      <c r="L238">
        <v>1</v>
      </c>
      <c r="M238">
        <v>0</v>
      </c>
    </row>
    <row r="239" spans="1:13" x14ac:dyDescent="0.25">
      <c r="A239" t="s">
        <v>3162</v>
      </c>
      <c r="B239" t="s">
        <v>3162</v>
      </c>
      <c r="C239" t="s">
        <v>3160</v>
      </c>
      <c r="D239" t="s">
        <v>3161</v>
      </c>
      <c r="E239" t="s">
        <v>384</v>
      </c>
      <c r="F239">
        <v>2</v>
      </c>
      <c r="G239">
        <v>1</v>
      </c>
      <c r="H239" t="s">
        <v>3710</v>
      </c>
      <c r="I239">
        <v>0</v>
      </c>
      <c r="J239">
        <v>1</v>
      </c>
      <c r="K239">
        <v>1</v>
      </c>
      <c r="L239">
        <v>1</v>
      </c>
      <c r="M239">
        <v>0</v>
      </c>
    </row>
    <row r="240" spans="1:13" x14ac:dyDescent="0.25">
      <c r="A240" t="s">
        <v>3165</v>
      </c>
      <c r="B240" t="s">
        <v>3165</v>
      </c>
      <c r="C240" t="s">
        <v>3163</v>
      </c>
      <c r="D240" t="s">
        <v>3164</v>
      </c>
      <c r="E240" t="s">
        <v>385</v>
      </c>
      <c r="F240">
        <v>1</v>
      </c>
      <c r="G240">
        <v>0</v>
      </c>
      <c r="H240" t="s">
        <v>3713</v>
      </c>
      <c r="I240">
        <v>0</v>
      </c>
      <c r="J240">
        <v>1</v>
      </c>
      <c r="K240">
        <v>1</v>
      </c>
      <c r="L240">
        <v>1</v>
      </c>
      <c r="M240">
        <v>1</v>
      </c>
    </row>
    <row r="241" spans="1:13" x14ac:dyDescent="0.25">
      <c r="A241" t="s">
        <v>3168</v>
      </c>
      <c r="B241" t="s">
        <v>3168</v>
      </c>
      <c r="C241" t="s">
        <v>3166</v>
      </c>
      <c r="D241" t="s">
        <v>3167</v>
      </c>
      <c r="E241" t="s">
        <v>382</v>
      </c>
      <c r="F241">
        <v>5</v>
      </c>
      <c r="G241">
        <v>0</v>
      </c>
      <c r="H241" s="260" t="s">
        <v>3719</v>
      </c>
      <c r="I241">
        <v>0</v>
      </c>
      <c r="J241">
        <v>0</v>
      </c>
      <c r="K241">
        <v>0</v>
      </c>
      <c r="L241">
        <v>0</v>
      </c>
      <c r="M241">
        <v>0</v>
      </c>
    </row>
    <row r="242" spans="1:13" x14ac:dyDescent="0.25">
      <c r="A242" t="s">
        <v>3171</v>
      </c>
      <c r="B242" t="s">
        <v>3171</v>
      </c>
      <c r="C242" t="s">
        <v>3169</v>
      </c>
      <c r="D242" t="s">
        <v>3170</v>
      </c>
      <c r="E242" t="s">
        <v>384</v>
      </c>
      <c r="F242">
        <v>2</v>
      </c>
      <c r="G242">
        <v>0</v>
      </c>
      <c r="H242" t="s">
        <v>3709</v>
      </c>
      <c r="I242">
        <v>0</v>
      </c>
      <c r="J242">
        <v>1</v>
      </c>
      <c r="K242">
        <v>1</v>
      </c>
      <c r="L242">
        <v>1</v>
      </c>
      <c r="M242">
        <v>0</v>
      </c>
    </row>
    <row r="243" spans="1:13" x14ac:dyDescent="0.25">
      <c r="A243" t="s">
        <v>3174</v>
      </c>
      <c r="B243" t="s">
        <v>3174</v>
      </c>
      <c r="C243" t="s">
        <v>3172</v>
      </c>
      <c r="D243" t="s">
        <v>3173</v>
      </c>
      <c r="E243" t="s">
        <v>384</v>
      </c>
      <c r="F243">
        <v>2</v>
      </c>
      <c r="G243">
        <v>0</v>
      </c>
      <c r="H243" t="s">
        <v>3709</v>
      </c>
      <c r="I243">
        <v>1</v>
      </c>
      <c r="J243">
        <v>1</v>
      </c>
      <c r="K243">
        <v>1</v>
      </c>
      <c r="L243">
        <v>1</v>
      </c>
      <c r="M243">
        <v>0</v>
      </c>
    </row>
    <row r="244" spans="1:13" x14ac:dyDescent="0.25">
      <c r="A244" t="s">
        <v>3177</v>
      </c>
      <c r="B244" t="s">
        <v>3177</v>
      </c>
      <c r="C244" t="s">
        <v>3175</v>
      </c>
      <c r="D244" t="s">
        <v>3176</v>
      </c>
      <c r="E244" t="s">
        <v>385</v>
      </c>
      <c r="F244">
        <v>1</v>
      </c>
      <c r="G244">
        <v>0</v>
      </c>
      <c r="H244" t="s">
        <v>3713</v>
      </c>
      <c r="I244">
        <v>0</v>
      </c>
      <c r="J244">
        <v>1</v>
      </c>
      <c r="K244">
        <v>1</v>
      </c>
      <c r="L244">
        <v>1</v>
      </c>
      <c r="M244">
        <v>1</v>
      </c>
    </row>
    <row r="245" spans="1:13" x14ac:dyDescent="0.25">
      <c r="A245" t="s">
        <v>3180</v>
      </c>
      <c r="B245" t="s">
        <v>3180</v>
      </c>
      <c r="C245" t="s">
        <v>3178</v>
      </c>
      <c r="D245" t="s">
        <v>3179</v>
      </c>
      <c r="E245" t="s">
        <v>386</v>
      </c>
      <c r="F245">
        <v>7</v>
      </c>
      <c r="G245">
        <v>1</v>
      </c>
      <c r="H245" t="s">
        <v>3711</v>
      </c>
      <c r="I245">
        <v>0</v>
      </c>
      <c r="J245">
        <v>0</v>
      </c>
      <c r="K245">
        <v>0</v>
      </c>
      <c r="L245">
        <v>0</v>
      </c>
      <c r="M245">
        <v>0</v>
      </c>
    </row>
    <row r="246" spans="1:13" x14ac:dyDescent="0.25">
      <c r="A246" t="s">
        <v>3183</v>
      </c>
      <c r="B246" t="s">
        <v>3183</v>
      </c>
      <c r="C246" t="s">
        <v>3181</v>
      </c>
      <c r="D246" t="s">
        <v>3182</v>
      </c>
      <c r="E246" t="s">
        <v>384</v>
      </c>
      <c r="F246">
        <v>2</v>
      </c>
      <c r="G246">
        <v>0</v>
      </c>
      <c r="H246" t="s">
        <v>3709</v>
      </c>
      <c r="I246">
        <v>0</v>
      </c>
      <c r="J246">
        <v>1</v>
      </c>
      <c r="K246">
        <v>1</v>
      </c>
      <c r="L246">
        <v>1</v>
      </c>
      <c r="M246">
        <v>0</v>
      </c>
    </row>
    <row r="247" spans="1:13" x14ac:dyDescent="0.25">
      <c r="A247" t="s">
        <v>3186</v>
      </c>
      <c r="B247" t="s">
        <v>3186</v>
      </c>
      <c r="C247" t="s">
        <v>3184</v>
      </c>
      <c r="D247" t="s">
        <v>3185</v>
      </c>
      <c r="E247" t="s">
        <v>385</v>
      </c>
      <c r="F247">
        <v>1</v>
      </c>
      <c r="G247">
        <v>0</v>
      </c>
      <c r="H247" t="s">
        <v>3713</v>
      </c>
      <c r="I247">
        <v>0</v>
      </c>
      <c r="J247">
        <v>1</v>
      </c>
      <c r="K247">
        <v>1</v>
      </c>
      <c r="L247">
        <v>1</v>
      </c>
      <c r="M247">
        <v>1</v>
      </c>
    </row>
    <row r="248" spans="1:13" x14ac:dyDescent="0.25">
      <c r="A248" t="s">
        <v>3189</v>
      </c>
      <c r="B248" t="s">
        <v>3189</v>
      </c>
      <c r="C248" t="s">
        <v>3187</v>
      </c>
      <c r="D248" t="s">
        <v>3188</v>
      </c>
      <c r="E248" t="s">
        <v>385</v>
      </c>
      <c r="F248">
        <v>1</v>
      </c>
      <c r="G248">
        <v>0</v>
      </c>
      <c r="H248" t="s">
        <v>3713</v>
      </c>
      <c r="I248">
        <v>1</v>
      </c>
      <c r="J248">
        <v>1</v>
      </c>
      <c r="K248">
        <v>1</v>
      </c>
      <c r="L248">
        <v>1</v>
      </c>
      <c r="M248">
        <v>1</v>
      </c>
    </row>
    <row r="249" spans="1:13" x14ac:dyDescent="0.25">
      <c r="A249" t="s">
        <v>3192</v>
      </c>
      <c r="B249" t="s">
        <v>3192</v>
      </c>
      <c r="C249" t="s">
        <v>3190</v>
      </c>
      <c r="D249" t="s">
        <v>3191</v>
      </c>
      <c r="E249" t="s">
        <v>379</v>
      </c>
      <c r="F249">
        <v>1</v>
      </c>
      <c r="G249">
        <v>0</v>
      </c>
      <c r="H249" t="s">
        <v>3713</v>
      </c>
      <c r="I249">
        <v>1</v>
      </c>
      <c r="J249">
        <v>1</v>
      </c>
      <c r="K249">
        <v>1</v>
      </c>
      <c r="L249">
        <v>1</v>
      </c>
      <c r="M249">
        <v>1</v>
      </c>
    </row>
    <row r="250" spans="1:13" x14ac:dyDescent="0.25">
      <c r="A250" t="s">
        <v>3195</v>
      </c>
      <c r="B250" t="s">
        <v>3195</v>
      </c>
      <c r="C250" t="s">
        <v>3193</v>
      </c>
      <c r="D250" t="s">
        <v>3194</v>
      </c>
      <c r="E250" t="s">
        <v>384</v>
      </c>
      <c r="F250">
        <v>2</v>
      </c>
      <c r="G250">
        <v>1</v>
      </c>
      <c r="H250" t="s">
        <v>3710</v>
      </c>
      <c r="I250">
        <v>0</v>
      </c>
      <c r="J250">
        <v>1</v>
      </c>
      <c r="K250">
        <v>1</v>
      </c>
      <c r="L250">
        <v>1</v>
      </c>
      <c r="M250">
        <v>0</v>
      </c>
    </row>
    <row r="251" spans="1:13" x14ac:dyDescent="0.25">
      <c r="A251" t="s">
        <v>3198</v>
      </c>
      <c r="B251" t="s">
        <v>3198</v>
      </c>
      <c r="C251" t="s">
        <v>3196</v>
      </c>
      <c r="D251" t="s">
        <v>3197</v>
      </c>
      <c r="E251" t="s">
        <v>384</v>
      </c>
      <c r="F251">
        <v>2</v>
      </c>
      <c r="G251">
        <v>0</v>
      </c>
      <c r="H251" t="s">
        <v>3709</v>
      </c>
      <c r="I251">
        <v>0</v>
      </c>
      <c r="J251">
        <v>1</v>
      </c>
      <c r="K251">
        <v>1</v>
      </c>
      <c r="L251">
        <v>1</v>
      </c>
      <c r="M251">
        <v>0</v>
      </c>
    </row>
    <row r="252" spans="1:13" x14ac:dyDescent="0.25">
      <c r="A252" t="s">
        <v>3201</v>
      </c>
      <c r="B252" t="s">
        <v>3201</v>
      </c>
      <c r="C252" t="s">
        <v>3199</v>
      </c>
      <c r="D252" t="s">
        <v>3200</v>
      </c>
      <c r="E252" t="s">
        <v>381</v>
      </c>
      <c r="F252">
        <v>8</v>
      </c>
      <c r="G252">
        <v>0</v>
      </c>
      <c r="H252" t="s">
        <v>3736</v>
      </c>
      <c r="I252">
        <v>0</v>
      </c>
      <c r="J252">
        <v>0</v>
      </c>
      <c r="K252">
        <v>0</v>
      </c>
      <c r="L252">
        <v>0</v>
      </c>
      <c r="M252">
        <v>0</v>
      </c>
    </row>
    <row r="253" spans="1:13" x14ac:dyDescent="0.25">
      <c r="A253" t="s">
        <v>3739</v>
      </c>
      <c r="B253" t="s">
        <v>3739</v>
      </c>
      <c r="C253" t="s">
        <v>3202</v>
      </c>
      <c r="D253" t="s">
        <v>3203</v>
      </c>
      <c r="E253" t="s">
        <v>385</v>
      </c>
      <c r="F253">
        <v>1</v>
      </c>
      <c r="G253">
        <v>0</v>
      </c>
      <c r="H253" t="s">
        <v>3713</v>
      </c>
      <c r="I253">
        <v>1</v>
      </c>
      <c r="J253">
        <v>1</v>
      </c>
      <c r="K253">
        <v>1</v>
      </c>
      <c r="L253">
        <v>1</v>
      </c>
      <c r="M253">
        <v>1</v>
      </c>
    </row>
    <row r="254" spans="1:13" x14ac:dyDescent="0.25">
      <c r="A254" t="s">
        <v>3740</v>
      </c>
      <c r="B254" t="s">
        <v>3740</v>
      </c>
      <c r="C254" t="s">
        <v>3208</v>
      </c>
      <c r="D254" t="s">
        <v>3209</v>
      </c>
      <c r="E254" t="s">
        <v>375</v>
      </c>
      <c r="F254">
        <v>4</v>
      </c>
      <c r="G254">
        <v>0</v>
      </c>
      <c r="H254" t="s">
        <v>3712</v>
      </c>
      <c r="I254">
        <v>0</v>
      </c>
      <c r="J254">
        <v>0</v>
      </c>
      <c r="K254">
        <v>0</v>
      </c>
      <c r="L254">
        <v>0</v>
      </c>
      <c r="M254">
        <v>0</v>
      </c>
    </row>
    <row r="255" spans="1:13" x14ac:dyDescent="0.25">
      <c r="A255" t="s">
        <v>3741</v>
      </c>
      <c r="B255" t="s">
        <v>3741</v>
      </c>
      <c r="C255" t="s">
        <v>3205</v>
      </c>
      <c r="D255" t="s">
        <v>3206</v>
      </c>
      <c r="E255" t="s">
        <v>373</v>
      </c>
      <c r="F255">
        <v>4</v>
      </c>
      <c r="G255">
        <v>0</v>
      </c>
      <c r="H255" t="s">
        <v>3712</v>
      </c>
      <c r="I255">
        <v>0</v>
      </c>
      <c r="J255">
        <v>0</v>
      </c>
      <c r="K255">
        <v>0</v>
      </c>
      <c r="L255">
        <v>0</v>
      </c>
      <c r="M255">
        <v>0</v>
      </c>
    </row>
    <row r="256" spans="1:13" x14ac:dyDescent="0.25">
      <c r="A256" t="s">
        <v>3213</v>
      </c>
      <c r="B256" t="s">
        <v>3213</v>
      </c>
      <c r="C256" t="s">
        <v>3211</v>
      </c>
      <c r="D256" t="s">
        <v>3212</v>
      </c>
      <c r="E256" t="s">
        <v>385</v>
      </c>
      <c r="F256">
        <v>1</v>
      </c>
      <c r="G256">
        <v>1</v>
      </c>
      <c r="H256" t="s">
        <v>3714</v>
      </c>
      <c r="I256">
        <v>0</v>
      </c>
      <c r="J256">
        <v>1</v>
      </c>
      <c r="K256">
        <v>1</v>
      </c>
      <c r="L256">
        <v>1</v>
      </c>
      <c r="M256">
        <v>1</v>
      </c>
    </row>
    <row r="257" spans="1:13" x14ac:dyDescent="0.25">
      <c r="A257" t="s">
        <v>3216</v>
      </c>
      <c r="B257" t="s">
        <v>3216</v>
      </c>
      <c r="C257" t="s">
        <v>3214</v>
      </c>
      <c r="D257" t="s">
        <v>3215</v>
      </c>
      <c r="E257" t="s">
        <v>381</v>
      </c>
      <c r="F257">
        <v>8</v>
      </c>
      <c r="G257">
        <v>0</v>
      </c>
      <c r="H257" t="s">
        <v>3736</v>
      </c>
      <c r="I257">
        <v>0</v>
      </c>
      <c r="J257">
        <v>0</v>
      </c>
      <c r="K257">
        <v>0</v>
      </c>
      <c r="L257">
        <v>0</v>
      </c>
      <c r="M257">
        <v>0</v>
      </c>
    </row>
    <row r="258" spans="1:13" x14ac:dyDescent="0.25">
      <c r="A258" t="s">
        <v>3219</v>
      </c>
      <c r="B258" t="s">
        <v>3219</v>
      </c>
      <c r="C258" t="s">
        <v>3217</v>
      </c>
      <c r="D258" t="s">
        <v>3218</v>
      </c>
      <c r="E258" t="s">
        <v>375</v>
      </c>
      <c r="F258">
        <v>4</v>
      </c>
      <c r="G258">
        <v>0</v>
      </c>
      <c r="H258" t="s">
        <v>3712</v>
      </c>
      <c r="I258">
        <v>0</v>
      </c>
      <c r="J258">
        <v>0</v>
      </c>
      <c r="K258">
        <v>0</v>
      </c>
      <c r="L258">
        <v>0</v>
      </c>
      <c r="M258">
        <v>0</v>
      </c>
    </row>
    <row r="259" spans="1:13" x14ac:dyDescent="0.25">
      <c r="A259" t="s">
        <v>3222</v>
      </c>
      <c r="B259" t="s">
        <v>3222</v>
      </c>
      <c r="C259" t="s">
        <v>3220</v>
      </c>
      <c r="D259" t="s">
        <v>3221</v>
      </c>
      <c r="E259" t="s">
        <v>384</v>
      </c>
      <c r="F259">
        <v>2</v>
      </c>
      <c r="G259">
        <v>0</v>
      </c>
      <c r="H259" t="s">
        <v>3709</v>
      </c>
      <c r="I259">
        <v>1</v>
      </c>
      <c r="J259">
        <v>1</v>
      </c>
      <c r="K259">
        <v>1</v>
      </c>
      <c r="L259">
        <v>1</v>
      </c>
      <c r="M259">
        <v>0</v>
      </c>
    </row>
    <row r="260" spans="1:13" x14ac:dyDescent="0.25">
      <c r="A260" t="s">
        <v>3225</v>
      </c>
      <c r="B260" t="s">
        <v>3225</v>
      </c>
      <c r="C260" t="s">
        <v>3223</v>
      </c>
      <c r="D260" t="s">
        <v>3224</v>
      </c>
      <c r="E260" t="s">
        <v>385</v>
      </c>
      <c r="F260">
        <v>1</v>
      </c>
      <c r="G260">
        <v>1</v>
      </c>
      <c r="H260" t="s">
        <v>3714</v>
      </c>
      <c r="I260">
        <v>0</v>
      </c>
      <c r="J260">
        <v>1</v>
      </c>
      <c r="K260">
        <v>1</v>
      </c>
      <c r="L260">
        <v>1</v>
      </c>
      <c r="M260">
        <v>1</v>
      </c>
    </row>
    <row r="261" spans="1:13" x14ac:dyDescent="0.25">
      <c r="A261" t="s">
        <v>3228</v>
      </c>
      <c r="B261" t="s">
        <v>3228</v>
      </c>
      <c r="C261" t="s">
        <v>3226</v>
      </c>
      <c r="D261" t="s">
        <v>3227</v>
      </c>
      <c r="E261" t="s">
        <v>372</v>
      </c>
      <c r="F261">
        <v>1</v>
      </c>
      <c r="G261">
        <v>1</v>
      </c>
      <c r="H261" t="s">
        <v>3714</v>
      </c>
      <c r="I261">
        <v>0</v>
      </c>
      <c r="J261">
        <v>0</v>
      </c>
      <c r="K261">
        <v>0</v>
      </c>
      <c r="L261">
        <v>0</v>
      </c>
      <c r="M261">
        <v>1</v>
      </c>
    </row>
    <row r="262" spans="1:13" x14ac:dyDescent="0.25">
      <c r="A262" t="s">
        <v>3742</v>
      </c>
      <c r="B262" t="s">
        <v>3742</v>
      </c>
      <c r="C262" t="s">
        <v>3229</v>
      </c>
      <c r="D262" t="s">
        <v>3230</v>
      </c>
      <c r="E262" t="s">
        <v>373</v>
      </c>
      <c r="F262">
        <v>4</v>
      </c>
      <c r="G262">
        <v>1</v>
      </c>
      <c r="H262" t="s">
        <v>3711</v>
      </c>
      <c r="I262">
        <v>0</v>
      </c>
      <c r="J262">
        <v>0</v>
      </c>
      <c r="K262">
        <v>0</v>
      </c>
      <c r="L262">
        <v>0</v>
      </c>
      <c r="M262">
        <v>0</v>
      </c>
    </row>
    <row r="263" spans="1:13" x14ac:dyDescent="0.25">
      <c r="A263" t="s">
        <v>3234</v>
      </c>
      <c r="B263" t="s">
        <v>3234</v>
      </c>
      <c r="C263" t="s">
        <v>3232</v>
      </c>
      <c r="D263" t="s">
        <v>3233</v>
      </c>
      <c r="E263" t="s">
        <v>375</v>
      </c>
      <c r="F263">
        <v>4</v>
      </c>
      <c r="G263">
        <v>0</v>
      </c>
      <c r="H263" t="s">
        <v>3712</v>
      </c>
      <c r="I263">
        <v>0</v>
      </c>
      <c r="J263">
        <v>0</v>
      </c>
      <c r="K263">
        <v>0</v>
      </c>
      <c r="L263">
        <v>0</v>
      </c>
      <c r="M263">
        <v>0</v>
      </c>
    </row>
    <row r="264" spans="1:13" x14ac:dyDescent="0.25">
      <c r="A264" t="s">
        <v>3237</v>
      </c>
      <c r="B264" t="s">
        <v>3237</v>
      </c>
      <c r="C264" t="s">
        <v>3235</v>
      </c>
      <c r="D264" t="s">
        <v>3236</v>
      </c>
      <c r="E264" t="s">
        <v>384</v>
      </c>
      <c r="F264">
        <v>2</v>
      </c>
      <c r="G264">
        <v>0</v>
      </c>
      <c r="H264" t="s">
        <v>3709</v>
      </c>
      <c r="I264">
        <v>0</v>
      </c>
      <c r="J264">
        <v>1</v>
      </c>
      <c r="K264">
        <v>1</v>
      </c>
      <c r="L264">
        <v>1</v>
      </c>
      <c r="M264">
        <v>0</v>
      </c>
    </row>
    <row r="265" spans="1:13" x14ac:dyDescent="0.25">
      <c r="A265" t="s">
        <v>3240</v>
      </c>
      <c r="B265" t="s">
        <v>3240</v>
      </c>
      <c r="C265" t="s">
        <v>3238</v>
      </c>
      <c r="D265" t="s">
        <v>3239</v>
      </c>
      <c r="E265" t="s">
        <v>384</v>
      </c>
      <c r="F265">
        <v>2</v>
      </c>
      <c r="G265">
        <v>0</v>
      </c>
      <c r="H265" t="s">
        <v>3709</v>
      </c>
      <c r="I265">
        <v>0</v>
      </c>
      <c r="J265">
        <v>1</v>
      </c>
      <c r="K265">
        <v>1</v>
      </c>
      <c r="L265">
        <v>1</v>
      </c>
      <c r="M265">
        <v>0</v>
      </c>
    </row>
    <row r="266" spans="1:13" x14ac:dyDescent="0.25">
      <c r="A266" t="s">
        <v>3243</v>
      </c>
      <c r="B266" t="s">
        <v>3243</v>
      </c>
      <c r="C266" t="s">
        <v>3241</v>
      </c>
      <c r="D266" t="s">
        <v>3242</v>
      </c>
      <c r="E266" t="s">
        <v>379</v>
      </c>
      <c r="F266">
        <v>1</v>
      </c>
      <c r="G266">
        <v>0</v>
      </c>
      <c r="H266" t="s">
        <v>3713</v>
      </c>
      <c r="I266">
        <v>0</v>
      </c>
      <c r="J266">
        <v>1</v>
      </c>
      <c r="K266">
        <v>1</v>
      </c>
      <c r="L266">
        <v>1</v>
      </c>
      <c r="M266">
        <v>1</v>
      </c>
    </row>
    <row r="267" spans="1:13" x14ac:dyDescent="0.25">
      <c r="A267" t="s">
        <v>3246</v>
      </c>
      <c r="B267" t="s">
        <v>3246</v>
      </c>
      <c r="C267" t="s">
        <v>3244</v>
      </c>
      <c r="D267" t="s">
        <v>3245</v>
      </c>
      <c r="E267" t="s">
        <v>384</v>
      </c>
      <c r="F267">
        <v>2</v>
      </c>
      <c r="G267">
        <v>0</v>
      </c>
      <c r="H267" t="s">
        <v>3709</v>
      </c>
      <c r="I267">
        <v>1</v>
      </c>
      <c r="J267">
        <v>1</v>
      </c>
      <c r="K267">
        <v>1</v>
      </c>
      <c r="L267">
        <v>1</v>
      </c>
      <c r="M267">
        <v>0</v>
      </c>
    </row>
    <row r="268" spans="1:13" x14ac:dyDescent="0.25">
      <c r="A268" t="s">
        <v>3249</v>
      </c>
      <c r="B268" t="s">
        <v>3249</v>
      </c>
      <c r="C268" t="s">
        <v>3247</v>
      </c>
      <c r="D268" t="s">
        <v>3248</v>
      </c>
      <c r="E268" t="s">
        <v>372</v>
      </c>
      <c r="F268">
        <v>1</v>
      </c>
      <c r="G268">
        <v>0</v>
      </c>
      <c r="H268" t="s">
        <v>3713</v>
      </c>
      <c r="I268">
        <v>0</v>
      </c>
      <c r="J268">
        <v>0</v>
      </c>
      <c r="K268">
        <v>0</v>
      </c>
      <c r="L268">
        <v>0</v>
      </c>
      <c r="M268">
        <v>1</v>
      </c>
    </row>
    <row r="269" spans="1:13" x14ac:dyDescent="0.25">
      <c r="A269" t="s">
        <v>3252</v>
      </c>
      <c r="B269" t="s">
        <v>3252</v>
      </c>
      <c r="C269" t="s">
        <v>3250</v>
      </c>
      <c r="D269" t="s">
        <v>3251</v>
      </c>
      <c r="E269" t="s">
        <v>381</v>
      </c>
      <c r="F269">
        <v>8</v>
      </c>
      <c r="G269">
        <v>0</v>
      </c>
      <c r="H269" t="s">
        <v>3736</v>
      </c>
      <c r="I269">
        <v>0</v>
      </c>
      <c r="J269">
        <v>0</v>
      </c>
      <c r="K269">
        <v>0</v>
      </c>
      <c r="L269">
        <v>0</v>
      </c>
      <c r="M269">
        <v>0</v>
      </c>
    </row>
    <row r="270" spans="1:13" x14ac:dyDescent="0.25">
      <c r="A270" t="s">
        <v>3255</v>
      </c>
      <c r="B270" t="s">
        <v>3255</v>
      </c>
      <c r="C270" t="s">
        <v>3253</v>
      </c>
      <c r="D270" t="s">
        <v>3254</v>
      </c>
      <c r="E270" t="s">
        <v>384</v>
      </c>
      <c r="F270">
        <v>2</v>
      </c>
      <c r="G270">
        <v>0</v>
      </c>
      <c r="H270" t="s">
        <v>3709</v>
      </c>
      <c r="I270">
        <v>0</v>
      </c>
      <c r="J270">
        <v>1</v>
      </c>
      <c r="K270">
        <v>1</v>
      </c>
      <c r="L270">
        <v>1</v>
      </c>
      <c r="M270">
        <v>0</v>
      </c>
    </row>
    <row r="271" spans="1:13" x14ac:dyDescent="0.25">
      <c r="A271" t="s">
        <v>3258</v>
      </c>
      <c r="B271" t="s">
        <v>3258</v>
      </c>
      <c r="C271" t="s">
        <v>3256</v>
      </c>
      <c r="D271" t="s">
        <v>3257</v>
      </c>
      <c r="E271" t="s">
        <v>385</v>
      </c>
      <c r="F271">
        <v>1</v>
      </c>
      <c r="G271">
        <v>0</v>
      </c>
      <c r="H271" t="s">
        <v>3713</v>
      </c>
      <c r="I271">
        <v>1</v>
      </c>
      <c r="J271">
        <v>1</v>
      </c>
      <c r="K271">
        <v>1</v>
      </c>
      <c r="L271">
        <v>1</v>
      </c>
      <c r="M271">
        <v>1</v>
      </c>
    </row>
    <row r="272" spans="1:13" x14ac:dyDescent="0.25">
      <c r="A272" t="s">
        <v>3261</v>
      </c>
      <c r="B272" t="s">
        <v>3261</v>
      </c>
      <c r="C272" t="s">
        <v>3259</v>
      </c>
      <c r="D272" t="s">
        <v>3260</v>
      </c>
      <c r="E272" t="s">
        <v>385</v>
      </c>
      <c r="F272">
        <v>1</v>
      </c>
      <c r="G272">
        <v>0</v>
      </c>
      <c r="H272" t="s">
        <v>3713</v>
      </c>
      <c r="I272">
        <v>1</v>
      </c>
      <c r="J272">
        <v>1</v>
      </c>
      <c r="K272">
        <v>1</v>
      </c>
      <c r="L272">
        <v>1</v>
      </c>
      <c r="M272">
        <v>1</v>
      </c>
    </row>
    <row r="273" spans="1:13" x14ac:dyDescent="0.25">
      <c r="A273" t="s">
        <v>3264</v>
      </c>
      <c r="B273" t="s">
        <v>3264</v>
      </c>
      <c r="C273" t="s">
        <v>3262</v>
      </c>
      <c r="D273" t="s">
        <v>3263</v>
      </c>
      <c r="E273" t="s">
        <v>385</v>
      </c>
      <c r="F273">
        <v>1</v>
      </c>
      <c r="G273">
        <v>0</v>
      </c>
      <c r="H273" t="s">
        <v>3713</v>
      </c>
      <c r="I273">
        <v>1</v>
      </c>
      <c r="J273">
        <v>1</v>
      </c>
      <c r="K273">
        <v>1</v>
      </c>
      <c r="L273">
        <v>1</v>
      </c>
      <c r="M273">
        <v>1</v>
      </c>
    </row>
    <row r="274" spans="1:13" x14ac:dyDescent="0.25">
      <c r="A274" t="s">
        <v>3267</v>
      </c>
      <c r="B274" t="s">
        <v>3267</v>
      </c>
      <c r="C274" t="s">
        <v>3265</v>
      </c>
      <c r="D274" t="s">
        <v>3266</v>
      </c>
      <c r="E274" t="s">
        <v>384</v>
      </c>
      <c r="F274">
        <v>2</v>
      </c>
      <c r="G274">
        <v>0</v>
      </c>
      <c r="H274" t="s">
        <v>3709</v>
      </c>
      <c r="I274">
        <v>1</v>
      </c>
      <c r="J274">
        <v>1</v>
      </c>
      <c r="K274">
        <v>1</v>
      </c>
      <c r="L274">
        <v>1</v>
      </c>
      <c r="M274">
        <v>0</v>
      </c>
    </row>
    <row r="275" spans="1:13" x14ac:dyDescent="0.25">
      <c r="A275" t="s">
        <v>3270</v>
      </c>
      <c r="B275" t="s">
        <v>3270</v>
      </c>
      <c r="C275" t="s">
        <v>3268</v>
      </c>
      <c r="D275" t="s">
        <v>3269</v>
      </c>
      <c r="E275" t="s">
        <v>385</v>
      </c>
      <c r="F275">
        <v>1</v>
      </c>
      <c r="G275">
        <v>1</v>
      </c>
      <c r="H275" t="s">
        <v>3714</v>
      </c>
      <c r="I275">
        <v>1</v>
      </c>
      <c r="J275">
        <v>1</v>
      </c>
      <c r="K275">
        <v>1</v>
      </c>
      <c r="L275">
        <v>1</v>
      </c>
      <c r="M275">
        <v>1</v>
      </c>
    </row>
    <row r="276" spans="1:13" x14ac:dyDescent="0.25">
      <c r="A276" t="s">
        <v>3273</v>
      </c>
      <c r="B276" t="s">
        <v>3273</v>
      </c>
      <c r="C276" t="s">
        <v>3271</v>
      </c>
      <c r="D276" t="s">
        <v>3272</v>
      </c>
      <c r="E276" t="s">
        <v>380</v>
      </c>
      <c r="F276">
        <v>1</v>
      </c>
      <c r="G276">
        <v>0</v>
      </c>
      <c r="H276" t="s">
        <v>3713</v>
      </c>
      <c r="I276">
        <v>1</v>
      </c>
      <c r="J276">
        <v>1</v>
      </c>
      <c r="K276">
        <v>1</v>
      </c>
      <c r="L276">
        <v>1</v>
      </c>
      <c r="M276">
        <v>1</v>
      </c>
    </row>
    <row r="277" spans="1:13" x14ac:dyDescent="0.25">
      <c r="A277" t="s">
        <v>3276</v>
      </c>
      <c r="B277" t="s">
        <v>3276</v>
      </c>
      <c r="C277" t="s">
        <v>3274</v>
      </c>
      <c r="D277" t="s">
        <v>3275</v>
      </c>
      <c r="E277" t="s">
        <v>385</v>
      </c>
      <c r="F277">
        <v>1</v>
      </c>
      <c r="G277">
        <v>0</v>
      </c>
      <c r="H277" t="s">
        <v>3713</v>
      </c>
      <c r="I277">
        <v>0</v>
      </c>
      <c r="J277">
        <v>1</v>
      </c>
      <c r="K277">
        <v>1</v>
      </c>
      <c r="L277">
        <v>1</v>
      </c>
      <c r="M277">
        <v>1</v>
      </c>
    </row>
    <row r="278" spans="1:13" x14ac:dyDescent="0.25">
      <c r="A278" t="s">
        <v>3279</v>
      </c>
      <c r="B278" t="s">
        <v>3279</v>
      </c>
      <c r="C278" t="s">
        <v>3277</v>
      </c>
      <c r="D278" t="s">
        <v>3278</v>
      </c>
      <c r="E278" t="s">
        <v>384</v>
      </c>
      <c r="F278">
        <v>2</v>
      </c>
      <c r="G278">
        <v>0</v>
      </c>
      <c r="H278" t="s">
        <v>3709</v>
      </c>
      <c r="I278">
        <v>0</v>
      </c>
      <c r="J278">
        <v>1</v>
      </c>
      <c r="K278">
        <v>1</v>
      </c>
      <c r="L278">
        <v>1</v>
      </c>
      <c r="M278">
        <v>0</v>
      </c>
    </row>
    <row r="279" spans="1:13" x14ac:dyDescent="0.25">
      <c r="A279" t="s">
        <v>3282</v>
      </c>
      <c r="B279" t="s">
        <v>3282</v>
      </c>
      <c r="C279" t="s">
        <v>3280</v>
      </c>
      <c r="D279" t="s">
        <v>3281</v>
      </c>
      <c r="E279" t="s">
        <v>384</v>
      </c>
      <c r="F279">
        <v>2</v>
      </c>
      <c r="G279">
        <v>0</v>
      </c>
      <c r="H279" t="s">
        <v>3709</v>
      </c>
      <c r="I279">
        <v>1</v>
      </c>
      <c r="J279">
        <v>1</v>
      </c>
      <c r="K279">
        <v>1</v>
      </c>
      <c r="L279">
        <v>1</v>
      </c>
      <c r="M279">
        <v>0</v>
      </c>
    </row>
    <row r="280" spans="1:13" x14ac:dyDescent="0.25">
      <c r="A280" t="s">
        <v>3285</v>
      </c>
      <c r="B280" t="s">
        <v>3285</v>
      </c>
      <c r="C280" t="s">
        <v>3283</v>
      </c>
      <c r="D280" t="s">
        <v>3284</v>
      </c>
      <c r="E280" t="s">
        <v>384</v>
      </c>
      <c r="F280">
        <v>2</v>
      </c>
      <c r="G280">
        <v>0</v>
      </c>
      <c r="H280" t="s">
        <v>3709</v>
      </c>
      <c r="I280">
        <v>0</v>
      </c>
      <c r="J280">
        <v>1</v>
      </c>
      <c r="K280">
        <v>1</v>
      </c>
      <c r="L280">
        <v>1</v>
      </c>
      <c r="M280">
        <v>0</v>
      </c>
    </row>
    <row r="281" spans="1:13" x14ac:dyDescent="0.25">
      <c r="A281" t="s">
        <v>3288</v>
      </c>
      <c r="B281" t="s">
        <v>3288</v>
      </c>
      <c r="C281" t="s">
        <v>3286</v>
      </c>
      <c r="D281" t="s">
        <v>3287</v>
      </c>
      <c r="E281" t="s">
        <v>380</v>
      </c>
      <c r="F281">
        <v>1</v>
      </c>
      <c r="G281">
        <v>0</v>
      </c>
      <c r="H281" t="s">
        <v>3713</v>
      </c>
      <c r="I281">
        <v>1</v>
      </c>
      <c r="J281">
        <v>1</v>
      </c>
      <c r="K281">
        <v>1</v>
      </c>
      <c r="L281">
        <v>1</v>
      </c>
      <c r="M281">
        <v>1</v>
      </c>
    </row>
    <row r="282" spans="1:13" x14ac:dyDescent="0.25">
      <c r="A282" t="s">
        <v>3291</v>
      </c>
      <c r="B282" t="s">
        <v>3291</v>
      </c>
      <c r="C282" t="s">
        <v>3289</v>
      </c>
      <c r="D282" t="s">
        <v>3290</v>
      </c>
      <c r="E282" t="s">
        <v>379</v>
      </c>
      <c r="F282">
        <v>1</v>
      </c>
      <c r="G282">
        <v>1</v>
      </c>
      <c r="H282" t="s">
        <v>3714</v>
      </c>
      <c r="I282">
        <v>0</v>
      </c>
      <c r="J282">
        <v>1</v>
      </c>
      <c r="K282">
        <v>1</v>
      </c>
      <c r="L282">
        <v>1</v>
      </c>
      <c r="M282">
        <v>1</v>
      </c>
    </row>
    <row r="283" spans="1:13" x14ac:dyDescent="0.25">
      <c r="A283" t="s">
        <v>3294</v>
      </c>
      <c r="B283" t="s">
        <v>3294</v>
      </c>
      <c r="C283" t="s">
        <v>3292</v>
      </c>
      <c r="D283" t="s">
        <v>3293</v>
      </c>
      <c r="E283" t="s">
        <v>384</v>
      </c>
      <c r="F283">
        <v>2</v>
      </c>
      <c r="G283">
        <v>0</v>
      </c>
      <c r="H283" t="s">
        <v>3709</v>
      </c>
      <c r="I283">
        <v>0</v>
      </c>
      <c r="J283">
        <v>1</v>
      </c>
      <c r="K283">
        <v>1</v>
      </c>
      <c r="L283">
        <v>1</v>
      </c>
      <c r="M283">
        <v>0</v>
      </c>
    </row>
    <row r="284" spans="1:13" x14ac:dyDescent="0.25">
      <c r="A284" t="s">
        <v>3297</v>
      </c>
      <c r="B284" t="s">
        <v>3297</v>
      </c>
      <c r="C284" t="s">
        <v>3295</v>
      </c>
      <c r="D284" t="s">
        <v>3296</v>
      </c>
      <c r="E284" t="s">
        <v>384</v>
      </c>
      <c r="F284">
        <v>2</v>
      </c>
      <c r="G284">
        <v>1</v>
      </c>
      <c r="H284" t="s">
        <v>3710</v>
      </c>
      <c r="I284">
        <v>0</v>
      </c>
      <c r="J284">
        <v>1</v>
      </c>
      <c r="K284">
        <v>1</v>
      </c>
      <c r="L284">
        <v>1</v>
      </c>
      <c r="M284">
        <v>0</v>
      </c>
    </row>
    <row r="285" spans="1:13" x14ac:dyDescent="0.25">
      <c r="A285" t="s">
        <v>3300</v>
      </c>
      <c r="B285" t="s">
        <v>3300</v>
      </c>
      <c r="C285" t="s">
        <v>3298</v>
      </c>
      <c r="D285" t="s">
        <v>3299</v>
      </c>
      <c r="E285" t="s">
        <v>384</v>
      </c>
      <c r="F285">
        <v>2</v>
      </c>
      <c r="G285">
        <v>1</v>
      </c>
      <c r="H285" t="s">
        <v>3710</v>
      </c>
      <c r="I285">
        <v>1</v>
      </c>
      <c r="J285">
        <v>1</v>
      </c>
      <c r="K285">
        <v>1</v>
      </c>
      <c r="L285">
        <v>1</v>
      </c>
      <c r="M285">
        <v>0</v>
      </c>
    </row>
    <row r="286" spans="1:13" x14ac:dyDescent="0.25">
      <c r="A286" t="s">
        <v>3303</v>
      </c>
      <c r="B286" t="s">
        <v>3303</v>
      </c>
      <c r="C286" t="s">
        <v>3301</v>
      </c>
      <c r="D286" t="s">
        <v>3302</v>
      </c>
      <c r="E286" t="s">
        <v>379</v>
      </c>
      <c r="F286">
        <v>1</v>
      </c>
      <c r="G286">
        <v>0</v>
      </c>
      <c r="H286" t="s">
        <v>3713</v>
      </c>
      <c r="I286">
        <v>1</v>
      </c>
      <c r="J286">
        <v>1</v>
      </c>
      <c r="K286">
        <v>1</v>
      </c>
      <c r="L286">
        <v>1</v>
      </c>
      <c r="M286">
        <v>1</v>
      </c>
    </row>
    <row r="287" spans="1:13" x14ac:dyDescent="0.25">
      <c r="A287" t="s">
        <v>3306</v>
      </c>
      <c r="B287" t="s">
        <v>3306</v>
      </c>
      <c r="C287" t="s">
        <v>3304</v>
      </c>
      <c r="D287" t="s">
        <v>3305</v>
      </c>
      <c r="E287" t="s">
        <v>384</v>
      </c>
      <c r="F287">
        <v>2</v>
      </c>
      <c r="G287">
        <v>0</v>
      </c>
      <c r="H287" t="s">
        <v>3709</v>
      </c>
      <c r="I287">
        <v>1</v>
      </c>
      <c r="J287">
        <v>1</v>
      </c>
      <c r="K287">
        <v>1</v>
      </c>
      <c r="L287">
        <v>1</v>
      </c>
      <c r="M287">
        <v>0</v>
      </c>
    </row>
    <row r="288" spans="1:13" x14ac:dyDescent="0.25">
      <c r="A288" t="s">
        <v>3309</v>
      </c>
      <c r="B288" t="s">
        <v>3309</v>
      </c>
      <c r="C288" t="s">
        <v>3307</v>
      </c>
      <c r="D288" t="s">
        <v>3308</v>
      </c>
      <c r="E288" t="s">
        <v>384</v>
      </c>
      <c r="F288">
        <v>2</v>
      </c>
      <c r="G288">
        <v>1</v>
      </c>
      <c r="H288" t="s">
        <v>3710</v>
      </c>
      <c r="I288">
        <v>1</v>
      </c>
      <c r="J288">
        <v>1</v>
      </c>
      <c r="K288">
        <v>1</v>
      </c>
      <c r="L288">
        <v>1</v>
      </c>
      <c r="M288">
        <v>0</v>
      </c>
    </row>
    <row r="289" spans="1:13" x14ac:dyDescent="0.25">
      <c r="A289" t="s">
        <v>3312</v>
      </c>
      <c r="B289" t="s">
        <v>3312</v>
      </c>
      <c r="C289" t="s">
        <v>3310</v>
      </c>
      <c r="D289" t="s">
        <v>3311</v>
      </c>
      <c r="E289" t="s">
        <v>384</v>
      </c>
      <c r="F289">
        <v>2</v>
      </c>
      <c r="G289">
        <v>0</v>
      </c>
      <c r="H289" t="s">
        <v>3709</v>
      </c>
      <c r="I289">
        <v>1</v>
      </c>
      <c r="J289">
        <v>1</v>
      </c>
      <c r="K289">
        <v>1</v>
      </c>
      <c r="L289">
        <v>1</v>
      </c>
      <c r="M289">
        <v>0</v>
      </c>
    </row>
    <row r="290" spans="1:13" x14ac:dyDescent="0.25">
      <c r="A290" t="s">
        <v>3315</v>
      </c>
      <c r="B290" t="s">
        <v>3315</v>
      </c>
      <c r="C290" t="s">
        <v>3313</v>
      </c>
      <c r="D290" t="s">
        <v>3314</v>
      </c>
      <c r="E290" t="s">
        <v>384</v>
      </c>
      <c r="F290">
        <v>2</v>
      </c>
      <c r="G290">
        <v>1</v>
      </c>
      <c r="H290" t="s">
        <v>3710</v>
      </c>
      <c r="I290">
        <v>0</v>
      </c>
      <c r="J290">
        <v>1</v>
      </c>
      <c r="K290">
        <v>1</v>
      </c>
      <c r="L290">
        <v>1</v>
      </c>
      <c r="M290">
        <v>0</v>
      </c>
    </row>
    <row r="291" spans="1:13" x14ac:dyDescent="0.25">
      <c r="A291" t="s">
        <v>3318</v>
      </c>
      <c r="B291" t="s">
        <v>3318</v>
      </c>
      <c r="C291" t="s">
        <v>3316</v>
      </c>
      <c r="D291" t="s">
        <v>3317</v>
      </c>
      <c r="E291" t="s">
        <v>385</v>
      </c>
      <c r="F291">
        <v>1</v>
      </c>
      <c r="G291">
        <v>1</v>
      </c>
      <c r="H291" t="s">
        <v>3714</v>
      </c>
      <c r="I291">
        <v>1</v>
      </c>
      <c r="J291">
        <v>1</v>
      </c>
      <c r="K291">
        <v>1</v>
      </c>
      <c r="L291">
        <v>1</v>
      </c>
      <c r="M291">
        <v>1</v>
      </c>
    </row>
    <row r="292" spans="1:13" x14ac:dyDescent="0.25">
      <c r="A292" t="s">
        <v>3321</v>
      </c>
      <c r="B292" t="s">
        <v>3321</v>
      </c>
      <c r="C292" t="s">
        <v>3319</v>
      </c>
      <c r="D292" t="s">
        <v>3320</v>
      </c>
      <c r="E292" t="s">
        <v>379</v>
      </c>
      <c r="F292">
        <v>1</v>
      </c>
      <c r="G292">
        <v>1</v>
      </c>
      <c r="H292" t="s">
        <v>3714</v>
      </c>
      <c r="I292">
        <v>0</v>
      </c>
      <c r="J292">
        <v>1</v>
      </c>
      <c r="K292">
        <v>1</v>
      </c>
      <c r="L292">
        <v>1</v>
      </c>
      <c r="M292">
        <v>1</v>
      </c>
    </row>
    <row r="293" spans="1:13" x14ac:dyDescent="0.25">
      <c r="A293" t="s">
        <v>3324</v>
      </c>
      <c r="B293" t="s">
        <v>3324</v>
      </c>
      <c r="C293" t="s">
        <v>3322</v>
      </c>
      <c r="D293" t="s">
        <v>3323</v>
      </c>
      <c r="E293" t="s">
        <v>379</v>
      </c>
      <c r="F293">
        <v>1</v>
      </c>
      <c r="G293">
        <v>0</v>
      </c>
      <c r="H293" t="s">
        <v>3713</v>
      </c>
      <c r="I293">
        <v>1</v>
      </c>
      <c r="J293">
        <v>1</v>
      </c>
      <c r="K293">
        <v>1</v>
      </c>
      <c r="L293">
        <v>1</v>
      </c>
      <c r="M293">
        <v>1</v>
      </c>
    </row>
    <row r="294" spans="1:13" x14ac:dyDescent="0.25">
      <c r="A294" t="s">
        <v>3327</v>
      </c>
      <c r="B294" t="s">
        <v>3327</v>
      </c>
      <c r="C294" t="s">
        <v>3325</v>
      </c>
      <c r="D294" t="s">
        <v>3326</v>
      </c>
      <c r="E294" t="s">
        <v>379</v>
      </c>
      <c r="F294">
        <v>1</v>
      </c>
      <c r="G294">
        <v>1</v>
      </c>
      <c r="H294" t="s">
        <v>3714</v>
      </c>
      <c r="I294">
        <v>0</v>
      </c>
      <c r="J294">
        <v>1</v>
      </c>
      <c r="K294">
        <v>1</v>
      </c>
      <c r="L294">
        <v>1</v>
      </c>
      <c r="M294">
        <v>1</v>
      </c>
    </row>
    <row r="295" spans="1:13" x14ac:dyDescent="0.25">
      <c r="A295" t="s">
        <v>3330</v>
      </c>
      <c r="B295" t="s">
        <v>3330</v>
      </c>
      <c r="C295" t="s">
        <v>3328</v>
      </c>
      <c r="D295" t="s">
        <v>3329</v>
      </c>
      <c r="E295" t="s">
        <v>384</v>
      </c>
      <c r="F295">
        <v>2</v>
      </c>
      <c r="G295">
        <v>0</v>
      </c>
      <c r="H295" t="s">
        <v>3709</v>
      </c>
      <c r="I295">
        <v>1</v>
      </c>
      <c r="J295">
        <v>1</v>
      </c>
      <c r="K295">
        <v>1</v>
      </c>
      <c r="L295">
        <v>1</v>
      </c>
      <c r="M295">
        <v>0</v>
      </c>
    </row>
    <row r="296" spans="1:13" x14ac:dyDescent="0.25">
      <c r="A296" t="s">
        <v>3333</v>
      </c>
      <c r="B296" t="s">
        <v>3333</v>
      </c>
      <c r="C296" t="s">
        <v>3331</v>
      </c>
      <c r="D296" t="s">
        <v>3332</v>
      </c>
      <c r="E296" t="s">
        <v>379</v>
      </c>
      <c r="F296">
        <v>1</v>
      </c>
      <c r="G296">
        <v>0</v>
      </c>
      <c r="H296" t="s">
        <v>3713</v>
      </c>
      <c r="I296">
        <v>1</v>
      </c>
      <c r="J296">
        <v>1</v>
      </c>
      <c r="K296">
        <v>1</v>
      </c>
      <c r="L296">
        <v>1</v>
      </c>
      <c r="M296">
        <v>1</v>
      </c>
    </row>
    <row r="297" spans="1:13" x14ac:dyDescent="0.25">
      <c r="A297" t="s">
        <v>3336</v>
      </c>
      <c r="B297" t="s">
        <v>3336</v>
      </c>
      <c r="C297" t="s">
        <v>3334</v>
      </c>
      <c r="D297" t="s">
        <v>3335</v>
      </c>
      <c r="E297" t="s">
        <v>385</v>
      </c>
      <c r="F297">
        <v>1</v>
      </c>
      <c r="G297">
        <v>0</v>
      </c>
      <c r="H297" t="s">
        <v>3713</v>
      </c>
      <c r="I297">
        <v>1</v>
      </c>
      <c r="J297">
        <v>1</v>
      </c>
      <c r="K297">
        <v>1</v>
      </c>
      <c r="L297">
        <v>1</v>
      </c>
      <c r="M297">
        <v>1</v>
      </c>
    </row>
    <row r="298" spans="1:13" x14ac:dyDescent="0.25">
      <c r="A298" t="s">
        <v>3743</v>
      </c>
      <c r="B298" t="s">
        <v>3743</v>
      </c>
      <c r="C298" t="s">
        <v>3337</v>
      </c>
      <c r="D298" t="s">
        <v>3338</v>
      </c>
      <c r="E298" t="s">
        <v>373</v>
      </c>
      <c r="F298">
        <v>4</v>
      </c>
      <c r="G298">
        <v>1</v>
      </c>
      <c r="H298" t="s">
        <v>3711</v>
      </c>
      <c r="I298">
        <v>0</v>
      </c>
      <c r="J298">
        <v>0</v>
      </c>
      <c r="K298">
        <v>0</v>
      </c>
      <c r="L298">
        <v>0</v>
      </c>
      <c r="M298">
        <v>0</v>
      </c>
    </row>
    <row r="299" spans="1:13" x14ac:dyDescent="0.25">
      <c r="A299" t="s">
        <v>3342</v>
      </c>
      <c r="B299" t="s">
        <v>3342</v>
      </c>
      <c r="C299" t="s">
        <v>3340</v>
      </c>
      <c r="D299" t="s">
        <v>3341</v>
      </c>
      <c r="E299" t="s">
        <v>385</v>
      </c>
      <c r="F299">
        <v>1</v>
      </c>
      <c r="G299">
        <v>0</v>
      </c>
      <c r="H299" t="s">
        <v>3713</v>
      </c>
      <c r="I299">
        <v>0</v>
      </c>
      <c r="J299">
        <v>1</v>
      </c>
      <c r="K299">
        <v>1</v>
      </c>
      <c r="L299">
        <v>1</v>
      </c>
      <c r="M299">
        <v>1</v>
      </c>
    </row>
    <row r="300" spans="1:13" x14ac:dyDescent="0.25">
      <c r="A300" t="s">
        <v>3345</v>
      </c>
      <c r="B300" t="s">
        <v>3345</v>
      </c>
      <c r="C300" t="s">
        <v>3343</v>
      </c>
      <c r="D300" t="s">
        <v>3344</v>
      </c>
      <c r="E300" t="s">
        <v>379</v>
      </c>
      <c r="F300">
        <v>1</v>
      </c>
      <c r="G300">
        <v>0</v>
      </c>
      <c r="H300" t="s">
        <v>3713</v>
      </c>
      <c r="I300">
        <v>1</v>
      </c>
      <c r="J300">
        <v>1</v>
      </c>
      <c r="K300">
        <v>1</v>
      </c>
      <c r="L300">
        <v>1</v>
      </c>
      <c r="M300">
        <v>1</v>
      </c>
    </row>
    <row r="301" spans="1:13" x14ac:dyDescent="0.25">
      <c r="A301" t="s">
        <v>3744</v>
      </c>
      <c r="B301" t="s">
        <v>3744</v>
      </c>
      <c r="C301" t="s">
        <v>3346</v>
      </c>
      <c r="D301" t="s">
        <v>3347</v>
      </c>
      <c r="E301" t="s">
        <v>385</v>
      </c>
      <c r="F301">
        <v>1</v>
      </c>
      <c r="G301">
        <v>0</v>
      </c>
      <c r="H301" t="s">
        <v>3713</v>
      </c>
      <c r="I301">
        <v>1</v>
      </c>
      <c r="J301">
        <v>1</v>
      </c>
      <c r="K301">
        <v>1</v>
      </c>
      <c r="L301">
        <v>1</v>
      </c>
      <c r="M301">
        <v>1</v>
      </c>
    </row>
    <row r="302" spans="1:13" x14ac:dyDescent="0.25">
      <c r="A302" t="s">
        <v>3351</v>
      </c>
      <c r="B302" t="s">
        <v>3351</v>
      </c>
      <c r="C302" t="s">
        <v>3349</v>
      </c>
      <c r="D302" t="s">
        <v>3350</v>
      </c>
      <c r="E302" t="s">
        <v>384</v>
      </c>
      <c r="F302">
        <v>2</v>
      </c>
      <c r="G302">
        <v>1</v>
      </c>
      <c r="H302" t="s">
        <v>3710</v>
      </c>
      <c r="I302">
        <v>0</v>
      </c>
      <c r="J302">
        <v>1</v>
      </c>
      <c r="K302">
        <v>1</v>
      </c>
      <c r="L302">
        <v>1</v>
      </c>
      <c r="M302">
        <v>0</v>
      </c>
    </row>
    <row r="303" spans="1:13" x14ac:dyDescent="0.25">
      <c r="A303" t="s">
        <v>3354</v>
      </c>
      <c r="B303" t="s">
        <v>3354</v>
      </c>
      <c r="C303" t="s">
        <v>3352</v>
      </c>
      <c r="D303" t="s">
        <v>3353</v>
      </c>
      <c r="E303" t="s">
        <v>384</v>
      </c>
      <c r="F303">
        <v>2</v>
      </c>
      <c r="G303">
        <v>0</v>
      </c>
      <c r="H303" t="s">
        <v>3709</v>
      </c>
      <c r="I303">
        <v>0</v>
      </c>
      <c r="J303">
        <v>1</v>
      </c>
      <c r="K303">
        <v>1</v>
      </c>
      <c r="L303">
        <v>1</v>
      </c>
      <c r="M303">
        <v>0</v>
      </c>
    </row>
    <row r="304" spans="1:13" x14ac:dyDescent="0.25">
      <c r="A304" t="s">
        <v>3357</v>
      </c>
      <c r="B304" t="s">
        <v>3357</v>
      </c>
      <c r="C304" t="s">
        <v>3355</v>
      </c>
      <c r="D304" t="s">
        <v>3356</v>
      </c>
      <c r="E304" t="s">
        <v>381</v>
      </c>
      <c r="F304">
        <v>8</v>
      </c>
      <c r="G304">
        <v>1</v>
      </c>
      <c r="H304" t="s">
        <v>3745</v>
      </c>
      <c r="I304">
        <v>1</v>
      </c>
      <c r="J304">
        <v>0</v>
      </c>
      <c r="K304">
        <v>0</v>
      </c>
      <c r="L304">
        <v>0</v>
      </c>
      <c r="M304">
        <v>0</v>
      </c>
    </row>
    <row r="305" spans="1:13" x14ac:dyDescent="0.25">
      <c r="A305" t="s">
        <v>3360</v>
      </c>
      <c r="B305" t="s">
        <v>3360</v>
      </c>
      <c r="C305" t="s">
        <v>3358</v>
      </c>
      <c r="D305" t="s">
        <v>3359</v>
      </c>
      <c r="E305" t="s">
        <v>385</v>
      </c>
      <c r="F305">
        <v>1</v>
      </c>
      <c r="G305">
        <v>0</v>
      </c>
      <c r="H305" t="s">
        <v>3713</v>
      </c>
      <c r="I305">
        <v>1</v>
      </c>
      <c r="J305">
        <v>1</v>
      </c>
      <c r="K305">
        <v>1</v>
      </c>
      <c r="L305">
        <v>1</v>
      </c>
      <c r="M305">
        <v>1</v>
      </c>
    </row>
    <row r="306" spans="1:13" x14ac:dyDescent="0.25">
      <c r="A306" t="s">
        <v>3363</v>
      </c>
      <c r="B306" t="s">
        <v>3363</v>
      </c>
      <c r="C306" t="s">
        <v>3361</v>
      </c>
      <c r="D306" t="s">
        <v>3362</v>
      </c>
      <c r="E306" t="s">
        <v>384</v>
      </c>
      <c r="F306">
        <v>2</v>
      </c>
      <c r="G306">
        <v>1</v>
      </c>
      <c r="H306" t="s">
        <v>3710</v>
      </c>
      <c r="I306">
        <v>0</v>
      </c>
      <c r="J306">
        <v>1</v>
      </c>
      <c r="K306">
        <v>1</v>
      </c>
      <c r="L306">
        <v>1</v>
      </c>
      <c r="M306">
        <v>0</v>
      </c>
    </row>
    <row r="307" spans="1:13" x14ac:dyDescent="0.25">
      <c r="A307" t="s">
        <v>3366</v>
      </c>
      <c r="B307" t="s">
        <v>3366</v>
      </c>
      <c r="C307" t="s">
        <v>3364</v>
      </c>
      <c r="D307" t="s">
        <v>3365</v>
      </c>
      <c r="E307" t="s">
        <v>384</v>
      </c>
      <c r="F307">
        <v>2</v>
      </c>
      <c r="G307">
        <v>1</v>
      </c>
      <c r="H307" t="s">
        <v>3710</v>
      </c>
      <c r="I307">
        <v>0</v>
      </c>
      <c r="J307">
        <v>1</v>
      </c>
      <c r="K307">
        <v>1</v>
      </c>
      <c r="L307">
        <v>1</v>
      </c>
      <c r="M307">
        <v>0</v>
      </c>
    </row>
    <row r="308" spans="1:13" x14ac:dyDescent="0.25">
      <c r="A308" t="s">
        <v>3369</v>
      </c>
      <c r="B308" t="s">
        <v>3369</v>
      </c>
      <c r="C308" t="s">
        <v>3367</v>
      </c>
      <c r="D308" t="s">
        <v>3368</v>
      </c>
      <c r="E308" t="s">
        <v>384</v>
      </c>
      <c r="F308">
        <v>2</v>
      </c>
      <c r="G308">
        <v>0</v>
      </c>
      <c r="H308" t="s">
        <v>3709</v>
      </c>
      <c r="I308">
        <v>0</v>
      </c>
      <c r="J308">
        <v>1</v>
      </c>
      <c r="K308">
        <v>1</v>
      </c>
      <c r="L308">
        <v>1</v>
      </c>
      <c r="M308">
        <v>0</v>
      </c>
    </row>
    <row r="309" spans="1:13" x14ac:dyDescent="0.25">
      <c r="A309" t="s">
        <v>3372</v>
      </c>
      <c r="B309" t="s">
        <v>3372</v>
      </c>
      <c r="C309" t="s">
        <v>3370</v>
      </c>
      <c r="D309" t="s">
        <v>3371</v>
      </c>
      <c r="E309" t="s">
        <v>384</v>
      </c>
      <c r="F309">
        <v>2</v>
      </c>
      <c r="G309">
        <v>0</v>
      </c>
      <c r="H309" t="s">
        <v>3709</v>
      </c>
      <c r="I309">
        <v>1</v>
      </c>
      <c r="J309">
        <v>1</v>
      </c>
      <c r="K309">
        <v>1</v>
      </c>
      <c r="L309">
        <v>1</v>
      </c>
      <c r="M309">
        <v>0</v>
      </c>
    </row>
    <row r="310" spans="1:13" x14ac:dyDescent="0.25">
      <c r="A310" t="s">
        <v>3375</v>
      </c>
      <c r="B310" t="s">
        <v>3375</v>
      </c>
      <c r="C310" t="s">
        <v>3373</v>
      </c>
      <c r="D310" t="s">
        <v>3374</v>
      </c>
      <c r="E310" t="s">
        <v>384</v>
      </c>
      <c r="F310">
        <v>2</v>
      </c>
      <c r="G310">
        <v>0</v>
      </c>
      <c r="H310" t="s">
        <v>3709</v>
      </c>
      <c r="I310">
        <v>1</v>
      </c>
      <c r="J310">
        <v>1</v>
      </c>
      <c r="K310">
        <v>1</v>
      </c>
      <c r="L310">
        <v>1</v>
      </c>
      <c r="M310">
        <v>0</v>
      </c>
    </row>
    <row r="311" spans="1:13" x14ac:dyDescent="0.25">
      <c r="A311" t="s">
        <v>3378</v>
      </c>
      <c r="B311" t="s">
        <v>3378</v>
      </c>
      <c r="C311" t="s">
        <v>3376</v>
      </c>
      <c r="D311" t="s">
        <v>3377</v>
      </c>
      <c r="E311" t="s">
        <v>384</v>
      </c>
      <c r="F311">
        <v>2</v>
      </c>
      <c r="G311">
        <v>0</v>
      </c>
      <c r="H311" t="s">
        <v>3709</v>
      </c>
      <c r="I311">
        <v>1</v>
      </c>
      <c r="J311">
        <v>1</v>
      </c>
      <c r="K311">
        <v>1</v>
      </c>
      <c r="L311">
        <v>1</v>
      </c>
      <c r="M311">
        <v>0</v>
      </c>
    </row>
    <row r="312" spans="1:13" x14ac:dyDescent="0.25">
      <c r="A312" t="s">
        <v>3381</v>
      </c>
      <c r="B312" t="s">
        <v>3381</v>
      </c>
      <c r="C312" t="s">
        <v>3379</v>
      </c>
      <c r="D312" t="s">
        <v>3380</v>
      </c>
      <c r="E312" t="s">
        <v>384</v>
      </c>
      <c r="F312">
        <v>2</v>
      </c>
      <c r="G312">
        <v>0</v>
      </c>
      <c r="H312" t="s">
        <v>3709</v>
      </c>
      <c r="I312">
        <v>0</v>
      </c>
      <c r="J312">
        <v>1</v>
      </c>
      <c r="K312">
        <v>1</v>
      </c>
      <c r="L312">
        <v>1</v>
      </c>
      <c r="M312">
        <v>0</v>
      </c>
    </row>
    <row r="313" spans="1:13" x14ac:dyDescent="0.25">
      <c r="A313" t="s">
        <v>3384</v>
      </c>
      <c r="B313" t="s">
        <v>3384</v>
      </c>
      <c r="C313" t="s">
        <v>3382</v>
      </c>
      <c r="D313" t="s">
        <v>3383</v>
      </c>
      <c r="E313" t="s">
        <v>379</v>
      </c>
      <c r="F313">
        <v>1</v>
      </c>
      <c r="G313">
        <v>0</v>
      </c>
      <c r="H313" t="s">
        <v>3713</v>
      </c>
      <c r="I313">
        <v>0</v>
      </c>
      <c r="J313">
        <v>1</v>
      </c>
      <c r="K313">
        <v>1</v>
      </c>
      <c r="L313">
        <v>1</v>
      </c>
      <c r="M313">
        <v>1</v>
      </c>
    </row>
    <row r="314" spans="1:13" x14ac:dyDescent="0.25">
      <c r="A314" t="s">
        <v>3387</v>
      </c>
      <c r="B314" t="s">
        <v>3387</v>
      </c>
      <c r="C314" t="s">
        <v>3385</v>
      </c>
      <c r="D314" t="s">
        <v>3386</v>
      </c>
      <c r="E314" t="s">
        <v>376</v>
      </c>
      <c r="F314">
        <v>4</v>
      </c>
      <c r="G314">
        <v>0</v>
      </c>
      <c r="H314" t="s">
        <v>3712</v>
      </c>
      <c r="I314">
        <v>0</v>
      </c>
      <c r="J314">
        <v>0</v>
      </c>
      <c r="K314">
        <v>0</v>
      </c>
      <c r="L314">
        <v>0</v>
      </c>
      <c r="M314">
        <v>0</v>
      </c>
    </row>
    <row r="315" spans="1:13" x14ac:dyDescent="0.25">
      <c r="A315" t="s">
        <v>3390</v>
      </c>
      <c r="B315" t="s">
        <v>3390</v>
      </c>
      <c r="C315" t="s">
        <v>3388</v>
      </c>
      <c r="D315" t="s">
        <v>3389</v>
      </c>
      <c r="E315" t="s">
        <v>382</v>
      </c>
      <c r="F315">
        <v>5</v>
      </c>
      <c r="G315">
        <v>0</v>
      </c>
      <c r="H315" t="s">
        <v>3719</v>
      </c>
      <c r="I315">
        <v>0</v>
      </c>
      <c r="J315">
        <v>0</v>
      </c>
      <c r="K315">
        <v>0</v>
      </c>
      <c r="L315">
        <v>0</v>
      </c>
      <c r="M315">
        <v>0</v>
      </c>
    </row>
    <row r="316" spans="1:13" x14ac:dyDescent="0.25">
      <c r="A316" t="s">
        <v>3393</v>
      </c>
      <c r="B316" t="s">
        <v>3393</v>
      </c>
      <c r="C316" t="s">
        <v>3391</v>
      </c>
      <c r="D316" t="s">
        <v>3392</v>
      </c>
      <c r="E316" t="s">
        <v>375</v>
      </c>
      <c r="F316">
        <v>4</v>
      </c>
      <c r="G316">
        <v>0</v>
      </c>
      <c r="H316" t="s">
        <v>3712</v>
      </c>
      <c r="I316">
        <v>0</v>
      </c>
      <c r="J316">
        <v>0</v>
      </c>
      <c r="K316">
        <v>0</v>
      </c>
      <c r="L316">
        <v>0</v>
      </c>
      <c r="M316">
        <v>0</v>
      </c>
    </row>
    <row r="317" spans="1:13" x14ac:dyDescent="0.25">
      <c r="A317" t="s">
        <v>3396</v>
      </c>
      <c r="B317" t="s">
        <v>3396</v>
      </c>
      <c r="C317" t="s">
        <v>3394</v>
      </c>
      <c r="D317" t="s">
        <v>3395</v>
      </c>
      <c r="E317" t="s">
        <v>385</v>
      </c>
      <c r="F317">
        <v>1</v>
      </c>
      <c r="G317">
        <v>1</v>
      </c>
      <c r="H317" t="s">
        <v>3714</v>
      </c>
      <c r="I317">
        <v>1</v>
      </c>
      <c r="J317">
        <v>1</v>
      </c>
      <c r="K317">
        <v>1</v>
      </c>
      <c r="L317">
        <v>1</v>
      </c>
      <c r="M317">
        <v>1</v>
      </c>
    </row>
    <row r="318" spans="1:13" x14ac:dyDescent="0.25">
      <c r="A318" t="s">
        <v>3399</v>
      </c>
      <c r="B318" t="s">
        <v>3399</v>
      </c>
      <c r="C318" t="s">
        <v>3397</v>
      </c>
      <c r="D318" t="s">
        <v>3398</v>
      </c>
      <c r="E318" t="s">
        <v>385</v>
      </c>
      <c r="F318">
        <v>1</v>
      </c>
      <c r="G318">
        <v>1</v>
      </c>
      <c r="H318" t="s">
        <v>3714</v>
      </c>
      <c r="I318">
        <v>1</v>
      </c>
      <c r="J318">
        <v>1</v>
      </c>
      <c r="K318">
        <v>1</v>
      </c>
      <c r="L318">
        <v>1</v>
      </c>
      <c r="M318">
        <v>1</v>
      </c>
    </row>
    <row r="319" spans="1:13" x14ac:dyDescent="0.25">
      <c r="A319" t="s">
        <v>3402</v>
      </c>
      <c r="B319" t="s">
        <v>3402</v>
      </c>
      <c r="C319" t="s">
        <v>3400</v>
      </c>
      <c r="D319" t="s">
        <v>3401</v>
      </c>
      <c r="E319" t="s">
        <v>378</v>
      </c>
      <c r="F319">
        <v>1</v>
      </c>
      <c r="G319">
        <v>0</v>
      </c>
      <c r="H319" t="s">
        <v>3713</v>
      </c>
      <c r="I319">
        <v>1</v>
      </c>
      <c r="J319">
        <v>1</v>
      </c>
      <c r="K319">
        <v>1</v>
      </c>
      <c r="L319">
        <v>1</v>
      </c>
      <c r="M319">
        <v>1</v>
      </c>
    </row>
    <row r="320" spans="1:13" x14ac:dyDescent="0.25">
      <c r="A320" t="s">
        <v>3405</v>
      </c>
      <c r="B320" t="s">
        <v>3405</v>
      </c>
      <c r="C320" t="s">
        <v>3403</v>
      </c>
      <c r="D320" t="s">
        <v>3404</v>
      </c>
      <c r="E320" t="s">
        <v>384</v>
      </c>
      <c r="F320">
        <v>2</v>
      </c>
      <c r="G320">
        <v>0</v>
      </c>
      <c r="H320" t="s">
        <v>3709</v>
      </c>
      <c r="I320">
        <v>1</v>
      </c>
      <c r="J320">
        <v>1</v>
      </c>
      <c r="K320">
        <v>1</v>
      </c>
      <c r="L320">
        <v>1</v>
      </c>
      <c r="M320">
        <v>0</v>
      </c>
    </row>
    <row r="321" spans="1:13" x14ac:dyDescent="0.25">
      <c r="A321" t="s">
        <v>3408</v>
      </c>
      <c r="B321" t="s">
        <v>3408</v>
      </c>
      <c r="C321" t="s">
        <v>3406</v>
      </c>
      <c r="D321" t="s">
        <v>3407</v>
      </c>
      <c r="E321" t="s">
        <v>384</v>
      </c>
      <c r="F321">
        <v>2</v>
      </c>
      <c r="G321">
        <v>1</v>
      </c>
      <c r="H321" t="s">
        <v>3710</v>
      </c>
      <c r="I321">
        <v>0</v>
      </c>
      <c r="J321">
        <v>1</v>
      </c>
      <c r="K321">
        <v>1</v>
      </c>
      <c r="L321">
        <v>1</v>
      </c>
      <c r="M321">
        <v>0</v>
      </c>
    </row>
    <row r="322" spans="1:13" x14ac:dyDescent="0.25">
      <c r="A322" t="s">
        <v>3411</v>
      </c>
      <c r="B322" t="s">
        <v>3411</v>
      </c>
      <c r="C322" t="s">
        <v>3409</v>
      </c>
      <c r="D322" t="s">
        <v>3410</v>
      </c>
      <c r="E322" t="s">
        <v>379</v>
      </c>
      <c r="F322">
        <v>1</v>
      </c>
      <c r="G322">
        <v>0</v>
      </c>
      <c r="H322" t="s">
        <v>3713</v>
      </c>
      <c r="I322">
        <v>0</v>
      </c>
      <c r="J322">
        <v>1</v>
      </c>
      <c r="K322">
        <v>1</v>
      </c>
      <c r="L322">
        <v>1</v>
      </c>
      <c r="M322">
        <v>1</v>
      </c>
    </row>
    <row r="323" spans="1:13" x14ac:dyDescent="0.25">
      <c r="A323" t="s">
        <v>3414</v>
      </c>
      <c r="B323" t="s">
        <v>3414</v>
      </c>
      <c r="C323" t="s">
        <v>3412</v>
      </c>
      <c r="D323" t="s">
        <v>3413</v>
      </c>
      <c r="E323" t="s">
        <v>384</v>
      </c>
      <c r="F323">
        <v>2</v>
      </c>
      <c r="G323">
        <v>0</v>
      </c>
      <c r="H323" t="s">
        <v>3709</v>
      </c>
      <c r="I323">
        <v>0</v>
      </c>
      <c r="J323">
        <v>1</v>
      </c>
      <c r="K323">
        <v>1</v>
      </c>
      <c r="L323">
        <v>1</v>
      </c>
      <c r="M323">
        <v>0</v>
      </c>
    </row>
    <row r="324" spans="1:13" x14ac:dyDescent="0.25">
      <c r="A324" t="s">
        <v>3417</v>
      </c>
      <c r="B324" t="s">
        <v>3417</v>
      </c>
      <c r="C324" t="s">
        <v>3415</v>
      </c>
      <c r="D324" t="s">
        <v>3416</v>
      </c>
      <c r="E324" t="s">
        <v>372</v>
      </c>
      <c r="F324">
        <v>1</v>
      </c>
      <c r="G324">
        <v>0</v>
      </c>
      <c r="H324" t="s">
        <v>3713</v>
      </c>
      <c r="I324">
        <v>0</v>
      </c>
      <c r="J324">
        <v>0</v>
      </c>
      <c r="K324">
        <v>0</v>
      </c>
      <c r="L324">
        <v>0</v>
      </c>
      <c r="M324">
        <v>1</v>
      </c>
    </row>
    <row r="325" spans="1:13" x14ac:dyDescent="0.25">
      <c r="A325" t="s">
        <v>3746</v>
      </c>
      <c r="B325" t="s">
        <v>3746</v>
      </c>
      <c r="C325" t="s">
        <v>3418</v>
      </c>
      <c r="D325" t="s">
        <v>3419</v>
      </c>
      <c r="E325" t="s">
        <v>373</v>
      </c>
      <c r="F325">
        <v>4</v>
      </c>
      <c r="G325">
        <v>0</v>
      </c>
      <c r="H325" t="s">
        <v>3712</v>
      </c>
      <c r="I325">
        <v>0</v>
      </c>
      <c r="J325">
        <v>0</v>
      </c>
      <c r="K325">
        <v>0</v>
      </c>
      <c r="L325">
        <v>0</v>
      </c>
      <c r="M325">
        <v>0</v>
      </c>
    </row>
    <row r="326" spans="1:13" x14ac:dyDescent="0.25">
      <c r="A326" t="s">
        <v>3423</v>
      </c>
      <c r="B326" t="s">
        <v>3423</v>
      </c>
      <c r="C326" t="s">
        <v>3421</v>
      </c>
      <c r="D326" t="s">
        <v>3422</v>
      </c>
      <c r="E326" t="s">
        <v>384</v>
      </c>
      <c r="F326">
        <v>2</v>
      </c>
      <c r="G326">
        <v>0</v>
      </c>
      <c r="H326" t="s">
        <v>3709</v>
      </c>
      <c r="I326">
        <v>0</v>
      </c>
      <c r="J326">
        <v>1</v>
      </c>
      <c r="K326">
        <v>1</v>
      </c>
      <c r="L326">
        <v>1</v>
      </c>
      <c r="M326">
        <v>0</v>
      </c>
    </row>
    <row r="327" spans="1:13" x14ac:dyDescent="0.25">
      <c r="A327" t="s">
        <v>3747</v>
      </c>
      <c r="B327" t="s">
        <v>3747</v>
      </c>
      <c r="C327" t="s">
        <v>3424</v>
      </c>
      <c r="D327" t="s">
        <v>3425</v>
      </c>
      <c r="E327" t="s">
        <v>375</v>
      </c>
      <c r="F327">
        <v>4</v>
      </c>
      <c r="G327">
        <v>0</v>
      </c>
      <c r="H327" t="s">
        <v>3712</v>
      </c>
      <c r="I327">
        <v>0</v>
      </c>
      <c r="J327">
        <v>0</v>
      </c>
      <c r="K327">
        <v>0</v>
      </c>
      <c r="L327">
        <v>0</v>
      </c>
      <c r="M327">
        <v>0</v>
      </c>
    </row>
    <row r="328" spans="1:13" x14ac:dyDescent="0.25">
      <c r="A328" t="s">
        <v>3429</v>
      </c>
      <c r="B328" t="s">
        <v>3429</v>
      </c>
      <c r="C328" t="s">
        <v>3427</v>
      </c>
      <c r="D328" t="s">
        <v>3428</v>
      </c>
      <c r="E328" t="s">
        <v>384</v>
      </c>
      <c r="F328">
        <v>2</v>
      </c>
      <c r="G328">
        <v>0</v>
      </c>
      <c r="H328" t="s">
        <v>3709</v>
      </c>
      <c r="I328">
        <v>1</v>
      </c>
      <c r="J328">
        <v>1</v>
      </c>
      <c r="K328">
        <v>1</v>
      </c>
      <c r="L328">
        <v>1</v>
      </c>
      <c r="M328">
        <v>0</v>
      </c>
    </row>
    <row r="329" spans="1:13" x14ac:dyDescent="0.25">
      <c r="A329" t="s">
        <v>3432</v>
      </c>
      <c r="B329" t="s">
        <v>3432</v>
      </c>
      <c r="C329" t="s">
        <v>3430</v>
      </c>
      <c r="D329" t="s">
        <v>3431</v>
      </c>
      <c r="E329" t="s">
        <v>379</v>
      </c>
      <c r="F329">
        <v>1</v>
      </c>
      <c r="G329">
        <v>1</v>
      </c>
      <c r="H329" t="s">
        <v>3714</v>
      </c>
      <c r="I329">
        <v>0</v>
      </c>
      <c r="J329">
        <v>1</v>
      </c>
      <c r="K329">
        <v>1</v>
      </c>
      <c r="L329">
        <v>1</v>
      </c>
      <c r="M329">
        <v>1</v>
      </c>
    </row>
    <row r="330" spans="1:13" x14ac:dyDescent="0.25">
      <c r="A330" t="s">
        <v>3435</v>
      </c>
      <c r="B330" t="s">
        <v>3435</v>
      </c>
      <c r="C330" t="s">
        <v>3433</v>
      </c>
      <c r="D330" t="s">
        <v>3434</v>
      </c>
      <c r="E330" t="s">
        <v>385</v>
      </c>
      <c r="F330">
        <v>1</v>
      </c>
      <c r="G330">
        <v>1</v>
      </c>
      <c r="H330" t="s">
        <v>3714</v>
      </c>
      <c r="I330">
        <v>0</v>
      </c>
      <c r="J330">
        <v>1</v>
      </c>
      <c r="K330">
        <v>1</v>
      </c>
      <c r="L330">
        <v>1</v>
      </c>
      <c r="M330">
        <v>1</v>
      </c>
    </row>
    <row r="331" spans="1:13" x14ac:dyDescent="0.25">
      <c r="A331" t="s">
        <v>3438</v>
      </c>
      <c r="B331" t="s">
        <v>3438</v>
      </c>
      <c r="C331" t="s">
        <v>3436</v>
      </c>
      <c r="D331" t="s">
        <v>3437</v>
      </c>
      <c r="E331" t="s">
        <v>385</v>
      </c>
      <c r="F331">
        <v>1</v>
      </c>
      <c r="G331">
        <v>1</v>
      </c>
      <c r="H331" t="s">
        <v>3714</v>
      </c>
      <c r="I331">
        <v>0</v>
      </c>
      <c r="J331">
        <v>1</v>
      </c>
      <c r="K331">
        <v>1</v>
      </c>
      <c r="L331">
        <v>1</v>
      </c>
      <c r="M331">
        <v>1</v>
      </c>
    </row>
    <row r="332" spans="1:13" x14ac:dyDescent="0.25">
      <c r="A332" t="s">
        <v>3441</v>
      </c>
      <c r="B332" t="s">
        <v>3441</v>
      </c>
      <c r="C332" t="s">
        <v>3439</v>
      </c>
      <c r="D332" t="s">
        <v>3440</v>
      </c>
      <c r="E332" t="s">
        <v>384</v>
      </c>
      <c r="F332">
        <v>2</v>
      </c>
      <c r="G332">
        <v>0</v>
      </c>
      <c r="H332" t="s">
        <v>3709</v>
      </c>
      <c r="I332">
        <v>1</v>
      </c>
      <c r="J332">
        <v>1</v>
      </c>
      <c r="K332">
        <v>1</v>
      </c>
      <c r="L332">
        <v>1</v>
      </c>
      <c r="M332">
        <v>0</v>
      </c>
    </row>
    <row r="333" spans="1:13" x14ac:dyDescent="0.25">
      <c r="A333" t="s">
        <v>3444</v>
      </c>
      <c r="B333" t="s">
        <v>3444</v>
      </c>
      <c r="C333" t="s">
        <v>3442</v>
      </c>
      <c r="D333" t="s">
        <v>3443</v>
      </c>
      <c r="E333" t="s">
        <v>384</v>
      </c>
      <c r="F333">
        <v>2</v>
      </c>
      <c r="G333">
        <v>1</v>
      </c>
      <c r="H333" t="s">
        <v>3710</v>
      </c>
      <c r="I333">
        <v>1</v>
      </c>
      <c r="J333">
        <v>1</v>
      </c>
      <c r="K333">
        <v>1</v>
      </c>
      <c r="L333">
        <v>1</v>
      </c>
      <c r="M333">
        <v>0</v>
      </c>
    </row>
    <row r="334" spans="1:13" x14ac:dyDescent="0.25">
      <c r="A334" t="s">
        <v>3447</v>
      </c>
      <c r="B334" t="s">
        <v>3447</v>
      </c>
      <c r="C334" t="s">
        <v>3445</v>
      </c>
      <c r="D334" t="s">
        <v>3446</v>
      </c>
      <c r="E334" t="s">
        <v>372</v>
      </c>
      <c r="F334">
        <v>1</v>
      </c>
      <c r="G334">
        <v>0</v>
      </c>
      <c r="H334" t="s">
        <v>3713</v>
      </c>
      <c r="I334">
        <v>0</v>
      </c>
      <c r="J334">
        <v>0</v>
      </c>
      <c r="K334">
        <v>0</v>
      </c>
      <c r="L334">
        <v>0</v>
      </c>
      <c r="M334">
        <v>1</v>
      </c>
    </row>
    <row r="335" spans="1:13" x14ac:dyDescent="0.25">
      <c r="A335" t="s">
        <v>3450</v>
      </c>
      <c r="B335" t="s">
        <v>3450</v>
      </c>
      <c r="C335" t="s">
        <v>3448</v>
      </c>
      <c r="D335" t="s">
        <v>3449</v>
      </c>
      <c r="E335" t="s">
        <v>375</v>
      </c>
      <c r="F335">
        <v>4</v>
      </c>
      <c r="G335">
        <v>1</v>
      </c>
      <c r="H335" t="s">
        <v>3711</v>
      </c>
      <c r="I335">
        <v>0</v>
      </c>
      <c r="J335">
        <v>0</v>
      </c>
      <c r="K335">
        <v>0</v>
      </c>
      <c r="L335">
        <v>0</v>
      </c>
      <c r="M335">
        <v>0</v>
      </c>
    </row>
    <row r="336" spans="1:13" x14ac:dyDescent="0.25">
      <c r="A336" t="s">
        <v>3453</v>
      </c>
      <c r="B336" t="s">
        <v>3453</v>
      </c>
      <c r="C336" t="s">
        <v>3451</v>
      </c>
      <c r="D336" t="s">
        <v>3452</v>
      </c>
      <c r="E336" t="s">
        <v>379</v>
      </c>
      <c r="F336">
        <v>1</v>
      </c>
      <c r="G336">
        <v>0</v>
      </c>
      <c r="H336" t="s">
        <v>3713</v>
      </c>
      <c r="I336">
        <v>0</v>
      </c>
      <c r="J336">
        <v>1</v>
      </c>
      <c r="K336">
        <v>1</v>
      </c>
      <c r="L336">
        <v>1</v>
      </c>
      <c r="M336">
        <v>1</v>
      </c>
    </row>
    <row r="337" spans="1:13" x14ac:dyDescent="0.25">
      <c r="A337" t="s">
        <v>3456</v>
      </c>
      <c r="B337" t="s">
        <v>3456</v>
      </c>
      <c r="C337" t="s">
        <v>3454</v>
      </c>
      <c r="D337" t="s">
        <v>3455</v>
      </c>
      <c r="E337" t="s">
        <v>372</v>
      </c>
      <c r="F337">
        <v>1</v>
      </c>
      <c r="G337">
        <v>1</v>
      </c>
      <c r="H337" t="s">
        <v>3714</v>
      </c>
      <c r="I337">
        <v>0</v>
      </c>
      <c r="J337">
        <v>0</v>
      </c>
      <c r="K337">
        <v>0</v>
      </c>
      <c r="L337">
        <v>0</v>
      </c>
      <c r="M337">
        <v>1</v>
      </c>
    </row>
    <row r="338" spans="1:13" x14ac:dyDescent="0.25">
      <c r="A338" t="s">
        <v>3459</v>
      </c>
      <c r="B338" t="s">
        <v>3459</v>
      </c>
      <c r="C338" t="s">
        <v>3457</v>
      </c>
      <c r="D338" t="s">
        <v>3458</v>
      </c>
      <c r="E338" t="s">
        <v>384</v>
      </c>
      <c r="F338">
        <v>2</v>
      </c>
      <c r="G338">
        <v>1</v>
      </c>
      <c r="H338" t="s">
        <v>3710</v>
      </c>
      <c r="I338">
        <v>1</v>
      </c>
      <c r="J338">
        <v>1</v>
      </c>
      <c r="K338">
        <v>1</v>
      </c>
      <c r="L338">
        <v>1</v>
      </c>
      <c r="M338">
        <v>0</v>
      </c>
    </row>
    <row r="339" spans="1:13" x14ac:dyDescent="0.25">
      <c r="A339" t="s">
        <v>3462</v>
      </c>
      <c r="B339" t="s">
        <v>3462</v>
      </c>
      <c r="C339" t="s">
        <v>3460</v>
      </c>
      <c r="D339" t="s">
        <v>3461</v>
      </c>
      <c r="E339" t="s">
        <v>375</v>
      </c>
      <c r="F339">
        <v>4</v>
      </c>
      <c r="G339">
        <v>0</v>
      </c>
      <c r="H339" t="s">
        <v>3712</v>
      </c>
      <c r="I339">
        <v>0</v>
      </c>
      <c r="J339">
        <v>0</v>
      </c>
      <c r="K339">
        <v>0</v>
      </c>
      <c r="L339">
        <v>0</v>
      </c>
      <c r="M339">
        <v>0</v>
      </c>
    </row>
    <row r="340" spans="1:13" x14ac:dyDescent="0.25">
      <c r="A340" t="s">
        <v>3465</v>
      </c>
      <c r="B340" t="s">
        <v>3465</v>
      </c>
      <c r="C340" t="s">
        <v>3463</v>
      </c>
      <c r="D340" t="s">
        <v>3464</v>
      </c>
      <c r="E340" t="s">
        <v>375</v>
      </c>
      <c r="F340">
        <v>4</v>
      </c>
      <c r="G340">
        <v>0</v>
      </c>
      <c r="H340" t="s">
        <v>3712</v>
      </c>
      <c r="I340">
        <v>0</v>
      </c>
      <c r="J340">
        <v>0</v>
      </c>
      <c r="K340">
        <v>0</v>
      </c>
      <c r="L340">
        <v>0</v>
      </c>
      <c r="M340">
        <v>0</v>
      </c>
    </row>
    <row r="341" spans="1:13" x14ac:dyDescent="0.25">
      <c r="A341" t="s">
        <v>3468</v>
      </c>
      <c r="B341" t="s">
        <v>3468</v>
      </c>
      <c r="C341" t="s">
        <v>3466</v>
      </c>
      <c r="D341" t="s">
        <v>3467</v>
      </c>
      <c r="E341" t="s">
        <v>380</v>
      </c>
      <c r="F341">
        <v>1</v>
      </c>
      <c r="G341">
        <v>1</v>
      </c>
      <c r="H341" t="s">
        <v>3714</v>
      </c>
      <c r="I341">
        <v>1</v>
      </c>
      <c r="J341">
        <v>1</v>
      </c>
      <c r="K341">
        <v>1</v>
      </c>
      <c r="L341">
        <v>1</v>
      </c>
      <c r="M341">
        <v>1</v>
      </c>
    </row>
    <row r="342" spans="1:13" x14ac:dyDescent="0.25">
      <c r="A342" t="s">
        <v>3471</v>
      </c>
      <c r="B342" t="s">
        <v>3471</v>
      </c>
      <c r="C342" t="s">
        <v>3469</v>
      </c>
      <c r="D342" t="s">
        <v>3470</v>
      </c>
      <c r="E342" t="s">
        <v>384</v>
      </c>
      <c r="F342">
        <v>2</v>
      </c>
      <c r="G342">
        <v>0</v>
      </c>
      <c r="H342" t="s">
        <v>3709</v>
      </c>
      <c r="I342">
        <v>0</v>
      </c>
      <c r="J342">
        <v>1</v>
      </c>
      <c r="K342">
        <v>1</v>
      </c>
      <c r="L342">
        <v>1</v>
      </c>
      <c r="M342">
        <v>0</v>
      </c>
    </row>
    <row r="343" spans="1:13" x14ac:dyDescent="0.25">
      <c r="A343" t="s">
        <v>3474</v>
      </c>
      <c r="B343" t="s">
        <v>3474</v>
      </c>
      <c r="C343" t="s">
        <v>3472</v>
      </c>
      <c r="D343" t="s">
        <v>3473</v>
      </c>
      <c r="E343" t="s">
        <v>385</v>
      </c>
      <c r="F343">
        <v>1</v>
      </c>
      <c r="G343">
        <v>0</v>
      </c>
      <c r="H343" t="s">
        <v>3713</v>
      </c>
      <c r="I343">
        <v>1</v>
      </c>
      <c r="J343">
        <v>1</v>
      </c>
      <c r="K343">
        <v>1</v>
      </c>
      <c r="L343">
        <v>1</v>
      </c>
      <c r="M343">
        <v>1</v>
      </c>
    </row>
    <row r="344" spans="1:13" x14ac:dyDescent="0.25">
      <c r="A344" t="s">
        <v>3477</v>
      </c>
      <c r="B344" t="s">
        <v>3477</v>
      </c>
      <c r="C344" t="s">
        <v>3475</v>
      </c>
      <c r="D344" t="s">
        <v>3476</v>
      </c>
      <c r="E344" t="s">
        <v>379</v>
      </c>
      <c r="F344">
        <v>1</v>
      </c>
      <c r="G344">
        <v>1</v>
      </c>
      <c r="H344" t="s">
        <v>3714</v>
      </c>
      <c r="I344">
        <v>0</v>
      </c>
      <c r="J344">
        <v>1</v>
      </c>
      <c r="K344">
        <v>1</v>
      </c>
      <c r="L344">
        <v>1</v>
      </c>
      <c r="M344">
        <v>1</v>
      </c>
    </row>
    <row r="345" spans="1:13" x14ac:dyDescent="0.25">
      <c r="A345" t="s">
        <v>3480</v>
      </c>
      <c r="B345" t="s">
        <v>3480</v>
      </c>
      <c r="C345" t="s">
        <v>3478</v>
      </c>
      <c r="D345" t="s">
        <v>3479</v>
      </c>
      <c r="E345" t="s">
        <v>384</v>
      </c>
      <c r="F345">
        <v>2</v>
      </c>
      <c r="G345">
        <v>0</v>
      </c>
      <c r="H345" t="s">
        <v>3709</v>
      </c>
      <c r="I345">
        <v>1</v>
      </c>
      <c r="J345">
        <v>1</v>
      </c>
      <c r="K345">
        <v>1</v>
      </c>
      <c r="L345">
        <v>1</v>
      </c>
      <c r="M345">
        <v>0</v>
      </c>
    </row>
    <row r="346" spans="1:13" x14ac:dyDescent="0.25">
      <c r="A346" t="s">
        <v>3483</v>
      </c>
      <c r="B346" t="s">
        <v>3483</v>
      </c>
      <c r="C346" t="s">
        <v>3481</v>
      </c>
      <c r="D346" t="s">
        <v>3482</v>
      </c>
      <c r="E346" t="s">
        <v>384</v>
      </c>
      <c r="F346">
        <v>2</v>
      </c>
      <c r="G346">
        <v>0</v>
      </c>
      <c r="H346" t="s">
        <v>3709</v>
      </c>
      <c r="I346">
        <v>1</v>
      </c>
      <c r="J346">
        <v>1</v>
      </c>
      <c r="K346">
        <v>1</v>
      </c>
      <c r="L346">
        <v>1</v>
      </c>
      <c r="M346">
        <v>0</v>
      </c>
    </row>
    <row r="347" spans="1:13" x14ac:dyDescent="0.25">
      <c r="A347" t="s">
        <v>3486</v>
      </c>
      <c r="B347" t="s">
        <v>3486</v>
      </c>
      <c r="C347" t="s">
        <v>3484</v>
      </c>
      <c r="D347" t="s">
        <v>3485</v>
      </c>
      <c r="E347" t="s">
        <v>382</v>
      </c>
      <c r="F347">
        <v>5</v>
      </c>
      <c r="G347">
        <v>0</v>
      </c>
      <c r="H347" t="s">
        <v>3719</v>
      </c>
      <c r="I347">
        <v>0</v>
      </c>
      <c r="J347">
        <v>0</v>
      </c>
      <c r="K347">
        <v>0</v>
      </c>
      <c r="L347">
        <v>0</v>
      </c>
      <c r="M347">
        <v>0</v>
      </c>
    </row>
    <row r="348" spans="1:13" x14ac:dyDescent="0.25">
      <c r="A348" t="s">
        <v>3489</v>
      </c>
      <c r="B348" t="s">
        <v>3489</v>
      </c>
      <c r="C348" t="s">
        <v>3487</v>
      </c>
      <c r="D348" t="s">
        <v>3488</v>
      </c>
      <c r="E348" t="s">
        <v>384</v>
      </c>
      <c r="F348">
        <v>2</v>
      </c>
      <c r="G348">
        <v>0</v>
      </c>
      <c r="H348" t="s">
        <v>3709</v>
      </c>
      <c r="I348">
        <v>1</v>
      </c>
      <c r="J348">
        <v>1</v>
      </c>
      <c r="K348">
        <v>1</v>
      </c>
      <c r="L348">
        <v>1</v>
      </c>
      <c r="M348">
        <v>0</v>
      </c>
    </row>
    <row r="349" spans="1:13" x14ac:dyDescent="0.25">
      <c r="A349" t="s">
        <v>3492</v>
      </c>
      <c r="B349" t="s">
        <v>3492</v>
      </c>
      <c r="C349" t="s">
        <v>3490</v>
      </c>
      <c r="D349" t="s">
        <v>3491</v>
      </c>
      <c r="E349" t="s">
        <v>385</v>
      </c>
      <c r="F349">
        <v>1</v>
      </c>
      <c r="G349">
        <v>0</v>
      </c>
      <c r="H349" t="s">
        <v>3713</v>
      </c>
      <c r="I349">
        <v>0</v>
      </c>
      <c r="J349">
        <v>1</v>
      </c>
      <c r="K349">
        <v>1</v>
      </c>
      <c r="L349">
        <v>1</v>
      </c>
      <c r="M349">
        <v>1</v>
      </c>
    </row>
    <row r="350" spans="1:13" x14ac:dyDescent="0.25">
      <c r="A350" t="s">
        <v>3495</v>
      </c>
      <c r="B350" t="s">
        <v>3495</v>
      </c>
      <c r="C350" t="s">
        <v>3493</v>
      </c>
      <c r="D350" t="s">
        <v>3494</v>
      </c>
      <c r="E350" t="s">
        <v>384</v>
      </c>
      <c r="F350">
        <v>2</v>
      </c>
      <c r="G350">
        <v>0</v>
      </c>
      <c r="H350" t="s">
        <v>3709</v>
      </c>
      <c r="I350">
        <v>0</v>
      </c>
      <c r="J350">
        <v>1</v>
      </c>
      <c r="K350">
        <v>1</v>
      </c>
      <c r="L350">
        <v>1</v>
      </c>
      <c r="M350">
        <v>0</v>
      </c>
    </row>
    <row r="351" spans="1:13" x14ac:dyDescent="0.25">
      <c r="A351" t="s">
        <v>3498</v>
      </c>
      <c r="B351" t="s">
        <v>3498</v>
      </c>
      <c r="C351" t="s">
        <v>3496</v>
      </c>
      <c r="D351" t="s">
        <v>3497</v>
      </c>
      <c r="E351" t="s">
        <v>384</v>
      </c>
      <c r="F351">
        <v>2</v>
      </c>
      <c r="G351">
        <v>1</v>
      </c>
      <c r="H351" t="s">
        <v>3710</v>
      </c>
      <c r="I351">
        <v>1</v>
      </c>
      <c r="J351">
        <v>1</v>
      </c>
      <c r="K351">
        <v>1</v>
      </c>
      <c r="L351">
        <v>1</v>
      </c>
      <c r="M351">
        <v>0</v>
      </c>
    </row>
    <row r="352" spans="1:13" x14ac:dyDescent="0.25">
      <c r="A352" t="s">
        <v>3501</v>
      </c>
      <c r="B352" t="s">
        <v>3501</v>
      </c>
      <c r="C352" t="s">
        <v>3499</v>
      </c>
      <c r="D352" t="s">
        <v>3500</v>
      </c>
      <c r="E352" t="s">
        <v>384</v>
      </c>
      <c r="F352">
        <v>2</v>
      </c>
      <c r="G352">
        <v>1</v>
      </c>
      <c r="H352" t="s">
        <v>3710</v>
      </c>
      <c r="I352">
        <v>1</v>
      </c>
      <c r="J352">
        <v>1</v>
      </c>
      <c r="K352">
        <v>1</v>
      </c>
      <c r="L352">
        <v>1</v>
      </c>
      <c r="M352">
        <v>0</v>
      </c>
    </row>
    <row r="353" spans="1:13" x14ac:dyDescent="0.25">
      <c r="A353" t="s">
        <v>3504</v>
      </c>
      <c r="B353" t="s">
        <v>3504</v>
      </c>
      <c r="C353" t="s">
        <v>3502</v>
      </c>
      <c r="D353" t="s">
        <v>3503</v>
      </c>
      <c r="E353" t="s">
        <v>375</v>
      </c>
      <c r="F353">
        <v>4</v>
      </c>
      <c r="G353">
        <v>1</v>
      </c>
      <c r="H353" t="s">
        <v>3711</v>
      </c>
      <c r="I353">
        <v>0</v>
      </c>
      <c r="J353">
        <v>0</v>
      </c>
      <c r="K353">
        <v>0</v>
      </c>
      <c r="L353">
        <v>0</v>
      </c>
      <c r="M353">
        <v>0</v>
      </c>
    </row>
    <row r="354" spans="1:13" x14ac:dyDescent="0.25">
      <c r="A354" t="s">
        <v>3507</v>
      </c>
      <c r="B354" t="s">
        <v>3507</v>
      </c>
      <c r="C354" t="s">
        <v>3505</v>
      </c>
      <c r="D354" t="s">
        <v>3506</v>
      </c>
      <c r="E354" t="s">
        <v>384</v>
      </c>
      <c r="F354">
        <v>2</v>
      </c>
      <c r="G354">
        <v>0</v>
      </c>
      <c r="H354" t="s">
        <v>3709</v>
      </c>
      <c r="I354">
        <v>0</v>
      </c>
      <c r="J354">
        <v>1</v>
      </c>
      <c r="K354">
        <v>1</v>
      </c>
      <c r="L354">
        <v>1</v>
      </c>
      <c r="M354">
        <v>0</v>
      </c>
    </row>
    <row r="355" spans="1:13" x14ac:dyDescent="0.25">
      <c r="A355" t="s">
        <v>3510</v>
      </c>
      <c r="B355" t="s">
        <v>3510</v>
      </c>
      <c r="C355" t="s">
        <v>3508</v>
      </c>
      <c r="D355" t="s">
        <v>3509</v>
      </c>
      <c r="E355" t="s">
        <v>381</v>
      </c>
      <c r="F355">
        <v>8</v>
      </c>
      <c r="G355">
        <v>0</v>
      </c>
      <c r="H355" t="s">
        <v>3736</v>
      </c>
      <c r="I355">
        <v>0</v>
      </c>
      <c r="J355">
        <v>0</v>
      </c>
      <c r="K355">
        <v>0</v>
      </c>
      <c r="L355">
        <v>0</v>
      </c>
      <c r="M355">
        <v>0</v>
      </c>
    </row>
    <row r="356" spans="1:13" x14ac:dyDescent="0.25">
      <c r="A356" t="s">
        <v>3513</v>
      </c>
      <c r="B356" t="s">
        <v>3513</v>
      </c>
      <c r="C356" t="s">
        <v>3511</v>
      </c>
      <c r="D356" t="s">
        <v>3512</v>
      </c>
      <c r="E356" t="s">
        <v>384</v>
      </c>
      <c r="F356">
        <v>2</v>
      </c>
      <c r="G356">
        <v>1</v>
      </c>
      <c r="H356" t="s">
        <v>3710</v>
      </c>
      <c r="I356">
        <v>1</v>
      </c>
      <c r="J356">
        <v>1</v>
      </c>
      <c r="K356">
        <v>1</v>
      </c>
      <c r="L356">
        <v>1</v>
      </c>
      <c r="M356">
        <v>0</v>
      </c>
    </row>
    <row r="357" spans="1:13" x14ac:dyDescent="0.25">
      <c r="A357" t="s">
        <v>3516</v>
      </c>
      <c r="B357" t="s">
        <v>3516</v>
      </c>
      <c r="C357" t="s">
        <v>3514</v>
      </c>
      <c r="D357" t="s">
        <v>3515</v>
      </c>
      <c r="E357" t="s">
        <v>385</v>
      </c>
      <c r="F357">
        <v>1</v>
      </c>
      <c r="G357">
        <v>0</v>
      </c>
      <c r="H357" t="s">
        <v>3713</v>
      </c>
      <c r="I357">
        <v>0</v>
      </c>
      <c r="J357">
        <v>1</v>
      </c>
      <c r="K357">
        <v>1</v>
      </c>
      <c r="L357">
        <v>1</v>
      </c>
      <c r="M357">
        <v>1</v>
      </c>
    </row>
    <row r="358" spans="1:13" x14ac:dyDescent="0.25">
      <c r="A358" t="s">
        <v>3519</v>
      </c>
      <c r="B358" t="s">
        <v>3519</v>
      </c>
      <c r="C358" t="s">
        <v>3517</v>
      </c>
      <c r="D358" t="s">
        <v>3518</v>
      </c>
      <c r="E358" t="s">
        <v>384</v>
      </c>
      <c r="F358">
        <v>2</v>
      </c>
      <c r="G358">
        <v>0</v>
      </c>
      <c r="H358" t="s">
        <v>3709</v>
      </c>
      <c r="I358">
        <v>0</v>
      </c>
      <c r="J358">
        <v>1</v>
      </c>
      <c r="K358">
        <v>1</v>
      </c>
      <c r="L358">
        <v>1</v>
      </c>
      <c r="M358">
        <v>0</v>
      </c>
    </row>
    <row r="359" spans="1:13" x14ac:dyDescent="0.25">
      <c r="A359" t="s">
        <v>3522</v>
      </c>
      <c r="B359" t="s">
        <v>3522</v>
      </c>
      <c r="C359" t="s">
        <v>3520</v>
      </c>
      <c r="D359" t="s">
        <v>3521</v>
      </c>
      <c r="E359" t="s">
        <v>385</v>
      </c>
      <c r="F359">
        <v>1</v>
      </c>
      <c r="G359">
        <v>1</v>
      </c>
      <c r="H359" t="s">
        <v>3714</v>
      </c>
      <c r="I359">
        <v>1</v>
      </c>
      <c r="J359">
        <v>1</v>
      </c>
      <c r="K359">
        <v>1</v>
      </c>
      <c r="L359">
        <v>1</v>
      </c>
      <c r="M359">
        <v>1</v>
      </c>
    </row>
    <row r="360" spans="1:13" x14ac:dyDescent="0.25">
      <c r="A360" t="s">
        <v>3525</v>
      </c>
      <c r="B360" t="s">
        <v>3525</v>
      </c>
      <c r="C360" t="s">
        <v>3523</v>
      </c>
      <c r="D360" t="s">
        <v>3524</v>
      </c>
      <c r="E360" t="s">
        <v>384</v>
      </c>
      <c r="F360">
        <v>2</v>
      </c>
      <c r="G360">
        <v>0</v>
      </c>
      <c r="H360" t="s">
        <v>3709</v>
      </c>
      <c r="I360">
        <v>0</v>
      </c>
      <c r="J360">
        <v>1</v>
      </c>
      <c r="K360">
        <v>1</v>
      </c>
      <c r="L360">
        <v>1</v>
      </c>
      <c r="M360">
        <v>0</v>
      </c>
    </row>
    <row r="361" spans="1:13" x14ac:dyDescent="0.25">
      <c r="A361" t="s">
        <v>3528</v>
      </c>
      <c r="B361" t="s">
        <v>3528</v>
      </c>
      <c r="C361" t="s">
        <v>3526</v>
      </c>
      <c r="D361" t="s">
        <v>3527</v>
      </c>
      <c r="E361" t="s">
        <v>378</v>
      </c>
      <c r="F361">
        <v>1</v>
      </c>
      <c r="G361">
        <v>0</v>
      </c>
      <c r="H361" t="s">
        <v>3713</v>
      </c>
      <c r="I361">
        <v>1</v>
      </c>
      <c r="J361">
        <v>1</v>
      </c>
      <c r="K361">
        <v>1</v>
      </c>
      <c r="L361">
        <v>1</v>
      </c>
      <c r="M361">
        <v>1</v>
      </c>
    </row>
    <row r="362" spans="1:13" x14ac:dyDescent="0.25">
      <c r="A362" t="s">
        <v>3531</v>
      </c>
      <c r="B362" t="s">
        <v>3531</v>
      </c>
      <c r="C362" t="s">
        <v>3529</v>
      </c>
      <c r="D362" t="s">
        <v>3530</v>
      </c>
      <c r="E362" t="s">
        <v>379</v>
      </c>
      <c r="F362">
        <v>1</v>
      </c>
      <c r="G362">
        <v>0</v>
      </c>
      <c r="H362" t="s">
        <v>3713</v>
      </c>
      <c r="I362">
        <v>1</v>
      </c>
      <c r="J362">
        <v>1</v>
      </c>
      <c r="K362">
        <v>1</v>
      </c>
      <c r="L362">
        <v>1</v>
      </c>
      <c r="M362">
        <v>1</v>
      </c>
    </row>
    <row r="363" spans="1:13" x14ac:dyDescent="0.25">
      <c r="A363" t="s">
        <v>3534</v>
      </c>
      <c r="B363" t="s">
        <v>3534</v>
      </c>
      <c r="C363" t="s">
        <v>3532</v>
      </c>
      <c r="D363" t="s">
        <v>3533</v>
      </c>
      <c r="E363" t="s">
        <v>384</v>
      </c>
      <c r="F363">
        <v>2</v>
      </c>
      <c r="G363">
        <v>0</v>
      </c>
      <c r="H363" t="s">
        <v>3709</v>
      </c>
      <c r="I363">
        <v>0</v>
      </c>
      <c r="J363">
        <v>1</v>
      </c>
      <c r="K363">
        <v>1</v>
      </c>
      <c r="L363">
        <v>1</v>
      </c>
      <c r="M363">
        <v>0</v>
      </c>
    </row>
    <row r="364" spans="1:13" x14ac:dyDescent="0.25">
      <c r="A364" t="s">
        <v>3537</v>
      </c>
      <c r="B364" t="s">
        <v>3537</v>
      </c>
      <c r="C364" t="s">
        <v>3535</v>
      </c>
      <c r="D364" t="s">
        <v>3536</v>
      </c>
      <c r="E364" t="s">
        <v>376</v>
      </c>
      <c r="F364">
        <v>4</v>
      </c>
      <c r="G364">
        <v>0</v>
      </c>
      <c r="H364" t="s">
        <v>3712</v>
      </c>
      <c r="I364">
        <v>0</v>
      </c>
      <c r="J364">
        <v>0</v>
      </c>
      <c r="K364">
        <v>0</v>
      </c>
      <c r="L364">
        <v>0</v>
      </c>
      <c r="M364">
        <v>0</v>
      </c>
    </row>
    <row r="365" spans="1:13" x14ac:dyDescent="0.25">
      <c r="A365" t="s">
        <v>3540</v>
      </c>
      <c r="B365" t="s">
        <v>3540</v>
      </c>
      <c r="C365" t="s">
        <v>3538</v>
      </c>
      <c r="D365" t="s">
        <v>3539</v>
      </c>
      <c r="E365" t="s">
        <v>384</v>
      </c>
      <c r="F365">
        <v>2</v>
      </c>
      <c r="G365">
        <v>1</v>
      </c>
      <c r="H365" t="s">
        <v>3710</v>
      </c>
      <c r="I365">
        <v>0</v>
      </c>
      <c r="J365">
        <v>1</v>
      </c>
      <c r="K365">
        <v>1</v>
      </c>
      <c r="L365">
        <v>1</v>
      </c>
      <c r="M365">
        <v>0</v>
      </c>
    </row>
    <row r="366" spans="1:13" x14ac:dyDescent="0.25">
      <c r="A366" t="s">
        <v>3543</v>
      </c>
      <c r="B366" t="s">
        <v>3543</v>
      </c>
      <c r="C366" t="s">
        <v>3541</v>
      </c>
      <c r="D366" t="s">
        <v>3542</v>
      </c>
      <c r="E366" t="s">
        <v>384</v>
      </c>
      <c r="F366">
        <v>2</v>
      </c>
      <c r="G366">
        <v>0</v>
      </c>
      <c r="H366" t="s">
        <v>3709</v>
      </c>
      <c r="I366">
        <v>1</v>
      </c>
      <c r="J366">
        <v>1</v>
      </c>
      <c r="K366">
        <v>1</v>
      </c>
      <c r="L366">
        <v>1</v>
      </c>
      <c r="M366">
        <v>0</v>
      </c>
    </row>
    <row r="367" spans="1:13" x14ac:dyDescent="0.25">
      <c r="A367" t="s">
        <v>3546</v>
      </c>
      <c r="B367" t="s">
        <v>3546</v>
      </c>
      <c r="C367" t="s">
        <v>3544</v>
      </c>
      <c r="D367" t="s">
        <v>3545</v>
      </c>
      <c r="E367" t="s">
        <v>379</v>
      </c>
      <c r="F367">
        <v>1</v>
      </c>
      <c r="G367">
        <v>0</v>
      </c>
      <c r="H367" t="s">
        <v>3713</v>
      </c>
      <c r="I367">
        <v>1</v>
      </c>
      <c r="J367">
        <v>1</v>
      </c>
      <c r="K367">
        <v>1</v>
      </c>
      <c r="L367">
        <v>1</v>
      </c>
      <c r="M367">
        <v>1</v>
      </c>
    </row>
    <row r="368" spans="1:13" x14ac:dyDescent="0.25">
      <c r="A368" t="s">
        <v>3549</v>
      </c>
      <c r="B368" t="s">
        <v>3549</v>
      </c>
      <c r="C368" t="s">
        <v>3547</v>
      </c>
      <c r="D368" t="s">
        <v>3548</v>
      </c>
      <c r="E368" t="s">
        <v>379</v>
      </c>
      <c r="F368">
        <v>1</v>
      </c>
      <c r="G368">
        <v>0</v>
      </c>
      <c r="H368" t="s">
        <v>3713</v>
      </c>
      <c r="I368">
        <v>0</v>
      </c>
      <c r="J368">
        <v>1</v>
      </c>
      <c r="K368">
        <v>1</v>
      </c>
      <c r="L368">
        <v>1</v>
      </c>
      <c r="M368">
        <v>1</v>
      </c>
    </row>
    <row r="369" spans="1:13" x14ac:dyDescent="0.25">
      <c r="A369" t="s">
        <v>3552</v>
      </c>
      <c r="B369" t="s">
        <v>3552</v>
      </c>
      <c r="C369" t="s">
        <v>3550</v>
      </c>
      <c r="D369" t="s">
        <v>3551</v>
      </c>
      <c r="E369" t="s">
        <v>380</v>
      </c>
      <c r="F369">
        <v>1</v>
      </c>
      <c r="G369">
        <v>0</v>
      </c>
      <c r="H369" t="s">
        <v>3713</v>
      </c>
      <c r="I369">
        <v>1</v>
      </c>
      <c r="J369">
        <v>1</v>
      </c>
      <c r="K369">
        <v>1</v>
      </c>
      <c r="L369">
        <v>1</v>
      </c>
      <c r="M369">
        <v>1</v>
      </c>
    </row>
    <row r="370" spans="1:13" x14ac:dyDescent="0.25">
      <c r="A370" t="s">
        <v>3555</v>
      </c>
      <c r="B370" t="s">
        <v>3555</v>
      </c>
      <c r="C370" t="s">
        <v>3553</v>
      </c>
      <c r="D370" t="s">
        <v>3554</v>
      </c>
      <c r="E370" t="s">
        <v>378</v>
      </c>
      <c r="F370">
        <v>1</v>
      </c>
      <c r="G370">
        <v>0</v>
      </c>
      <c r="H370" t="s">
        <v>3713</v>
      </c>
      <c r="I370">
        <v>1</v>
      </c>
      <c r="J370">
        <v>1</v>
      </c>
      <c r="K370">
        <v>1</v>
      </c>
      <c r="L370">
        <v>1</v>
      </c>
      <c r="M370">
        <v>1</v>
      </c>
    </row>
    <row r="371" spans="1:13" x14ac:dyDescent="0.25">
      <c r="A371" t="s">
        <v>3558</v>
      </c>
      <c r="B371" t="s">
        <v>3558</v>
      </c>
      <c r="C371" t="s">
        <v>3556</v>
      </c>
      <c r="D371" t="s">
        <v>3557</v>
      </c>
      <c r="E371" t="s">
        <v>385</v>
      </c>
      <c r="F371">
        <v>1</v>
      </c>
      <c r="G371">
        <v>0</v>
      </c>
      <c r="H371" t="s">
        <v>3713</v>
      </c>
      <c r="I371">
        <v>0</v>
      </c>
      <c r="J371">
        <v>1</v>
      </c>
      <c r="K371">
        <v>1</v>
      </c>
      <c r="L371">
        <v>1</v>
      </c>
      <c r="M371">
        <v>1</v>
      </c>
    </row>
    <row r="372" spans="1:13" x14ac:dyDescent="0.25">
      <c r="A372" t="s">
        <v>3561</v>
      </c>
      <c r="B372" t="s">
        <v>3561</v>
      </c>
      <c r="C372" t="s">
        <v>3559</v>
      </c>
      <c r="D372" t="s">
        <v>3560</v>
      </c>
      <c r="E372" t="s">
        <v>384</v>
      </c>
      <c r="F372">
        <v>2</v>
      </c>
      <c r="G372">
        <v>0</v>
      </c>
      <c r="H372" t="s">
        <v>3709</v>
      </c>
      <c r="I372">
        <v>1</v>
      </c>
      <c r="J372">
        <v>1</v>
      </c>
      <c r="K372">
        <v>1</v>
      </c>
      <c r="L372">
        <v>1</v>
      </c>
      <c r="M372">
        <v>0</v>
      </c>
    </row>
    <row r="373" spans="1:13" x14ac:dyDescent="0.25">
      <c r="A373" t="s">
        <v>3564</v>
      </c>
      <c r="B373" t="s">
        <v>3564</v>
      </c>
      <c r="C373" t="s">
        <v>3562</v>
      </c>
      <c r="D373" t="s">
        <v>3563</v>
      </c>
      <c r="E373" t="s">
        <v>372</v>
      </c>
      <c r="F373">
        <v>1</v>
      </c>
      <c r="G373">
        <v>1</v>
      </c>
      <c r="H373" t="s">
        <v>3714</v>
      </c>
      <c r="I373">
        <v>0</v>
      </c>
      <c r="J373">
        <v>0</v>
      </c>
      <c r="K373">
        <v>0</v>
      </c>
      <c r="L373">
        <v>0</v>
      </c>
      <c r="M373">
        <v>1</v>
      </c>
    </row>
    <row r="374" spans="1:13" x14ac:dyDescent="0.25">
      <c r="A374" t="s">
        <v>3567</v>
      </c>
      <c r="B374" t="s">
        <v>3567</v>
      </c>
      <c r="C374" t="s">
        <v>3565</v>
      </c>
      <c r="D374" t="s">
        <v>3566</v>
      </c>
      <c r="E374" t="s">
        <v>375</v>
      </c>
      <c r="F374">
        <v>4</v>
      </c>
      <c r="G374">
        <v>0</v>
      </c>
      <c r="H374" t="s">
        <v>3712</v>
      </c>
      <c r="I374">
        <v>0</v>
      </c>
      <c r="J374">
        <v>0</v>
      </c>
      <c r="K374">
        <v>0</v>
      </c>
      <c r="L374">
        <v>0</v>
      </c>
      <c r="M374">
        <v>0</v>
      </c>
    </row>
    <row r="375" spans="1:13" x14ac:dyDescent="0.25">
      <c r="A375" t="s">
        <v>3570</v>
      </c>
      <c r="B375" t="s">
        <v>3570</v>
      </c>
      <c r="C375" t="s">
        <v>3568</v>
      </c>
      <c r="D375" t="s">
        <v>3569</v>
      </c>
      <c r="E375" t="s">
        <v>384</v>
      </c>
      <c r="F375">
        <v>2</v>
      </c>
      <c r="G375">
        <v>0</v>
      </c>
      <c r="H375" t="s">
        <v>3709</v>
      </c>
      <c r="I375">
        <v>1</v>
      </c>
      <c r="J375">
        <v>1</v>
      </c>
      <c r="K375">
        <v>1</v>
      </c>
      <c r="L375">
        <v>1</v>
      </c>
      <c r="M375">
        <v>0</v>
      </c>
    </row>
    <row r="376" spans="1:13" x14ac:dyDescent="0.25">
      <c r="A376" t="s">
        <v>3573</v>
      </c>
      <c r="B376" t="s">
        <v>3573</v>
      </c>
      <c r="C376" t="s">
        <v>3571</v>
      </c>
      <c r="D376" t="s">
        <v>3572</v>
      </c>
      <c r="E376" t="s">
        <v>384</v>
      </c>
      <c r="F376">
        <v>2</v>
      </c>
      <c r="G376">
        <v>0</v>
      </c>
      <c r="H376" t="s">
        <v>3709</v>
      </c>
      <c r="I376">
        <v>1</v>
      </c>
      <c r="J376">
        <v>1</v>
      </c>
      <c r="K376">
        <v>1</v>
      </c>
      <c r="L376">
        <v>1</v>
      </c>
      <c r="M376">
        <v>0</v>
      </c>
    </row>
    <row r="377" spans="1:13" x14ac:dyDescent="0.25">
      <c r="A377" t="s">
        <v>3577</v>
      </c>
      <c r="B377" t="s">
        <v>3577</v>
      </c>
      <c r="C377" t="s">
        <v>3575</v>
      </c>
      <c r="D377" t="s">
        <v>3576</v>
      </c>
      <c r="E377" t="s">
        <v>384</v>
      </c>
      <c r="F377">
        <v>2</v>
      </c>
      <c r="G377">
        <v>1</v>
      </c>
      <c r="H377" t="s">
        <v>3710</v>
      </c>
      <c r="I377">
        <v>1</v>
      </c>
      <c r="J377">
        <v>1</v>
      </c>
      <c r="K377">
        <v>1</v>
      </c>
      <c r="L377">
        <v>1</v>
      </c>
      <c r="M377">
        <v>0</v>
      </c>
    </row>
    <row r="378" spans="1:13" x14ac:dyDescent="0.25">
      <c r="A378" t="s">
        <v>3580</v>
      </c>
      <c r="B378" t="s">
        <v>3580</v>
      </c>
      <c r="C378" t="s">
        <v>3578</v>
      </c>
      <c r="D378" t="s">
        <v>3579</v>
      </c>
      <c r="E378" t="s">
        <v>384</v>
      </c>
      <c r="F378">
        <v>2</v>
      </c>
      <c r="G378">
        <v>0</v>
      </c>
      <c r="H378" t="s">
        <v>3709</v>
      </c>
      <c r="I378">
        <v>0</v>
      </c>
      <c r="J378">
        <v>1</v>
      </c>
      <c r="K378">
        <v>1</v>
      </c>
      <c r="L378">
        <v>1</v>
      </c>
      <c r="M378">
        <v>0</v>
      </c>
    </row>
    <row r="379" spans="1:13" x14ac:dyDescent="0.25">
      <c r="A379" t="s">
        <v>3583</v>
      </c>
      <c r="B379" t="s">
        <v>3583</v>
      </c>
      <c r="C379" t="s">
        <v>3581</v>
      </c>
      <c r="D379" t="s">
        <v>3582</v>
      </c>
      <c r="E379" t="s">
        <v>385</v>
      </c>
      <c r="F379">
        <v>1</v>
      </c>
      <c r="G379">
        <v>0</v>
      </c>
      <c r="H379" t="s">
        <v>3713</v>
      </c>
      <c r="I379">
        <v>1</v>
      </c>
      <c r="J379">
        <v>1</v>
      </c>
      <c r="K379">
        <v>1</v>
      </c>
      <c r="L379">
        <v>1</v>
      </c>
      <c r="M379">
        <v>1</v>
      </c>
    </row>
    <row r="380" spans="1:13" x14ac:dyDescent="0.25">
      <c r="A380" t="s">
        <v>3586</v>
      </c>
      <c r="B380" t="s">
        <v>3586</v>
      </c>
      <c r="C380" t="s">
        <v>3584</v>
      </c>
      <c r="D380" t="s">
        <v>3585</v>
      </c>
      <c r="E380" t="s">
        <v>384</v>
      </c>
      <c r="F380">
        <v>2</v>
      </c>
      <c r="G380">
        <v>0</v>
      </c>
      <c r="H380" t="s">
        <v>3709</v>
      </c>
      <c r="I380">
        <v>0</v>
      </c>
      <c r="J380">
        <v>1</v>
      </c>
      <c r="K380">
        <v>1</v>
      </c>
      <c r="L380">
        <v>1</v>
      </c>
      <c r="M380">
        <v>0</v>
      </c>
    </row>
    <row r="381" spans="1:13" x14ac:dyDescent="0.25">
      <c r="A381" t="s">
        <v>3589</v>
      </c>
      <c r="B381" t="s">
        <v>3589</v>
      </c>
      <c r="C381" t="s">
        <v>3587</v>
      </c>
      <c r="D381" t="s">
        <v>3588</v>
      </c>
      <c r="E381" t="s">
        <v>384</v>
      </c>
      <c r="F381">
        <v>2</v>
      </c>
      <c r="G381">
        <v>0</v>
      </c>
      <c r="H381" t="s">
        <v>3709</v>
      </c>
      <c r="I381">
        <v>1</v>
      </c>
      <c r="J381">
        <v>1</v>
      </c>
      <c r="K381">
        <v>1</v>
      </c>
      <c r="L381">
        <v>1</v>
      </c>
      <c r="M381">
        <v>0</v>
      </c>
    </row>
    <row r="382" spans="1:13" x14ac:dyDescent="0.25">
      <c r="A382" t="s">
        <v>3592</v>
      </c>
      <c r="B382" t="s">
        <v>3592</v>
      </c>
      <c r="C382" t="s">
        <v>3590</v>
      </c>
      <c r="D382" t="s">
        <v>3591</v>
      </c>
      <c r="E382" t="s">
        <v>384</v>
      </c>
      <c r="F382">
        <v>2</v>
      </c>
      <c r="G382">
        <v>0</v>
      </c>
      <c r="H382" t="s">
        <v>3709</v>
      </c>
      <c r="I382">
        <v>1</v>
      </c>
      <c r="J382">
        <v>1</v>
      </c>
      <c r="K382">
        <v>1</v>
      </c>
      <c r="L382">
        <v>1</v>
      </c>
      <c r="M382">
        <v>0</v>
      </c>
    </row>
    <row r="383" spans="1:13" x14ac:dyDescent="0.25">
      <c r="A383" t="s">
        <v>3595</v>
      </c>
      <c r="B383" t="s">
        <v>3595</v>
      </c>
      <c r="C383" t="s">
        <v>3593</v>
      </c>
      <c r="D383" t="s">
        <v>3594</v>
      </c>
      <c r="E383" t="s">
        <v>386</v>
      </c>
      <c r="F383">
        <v>7</v>
      </c>
      <c r="G383">
        <v>0</v>
      </c>
      <c r="H383" t="s">
        <v>3712</v>
      </c>
      <c r="I383">
        <v>0</v>
      </c>
      <c r="J383">
        <v>0</v>
      </c>
      <c r="K383">
        <v>0</v>
      </c>
      <c r="L383">
        <v>0</v>
      </c>
      <c r="M383">
        <v>0</v>
      </c>
    </row>
    <row r="384" spans="1:13" x14ac:dyDescent="0.25">
      <c r="A384" t="s">
        <v>3598</v>
      </c>
      <c r="B384" t="s">
        <v>3598</v>
      </c>
      <c r="C384" t="s">
        <v>3596</v>
      </c>
      <c r="D384" t="s">
        <v>3597</v>
      </c>
      <c r="E384" t="s">
        <v>375</v>
      </c>
      <c r="F384">
        <v>4</v>
      </c>
      <c r="G384">
        <v>0</v>
      </c>
      <c r="H384" t="s">
        <v>3712</v>
      </c>
      <c r="I384">
        <v>0</v>
      </c>
      <c r="J384">
        <v>0</v>
      </c>
      <c r="K384">
        <v>0</v>
      </c>
      <c r="L384">
        <v>0</v>
      </c>
      <c r="M384">
        <v>0</v>
      </c>
    </row>
    <row r="385" spans="1:13" x14ac:dyDescent="0.25">
      <c r="A385" t="s">
        <v>3601</v>
      </c>
      <c r="B385" t="s">
        <v>3601</v>
      </c>
      <c r="C385" t="s">
        <v>3599</v>
      </c>
      <c r="D385" t="s">
        <v>3600</v>
      </c>
      <c r="E385" t="s">
        <v>382</v>
      </c>
      <c r="F385">
        <v>5</v>
      </c>
      <c r="G385">
        <v>0</v>
      </c>
      <c r="H385" t="s">
        <v>3719</v>
      </c>
      <c r="I385">
        <v>0</v>
      </c>
      <c r="J385">
        <v>0</v>
      </c>
      <c r="K385">
        <v>0</v>
      </c>
      <c r="L385">
        <v>0</v>
      </c>
      <c r="M385">
        <v>0</v>
      </c>
    </row>
    <row r="386" spans="1:13" x14ac:dyDescent="0.25">
      <c r="A386" t="s">
        <v>3604</v>
      </c>
      <c r="B386" t="s">
        <v>3604</v>
      </c>
      <c r="C386" t="s">
        <v>3602</v>
      </c>
      <c r="D386" t="s">
        <v>3603</v>
      </c>
      <c r="E386" t="s">
        <v>376</v>
      </c>
      <c r="F386">
        <v>4</v>
      </c>
      <c r="G386">
        <v>1</v>
      </c>
      <c r="H386" t="s">
        <v>3711</v>
      </c>
      <c r="I386">
        <v>0</v>
      </c>
      <c r="J386">
        <v>0</v>
      </c>
      <c r="K386">
        <v>0</v>
      </c>
      <c r="L386">
        <v>0</v>
      </c>
      <c r="M386">
        <v>0</v>
      </c>
    </row>
    <row r="387" spans="1:13" x14ac:dyDescent="0.25">
      <c r="A387" t="s">
        <v>3607</v>
      </c>
      <c r="B387" t="s">
        <v>3607</v>
      </c>
      <c r="C387" t="s">
        <v>3605</v>
      </c>
      <c r="D387" t="s">
        <v>3606</v>
      </c>
      <c r="E387" t="s">
        <v>375</v>
      </c>
      <c r="F387">
        <v>4</v>
      </c>
      <c r="G387">
        <v>1</v>
      </c>
      <c r="H387" t="s">
        <v>3711</v>
      </c>
      <c r="I387">
        <v>0</v>
      </c>
      <c r="J387">
        <v>0</v>
      </c>
      <c r="K387">
        <v>0</v>
      </c>
      <c r="L387">
        <v>0</v>
      </c>
      <c r="M387">
        <v>0</v>
      </c>
    </row>
    <row r="388" spans="1:13" x14ac:dyDescent="0.25">
      <c r="A388" t="s">
        <v>3613</v>
      </c>
      <c r="B388" t="s">
        <v>3613</v>
      </c>
      <c r="C388" t="s">
        <v>3611</v>
      </c>
      <c r="D388" t="s">
        <v>3612</v>
      </c>
      <c r="E388" t="s">
        <v>385</v>
      </c>
      <c r="F388">
        <v>1</v>
      </c>
      <c r="G388">
        <v>0</v>
      </c>
      <c r="H388" t="s">
        <v>3713</v>
      </c>
      <c r="I388">
        <v>1</v>
      </c>
      <c r="J388">
        <v>1</v>
      </c>
      <c r="K388">
        <v>1</v>
      </c>
      <c r="L388">
        <v>1</v>
      </c>
      <c r="M388">
        <v>1</v>
      </c>
    </row>
    <row r="389" spans="1:13" x14ac:dyDescent="0.25">
      <c r="A389" t="s">
        <v>3616</v>
      </c>
      <c r="B389" t="s">
        <v>3616</v>
      </c>
      <c r="C389" t="s">
        <v>3614</v>
      </c>
      <c r="D389" t="s">
        <v>3615</v>
      </c>
      <c r="E389" t="s">
        <v>382</v>
      </c>
      <c r="F389">
        <v>5</v>
      </c>
      <c r="G389">
        <v>0</v>
      </c>
      <c r="H389" t="s">
        <v>3719</v>
      </c>
      <c r="I389">
        <v>0</v>
      </c>
      <c r="J389">
        <v>0</v>
      </c>
      <c r="K389">
        <v>0</v>
      </c>
      <c r="L389">
        <v>0</v>
      </c>
      <c r="M389">
        <v>0</v>
      </c>
    </row>
    <row r="390" spans="1:13" x14ac:dyDescent="0.25">
      <c r="A390" t="s">
        <v>3619</v>
      </c>
      <c r="B390" t="s">
        <v>3619</v>
      </c>
      <c r="C390" t="s">
        <v>3617</v>
      </c>
      <c r="D390" t="s">
        <v>3618</v>
      </c>
      <c r="E390" t="s">
        <v>384</v>
      </c>
      <c r="F390">
        <v>2</v>
      </c>
      <c r="G390">
        <v>0</v>
      </c>
      <c r="H390" t="s">
        <v>3709</v>
      </c>
      <c r="I390">
        <v>0</v>
      </c>
      <c r="J390">
        <v>1</v>
      </c>
      <c r="K390">
        <v>1</v>
      </c>
      <c r="L390">
        <v>1</v>
      </c>
      <c r="M390">
        <v>0</v>
      </c>
    </row>
    <row r="391" spans="1:13" x14ac:dyDescent="0.25">
      <c r="A391" t="s">
        <v>3622</v>
      </c>
      <c r="B391" t="s">
        <v>3622</v>
      </c>
      <c r="C391" t="s">
        <v>3620</v>
      </c>
      <c r="D391" t="s">
        <v>3621</v>
      </c>
      <c r="E391" t="s">
        <v>384</v>
      </c>
      <c r="F391">
        <v>2</v>
      </c>
      <c r="G391">
        <v>0</v>
      </c>
      <c r="H391" t="s">
        <v>3709</v>
      </c>
      <c r="I391">
        <v>0</v>
      </c>
      <c r="J391">
        <v>1</v>
      </c>
      <c r="K391">
        <v>1</v>
      </c>
      <c r="L391">
        <v>1</v>
      </c>
      <c r="M391">
        <v>0</v>
      </c>
    </row>
    <row r="392" spans="1:13" x14ac:dyDescent="0.25">
      <c r="A392" t="s">
        <v>3625</v>
      </c>
      <c r="B392" t="s">
        <v>3625</v>
      </c>
      <c r="C392" t="s">
        <v>3623</v>
      </c>
      <c r="D392" t="s">
        <v>3624</v>
      </c>
      <c r="E392" t="s">
        <v>372</v>
      </c>
      <c r="F392">
        <v>1</v>
      </c>
      <c r="G392">
        <v>1</v>
      </c>
      <c r="H392" t="s">
        <v>3714</v>
      </c>
      <c r="I392">
        <v>0</v>
      </c>
      <c r="J392">
        <v>0</v>
      </c>
      <c r="K392">
        <v>0</v>
      </c>
      <c r="L392">
        <v>0</v>
      </c>
      <c r="M392">
        <v>1</v>
      </c>
    </row>
    <row r="393" spans="1:13" x14ac:dyDescent="0.25">
      <c r="A393" t="s">
        <v>3628</v>
      </c>
      <c r="B393" t="s">
        <v>3628</v>
      </c>
      <c r="C393" t="s">
        <v>3626</v>
      </c>
      <c r="D393" t="s">
        <v>3627</v>
      </c>
      <c r="E393" t="s">
        <v>382</v>
      </c>
      <c r="F393">
        <v>5</v>
      </c>
      <c r="G393">
        <v>0</v>
      </c>
      <c r="H393" t="s">
        <v>3719</v>
      </c>
      <c r="I393">
        <v>0</v>
      </c>
      <c r="J393">
        <v>0</v>
      </c>
      <c r="K393">
        <v>0</v>
      </c>
      <c r="L393">
        <v>0</v>
      </c>
      <c r="M393">
        <v>0</v>
      </c>
    </row>
    <row r="394" spans="1:13" x14ac:dyDescent="0.25">
      <c r="A394" t="s">
        <v>3631</v>
      </c>
      <c r="B394" t="s">
        <v>3631</v>
      </c>
      <c r="C394" t="s">
        <v>3629</v>
      </c>
      <c r="D394" t="s">
        <v>3630</v>
      </c>
      <c r="E394" t="s">
        <v>376</v>
      </c>
      <c r="F394">
        <v>4</v>
      </c>
      <c r="G394">
        <v>0</v>
      </c>
      <c r="H394" t="s">
        <v>3712</v>
      </c>
      <c r="I394">
        <v>0</v>
      </c>
      <c r="J394">
        <v>0</v>
      </c>
      <c r="K394">
        <v>0</v>
      </c>
      <c r="L394">
        <v>0</v>
      </c>
      <c r="M394">
        <v>0</v>
      </c>
    </row>
    <row r="395" spans="1:13" x14ac:dyDescent="0.25">
      <c r="A395" t="s">
        <v>3634</v>
      </c>
      <c r="B395" t="s">
        <v>3634</v>
      </c>
      <c r="C395" t="s">
        <v>3632</v>
      </c>
      <c r="D395" t="s">
        <v>3633</v>
      </c>
      <c r="E395" t="s">
        <v>375</v>
      </c>
      <c r="F395">
        <v>4</v>
      </c>
      <c r="G395">
        <v>0</v>
      </c>
      <c r="H395" t="s">
        <v>3712</v>
      </c>
      <c r="I395">
        <v>0</v>
      </c>
      <c r="J395">
        <v>0</v>
      </c>
      <c r="K395">
        <v>0</v>
      </c>
      <c r="L395">
        <v>0</v>
      </c>
      <c r="M395">
        <v>0</v>
      </c>
    </row>
    <row r="396" spans="1:13" x14ac:dyDescent="0.25">
      <c r="A396" t="s">
        <v>3637</v>
      </c>
      <c r="B396" t="s">
        <v>3637</v>
      </c>
      <c r="C396" t="s">
        <v>3635</v>
      </c>
      <c r="D396" t="s">
        <v>3636</v>
      </c>
      <c r="E396" t="s">
        <v>386</v>
      </c>
      <c r="F396">
        <v>7</v>
      </c>
      <c r="G396">
        <v>0</v>
      </c>
      <c r="H396" t="s">
        <v>3712</v>
      </c>
      <c r="I396">
        <v>0</v>
      </c>
      <c r="J396">
        <v>0</v>
      </c>
      <c r="K396">
        <v>0</v>
      </c>
      <c r="L396">
        <v>0</v>
      </c>
      <c r="M396">
        <v>0</v>
      </c>
    </row>
    <row r="397" spans="1:13" x14ac:dyDescent="0.25">
      <c r="A397" t="s">
        <v>3640</v>
      </c>
      <c r="B397" t="s">
        <v>3640</v>
      </c>
      <c r="C397" t="s">
        <v>3638</v>
      </c>
      <c r="D397" t="s">
        <v>3639</v>
      </c>
      <c r="E397" t="s">
        <v>378</v>
      </c>
      <c r="F397">
        <v>1</v>
      </c>
      <c r="G397">
        <v>1</v>
      </c>
      <c r="H397" t="s">
        <v>3714</v>
      </c>
      <c r="I397">
        <v>1</v>
      </c>
      <c r="J397">
        <v>1</v>
      </c>
      <c r="K397">
        <v>1</v>
      </c>
      <c r="L397">
        <v>1</v>
      </c>
      <c r="M397">
        <v>1</v>
      </c>
    </row>
    <row r="398" spans="1:13" x14ac:dyDescent="0.25">
      <c r="A398" t="s">
        <v>3748</v>
      </c>
      <c r="B398" t="s">
        <v>3748</v>
      </c>
      <c r="C398" t="s">
        <v>3608</v>
      </c>
      <c r="D398" t="s">
        <v>3609</v>
      </c>
      <c r="E398" t="s">
        <v>385</v>
      </c>
      <c r="F398">
        <v>1</v>
      </c>
      <c r="G398">
        <v>0</v>
      </c>
      <c r="H398" t="s">
        <v>3713</v>
      </c>
      <c r="I398">
        <v>1</v>
      </c>
      <c r="J398">
        <v>1</v>
      </c>
      <c r="K398">
        <v>1</v>
      </c>
      <c r="L398">
        <v>1</v>
      </c>
      <c r="M398">
        <v>1</v>
      </c>
    </row>
    <row r="399" spans="1:13" x14ac:dyDescent="0.25">
      <c r="A399" t="s">
        <v>3643</v>
      </c>
      <c r="B399" t="s">
        <v>3643</v>
      </c>
      <c r="C399" t="s">
        <v>3641</v>
      </c>
      <c r="D399" t="s">
        <v>3642</v>
      </c>
      <c r="E399" t="s">
        <v>379</v>
      </c>
      <c r="F399">
        <v>1</v>
      </c>
      <c r="G399">
        <v>1</v>
      </c>
      <c r="H399" t="s">
        <v>3714</v>
      </c>
      <c r="I399">
        <v>0</v>
      </c>
      <c r="J399">
        <v>1</v>
      </c>
      <c r="K399">
        <v>1</v>
      </c>
      <c r="L399">
        <v>1</v>
      </c>
      <c r="M399">
        <v>1</v>
      </c>
    </row>
    <row r="400" spans="1:13" x14ac:dyDescent="0.25">
      <c r="A400" t="s">
        <v>3646</v>
      </c>
      <c r="B400" t="s">
        <v>3646</v>
      </c>
      <c r="C400" t="s">
        <v>3644</v>
      </c>
      <c r="D400" t="s">
        <v>3645</v>
      </c>
      <c r="E400" t="s">
        <v>385</v>
      </c>
      <c r="F400">
        <v>1</v>
      </c>
      <c r="G400">
        <v>0</v>
      </c>
      <c r="H400" t="s">
        <v>3713</v>
      </c>
      <c r="I400">
        <v>1</v>
      </c>
      <c r="J400">
        <v>1</v>
      </c>
      <c r="K400">
        <v>1</v>
      </c>
      <c r="L400">
        <v>1</v>
      </c>
      <c r="M400">
        <v>1</v>
      </c>
    </row>
    <row r="401" spans="1:13" x14ac:dyDescent="0.25">
      <c r="A401" t="s">
        <v>3649</v>
      </c>
      <c r="B401" t="s">
        <v>3649</v>
      </c>
      <c r="C401" t="s">
        <v>3647</v>
      </c>
      <c r="D401" t="s">
        <v>3648</v>
      </c>
      <c r="E401" t="s">
        <v>375</v>
      </c>
      <c r="F401">
        <v>4</v>
      </c>
      <c r="G401">
        <v>0</v>
      </c>
      <c r="H401" t="s">
        <v>3712</v>
      </c>
      <c r="I401">
        <v>0</v>
      </c>
      <c r="J401">
        <v>0</v>
      </c>
      <c r="K401">
        <v>0</v>
      </c>
      <c r="L401">
        <v>0</v>
      </c>
      <c r="M401">
        <v>0</v>
      </c>
    </row>
    <row r="402" spans="1:13" x14ac:dyDescent="0.25">
      <c r="A402" t="s">
        <v>3652</v>
      </c>
      <c r="B402" t="s">
        <v>3652</v>
      </c>
      <c r="C402" t="s">
        <v>3650</v>
      </c>
      <c r="D402" t="s">
        <v>3651</v>
      </c>
      <c r="E402" t="s">
        <v>384</v>
      </c>
      <c r="F402">
        <v>2</v>
      </c>
      <c r="G402">
        <v>1</v>
      </c>
      <c r="H402" t="s">
        <v>3710</v>
      </c>
      <c r="I402">
        <v>1</v>
      </c>
      <c r="J402">
        <v>1</v>
      </c>
      <c r="K402">
        <v>1</v>
      </c>
      <c r="L402">
        <v>1</v>
      </c>
      <c r="M402">
        <v>0</v>
      </c>
    </row>
    <row r="403" spans="1:13" x14ac:dyDescent="0.25">
      <c r="A403" t="s">
        <v>3655</v>
      </c>
      <c r="B403" t="s">
        <v>3655</v>
      </c>
      <c r="C403" t="s">
        <v>3653</v>
      </c>
      <c r="D403" t="s">
        <v>3654</v>
      </c>
      <c r="E403" t="s">
        <v>385</v>
      </c>
      <c r="F403">
        <v>1</v>
      </c>
      <c r="G403">
        <v>0</v>
      </c>
      <c r="H403" t="s">
        <v>3713</v>
      </c>
      <c r="I403">
        <v>1</v>
      </c>
      <c r="J403">
        <v>1</v>
      </c>
      <c r="K403">
        <v>1</v>
      </c>
      <c r="L403">
        <v>1</v>
      </c>
      <c r="M403">
        <v>1</v>
      </c>
    </row>
    <row r="404" spans="1:13" x14ac:dyDescent="0.25">
      <c r="A404" t="s">
        <v>3658</v>
      </c>
      <c r="B404" t="s">
        <v>3658</v>
      </c>
      <c r="C404" t="s">
        <v>3656</v>
      </c>
      <c r="D404" t="s">
        <v>3657</v>
      </c>
      <c r="E404" t="s">
        <v>379</v>
      </c>
      <c r="F404">
        <v>1</v>
      </c>
      <c r="G404">
        <v>0</v>
      </c>
      <c r="H404" t="s">
        <v>3713</v>
      </c>
      <c r="I404">
        <v>0</v>
      </c>
      <c r="J404">
        <v>1</v>
      </c>
      <c r="K404">
        <v>1</v>
      </c>
      <c r="L404">
        <v>1</v>
      </c>
      <c r="M404">
        <v>1</v>
      </c>
    </row>
    <row r="405" spans="1:13" x14ac:dyDescent="0.25">
      <c r="A405" t="s">
        <v>3661</v>
      </c>
      <c r="B405" t="s">
        <v>3661</v>
      </c>
      <c r="C405" t="s">
        <v>3659</v>
      </c>
      <c r="D405" t="s">
        <v>3660</v>
      </c>
      <c r="E405" t="s">
        <v>384</v>
      </c>
      <c r="F405">
        <v>2</v>
      </c>
      <c r="G405">
        <v>1</v>
      </c>
      <c r="H405" t="s">
        <v>3710</v>
      </c>
      <c r="I405">
        <v>1</v>
      </c>
      <c r="J405">
        <v>1</v>
      </c>
      <c r="K405">
        <v>1</v>
      </c>
      <c r="L405">
        <v>1</v>
      </c>
      <c r="M405">
        <v>0</v>
      </c>
    </row>
    <row r="406" spans="1:13" x14ac:dyDescent="0.25">
      <c r="A406" t="s">
        <v>3664</v>
      </c>
      <c r="B406" t="s">
        <v>3664</v>
      </c>
      <c r="C406" t="s">
        <v>3662</v>
      </c>
      <c r="D406" t="s">
        <v>3663</v>
      </c>
      <c r="E406" t="s">
        <v>385</v>
      </c>
      <c r="F406">
        <v>1</v>
      </c>
      <c r="G406">
        <v>1</v>
      </c>
      <c r="H406" t="s">
        <v>3714</v>
      </c>
      <c r="I406">
        <v>1</v>
      </c>
      <c r="J406">
        <v>1</v>
      </c>
      <c r="K406">
        <v>1</v>
      </c>
      <c r="L406">
        <v>1</v>
      </c>
      <c r="M406">
        <v>1</v>
      </c>
    </row>
    <row r="407" spans="1:13" x14ac:dyDescent="0.25">
      <c r="A407" t="s">
        <v>3667</v>
      </c>
      <c r="B407" t="s">
        <v>3667</v>
      </c>
      <c r="C407" t="s">
        <v>3665</v>
      </c>
      <c r="D407" t="s">
        <v>3666</v>
      </c>
      <c r="E407" t="s">
        <v>379</v>
      </c>
      <c r="F407">
        <v>1</v>
      </c>
      <c r="G407">
        <v>0</v>
      </c>
      <c r="H407" t="s">
        <v>3713</v>
      </c>
      <c r="I407">
        <v>0</v>
      </c>
      <c r="J407">
        <v>1</v>
      </c>
      <c r="K407">
        <v>1</v>
      </c>
      <c r="L407">
        <v>1</v>
      </c>
      <c r="M407">
        <v>1</v>
      </c>
    </row>
    <row r="408" spans="1:13" x14ac:dyDescent="0.25">
      <c r="A408" t="s">
        <v>3670</v>
      </c>
      <c r="B408" t="s">
        <v>3670</v>
      </c>
      <c r="C408" t="s">
        <v>3668</v>
      </c>
      <c r="D408" t="s">
        <v>3669</v>
      </c>
      <c r="E408" t="s">
        <v>384</v>
      </c>
      <c r="F408">
        <v>2</v>
      </c>
      <c r="G408">
        <v>0</v>
      </c>
      <c r="H408" t="s">
        <v>3709</v>
      </c>
      <c r="I408">
        <v>1</v>
      </c>
      <c r="J408">
        <v>1</v>
      </c>
      <c r="K408">
        <v>1</v>
      </c>
      <c r="L408">
        <v>1</v>
      </c>
      <c r="M408">
        <v>0</v>
      </c>
    </row>
    <row r="409" spans="1:13" x14ac:dyDescent="0.25">
      <c r="A409" t="s">
        <v>3673</v>
      </c>
      <c r="B409" t="s">
        <v>3673</v>
      </c>
      <c r="C409" t="s">
        <v>3671</v>
      </c>
      <c r="D409" t="s">
        <v>3672</v>
      </c>
      <c r="E409" t="s">
        <v>372</v>
      </c>
      <c r="F409">
        <v>1</v>
      </c>
      <c r="G409">
        <v>0</v>
      </c>
      <c r="H409" t="s">
        <v>3713</v>
      </c>
      <c r="I409">
        <v>0</v>
      </c>
      <c r="J409">
        <v>0</v>
      </c>
      <c r="K409">
        <v>0</v>
      </c>
      <c r="L409">
        <v>0</v>
      </c>
      <c r="M409">
        <v>1</v>
      </c>
    </row>
    <row r="410" spans="1:13" x14ac:dyDescent="0.25">
      <c r="A410" t="s">
        <v>3676</v>
      </c>
      <c r="B410" t="s">
        <v>3676</v>
      </c>
      <c r="C410" t="s">
        <v>3674</v>
      </c>
      <c r="D410" t="s">
        <v>3675</v>
      </c>
      <c r="E410" t="s">
        <v>384</v>
      </c>
      <c r="F410">
        <v>2</v>
      </c>
      <c r="G410">
        <v>0</v>
      </c>
      <c r="H410" t="s">
        <v>3709</v>
      </c>
      <c r="I410">
        <v>1</v>
      </c>
      <c r="J410">
        <v>1</v>
      </c>
      <c r="K410">
        <v>1</v>
      </c>
      <c r="L410">
        <v>1</v>
      </c>
      <c r="M410">
        <v>0</v>
      </c>
    </row>
    <row r="411" spans="1:13" x14ac:dyDescent="0.25">
      <c r="A411" t="s">
        <v>3679</v>
      </c>
      <c r="B411" t="s">
        <v>3679</v>
      </c>
      <c r="C411" t="s">
        <v>3677</v>
      </c>
      <c r="D411" t="s">
        <v>3678</v>
      </c>
      <c r="E411" t="s">
        <v>384</v>
      </c>
      <c r="F411">
        <v>2</v>
      </c>
      <c r="G411">
        <v>1</v>
      </c>
      <c r="H411" t="s">
        <v>3710</v>
      </c>
      <c r="I411">
        <v>1</v>
      </c>
      <c r="J411">
        <v>1</v>
      </c>
      <c r="K411">
        <v>1</v>
      </c>
      <c r="L411">
        <v>1</v>
      </c>
      <c r="M411">
        <v>0</v>
      </c>
    </row>
    <row r="412" spans="1:13" x14ac:dyDescent="0.25">
      <c r="A412" t="s">
        <v>3682</v>
      </c>
      <c r="B412" t="s">
        <v>3682</v>
      </c>
      <c r="C412" t="s">
        <v>3680</v>
      </c>
      <c r="D412" t="s">
        <v>3681</v>
      </c>
      <c r="E412" t="s">
        <v>384</v>
      </c>
      <c r="F412">
        <v>2</v>
      </c>
      <c r="G412">
        <v>1</v>
      </c>
      <c r="H412" t="s">
        <v>3710</v>
      </c>
      <c r="I412">
        <v>0</v>
      </c>
      <c r="J412">
        <v>1</v>
      </c>
      <c r="K412">
        <v>1</v>
      </c>
      <c r="L412">
        <v>1</v>
      </c>
      <c r="M412">
        <v>0</v>
      </c>
    </row>
    <row r="413" spans="1:13" x14ac:dyDescent="0.25">
      <c r="A413" t="s">
        <v>3685</v>
      </c>
      <c r="B413" t="s">
        <v>3685</v>
      </c>
      <c r="C413" t="s">
        <v>3683</v>
      </c>
      <c r="D413" t="s">
        <v>3684</v>
      </c>
      <c r="E413" t="s">
        <v>384</v>
      </c>
      <c r="F413">
        <v>2</v>
      </c>
      <c r="G413">
        <v>0</v>
      </c>
      <c r="H413" t="s">
        <v>3709</v>
      </c>
      <c r="I413">
        <v>0</v>
      </c>
      <c r="J413">
        <v>1</v>
      </c>
      <c r="K413">
        <v>1</v>
      </c>
      <c r="L413">
        <v>1</v>
      </c>
      <c r="M413">
        <v>0</v>
      </c>
    </row>
    <row r="414" spans="1:13" x14ac:dyDescent="0.25">
      <c r="A414" t="s">
        <v>3688</v>
      </c>
      <c r="B414" t="s">
        <v>3688</v>
      </c>
      <c r="C414" t="s">
        <v>3686</v>
      </c>
      <c r="D414" t="s">
        <v>3687</v>
      </c>
      <c r="E414" t="s">
        <v>385</v>
      </c>
      <c r="F414">
        <v>1</v>
      </c>
      <c r="G414">
        <v>0</v>
      </c>
      <c r="H414" t="s">
        <v>3713</v>
      </c>
      <c r="I414">
        <v>0</v>
      </c>
      <c r="J414">
        <v>1</v>
      </c>
      <c r="K414">
        <v>1</v>
      </c>
      <c r="L414">
        <v>1</v>
      </c>
      <c r="M414">
        <v>1</v>
      </c>
    </row>
    <row r="415" spans="1:13" x14ac:dyDescent="0.25">
      <c r="A415" t="s">
        <v>3691</v>
      </c>
      <c r="B415" t="s">
        <v>3691</v>
      </c>
      <c r="C415" t="s">
        <v>3689</v>
      </c>
      <c r="D415" t="s">
        <v>3690</v>
      </c>
      <c r="E415" t="s">
        <v>382</v>
      </c>
      <c r="F415">
        <v>5</v>
      </c>
      <c r="G415">
        <v>0</v>
      </c>
      <c r="H415" t="s">
        <v>3719</v>
      </c>
      <c r="I415">
        <v>0</v>
      </c>
      <c r="J415">
        <v>0</v>
      </c>
      <c r="K415">
        <v>0</v>
      </c>
      <c r="L415">
        <v>0</v>
      </c>
      <c r="M415">
        <v>0</v>
      </c>
    </row>
    <row r="416" spans="1:13" x14ac:dyDescent="0.25">
      <c r="A416" t="s">
        <v>3694</v>
      </c>
      <c r="B416" t="s">
        <v>3694</v>
      </c>
      <c r="C416" t="s">
        <v>3692</v>
      </c>
      <c r="D416" t="s">
        <v>3693</v>
      </c>
      <c r="E416" t="s">
        <v>381</v>
      </c>
      <c r="F416">
        <v>8</v>
      </c>
      <c r="G416">
        <v>1</v>
      </c>
      <c r="H416" t="s">
        <v>3745</v>
      </c>
      <c r="I416">
        <v>0</v>
      </c>
      <c r="J416">
        <v>0</v>
      </c>
      <c r="K416">
        <v>0</v>
      </c>
      <c r="L416">
        <v>0</v>
      </c>
      <c r="M416">
        <v>0</v>
      </c>
    </row>
  </sheetData>
  <sheetProtection sheet="1" objects="1" scenarios="1"/>
  <autoFilter ref="A1:M416" xr:uid="{FFE73193-4654-4A22-AC9A-27BB51A7BDF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7558-E639-4CFA-94FD-BE1B1605420A}">
  <sheetPr codeName="Sheet18">
    <tabColor theme="5" tint="0.59999389629810485"/>
  </sheetPr>
  <dimension ref="A1:A13"/>
  <sheetViews>
    <sheetView workbookViewId="0">
      <selection activeCell="B1" sqref="B1:L1"/>
    </sheetView>
  </sheetViews>
  <sheetFormatPr defaultRowHeight="12.5" x14ac:dyDescent="0.25"/>
  <sheetData>
    <row r="1" spans="1:1" ht="15.5" x14ac:dyDescent="0.35">
      <c r="A1" s="445" t="s">
        <v>3749</v>
      </c>
    </row>
    <row r="3" spans="1:1" ht="13" x14ac:dyDescent="0.3">
      <c r="A3" s="315" t="s">
        <v>25</v>
      </c>
    </row>
    <row r="4" spans="1:1" x14ac:dyDescent="0.25">
      <c r="A4" t="s">
        <v>3750</v>
      </c>
    </row>
    <row r="5" spans="1:1" x14ac:dyDescent="0.25">
      <c r="A5" t="s">
        <v>3751</v>
      </c>
    </row>
    <row r="8" spans="1:1" ht="13" x14ac:dyDescent="0.3">
      <c r="A8" s="315" t="s">
        <v>25</v>
      </c>
    </row>
    <row r="9" spans="1:1" x14ac:dyDescent="0.25">
      <c r="A9" t="s">
        <v>3752</v>
      </c>
    </row>
    <row r="10" spans="1:1" x14ac:dyDescent="0.25">
      <c r="A10" t="s">
        <v>3753</v>
      </c>
    </row>
    <row r="11" spans="1:1" x14ac:dyDescent="0.25">
      <c r="A11" t="s">
        <v>3754</v>
      </c>
    </row>
    <row r="12" spans="1:1" x14ac:dyDescent="0.25">
      <c r="A12" t="s">
        <v>3755</v>
      </c>
    </row>
    <row r="13" spans="1:1" x14ac:dyDescent="0.25">
      <c r="A13" t="s">
        <v>454</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38C4-82D8-4336-8C9E-75306EE49FDD}">
  <sheetPr codeName="Sheet21">
    <tabColor theme="5" tint="0.59999389629810485"/>
  </sheetPr>
  <dimension ref="A1:V18"/>
  <sheetViews>
    <sheetView workbookViewId="0">
      <selection activeCell="B1" sqref="B1:L1"/>
    </sheetView>
  </sheetViews>
  <sheetFormatPr defaultRowHeight="12.5" x14ac:dyDescent="0.25"/>
  <cols>
    <col min="1" max="22" width="12.54296875" customWidth="1"/>
  </cols>
  <sheetData>
    <row r="1" spans="1:22"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row>
    <row r="2" spans="1:22" s="1063" customFormat="1" ht="117" x14ac:dyDescent="0.3">
      <c r="A2" s="1085" t="s">
        <v>3756</v>
      </c>
      <c r="B2" s="1063" t="s">
        <v>3757</v>
      </c>
      <c r="C2" s="1063" t="s">
        <v>3758</v>
      </c>
      <c r="D2" s="1063" t="s">
        <v>3759</v>
      </c>
      <c r="E2" s="1063" t="s">
        <v>3760</v>
      </c>
      <c r="F2" s="1063" t="s">
        <v>3761</v>
      </c>
      <c r="G2" s="1063" t="s">
        <v>3762</v>
      </c>
      <c r="H2" s="1063" t="s">
        <v>3763</v>
      </c>
      <c r="I2" s="1063" t="s">
        <v>3764</v>
      </c>
      <c r="J2" s="1063" t="s">
        <v>3765</v>
      </c>
      <c r="K2" s="1063" t="s">
        <v>3766</v>
      </c>
      <c r="L2" s="1063" t="s">
        <v>3767</v>
      </c>
      <c r="M2" s="1063" t="s">
        <v>3768</v>
      </c>
      <c r="N2" s="1063" t="s">
        <v>3769</v>
      </c>
      <c r="O2" s="1063" t="s">
        <v>3770</v>
      </c>
      <c r="P2" s="1063" t="s">
        <v>3771</v>
      </c>
      <c r="Q2" s="1063" t="s">
        <v>3772</v>
      </c>
      <c r="R2" s="1063" t="s">
        <v>3773</v>
      </c>
      <c r="S2" s="1063" t="s">
        <v>3774</v>
      </c>
      <c r="T2" s="1063" t="s">
        <v>3775</v>
      </c>
      <c r="U2" s="1063" t="s">
        <v>3776</v>
      </c>
      <c r="V2" s="1063" t="s">
        <v>3777</v>
      </c>
    </row>
    <row r="3" spans="1:22" s="1063" customFormat="1" ht="33" customHeight="1" x14ac:dyDescent="0.3">
      <c r="A3" s="1084">
        <f>VLOOKUP(LA_code,'LA List'!$C$2:$F$416,3,0)</f>
        <v>0</v>
      </c>
      <c r="B3" s="1084" t="e">
        <f>VLOOKUP(VLOOKUP(LA_code,'LA List'!$C$3:$E$416,3,0),'Class check validations'!$A$4:$V$18,B1,0)</f>
        <v>#N/A</v>
      </c>
      <c r="C3" s="1084" t="e">
        <f>VLOOKUP(VLOOKUP(LA_code,'LA List'!$C$3:$E$416,3,0),'Class check validations'!$A$4:$V$18,C1,0)</f>
        <v>#N/A</v>
      </c>
      <c r="D3" s="1084" t="e">
        <f>VLOOKUP(VLOOKUP(LA_code,'LA List'!$C$3:$E$416,3,0),'Class check validations'!$A$4:$V$18,D1,0)</f>
        <v>#N/A</v>
      </c>
      <c r="E3" s="1084" t="e">
        <f>VLOOKUP(VLOOKUP(LA_code,'LA List'!$C$3:$E$416,3,0),'Class check validations'!$A$4:$V$18,E1,0)</f>
        <v>#N/A</v>
      </c>
      <c r="F3" s="1084" t="e">
        <f>VLOOKUP(VLOOKUP(LA_code,'LA List'!$C$3:$E$416,3,0),'Class check validations'!$A$4:$V$18,F1,0)</f>
        <v>#N/A</v>
      </c>
      <c r="G3" s="1084" t="e">
        <f>VLOOKUP(VLOOKUP(LA_code,'LA List'!$C$3:$E$416,3,0),'Class check validations'!$A$4:$V$18,G1,0)</f>
        <v>#N/A</v>
      </c>
      <c r="H3" s="1084" t="e">
        <f>VLOOKUP(VLOOKUP(LA_code,'LA List'!$C$3:$E$416,3,0),'Class check validations'!$A$4:$V$18,H1,0)</f>
        <v>#N/A</v>
      </c>
      <c r="I3" s="1084" t="e">
        <f>VLOOKUP(VLOOKUP(LA_code,'LA List'!$C$3:$E$416,3,0),'Class check validations'!$A$4:$V$18,I1,0)</f>
        <v>#N/A</v>
      </c>
      <c r="J3" s="1084" t="e">
        <f>VLOOKUP(VLOOKUP(LA_code,'LA List'!$C$3:$E$416,3,0),'Class check validations'!$A$4:$V$18,J1,0)</f>
        <v>#N/A</v>
      </c>
      <c r="K3" s="1084" t="e">
        <f>VLOOKUP(VLOOKUP(LA_code,'LA List'!$C$3:$E$416,3,0),'Class check validations'!$A$4:$V$18,K1,0)</f>
        <v>#N/A</v>
      </c>
      <c r="L3" s="1084" t="e">
        <f>VLOOKUP(VLOOKUP(LA_code,'LA List'!$C$3:$E$416,3,0),'Class check validations'!$A$4:$V$18,L1,0)</f>
        <v>#N/A</v>
      </c>
      <c r="M3" s="1084" t="e">
        <f>VLOOKUP(VLOOKUP(LA_code,'LA List'!$C$3:$E$416,3,0),'Class check validations'!$A$4:$V$18,M1,0)</f>
        <v>#N/A</v>
      </c>
      <c r="N3" s="1084" t="e">
        <f>VLOOKUP(VLOOKUP(LA_code,'LA List'!$C$3:$E$416,3,0),'Class check validations'!$A$4:$V$18,N1,0)</f>
        <v>#N/A</v>
      </c>
      <c r="O3" s="1084" t="e">
        <f>VLOOKUP(VLOOKUP(LA_code,'LA List'!$C$3:$E$416,3,0),'Class check validations'!$A$4:$V$18,O1,0)</f>
        <v>#N/A</v>
      </c>
      <c r="P3" s="1084" t="e">
        <f>VLOOKUP(VLOOKUP(LA_code,'LA List'!$C$3:$E$416,3,0),'Class check validations'!$A$4:$V$18,P1,0)</f>
        <v>#N/A</v>
      </c>
      <c r="Q3" s="1084" t="e">
        <f>VLOOKUP(VLOOKUP(LA_code,'LA List'!$C$3:$E$416,3,0),'Class check validations'!$A$4:$V$18,Q1,0)</f>
        <v>#N/A</v>
      </c>
      <c r="R3" s="1084" t="e">
        <f>VLOOKUP(VLOOKUP(LA_code,'LA List'!$C$3:$E$416,3,0),'Class check validations'!$A$4:$V$18,R1,0)</f>
        <v>#N/A</v>
      </c>
      <c r="S3" s="1084" t="e">
        <f>VLOOKUP(VLOOKUP(LA_code,'LA List'!$C$3:$E$416,3,0),'Class check validations'!$A$4:$V$18,S1,0)</f>
        <v>#N/A</v>
      </c>
      <c r="T3" s="1084" t="e">
        <f>VLOOKUP(VLOOKUP(LA_code,'LA List'!$C$3:$E$416,3,0),'Class check validations'!$A$4:$V$18,T1,0)</f>
        <v>#N/A</v>
      </c>
      <c r="U3" s="1084" t="e">
        <f>VLOOKUP(VLOOKUP(LA_code,'LA List'!$C$3:$E$416,3,0),'Class check validations'!$A$4:$V$18,U1,0)</f>
        <v>#N/A</v>
      </c>
      <c r="V3" s="1084" t="e">
        <f>VLOOKUP(VLOOKUP(LA_code,'LA List'!$C$3:$E$416,3,0),'Class check validations'!$A$4:$V$18,V1,0)</f>
        <v>#N/A</v>
      </c>
    </row>
    <row r="4" spans="1:22" ht="13" x14ac:dyDescent="0.3">
      <c r="A4" s="315" t="s">
        <v>372</v>
      </c>
      <c r="B4" t="str">
        <f>IF(RS!F30&lt;&gt;0,"","Entry expected for your class")</f>
        <v>Entry expected for your class</v>
      </c>
      <c r="C4" t="str">
        <f>IF(RS!F31&lt;&gt;0,"","Entry expected for your class")</f>
        <v>Entry expected for your class</v>
      </c>
      <c r="D4" t="str">
        <f>IF(RS!F32&lt;&gt;0,"","Entry expected for your class")</f>
        <v>Entry expected for your class</v>
      </c>
      <c r="E4" t="str">
        <f>IF(RS!F33&lt;&gt;0,"","Entry expected for your class")</f>
        <v>Entry expected for your class</v>
      </c>
      <c r="F4" t="s">
        <v>253</v>
      </c>
      <c r="G4" t="str">
        <f>IF(RS!F36&lt;&gt;0,"","Entry expected for your class")</f>
        <v>Entry expected for your class</v>
      </c>
      <c r="H4" t="str">
        <f>IF(RS!F37&lt;&gt;0,"","Entry expected for your class")</f>
        <v>Entry expected for your class</v>
      </c>
      <c r="I4" t="str">
        <f>IF(RS!F38&lt;&gt;0,"","Entry expected for your class")</f>
        <v>Entry expected for your class</v>
      </c>
      <c r="J4" t="s">
        <v>253</v>
      </c>
      <c r="K4" t="s">
        <v>253</v>
      </c>
      <c r="L4" t="str">
        <f>IF(RS!F53=0,"","Zero entry expected for your class")</f>
        <v/>
      </c>
      <c r="M4" t="str">
        <f>IF(RS!F54=0,"","Zero entry expected for your class")</f>
        <v/>
      </c>
      <c r="N4" t="str">
        <f>IF(RS!F55=0,"","Zero entry expected for your class")</f>
        <v/>
      </c>
      <c r="O4" t="str">
        <f>IF(RS!F49=0,"","WARNING: Col 1 - Zero entry expected for your class")</f>
        <v/>
      </c>
      <c r="P4" t="str">
        <f>IF(RS!F45=0,"","Zero entry expected for your class")</f>
        <v/>
      </c>
      <c r="Q4" t="str">
        <f>IF(RS!F46=0,"","Zero entry expected for your class")</f>
        <v/>
      </c>
      <c r="R4" t="str">
        <f>IF(RS!F47=0,"","Zero entry expected for your class")</f>
        <v/>
      </c>
      <c r="S4" t="str">
        <f>IF(RS!F65&gt;0,"","Greater than zero expected for your class")</f>
        <v>Greater than zero expected for your class</v>
      </c>
      <c r="T4" t="str">
        <f>IF(RS!F120&gt;0,"","WARNING: Col 1 - Greater than zero expected for your class")</f>
        <v/>
      </c>
      <c r="U4" t="e">
        <f>IF(RS!F124&gt;0,"","WARNING: Col 1 - Greater than zero expected for your class")</f>
        <v>#N/A</v>
      </c>
      <c r="V4" t="str">
        <f>IF(RS!F133&gt;0,"","WARNING: Col 1 - Greater than zero expected for your class")</f>
        <v>WARNING: Col 1 - Greater than zero expected for your class</v>
      </c>
    </row>
    <row r="5" spans="1:22" ht="13" x14ac:dyDescent="0.3">
      <c r="A5" s="315" t="s">
        <v>373</v>
      </c>
      <c r="B5" t="str">
        <f>IF(RS!F30=0,"","Zero entry expected for your class")</f>
        <v/>
      </c>
      <c r="C5" t="str">
        <f>IF(RS!F31=0,"","Zero entry expected for your class")</f>
        <v/>
      </c>
      <c r="D5" t="str">
        <f>IF(RS!F32=0,"","Zero entry expected for your class")</f>
        <v/>
      </c>
      <c r="E5" t="str">
        <f>IF(RS!F33=0,"","Zero entry expected for your class")</f>
        <v/>
      </c>
      <c r="F5" t="str">
        <f>IF(RS!F35=0,"","Zero entry expected for your class")</f>
        <v/>
      </c>
      <c r="G5" t="str">
        <f>IF(RS!F36=0,"","Zero entry expected for your class")</f>
        <v/>
      </c>
      <c r="H5" t="s">
        <v>253</v>
      </c>
      <c r="I5" t="str">
        <f>IF(RS!F38=0,"","Zero entry expected for your class")</f>
        <v/>
      </c>
      <c r="J5" t="str">
        <f>IF(RS!F39=0,"","Zero entry expected for your class")</f>
        <v/>
      </c>
      <c r="K5" t="str">
        <f>IF(RS!F40&lt;&gt;0,"","Entry expected for your class")</f>
        <v>Entry expected for your class</v>
      </c>
      <c r="L5" t="str">
        <f>IF(RS!F53=0,"","Zero entry expected for your class")</f>
        <v/>
      </c>
      <c r="M5" t="str">
        <f>IF(RS!F54=0,"","Zero entry expected for your class")</f>
        <v/>
      </c>
      <c r="N5" t="str">
        <f>IF(RS!F55=0,"","Zero entry expected for your class")</f>
        <v/>
      </c>
      <c r="O5" t="str">
        <f>IF(RS!F49=0,"","WARNING: Col 1 - Zero entry expected for your class")</f>
        <v/>
      </c>
      <c r="P5" t="str">
        <f>IF(RS!F45=0,"","Zero entry expected for your class")</f>
        <v/>
      </c>
      <c r="Q5" t="str">
        <f>IF(RS!F46=0,"","Zero entry expected for your class")</f>
        <v/>
      </c>
      <c r="R5" t="str">
        <f>IF(RS!F47=0,"","Zero entry expected for your class")</f>
        <v/>
      </c>
      <c r="S5" t="str">
        <f>IF(RS!F65=0,"","Zero entry expected for your class")</f>
        <v/>
      </c>
      <c r="T5" t="str">
        <f>IF(RS!F120=0,"","WARNING: Col 1 - Zero entry expected for your class")</f>
        <v>WARNING: Col 1 - Zero entry expected for your class</v>
      </c>
      <c r="U5" t="e">
        <f>IF(RS!F124&gt;=0,"","WARNING: Col 1 - Greater than or equal to zero expected for your class")</f>
        <v>#N/A</v>
      </c>
      <c r="V5" t="str">
        <f>IF(RS!F133&gt;=0,"","WARNING: Col 1 - Greater than or equal to zero expected for your class")</f>
        <v/>
      </c>
    </row>
    <row r="6" spans="1:22" ht="13" x14ac:dyDescent="0.3">
      <c r="A6" s="315" t="s">
        <v>374</v>
      </c>
      <c r="B6" t="str">
        <f>IF(RS!F30&lt;&gt;0,"","Entry expected for your class")</f>
        <v>Entry expected for your class</v>
      </c>
      <c r="C6" t="str">
        <f>IF(RS!F31&lt;&gt;0,"","Entry expected for your class")</f>
        <v>Entry expected for your class</v>
      </c>
      <c r="D6" t="str">
        <f>IF(RS!F32&lt;&gt;0,"","Entry expected for your class")</f>
        <v>Entry expected for your class</v>
      </c>
      <c r="E6" t="str">
        <f>IF(RS!F33&lt;&gt;0,"","Entry expected for your class")</f>
        <v>Entry expected for your class</v>
      </c>
      <c r="F6" t="s">
        <v>253</v>
      </c>
      <c r="G6" t="str">
        <f>IF(RS!F36&lt;&gt;0,"","Entry expected for your class")</f>
        <v>Entry expected for your class</v>
      </c>
      <c r="H6" t="s">
        <v>253</v>
      </c>
      <c r="I6" t="str">
        <f>IF(RS!F38&lt;&gt;0,"","Entry expected for your class")</f>
        <v>Entry expected for your class</v>
      </c>
      <c r="J6" t="str">
        <f>IF(RS!F39&lt;&gt;0,"","Entry expected for your class")</f>
        <v>Entry expected for your class</v>
      </c>
      <c r="K6" t="str">
        <f>IF(RS!F40=0,"","Zero entry expected for your class")</f>
        <v/>
      </c>
      <c r="L6" t="str">
        <f>IF(RS!F53=0,"","Zero entry expected for your class")</f>
        <v/>
      </c>
      <c r="M6" t="str">
        <f>IF(RS!F54=0,"","Zero entry expected for your class")</f>
        <v/>
      </c>
      <c r="N6" t="str">
        <f>IF(RS!F55&gt;0,"","Greater than zero expected for your class")</f>
        <v>Greater than zero expected for your class</v>
      </c>
      <c r="O6" t="s">
        <v>253</v>
      </c>
      <c r="P6" t="str">
        <f>IF(RS!F45&gt;0,"","Greater than zero expected for your class")</f>
        <v>Greater than zero expected for your class</v>
      </c>
      <c r="Q6" t="s">
        <v>253</v>
      </c>
      <c r="R6" t="str">
        <f>IF(RS!F47&gt;0,"","Greater than zero expected for your class")</f>
        <v>Greater than zero expected for your class</v>
      </c>
      <c r="S6" t="str">
        <f>IF(RS!F65&gt;0,"","Greater than zero expected for your class")</f>
        <v>Greater than zero expected for your class</v>
      </c>
      <c r="T6" t="str">
        <f>IF(RS!F120&gt;0,"","WARNING: Col 1 - Greater than zero expected for your class")</f>
        <v/>
      </c>
      <c r="U6" t="e">
        <f>IF(RS!F124&gt;0,"","WARNING: Col 1 - Greater than zero expected for your class")</f>
        <v>#N/A</v>
      </c>
      <c r="V6" t="str">
        <f>IF(RS!F133&gt;0,"","WARNING: Col 1 - Greater than zero expected for your class")</f>
        <v>WARNING: Col 1 - Greater than zero expected for your class</v>
      </c>
    </row>
    <row r="7" spans="1:22" ht="13" x14ac:dyDescent="0.3">
      <c r="A7" s="315" t="s">
        <v>375</v>
      </c>
      <c r="B7" t="str">
        <f>IF(RS!F30=0,"","Zero entry expected for your class")</f>
        <v/>
      </c>
      <c r="C7" t="str">
        <f>IF(RS!F31=0,"","Zero entry expected for your class")</f>
        <v/>
      </c>
      <c r="D7" t="str">
        <f>IF(RS!F32=0,"","Zero entry expected for your class")</f>
        <v/>
      </c>
      <c r="E7" t="str">
        <f>IF(RS!F33=0,"","Zero entry expected for your class")</f>
        <v/>
      </c>
      <c r="F7" t="str">
        <f>IF(RS!F35=0,"","Zero entry expected for your class")</f>
        <v/>
      </c>
      <c r="G7" t="str">
        <f>IF(RS!F36=0,"","Zero entry expected for your class")</f>
        <v/>
      </c>
      <c r="H7" t="s">
        <v>253</v>
      </c>
      <c r="I7" t="str">
        <f>IF(RS!F38=0,"","Zero entry expected for your class")</f>
        <v/>
      </c>
      <c r="J7" t="str">
        <f>IF(RS!F39&lt;&gt;0,"","Entry expected for your class")</f>
        <v>Entry expected for your class</v>
      </c>
      <c r="K7" t="str">
        <f>IF(RS!F40=0,"","Zero entry expected for your class")</f>
        <v/>
      </c>
      <c r="L7" t="str">
        <f>IF(RS!F53=0,"","Zero entry expected for your class")</f>
        <v/>
      </c>
      <c r="M7" t="str">
        <f>IF(RS!F54=0,"","Zero entry expected for your class")</f>
        <v/>
      </c>
      <c r="N7" t="str">
        <f>IF(RS!F55=0,"","Zero entry expected for your class")</f>
        <v/>
      </c>
      <c r="O7" t="str">
        <f>IF(RS!F49=0,"","WARNING: Col 1 - Zero entry expected for your class")</f>
        <v/>
      </c>
      <c r="P7" t="str">
        <f>IF(RS!F45=0,"","Zero entry expected for your class")</f>
        <v/>
      </c>
      <c r="Q7" t="str">
        <f>IF(RS!F46=0,"","Zero entry expected for your class")</f>
        <v/>
      </c>
      <c r="R7" t="str">
        <f>IF(RS!F47=0,"","Zero entry expected for your class")</f>
        <v/>
      </c>
      <c r="S7" t="str">
        <f>IF(RS!F65=0,"","Zero entry expected for your class")</f>
        <v/>
      </c>
      <c r="T7" t="str">
        <f>IF(RS!F120=0,"","WARNING: Col 1 - Zero entry expected for your class")</f>
        <v>WARNING: Col 1 - Zero entry expected for your class</v>
      </c>
      <c r="U7" t="e">
        <f>IF(RS!F124&gt;=0,"","WARNING: Col 1 - Greater than or equal to zero expected for your class")</f>
        <v>#N/A</v>
      </c>
      <c r="V7" t="str">
        <f>IF(RS!F133&gt;=0,"","WARNING: Col 1 - Greater than or equal to zero expected for your class")</f>
        <v/>
      </c>
    </row>
    <row r="8" spans="1:22" ht="13" x14ac:dyDescent="0.3">
      <c r="A8" s="315" t="s">
        <v>376</v>
      </c>
      <c r="B8" t="str">
        <f>IF(RS!F30=0,"","Zero entry expected for your class")</f>
        <v/>
      </c>
      <c r="C8" t="str">
        <f>IF(RS!F31=0,"","Zero entry expected for your class")</f>
        <v/>
      </c>
      <c r="D8" t="str">
        <f>IF(RS!F32=0,"","Zero entry expected for your class")</f>
        <v/>
      </c>
      <c r="E8" t="str">
        <f>IF(RS!F33=0,"","Zero entry expected for your class")</f>
        <v/>
      </c>
      <c r="F8" t="str">
        <f>IF(RS!F35=0,"","Zero entry expected for your class")</f>
        <v/>
      </c>
      <c r="G8" t="str">
        <f>IF(RS!F36=0,"","Zero entry expected for your class")</f>
        <v/>
      </c>
      <c r="H8" t="s">
        <v>253</v>
      </c>
      <c r="I8" t="str">
        <f>IF(RS!F38=0,"","Zero entry expected for your class")</f>
        <v/>
      </c>
      <c r="J8" t="str">
        <f>IF(RS!F39=0,"","Zero entry expected for your class")</f>
        <v/>
      </c>
      <c r="K8" t="str">
        <f>IF(RS!F40&lt;&gt;0,"","Entry expected for your class")</f>
        <v>Entry expected for your class</v>
      </c>
      <c r="L8" t="str">
        <f>IF(RS!F53=0,"","Zero entry expected for your class")</f>
        <v/>
      </c>
      <c r="M8" t="str">
        <f>IF(RS!F54=0,"","Zero entry expected for your class")</f>
        <v/>
      </c>
      <c r="N8" t="str">
        <f>IF(RS!F55=0,"","Zero entry expected for your class")</f>
        <v/>
      </c>
      <c r="O8" t="str">
        <f>IF(RS!F49=0,"","WARNING: Col 1 - Zero entry expected for your class")</f>
        <v/>
      </c>
      <c r="P8" t="str">
        <f>IF(RS!F45=0,"","Zero entry expected for your class")</f>
        <v/>
      </c>
      <c r="Q8" t="str">
        <f>IF(RS!F46=0,"","Zero entry expected for your class")</f>
        <v/>
      </c>
      <c r="R8" t="str">
        <f>IF(RS!F47=0,"","Zero entry expected for your class")</f>
        <v/>
      </c>
      <c r="S8" t="str">
        <f>IF(RS!F65=0,"","Zero entry expected for your class")</f>
        <v/>
      </c>
      <c r="T8" t="str">
        <f>IF(RS!F120=0,"","WARNING: Col 1 - Zero entry expected for your class")</f>
        <v>WARNING: Col 1 - Zero entry expected for your class</v>
      </c>
      <c r="U8" t="e">
        <f>IF(RS!F124&gt;=0,"","WARNING: Col 1 - Greater than or equal to zero expected for your class")</f>
        <v>#N/A</v>
      </c>
      <c r="V8" t="str">
        <f>IF(RS!F133&gt;=0,"","WARNING: Col 1 - Greater than or equal to zero expected for your class")</f>
        <v/>
      </c>
    </row>
    <row r="9" spans="1:22" ht="13" x14ac:dyDescent="0.3">
      <c r="A9" s="315" t="s">
        <v>377</v>
      </c>
      <c r="B9" t="str">
        <f>IF(RS!F30=0,"","Zero entry expected for your class")</f>
        <v/>
      </c>
      <c r="C9" t="str">
        <f>IF(RS!F31&lt;&gt;0,"","Entry expected for your class")</f>
        <v>Entry expected for your class</v>
      </c>
      <c r="D9" t="str">
        <f>IF(RS!F32=0,"","Zero entry expected for your class")</f>
        <v/>
      </c>
      <c r="E9" t="str">
        <f>IF(RS!F33=0,"","Zero entry expected for your class")</f>
        <v/>
      </c>
      <c r="F9" t="str">
        <f>IF(RS!F35=0,"","Zero entry expected for your class")</f>
        <v/>
      </c>
      <c r="G9" t="str">
        <f>IF(RS!F36&lt;&gt;0,"","Entry expected for your class")</f>
        <v>Entry expected for your class</v>
      </c>
      <c r="H9" t="str">
        <f>IF(RS!F37&lt;&gt;0,"","Entry expected for your class")</f>
        <v>Entry expected for your class</v>
      </c>
      <c r="I9" t="str">
        <f>IF(RS!F38&lt;&gt;0,"","Entry expected for your class")</f>
        <v>Entry expected for your class</v>
      </c>
      <c r="J9" t="str">
        <f>IF(RS!F39&lt;&gt;0,"","Entry expected for your class")</f>
        <v>Entry expected for your class</v>
      </c>
      <c r="K9" t="str">
        <f>IF(RS!F40&lt;&gt;0,"","Entry expected for your class")</f>
        <v>Entry expected for your class</v>
      </c>
      <c r="L9" t="str">
        <f>IF(RS!F53=0,"","Zero entry expected for your class")</f>
        <v/>
      </c>
      <c r="M9" t="str">
        <f>IF(RS!F54=0,"","Zero entry expected for your class")</f>
        <v/>
      </c>
      <c r="N9" t="str">
        <f>IF(RS!F55=0,"","Zero entry expected for your class")</f>
        <v/>
      </c>
      <c r="O9" t="str">
        <f>IF(RS!F49=0,"","WARNING: Col 1 - Zero entry expected for your class")</f>
        <v/>
      </c>
      <c r="P9" t="str">
        <f>IF(RS!F45=0,"","Zero entry expected for your class")</f>
        <v/>
      </c>
      <c r="Q9" t="str">
        <f>IF(RS!F46=0,"","Zero entry expected for your class")</f>
        <v/>
      </c>
      <c r="R9" t="str">
        <f>IF(RS!F47=0,"","Zero entry expected for your class")</f>
        <v/>
      </c>
      <c r="S9" t="str">
        <f>IF(RS!F65=0,"","Zero entry expected for your class")</f>
        <v/>
      </c>
      <c r="T9" t="str">
        <f>IF(RS!F120=0,"","WARNING: Col 1 - Zero entry expected for your class")</f>
        <v>WARNING: Col 1 - Zero entry expected for your class</v>
      </c>
      <c r="U9" t="e">
        <f>IF(RS!F124&gt;0,"","WARNING: Col 1 - Greater than zero expected for your class")</f>
        <v>#N/A</v>
      </c>
      <c r="V9" t="str">
        <f>IF(RS!F133&gt;0,"","WARNING: Col 1 - Greater than zero expected for your class")</f>
        <v>WARNING: Col 1 - Greater than zero expected for your class</v>
      </c>
    </row>
    <row r="10" spans="1:22" ht="13" x14ac:dyDescent="0.3">
      <c r="A10" s="315" t="s">
        <v>378</v>
      </c>
      <c r="B10" t="str">
        <f>IF(RS!F30&lt;&gt;0,"","Entry expected for your class")</f>
        <v>Entry expected for your class</v>
      </c>
      <c r="C10" t="str">
        <f>IF(RS!F31&lt;&gt;0,"","Entry expected for your class")</f>
        <v>Entry expected for your class</v>
      </c>
      <c r="D10" t="str">
        <f>IF(RS!F32&lt;&gt;0,"","Entry expected for your class")</f>
        <v>Entry expected for your class</v>
      </c>
      <c r="E10" t="str">
        <f>IF(RS!F33&lt;&gt;0,"","Entry expected for your class")</f>
        <v>Entry expected for your class</v>
      </c>
      <c r="F10" t="str">
        <f>IF(RS!F35&lt;&gt;0,"","Entry expected for your class")</f>
        <v>Entry expected for your class</v>
      </c>
      <c r="G10" t="str">
        <f>IF(RS!F36&lt;&gt;0,"","Entry expected for your class")</f>
        <v>Entry expected for your class</v>
      </c>
      <c r="H10" t="str">
        <f>IF(RS!F37&lt;&gt;0,"","Entry expected for your class")</f>
        <v>Entry expected for your class</v>
      </c>
      <c r="I10" t="str">
        <f>IF(RS!F38&lt;&gt;0,"","Entry expected for your class")</f>
        <v>Entry expected for your class</v>
      </c>
      <c r="J10" t="str">
        <f>IF(RS!F39=0,"","Zero entry expected for your class")</f>
        <v/>
      </c>
      <c r="K10" t="str">
        <f>IF(RS!F40=0,"","Zero entry expected for your class")</f>
        <v/>
      </c>
      <c r="L10" t="str">
        <f>IF(RS!F53=0,"","Zero entry expected for your class")</f>
        <v/>
      </c>
      <c r="M10" t="s">
        <v>253</v>
      </c>
      <c r="N10" t="str">
        <f>IF(RS!F55&gt;0,"","Greater than zero expected for your class")</f>
        <v>Greater than zero expected for your class</v>
      </c>
      <c r="O10" t="s">
        <v>253</v>
      </c>
      <c r="P10" t="str">
        <f>IF(RS!F45&gt;0,"","Greater than zero expected for your class")</f>
        <v>Greater than zero expected for your class</v>
      </c>
      <c r="Q10" t="str">
        <f>IF(RS!F46&gt;0,"","Greater than zero expected for your class")</f>
        <v>Greater than zero expected for your class</v>
      </c>
      <c r="R10" t="str">
        <f>IF(RS!F47&gt;0,"","Greater than zero expected for your class")</f>
        <v>Greater than zero expected for your class</v>
      </c>
      <c r="S10" t="str">
        <f>IF(RS!F65&gt;0,"","Greater than zero expected for your class")</f>
        <v>Greater than zero expected for your class</v>
      </c>
      <c r="T10" t="str">
        <f>IF(RS!F120&gt;0,"","WARNING: Col 1 - Greater than zero expected for your class")</f>
        <v/>
      </c>
      <c r="U10" t="e">
        <f>IF(RS!F124&gt;0,"","WARNING: Col 1 - Greater than zero expected for your class")</f>
        <v>#N/A</v>
      </c>
      <c r="V10" t="str">
        <f>IF(RS!F133&gt;0,"","WARNING: Col 1 - Greater than zero expected for your class")</f>
        <v>WARNING: Col 1 - Greater than zero expected for your class</v>
      </c>
    </row>
    <row r="11" spans="1:22" ht="13" x14ac:dyDescent="0.3">
      <c r="A11" s="315" t="s">
        <v>379</v>
      </c>
      <c r="B11" t="str">
        <f>IF(RS!F30&lt;&gt;0,"","Entry expected for your class")</f>
        <v>Entry expected for your class</v>
      </c>
      <c r="C11" t="str">
        <f>IF(RS!F31&lt;&gt;0,"","Entry expected for your class")</f>
        <v>Entry expected for your class</v>
      </c>
      <c r="D11" t="str">
        <f>IF(RS!F32&lt;&gt;0,"","Entry expected for your class")</f>
        <v>Entry expected for your class</v>
      </c>
      <c r="E11" t="str">
        <f>IF(RS!F33&lt;&gt;0,"","Entry expected for your class")</f>
        <v>Entry expected for your class</v>
      </c>
      <c r="F11" t="str">
        <f>IF(RS!F35&lt;&gt;0,"","Entry expected for your class")</f>
        <v>Entry expected for your class</v>
      </c>
      <c r="G11" t="str">
        <f>IF(RS!F36&lt;&gt;0,"","Entry expected for your class")</f>
        <v>Entry expected for your class</v>
      </c>
      <c r="H11" t="str">
        <f>IF(RS!F37&lt;&gt;0,"","Entry expected for your class")</f>
        <v>Entry expected for your class</v>
      </c>
      <c r="I11" t="str">
        <f>IF(RS!F38&lt;&gt;0,"","Entry expected for your class")</f>
        <v>Entry expected for your class</v>
      </c>
      <c r="J11" t="str">
        <f>IF(RS!F39=0,"","Zero entry expected for your class")</f>
        <v/>
      </c>
      <c r="K11" t="str">
        <f>IF(RS!F40=0,"","Zero entry expected for your class")</f>
        <v/>
      </c>
      <c r="L11" t="str">
        <f>IF(RS!F53&gt;0,"","Greater than zero expected for your class")</f>
        <v>Greater than zero expected for your class</v>
      </c>
      <c r="M11" t="s">
        <v>253</v>
      </c>
      <c r="N11" t="str">
        <f>IF(RS!F55=0,"","Zero entry expected for your class")</f>
        <v/>
      </c>
      <c r="O11" t="s">
        <v>253</v>
      </c>
      <c r="P11" t="str">
        <f>IF(RS!F45&gt;0,"","Greater than zero expected for your class")</f>
        <v>Greater than zero expected for your class</v>
      </c>
      <c r="Q11" t="str">
        <f>IF(RS!F46&gt;=0,"","Greater than or equal to zero expected for your class")</f>
        <v/>
      </c>
      <c r="R11" t="s">
        <v>253</v>
      </c>
      <c r="S11" t="str">
        <f>IF(RS!F65&gt;0,"","Greater than zero expected for your class")</f>
        <v>Greater than zero expected for your class</v>
      </c>
      <c r="T11" t="str">
        <f>IF(RS!F120&gt;0,"","WARNING: Col 1 - Greater than zero expected for your class")</f>
        <v/>
      </c>
      <c r="U11" t="e">
        <f>IF(RS!F124&gt;0,"","WARNING: Col 1 - Greater than zero expected for your class")</f>
        <v>#N/A</v>
      </c>
      <c r="V11" t="str">
        <f>IF(RS!F133&gt;0,"","WARNING: Col 1 - Greater than zero expected for your class")</f>
        <v>WARNING: Col 1 - Greater than zero expected for your class</v>
      </c>
    </row>
    <row r="12" spans="1:22" ht="13" x14ac:dyDescent="0.3">
      <c r="A12" s="315" t="s">
        <v>380</v>
      </c>
      <c r="B12" t="str">
        <f>IF(RS!F30&lt;&gt;0,"","Entry expected for your class")</f>
        <v>Entry expected for your class</v>
      </c>
      <c r="C12" t="str">
        <f>IF(RS!F31&lt;&gt;0,"","Entry expected for your class")</f>
        <v>Entry expected for your class</v>
      </c>
      <c r="D12" t="str">
        <f>IF(RS!F32&lt;&gt;0,"","Entry expected for your class")</f>
        <v>Entry expected for your class</v>
      </c>
      <c r="E12" t="str">
        <f>IF(RS!F33&lt;&gt;0,"","Entry expected for your class")</f>
        <v>Entry expected for your class</v>
      </c>
      <c r="F12" t="str">
        <f>IF(RS!F35&lt;&gt;0,"","Entry expected for your class")</f>
        <v>Entry expected for your class</v>
      </c>
      <c r="G12" t="str">
        <f>IF(RS!F36&lt;&gt;0,"","Entry expected for your class")</f>
        <v>Entry expected for your class</v>
      </c>
      <c r="H12" t="str">
        <f>IF(RS!F37&lt;&gt;0,"","Entry expected for your class")</f>
        <v>Entry expected for your class</v>
      </c>
      <c r="I12" t="str">
        <f>IF(RS!F38&lt;&gt;0,"","Entry expected for your class")</f>
        <v>Entry expected for your class</v>
      </c>
      <c r="J12" t="str">
        <f>IF(RS!F39=0,"","Zero entry expected for your class")</f>
        <v/>
      </c>
      <c r="K12" t="str">
        <f>IF(RS!F40=0,"","Zero entry expected for your class")</f>
        <v/>
      </c>
      <c r="L12" t="str">
        <f>IF(RS!F53=0,"","Zero entry expected for your class")</f>
        <v/>
      </c>
      <c r="M12" t="s">
        <v>253</v>
      </c>
      <c r="N12" t="str">
        <f>IF(RS!F55&gt;0,"","Greater than zero expected for your class")</f>
        <v>Greater than zero expected for your class</v>
      </c>
      <c r="O12" t="s">
        <v>253</v>
      </c>
      <c r="P12" t="str">
        <f>IF(RS!F45&gt;0,"","Greater than zero expected for your class")</f>
        <v>Greater than zero expected for your class</v>
      </c>
      <c r="Q12" t="str">
        <f>IF(RS!F46&gt;0,"","Greater than zero expected for your class")</f>
        <v>Greater than zero expected for your class</v>
      </c>
      <c r="R12" t="s">
        <v>253</v>
      </c>
      <c r="S12" t="str">
        <f>IF(RS!F65&gt;0,"","Greater than zero expected for your class")</f>
        <v>Greater than zero expected for your class</v>
      </c>
      <c r="T12" t="str">
        <f>IF(RS!F120&gt;0,"","WARNING: Col 1 - Greater than zero expected for your class")</f>
        <v/>
      </c>
      <c r="U12" t="e">
        <f>IF(RS!F124&gt;0,"","WARNING: Col 1 - Greater than zero expected for your class")</f>
        <v>#N/A</v>
      </c>
      <c r="V12" t="str">
        <f>IF(RS!F133&gt;0,"","WARNING: Col 1 - Greater than zero expected for your class")</f>
        <v>WARNING: Col 1 - Greater than zero expected for your class</v>
      </c>
    </row>
    <row r="13" spans="1:22" ht="13" x14ac:dyDescent="0.3">
      <c r="A13" s="315" t="s">
        <v>381</v>
      </c>
      <c r="B13" t="str">
        <f>IF(RS!F30=0,"","Zero entry expected for your class")</f>
        <v/>
      </c>
      <c r="C13" t="s">
        <v>253</v>
      </c>
      <c r="D13" t="str">
        <f>IF(RS!F32=0,"","Zero entry expected for your class")</f>
        <v/>
      </c>
      <c r="E13" t="str">
        <f>IF(RS!F33=0,"","Zero entry expected for your class")</f>
        <v/>
      </c>
      <c r="F13" t="str">
        <f>IF(RS!F35=0,"","Zero entry expected for your class")</f>
        <v/>
      </c>
      <c r="G13" t="str">
        <f>IF(RS!F36&lt;&gt;0,"","Entry expected for your class")</f>
        <v>Entry expected for your class</v>
      </c>
      <c r="H13" t="s">
        <v>253</v>
      </c>
      <c r="I13" t="str">
        <f>IF(RS!F38&lt;&gt;0,"","Entry expected for your class")</f>
        <v>Entry expected for your class</v>
      </c>
      <c r="J13" t="str">
        <f>IF(RS!F39=0,"","Zero entry expected for your class")</f>
        <v/>
      </c>
      <c r="K13" t="str">
        <f>IF(RS!F40=0,"","Zero entry expected for your class")</f>
        <v/>
      </c>
      <c r="L13" t="str">
        <f>IF(RS!F53=0,"","Zero entry expected for your class")</f>
        <v/>
      </c>
      <c r="M13" t="str">
        <f>IF(RS!F54=0,"","Zero entry expected for your class")</f>
        <v/>
      </c>
      <c r="N13" t="str">
        <f>IF(RS!F55=0,"","Zero entry expected for your class")</f>
        <v/>
      </c>
      <c r="O13" t="str">
        <f>IF(RS!F49=0,"","WARNING: Col 1 - Zero entry expected for your class")</f>
        <v/>
      </c>
      <c r="P13" t="str">
        <f>IF(RS!F45=0,"","Zero entry expected for your class")</f>
        <v/>
      </c>
      <c r="Q13" t="str">
        <f>IF(RS!F46=0,"","Zero entry expected for your class")</f>
        <v/>
      </c>
      <c r="R13" t="str">
        <f>IF(RS!F47=0,"","Zero entry expected for your class")</f>
        <v/>
      </c>
      <c r="S13" t="str">
        <f>IF(RS!F65=0,"","Zero entry expected for your class")</f>
        <v/>
      </c>
      <c r="T13" t="str">
        <f>IF(RS!F120=0,"","WARNING: Col 1 - Zero entry expected for your class")</f>
        <v>WARNING: Col 1 - Zero entry expected for your class</v>
      </c>
      <c r="U13" t="e">
        <f>IF(RS!F124&gt;=0,"","WARNING: Col 1 - Greater than or equal to zero expected for your class")</f>
        <v>#N/A</v>
      </c>
      <c r="V13" t="str">
        <f>IF(RS!F133&gt;=0,"","WARNING: Col 1 - Greater than or equal to zero expected for your class")</f>
        <v/>
      </c>
    </row>
    <row r="14" spans="1:22" ht="13" x14ac:dyDescent="0.3">
      <c r="A14" s="315" t="s">
        <v>382</v>
      </c>
      <c r="B14" t="str">
        <f>IF(RS!F30=0,"","Zero entry expected for your class")</f>
        <v/>
      </c>
      <c r="C14" t="str">
        <f>IF(RS!F31&lt;&gt;0,"","Entry expected for your class")</f>
        <v>Entry expected for your class</v>
      </c>
      <c r="D14" t="str">
        <f>IF(RS!F32=0,"","Zero entry expected for your class")</f>
        <v/>
      </c>
      <c r="E14" t="str">
        <f>IF(RS!F33=0,"","Zero entry expected for your class")</f>
        <v/>
      </c>
      <c r="F14" t="str">
        <f>IF(RS!F35=0,"","Zero entry expected for your class")</f>
        <v/>
      </c>
      <c r="G14" t="str">
        <f>IF(RS!F36=0,"","Zero entry expected for your class")</f>
        <v/>
      </c>
      <c r="H14" t="str">
        <f>IF(RS!F37=0,"","Zero entry expected for your class")</f>
        <v/>
      </c>
      <c r="I14" t="s">
        <v>253</v>
      </c>
      <c r="J14" t="str">
        <f>IF(RS!F39=0,"","Zero entry expected for your class")</f>
        <v/>
      </c>
      <c r="K14" t="str">
        <f>IF(RS!F40=0,"","Zero entry expected for your class")</f>
        <v/>
      </c>
      <c r="L14" t="str">
        <f>IF(RS!F53&lt;0,"","Negative entry expected for your class - also give levy breakdown in the Levy tab")</f>
        <v>Negative entry expected for your class - also give levy breakdown in the Levy tab</v>
      </c>
      <c r="N14" t="str">
        <f>IF(RS!F55=0,"","Zero entry expected for your class")</f>
        <v/>
      </c>
      <c r="O14" t="str">
        <f>IF(RS!F49=0,"","WARNING: Col 1 - Zero entry expected for your class")</f>
        <v/>
      </c>
      <c r="P14" t="str">
        <f>IF(RS!F45=0,"","Zero entry expected for your class")</f>
        <v/>
      </c>
      <c r="Q14" t="str">
        <f>IF(RS!F46=0,"","Zero entry expected for your class")</f>
        <v/>
      </c>
      <c r="R14" t="s">
        <v>253</v>
      </c>
      <c r="S14" t="str">
        <f>IF(RS!F65=0,"","Zero entry expected for your class")</f>
        <v/>
      </c>
      <c r="T14" t="str">
        <f>IF(RS!F120=0,"","WARNING: Col 1 - Zero entry expected for your class")</f>
        <v>WARNING: Col 1 - Zero entry expected for your class</v>
      </c>
      <c r="U14" t="e">
        <f>IF(RS!F124&gt;=0,"","WARNING: Col 1 - Greater than or equal to zero expected for your class")</f>
        <v>#N/A</v>
      </c>
      <c r="V14" t="str">
        <f>IF(RS!F133&gt;=0,"","WARNING: Col 1 - Greater than or equal to zero expected for your class")</f>
        <v/>
      </c>
    </row>
    <row r="15" spans="1:22" ht="13" x14ac:dyDescent="0.3">
      <c r="A15" s="315" t="s">
        <v>383</v>
      </c>
      <c r="B15" t="str">
        <f>IF(RS!F30&lt;&gt;0,"","Entry expected for your class")</f>
        <v>Entry expected for your class</v>
      </c>
      <c r="C15" t="str">
        <f>IF(RS!F31&lt;&gt;0,"","Entry expected for your class")</f>
        <v>Entry expected for your class</v>
      </c>
      <c r="D15" t="str">
        <f>IF(RS!F32&lt;&gt;0,"","Entry expected for your class")</f>
        <v>Entry expected for your class</v>
      </c>
      <c r="E15" t="str">
        <f>IF(RS!F33&lt;&gt;0,"","Entry expected for your class")</f>
        <v>Entry expected for your class</v>
      </c>
      <c r="F15" t="s">
        <v>253</v>
      </c>
      <c r="G15" t="str">
        <f>IF(RS!F36&lt;&gt;0,"","Entry expected for your class")</f>
        <v>Entry expected for your class</v>
      </c>
      <c r="H15" t="str">
        <f>IF(RS!F37&lt;&gt;0,"","Entry expected for your class")</f>
        <v>Entry expected for your class</v>
      </c>
      <c r="I15" t="str">
        <f>IF(RS!F38&lt;&gt;0,"","Entry expected for your class")</f>
        <v>Entry expected for your class</v>
      </c>
      <c r="J15" t="str">
        <f>IF(RS!F39=0,"","Zero entry expected for your class")</f>
        <v/>
      </c>
      <c r="K15" t="str">
        <f>IF(RS!F40&lt;&gt;0,"","Entry expected for your class")</f>
        <v>Entry expected for your class</v>
      </c>
      <c r="L15" t="str">
        <f>IF(RS!F53=0,"","Zero entry expected for your class")</f>
        <v/>
      </c>
      <c r="M15" t="str">
        <f>IF(RS!F54=0,"","Zero entry expected for your class")</f>
        <v/>
      </c>
      <c r="N15" t="str">
        <f>IF(RS!F55=0,"","Zero entry expected for your class")</f>
        <v/>
      </c>
      <c r="O15" t="s">
        <v>253</v>
      </c>
      <c r="P15" t="str">
        <f>IF(RS!F45&gt;0,"","Greater than zero expected for your class")</f>
        <v>Greater than zero expected for your class</v>
      </c>
      <c r="Q15" t="str">
        <f>IF(RS!F46&gt;0,"","Greater than zero expected for your class")</f>
        <v>Greater than zero expected for your class</v>
      </c>
      <c r="R15" t="str">
        <f>IF(RS!F47=0,"","Zero entry expected for your class")</f>
        <v/>
      </c>
      <c r="S15" t="str">
        <f>IF(RS!F65=0,"","Zero entry expected for your class")</f>
        <v/>
      </c>
      <c r="T15" t="str">
        <f>IF(RS!F120&gt;0,"","WARNING: Col 1 - Greater than zero expected for your class")</f>
        <v/>
      </c>
      <c r="U15" t="e">
        <f>IF(RS!F124&gt;0,"","WARNING: Col 1 - Greater than zero expected for your class")</f>
        <v>#N/A</v>
      </c>
      <c r="V15" t="str">
        <f>IF(RS!F133&gt;0,"","WARNING: Col 1 - Greater than zero expected for your class")</f>
        <v>WARNING: Col 1 - Greater than zero expected for your class</v>
      </c>
    </row>
    <row r="16" spans="1:22" ht="13" x14ac:dyDescent="0.3">
      <c r="A16" s="315" t="s">
        <v>384</v>
      </c>
      <c r="B16" t="str">
        <f>IF(RS!F30=0,"","Zero entry expected for your class")</f>
        <v/>
      </c>
      <c r="C16" t="s">
        <v>253</v>
      </c>
      <c r="D16" t="s">
        <v>253</v>
      </c>
      <c r="E16" t="s">
        <v>253</v>
      </c>
      <c r="F16" t="str">
        <f>IF(RS!F35&lt;&gt;0,"","Entry expected for your class")</f>
        <v>Entry expected for your class</v>
      </c>
      <c r="G16" t="str">
        <f>IF(RS!F36&lt;&gt;0,"","Entry expected for your class")</f>
        <v>Entry expected for your class</v>
      </c>
      <c r="H16" t="str">
        <f>IF(RS!F37&lt;&gt;0,"","Entry expected for your class")</f>
        <v>Entry expected for your class</v>
      </c>
      <c r="I16" t="str">
        <f>IF(RS!F38&lt;&gt;0,"","Entry expected for your class")</f>
        <v>Entry expected for your class</v>
      </c>
      <c r="J16" t="str">
        <f>IF(RS!F39=0,"","Zero entry expected for your class")</f>
        <v/>
      </c>
      <c r="K16" t="str">
        <f>IF(RS!F40=0,"","Zero entry expected for your class")</f>
        <v/>
      </c>
      <c r="L16" t="str">
        <f>IF(RS!F53=0,"","Zero entry expected for your class")</f>
        <v/>
      </c>
      <c r="M16" t="str">
        <f>IF(RS!F54=0,"","Zero entry expected for your class")</f>
        <v/>
      </c>
      <c r="N16" t="str">
        <f>IF(RS!F55=0,"","Zero entry expected for your class")</f>
        <v/>
      </c>
      <c r="O16" t="s">
        <v>253</v>
      </c>
      <c r="P16" t="str">
        <f>IF(RS!F45&gt;0,"","Greater than zero expected for your class")</f>
        <v>Greater than zero expected for your class</v>
      </c>
      <c r="Q16" t="str">
        <f>IF(RS!F46&gt;=0,"","Greater than or equal to zero expected for your class")</f>
        <v/>
      </c>
      <c r="R16" t="s">
        <v>253</v>
      </c>
      <c r="S16" t="str">
        <f>IF(RS!F65=0,"","Zero entry expected for your class")</f>
        <v/>
      </c>
      <c r="T16" t="str">
        <f>IF(RS!F120=0,"","WARNING: Col 1 - Zero entry expected for your class")</f>
        <v>WARNING: Col 1 - Zero entry expected for your class</v>
      </c>
      <c r="U16" t="e">
        <f>IF(RS!F124&gt;0,"","WARNING: Col 1 - Greater than zero expected for your class")</f>
        <v>#N/A</v>
      </c>
      <c r="V16" t="str">
        <f>IF(RS!F133&gt;0,"","WARNING: Col 1 - Greater than zero expected for your class")</f>
        <v>WARNING: Col 1 - Greater than zero expected for your class</v>
      </c>
    </row>
    <row r="17" spans="1:22" ht="13" x14ac:dyDescent="0.3">
      <c r="A17" s="315" t="s">
        <v>385</v>
      </c>
      <c r="B17" t="str">
        <f>IF(RS!F30&lt;&gt;0,"","Entry expected for your class")</f>
        <v>Entry expected for your class</v>
      </c>
      <c r="C17" t="str">
        <f>IF(RS!F31&lt;&gt;0,"","Entry expected for your class")</f>
        <v>Entry expected for your class</v>
      </c>
      <c r="D17" t="str">
        <f>IF(RS!F32&lt;&gt;0,"","Entry expected for your class")</f>
        <v>Entry expected for your class</v>
      </c>
      <c r="E17" t="str">
        <f>IF(RS!F33&lt;&gt;0,"","Entry expected for your class")</f>
        <v>Entry expected for your class</v>
      </c>
      <c r="F17" t="str">
        <f>IF(RS!F35&lt;&gt;0,"","Entry expected for your class")</f>
        <v>Entry expected for your class</v>
      </c>
      <c r="G17" t="str">
        <f>IF(RS!F36&lt;&gt;0,"","Entry expected for your class")</f>
        <v>Entry expected for your class</v>
      </c>
      <c r="H17" t="str">
        <f>IF(RS!F37&lt;&gt;0,"","Entry expected for your class")</f>
        <v>Entry expected for your class</v>
      </c>
      <c r="I17" t="str">
        <f>IF(RS!F38&lt;&gt;0,"","Entry expected for your class")</f>
        <v>Entry expected for your class</v>
      </c>
      <c r="J17" t="str">
        <f>IF(RS!F39=0,"","Zero entry expected for your class")</f>
        <v/>
      </c>
      <c r="K17" t="s">
        <v>253</v>
      </c>
      <c r="L17" t="str">
        <f>IF(RS!F53=0,"","Zero entry expected for your class")</f>
        <v/>
      </c>
      <c r="M17" t="str">
        <f>IF(RS!F54=0,"","Zero entry expected for your class")</f>
        <v/>
      </c>
      <c r="N17" t="str">
        <f>IF(RS!F55=0,"","Zero entry expected for your class")</f>
        <v/>
      </c>
      <c r="O17" t="s">
        <v>253</v>
      </c>
      <c r="P17" t="str">
        <f>IF(RS!F45&gt;0,"","Greater than zero expected for your class")</f>
        <v>Greater than zero expected for your class</v>
      </c>
      <c r="Q17" t="str">
        <f>IF(RS!F46&gt;=0,"","Greater than or equal to zero expected for your class")</f>
        <v/>
      </c>
      <c r="R17" t="s">
        <v>253</v>
      </c>
      <c r="S17" t="str">
        <f>IF(RS!F65&gt;0,"","Greater than zero expected for your class")</f>
        <v>Greater than zero expected for your class</v>
      </c>
      <c r="T17" t="str">
        <f>IF(RS!F120&gt;0,"","WARNING: Col 1 - Greater than zero expected for your class")</f>
        <v/>
      </c>
      <c r="U17" t="e">
        <f>IF(RS!F124&gt;0,"","WARNING: Col 1 - Greater than zero expected for your class")</f>
        <v>#N/A</v>
      </c>
      <c r="V17" t="str">
        <f>IF(RS!F133&gt;0,"","WARNING: Col 1 - Greater than zero expected for your class")</f>
        <v>WARNING: Col 1 - Greater than zero expected for your class</v>
      </c>
    </row>
    <row r="18" spans="1:22" ht="13" x14ac:dyDescent="0.3">
      <c r="A18" s="315" t="s">
        <v>386</v>
      </c>
      <c r="B18" t="str">
        <f>IF(RS!F30=0,"","Zero entry expected for your class")</f>
        <v/>
      </c>
      <c r="C18" t="str">
        <f>IF(RS!F31=0,"","Zero entry expected for your class")</f>
        <v/>
      </c>
      <c r="D18" t="str">
        <f>IF(RS!F32=0,"","Zero entry expected for your class")</f>
        <v/>
      </c>
      <c r="E18" t="str">
        <f>IF(RS!F33=0,"","Zero entry expected for your class")</f>
        <v/>
      </c>
      <c r="F18" t="str">
        <f>IF(RS!F35=0,"","Zero entry expected for your class")</f>
        <v/>
      </c>
      <c r="G18" t="str">
        <f>IF(RS!F36=0,"","Zero entry expected for your class")</f>
        <v/>
      </c>
      <c r="H18" t="str">
        <f>IF(RS!F37&lt;&gt;0,"","Entry expected for your class")</f>
        <v>Entry expected for your class</v>
      </c>
      <c r="I18" t="str">
        <f>IF(RS!F38=0,"","Zero entry expected for your class")</f>
        <v/>
      </c>
      <c r="J18" t="str">
        <f>IF(RS!F39=0,"","Zero entry expected for your class")</f>
        <v/>
      </c>
      <c r="K18" t="str">
        <f>IF(RS!F40=0,"","Zero entry expected for your class")</f>
        <v/>
      </c>
      <c r="L18" t="str">
        <f>IF(RS!F53=0,"","Zero entry expected for your class")</f>
        <v/>
      </c>
      <c r="M18" t="str">
        <f>IF(RS!F54&lt;0,"","Negative entry expected for your class - also give a levy breakdown in the Levy tab")</f>
        <v>Negative entry expected for your class - also give a levy breakdown in the Levy tab</v>
      </c>
      <c r="N18" t="str">
        <f>IF(RS!F55=0,"","Zero entry expected for your class")</f>
        <v/>
      </c>
      <c r="O18" t="str">
        <f>IF(RS!F49=0,"","WARNING: Col 1 - Zero entry expected for your class")</f>
        <v/>
      </c>
      <c r="P18" t="str">
        <f>IF(RS!F45=0,"","Zero entry expected for your class")</f>
        <v/>
      </c>
      <c r="Q18" t="str">
        <f>IF(RS!F46=0,"","Zero entry expected for your class")</f>
        <v/>
      </c>
      <c r="R18" t="str">
        <f>IF($G$47=0,"","Zero entry expected for your class")</f>
        <v/>
      </c>
      <c r="S18" t="str">
        <f>IF(RS!F65=0,"","Zero entry expected for your class")</f>
        <v/>
      </c>
      <c r="T18" t="str">
        <f>IF(RS!F120=0,"","WARNING: Col 1 - Zero entry expected for your class")</f>
        <v>WARNING: Col 1 - Zero entry expected for your class</v>
      </c>
      <c r="U18" t="e">
        <f>IF(RS!F124&gt;=0,"","WARNING: Col 1 - Greater than or equal to zero expected for your class")</f>
        <v>#N/A</v>
      </c>
      <c r="V18" t="str">
        <f>IF(RS!F133&gt;=0,"","WARNING: Col 1 - Greater than or equal to zero expected for your class")</f>
        <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Q1035"/>
  <sheetViews>
    <sheetView showGridLines="0" topLeftCell="B2" zoomScale="80" zoomScaleNormal="80" workbookViewId="0">
      <pane ySplit="2" topLeftCell="A4" activePane="bottomLeft" state="frozen"/>
      <selection activeCell="B173" sqref="B173"/>
      <selection pane="bottomLeft" activeCell="B2" sqref="B2:I2"/>
    </sheetView>
  </sheetViews>
  <sheetFormatPr defaultColWidth="0" defaultRowHeight="12.5" x14ac:dyDescent="0.25"/>
  <cols>
    <col min="1" max="1" width="14.1796875" hidden="1" customWidth="1"/>
    <col min="2" max="2" width="8.7265625" style="12" customWidth="1"/>
    <col min="3" max="3" width="93.453125" customWidth="1"/>
    <col min="4" max="4" width="6.7265625" customWidth="1"/>
    <col min="5" max="5" width="50.453125" customWidth="1"/>
    <col min="6" max="8" width="18.1796875" customWidth="1"/>
    <col min="9" max="9" width="47.81640625" style="531" customWidth="1"/>
    <col min="10" max="10" width="72.453125" style="531" customWidth="1"/>
    <col min="11" max="11" width="80.453125" style="509" customWidth="1"/>
    <col min="12" max="12" width="2.7265625" style="509" customWidth="1"/>
    <col min="13" max="14" width="16.7265625" style="509" customWidth="1"/>
    <col min="15" max="15" width="2.7265625" style="509" customWidth="1"/>
    <col min="16" max="16" width="22.81640625" style="509" hidden="1" customWidth="1"/>
    <col min="17" max="18" width="15.26953125" hidden="1" customWidth="1"/>
    <col min="19" max="19" width="33.81640625" style="1083" hidden="1" customWidth="1"/>
    <col min="20" max="29" width="15.26953125" style="280" hidden="1" customWidth="1"/>
    <col min="30" max="42" width="15.26953125" hidden="1" customWidth="1"/>
    <col min="43" max="43" width="42.453125" hidden="1" customWidth="1"/>
    <col min="44" max="68" width="8.7265625" style="609" hidden="1" customWidth="1"/>
    <col min="69" max="69" width="49.54296875" style="609" hidden="1" customWidth="1"/>
    <col min="70" max="95" width="15.26953125" style="609" hidden="1" customWidth="1"/>
    <col min="96" max="97" width="15.26953125" hidden="1" customWidth="1"/>
    <col min="98" max="16384" width="15.26953125" hidden="1"/>
  </cols>
  <sheetData>
    <row r="1" spans="1:95" ht="34.5" hidden="1" customHeight="1" x14ac:dyDescent="0.25">
      <c r="A1" t="s">
        <v>42</v>
      </c>
      <c r="B1" s="432" t="s">
        <v>43</v>
      </c>
      <c r="C1" s="93" t="s">
        <v>44</v>
      </c>
      <c r="F1" t="s">
        <v>45</v>
      </c>
      <c r="G1" t="s">
        <v>46</v>
      </c>
      <c r="H1" t="s">
        <v>47</v>
      </c>
      <c r="I1" s="560" t="s">
        <v>48</v>
      </c>
      <c r="P1" s="639" t="s">
        <v>49</v>
      </c>
      <c r="Q1" s="639"/>
      <c r="R1" s="639"/>
      <c r="S1" s="639"/>
      <c r="T1" s="1109"/>
      <c r="U1" s="1109"/>
      <c r="V1" s="639"/>
      <c r="W1" s="639"/>
      <c r="X1" s="639"/>
      <c r="Y1" s="639"/>
      <c r="Z1" s="639"/>
      <c r="AA1" s="639"/>
      <c r="AB1" s="639"/>
      <c r="AC1" s="639"/>
      <c r="AD1" s="639"/>
      <c r="AE1" s="639"/>
      <c r="AF1" s="639"/>
      <c r="AG1" s="639"/>
      <c r="AH1" s="639"/>
      <c r="AI1" s="639"/>
      <c r="AJ1" s="639"/>
      <c r="AK1" s="639"/>
      <c r="AL1" s="639"/>
      <c r="AM1" s="639"/>
      <c r="AN1" s="639"/>
      <c r="AO1" s="639"/>
      <c r="AP1" s="639"/>
      <c r="AQ1" s="639"/>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row>
    <row r="2" spans="1:95" ht="62.5" customHeight="1" x14ac:dyDescent="0.25">
      <c r="A2" t="s">
        <v>50</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962"/>
      <c r="K2" s="962"/>
      <c r="L2" s="962"/>
      <c r="M2" s="962"/>
      <c r="N2" s="962"/>
      <c r="O2" s="963"/>
      <c r="P2" s="1009" t="s">
        <v>51</v>
      </c>
      <c r="Q2" s="603"/>
      <c r="R2" s="603"/>
      <c r="S2" s="1090"/>
      <c r="T2" s="1091"/>
      <c r="U2" s="1091"/>
      <c r="V2" s="1091"/>
      <c r="W2" s="1091"/>
      <c r="X2" s="1091"/>
      <c r="Y2" s="1091"/>
      <c r="Z2" s="1091"/>
      <c r="AA2" s="1091"/>
      <c r="AB2" s="1091"/>
      <c r="AC2" s="1091"/>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row>
    <row r="3" spans="1:95" ht="32.15" customHeight="1" x14ac:dyDescent="0.35">
      <c r="A3" t="s">
        <v>52</v>
      </c>
      <c r="B3" s="1192" t="str">
        <f>IF(AND(COUNTIF($H$30:$H$185,"Error")=0,COUNTIF($H$30:$H$185,"Warning")=0),("There are no outstanding errors or warnings with the "&amp;TRIM(LEFT(B$12,3))&amp;" section of the form. Thank you."),("There are "&amp;COUNTIF($H$30:$H$185,"Error")&amp;" outstanding error(s) and "&amp;COUNTIF($H$30:$H$185,"Warning")&amp;" outstanding warning(s) with the "&amp;TRIM(LEFT(B$12,3))&amp;" section of the form. Please resolve and/or explain these before submitting."))</f>
        <v>There are no outstanding errors or warnings with the RS section of the form. Thank you.</v>
      </c>
      <c r="C3" s="495"/>
      <c r="D3" s="495"/>
      <c r="E3" s="495"/>
      <c r="F3" s="495"/>
      <c r="G3" s="495"/>
      <c r="H3" s="495"/>
      <c r="I3" s="521"/>
      <c r="J3" s="964"/>
      <c r="K3" s="965"/>
      <c r="L3" s="1191"/>
      <c r="M3" s="1191"/>
      <c r="N3" s="1191"/>
      <c r="O3" s="1191"/>
      <c r="P3" s="610"/>
      <c r="Q3" s="609"/>
      <c r="R3" s="611"/>
      <c r="S3" s="1088"/>
      <c r="T3" s="631"/>
      <c r="U3" s="631"/>
      <c r="V3" s="631"/>
      <c r="W3" s="631"/>
      <c r="X3" s="631"/>
      <c r="Y3" s="631"/>
      <c r="Z3" s="631"/>
      <c r="AA3" s="631" t="s">
        <v>53</v>
      </c>
      <c r="AB3" s="631"/>
      <c r="AC3" s="631"/>
      <c r="AD3" s="609"/>
      <c r="AE3" s="609"/>
      <c r="AF3" s="609"/>
      <c r="AG3" s="609"/>
      <c r="AH3" s="609"/>
      <c r="AI3" s="609"/>
      <c r="AJ3" s="609"/>
      <c r="AK3" s="609"/>
      <c r="AL3" s="609"/>
      <c r="AM3" s="609"/>
      <c r="AN3" s="609"/>
      <c r="AO3" s="609"/>
      <c r="AP3" s="609"/>
      <c r="AQ3" s="609"/>
    </row>
    <row r="4" spans="1:95" ht="12.75" customHeight="1" x14ac:dyDescent="0.35">
      <c r="B4" s="131"/>
      <c r="C4" s="132"/>
      <c r="D4" s="132"/>
      <c r="E4" s="133"/>
      <c r="F4" s="2"/>
      <c r="G4" s="40"/>
      <c r="H4" s="134"/>
      <c r="I4" s="522"/>
      <c r="J4" s="522"/>
      <c r="K4" s="511"/>
      <c r="L4" s="511"/>
      <c r="M4" s="511"/>
      <c r="N4" s="511"/>
      <c r="O4" s="511"/>
      <c r="P4" s="608"/>
      <c r="Q4" s="609"/>
      <c r="R4" s="609"/>
      <c r="S4" s="1088"/>
      <c r="T4" s="631"/>
      <c r="U4" s="631"/>
      <c r="V4" s="631"/>
      <c r="W4" s="631"/>
      <c r="X4" s="631"/>
      <c r="Y4" s="631"/>
      <c r="Z4" s="631"/>
      <c r="AA4" s="631"/>
      <c r="AB4" s="631"/>
      <c r="AC4" s="631"/>
      <c r="AD4" s="609"/>
      <c r="AE4" s="609"/>
      <c r="AF4" s="609"/>
      <c r="AG4" s="609"/>
      <c r="AH4" s="609"/>
      <c r="AI4" s="609"/>
      <c r="AJ4" s="609"/>
      <c r="AK4" s="609"/>
      <c r="AL4" s="609"/>
      <c r="AM4" s="609"/>
      <c r="AN4" s="609"/>
      <c r="AO4" s="609"/>
      <c r="AP4" s="609"/>
      <c r="AQ4" s="609"/>
    </row>
    <row r="5" spans="1:95" ht="27.75" customHeight="1" x14ac:dyDescent="0.6">
      <c r="B5" s="131"/>
      <c r="C5" s="132"/>
      <c r="D5" s="132"/>
      <c r="E5" s="133"/>
      <c r="F5" s="2"/>
      <c r="G5" s="2"/>
      <c r="H5" s="87"/>
      <c r="I5" s="522"/>
      <c r="J5" s="522"/>
      <c r="K5" s="511"/>
      <c r="L5" s="511"/>
      <c r="N5" s="135" t="str">
        <f>"RS "&amp;YearForm</f>
        <v>RS 2025-26</v>
      </c>
      <c r="O5" s="511"/>
      <c r="P5" s="608"/>
      <c r="Q5" s="609"/>
      <c r="R5" s="609"/>
      <c r="S5" s="1088"/>
      <c r="T5" s="631"/>
      <c r="U5" s="631"/>
      <c r="V5" s="631"/>
      <c r="W5" s="631"/>
      <c r="X5" s="631"/>
      <c r="Y5" s="631"/>
      <c r="Z5" s="631"/>
      <c r="AA5" s="631"/>
      <c r="AB5" s="631"/>
      <c r="AC5" s="631"/>
      <c r="AD5" s="609"/>
      <c r="AE5" s="609"/>
      <c r="AF5" s="609"/>
      <c r="AG5" s="609"/>
      <c r="AH5" s="609"/>
      <c r="AI5" s="609"/>
      <c r="AJ5" s="609"/>
      <c r="AK5" s="609"/>
      <c r="AL5" s="609"/>
      <c r="AM5" s="609"/>
      <c r="AN5" s="609"/>
      <c r="AO5" s="609"/>
      <c r="AP5" s="609"/>
      <c r="AQ5" s="609"/>
    </row>
    <row r="6" spans="1:95" ht="12.75" customHeight="1" x14ac:dyDescent="0.35">
      <c r="B6" s="131"/>
      <c r="C6" s="132"/>
      <c r="D6" s="132"/>
      <c r="E6" s="133"/>
      <c r="F6" s="2"/>
      <c r="G6" s="2"/>
      <c r="H6" s="87"/>
      <c r="I6" s="522"/>
      <c r="J6" s="522"/>
      <c r="K6" s="511"/>
      <c r="L6" s="511"/>
      <c r="M6" s="511"/>
      <c r="N6" s="511"/>
      <c r="O6" s="511"/>
      <c r="P6" s="608"/>
      <c r="Q6" s="609"/>
      <c r="R6" s="609"/>
      <c r="S6" s="1088"/>
      <c r="T6" s="631"/>
      <c r="U6" s="631"/>
      <c r="V6" s="631"/>
      <c r="W6" s="631"/>
      <c r="X6" s="631"/>
      <c r="Y6" s="631"/>
      <c r="Z6" s="631"/>
      <c r="AA6" s="631"/>
      <c r="AB6" s="631"/>
      <c r="AC6" s="631"/>
      <c r="AD6" s="609"/>
      <c r="AE6" s="609"/>
      <c r="AF6" s="609"/>
      <c r="AG6" s="609"/>
      <c r="AH6" s="609"/>
      <c r="AI6" s="609"/>
      <c r="AJ6" s="609"/>
      <c r="AK6" s="609"/>
      <c r="AL6" s="609"/>
      <c r="AM6" s="609"/>
      <c r="AN6" s="609"/>
      <c r="AO6" s="609"/>
      <c r="AP6" s="609"/>
      <c r="AQ6" s="609"/>
    </row>
    <row r="7" spans="1:95" ht="12.75" customHeight="1" x14ac:dyDescent="0.35">
      <c r="B7" s="131"/>
      <c r="C7" s="132"/>
      <c r="D7" s="132"/>
      <c r="E7" s="133"/>
      <c r="F7" s="2"/>
      <c r="G7" s="2"/>
      <c r="H7" s="87"/>
      <c r="I7" s="522"/>
      <c r="J7" s="522"/>
      <c r="K7" s="511"/>
      <c r="L7" s="511"/>
      <c r="M7" s="511"/>
      <c r="N7" s="511"/>
      <c r="O7" s="511"/>
      <c r="P7" s="608"/>
      <c r="Q7" s="609"/>
      <c r="R7" s="609"/>
      <c r="S7" s="1088"/>
      <c r="T7" s="631"/>
      <c r="U7" s="631"/>
      <c r="V7" s="631"/>
      <c r="W7" s="631"/>
      <c r="X7" s="631"/>
      <c r="Y7" s="631"/>
      <c r="Z7" s="631"/>
      <c r="AA7" s="631"/>
      <c r="AB7" s="631"/>
      <c r="AC7" s="631"/>
      <c r="AD7" s="609"/>
      <c r="AE7" s="609"/>
      <c r="AF7" s="609"/>
      <c r="AG7" s="609"/>
      <c r="AH7" s="609"/>
      <c r="AI7" s="609"/>
      <c r="AJ7" s="609"/>
      <c r="AK7" s="609"/>
      <c r="AL7" s="609"/>
      <c r="AM7" s="609"/>
      <c r="AN7" s="609"/>
      <c r="AO7" s="609"/>
      <c r="AP7" s="609"/>
      <c r="AQ7" s="609"/>
    </row>
    <row r="8" spans="1:95" ht="12.75" customHeight="1" x14ac:dyDescent="0.35">
      <c r="B8" s="131"/>
      <c r="C8" s="132"/>
      <c r="D8" s="132"/>
      <c r="E8" s="133"/>
      <c r="F8" s="2"/>
      <c r="G8" s="2"/>
      <c r="H8" s="87"/>
      <c r="I8" s="522"/>
      <c r="J8" s="522"/>
      <c r="K8" s="511"/>
      <c r="L8" s="511"/>
      <c r="M8" s="511"/>
      <c r="N8" s="511"/>
      <c r="O8" s="511"/>
      <c r="P8" s="608"/>
      <c r="Q8" s="609"/>
      <c r="R8" s="609"/>
      <c r="S8" s="1088"/>
      <c r="T8" s="631"/>
      <c r="U8" s="631"/>
      <c r="V8" s="631"/>
      <c r="W8" s="631"/>
      <c r="X8" s="631"/>
      <c r="Y8" s="631"/>
      <c r="Z8" s="631"/>
      <c r="AA8" s="631"/>
      <c r="AB8" s="631"/>
      <c r="AC8" s="631"/>
      <c r="AD8" s="609"/>
      <c r="AE8" s="609"/>
      <c r="AF8" s="609"/>
      <c r="AG8" s="609"/>
      <c r="AH8" s="609"/>
      <c r="AI8" s="609"/>
      <c r="AJ8" s="609"/>
      <c r="AK8" s="609"/>
      <c r="AL8" s="609"/>
      <c r="AM8" s="609"/>
      <c r="AN8" s="609"/>
      <c r="AO8" s="609"/>
      <c r="AP8" s="609"/>
      <c r="AQ8" s="609"/>
    </row>
    <row r="9" spans="1:95" ht="12.75" customHeight="1" x14ac:dyDescent="0.35">
      <c r="B9" s="131"/>
      <c r="C9" s="132"/>
      <c r="D9" s="132"/>
      <c r="E9" s="133"/>
      <c r="F9" s="2"/>
      <c r="G9" s="2"/>
      <c r="H9" s="87"/>
      <c r="I9" s="522"/>
      <c r="J9" s="522"/>
      <c r="K9" s="511"/>
      <c r="L9" s="511"/>
      <c r="M9" s="511"/>
      <c r="N9" s="511"/>
      <c r="O9" s="511"/>
      <c r="P9" s="608"/>
      <c r="Q9" s="609"/>
      <c r="R9" s="609"/>
      <c r="S9" s="1088"/>
      <c r="T9" s="631"/>
      <c r="U9" s="631"/>
      <c r="V9" s="631"/>
      <c r="W9" s="631"/>
      <c r="X9" s="631"/>
      <c r="Y9" s="631"/>
      <c r="Z9" s="631"/>
      <c r="AA9" s="631"/>
      <c r="AB9" s="631"/>
      <c r="AC9" s="631"/>
      <c r="AD9" s="609"/>
      <c r="AE9" s="609"/>
      <c r="AF9" s="609"/>
      <c r="AG9" s="609"/>
      <c r="AH9" s="609"/>
      <c r="AI9" s="609"/>
      <c r="AJ9" s="609"/>
      <c r="AK9" s="609"/>
      <c r="AL9" s="609"/>
      <c r="AM9" s="609"/>
      <c r="AN9" s="609"/>
      <c r="AO9" s="609"/>
      <c r="AP9" s="609"/>
      <c r="AQ9" s="609"/>
    </row>
    <row r="10" spans="1:95" ht="12.75" customHeight="1" x14ac:dyDescent="0.35">
      <c r="B10" s="131"/>
      <c r="C10" s="132"/>
      <c r="D10" s="132"/>
      <c r="E10" s="133"/>
      <c r="F10" s="2"/>
      <c r="G10" s="2"/>
      <c r="H10" s="87"/>
      <c r="I10" s="522"/>
      <c r="J10" s="522"/>
      <c r="K10" s="511"/>
      <c r="L10" s="511"/>
      <c r="M10" s="511"/>
      <c r="N10" s="511"/>
      <c r="O10" s="511"/>
      <c r="P10" s="608"/>
      <c r="Q10" s="609"/>
      <c r="R10" s="609"/>
      <c r="S10" s="1088"/>
      <c r="T10" s="631"/>
      <c r="U10" s="631"/>
      <c r="V10" s="631"/>
      <c r="W10" s="631"/>
      <c r="X10" s="631"/>
      <c r="Y10" s="631"/>
      <c r="Z10" s="631"/>
      <c r="AA10" s="631"/>
      <c r="AB10" s="631"/>
      <c r="AC10" s="631"/>
      <c r="AD10" s="609"/>
      <c r="AE10" s="609"/>
      <c r="AF10" s="609"/>
      <c r="AG10" s="609"/>
      <c r="AH10" s="609"/>
      <c r="AI10" s="609"/>
      <c r="AJ10" s="609"/>
      <c r="AK10" s="609"/>
      <c r="AL10" s="609"/>
      <c r="AM10" s="609"/>
      <c r="AN10" s="609"/>
      <c r="AO10" s="609"/>
      <c r="AP10" s="609"/>
      <c r="AQ10" s="609"/>
    </row>
    <row r="11" spans="1:95" s="99" customFormat="1" ht="33" customHeight="1" x14ac:dyDescent="0.25">
      <c r="B11" s="1468" t="s">
        <v>54</v>
      </c>
      <c r="C11" s="1468"/>
      <c r="D11" s="1468"/>
      <c r="E11" s="1468"/>
      <c r="F11" s="1468"/>
      <c r="G11" s="1468"/>
      <c r="H11" s="1468"/>
      <c r="I11" s="1468"/>
      <c r="J11" s="960"/>
      <c r="K11" s="960"/>
      <c r="L11" s="960"/>
      <c r="M11" s="960"/>
      <c r="N11" s="961"/>
      <c r="O11" s="512"/>
      <c r="P11" s="612"/>
      <c r="Q11" s="613"/>
      <c r="R11" s="613"/>
      <c r="S11" s="1092"/>
      <c r="T11" s="682"/>
      <c r="U11" s="682"/>
      <c r="V11" s="682"/>
      <c r="W11" s="682"/>
      <c r="X11" s="682"/>
      <c r="Y11" s="682"/>
      <c r="Z11" s="682"/>
      <c r="AA11" s="682"/>
      <c r="AB11" s="682"/>
      <c r="AC11" s="682"/>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row>
    <row r="12" spans="1:95" s="99" customFormat="1" ht="33" customHeight="1" x14ac:dyDescent="0.25">
      <c r="B12" s="1469" t="str">
        <f>"RS - REVENUE OUTTURN SUMMARY "&amp;YearForm</f>
        <v>RS - REVENUE OUTTURN SUMMARY 2025-26</v>
      </c>
      <c r="C12" s="1469"/>
      <c r="D12" s="1469"/>
      <c r="E12" s="1469"/>
      <c r="F12" s="1469"/>
      <c r="G12" s="1469"/>
      <c r="H12" s="1469"/>
      <c r="I12" s="1469"/>
      <c r="J12" s="960"/>
      <c r="K12" s="960"/>
      <c r="L12" s="960"/>
      <c r="M12" s="960"/>
      <c r="N12" s="961"/>
      <c r="O12" s="512"/>
      <c r="P12" s="612"/>
      <c r="Q12" s="613"/>
      <c r="R12" s="613"/>
      <c r="S12" s="1092"/>
      <c r="T12" s="682"/>
      <c r="U12" s="682"/>
      <c r="V12" s="682"/>
      <c r="W12" s="682"/>
      <c r="X12" s="682"/>
      <c r="Y12" s="682"/>
      <c r="Z12" s="682"/>
      <c r="AA12" s="682"/>
      <c r="AB12" s="682"/>
      <c r="AC12" s="682"/>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row>
    <row r="13" spans="1:95" ht="14.15" customHeight="1" x14ac:dyDescent="0.6">
      <c r="B13" s="137"/>
      <c r="C13" s="138"/>
      <c r="D13" s="138"/>
      <c r="E13" s="138"/>
      <c r="F13" s="138"/>
      <c r="G13" s="138"/>
      <c r="H13" s="138"/>
      <c r="I13" s="523"/>
      <c r="J13" s="522"/>
      <c r="K13" s="511"/>
      <c r="L13" s="511"/>
      <c r="M13" s="511"/>
      <c r="N13" s="511"/>
      <c r="O13" s="511"/>
      <c r="P13" s="608"/>
      <c r="Q13" s="609"/>
      <c r="R13" s="609"/>
      <c r="S13" s="1088"/>
      <c r="T13" s="631"/>
      <c r="U13" s="631"/>
      <c r="V13" s="631"/>
      <c r="W13" s="631"/>
      <c r="X13" s="631"/>
      <c r="Y13" s="631"/>
      <c r="Z13" s="631"/>
      <c r="AA13" s="631"/>
      <c r="AB13" s="631"/>
      <c r="AC13" s="631"/>
      <c r="AD13" s="609"/>
      <c r="AE13" s="609"/>
      <c r="AF13" s="609"/>
      <c r="AG13" s="609"/>
      <c r="AH13" s="609"/>
      <c r="AI13" s="609"/>
      <c r="AJ13" s="609"/>
      <c r="AK13" s="609"/>
      <c r="AL13" s="609"/>
      <c r="AM13" s="609"/>
      <c r="AN13" s="609"/>
      <c r="AO13" s="609"/>
      <c r="AP13" s="609"/>
      <c r="AQ13" s="609"/>
    </row>
    <row r="14" spans="1:95" ht="33.65" customHeight="1" x14ac:dyDescent="0.4">
      <c r="B14" s="1470" t="str">
        <f>"For return by: Provisional data: "&amp;deadline_provisional&amp;", Certified data: "&amp;deadline_certify&amp;""</f>
        <v>For return by: Provisional data: Friday 24 July 2026, Certified data: Friday 9 October 2026</v>
      </c>
      <c r="C14" s="1470"/>
      <c r="D14" s="1470"/>
      <c r="E14" s="1470"/>
      <c r="F14" s="1470"/>
      <c r="G14" s="1470"/>
      <c r="H14" s="1470"/>
      <c r="I14" s="1470"/>
      <c r="J14" s="953"/>
      <c r="K14" s="1461"/>
      <c r="L14" s="1462"/>
      <c r="M14" s="1462"/>
      <c r="N14" s="1462"/>
      <c r="O14" s="511"/>
      <c r="P14" s="608"/>
      <c r="Q14" s="609"/>
      <c r="R14" s="609"/>
      <c r="S14" s="1088"/>
      <c r="T14" s="631"/>
      <c r="U14" s="631"/>
      <c r="V14" s="631"/>
      <c r="W14" s="631"/>
      <c r="X14" s="631"/>
      <c r="Y14" s="631"/>
      <c r="Z14" s="631"/>
      <c r="AA14" s="631"/>
      <c r="AB14" s="631"/>
      <c r="AC14" s="631"/>
      <c r="AD14" s="609"/>
      <c r="AE14" s="609"/>
      <c r="AF14" s="609"/>
      <c r="AG14" s="609"/>
      <c r="AH14" s="609"/>
      <c r="AI14" s="609"/>
      <c r="AJ14" s="609"/>
      <c r="AK14" s="609"/>
      <c r="AL14" s="609"/>
      <c r="AM14" s="609"/>
      <c r="AN14" s="609"/>
      <c r="AO14" s="609"/>
      <c r="AP14" s="609"/>
      <c r="AQ14" s="609"/>
    </row>
    <row r="15" spans="1:95" ht="21.65" customHeight="1" x14ac:dyDescent="0.25">
      <c r="B15" s="1019"/>
      <c r="C15" s="1471" t="s">
        <v>55</v>
      </c>
      <c r="D15" s="1471"/>
      <c r="E15" s="1471"/>
      <c r="F15" s="1471"/>
      <c r="G15" s="1471"/>
      <c r="H15" s="1471"/>
      <c r="I15" s="1471"/>
      <c r="J15" s="958"/>
      <c r="K15" s="513"/>
      <c r="L15" s="510"/>
      <c r="M15" s="510"/>
      <c r="N15" s="510"/>
      <c r="O15" s="510"/>
      <c r="P15" s="610"/>
      <c r="Q15" s="609"/>
      <c r="R15" s="609"/>
      <c r="S15" s="1088"/>
      <c r="T15" s="631"/>
      <c r="U15" s="631"/>
      <c r="V15" s="631"/>
      <c r="W15" s="631"/>
      <c r="X15" s="631"/>
      <c r="Y15" s="631"/>
      <c r="Z15" s="631"/>
      <c r="AA15" s="631"/>
      <c r="AB15" s="631"/>
      <c r="AC15" s="631"/>
      <c r="AD15" s="609"/>
      <c r="AE15" s="609"/>
      <c r="AF15" s="609"/>
      <c r="AG15" s="609"/>
      <c r="AH15" s="609"/>
      <c r="AI15" s="609"/>
      <c r="AJ15" s="609"/>
      <c r="AK15" s="609"/>
      <c r="AL15" s="609"/>
      <c r="AM15" s="609"/>
      <c r="AN15" s="609"/>
      <c r="AO15" s="609"/>
      <c r="AP15" s="609"/>
      <c r="AQ15" s="609"/>
    </row>
    <row r="16" spans="1:95" ht="21" customHeight="1" x14ac:dyDescent="0.25">
      <c r="B16" s="1020"/>
      <c r="C16" s="1472" t="s">
        <v>56</v>
      </c>
      <c r="D16" s="1473"/>
      <c r="E16" s="1473"/>
      <c r="F16" s="1473"/>
      <c r="G16" s="1473"/>
      <c r="H16" s="1473"/>
      <c r="I16" s="1473"/>
      <c r="J16" s="955"/>
      <c r="K16" s="955"/>
      <c r="L16" s="955"/>
      <c r="M16" s="955"/>
      <c r="N16" s="959"/>
      <c r="O16" s="514"/>
      <c r="P16" s="610"/>
      <c r="Q16" s="609"/>
      <c r="R16" s="609"/>
      <c r="S16" s="1088"/>
      <c r="T16" s="631"/>
      <c r="U16" s="631"/>
      <c r="V16" s="631"/>
      <c r="W16" s="631"/>
      <c r="X16" s="631"/>
      <c r="Y16" s="631"/>
      <c r="Z16" s="631"/>
      <c r="AA16" s="631"/>
      <c r="AB16" s="631"/>
      <c r="AC16" s="631"/>
      <c r="AD16" s="609"/>
      <c r="AE16" s="609"/>
      <c r="AF16" s="609"/>
      <c r="AG16" s="609"/>
      <c r="AH16" s="609"/>
      <c r="AI16" s="609"/>
      <c r="AJ16" s="609"/>
      <c r="AK16" s="609"/>
      <c r="AL16" s="609"/>
      <c r="AM16" s="609"/>
      <c r="AN16" s="609"/>
      <c r="AO16" s="609"/>
      <c r="AP16" s="609"/>
      <c r="AQ16" s="609"/>
    </row>
    <row r="17" spans="1:43" ht="21" customHeight="1" x14ac:dyDescent="0.25">
      <c r="B17" s="432"/>
      <c r="C17" s="1474" t="s">
        <v>57</v>
      </c>
      <c r="D17" s="1474"/>
      <c r="E17" s="1474"/>
      <c r="F17" s="1474"/>
      <c r="G17" s="1474"/>
      <c r="H17" s="1474"/>
      <c r="I17" s="1474"/>
      <c r="J17" s="954"/>
      <c r="K17" s="954"/>
      <c r="L17" s="954"/>
      <c r="M17" s="954"/>
      <c r="N17" s="959"/>
      <c r="O17" s="510"/>
      <c r="P17" s="610"/>
      <c r="Q17" s="609"/>
      <c r="R17" s="609"/>
      <c r="S17" s="1088"/>
      <c r="T17" s="631"/>
      <c r="U17" s="631"/>
      <c r="V17" s="631"/>
      <c r="W17" s="631"/>
      <c r="X17" s="631"/>
      <c r="Y17" s="631"/>
      <c r="Z17" s="631"/>
      <c r="AA17" s="631"/>
      <c r="AB17" s="631"/>
      <c r="AC17" s="631"/>
      <c r="AD17" s="609"/>
      <c r="AE17" s="609"/>
      <c r="AF17" s="609"/>
      <c r="AG17" s="609"/>
      <c r="AH17" s="609"/>
      <c r="AI17" s="609"/>
      <c r="AJ17" s="609"/>
      <c r="AK17" s="609"/>
      <c r="AL17" s="609"/>
      <c r="AM17" s="609"/>
      <c r="AN17" s="609"/>
      <c r="AO17" s="609"/>
      <c r="AP17" s="609"/>
      <c r="AQ17" s="609"/>
    </row>
    <row r="18" spans="1:43" ht="20" x14ac:dyDescent="0.35">
      <c r="B18" s="139"/>
      <c r="C18" s="140"/>
      <c r="D18" s="140"/>
      <c r="E18" s="40"/>
      <c r="F18" s="141"/>
      <c r="G18" s="40"/>
      <c r="H18" s="40"/>
      <c r="I18" s="525"/>
      <c r="J18" s="524"/>
      <c r="K18" s="513"/>
      <c r="L18" s="510"/>
      <c r="M18" s="510"/>
      <c r="N18" s="510"/>
      <c r="O18" s="510"/>
      <c r="P18" s="610"/>
      <c r="Q18" s="609"/>
      <c r="R18" s="609"/>
      <c r="S18" s="1088"/>
      <c r="T18" s="631"/>
      <c r="U18" s="631"/>
      <c r="V18" s="631"/>
      <c r="W18" s="631"/>
      <c r="X18" s="631"/>
      <c r="Y18" s="631"/>
      <c r="Z18" s="631"/>
      <c r="AA18" s="631"/>
      <c r="AB18" s="631"/>
      <c r="AC18" s="631"/>
      <c r="AD18" s="609"/>
      <c r="AE18" s="609"/>
      <c r="AF18" s="609"/>
      <c r="AG18" s="609"/>
      <c r="AH18" s="609"/>
      <c r="AI18" s="609"/>
      <c r="AJ18" s="609"/>
      <c r="AK18" s="609"/>
      <c r="AL18" s="609"/>
      <c r="AM18" s="609"/>
      <c r="AN18" s="609"/>
      <c r="AO18" s="609"/>
      <c r="AP18" s="609"/>
      <c r="AQ18" s="609"/>
    </row>
    <row r="19" spans="1:43" ht="19.5" customHeight="1" x14ac:dyDescent="0.3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524"/>
      <c r="J19" s="524"/>
      <c r="K19" s="513"/>
      <c r="L19" s="510"/>
      <c r="M19" s="510"/>
      <c r="N19" s="510"/>
      <c r="O19" s="510"/>
      <c r="P19" s="610"/>
      <c r="Q19" s="609"/>
      <c r="R19" s="609"/>
      <c r="S19" s="631"/>
      <c r="T19" s="631"/>
      <c r="U19" s="631"/>
      <c r="V19" s="631"/>
      <c r="W19" s="631"/>
      <c r="X19" s="631"/>
      <c r="Y19" s="631"/>
      <c r="Z19" s="631"/>
      <c r="AA19" s="631"/>
      <c r="AB19" s="631"/>
      <c r="AC19" s="631"/>
      <c r="AD19" s="609"/>
      <c r="AE19" s="609"/>
      <c r="AF19" s="609"/>
      <c r="AG19" s="609"/>
      <c r="AH19" s="609"/>
      <c r="AI19" s="609"/>
      <c r="AJ19" s="609"/>
      <c r="AK19" s="609"/>
      <c r="AL19" s="609"/>
      <c r="AM19" s="609"/>
      <c r="AN19" s="609"/>
      <c r="AO19" s="609"/>
      <c r="AP19" s="609"/>
      <c r="AQ19" s="609"/>
    </row>
    <row r="20" spans="1:43" ht="12" customHeight="1" x14ac:dyDescent="0.35">
      <c r="B20" s="570" t="s">
        <v>58</v>
      </c>
      <c r="C20" s="144"/>
      <c r="D20" s="144"/>
      <c r="E20" s="142"/>
      <c r="F20" s="142"/>
      <c r="G20" s="142"/>
      <c r="H20" s="142"/>
      <c r="I20" s="524"/>
      <c r="J20" s="524"/>
      <c r="K20" s="513"/>
      <c r="L20" s="510"/>
      <c r="M20" s="510"/>
      <c r="N20" s="510"/>
      <c r="O20" s="510"/>
      <c r="P20" s="610"/>
      <c r="Q20" s="609"/>
      <c r="R20" s="609"/>
      <c r="S20" s="631"/>
      <c r="T20" s="631"/>
      <c r="U20" s="631"/>
      <c r="V20" s="631"/>
      <c r="W20" s="631"/>
      <c r="X20" s="631"/>
      <c r="Y20" s="631"/>
      <c r="Z20" s="631"/>
      <c r="AA20" s="631"/>
      <c r="AB20" s="631"/>
      <c r="AC20" s="631"/>
      <c r="AD20" s="609"/>
      <c r="AE20" s="609"/>
      <c r="AF20" s="609"/>
      <c r="AG20" s="609"/>
      <c r="AH20" s="609"/>
      <c r="AI20" s="609"/>
      <c r="AJ20" s="609"/>
      <c r="AK20" s="609"/>
      <c r="AL20" s="609"/>
      <c r="AM20" s="609"/>
      <c r="AN20" s="609"/>
      <c r="AO20" s="609"/>
      <c r="AP20" s="609"/>
      <c r="AQ20" s="609"/>
    </row>
    <row r="21" spans="1:43" ht="26.25" customHeight="1" x14ac:dyDescent="0.5">
      <c r="B21" s="101" t="str">
        <f>VLOOKUP(LA_name,'LA List'!A2:C416,2,0)</f>
        <v>Please select your authority name on Title page</v>
      </c>
      <c r="C21" s="442"/>
      <c r="D21" s="442"/>
      <c r="E21" s="442"/>
      <c r="F21" s="2"/>
      <c r="G21" s="153"/>
      <c r="H21" s="94"/>
      <c r="I21" s="522"/>
      <c r="J21" s="522"/>
      <c r="K21" s="511"/>
      <c r="L21" s="511"/>
      <c r="M21" s="511"/>
      <c r="N21" s="511"/>
      <c r="O21" s="511"/>
      <c r="P21" s="608"/>
      <c r="Q21" s="609"/>
      <c r="R21" s="609"/>
      <c r="S21" s="1088"/>
      <c r="T21" s="631"/>
      <c r="U21" s="631"/>
      <c r="V21" s="631"/>
      <c r="W21" s="631"/>
      <c r="X21" s="631"/>
      <c r="Y21" s="631"/>
      <c r="Z21" s="631"/>
      <c r="AA21" s="631"/>
      <c r="AB21" s="631"/>
      <c r="AC21" s="631"/>
      <c r="AD21" s="609"/>
      <c r="AE21" s="609"/>
      <c r="AF21" s="609"/>
      <c r="AG21" s="609"/>
      <c r="AH21" s="609"/>
      <c r="AI21" s="609"/>
      <c r="AJ21" s="609"/>
      <c r="AK21" s="609"/>
      <c r="AL21" s="609"/>
      <c r="AM21" s="609"/>
      <c r="AN21" s="609"/>
      <c r="AO21" s="609"/>
      <c r="AP21" s="609"/>
      <c r="AQ21" s="609"/>
    </row>
    <row r="22" spans="1:43" ht="18" customHeight="1" x14ac:dyDescent="0.4">
      <c r="B22" s="103" t="str">
        <f>ContactDetails!C25</f>
        <v>E-code</v>
      </c>
      <c r="C22" s="442"/>
      <c r="D22" s="442"/>
      <c r="E22" s="442"/>
      <c r="F22" s="1478" t="s">
        <v>59</v>
      </c>
      <c r="G22" s="1479"/>
      <c r="H22" s="1479"/>
      <c r="I22" s="526"/>
      <c r="J22" s="522"/>
      <c r="K22" s="511"/>
      <c r="L22" s="511"/>
      <c r="M22" s="511"/>
      <c r="N22" s="511"/>
      <c r="O22" s="511"/>
      <c r="P22" s="608"/>
      <c r="Q22" s="609"/>
      <c r="R22" s="609"/>
      <c r="S22" s="1088"/>
      <c r="T22" s="631"/>
      <c r="U22" s="631"/>
      <c r="V22" s="631"/>
      <c r="W22" s="631"/>
      <c r="X22" s="631"/>
      <c r="Y22" s="631"/>
      <c r="Z22" s="631"/>
      <c r="AA22" s="631"/>
      <c r="AB22" s="631"/>
      <c r="AC22" s="631"/>
      <c r="AD22" s="609"/>
      <c r="AE22" s="609"/>
      <c r="AF22" s="609"/>
      <c r="AG22" s="609"/>
      <c r="AH22" s="609"/>
      <c r="AI22" s="609"/>
      <c r="AJ22" s="609"/>
      <c r="AK22" s="609"/>
      <c r="AL22" s="609"/>
      <c r="AM22" s="609"/>
      <c r="AN22" s="609"/>
      <c r="AO22" s="609"/>
      <c r="AP22" s="609"/>
      <c r="AQ22" s="609"/>
    </row>
    <row r="23" spans="1:43" ht="18" customHeight="1" x14ac:dyDescent="0.35">
      <c r="B23" s="206"/>
      <c r="C23" s="347"/>
      <c r="D23" s="347"/>
      <c r="E23" s="46"/>
      <c r="F23" s="1478"/>
      <c r="G23" s="1479"/>
      <c r="H23" s="1479"/>
      <c r="I23" s="526"/>
      <c r="J23" s="522"/>
      <c r="K23" s="511"/>
      <c r="L23" s="511"/>
      <c r="M23" s="511"/>
      <c r="N23" s="511"/>
      <c r="O23" s="511"/>
      <c r="P23" s="608"/>
      <c r="Q23" s="609"/>
      <c r="R23" s="609"/>
      <c r="S23" s="1088"/>
      <c r="T23" s="631"/>
      <c r="U23" s="631"/>
      <c r="V23" s="631"/>
      <c r="W23" s="631"/>
      <c r="X23" s="631"/>
      <c r="Y23" s="631"/>
      <c r="Z23" s="631"/>
      <c r="AA23" s="631"/>
      <c r="AB23" s="631"/>
      <c r="AC23" s="631"/>
      <c r="AD23" s="609"/>
      <c r="AE23" s="609"/>
      <c r="AF23" s="609"/>
      <c r="AG23" s="609"/>
      <c r="AH23" s="609"/>
      <c r="AI23" s="609"/>
      <c r="AJ23" s="609"/>
      <c r="AK23" s="609"/>
      <c r="AL23" s="609"/>
      <c r="AM23" s="609"/>
      <c r="AN23" s="609"/>
      <c r="AO23" s="609"/>
      <c r="AP23" s="609"/>
      <c r="AQ23" s="609"/>
    </row>
    <row r="24" spans="1:43" ht="15.5" x14ac:dyDescent="0.35">
      <c r="B24" s="206"/>
      <c r="C24" s="2"/>
      <c r="D24" s="2"/>
      <c r="E24" s="41"/>
      <c r="F24" s="1478"/>
      <c r="G24" s="1479"/>
      <c r="H24" s="1479"/>
      <c r="I24" s="526"/>
      <c r="J24" s="522"/>
      <c r="K24" s="511"/>
      <c r="L24" s="511"/>
      <c r="M24" s="511"/>
      <c r="N24" s="511"/>
      <c r="O24" s="511"/>
      <c r="P24" s="608"/>
      <c r="Q24" s="609"/>
      <c r="R24" s="609"/>
      <c r="S24" s="1088"/>
      <c r="T24" s="631"/>
      <c r="U24" s="631"/>
      <c r="V24" s="631"/>
      <c r="W24" s="631"/>
      <c r="X24" s="631"/>
      <c r="Y24" s="631"/>
      <c r="Z24" s="631"/>
      <c r="AA24" s="631"/>
      <c r="AB24" s="631"/>
      <c r="AC24" s="631"/>
      <c r="AD24" s="609"/>
      <c r="AE24" s="609"/>
      <c r="AF24" s="609"/>
      <c r="AG24" s="609"/>
      <c r="AH24" s="609"/>
      <c r="AI24" s="609"/>
      <c r="AJ24" s="609"/>
      <c r="AK24" s="609"/>
      <c r="AL24" s="609"/>
      <c r="AM24" s="609"/>
      <c r="AN24" s="609"/>
      <c r="AO24" s="609"/>
      <c r="AP24" s="609"/>
      <c r="AQ24" s="609"/>
    </row>
    <row r="25" spans="1:43" ht="15.5" x14ac:dyDescent="0.35">
      <c r="B25" s="145"/>
      <c r="C25" s="146"/>
      <c r="D25" s="146"/>
      <c r="E25" s="71"/>
      <c r="F25" s="343"/>
      <c r="G25" s="343"/>
      <c r="H25" s="343"/>
      <c r="I25" s="526"/>
      <c r="J25" s="522"/>
      <c r="K25" s="511"/>
      <c r="L25" s="511"/>
      <c r="M25" s="511"/>
      <c r="N25" s="511"/>
      <c r="O25" s="511"/>
      <c r="P25" s="608"/>
      <c r="Q25" s="609"/>
      <c r="R25" s="609"/>
      <c r="S25" s="1088"/>
      <c r="T25" s="631"/>
      <c r="U25" s="631"/>
      <c r="V25" s="631"/>
      <c r="W25" s="631"/>
      <c r="X25" s="631"/>
      <c r="Y25" s="631"/>
      <c r="Z25" s="631"/>
      <c r="AA25" s="631"/>
      <c r="AB25" s="631"/>
      <c r="AC25" s="631"/>
      <c r="AD25" s="609"/>
      <c r="AE25" s="609"/>
      <c r="AF25" s="609"/>
      <c r="AG25" s="609"/>
      <c r="AH25" s="609"/>
      <c r="AI25" s="609"/>
      <c r="AJ25" s="609"/>
      <c r="AK25" s="609"/>
      <c r="AL25" s="609"/>
      <c r="AM25" s="609"/>
      <c r="AN25" s="609"/>
      <c r="AO25" s="609"/>
      <c r="AP25" s="609"/>
      <c r="AQ25" s="609"/>
    </row>
    <row r="26" spans="1:43" ht="15.5" x14ac:dyDescent="0.35">
      <c r="B26" s="206"/>
      <c r="C26" s="94"/>
      <c r="D26" s="94"/>
      <c r="E26" s="2"/>
      <c r="F26" s="348" t="s">
        <v>60</v>
      </c>
      <c r="G26" s="75"/>
      <c r="H26" s="75"/>
      <c r="I26" s="527"/>
      <c r="J26" s="522"/>
      <c r="K26" s="511"/>
      <c r="L26" s="511"/>
      <c r="M26" s="511"/>
      <c r="N26" s="511"/>
      <c r="O26" s="511"/>
      <c r="P26" s="608"/>
      <c r="Q26" s="609"/>
      <c r="R26" s="609"/>
      <c r="S26" s="1088"/>
      <c r="T26" s="631"/>
      <c r="U26" s="631"/>
      <c r="V26" s="631"/>
      <c r="W26" s="631"/>
      <c r="X26" s="631"/>
      <c r="Y26" s="631"/>
      <c r="Z26" s="631"/>
      <c r="AA26" s="631"/>
      <c r="AB26" s="631"/>
      <c r="AC26" s="631"/>
      <c r="AD26" s="609"/>
      <c r="AE26" s="609"/>
      <c r="AF26" s="609"/>
      <c r="AG26" s="609"/>
      <c r="AH26" s="609"/>
      <c r="AI26" s="609"/>
      <c r="AJ26" s="609"/>
      <c r="AK26" s="609"/>
      <c r="AL26" s="609"/>
      <c r="AM26" s="609"/>
      <c r="AN26" s="609"/>
      <c r="AO26" s="609"/>
      <c r="AP26" s="609"/>
      <c r="AQ26" s="609"/>
    </row>
    <row r="27" spans="1:43" ht="15.75" customHeight="1" x14ac:dyDescent="0.3">
      <c r="B27" s="206"/>
      <c r="C27" s="2"/>
      <c r="D27" s="2"/>
      <c r="E27" s="2"/>
      <c r="F27" s="23"/>
      <c r="G27" s="94"/>
      <c r="H27" s="349"/>
      <c r="I27" s="527"/>
      <c r="J27" s="522"/>
      <c r="K27" s="511"/>
      <c r="L27" s="511"/>
      <c r="M27" s="511"/>
      <c r="N27" s="511"/>
      <c r="O27" s="511"/>
      <c r="P27" s="608"/>
      <c r="Q27" s="609"/>
      <c r="R27" s="609"/>
      <c r="S27" s="1088"/>
      <c r="T27" s="631"/>
      <c r="U27" s="631"/>
      <c r="V27" s="631"/>
      <c r="W27" s="631"/>
      <c r="X27" s="631"/>
      <c r="Y27" s="631"/>
      <c r="Z27" s="631"/>
      <c r="AA27" s="631"/>
      <c r="AB27" s="631"/>
      <c r="AC27" s="631"/>
      <c r="AD27" s="609"/>
      <c r="AE27" s="609"/>
      <c r="AF27" s="609"/>
      <c r="AG27" s="609"/>
      <c r="AH27" s="609"/>
      <c r="AI27" s="609"/>
      <c r="AJ27" s="609"/>
      <c r="AK27" s="609"/>
      <c r="AL27" s="609"/>
      <c r="AM27" s="609"/>
      <c r="AN27" s="609"/>
      <c r="AO27" s="609"/>
      <c r="AP27" s="609"/>
      <c r="AQ27" s="609"/>
    </row>
    <row r="28" spans="1:43" ht="15.75" customHeight="1" x14ac:dyDescent="0.35">
      <c r="B28" s="206"/>
      <c r="C28" s="2"/>
      <c r="D28" s="2"/>
      <c r="E28" s="2"/>
      <c r="F28" s="350" t="s">
        <v>61</v>
      </c>
      <c r="G28" s="271"/>
      <c r="H28" s="269"/>
      <c r="I28" s="527"/>
      <c r="J28" s="522"/>
      <c r="K28" s="511"/>
      <c r="L28" s="511"/>
      <c r="M28" s="511"/>
      <c r="N28" s="511"/>
      <c r="O28" s="511"/>
      <c r="P28" s="608"/>
      <c r="Q28" s="609"/>
      <c r="R28" s="609"/>
      <c r="S28" s="1088"/>
      <c r="T28" s="631" t="s">
        <v>62</v>
      </c>
      <c r="U28" s="631"/>
      <c r="V28" s="631"/>
      <c r="W28" s="631"/>
      <c r="X28" s="631"/>
      <c r="Y28" s="631"/>
      <c r="Z28" s="631"/>
      <c r="AA28" s="631"/>
      <c r="AB28" s="631"/>
      <c r="AC28" s="631"/>
      <c r="AD28" s="609"/>
      <c r="AE28" s="609"/>
      <c r="AF28" s="609"/>
      <c r="AG28" s="609"/>
      <c r="AH28" s="609"/>
      <c r="AI28" s="609"/>
      <c r="AJ28" s="609"/>
      <c r="AK28" s="609"/>
      <c r="AL28" s="609"/>
      <c r="AM28" s="609"/>
      <c r="AN28" s="609"/>
      <c r="AO28" s="609"/>
      <c r="AP28" s="609"/>
      <c r="AQ28" s="609"/>
    </row>
    <row r="29" spans="1:43" ht="15.75" customHeight="1" x14ac:dyDescent="0.3">
      <c r="B29" s="206"/>
      <c r="C29" s="2"/>
      <c r="D29" s="2"/>
      <c r="E29" s="2"/>
      <c r="F29" s="23"/>
      <c r="G29" s="94"/>
      <c r="H29" s="349"/>
      <c r="I29" s="527"/>
      <c r="J29" s="522"/>
      <c r="K29" s="511"/>
      <c r="L29" s="511"/>
      <c r="M29" s="511"/>
      <c r="N29" s="511"/>
      <c r="O29" s="511"/>
      <c r="P29" s="608"/>
      <c r="Q29" s="609"/>
      <c r="R29" s="609"/>
      <c r="S29" s="1089" t="s">
        <v>63</v>
      </c>
      <c r="T29" s="631" t="s">
        <v>64</v>
      </c>
      <c r="U29" s="631" t="s">
        <v>65</v>
      </c>
      <c r="V29" s="614" t="s">
        <v>66</v>
      </c>
      <c r="W29" s="614" t="s">
        <v>67</v>
      </c>
      <c r="X29" s="614" t="s">
        <v>68</v>
      </c>
      <c r="Y29" s="614" t="s">
        <v>69</v>
      </c>
      <c r="Z29" s="614" t="s">
        <v>70</v>
      </c>
      <c r="AA29" s="614" t="s">
        <v>71</v>
      </c>
      <c r="AB29" s="614" t="s">
        <v>72</v>
      </c>
      <c r="AC29" s="614" t="s">
        <v>73</v>
      </c>
      <c r="AD29" s="609"/>
      <c r="AE29" s="609"/>
      <c r="AF29" s="609"/>
      <c r="AG29" s="609"/>
      <c r="AH29" s="609"/>
      <c r="AI29" s="609"/>
      <c r="AJ29" s="609"/>
      <c r="AK29" s="609"/>
      <c r="AL29" s="609"/>
      <c r="AM29" s="609"/>
      <c r="AN29" s="609"/>
      <c r="AO29" s="609"/>
      <c r="AP29" s="609"/>
      <c r="AQ29" s="609"/>
    </row>
    <row r="30" spans="1:43" ht="15.5" x14ac:dyDescent="0.35">
      <c r="A30" t="s">
        <v>74</v>
      </c>
      <c r="B30" s="441">
        <v>190</v>
      </c>
      <c r="C30" s="479" t="s">
        <v>75</v>
      </c>
      <c r="D30" s="471"/>
      <c r="E30" s="563" t="s">
        <v>76</v>
      </c>
      <c r="F30" s="1231">
        <f>'RO1'!L41</f>
        <v>0</v>
      </c>
      <c r="G30" s="1170" t="str">
        <f>IF(ISERROR(H30),"",IF((H30="Error"),"add explanation",IF((H30="Warning"),"add explanation","")))</f>
        <v/>
      </c>
      <c r="H30" s="113" t="e">
        <f>IF($F30&lt;&gt;'RO1'!$L$41,"Error",IF(S30&lt;&gt;"","Information",""))</f>
        <v>#N/A</v>
      </c>
      <c r="I30" s="528" t="e">
        <f t="shared" ref="I30:I43" si="0">IF($H30="Error","The total for "&amp;$C30&amp;" here does not match the total in "&amp;TRIM($E30)&amp;", please correct",IF($H30="Information",TRIM(S30)&amp;", please complete or correct "&amp;TRIM($E30),""))</f>
        <v>#N/A</v>
      </c>
      <c r="J30" s="522"/>
      <c r="K30" s="516"/>
      <c r="L30" s="511"/>
      <c r="M30" s="511"/>
      <c r="N30" s="511"/>
      <c r="O30" s="511"/>
      <c r="P30" s="608"/>
      <c r="Q30" s="609"/>
      <c r="R30" s="609"/>
      <c r="S30" s="1086" t="e">
        <f>'Class check validations'!B3</f>
        <v>#N/A</v>
      </c>
      <c r="T30" s="631"/>
      <c r="U30" s="631"/>
      <c r="V30" s="631"/>
      <c r="W30" s="631"/>
      <c r="X30" s="631"/>
      <c r="Y30" s="631"/>
      <c r="Z30" s="631"/>
      <c r="AA30" s="631"/>
      <c r="AB30" s="631"/>
      <c r="AC30" s="631"/>
      <c r="AD30" s="609"/>
      <c r="AE30" s="609"/>
      <c r="AF30" s="609"/>
      <c r="AG30" s="609"/>
      <c r="AH30" s="609"/>
      <c r="AI30" s="609"/>
      <c r="AJ30" s="609"/>
      <c r="AK30" s="609"/>
      <c r="AL30" s="609"/>
      <c r="AM30" s="609"/>
      <c r="AN30" s="609"/>
      <c r="AO30" s="609"/>
      <c r="AP30" s="609"/>
      <c r="AQ30" s="609"/>
    </row>
    <row r="31" spans="1:43" ht="15.5" x14ac:dyDescent="0.35">
      <c r="A31" t="s">
        <v>77</v>
      </c>
      <c r="B31" s="441">
        <v>290</v>
      </c>
      <c r="C31" s="480" t="s">
        <v>78</v>
      </c>
      <c r="D31" s="471"/>
      <c r="E31" s="563" t="s">
        <v>79</v>
      </c>
      <c r="F31" s="1231">
        <f>'RO2'!L65</f>
        <v>0</v>
      </c>
      <c r="G31" s="1170" t="str">
        <f t="shared" ref="G31:G43" si="1">IF(ISERROR(H31),"",IF((H31="Error"),"add explanation",IF((H31="Warning"),"add explanation","")))</f>
        <v/>
      </c>
      <c r="H31" s="113" t="e">
        <f>IF($F31&lt;&gt;'RO2'!$L$65,"Error",IF(S31&lt;&gt;"","Information",""))</f>
        <v>#N/A</v>
      </c>
      <c r="I31" s="528" t="e">
        <f t="shared" si="0"/>
        <v>#N/A</v>
      </c>
      <c r="J31" s="522"/>
      <c r="K31" s="511"/>
      <c r="L31" s="511"/>
      <c r="M31" s="511"/>
      <c r="N31" s="511"/>
      <c r="O31" s="511"/>
      <c r="P31" s="608"/>
      <c r="Q31" s="609"/>
      <c r="R31" s="609"/>
      <c r="S31" s="1086" t="e">
        <f>'Class check validations'!C3</f>
        <v>#N/A</v>
      </c>
      <c r="T31" s="631"/>
      <c r="U31" s="631"/>
      <c r="V31" s="631"/>
      <c r="W31" s="631"/>
      <c r="X31" s="631"/>
      <c r="Y31" s="631"/>
      <c r="Z31" s="631"/>
      <c r="AA31" s="631"/>
      <c r="AB31" s="631"/>
      <c r="AC31" s="631"/>
      <c r="AD31" s="609"/>
      <c r="AE31" s="609"/>
      <c r="AF31" s="609"/>
      <c r="AG31" s="609"/>
      <c r="AH31" s="609"/>
      <c r="AI31" s="609"/>
      <c r="AJ31" s="609"/>
      <c r="AK31" s="609"/>
      <c r="AL31" s="609"/>
      <c r="AM31" s="609"/>
      <c r="AN31" s="609"/>
      <c r="AO31" s="609"/>
      <c r="AP31" s="609"/>
      <c r="AQ31" s="609"/>
    </row>
    <row r="32" spans="1:43" ht="15.5" x14ac:dyDescent="0.35">
      <c r="A32" t="s">
        <v>80</v>
      </c>
      <c r="B32" s="441">
        <v>330</v>
      </c>
      <c r="C32" s="480" t="s">
        <v>81</v>
      </c>
      <c r="D32" s="471"/>
      <c r="E32" s="563" t="s">
        <v>82</v>
      </c>
      <c r="F32" s="1231">
        <f>'RO3'!L45</f>
        <v>0</v>
      </c>
      <c r="G32" s="1170" t="str">
        <f t="shared" si="1"/>
        <v/>
      </c>
      <c r="H32" s="113" t="e">
        <f>IF($F32&lt;&gt;'RO3'!$L$45,"Error",IF(S32&lt;&gt;"","Information",""))</f>
        <v>#N/A</v>
      </c>
      <c r="I32" s="528" t="e">
        <f t="shared" si="0"/>
        <v>#N/A</v>
      </c>
      <c r="J32" s="522"/>
      <c r="K32" s="511"/>
      <c r="L32" s="511"/>
      <c r="M32" s="511"/>
      <c r="N32" s="511"/>
      <c r="O32" s="511"/>
      <c r="P32" s="608"/>
      <c r="Q32" s="609"/>
      <c r="R32" s="609"/>
      <c r="S32" s="1086" t="e">
        <f>'Class check validations'!D3</f>
        <v>#N/A</v>
      </c>
      <c r="T32" s="631"/>
      <c r="U32" s="631"/>
      <c r="V32" s="631"/>
      <c r="W32" s="631"/>
      <c r="X32" s="631"/>
      <c r="Y32" s="631"/>
      <c r="Z32" s="631"/>
      <c r="AA32" s="631"/>
      <c r="AB32" s="631"/>
      <c r="AC32" s="631"/>
      <c r="AD32" s="609"/>
      <c r="AE32" s="609"/>
      <c r="AF32" s="609"/>
      <c r="AG32" s="609"/>
      <c r="AH32" s="609"/>
      <c r="AI32" s="609"/>
      <c r="AJ32" s="609"/>
      <c r="AK32" s="609"/>
      <c r="AL32" s="609"/>
      <c r="AM32" s="609"/>
      <c r="AN32" s="609"/>
      <c r="AO32" s="609"/>
      <c r="AP32" s="609"/>
      <c r="AQ32" s="609"/>
    </row>
    <row r="33" spans="1:95" ht="15.5" x14ac:dyDescent="0.35">
      <c r="A33" t="s">
        <v>83</v>
      </c>
      <c r="B33" s="441">
        <v>360</v>
      </c>
      <c r="C33" s="480" t="s">
        <v>84</v>
      </c>
      <c r="D33" s="471"/>
      <c r="E33" s="564" t="s">
        <v>85</v>
      </c>
      <c r="F33" s="1231">
        <f>'RO3'!L85</f>
        <v>0</v>
      </c>
      <c r="G33" s="1170" t="str">
        <f t="shared" si="1"/>
        <v/>
      </c>
      <c r="H33" s="113" t="e">
        <f>IF($F33&lt;&gt;'RO3'!$L$85,"Error",IF(S33&lt;&gt;"","Information",""))</f>
        <v>#N/A</v>
      </c>
      <c r="I33" s="528" t="e">
        <f t="shared" si="0"/>
        <v>#N/A</v>
      </c>
      <c r="J33" s="522"/>
      <c r="K33" s="511"/>
      <c r="L33" s="511"/>
      <c r="M33" s="511"/>
      <c r="N33" s="511"/>
      <c r="O33" s="511"/>
      <c r="P33" s="608"/>
      <c r="Q33" s="609"/>
      <c r="R33" s="609"/>
      <c r="S33" s="1086" t="e">
        <f>'Class check validations'!E3</f>
        <v>#N/A</v>
      </c>
      <c r="T33" s="631"/>
      <c r="U33" s="631"/>
      <c r="V33" s="631"/>
      <c r="W33" s="631"/>
      <c r="X33" s="631"/>
      <c r="Y33" s="631"/>
      <c r="Z33" s="631"/>
      <c r="AA33" s="631"/>
      <c r="AB33" s="631"/>
      <c r="AC33" s="631"/>
      <c r="AD33" s="609"/>
      <c r="AE33" s="609"/>
      <c r="AF33" s="609"/>
      <c r="AG33" s="609"/>
      <c r="AH33" s="609"/>
      <c r="AI33" s="609"/>
      <c r="AJ33" s="609"/>
      <c r="AK33" s="609"/>
      <c r="AL33" s="609"/>
      <c r="AM33" s="609"/>
      <c r="AN33" s="609"/>
      <c r="AO33" s="609"/>
      <c r="AP33" s="609"/>
      <c r="AQ33" s="609"/>
    </row>
    <row r="34" spans="1:95" ht="15.5" x14ac:dyDescent="0.35">
      <c r="A34" t="s">
        <v>86</v>
      </c>
      <c r="B34" s="441">
        <v>390</v>
      </c>
      <c r="C34" s="480" t="s">
        <v>87</v>
      </c>
      <c r="D34" s="471"/>
      <c r="E34" s="564" t="s">
        <v>88</v>
      </c>
      <c r="F34" s="1231">
        <f>'RO3'!L121</f>
        <v>0</v>
      </c>
      <c r="G34" s="1170" t="str">
        <f t="shared" si="1"/>
        <v/>
      </c>
      <c r="H34" s="607" t="e">
        <f>IF($F34&lt;&gt;'RO3'!$L$121,"Error",IF(S34&lt;&gt;"","Information",""))</f>
        <v>#N/A</v>
      </c>
      <c r="I34" s="1062" t="e">
        <f t="shared" si="0"/>
        <v>#N/A</v>
      </c>
      <c r="J34" s="522"/>
      <c r="K34" s="511"/>
      <c r="L34" s="511"/>
      <c r="M34" s="511"/>
      <c r="N34" s="511"/>
      <c r="O34" s="511"/>
      <c r="P34" s="608"/>
      <c r="Q34" s="609"/>
      <c r="R34" s="609"/>
      <c r="S34" s="1086" t="e">
        <f>IF((VLOOKUP(LA_code,'LA List'!C3:L416,10,0))=1,IF(F34=0,"Entry expected for your class",""),"")</f>
        <v>#N/A</v>
      </c>
      <c r="T34" s="631"/>
      <c r="U34" s="631"/>
      <c r="V34" s="631"/>
      <c r="W34" s="631"/>
      <c r="X34" s="631"/>
      <c r="Y34" s="631"/>
      <c r="Z34" s="631"/>
      <c r="AA34" s="631"/>
      <c r="AB34" s="631"/>
      <c r="AC34" s="631"/>
      <c r="AD34" s="609"/>
      <c r="AE34" s="609"/>
      <c r="AF34" s="609"/>
      <c r="AG34" s="609"/>
      <c r="AH34" s="609"/>
      <c r="AI34" s="609"/>
      <c r="AJ34" s="609"/>
      <c r="AK34" s="609"/>
      <c r="AL34" s="609"/>
      <c r="AM34" s="609"/>
      <c r="AN34" s="609"/>
      <c r="AO34" s="609"/>
      <c r="AP34" s="609"/>
      <c r="AQ34" s="609"/>
    </row>
    <row r="35" spans="1:95" ht="15.5" x14ac:dyDescent="0.35">
      <c r="A35" t="s">
        <v>89</v>
      </c>
      <c r="B35" s="441">
        <v>490</v>
      </c>
      <c r="C35" s="479" t="s">
        <v>90</v>
      </c>
      <c r="D35" s="471"/>
      <c r="E35" s="563" t="s">
        <v>91</v>
      </c>
      <c r="F35" s="1231">
        <f>'RO4'!L65</f>
        <v>0</v>
      </c>
      <c r="G35" s="1170" t="str">
        <f t="shared" si="1"/>
        <v/>
      </c>
      <c r="H35" s="113" t="e">
        <f>IF($F35&lt;&gt;'RO4'!$L$65,"Error",IF(S35&lt;&gt;"","Information",""))</f>
        <v>#N/A</v>
      </c>
      <c r="I35" s="528" t="e">
        <f t="shared" si="0"/>
        <v>#N/A</v>
      </c>
      <c r="J35" s="522"/>
      <c r="K35" s="511"/>
      <c r="L35" s="511"/>
      <c r="M35" s="511"/>
      <c r="N35" s="511"/>
      <c r="O35" s="511"/>
      <c r="P35" s="608"/>
      <c r="Q35" s="609"/>
      <c r="R35" s="609"/>
      <c r="S35" s="1086" t="e">
        <f>'Class check validations'!F3</f>
        <v>#N/A</v>
      </c>
      <c r="T35" s="631"/>
      <c r="U35" s="631"/>
      <c r="V35" s="631"/>
      <c r="W35" s="631"/>
      <c r="X35" s="631"/>
      <c r="Y35" s="631"/>
      <c r="Z35" s="631"/>
      <c r="AA35" s="631"/>
      <c r="AB35" s="631"/>
      <c r="AC35" s="631"/>
      <c r="AD35" s="609"/>
      <c r="AE35" s="609"/>
      <c r="AF35" s="609"/>
      <c r="AG35" s="609"/>
      <c r="AH35" s="609"/>
      <c r="AI35" s="609"/>
      <c r="AJ35" s="609"/>
      <c r="AK35" s="609"/>
      <c r="AL35" s="609"/>
      <c r="AM35" s="609"/>
      <c r="AN35" s="609"/>
      <c r="AO35" s="609"/>
      <c r="AP35" s="609"/>
      <c r="AQ35" s="609"/>
    </row>
    <row r="36" spans="1:95" ht="15.5" x14ac:dyDescent="0.35">
      <c r="A36" t="s">
        <v>92</v>
      </c>
      <c r="B36" s="441">
        <v>509</v>
      </c>
      <c r="C36" s="480" t="s">
        <v>93</v>
      </c>
      <c r="D36" s="471"/>
      <c r="E36" s="563" t="s">
        <v>94</v>
      </c>
      <c r="F36" s="1231">
        <f>'RO5'!L53</f>
        <v>0</v>
      </c>
      <c r="G36" s="1170" t="str">
        <f t="shared" si="1"/>
        <v/>
      </c>
      <c r="H36" s="113" t="e">
        <f>IF($F36&lt;&gt;'RO5'!$L$53,"Error",IF(S36&lt;&gt;"","Information",""))</f>
        <v>#N/A</v>
      </c>
      <c r="I36" s="528" t="e">
        <f t="shared" si="0"/>
        <v>#N/A</v>
      </c>
      <c r="J36" s="522"/>
      <c r="K36" s="511"/>
      <c r="L36" s="511"/>
      <c r="M36" s="511"/>
      <c r="N36" s="511"/>
      <c r="O36" s="511"/>
      <c r="P36" s="608"/>
      <c r="Q36" s="609"/>
      <c r="R36" s="609"/>
      <c r="S36" s="1086" t="e">
        <f>'Class check validations'!G3</f>
        <v>#N/A</v>
      </c>
      <c r="T36" s="631"/>
      <c r="U36" s="631"/>
      <c r="V36" s="631"/>
      <c r="W36" s="631"/>
      <c r="X36" s="631"/>
      <c r="Y36" s="631"/>
      <c r="Z36" s="631"/>
      <c r="AA36" s="631"/>
      <c r="AB36" s="631"/>
      <c r="AC36" s="631"/>
      <c r="AD36" s="609"/>
      <c r="AE36" s="609"/>
      <c r="AF36" s="609"/>
      <c r="AG36" s="609"/>
      <c r="AH36" s="609"/>
      <c r="AI36" s="609"/>
      <c r="AJ36" s="609"/>
      <c r="AK36" s="609"/>
      <c r="AL36" s="609"/>
      <c r="AM36" s="609"/>
      <c r="AN36" s="609"/>
      <c r="AO36" s="609"/>
      <c r="AP36" s="609"/>
      <c r="AQ36" s="609"/>
    </row>
    <row r="37" spans="1:95" ht="15.5" x14ac:dyDescent="0.35">
      <c r="A37" t="s">
        <v>95</v>
      </c>
      <c r="B37" s="441">
        <v>590</v>
      </c>
      <c r="C37" s="480" t="s">
        <v>96</v>
      </c>
      <c r="D37" s="471"/>
      <c r="E37" s="563" t="s">
        <v>97</v>
      </c>
      <c r="F37" s="1231">
        <f>'RO5'!L104</f>
        <v>0</v>
      </c>
      <c r="G37" s="1170" t="str">
        <f t="shared" si="1"/>
        <v/>
      </c>
      <c r="H37" s="113" t="e">
        <f>IF($F37&lt;&gt;'RO5'!$L$104,"Error",IF(S37&lt;&gt;"","Information",""))</f>
        <v>#N/A</v>
      </c>
      <c r="I37" s="528" t="e">
        <f t="shared" si="0"/>
        <v>#N/A</v>
      </c>
      <c r="J37" s="522"/>
      <c r="K37" s="511"/>
      <c r="L37" s="511"/>
      <c r="M37" s="511"/>
      <c r="N37" s="511"/>
      <c r="O37" s="511"/>
      <c r="P37" s="608"/>
      <c r="Q37" s="609"/>
      <c r="R37" s="609"/>
      <c r="S37" s="1086" t="e">
        <f>'Class check validations'!H3</f>
        <v>#N/A</v>
      </c>
      <c r="T37" s="631"/>
      <c r="U37" s="631"/>
      <c r="V37" s="631"/>
      <c r="W37" s="631"/>
      <c r="X37" s="631"/>
      <c r="Y37" s="631"/>
      <c r="Z37" s="631"/>
      <c r="AA37" s="631"/>
      <c r="AB37" s="631"/>
      <c r="AC37" s="631"/>
      <c r="AD37" s="609"/>
      <c r="AE37" s="609"/>
      <c r="AF37" s="609"/>
      <c r="AG37" s="609"/>
      <c r="AH37" s="609"/>
      <c r="AI37" s="609"/>
      <c r="AJ37" s="609"/>
      <c r="AK37" s="609"/>
      <c r="AL37" s="609"/>
      <c r="AM37" s="609"/>
      <c r="AN37" s="609"/>
      <c r="AO37" s="609"/>
      <c r="AP37" s="609"/>
      <c r="AQ37" s="609"/>
    </row>
    <row r="38" spans="1:95" ht="15.5" x14ac:dyDescent="0.35">
      <c r="A38" t="s">
        <v>98</v>
      </c>
      <c r="B38" s="441">
        <v>599</v>
      </c>
      <c r="C38" s="480" t="s">
        <v>99</v>
      </c>
      <c r="D38" s="471"/>
      <c r="E38" s="563" t="s">
        <v>100</v>
      </c>
      <c r="F38" s="1231">
        <f>'RO5'!L131</f>
        <v>0</v>
      </c>
      <c r="G38" s="1170" t="str">
        <f t="shared" si="1"/>
        <v/>
      </c>
      <c r="H38" s="113" t="e">
        <f>IF($F38&lt;&gt;'RO5'!$L$131,"Error",IF(S38&lt;&gt;"","Information",""))</f>
        <v>#N/A</v>
      </c>
      <c r="I38" s="528" t="e">
        <f t="shared" si="0"/>
        <v>#N/A</v>
      </c>
      <c r="J38" s="522"/>
      <c r="K38" s="511"/>
      <c r="L38" s="511"/>
      <c r="M38" s="511"/>
      <c r="N38" s="511"/>
      <c r="O38" s="511"/>
      <c r="P38" s="608"/>
      <c r="Q38" s="609"/>
      <c r="R38" s="609"/>
      <c r="S38" s="1087" t="e">
        <f>'Class check validations'!I3</f>
        <v>#N/A</v>
      </c>
      <c r="T38" s="631"/>
      <c r="U38" s="631"/>
      <c r="V38" s="631"/>
      <c r="W38" s="631"/>
      <c r="X38" s="631"/>
      <c r="Y38" s="631"/>
      <c r="Z38" s="631"/>
      <c r="AA38" s="631"/>
      <c r="AB38" s="631"/>
      <c r="AC38" s="631"/>
      <c r="AD38" s="609"/>
      <c r="AE38" s="609"/>
      <c r="AF38" s="609"/>
      <c r="AG38" s="609"/>
      <c r="AH38" s="609"/>
      <c r="AI38" s="609"/>
      <c r="AJ38" s="609"/>
      <c r="AK38" s="609"/>
      <c r="AL38" s="609"/>
      <c r="AM38" s="609"/>
      <c r="AN38" s="609"/>
      <c r="AO38" s="609"/>
      <c r="AP38" s="609"/>
      <c r="AQ38" s="609"/>
    </row>
    <row r="39" spans="1:95" ht="15.5" x14ac:dyDescent="0.35">
      <c r="A39" t="s">
        <v>101</v>
      </c>
      <c r="B39" s="441">
        <v>601</v>
      </c>
      <c r="C39" s="479" t="s">
        <v>102</v>
      </c>
      <c r="D39" s="471"/>
      <c r="E39" s="563" t="s">
        <v>103</v>
      </c>
      <c r="F39" s="1231">
        <f>'RO6'!L33</f>
        <v>0</v>
      </c>
      <c r="G39" s="1170" t="str">
        <f t="shared" si="1"/>
        <v/>
      </c>
      <c r="H39" s="113" t="e">
        <f>IF($F39&lt;&gt;'RO6'!$L$33,"Error",IF(S39&lt;&gt;"","Information",""))</f>
        <v>#N/A</v>
      </c>
      <c r="I39" s="528" t="e">
        <f t="shared" si="0"/>
        <v>#N/A</v>
      </c>
      <c r="J39" s="522"/>
      <c r="K39" s="511"/>
      <c r="L39" s="511"/>
      <c r="M39" s="511"/>
      <c r="N39" s="511"/>
      <c r="O39" s="511"/>
      <c r="P39" s="608"/>
      <c r="Q39" s="609"/>
      <c r="R39" s="609"/>
      <c r="S39" s="1086" t="e">
        <f>'Class check validations'!J3</f>
        <v>#N/A</v>
      </c>
      <c r="T39" s="631"/>
      <c r="U39" s="631"/>
      <c r="V39" s="631"/>
      <c r="W39" s="631"/>
      <c r="X39" s="631"/>
      <c r="Y39" s="631"/>
      <c r="Z39" s="631"/>
      <c r="AA39" s="631"/>
      <c r="AB39" s="631"/>
      <c r="AC39" s="631"/>
      <c r="AD39" s="609"/>
      <c r="AE39" s="609"/>
      <c r="AF39" s="609"/>
      <c r="AG39" s="609"/>
      <c r="AH39" s="609"/>
      <c r="AI39" s="609"/>
      <c r="AJ39" s="609"/>
      <c r="AK39" s="609"/>
      <c r="AL39" s="609"/>
      <c r="AM39" s="609"/>
      <c r="AN39" s="609"/>
      <c r="AO39" s="609"/>
      <c r="AP39" s="609"/>
      <c r="AQ39" s="609"/>
    </row>
    <row r="40" spans="1:95" ht="15.5" x14ac:dyDescent="0.35">
      <c r="A40" t="s">
        <v>104</v>
      </c>
      <c r="B40" s="441">
        <v>602</v>
      </c>
      <c r="C40" s="479" t="s">
        <v>105</v>
      </c>
      <c r="D40" s="471"/>
      <c r="E40" s="563" t="s">
        <v>106</v>
      </c>
      <c r="F40" s="1231">
        <f>'RO6'!L46</f>
        <v>0</v>
      </c>
      <c r="G40" s="1170" t="str">
        <f t="shared" si="1"/>
        <v/>
      </c>
      <c r="H40" s="113" t="e">
        <f>IF($F40&lt;&gt;'RO6'!$L$46,"Error",IF(S40&lt;&gt;"","Information",""))</f>
        <v>#N/A</v>
      </c>
      <c r="I40" s="528" t="e">
        <f t="shared" si="0"/>
        <v>#N/A</v>
      </c>
      <c r="J40" s="522"/>
      <c r="K40" s="511"/>
      <c r="L40" s="511"/>
      <c r="M40" s="511"/>
      <c r="N40" s="511"/>
      <c r="O40" s="511"/>
      <c r="P40" s="608"/>
      <c r="Q40" s="609"/>
      <c r="R40" s="609"/>
      <c r="S40" s="1086" t="e">
        <f>'Class check validations'!K3</f>
        <v>#N/A</v>
      </c>
      <c r="T40" s="631"/>
      <c r="U40" s="631"/>
      <c r="V40" s="631"/>
      <c r="W40" s="631"/>
      <c r="X40" s="631"/>
      <c r="Y40" s="631"/>
      <c r="Z40" s="631"/>
      <c r="AA40" s="631"/>
      <c r="AB40" s="631"/>
      <c r="AC40" s="631"/>
      <c r="AD40" s="609"/>
      <c r="AE40" s="609"/>
      <c r="AF40" s="609"/>
      <c r="AG40" s="609"/>
      <c r="AH40" s="609"/>
      <c r="AI40" s="609"/>
      <c r="AJ40" s="609"/>
      <c r="AK40" s="609"/>
      <c r="AL40" s="609"/>
      <c r="AM40" s="609"/>
      <c r="AN40" s="609"/>
      <c r="AO40" s="609"/>
      <c r="AP40" s="609"/>
      <c r="AQ40" s="609"/>
    </row>
    <row r="41" spans="1:95" ht="15.5" x14ac:dyDescent="0.35">
      <c r="A41" t="s">
        <v>107</v>
      </c>
      <c r="B41" s="441">
        <v>690</v>
      </c>
      <c r="C41" s="479" t="s">
        <v>108</v>
      </c>
      <c r="D41" s="471"/>
      <c r="E41" s="563" t="s">
        <v>109</v>
      </c>
      <c r="F41" s="1231">
        <f>'RO6'!L93</f>
        <v>0</v>
      </c>
      <c r="G41" s="1170" t="str">
        <f t="shared" si="1"/>
        <v/>
      </c>
      <c r="H41" s="113" t="e">
        <f>IF($F41&lt;&gt;'RO6'!$L$93,"Error",IF(S41&lt;&gt;"","Information",""))</f>
        <v>#N/A</v>
      </c>
      <c r="I41" s="528" t="e">
        <f t="shared" si="0"/>
        <v>#N/A</v>
      </c>
      <c r="J41" s="522"/>
      <c r="K41" s="511"/>
      <c r="L41" s="511"/>
      <c r="M41" s="511"/>
      <c r="N41" s="511"/>
      <c r="O41" s="511"/>
      <c r="P41" s="608"/>
      <c r="Q41" s="609"/>
      <c r="R41" s="609"/>
      <c r="S41" s="1087" t="e">
        <f>IF(F41=0,S38,"")</f>
        <v>#N/A</v>
      </c>
      <c r="T41" s="631"/>
      <c r="U41" s="631"/>
      <c r="V41" s="631"/>
      <c r="W41" s="631"/>
      <c r="X41" s="631"/>
      <c r="Y41" s="631"/>
      <c r="Z41" s="631"/>
      <c r="AA41" s="631"/>
      <c r="AB41" s="631"/>
      <c r="AC41" s="631"/>
      <c r="AD41" s="609"/>
      <c r="AE41" s="609"/>
      <c r="AF41" s="609"/>
      <c r="AG41" s="609"/>
      <c r="AH41" s="609"/>
      <c r="AI41" s="609"/>
      <c r="AJ41" s="609"/>
      <c r="AK41" s="609"/>
      <c r="AL41" s="609"/>
      <c r="AM41" s="609"/>
      <c r="AN41" s="609"/>
      <c r="AO41" s="609"/>
      <c r="AP41" s="609"/>
      <c r="AQ41" s="609"/>
    </row>
    <row r="42" spans="1:95" ht="15.5" x14ac:dyDescent="0.35">
      <c r="A42" t="s">
        <v>110</v>
      </c>
      <c r="B42" s="441">
        <v>698</v>
      </c>
      <c r="C42" s="479" t="s">
        <v>111</v>
      </c>
      <c r="D42" s="471"/>
      <c r="E42" s="563" t="s">
        <v>112</v>
      </c>
      <c r="F42" s="1231">
        <f>'RO6'!L121</f>
        <v>0</v>
      </c>
      <c r="G42" s="1170" t="str">
        <f t="shared" si="1"/>
        <v/>
      </c>
      <c r="H42" s="113" t="str">
        <f>IF($F42&lt;&gt;'RO6'!$L$121,"Error",IF(S42&lt;&gt;"","Information",""))</f>
        <v/>
      </c>
      <c r="I42" s="528" t="str">
        <f t="shared" si="0"/>
        <v/>
      </c>
      <c r="J42" s="522"/>
      <c r="K42" s="511"/>
      <c r="L42" s="511"/>
      <c r="M42" s="511"/>
      <c r="N42" s="511"/>
      <c r="O42" s="511"/>
      <c r="P42" s="608"/>
      <c r="Q42" s="609"/>
      <c r="R42" s="609"/>
      <c r="S42" s="1093"/>
      <c r="T42" s="631"/>
      <c r="U42" s="631"/>
      <c r="V42" s="631"/>
      <c r="W42" s="631"/>
      <c r="X42" s="631"/>
      <c r="Y42" s="631"/>
      <c r="Z42" s="631"/>
      <c r="AA42" s="631"/>
      <c r="AB42" s="631"/>
      <c r="AC42" s="631"/>
      <c r="AD42" s="609"/>
      <c r="AE42" s="609"/>
      <c r="AF42" s="609"/>
      <c r="AG42" s="609"/>
      <c r="AH42" s="609"/>
      <c r="AI42" s="609"/>
      <c r="AJ42" s="609"/>
      <c r="AK42" s="609"/>
      <c r="AL42" s="609"/>
      <c r="AM42" s="609"/>
      <c r="AN42" s="609"/>
      <c r="AO42" s="609"/>
      <c r="AP42" s="609"/>
      <c r="AQ42" s="609"/>
    </row>
    <row r="43" spans="1:95" s="30" customFormat="1" ht="18" x14ac:dyDescent="0.4">
      <c r="A43" s="345" t="s">
        <v>113</v>
      </c>
      <c r="B43" s="481">
        <v>699</v>
      </c>
      <c r="C43" s="482" t="s">
        <v>114</v>
      </c>
      <c r="D43" s="471"/>
      <c r="E43" s="149" t="s">
        <v>115</v>
      </c>
      <c r="F43" s="1245">
        <f>SUM(F30:F42)</f>
        <v>0</v>
      </c>
      <c r="G43" s="1170" t="str">
        <f t="shared" si="1"/>
        <v/>
      </c>
      <c r="H43" s="113" t="str">
        <f>IF($F43&lt;&gt;RSX!$L$45,"Error",IF(S43&lt;&gt;"","Information",""))</f>
        <v/>
      </c>
      <c r="I43" s="528" t="str">
        <f t="shared" si="0"/>
        <v/>
      </c>
      <c r="J43" s="527"/>
      <c r="K43" s="514"/>
      <c r="L43" s="514"/>
      <c r="M43" s="514"/>
      <c r="N43" s="514"/>
      <c r="O43" s="514"/>
      <c r="P43" s="610"/>
      <c r="Q43" s="615"/>
      <c r="R43" s="615"/>
      <c r="S43" s="1094"/>
      <c r="T43" s="1095"/>
      <c r="U43" s="109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row>
    <row r="44" spans="1:95" s="30" customFormat="1" ht="18" x14ac:dyDescent="0.4">
      <c r="A44" s="352"/>
      <c r="B44" s="481"/>
      <c r="C44" s="482"/>
      <c r="D44" s="471"/>
      <c r="E44" s="149"/>
      <c r="F44" s="433"/>
      <c r="G44" s="1170"/>
      <c r="H44" s="113"/>
      <c r="I44" s="528"/>
      <c r="J44" s="527"/>
      <c r="K44" s="514"/>
      <c r="L44" s="514"/>
      <c r="M44" s="514"/>
      <c r="N44" s="514"/>
      <c r="O44" s="514"/>
      <c r="P44" s="610"/>
      <c r="Q44" s="615"/>
      <c r="R44" s="615"/>
      <c r="S44" s="1094"/>
      <c r="T44" s="1095"/>
      <c r="U44" s="109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c r="AT44" s="615"/>
      <c r="AU44" s="615"/>
      <c r="AV44" s="615"/>
      <c r="AW44" s="615"/>
      <c r="AX44" s="615"/>
      <c r="AY44" s="615"/>
      <c r="AZ44" s="615"/>
      <c r="BA44" s="615"/>
      <c r="BB44" s="615"/>
      <c r="BC44" s="615"/>
      <c r="BD44" s="615"/>
      <c r="BE44" s="615"/>
      <c r="BF44" s="615"/>
      <c r="BG44" s="615"/>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c r="CI44" s="615"/>
      <c r="CJ44" s="615"/>
      <c r="CK44" s="615"/>
      <c r="CL44" s="615"/>
      <c r="CM44" s="615"/>
      <c r="CN44" s="615"/>
      <c r="CO44" s="615"/>
      <c r="CP44" s="615"/>
      <c r="CQ44" s="615"/>
    </row>
    <row r="45" spans="1:95" ht="15.5" x14ac:dyDescent="0.35">
      <c r="A45" t="s">
        <v>116</v>
      </c>
      <c r="B45" s="441">
        <v>711</v>
      </c>
      <c r="C45" s="483" t="s">
        <v>117</v>
      </c>
      <c r="D45" s="483"/>
      <c r="E45" s="76"/>
      <c r="F45" s="1246"/>
      <c r="G45" s="1170" t="str">
        <f>IF(ISERROR(H45),"",IF((H45="Error"),"add explanation",IF((H45="Warning"),"add explanation","")))</f>
        <v/>
      </c>
      <c r="H45" s="113" t="e">
        <f>IF(S45&lt;&gt;"","Warning","")</f>
        <v>#N/A</v>
      </c>
      <c r="I45" s="528" t="e">
        <f>IF($H45="Warning",$S45,IF(AC45="Warning","This year's figure is over "&amp;U45/1000&amp;" million and "&amp;(T45*100)&amp;"% different to "&amp;TEXT(V45,"#,###")&amp;" last year, please explain",""))</f>
        <v>#N/A</v>
      </c>
      <c r="J45" s="522"/>
      <c r="K45" s="511"/>
      <c r="L45" s="511"/>
      <c r="M45" s="511"/>
      <c r="N45" s="511"/>
      <c r="O45" s="511"/>
      <c r="P45" s="608"/>
      <c r="Q45" s="609"/>
      <c r="R45" s="609"/>
      <c r="S45" s="616" t="e">
        <f>'Class check validations'!P3</f>
        <v>#N/A</v>
      </c>
      <c r="T45" s="631">
        <f>VLOOKUP("RS"&amp;$B45,data_val_parameters,8,0)/100</f>
        <v>0.4</v>
      </c>
      <c r="U45" s="631">
        <f>VLOOKUP("RS"&amp;$B45,data_val_parameters,7,0)</f>
        <v>4000</v>
      </c>
      <c r="V45" s="631" t="e">
        <f>VLOOKUP(LA_code,data_prev_year,MATCH("RS"&amp;$B45&amp;"1",data_prev_year_headers,0),0)</f>
        <v>#N/A</v>
      </c>
      <c r="W45" s="631" t="e">
        <f>V45+U45</f>
        <v>#N/A</v>
      </c>
      <c r="X45" s="631" t="e">
        <f>V45-U45</f>
        <v>#N/A</v>
      </c>
      <c r="Y45" s="631" t="e">
        <f>V45+(V45*T45)</f>
        <v>#N/A</v>
      </c>
      <c r="Z45" s="631" t="e">
        <f>V45-(V45*T45)</f>
        <v>#N/A</v>
      </c>
      <c r="AA45" s="631" t="e">
        <f>IF(OR(F45&lt;X45,F45&gt;W45),"Warning","")</f>
        <v>#N/A</v>
      </c>
      <c r="AB45" s="631" t="e">
        <f>IF(OR(F45&gt;(Y45),F45&lt;(Z45)),"Warning","")</f>
        <v>#N/A</v>
      </c>
      <c r="AC45" s="631" t="str">
        <f>IF(OR(F45=0),"",IF(AND(AA45="Warning",AB45="Warning"),"Warning",""))</f>
        <v/>
      </c>
      <c r="AD45" s="609"/>
      <c r="AE45" s="609"/>
      <c r="AF45" s="609"/>
      <c r="AG45" s="609"/>
      <c r="AH45" s="609"/>
      <c r="AI45" s="609"/>
      <c r="AJ45" s="609"/>
      <c r="AK45" s="609"/>
      <c r="AL45" s="609"/>
      <c r="AM45" s="609"/>
      <c r="AN45" s="609"/>
      <c r="AO45" s="609"/>
      <c r="AP45" s="609"/>
      <c r="AQ45" s="609"/>
    </row>
    <row r="46" spans="1:95" ht="15.5" x14ac:dyDescent="0.35">
      <c r="A46" t="s">
        <v>118</v>
      </c>
      <c r="B46" s="441">
        <v>712</v>
      </c>
      <c r="C46" s="483" t="s">
        <v>119</v>
      </c>
      <c r="D46" s="483"/>
      <c r="E46" s="150"/>
      <c r="F46" s="1246"/>
      <c r="G46" s="1170" t="str">
        <f>IF(ISERROR(H46),"",IF((H46="Error"),"add explanation",IF((H46="Warning"),"add explanation","")))</f>
        <v/>
      </c>
      <c r="H46" s="113" t="e">
        <f>IF(S46&lt;&gt;"","Warning","")</f>
        <v>#N/A</v>
      </c>
      <c r="I46" s="528" t="e">
        <f>IF($H46="Warning",$S46,IF(AC46="Warning","This year's figure is over "&amp;U46/1000&amp;" million and "&amp;(T46*100)&amp;"% different to "&amp;TEXT(V46,"#,###")&amp;" last year, please explain",""))</f>
        <v>#N/A</v>
      </c>
      <c r="J46" s="522"/>
      <c r="K46" s="511"/>
      <c r="L46" s="511"/>
      <c r="M46" s="511"/>
      <c r="N46" s="511"/>
      <c r="O46" s="511"/>
      <c r="P46" s="608"/>
      <c r="Q46" s="609"/>
      <c r="R46" s="609"/>
      <c r="S46" s="616" t="e">
        <f>'Class check validations'!Q3</f>
        <v>#N/A</v>
      </c>
      <c r="T46" s="631">
        <f>VLOOKUP("RS"&amp;$B46,data_val_parameters,8,0)/100</f>
        <v>0.4</v>
      </c>
      <c r="U46" s="631">
        <f>VLOOKUP("RS"&amp;$B46,data_val_parameters,7,0)</f>
        <v>8000</v>
      </c>
      <c r="V46" s="631" t="e">
        <f>VLOOKUP(LA_code,data_prev_year,MATCH("RS"&amp;$B46&amp;"1",data_prev_year_headers,0),0)</f>
        <v>#N/A</v>
      </c>
      <c r="W46" s="631" t="e">
        <f t="shared" ref="W46:W49" si="2">V46+U46</f>
        <v>#N/A</v>
      </c>
      <c r="X46" s="631" t="e">
        <f t="shared" ref="X46:X49" si="3">V46-U46</f>
        <v>#N/A</v>
      </c>
      <c r="Y46" s="631" t="e">
        <f t="shared" ref="Y46:Y49" si="4">V46+(V46*T46)</f>
        <v>#N/A</v>
      </c>
      <c r="Z46" s="631" t="e">
        <f t="shared" ref="Z46:Z49" si="5">V46-(V46*T46)</f>
        <v>#N/A</v>
      </c>
      <c r="AA46" s="631" t="e">
        <f>IF(OR(F46&lt;X46,F46&gt;W46),"Warning","")</f>
        <v>#N/A</v>
      </c>
      <c r="AB46" s="631" t="e">
        <f>IF(OR(F46&gt;(Y46),F46&lt;(Z46)),"Warning","")</f>
        <v>#N/A</v>
      </c>
      <c r="AC46" s="631" t="str">
        <f>IF(OR(F46=0),"",IF(AND(AA46="Warning",AB46="Warning"),"Warning",""))</f>
        <v/>
      </c>
      <c r="AD46" s="609"/>
      <c r="AE46" s="609"/>
      <c r="AF46" s="609"/>
      <c r="AG46" s="609"/>
      <c r="AH46" s="609"/>
      <c r="AI46" s="609"/>
      <c r="AJ46" s="609"/>
      <c r="AK46" s="609"/>
      <c r="AL46" s="609"/>
      <c r="AM46" s="609"/>
      <c r="AN46" s="609"/>
      <c r="AO46" s="609"/>
      <c r="AP46" s="609"/>
      <c r="AQ46" s="609"/>
    </row>
    <row r="47" spans="1:95" ht="15.5" x14ac:dyDescent="0.35">
      <c r="A47" t="s">
        <v>120</v>
      </c>
      <c r="B47" s="441">
        <v>713</v>
      </c>
      <c r="C47" s="483" t="s">
        <v>121</v>
      </c>
      <c r="D47" s="483"/>
      <c r="E47" s="150"/>
      <c r="F47" s="1246"/>
      <c r="G47" s="1170" t="str">
        <f t="shared" ref="G47:G49" si="6">IF(ISERROR(H47),"",IF((H47="Error"),"add explanation",IF((H47="Warning"),"add explanation","")))</f>
        <v/>
      </c>
      <c r="H47" s="113" t="str">
        <f>IF(AC47="Warning","Warning","")</f>
        <v/>
      </c>
      <c r="I47" s="528" t="str">
        <f>IF($H47="Warning","This year's figure is over "&amp;U47/1000&amp;" million and "&amp;(T47*100)&amp;"% different to "&amp;TEXT(V47,"#,###")&amp;" last year, please explain","")</f>
        <v/>
      </c>
      <c r="J47" s="522"/>
      <c r="K47" s="511"/>
      <c r="L47" s="511"/>
      <c r="M47" s="511"/>
      <c r="N47" s="511"/>
      <c r="O47" s="511"/>
      <c r="P47" s="608"/>
      <c r="Q47" s="609"/>
      <c r="R47" s="609"/>
      <c r="S47" s="616" t="e">
        <f>'Class check validations'!R3</f>
        <v>#N/A</v>
      </c>
      <c r="T47" s="631">
        <f>VLOOKUP("RS"&amp;$B47,data_val_parameters,8,0)/100</f>
        <v>0.4</v>
      </c>
      <c r="U47" s="631">
        <f>VLOOKUP("RS"&amp;$B47,data_val_parameters,7,0)</f>
        <v>4000</v>
      </c>
      <c r="V47" s="631" t="e">
        <f>VLOOKUP(LA_code,data_prev_year,MATCH("RS"&amp;$B47&amp;"1",data_prev_year_headers,0),0)</f>
        <v>#N/A</v>
      </c>
      <c r="W47" s="631" t="e">
        <f t="shared" si="2"/>
        <v>#N/A</v>
      </c>
      <c r="X47" s="631" t="e">
        <f t="shared" si="3"/>
        <v>#N/A</v>
      </c>
      <c r="Y47" s="631" t="e">
        <f t="shared" si="4"/>
        <v>#N/A</v>
      </c>
      <c r="Z47" s="631" t="e">
        <f t="shared" si="5"/>
        <v>#N/A</v>
      </c>
      <c r="AA47" s="631" t="e">
        <f>IF(OR(F47&lt;X47,F47&gt;W47),"Warning","")</f>
        <v>#N/A</v>
      </c>
      <c r="AB47" s="631" t="e">
        <f>IF(OR(F47&gt;(Y47),F47&lt;(Z47)),"Warning","")</f>
        <v>#N/A</v>
      </c>
      <c r="AC47" s="631" t="str">
        <f>IF(OR(F47=0),"",IF(AND(AA47="Warning",AB47="Warning"),"Warning",""))</f>
        <v/>
      </c>
      <c r="AD47" s="609"/>
      <c r="AE47" s="609"/>
      <c r="AF47" s="609"/>
      <c r="AG47" s="609"/>
      <c r="AH47" s="609"/>
      <c r="AI47" s="609"/>
      <c r="AJ47" s="609"/>
      <c r="AK47" s="609"/>
      <c r="AL47" s="609"/>
      <c r="AM47" s="609"/>
      <c r="AN47" s="609"/>
      <c r="AO47" s="609"/>
      <c r="AP47" s="609"/>
      <c r="AQ47" s="609"/>
    </row>
    <row r="48" spans="1:95" ht="15.5" x14ac:dyDescent="0.35">
      <c r="A48" t="s">
        <v>122</v>
      </c>
      <c r="B48" s="441">
        <v>714</v>
      </c>
      <c r="C48" s="483" t="s">
        <v>123</v>
      </c>
      <c r="D48" s="483"/>
      <c r="E48" s="1165"/>
      <c r="F48" s="1246"/>
      <c r="G48" s="1170" t="str">
        <f t="shared" si="6"/>
        <v/>
      </c>
      <c r="H48" s="113" t="str">
        <f t="shared" ref="H48:H49" si="7">IF(AC48="Warning","Warning","")</f>
        <v/>
      </c>
      <c r="I48" s="528" t="str">
        <f>IF($H48="Warning","This year's figure is over "&amp;U48/1000&amp;" million and "&amp;(T48*100)&amp;"% different to "&amp;TEXT(V48,"#,###")&amp;" last year, please explain","")</f>
        <v/>
      </c>
      <c r="J48" s="522"/>
      <c r="K48" s="511"/>
      <c r="L48" s="511"/>
      <c r="M48" s="511"/>
      <c r="N48" s="511"/>
      <c r="O48" s="511"/>
      <c r="P48" s="608"/>
      <c r="Q48" s="609"/>
      <c r="R48" s="609"/>
      <c r="S48" s="616"/>
      <c r="T48" s="631">
        <f>VLOOKUP("RS"&amp;$B48,data_val_parameters,8,0)/100</f>
        <v>0.4</v>
      </c>
      <c r="U48" s="631">
        <f>VLOOKUP("RS"&amp;$B48,data_val_parameters,7,0)</f>
        <v>4000</v>
      </c>
      <c r="V48" s="631" t="e">
        <f>VLOOKUP(LA_code,data_prev_year,MATCH("RS"&amp;$B48&amp;"1",data_prev_year_headers,0),0)</f>
        <v>#N/A</v>
      </c>
      <c r="W48" s="631" t="e">
        <f t="shared" si="2"/>
        <v>#N/A</v>
      </c>
      <c r="X48" s="631" t="e">
        <f t="shared" si="3"/>
        <v>#N/A</v>
      </c>
      <c r="Y48" s="631" t="e">
        <f t="shared" si="4"/>
        <v>#N/A</v>
      </c>
      <c r="Z48" s="631" t="e">
        <f t="shared" si="5"/>
        <v>#N/A</v>
      </c>
      <c r="AA48" s="631" t="e">
        <f>IF(OR(F48&lt;X48,F48&gt;W48),"Warning","")</f>
        <v>#N/A</v>
      </c>
      <c r="AB48" s="631" t="e">
        <f>IF(OR(F48&gt;(Y48),F48&lt;(Z48)),"Warning","")</f>
        <v>#N/A</v>
      </c>
      <c r="AC48" s="631" t="str">
        <f>IF(OR(F48=0),"",IF(AND(AA48="Warning",AB48="Warning"),"Warning",""))</f>
        <v/>
      </c>
      <c r="AD48" s="609"/>
      <c r="AE48" s="609"/>
      <c r="AF48" s="609"/>
      <c r="AG48" s="609"/>
      <c r="AH48" s="609"/>
      <c r="AI48" s="609"/>
      <c r="AJ48" s="609"/>
      <c r="AK48" s="609"/>
      <c r="AL48" s="609"/>
      <c r="AM48" s="609"/>
      <c r="AN48" s="609"/>
      <c r="AO48" s="609"/>
      <c r="AP48" s="609"/>
      <c r="AQ48" s="609"/>
    </row>
    <row r="49" spans="1:95" ht="15.5" x14ac:dyDescent="0.35">
      <c r="A49" t="s">
        <v>124</v>
      </c>
      <c r="B49" s="441">
        <v>718</v>
      </c>
      <c r="C49" s="483" t="s">
        <v>125</v>
      </c>
      <c r="D49" s="483"/>
      <c r="E49" s="150"/>
      <c r="F49" s="1246"/>
      <c r="G49" s="1170" t="str">
        <f t="shared" si="6"/>
        <v/>
      </c>
      <c r="H49" s="113" t="str">
        <f t="shared" si="7"/>
        <v/>
      </c>
      <c r="I49" s="528" t="str">
        <f>IF($H49="Warning","This year's figure is over "&amp;U49/1000&amp;" million and "&amp;(T49*100)&amp;"% different to "&amp;TEXT(V49,"#,###")&amp;" last year, please explain","")</f>
        <v/>
      </c>
      <c r="J49" s="522"/>
      <c r="K49" s="511"/>
      <c r="L49" s="511"/>
      <c r="M49" s="511"/>
      <c r="N49" s="511"/>
      <c r="O49" s="511"/>
      <c r="P49" s="608"/>
      <c r="Q49" s="609"/>
      <c r="R49" s="609"/>
      <c r="S49" s="616" t="e">
        <f>'Class check validations'!O3</f>
        <v>#N/A</v>
      </c>
      <c r="T49" s="631">
        <f>VLOOKUP("RS"&amp;$B49,data_val_parameters,8,0)/100</f>
        <v>0.4</v>
      </c>
      <c r="U49" s="631">
        <f>VLOOKUP("RS"&amp;$B49,data_val_parameters,7,0)</f>
        <v>4000</v>
      </c>
      <c r="V49" s="631" t="e">
        <f>VLOOKUP(LA_code,data_prev_year,MATCH("RS"&amp;$B49&amp;"1",data_prev_year_headers,0),0)</f>
        <v>#N/A</v>
      </c>
      <c r="W49" s="631" t="e">
        <f t="shared" si="2"/>
        <v>#N/A</v>
      </c>
      <c r="X49" s="631" t="e">
        <f t="shared" si="3"/>
        <v>#N/A</v>
      </c>
      <c r="Y49" s="631" t="e">
        <f t="shared" si="4"/>
        <v>#N/A</v>
      </c>
      <c r="Z49" s="631" t="e">
        <f t="shared" si="5"/>
        <v>#N/A</v>
      </c>
      <c r="AA49" s="631" t="e">
        <f>IF(OR(F49&lt;X49,F49&gt;W49),"Warning","")</f>
        <v>#N/A</v>
      </c>
      <c r="AB49" s="631" t="e">
        <f>IF(OR(F49&gt;(Y49),F49&lt;(Z49)),"Warning","")</f>
        <v>#N/A</v>
      </c>
      <c r="AC49" s="631" t="str">
        <f>IF(OR(F49=0),"",IF(AND(AA49="Warning",AB49="Warning"),"Warning",""))</f>
        <v/>
      </c>
      <c r="AD49" s="609"/>
      <c r="AE49" s="609"/>
      <c r="AF49" s="609"/>
      <c r="AG49" s="609"/>
      <c r="AH49" s="609"/>
      <c r="AI49" s="609"/>
      <c r="AJ49" s="609"/>
      <c r="AK49" s="609"/>
      <c r="AL49" s="609"/>
      <c r="AM49" s="609"/>
      <c r="AN49" s="609"/>
      <c r="AO49" s="609"/>
      <c r="AP49" s="609"/>
      <c r="AQ49" s="609"/>
    </row>
    <row r="50" spans="1:95" ht="15.5" x14ac:dyDescent="0.35">
      <c r="B50" s="441"/>
      <c r="C50" s="483"/>
      <c r="D50" s="483"/>
      <c r="E50" s="6"/>
      <c r="F50" s="26"/>
      <c r="G50" s="1170"/>
      <c r="H50" s="113"/>
      <c r="I50" s="528"/>
      <c r="J50" s="522"/>
      <c r="K50" s="511"/>
      <c r="L50" s="511"/>
      <c r="M50" s="511"/>
      <c r="N50" s="511"/>
      <c r="O50" s="511"/>
      <c r="P50" s="608"/>
      <c r="Q50" s="609"/>
      <c r="R50" s="609"/>
      <c r="S50" s="1088"/>
      <c r="T50" s="631"/>
      <c r="U50" s="631"/>
      <c r="V50" s="631"/>
      <c r="W50" s="631"/>
      <c r="X50" s="631"/>
      <c r="Y50" s="631"/>
      <c r="Z50" s="631"/>
      <c r="AA50" s="631"/>
      <c r="AB50" s="631"/>
      <c r="AC50" s="631"/>
      <c r="AD50" s="609"/>
      <c r="AE50" s="609"/>
      <c r="AF50" s="609"/>
      <c r="AG50" s="609"/>
      <c r="AH50" s="609"/>
      <c r="AI50" s="609"/>
      <c r="AJ50" s="609"/>
      <c r="AK50" s="609"/>
      <c r="AL50" s="609"/>
      <c r="AM50" s="609"/>
      <c r="AN50" s="609"/>
      <c r="AO50" s="609"/>
      <c r="AP50" s="609"/>
      <c r="AQ50" s="609"/>
    </row>
    <row r="51" spans="1:95" s="3" customFormat="1" ht="16.399999999999999" customHeight="1" x14ac:dyDescent="0.4">
      <c r="B51" s="484" t="s">
        <v>126</v>
      </c>
      <c r="C51" s="485"/>
      <c r="D51" s="480"/>
      <c r="E51" s="6"/>
      <c r="F51" s="28"/>
      <c r="G51" s="1170"/>
      <c r="H51" s="113"/>
      <c r="I51" s="528"/>
      <c r="J51" s="527"/>
      <c r="K51" s="514"/>
      <c r="L51" s="514"/>
      <c r="M51" s="514"/>
      <c r="N51" s="514"/>
      <c r="O51" s="514"/>
      <c r="P51" s="610"/>
      <c r="Q51" s="617"/>
      <c r="R51" s="617"/>
      <c r="S51" s="618"/>
      <c r="T51" s="631"/>
      <c r="U51" s="1095"/>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c r="CA51" s="617"/>
      <c r="CB51" s="617"/>
      <c r="CC51" s="617"/>
      <c r="CD51" s="617"/>
      <c r="CE51" s="617"/>
      <c r="CF51" s="617"/>
      <c r="CG51" s="617"/>
      <c r="CH51" s="617"/>
      <c r="CI51" s="617"/>
      <c r="CJ51" s="617"/>
      <c r="CK51" s="617"/>
      <c r="CL51" s="617"/>
      <c r="CM51" s="617"/>
      <c r="CN51" s="617"/>
      <c r="CO51" s="617"/>
      <c r="CP51" s="617"/>
      <c r="CQ51" s="617"/>
    </row>
    <row r="52" spans="1:95" ht="15.5" x14ac:dyDescent="0.35">
      <c r="A52" t="s">
        <v>127</v>
      </c>
      <c r="B52" s="441">
        <v>721</v>
      </c>
      <c r="C52" s="399" t="s">
        <v>128</v>
      </c>
      <c r="D52" s="399"/>
      <c r="E52" s="70"/>
      <c r="F52" s="1247" t="e">
        <f>INDEX('LA Data'!$A$3:$AR$417,MATCH($B$22,'LA Data'!$A$3:$A$417,0),MATCH(A52,'LA Data'!$A$3:$AR$3,0))</f>
        <v>#N/A</v>
      </c>
      <c r="G52" s="1170" t="str">
        <f t="shared" ref="G52:G63" si="8">IF(ISERROR(H52),"",IF((H52="Error"),"add explanation",IF((H52="Warning"),"add explanation","")))</f>
        <v/>
      </c>
      <c r="H52" s="342" t="e">
        <f>IF(ABS(F52-VLOOKUP($B$22,LA_Data,16,FALSE))&lt;2,"","Error")</f>
        <v>#N/A</v>
      </c>
      <c r="I52" s="528" t="e">
        <f>IF(ABS(F52-VLOOKUP($B$22,LA_Data,17,FALSE))&lt;2,"",("Does not match the figure in CTR, "&amp;TEXT(VLOOKUP($B$22,LA_Data,17,FALSE),"#,##0"))&amp;" expected here. Please refer to the RS notes.")</f>
        <v>#N/A</v>
      </c>
      <c r="J52" s="522"/>
      <c r="K52" s="511"/>
      <c r="L52" s="511"/>
      <c r="M52" s="511"/>
      <c r="N52" s="511"/>
      <c r="O52" s="511"/>
      <c r="P52" s="608"/>
      <c r="Q52" s="609"/>
      <c r="R52" s="609"/>
      <c r="S52" s="1088"/>
      <c r="T52" s="631">
        <f t="shared" ref="T52:T62" si="9">VLOOKUP("RS"&amp;$B52,data_val_parameters,8,0)/100</f>
        <v>0.4</v>
      </c>
      <c r="U52" s="631">
        <f t="shared" ref="U52:U62" si="10">VLOOKUP("RS"&amp;$B52,data_val_parameters,7,0)</f>
        <v>4000</v>
      </c>
      <c r="V52" s="631" t="e">
        <f t="shared" ref="V52:V62" si="11">VLOOKUP(LA_code,data_prev_year,MATCH("RS"&amp;$B52&amp;"1",data_prev_year_headers,0),0)</f>
        <v>#N/A</v>
      </c>
      <c r="W52" s="631" t="e">
        <f t="shared" ref="W52" si="12">V52+U52</f>
        <v>#N/A</v>
      </c>
      <c r="X52" s="631" t="e">
        <f t="shared" ref="X52" si="13">V52-U52</f>
        <v>#N/A</v>
      </c>
      <c r="Y52" s="631" t="e">
        <f t="shared" ref="Y52" si="14">V52+(V52*T52)</f>
        <v>#N/A</v>
      </c>
      <c r="Z52" s="631" t="e">
        <f t="shared" ref="Z52" si="15">V52-(V52*T52)</f>
        <v>#N/A</v>
      </c>
      <c r="AA52" s="631" t="e">
        <f t="shared" ref="AA52:AA62" si="16">IF(OR(F52&lt;X52,F52&gt;W52),"Warning","")</f>
        <v>#N/A</v>
      </c>
      <c r="AB52" s="631" t="e">
        <f t="shared" ref="AB52:AB62" si="17">IF(OR(F52&gt;(Y52),F52&lt;(Z52)),"Warning","")</f>
        <v>#N/A</v>
      </c>
      <c r="AC52" s="631" t="e">
        <f t="shared" ref="AC52:AC62" si="18">IF(OR(F52=0),"",IF(AND(AA52="Warning",AB52="Warning"),"Warning",""))</f>
        <v>#N/A</v>
      </c>
      <c r="AD52" s="609"/>
      <c r="AE52" s="609"/>
      <c r="AF52" s="609"/>
      <c r="AG52" s="609"/>
      <c r="AH52" s="609"/>
      <c r="AI52" s="609"/>
      <c r="AJ52" s="609"/>
      <c r="AK52" s="609"/>
      <c r="AL52" s="609"/>
      <c r="AM52" s="609"/>
      <c r="AN52" s="609"/>
      <c r="AO52" s="609"/>
      <c r="AP52" s="609"/>
      <c r="AQ52" s="609"/>
    </row>
    <row r="53" spans="1:95" ht="15.5" x14ac:dyDescent="0.35">
      <c r="A53" t="s">
        <v>129</v>
      </c>
      <c r="B53" s="441">
        <v>722</v>
      </c>
      <c r="C53" s="399" t="s">
        <v>130</v>
      </c>
      <c r="D53" s="399"/>
      <c r="E53" s="150"/>
      <c r="F53" s="1246"/>
      <c r="G53" s="1170" t="str">
        <f t="shared" si="8"/>
        <v/>
      </c>
      <c r="H53" s="113" t="str">
        <f>IF(I53&lt;&gt;"","Warning","")</f>
        <v/>
      </c>
      <c r="I53" s="528" t="str">
        <f>IF($AC53="Warning","This year's figure is over "&amp;U53/1000&amp;" million and "&amp;(T53*100)&amp;"% different to "&amp;TEXT(V53,"#,###")&amp;" last year, please explain","")</f>
        <v/>
      </c>
      <c r="J53" s="522"/>
      <c r="K53" s="511"/>
      <c r="L53" s="511"/>
      <c r="M53" s="511"/>
      <c r="N53" s="511"/>
      <c r="O53" s="511"/>
      <c r="P53" s="608"/>
      <c r="Q53" s="609"/>
      <c r="R53" s="609"/>
      <c r="S53" s="1088" t="e">
        <f>'Class check validations'!L3</f>
        <v>#N/A</v>
      </c>
      <c r="T53" s="631">
        <f t="shared" si="9"/>
        <v>0.4</v>
      </c>
      <c r="U53" s="631">
        <f t="shared" si="10"/>
        <v>12000</v>
      </c>
      <c r="V53" s="631" t="e">
        <f t="shared" si="11"/>
        <v>#N/A</v>
      </c>
      <c r="W53" s="631" t="e">
        <f t="shared" ref="W53:W62" si="19">V53+U53</f>
        <v>#N/A</v>
      </c>
      <c r="X53" s="631" t="e">
        <f t="shared" ref="X53:X62" si="20">V53-U53</f>
        <v>#N/A</v>
      </c>
      <c r="Y53" s="631" t="e">
        <f t="shared" ref="Y53:Y62" si="21">V53+(V53*T53)</f>
        <v>#N/A</v>
      </c>
      <c r="Z53" s="631" t="e">
        <f t="shared" ref="Z53:Z62" si="22">V53-(V53*T53)</f>
        <v>#N/A</v>
      </c>
      <c r="AA53" s="631" t="e">
        <f t="shared" si="16"/>
        <v>#N/A</v>
      </c>
      <c r="AB53" s="631" t="e">
        <f t="shared" si="17"/>
        <v>#N/A</v>
      </c>
      <c r="AC53" s="631" t="str">
        <f t="shared" si="18"/>
        <v/>
      </c>
      <c r="AD53" s="609"/>
      <c r="AE53" s="609"/>
      <c r="AF53" s="609"/>
      <c r="AG53" s="609"/>
      <c r="AH53" s="609"/>
      <c r="AI53" s="609"/>
      <c r="AJ53" s="609"/>
      <c r="AK53" s="609"/>
      <c r="AL53" s="609"/>
      <c r="AM53" s="609"/>
      <c r="AN53" s="609"/>
      <c r="AO53" s="609"/>
      <c r="AP53" s="609"/>
      <c r="AQ53" s="609"/>
    </row>
    <row r="54" spans="1:95" ht="15.5" x14ac:dyDescent="0.35">
      <c r="A54" t="s">
        <v>131</v>
      </c>
      <c r="B54" s="441">
        <v>724</v>
      </c>
      <c r="C54" s="399" t="s">
        <v>132</v>
      </c>
      <c r="D54" s="399"/>
      <c r="E54" s="150"/>
      <c r="F54" s="1246"/>
      <c r="G54" s="1170" t="str">
        <f t="shared" si="8"/>
        <v/>
      </c>
      <c r="H54" s="113" t="str">
        <f>IF(I54&lt;&gt;"","Warning","")</f>
        <v/>
      </c>
      <c r="I54" s="528" t="str">
        <f>IF($AC54="Warning","This year's figure is over "&amp;U54/1000&amp;" million and "&amp;(T54*100)&amp;"% different to "&amp;TEXT(V54,"#,###")&amp;" last year, please explain","")</f>
        <v/>
      </c>
      <c r="J54" s="522"/>
      <c r="K54" s="511"/>
      <c r="L54" s="511"/>
      <c r="M54" s="511"/>
      <c r="N54" s="511"/>
      <c r="O54" s="511"/>
      <c r="P54" s="608"/>
      <c r="Q54" s="609"/>
      <c r="R54" s="609"/>
      <c r="S54" s="1088" t="str">
        <f>'Class check validations'!L4</f>
        <v/>
      </c>
      <c r="T54" s="631">
        <f t="shared" si="9"/>
        <v>0.5</v>
      </c>
      <c r="U54" s="631">
        <f t="shared" si="10"/>
        <v>12000</v>
      </c>
      <c r="V54" s="631" t="e">
        <f t="shared" si="11"/>
        <v>#N/A</v>
      </c>
      <c r="W54" s="631" t="e">
        <f t="shared" si="19"/>
        <v>#N/A</v>
      </c>
      <c r="X54" s="631" t="e">
        <f t="shared" si="20"/>
        <v>#N/A</v>
      </c>
      <c r="Y54" s="631" t="e">
        <f t="shared" si="21"/>
        <v>#N/A</v>
      </c>
      <c r="Z54" s="631" t="e">
        <f t="shared" si="22"/>
        <v>#N/A</v>
      </c>
      <c r="AA54" s="631" t="e">
        <f t="shared" si="16"/>
        <v>#N/A</v>
      </c>
      <c r="AB54" s="631" t="e">
        <f t="shared" si="17"/>
        <v>#N/A</v>
      </c>
      <c r="AC54" s="631" t="str">
        <f t="shared" si="18"/>
        <v/>
      </c>
      <c r="AD54" s="609"/>
      <c r="AE54" s="609"/>
      <c r="AF54" s="609"/>
      <c r="AG54" s="609"/>
      <c r="AH54" s="609"/>
      <c r="AI54" s="609"/>
      <c r="AJ54" s="609"/>
      <c r="AK54" s="609"/>
      <c r="AL54" s="609"/>
      <c r="AM54" s="609"/>
      <c r="AN54" s="609"/>
      <c r="AO54" s="609"/>
      <c r="AP54" s="609"/>
      <c r="AQ54" s="609"/>
    </row>
    <row r="55" spans="1:95" ht="15.5" x14ac:dyDescent="0.35">
      <c r="A55" t="s">
        <v>133</v>
      </c>
      <c r="B55" s="441">
        <v>727</v>
      </c>
      <c r="C55" s="399" t="s">
        <v>134</v>
      </c>
      <c r="D55" s="399"/>
      <c r="E55" s="150"/>
      <c r="F55" s="1246"/>
      <c r="G55" s="1170" t="str">
        <f t="shared" si="8"/>
        <v/>
      </c>
      <c r="H55" s="113" t="e">
        <f>IF(S55&lt;&gt;"","Warning","")</f>
        <v>#N/A</v>
      </c>
      <c r="I55" s="528" t="e">
        <f>IF($H55="Warning",'Class check validations'!N3,IF(AC55="Warning","This year's figure is over "&amp;U55/1000&amp;" million and "&amp;(T55*100)&amp;"% different to "&amp;TEXT(V55,"#,###")&amp;" last year, pleae explain",""))</f>
        <v>#N/A</v>
      </c>
      <c r="J55" s="522"/>
      <c r="K55" s="511"/>
      <c r="L55" s="511"/>
      <c r="M55" s="511"/>
      <c r="N55" s="511"/>
      <c r="O55" s="511"/>
      <c r="P55" s="608"/>
      <c r="Q55" s="609"/>
      <c r="R55" s="609"/>
      <c r="S55" s="616" t="e">
        <f>'Class check validations'!N3</f>
        <v>#N/A</v>
      </c>
      <c r="T55" s="631">
        <f t="shared" si="9"/>
        <v>0.4</v>
      </c>
      <c r="U55" s="631">
        <f t="shared" si="10"/>
        <v>4000</v>
      </c>
      <c r="V55" s="631" t="e">
        <f t="shared" si="11"/>
        <v>#N/A</v>
      </c>
      <c r="W55" s="631" t="e">
        <f t="shared" si="19"/>
        <v>#N/A</v>
      </c>
      <c r="X55" s="631" t="e">
        <f t="shared" si="20"/>
        <v>#N/A</v>
      </c>
      <c r="Y55" s="631" t="e">
        <f t="shared" si="21"/>
        <v>#N/A</v>
      </c>
      <c r="Z55" s="631" t="e">
        <f t="shared" si="22"/>
        <v>#N/A</v>
      </c>
      <c r="AA55" s="631" t="e">
        <f t="shared" si="16"/>
        <v>#N/A</v>
      </c>
      <c r="AB55" s="631" t="e">
        <f t="shared" si="17"/>
        <v>#N/A</v>
      </c>
      <c r="AC55" s="631" t="str">
        <f t="shared" si="18"/>
        <v/>
      </c>
      <c r="AD55" s="609"/>
      <c r="AE55" s="609"/>
      <c r="AF55" s="609"/>
      <c r="AG55" s="609"/>
      <c r="AH55" s="609"/>
      <c r="AI55" s="609"/>
      <c r="AJ55" s="609"/>
      <c r="AK55" s="609"/>
      <c r="AL55" s="609"/>
      <c r="AM55" s="609"/>
      <c r="AN55" s="609"/>
      <c r="AO55" s="609"/>
      <c r="AP55" s="609"/>
      <c r="AQ55" s="609"/>
    </row>
    <row r="56" spans="1:95" ht="15.5" x14ac:dyDescent="0.35">
      <c r="A56" t="s">
        <v>135</v>
      </c>
      <c r="B56" s="441">
        <v>728</v>
      </c>
      <c r="C56" s="399" t="s">
        <v>136</v>
      </c>
      <c r="D56" s="399"/>
      <c r="E56" s="150"/>
      <c r="F56" s="1246"/>
      <c r="G56" s="1170" t="str">
        <f t="shared" si="8"/>
        <v/>
      </c>
      <c r="H56" s="113" t="str">
        <f>IF(AC56="Warning","Warning","")</f>
        <v/>
      </c>
      <c r="I56" s="528" t="str">
        <f t="shared" ref="I56:I62" si="23">IF($H56="Warning","This year's figure is over "&amp;U56/1000&amp;" million and "&amp;(T56*100)&amp;"% different to "&amp;TEXT(V56,"#,###")&amp;" last year, please explain","")</f>
        <v/>
      </c>
      <c r="J56" s="522"/>
      <c r="K56" s="511"/>
      <c r="L56" s="511"/>
      <c r="M56" s="511"/>
      <c r="N56" s="511"/>
      <c r="O56" s="511"/>
      <c r="P56" s="608"/>
      <c r="Q56" s="609"/>
      <c r="R56" s="609"/>
      <c r="S56" s="1088"/>
      <c r="T56" s="631">
        <f t="shared" si="9"/>
        <v>0.4</v>
      </c>
      <c r="U56" s="631">
        <f t="shared" si="10"/>
        <v>8000</v>
      </c>
      <c r="V56" s="631" t="e">
        <f t="shared" si="11"/>
        <v>#N/A</v>
      </c>
      <c r="W56" s="631" t="e">
        <f t="shared" si="19"/>
        <v>#N/A</v>
      </c>
      <c r="X56" s="631" t="e">
        <f t="shared" si="20"/>
        <v>#N/A</v>
      </c>
      <c r="Y56" s="631" t="e">
        <f t="shared" si="21"/>
        <v>#N/A</v>
      </c>
      <c r="Z56" s="631" t="e">
        <f t="shared" si="22"/>
        <v>#N/A</v>
      </c>
      <c r="AA56" s="631" t="e">
        <f t="shared" si="16"/>
        <v>#N/A</v>
      </c>
      <c r="AB56" s="631" t="e">
        <f t="shared" si="17"/>
        <v>#N/A</v>
      </c>
      <c r="AC56" s="631" t="str">
        <f t="shared" si="18"/>
        <v/>
      </c>
      <c r="AD56" s="609"/>
      <c r="AE56" s="609"/>
      <c r="AF56" s="609"/>
      <c r="AG56" s="609"/>
      <c r="AH56" s="609"/>
      <c r="AI56" s="609"/>
      <c r="AJ56" s="609"/>
      <c r="AK56" s="609"/>
      <c r="AL56" s="609"/>
      <c r="AM56" s="609"/>
      <c r="AN56" s="609"/>
      <c r="AO56" s="609"/>
      <c r="AP56" s="609"/>
      <c r="AQ56" s="609"/>
    </row>
    <row r="57" spans="1:95" ht="15.5" x14ac:dyDescent="0.35">
      <c r="A57" t="s">
        <v>137</v>
      </c>
      <c r="B57" s="441">
        <v>731</v>
      </c>
      <c r="C57" s="479" t="s">
        <v>138</v>
      </c>
      <c r="D57" s="479"/>
      <c r="E57" s="563" t="s">
        <v>139</v>
      </c>
      <c r="F57" s="1231">
        <f>TSR!I57</f>
        <v>0</v>
      </c>
      <c r="G57" s="1170" t="str">
        <f t="shared" si="8"/>
        <v/>
      </c>
      <c r="H57" s="113" t="str">
        <f t="shared" ref="H57:H62" si="24">IF(AC57="Warning","Warning","")</f>
        <v/>
      </c>
      <c r="I57" s="528" t="str">
        <f t="shared" si="23"/>
        <v/>
      </c>
      <c r="J57" s="522"/>
      <c r="K57" s="511"/>
      <c r="L57" s="511"/>
      <c r="M57" s="511"/>
      <c r="N57" s="511"/>
      <c r="O57" s="511"/>
      <c r="P57" s="608"/>
      <c r="Q57" s="609"/>
      <c r="R57" s="609"/>
      <c r="S57" s="1088"/>
      <c r="T57" s="631">
        <f t="shared" si="9"/>
        <v>0.4</v>
      </c>
      <c r="U57" s="631">
        <f t="shared" si="10"/>
        <v>10000</v>
      </c>
      <c r="V57" s="631" t="e">
        <f t="shared" si="11"/>
        <v>#N/A</v>
      </c>
      <c r="W57" s="631" t="e">
        <f t="shared" si="19"/>
        <v>#N/A</v>
      </c>
      <c r="X57" s="631" t="e">
        <f t="shared" si="20"/>
        <v>#N/A</v>
      </c>
      <c r="Y57" s="631" t="e">
        <f t="shared" si="21"/>
        <v>#N/A</v>
      </c>
      <c r="Z57" s="631" t="e">
        <f t="shared" si="22"/>
        <v>#N/A</v>
      </c>
      <c r="AA57" s="631" t="e">
        <f t="shared" si="16"/>
        <v>#N/A</v>
      </c>
      <c r="AB57" s="631" t="e">
        <f t="shared" si="17"/>
        <v>#N/A</v>
      </c>
      <c r="AC57" s="631" t="str">
        <f t="shared" si="18"/>
        <v/>
      </c>
      <c r="AD57" s="609"/>
      <c r="AE57" s="609"/>
      <c r="AF57" s="609"/>
      <c r="AG57" s="609"/>
      <c r="AH57" s="609"/>
      <c r="AI57" s="609"/>
      <c r="AJ57" s="609"/>
      <c r="AK57" s="609"/>
      <c r="AL57" s="609"/>
      <c r="AM57" s="609"/>
      <c r="AN57" s="609"/>
      <c r="AO57" s="609"/>
      <c r="AP57" s="609"/>
      <c r="AQ57" s="609"/>
    </row>
    <row r="58" spans="1:95" ht="15.5" x14ac:dyDescent="0.35">
      <c r="A58" t="s">
        <v>140</v>
      </c>
      <c r="B58" s="441">
        <v>732</v>
      </c>
      <c r="C58" s="479" t="s">
        <v>141</v>
      </c>
      <c r="D58" s="479"/>
      <c r="E58" s="563" t="s">
        <v>142</v>
      </c>
      <c r="F58" s="1231">
        <f>TSR!I90</f>
        <v>0</v>
      </c>
      <c r="G58" s="1170" t="str">
        <f t="shared" si="8"/>
        <v/>
      </c>
      <c r="H58" s="113" t="str">
        <f t="shared" si="24"/>
        <v/>
      </c>
      <c r="I58" s="528" t="str">
        <f t="shared" si="23"/>
        <v/>
      </c>
      <c r="J58" s="522"/>
      <c r="K58" s="511"/>
      <c r="L58" s="511"/>
      <c r="M58" s="511"/>
      <c r="N58" s="511"/>
      <c r="O58" s="511"/>
      <c r="P58" s="608"/>
      <c r="Q58" s="609"/>
      <c r="R58" s="609"/>
      <c r="S58" s="1088"/>
      <c r="T58" s="631">
        <f t="shared" si="9"/>
        <v>0.5</v>
      </c>
      <c r="U58" s="631">
        <f t="shared" si="10"/>
        <v>4000</v>
      </c>
      <c r="V58" s="631" t="e">
        <f t="shared" si="11"/>
        <v>#N/A</v>
      </c>
      <c r="W58" s="631" t="e">
        <f t="shared" si="19"/>
        <v>#N/A</v>
      </c>
      <c r="X58" s="631" t="e">
        <f t="shared" si="20"/>
        <v>#N/A</v>
      </c>
      <c r="Y58" s="631" t="e">
        <f t="shared" si="21"/>
        <v>#N/A</v>
      </c>
      <c r="Z58" s="631" t="e">
        <f t="shared" si="22"/>
        <v>#N/A</v>
      </c>
      <c r="AA58" s="631" t="e">
        <f t="shared" si="16"/>
        <v>#N/A</v>
      </c>
      <c r="AB58" s="631" t="e">
        <f t="shared" si="17"/>
        <v>#N/A</v>
      </c>
      <c r="AC58" s="631" t="str">
        <f t="shared" si="18"/>
        <v/>
      </c>
      <c r="AD58" s="609"/>
      <c r="AE58" s="609"/>
      <c r="AF58" s="609"/>
      <c r="AG58" s="609"/>
      <c r="AH58" s="609"/>
      <c r="AI58" s="609"/>
      <c r="AJ58" s="609"/>
      <c r="AK58" s="609"/>
      <c r="AL58" s="609"/>
      <c r="AM58" s="609"/>
      <c r="AN58" s="609"/>
      <c r="AO58" s="609"/>
      <c r="AP58" s="609"/>
      <c r="AQ58" s="609"/>
    </row>
    <row r="59" spans="1:95" ht="15.5" x14ac:dyDescent="0.35">
      <c r="A59" t="s">
        <v>143</v>
      </c>
      <c r="B59" s="441">
        <v>741</v>
      </c>
      <c r="C59" s="483" t="s">
        <v>144</v>
      </c>
      <c r="D59" s="483"/>
      <c r="E59" s="563" t="s">
        <v>145</v>
      </c>
      <c r="F59" s="1231">
        <f>TSR!I56*-1</f>
        <v>0</v>
      </c>
      <c r="G59" s="1170" t="str">
        <f t="shared" si="8"/>
        <v/>
      </c>
      <c r="H59" s="113" t="str">
        <f t="shared" si="24"/>
        <v/>
      </c>
      <c r="I59" s="528" t="str">
        <f t="shared" si="23"/>
        <v/>
      </c>
      <c r="J59" s="522"/>
      <c r="K59" s="511"/>
      <c r="L59" s="511"/>
      <c r="M59" s="511"/>
      <c r="N59" s="511"/>
      <c r="O59" s="511"/>
      <c r="P59" s="608"/>
      <c r="Q59" s="609"/>
      <c r="R59" s="609"/>
      <c r="S59" s="1088"/>
      <c r="T59" s="631">
        <f t="shared" si="9"/>
        <v>0.4</v>
      </c>
      <c r="U59" s="631">
        <f t="shared" si="10"/>
        <v>4000</v>
      </c>
      <c r="V59" s="631" t="e">
        <f t="shared" si="11"/>
        <v>#N/A</v>
      </c>
      <c r="W59" s="631" t="e">
        <f t="shared" si="19"/>
        <v>#N/A</v>
      </c>
      <c r="X59" s="631" t="e">
        <f t="shared" si="20"/>
        <v>#N/A</v>
      </c>
      <c r="Y59" s="631" t="e">
        <f t="shared" si="21"/>
        <v>#N/A</v>
      </c>
      <c r="Z59" s="631" t="e">
        <f t="shared" si="22"/>
        <v>#N/A</v>
      </c>
      <c r="AA59" s="631" t="e">
        <f t="shared" si="16"/>
        <v>#N/A</v>
      </c>
      <c r="AB59" s="631" t="e">
        <f t="shared" si="17"/>
        <v>#N/A</v>
      </c>
      <c r="AC59" s="631" t="str">
        <f t="shared" si="18"/>
        <v/>
      </c>
      <c r="AD59" s="609"/>
      <c r="AE59" s="609"/>
      <c r="AF59" s="609"/>
      <c r="AG59" s="609"/>
      <c r="AH59" s="609"/>
      <c r="AI59" s="609"/>
      <c r="AJ59" s="609"/>
      <c r="AK59" s="609"/>
      <c r="AL59" s="609"/>
      <c r="AM59" s="609"/>
      <c r="AN59" s="609"/>
      <c r="AO59" s="609"/>
      <c r="AP59" s="609"/>
      <c r="AQ59" s="609"/>
    </row>
    <row r="60" spans="1:95" ht="15.5" x14ac:dyDescent="0.35">
      <c r="A60" t="s">
        <v>146</v>
      </c>
      <c r="B60" s="441">
        <v>742</v>
      </c>
      <c r="C60" s="483" t="s">
        <v>147</v>
      </c>
      <c r="D60" s="483"/>
      <c r="E60" s="563" t="s">
        <v>148</v>
      </c>
      <c r="F60" s="1231">
        <f>TSR!I89*-1</f>
        <v>0</v>
      </c>
      <c r="G60" s="1170" t="str">
        <f t="shared" si="8"/>
        <v/>
      </c>
      <c r="H60" s="113" t="str">
        <f t="shared" si="24"/>
        <v/>
      </c>
      <c r="I60" s="528" t="str">
        <f t="shared" si="23"/>
        <v/>
      </c>
      <c r="J60" s="522"/>
      <c r="K60" s="511"/>
      <c r="L60" s="511"/>
      <c r="M60" s="511"/>
      <c r="N60" s="511"/>
      <c r="O60" s="511"/>
      <c r="P60" s="608"/>
      <c r="Q60" s="609"/>
      <c r="R60" s="609"/>
      <c r="S60" s="1088"/>
      <c r="T60" s="631">
        <f t="shared" si="9"/>
        <v>0.4</v>
      </c>
      <c r="U60" s="631">
        <f t="shared" si="10"/>
        <v>12000</v>
      </c>
      <c r="V60" s="631" t="e">
        <f t="shared" si="11"/>
        <v>#N/A</v>
      </c>
      <c r="W60" s="631" t="e">
        <f t="shared" si="19"/>
        <v>#N/A</v>
      </c>
      <c r="X60" s="631" t="e">
        <f t="shared" si="20"/>
        <v>#N/A</v>
      </c>
      <c r="Y60" s="631" t="e">
        <f t="shared" si="21"/>
        <v>#N/A</v>
      </c>
      <c r="Z60" s="631" t="e">
        <f t="shared" si="22"/>
        <v>#N/A</v>
      </c>
      <c r="AA60" s="631" t="e">
        <f t="shared" si="16"/>
        <v>#N/A</v>
      </c>
      <c r="AB60" s="631" t="e">
        <f t="shared" si="17"/>
        <v>#N/A</v>
      </c>
      <c r="AC60" s="631" t="str">
        <f t="shared" si="18"/>
        <v/>
      </c>
      <c r="AD60" s="609"/>
      <c r="AE60" s="609"/>
      <c r="AF60" s="609"/>
      <c r="AG60" s="609"/>
      <c r="AH60" s="609"/>
      <c r="AI60" s="609"/>
      <c r="AJ60" s="609"/>
      <c r="AK60" s="609"/>
      <c r="AL60" s="609"/>
      <c r="AM60" s="609"/>
      <c r="AN60" s="609"/>
      <c r="AO60" s="609"/>
      <c r="AP60" s="609"/>
      <c r="AQ60" s="609"/>
    </row>
    <row r="61" spans="1:95" s="1" customFormat="1" ht="15.5" x14ac:dyDescent="0.35">
      <c r="A61" s="1" t="s">
        <v>149</v>
      </c>
      <c r="B61" s="441">
        <v>747</v>
      </c>
      <c r="C61" s="441" t="s">
        <v>150</v>
      </c>
      <c r="D61" s="399"/>
      <c r="E61" s="351"/>
      <c r="F61" s="1246"/>
      <c r="G61" s="1170" t="str">
        <f t="shared" si="8"/>
        <v/>
      </c>
      <c r="H61" s="113" t="str">
        <f t="shared" si="24"/>
        <v/>
      </c>
      <c r="I61" s="528" t="str">
        <f t="shared" si="23"/>
        <v/>
      </c>
      <c r="J61" s="527"/>
      <c r="K61" s="511"/>
      <c r="L61" s="514"/>
      <c r="M61" s="514"/>
      <c r="N61" s="514"/>
      <c r="O61" s="514"/>
      <c r="P61" s="610"/>
      <c r="Q61" s="619"/>
      <c r="R61" s="619"/>
      <c r="S61" s="635"/>
      <c r="T61" s="631">
        <f t="shared" si="9"/>
        <v>0.4</v>
      </c>
      <c r="U61" s="1095">
        <f t="shared" si="10"/>
        <v>10000</v>
      </c>
      <c r="V61" s="631" t="e">
        <f t="shared" si="11"/>
        <v>#N/A</v>
      </c>
      <c r="W61" s="631" t="e">
        <f t="shared" si="19"/>
        <v>#N/A</v>
      </c>
      <c r="X61" s="631" t="e">
        <f t="shared" si="20"/>
        <v>#N/A</v>
      </c>
      <c r="Y61" s="631" t="e">
        <f t="shared" si="21"/>
        <v>#N/A</v>
      </c>
      <c r="Z61" s="631" t="e">
        <f t="shared" si="22"/>
        <v>#N/A</v>
      </c>
      <c r="AA61" s="631" t="e">
        <f t="shared" si="16"/>
        <v>#N/A</v>
      </c>
      <c r="AB61" s="631" t="e">
        <f t="shared" si="17"/>
        <v>#N/A</v>
      </c>
      <c r="AC61" s="631" t="str">
        <f t="shared" si="18"/>
        <v/>
      </c>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c r="BC61" s="619"/>
      <c r="BD61" s="619"/>
      <c r="BE61" s="619"/>
      <c r="BF61" s="619"/>
      <c r="BG61" s="619"/>
      <c r="BH61" s="619"/>
      <c r="BI61" s="619"/>
      <c r="BJ61" s="619"/>
      <c r="BK61" s="619"/>
      <c r="BL61" s="619"/>
      <c r="BM61" s="619"/>
      <c r="BN61" s="619"/>
      <c r="BO61" s="619"/>
      <c r="BP61" s="619"/>
      <c r="BQ61" s="619"/>
      <c r="BR61" s="619"/>
      <c r="BS61" s="619"/>
      <c r="BT61" s="619"/>
      <c r="BU61" s="619"/>
      <c r="BV61" s="619"/>
      <c r="BW61" s="619"/>
      <c r="BX61" s="619"/>
      <c r="BY61" s="619"/>
      <c r="BZ61" s="619"/>
      <c r="CA61" s="619"/>
      <c r="CB61" s="619"/>
      <c r="CC61" s="619"/>
      <c r="CD61" s="619"/>
      <c r="CE61" s="619"/>
      <c r="CF61" s="619"/>
      <c r="CG61" s="619"/>
      <c r="CH61" s="619"/>
      <c r="CI61" s="619"/>
      <c r="CJ61" s="619"/>
      <c r="CK61" s="619"/>
      <c r="CL61" s="619"/>
      <c r="CM61" s="619"/>
      <c r="CN61" s="619"/>
      <c r="CO61" s="619"/>
      <c r="CP61" s="619"/>
      <c r="CQ61" s="619"/>
    </row>
    <row r="62" spans="1:95" ht="15.5" x14ac:dyDescent="0.35">
      <c r="A62" t="s">
        <v>151</v>
      </c>
      <c r="B62" s="441">
        <v>748</v>
      </c>
      <c r="C62" s="399" t="s">
        <v>152</v>
      </c>
      <c r="D62" s="399"/>
      <c r="E62" s="151"/>
      <c r="F62" s="1246"/>
      <c r="G62" s="1170" t="str">
        <f t="shared" si="8"/>
        <v/>
      </c>
      <c r="H62" s="113" t="str">
        <f t="shared" si="24"/>
        <v/>
      </c>
      <c r="I62" s="528" t="str">
        <f t="shared" si="23"/>
        <v/>
      </c>
      <c r="J62" s="522"/>
      <c r="K62" s="511"/>
      <c r="L62" s="511"/>
      <c r="M62" s="511"/>
      <c r="N62" s="511"/>
      <c r="O62" s="511"/>
      <c r="P62" s="608"/>
      <c r="Q62" s="609"/>
      <c r="R62" s="609"/>
      <c r="S62" s="1088"/>
      <c r="T62" s="631">
        <f t="shared" si="9"/>
        <v>0.4</v>
      </c>
      <c r="U62" s="631">
        <f t="shared" si="10"/>
        <v>4000</v>
      </c>
      <c r="V62" s="631" t="e">
        <f t="shared" si="11"/>
        <v>#N/A</v>
      </c>
      <c r="W62" s="631" t="e">
        <f t="shared" si="19"/>
        <v>#N/A</v>
      </c>
      <c r="X62" s="631" t="e">
        <f t="shared" si="20"/>
        <v>#N/A</v>
      </c>
      <c r="Y62" s="631" t="e">
        <f t="shared" si="21"/>
        <v>#N/A</v>
      </c>
      <c r="Z62" s="631" t="e">
        <f t="shared" si="22"/>
        <v>#N/A</v>
      </c>
      <c r="AA62" s="631" t="e">
        <f t="shared" si="16"/>
        <v>#N/A</v>
      </c>
      <c r="AB62" s="631" t="e">
        <f t="shared" si="17"/>
        <v>#N/A</v>
      </c>
      <c r="AC62" s="631" t="str">
        <f t="shared" si="18"/>
        <v/>
      </c>
      <c r="AD62" s="609"/>
      <c r="AE62" s="609"/>
      <c r="AF62" s="609"/>
      <c r="AG62" s="609"/>
      <c r="AH62" s="609"/>
      <c r="AI62" s="609"/>
      <c r="AJ62" s="609"/>
      <c r="AK62" s="609"/>
      <c r="AL62" s="609"/>
      <c r="AM62" s="609"/>
      <c r="AN62" s="609"/>
      <c r="AO62" s="609"/>
      <c r="AP62" s="609"/>
      <c r="AQ62" s="609"/>
    </row>
    <row r="63" spans="1:95" s="30" customFormat="1" ht="18" x14ac:dyDescent="0.4">
      <c r="A63" s="345" t="s">
        <v>153</v>
      </c>
      <c r="B63" s="481">
        <v>749</v>
      </c>
      <c r="C63" s="482" t="s">
        <v>154</v>
      </c>
      <c r="D63" s="482"/>
      <c r="E63" s="52"/>
      <c r="F63" s="1245" t="e">
        <f>SUM(F43,F45:F49,F52:F62)</f>
        <v>#N/A</v>
      </c>
      <c r="G63" s="1170" t="str">
        <f t="shared" si="8"/>
        <v/>
      </c>
      <c r="H63" s="113" t="str">
        <f t="shared" ref="H63" si="25">IF(AC63="Warning","Warning","")</f>
        <v/>
      </c>
      <c r="I63" s="528"/>
      <c r="J63" s="527"/>
      <c r="K63" s="511"/>
      <c r="L63" s="514"/>
      <c r="M63" s="514"/>
      <c r="N63" s="514"/>
      <c r="O63" s="514"/>
      <c r="P63" s="610"/>
      <c r="Q63" s="615"/>
      <c r="R63" s="615"/>
      <c r="S63" s="621"/>
      <c r="T63" s="631"/>
      <c r="U63" s="109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row>
    <row r="64" spans="1:95" ht="18" x14ac:dyDescent="0.4">
      <c r="B64" s="441"/>
      <c r="C64" s="483"/>
      <c r="D64" s="483"/>
      <c r="E64" s="52"/>
      <c r="F64" s="29"/>
      <c r="G64" s="1170"/>
      <c r="H64" s="113"/>
      <c r="I64" s="528"/>
      <c r="J64" s="522"/>
      <c r="K64" s="511"/>
      <c r="L64" s="511"/>
      <c r="M64" s="511"/>
      <c r="N64" s="511"/>
      <c r="O64" s="511"/>
      <c r="P64" s="608"/>
      <c r="Q64" s="609"/>
      <c r="R64" s="609"/>
      <c r="S64" s="1088"/>
      <c r="T64" s="631"/>
      <c r="U64" s="631"/>
      <c r="V64" s="631"/>
      <c r="W64" s="631"/>
      <c r="X64" s="631"/>
      <c r="Y64" s="631"/>
      <c r="Z64" s="631"/>
      <c r="AA64" s="631"/>
      <c r="AB64" s="631"/>
      <c r="AC64" s="631"/>
      <c r="AD64" s="609"/>
      <c r="AE64" s="609"/>
      <c r="AF64" s="609"/>
      <c r="AG64" s="609"/>
      <c r="AH64" s="609"/>
      <c r="AI64" s="609"/>
      <c r="AJ64" s="609"/>
      <c r="AK64" s="609"/>
      <c r="AL64" s="609"/>
      <c r="AM64" s="609"/>
      <c r="AN64" s="609"/>
      <c r="AO64" s="609"/>
      <c r="AP64" s="609"/>
      <c r="AQ64" s="609"/>
    </row>
    <row r="65" spans="1:95" ht="15.5" x14ac:dyDescent="0.35">
      <c r="A65" t="s">
        <v>155</v>
      </c>
      <c r="B65" s="441">
        <v>759</v>
      </c>
      <c r="C65" s="483" t="s">
        <v>156</v>
      </c>
      <c r="D65" s="483"/>
      <c r="E65" s="152"/>
      <c r="F65" s="1246"/>
      <c r="G65" s="1170" t="str">
        <f t="shared" ref="G65:G96" si="26">IF(ISERROR(H65),"",IF((H65="Error"),"add explanation",IF((H65="Warning"),"add explanation","")))</f>
        <v/>
      </c>
      <c r="H65" s="113" t="e">
        <f>IF(S65&lt;&gt;"","Warning","")</f>
        <v>#N/A</v>
      </c>
      <c r="I65" s="528" t="e">
        <f>IF($H65="Warning","A greater than zero value is expected for your class of local authority please complete",IF(AC65="Warning","This year's figure is over "&amp;U65/1000&amp;" million and "&amp;(T65*100)&amp;"% different to "&amp;TEXT(V65,"#,###")&amp;" last year, please explain",""))</f>
        <v>#N/A</v>
      </c>
      <c r="J65" s="522"/>
      <c r="K65" s="511"/>
      <c r="L65" s="511"/>
      <c r="M65" s="511"/>
      <c r="N65" s="511"/>
      <c r="O65" s="511"/>
      <c r="P65" s="608"/>
      <c r="Q65" s="609"/>
      <c r="R65" s="609"/>
      <c r="S65" s="616" t="e">
        <f>'Class check validations'!S3</f>
        <v>#N/A</v>
      </c>
      <c r="T65" s="631">
        <f>VLOOKUP("RS"&amp;$B65,data_val_parameters,8,0)/100</f>
        <v>0.4</v>
      </c>
      <c r="U65" s="631">
        <f t="shared" ref="U65:U95" si="27">VLOOKUP("RS"&amp;$B65,data_val_parameters,7,0)</f>
        <v>4000</v>
      </c>
      <c r="V65" s="631" t="e">
        <f>VLOOKUP(LA_code,data_prev_year,MATCH("RS"&amp;$B65&amp;"1",data_prev_year_headers,0),0)</f>
        <v>#N/A</v>
      </c>
      <c r="W65" s="631" t="e">
        <f t="shared" ref="W65" si="28">V65+U65</f>
        <v>#N/A</v>
      </c>
      <c r="X65" s="631" t="e">
        <f t="shared" ref="X65" si="29">V65-U65</f>
        <v>#N/A</v>
      </c>
      <c r="Y65" s="631" t="e">
        <f t="shared" ref="Y65" si="30">V65+(V65*T65)</f>
        <v>#N/A</v>
      </c>
      <c r="Z65" s="631" t="e">
        <f t="shared" ref="Z65" si="31">V65-(V65*T65)</f>
        <v>#N/A</v>
      </c>
      <c r="AA65" s="631" t="e">
        <f>IF(OR(F65&lt;X65,F65&gt;W65),"Warning","")</f>
        <v>#N/A</v>
      </c>
      <c r="AB65" s="631" t="e">
        <f>IF(OR(F65&gt;(Y65),F65&lt;(Z65)),"Warning","")</f>
        <v>#N/A</v>
      </c>
      <c r="AC65" s="631" t="str">
        <f>IF(OR(F65=0),"",IF(AND(AA65="Warning",AB65="Warning"),"Warning",""))</f>
        <v/>
      </c>
      <c r="AD65" s="609"/>
      <c r="AE65" s="609"/>
      <c r="AF65" s="609"/>
      <c r="AG65" s="609"/>
      <c r="AH65" s="609"/>
      <c r="AI65" s="609"/>
      <c r="AJ65" s="609"/>
      <c r="AK65" s="609"/>
      <c r="AL65" s="609"/>
      <c r="AM65" s="609"/>
      <c r="AN65" s="609"/>
      <c r="AO65" s="609"/>
      <c r="AP65" s="609"/>
      <c r="AQ65" s="609"/>
    </row>
    <row r="66" spans="1:95" ht="15.5" x14ac:dyDescent="0.35">
      <c r="A66" t="s">
        <v>157</v>
      </c>
      <c r="B66" s="441">
        <v>765</v>
      </c>
      <c r="C66" s="399" t="s">
        <v>158</v>
      </c>
      <c r="D66" s="399"/>
      <c r="E66" s="6"/>
      <c r="F66" s="1246"/>
      <c r="G66" s="1170" t="str">
        <f t="shared" si="26"/>
        <v/>
      </c>
      <c r="H66" s="105" t="e">
        <f>IF(F66&lt;0,"Error",IF(AND(F66=0,VLOOKUP(LA_code,LA_Data,19,0)&gt;10),"Warning",""))</f>
        <v>#N/A</v>
      </c>
      <c r="I66" s="528" t="e">
        <f>IF(F66&lt;0,"Only Zero or a Positive figure can be entered in this cell.",IF(H66="Warning",IFERROR(VLOOKUP(LA_code,LA_Data,20,0),0)&amp;" was reported in your authority's Revenue Account Budget return.",IF(AC66="Warning","This year's figure is over "&amp;U66/1000&amp;" million and "&amp;(T66*100)&amp;"% different to "&amp;TEXT(V66,"#,###")&amp;" last year, please explain","")))</f>
        <v>#N/A</v>
      </c>
      <c r="J66" s="528"/>
      <c r="K66" s="511"/>
      <c r="L66" s="511"/>
      <c r="M66" s="511"/>
      <c r="N66" s="511"/>
      <c r="O66" s="511"/>
      <c r="P66" s="608"/>
      <c r="Q66" s="609"/>
      <c r="R66" s="609"/>
      <c r="S66" s="1088"/>
      <c r="T66" s="631">
        <f>VLOOKUP("RS"&amp;$B66,data_val_parameters,8,0)/100</f>
        <v>0.4</v>
      </c>
      <c r="U66" s="631">
        <f t="shared" si="27"/>
        <v>4000</v>
      </c>
      <c r="V66" s="631" t="e">
        <f>VLOOKUP(LA_code,data_prev_year,MATCH("RS"&amp;$B66&amp;"1",data_prev_year_headers,0),0)</f>
        <v>#N/A</v>
      </c>
      <c r="W66" s="631" t="e">
        <f t="shared" ref="W66:W67" si="32">V66+U66</f>
        <v>#N/A</v>
      </c>
      <c r="X66" s="631" t="e">
        <f t="shared" ref="X66:X67" si="33">V66-U66</f>
        <v>#N/A</v>
      </c>
      <c r="Y66" s="631" t="e">
        <f t="shared" ref="Y66:Y67" si="34">V66+(V66*T66)</f>
        <v>#N/A</v>
      </c>
      <c r="Z66" s="631" t="e">
        <f t="shared" ref="Z66:Z67" si="35">V66-(V66*T66)</f>
        <v>#N/A</v>
      </c>
      <c r="AA66" s="631" t="e">
        <f>IF(OR(F66&lt;X66,F66&gt;W66),"Warning","")</f>
        <v>#N/A</v>
      </c>
      <c r="AB66" s="631" t="e">
        <f>IF(OR(F66&gt;(Y66),F66&lt;(Z66)),"Warning","")</f>
        <v>#N/A</v>
      </c>
      <c r="AC66" s="631" t="str">
        <f>IF(OR(F66=0),"",IF(AND(AA66="Warning",AB66="Warning"),"Warning",""))</f>
        <v/>
      </c>
      <c r="AD66" s="609"/>
      <c r="AE66" s="609"/>
      <c r="AF66" s="609"/>
      <c r="AG66" s="609"/>
      <c r="AH66" s="609"/>
      <c r="AI66" s="609"/>
      <c r="AJ66" s="609"/>
      <c r="AK66" s="609"/>
      <c r="AL66" s="609"/>
      <c r="AM66" s="609"/>
      <c r="AN66" s="609"/>
      <c r="AO66" s="609"/>
      <c r="AP66" s="609"/>
      <c r="AQ66" s="609"/>
    </row>
    <row r="67" spans="1:95" ht="15.5" x14ac:dyDescent="0.35">
      <c r="A67" t="s">
        <v>159</v>
      </c>
      <c r="B67" s="441">
        <v>766</v>
      </c>
      <c r="C67" s="399" t="s">
        <v>160</v>
      </c>
      <c r="D67" s="399"/>
      <c r="E67" s="6"/>
      <c r="F67" s="1246"/>
      <c r="G67" s="1170" t="str">
        <f t="shared" si="26"/>
        <v/>
      </c>
      <c r="H67" s="105" t="e">
        <f>IF(F67&lt;0,"Error",IF(F67&gt;(0.25*SUM(RG!$H$35)),"Warning",""))</f>
        <v>#N/A</v>
      </c>
      <c r="I67" s="528" t="e">
        <f>IF(F67&lt;0,"Only Zero or a Positive figure can be entered in this cell.",IF(F67&gt;(0.25*SUM(RG!$H$35)),"Public Health CERA is greater than 25% of the PH Grant, please either review or explain in the memo tab",""))</f>
        <v>#N/A</v>
      </c>
      <c r="J67" s="529" t="str">
        <f>IF(AC67="Warning","This year's figure is over "&amp;U67/1000&amp;" million and "&amp;(T67*100)&amp;"% different to "&amp;TEXT(V67,"#,###")&amp;" last year, please explain","")</f>
        <v/>
      </c>
      <c r="K67" s="511"/>
      <c r="L67" s="511"/>
      <c r="M67" s="511"/>
      <c r="N67" s="511"/>
      <c r="O67" s="511"/>
      <c r="P67" s="608"/>
      <c r="Q67" s="609"/>
      <c r="R67" s="609"/>
      <c r="S67" s="1088"/>
      <c r="T67" s="631">
        <f>VLOOKUP("RS"&amp;$B67,data_val_parameters,8,0)/100</f>
        <v>0.4</v>
      </c>
      <c r="U67" s="631">
        <f t="shared" si="27"/>
        <v>4000</v>
      </c>
      <c r="V67" s="631" t="e">
        <f>VLOOKUP(LA_code,data_prev_year,MATCH("RS"&amp;$B67&amp;"1",data_prev_year_headers,0),0)</f>
        <v>#N/A</v>
      </c>
      <c r="W67" s="631" t="e">
        <f t="shared" si="32"/>
        <v>#N/A</v>
      </c>
      <c r="X67" s="631" t="e">
        <f t="shared" si="33"/>
        <v>#N/A</v>
      </c>
      <c r="Y67" s="631" t="e">
        <f t="shared" si="34"/>
        <v>#N/A</v>
      </c>
      <c r="Z67" s="631" t="e">
        <f t="shared" si="35"/>
        <v>#N/A</v>
      </c>
      <c r="AA67" s="631" t="e">
        <f>IF(OR(F67&lt;X67,F67&gt;W67),"Warning","")</f>
        <v>#N/A</v>
      </c>
      <c r="AB67" s="631" t="e">
        <f>IF(OR(F67&gt;(Y67),F67&lt;(Z67)),"Warning","")</f>
        <v>#N/A</v>
      </c>
      <c r="AC67" s="631" t="str">
        <f>IF(OR(F67=0),"",IF(AND(AA67="Warning",AB67="Warning"),"Warning",""))</f>
        <v/>
      </c>
      <c r="AD67" s="609"/>
      <c r="AE67" s="609"/>
      <c r="AF67" s="609"/>
      <c r="AG67" s="609"/>
      <c r="AH67" s="609"/>
      <c r="AI67" s="609"/>
      <c r="AJ67" s="609"/>
      <c r="AK67" s="609"/>
      <c r="AL67" s="609"/>
      <c r="AM67" s="609"/>
      <c r="AN67" s="609"/>
      <c r="AO67" s="609"/>
      <c r="AP67" s="609"/>
      <c r="AQ67" s="609"/>
    </row>
    <row r="68" spans="1:95" ht="15.65" customHeight="1" x14ac:dyDescent="0.35">
      <c r="A68" t="s">
        <v>161</v>
      </c>
      <c r="B68" s="404">
        <v>767</v>
      </c>
      <c r="C68" s="486" t="s">
        <v>162</v>
      </c>
      <c r="D68" s="399"/>
      <c r="E68" s="272"/>
      <c r="F68" s="1246"/>
      <c r="G68" s="1170" t="str">
        <f t="shared" si="26"/>
        <v/>
      </c>
      <c r="H68" s="105" t="str">
        <f>IF(F68&gt;0,"Error","")</f>
        <v/>
      </c>
      <c r="I68" s="1017" t="e">
        <f>IF(F68&gt;0,"Only Zero or a negative figure can be entered in this cell.","")&amp;" Your authority reported "&amp;TEXT(VLOOKUP(LA_code,LA_Data,21,FALSE),"#,##0")&amp;" in your authority's Revenue Account Budget return"</f>
        <v>#N/A</v>
      </c>
      <c r="J68" s="530"/>
      <c r="K68" s="511"/>
      <c r="L68" s="511"/>
      <c r="M68" s="511"/>
      <c r="N68" s="511"/>
      <c r="O68" s="511"/>
      <c r="P68" s="608"/>
      <c r="Q68" s="609"/>
      <c r="R68" s="609"/>
      <c r="S68" s="1088"/>
      <c r="T68" s="631"/>
      <c r="U68" s="631"/>
      <c r="V68" s="631"/>
      <c r="W68" s="631"/>
      <c r="X68" s="631"/>
      <c r="Y68" s="631"/>
      <c r="Z68" s="631"/>
      <c r="AA68" s="631"/>
      <c r="AB68" s="631"/>
      <c r="AC68" s="631"/>
      <c r="AD68" s="609"/>
      <c r="AE68" s="609"/>
      <c r="AF68" s="609"/>
      <c r="AG68" s="609"/>
      <c r="AH68" s="609"/>
      <c r="AI68" s="609"/>
      <c r="AJ68" s="609"/>
      <c r="AK68" s="609"/>
      <c r="AL68" s="609"/>
      <c r="AM68" s="609"/>
      <c r="AN68" s="609"/>
      <c r="AO68" s="609"/>
      <c r="AP68" s="609"/>
      <c r="AQ68" s="609"/>
    </row>
    <row r="69" spans="1:95" ht="15.5" x14ac:dyDescent="0.35">
      <c r="A69" t="s">
        <v>163</v>
      </c>
      <c r="B69" s="441">
        <v>768</v>
      </c>
      <c r="C69" s="399" t="s">
        <v>164</v>
      </c>
      <c r="D69" s="399"/>
      <c r="E69" s="272"/>
      <c r="F69" s="1246"/>
      <c r="G69" s="1171" t="str">
        <f t="shared" si="26"/>
        <v/>
      </c>
      <c r="H69" s="256" t="str">
        <f>IF(F69&gt;0,"Error","")</f>
        <v/>
      </c>
      <c r="I69" s="529" t="str">
        <f>IF(H69="Error","A negative figure is expected","")</f>
        <v/>
      </c>
      <c r="K69" s="511"/>
      <c r="L69" s="511"/>
      <c r="M69" s="511"/>
      <c r="N69" s="511"/>
      <c r="O69" s="511"/>
      <c r="P69" s="608"/>
      <c r="Q69" s="609"/>
      <c r="R69" s="609"/>
      <c r="S69" s="1088"/>
      <c r="T69" s="631"/>
      <c r="U69" s="631"/>
      <c r="V69" s="631"/>
      <c r="W69" s="631"/>
      <c r="X69" s="631"/>
      <c r="Y69" s="631"/>
      <c r="Z69" s="631"/>
      <c r="AA69" s="631"/>
      <c r="AB69" s="631"/>
      <c r="AC69" s="631"/>
      <c r="AD69" s="609"/>
      <c r="AE69" s="609"/>
      <c r="AF69" s="609"/>
      <c r="AG69" s="609"/>
      <c r="AH69" s="609"/>
      <c r="AI69" s="609"/>
      <c r="AJ69" s="609"/>
      <c r="AK69" s="609"/>
      <c r="AL69" s="609"/>
      <c r="AM69" s="609"/>
      <c r="AN69" s="609"/>
      <c r="AO69" s="609"/>
      <c r="AP69" s="609"/>
      <c r="AQ69" s="609"/>
    </row>
    <row r="70" spans="1:95" ht="15.5" x14ac:dyDescent="0.35">
      <c r="A70" t="s">
        <v>165</v>
      </c>
      <c r="B70" s="441">
        <v>771</v>
      </c>
      <c r="C70" s="399" t="s">
        <v>166</v>
      </c>
      <c r="D70" s="441"/>
      <c r="E70" s="6"/>
      <c r="F70" s="1246"/>
      <c r="G70" s="1170" t="str">
        <f t="shared" si="26"/>
        <v/>
      </c>
      <c r="H70" s="113" t="str">
        <f>IF(AC70="Warning","Warning","")</f>
        <v/>
      </c>
      <c r="I70" s="528" t="str">
        <f>IF($H70="Warning","This year's figure is over "&amp;U70/1000&amp;" million and "&amp;(T70*100)&amp;"% different to "&amp;TEXT(V70,"#,###")&amp;" last year, please explain","")</f>
        <v/>
      </c>
      <c r="J70" s="522"/>
      <c r="K70" s="511"/>
      <c r="L70" s="511"/>
      <c r="M70" s="511"/>
      <c r="N70" s="511"/>
      <c r="O70" s="511"/>
      <c r="P70" s="608"/>
      <c r="Q70" s="609"/>
      <c r="R70" s="609"/>
      <c r="S70" s="1088"/>
      <c r="T70" s="631">
        <f>VLOOKUP("RS"&amp;$B70,data_val_parameters,8,0)/100</f>
        <v>0.4</v>
      </c>
      <c r="U70" s="631">
        <f t="shared" si="27"/>
        <v>8000</v>
      </c>
      <c r="V70" s="631" t="e">
        <f t="shared" ref="V70:V94" si="36">VLOOKUP(LA_code,data_prev_year,MATCH("RS"&amp;$B70&amp;"1",data_prev_year_headers,0),0)</f>
        <v>#N/A</v>
      </c>
      <c r="W70" s="631" t="e">
        <f t="shared" ref="W70" si="37">V70+U70</f>
        <v>#N/A</v>
      </c>
      <c r="X70" s="631" t="e">
        <f t="shared" ref="X70" si="38">V70-U70</f>
        <v>#N/A</v>
      </c>
      <c r="Y70" s="631" t="e">
        <f t="shared" ref="Y70" si="39">V70+(V70*T70)</f>
        <v>#N/A</v>
      </c>
      <c r="Z70" s="631" t="e">
        <f t="shared" ref="Z70" si="40">V70-(V70*T70)</f>
        <v>#N/A</v>
      </c>
      <c r="AA70" s="631" t="e">
        <f t="shared" ref="AA70:AA76" si="41">IF(OR(F70&lt;X70,F70&gt;W70),"Warning","")</f>
        <v>#N/A</v>
      </c>
      <c r="AB70" s="631" t="e">
        <f t="shared" ref="AB70:AB76" si="42">IF(OR(F70&gt;(Y70),F70&lt;(Z70)),"Warning","")</f>
        <v>#N/A</v>
      </c>
      <c r="AC70" s="631" t="str">
        <f t="shared" ref="AC70:AC76" si="43">IF(OR(F70=0),"",IF(AND(AA70="Warning",AB70="Warning"),"Warning",""))</f>
        <v/>
      </c>
      <c r="AD70" s="609"/>
      <c r="AE70" s="609"/>
      <c r="AF70" s="609"/>
      <c r="AG70" s="609"/>
      <c r="AH70" s="609"/>
      <c r="AI70" s="609"/>
      <c r="AJ70" s="609"/>
      <c r="AK70" s="609"/>
      <c r="AL70" s="609"/>
      <c r="AM70" s="609"/>
      <c r="AN70" s="609"/>
      <c r="AO70" s="609"/>
      <c r="AP70" s="609"/>
      <c r="AQ70" s="609"/>
    </row>
    <row r="71" spans="1:95" ht="15.5" x14ac:dyDescent="0.35">
      <c r="A71" t="s">
        <v>167</v>
      </c>
      <c r="B71" s="441">
        <v>773</v>
      </c>
      <c r="C71" s="399" t="s">
        <v>168</v>
      </c>
      <c r="D71" s="399"/>
      <c r="E71" s="150"/>
      <c r="F71" s="1246"/>
      <c r="G71" s="1170" t="str">
        <f t="shared" si="26"/>
        <v/>
      </c>
      <c r="H71" s="113" t="str">
        <f t="shared" ref="H71:H74" si="44">IF(AC71="Warning","Warning","")</f>
        <v/>
      </c>
      <c r="I71" s="528" t="str">
        <f>IF($H71="Warning","This year's figure is over "&amp;U71/1000&amp;" million and "&amp;(T71*100)&amp;"% different to "&amp;TEXT(V71,"#,###")&amp;" last year, please explain","")</f>
        <v/>
      </c>
      <c r="J71" s="522"/>
      <c r="K71" s="511"/>
      <c r="L71" s="511"/>
      <c r="M71" s="511"/>
      <c r="N71" s="511"/>
      <c r="O71" s="511"/>
      <c r="P71" s="608"/>
      <c r="Q71" s="609"/>
      <c r="R71" s="609"/>
      <c r="S71" s="1088"/>
      <c r="T71" s="631">
        <f>VLOOKUP("RS"&amp;$B71,data_val_parameters,8,0)/100</f>
        <v>0.4</v>
      </c>
      <c r="U71" s="631">
        <f t="shared" si="27"/>
        <v>10000</v>
      </c>
      <c r="V71" s="631" t="e">
        <f t="shared" si="36"/>
        <v>#N/A</v>
      </c>
      <c r="W71" s="631" t="e">
        <f t="shared" ref="W71:W95" si="45">V71+U71</f>
        <v>#N/A</v>
      </c>
      <c r="X71" s="631" t="e">
        <f t="shared" ref="X71:X95" si="46">V71-U71</f>
        <v>#N/A</v>
      </c>
      <c r="Y71" s="631" t="e">
        <f t="shared" ref="Y71:Y95" si="47">V71+(V71*T71)</f>
        <v>#N/A</v>
      </c>
      <c r="Z71" s="631" t="e">
        <f t="shared" ref="Z71:Z95" si="48">V71-(V71*T71)</f>
        <v>#N/A</v>
      </c>
      <c r="AA71" s="631" t="e">
        <f t="shared" si="41"/>
        <v>#N/A</v>
      </c>
      <c r="AB71" s="631" t="e">
        <f t="shared" si="42"/>
        <v>#N/A</v>
      </c>
      <c r="AC71" s="631" t="str">
        <f t="shared" si="43"/>
        <v/>
      </c>
      <c r="AD71" s="609"/>
      <c r="AE71" s="609"/>
      <c r="AF71" s="609"/>
      <c r="AG71" s="609"/>
      <c r="AH71" s="609"/>
      <c r="AI71" s="609"/>
      <c r="AJ71" s="609"/>
      <c r="AK71" s="609"/>
      <c r="AL71" s="609"/>
      <c r="AM71" s="609"/>
      <c r="AN71" s="609"/>
      <c r="AO71" s="609"/>
      <c r="AP71" s="609"/>
      <c r="AQ71" s="609"/>
    </row>
    <row r="72" spans="1:95" ht="15.5" x14ac:dyDescent="0.35">
      <c r="A72" t="s">
        <v>169</v>
      </c>
      <c r="B72" s="441">
        <v>776</v>
      </c>
      <c r="C72" s="399" t="s">
        <v>170</v>
      </c>
      <c r="D72" s="399"/>
      <c r="E72" s="6"/>
      <c r="F72" s="1246"/>
      <c r="G72" s="1170" t="str">
        <f t="shared" si="26"/>
        <v/>
      </c>
      <c r="H72" s="113" t="str">
        <f t="shared" si="44"/>
        <v/>
      </c>
      <c r="I72" s="528" t="str">
        <f>IF($H72="Warning","This year's figure is over "&amp;U72/1000&amp;" million and "&amp;(T72*100)&amp;"% different to "&amp;TEXT(V72,"#,###")&amp;" last year, please explain","")</f>
        <v/>
      </c>
      <c r="J72" s="522"/>
      <c r="K72" s="511"/>
      <c r="L72" s="511"/>
      <c r="M72" s="511"/>
      <c r="N72" s="511"/>
      <c r="O72" s="511"/>
      <c r="P72" s="608"/>
      <c r="Q72" s="609"/>
      <c r="R72" s="609"/>
      <c r="S72" s="1088"/>
      <c r="T72" s="631">
        <f>VLOOKUP("RS"&amp;$B72,data_val_parameters,8,0)/100</f>
        <v>0.4</v>
      </c>
      <c r="U72" s="631">
        <f t="shared" si="27"/>
        <v>4000</v>
      </c>
      <c r="V72" s="631" t="e">
        <f t="shared" si="36"/>
        <v>#N/A</v>
      </c>
      <c r="W72" s="631" t="e">
        <f t="shared" si="45"/>
        <v>#N/A</v>
      </c>
      <c r="X72" s="631" t="e">
        <f t="shared" si="46"/>
        <v>#N/A</v>
      </c>
      <c r="Y72" s="631" t="e">
        <f t="shared" si="47"/>
        <v>#N/A</v>
      </c>
      <c r="Z72" s="631" t="e">
        <f t="shared" si="48"/>
        <v>#N/A</v>
      </c>
      <c r="AA72" s="631" t="e">
        <f t="shared" si="41"/>
        <v>#N/A</v>
      </c>
      <c r="AB72" s="631" t="e">
        <f t="shared" si="42"/>
        <v>#N/A</v>
      </c>
      <c r="AC72" s="631" t="str">
        <f t="shared" si="43"/>
        <v/>
      </c>
      <c r="AD72" s="609"/>
      <c r="AE72" s="609"/>
      <c r="AF72" s="609"/>
      <c r="AG72" s="609"/>
      <c r="AH72" s="609"/>
      <c r="AI72" s="609"/>
      <c r="AJ72" s="609"/>
      <c r="AK72" s="609"/>
      <c r="AL72" s="609"/>
      <c r="AM72" s="609"/>
      <c r="AN72" s="609"/>
      <c r="AO72" s="609"/>
      <c r="AP72" s="609"/>
      <c r="AQ72" s="609"/>
    </row>
    <row r="73" spans="1:95" ht="15.5" x14ac:dyDescent="0.35">
      <c r="A73" t="s">
        <v>171</v>
      </c>
      <c r="B73" s="441">
        <v>781</v>
      </c>
      <c r="C73" s="399" t="s">
        <v>172</v>
      </c>
      <c r="D73" s="483"/>
      <c r="E73" s="966" t="s">
        <v>173</v>
      </c>
      <c r="F73" s="1248" t="e">
        <f>INDEX('LA Data'!$A$3:$AR$417,MATCH($B$22,'LA Data'!$A$3:$A$417,0),MATCH(A73,'LA Data'!$A$3:$AR$3,0))</f>
        <v>#N/A</v>
      </c>
      <c r="G73" s="1170" t="str">
        <f t="shared" si="26"/>
        <v/>
      </c>
      <c r="H73" s="113" t="e">
        <f>IF(F73&lt;0,"Error",IF($F73&lt;ROUND(VLOOKUP(LA_code,LA_Data,21,0),0),"Warning",IF(AC73="Warning","Warning","")))</f>
        <v>#N/A</v>
      </c>
      <c r="I73" s="528" t="e">
        <f>IF($H73="ERROR","A positive figure is expected here",IF($AC73="Warning","This year's figure is over "&amp;U73/1000&amp;" million and "&amp;(T73*100)&amp;"% different to "&amp;TEXT(V73,"#,###")&amp;" last year, please explain",""))</f>
        <v>#N/A</v>
      </c>
      <c r="J73" s="532" t="e">
        <f>IF($F73&lt;ROUND(VLOOKUP(LA_code,LA_Data,21,0),0),"This amount is less than the interest that was payable for your PWLB loans, please explain","")</f>
        <v>#N/A</v>
      </c>
      <c r="K73" s="511"/>
      <c r="L73" s="511"/>
      <c r="M73" s="511"/>
      <c r="N73" s="511"/>
      <c r="O73" s="511"/>
      <c r="P73" s="608"/>
      <c r="Q73" s="609"/>
      <c r="R73" s="609"/>
      <c r="S73" s="1088"/>
      <c r="T73" s="631">
        <f>VLOOKUP("RS"&amp;$B73,data_val_parameters,8,0)/100</f>
        <v>0.4</v>
      </c>
      <c r="U73" s="631">
        <f t="shared" si="27"/>
        <v>4000</v>
      </c>
      <c r="V73" s="631" t="e">
        <f t="shared" si="36"/>
        <v>#N/A</v>
      </c>
      <c r="W73" s="631" t="e">
        <f t="shared" si="45"/>
        <v>#N/A</v>
      </c>
      <c r="X73" s="631" t="e">
        <f t="shared" si="46"/>
        <v>#N/A</v>
      </c>
      <c r="Y73" s="631" t="e">
        <f t="shared" si="47"/>
        <v>#N/A</v>
      </c>
      <c r="Z73" s="631" t="e">
        <f t="shared" si="48"/>
        <v>#N/A</v>
      </c>
      <c r="AA73" s="631" t="e">
        <f t="shared" si="41"/>
        <v>#N/A</v>
      </c>
      <c r="AB73" s="631" t="e">
        <f t="shared" si="42"/>
        <v>#N/A</v>
      </c>
      <c r="AC73" s="631" t="e">
        <f t="shared" si="43"/>
        <v>#N/A</v>
      </c>
      <c r="AD73" s="609"/>
      <c r="AE73" s="609"/>
      <c r="AF73" s="609"/>
      <c r="AG73" s="609"/>
      <c r="AH73" s="609"/>
      <c r="AI73" s="609"/>
      <c r="AJ73" s="609"/>
      <c r="AK73" s="609"/>
      <c r="AL73" s="609"/>
      <c r="AM73" s="609"/>
      <c r="AN73" s="609"/>
      <c r="AO73" s="609"/>
      <c r="AP73" s="609"/>
      <c r="AQ73" s="609"/>
    </row>
    <row r="74" spans="1:95" ht="15.5" x14ac:dyDescent="0.35">
      <c r="A74" t="s">
        <v>174</v>
      </c>
      <c r="B74" s="441">
        <v>783</v>
      </c>
      <c r="C74" s="483" t="s">
        <v>175</v>
      </c>
      <c r="D74" s="483"/>
      <c r="E74" s="6"/>
      <c r="F74" s="1246"/>
      <c r="G74" s="1170" t="str">
        <f t="shared" si="26"/>
        <v/>
      </c>
      <c r="H74" s="113" t="str">
        <f t="shared" si="44"/>
        <v/>
      </c>
      <c r="I74" s="528" t="str">
        <f>IF($H74="Warning","This year's figure is over "&amp;U74/1000&amp;" million and "&amp;(T74*100)&amp;"% different to "&amp;TEXT(V74,"#,###")&amp;" last year, please explain","")</f>
        <v/>
      </c>
      <c r="J74" s="522"/>
      <c r="K74" s="511"/>
      <c r="L74" s="511"/>
      <c r="M74" s="511"/>
      <c r="N74" s="511"/>
      <c r="O74" s="511"/>
      <c r="P74" s="608"/>
      <c r="Q74" s="609"/>
      <c r="R74" s="609"/>
      <c r="S74" s="1088"/>
      <c r="T74" s="631">
        <f>VLOOKUP("RS"&amp;$B74,data_val_parameters,8,0)/100</f>
        <v>0.4</v>
      </c>
      <c r="U74" s="631">
        <f t="shared" si="27"/>
        <v>8000</v>
      </c>
      <c r="V74" s="631" t="e">
        <f t="shared" si="36"/>
        <v>#N/A</v>
      </c>
      <c r="W74" s="631" t="e">
        <f t="shared" si="45"/>
        <v>#N/A</v>
      </c>
      <c r="X74" s="631" t="e">
        <f t="shared" si="46"/>
        <v>#N/A</v>
      </c>
      <c r="Y74" s="631" t="e">
        <f t="shared" si="47"/>
        <v>#N/A</v>
      </c>
      <c r="Z74" s="631" t="e">
        <f t="shared" si="48"/>
        <v>#N/A</v>
      </c>
      <c r="AA74" s="631" t="e">
        <f t="shared" si="41"/>
        <v>#N/A</v>
      </c>
      <c r="AB74" s="631" t="e">
        <f t="shared" si="42"/>
        <v>#N/A</v>
      </c>
      <c r="AC74" s="631" t="str">
        <f t="shared" si="43"/>
        <v/>
      </c>
      <c r="AD74" s="609"/>
      <c r="AE74" s="609"/>
      <c r="AF74" s="609"/>
      <c r="AG74" s="609"/>
      <c r="AH74" s="609"/>
      <c r="AI74" s="609"/>
      <c r="AJ74" s="609"/>
      <c r="AK74" s="609"/>
      <c r="AL74" s="609"/>
      <c r="AM74" s="609"/>
      <c r="AN74" s="609"/>
      <c r="AO74" s="609"/>
      <c r="AP74" s="609"/>
      <c r="AQ74" s="609"/>
    </row>
    <row r="75" spans="1:95" s="31" customFormat="1" ht="15.5" x14ac:dyDescent="0.35">
      <c r="A75" s="345" t="s">
        <v>176</v>
      </c>
      <c r="B75" s="487">
        <v>785</v>
      </c>
      <c r="C75" s="488" t="s">
        <v>177</v>
      </c>
      <c r="D75" s="488"/>
      <c r="E75" s="325"/>
      <c r="F75" s="1249" t="e">
        <f>SUM(F63,F65:F74)</f>
        <v>#N/A</v>
      </c>
      <c r="G75" s="1172"/>
      <c r="H75" s="105"/>
      <c r="I75" s="528"/>
      <c r="J75" s="526"/>
      <c r="K75" s="511"/>
      <c r="L75" s="515"/>
      <c r="M75" s="515"/>
      <c r="N75" s="515"/>
      <c r="O75" s="515"/>
      <c r="P75" s="622"/>
      <c r="Q75" s="623"/>
      <c r="R75" s="623"/>
      <c r="S75" s="624"/>
      <c r="T75" s="631"/>
      <c r="U75" s="631"/>
      <c r="V75" s="631"/>
      <c r="W75" s="631"/>
      <c r="X75" s="631"/>
      <c r="Y75" s="631"/>
      <c r="Z75" s="631"/>
      <c r="AA75" s="631"/>
      <c r="AB75" s="631"/>
      <c r="AC75" s="631" t="e">
        <f t="shared" si="43"/>
        <v>#N/A</v>
      </c>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3"/>
      <c r="AZ75" s="623"/>
      <c r="BA75" s="623"/>
      <c r="BB75" s="623"/>
      <c r="BC75" s="623"/>
      <c r="BD75" s="623"/>
      <c r="BE75" s="623"/>
      <c r="BF75" s="623"/>
      <c r="BG75" s="623"/>
      <c r="BH75" s="623"/>
      <c r="BI75" s="623"/>
      <c r="BJ75" s="623"/>
      <c r="BK75" s="623"/>
      <c r="BL75" s="623"/>
      <c r="BM75" s="623"/>
      <c r="BN75" s="623"/>
      <c r="BO75" s="623"/>
      <c r="BP75" s="623"/>
      <c r="BQ75" s="623"/>
      <c r="BR75" s="623"/>
      <c r="BS75" s="623"/>
      <c r="BT75" s="623"/>
      <c r="BU75" s="623"/>
      <c r="BV75" s="623"/>
      <c r="BW75" s="623"/>
      <c r="BX75" s="623"/>
      <c r="BY75" s="623"/>
      <c r="BZ75" s="623"/>
      <c r="CA75" s="623"/>
      <c r="CB75" s="623"/>
      <c r="CC75" s="623"/>
      <c r="CD75" s="623"/>
      <c r="CE75" s="623"/>
      <c r="CF75" s="623"/>
      <c r="CG75" s="623"/>
      <c r="CH75" s="623"/>
      <c r="CI75" s="623"/>
      <c r="CJ75" s="623"/>
      <c r="CK75" s="623"/>
      <c r="CL75" s="623"/>
      <c r="CM75" s="623"/>
      <c r="CN75" s="623"/>
      <c r="CO75" s="623"/>
      <c r="CP75" s="623"/>
      <c r="CQ75" s="623"/>
    </row>
    <row r="76" spans="1:95" ht="15.5" x14ac:dyDescent="0.35">
      <c r="A76" t="s">
        <v>178</v>
      </c>
      <c r="B76" s="441">
        <v>786</v>
      </c>
      <c r="C76" s="483" t="s">
        <v>179</v>
      </c>
      <c r="D76" s="489"/>
      <c r="E76" s="546" t="str">
        <f>IF(SUM(F77:F78)&lt;&gt;F76, "The sum of lines 820-821 should equal line 786", "")</f>
        <v/>
      </c>
      <c r="F76" s="1250">
        <f>F77+F78</f>
        <v>0</v>
      </c>
      <c r="G76" s="1170" t="str">
        <f t="shared" si="26"/>
        <v/>
      </c>
      <c r="H76" s="105" t="str">
        <f>IF(F76&gt;0,"Error",IF(AC76="Warning","Warning",""))</f>
        <v/>
      </c>
      <c r="I76" s="528" t="str">
        <f>IF(F76&gt;0,"Only Zero or a Negative figure can be entered in this cell","")</f>
        <v/>
      </c>
      <c r="J76" s="529" t="str">
        <f>IF(AC76="Warning","This year's figure is over "&amp;U76/1000&amp;" million and "&amp;(T76*100)&amp;"% different to "&amp;TEXT(V76,"#,###")&amp;" last year, please explain","")</f>
        <v/>
      </c>
      <c r="K76" s="511"/>
      <c r="L76" s="511"/>
      <c r="M76" s="511"/>
      <c r="N76" s="511"/>
      <c r="O76" s="511"/>
      <c r="P76" s="608"/>
      <c r="Q76" s="609"/>
      <c r="R76" s="609"/>
      <c r="S76" s="1088"/>
      <c r="T76" s="631">
        <f>VLOOKUP("RS"&amp;$B76,data_val_parameters,8,0)/100</f>
        <v>0.4</v>
      </c>
      <c r="U76" s="631">
        <f t="shared" si="27"/>
        <v>12000</v>
      </c>
      <c r="V76" s="631" t="e">
        <f t="shared" si="36"/>
        <v>#N/A</v>
      </c>
      <c r="W76" s="631" t="e">
        <f t="shared" si="45"/>
        <v>#N/A</v>
      </c>
      <c r="X76" s="631" t="e">
        <f t="shared" si="46"/>
        <v>#N/A</v>
      </c>
      <c r="Y76" s="631" t="e">
        <f t="shared" si="47"/>
        <v>#N/A</v>
      </c>
      <c r="Z76" s="631" t="e">
        <f t="shared" si="48"/>
        <v>#N/A</v>
      </c>
      <c r="AA76" s="631" t="e">
        <f t="shared" si="41"/>
        <v>#N/A</v>
      </c>
      <c r="AB76" s="631" t="e">
        <f t="shared" si="42"/>
        <v>#N/A</v>
      </c>
      <c r="AC76" s="631" t="str">
        <f t="shared" si="43"/>
        <v/>
      </c>
      <c r="AD76" s="609"/>
      <c r="AE76" s="609"/>
      <c r="AF76" s="609"/>
      <c r="AG76" s="609"/>
      <c r="AH76" s="609"/>
      <c r="AI76" s="609"/>
      <c r="AJ76" s="609"/>
      <c r="AK76" s="609"/>
      <c r="AL76" s="609"/>
      <c r="AM76" s="609"/>
      <c r="AN76" s="609"/>
      <c r="AO76" s="609"/>
      <c r="AP76" s="609"/>
      <c r="AQ76" s="609"/>
    </row>
    <row r="77" spans="1:95" ht="15.5" x14ac:dyDescent="0.35">
      <c r="A77" t="s">
        <v>180</v>
      </c>
      <c r="B77" s="441">
        <v>820</v>
      </c>
      <c r="C77" s="399" t="s">
        <v>181</v>
      </c>
      <c r="D77" s="489"/>
      <c r="E77" s="70"/>
      <c r="F77" s="1246"/>
      <c r="G77" s="1173" t="str">
        <f>IF((H77="Error"),"add explanation","")</f>
        <v/>
      </c>
      <c r="H77" s="463" t="str">
        <f>IF(F77&gt;0,"Error","")</f>
        <v/>
      </c>
      <c r="I77" s="528" t="str">
        <f>IF(F77&gt;0,"Only Zero or a Negative figure can be entered in this cell.","")</f>
        <v/>
      </c>
      <c r="J77" s="522"/>
      <c r="K77" s="511"/>
      <c r="L77" s="511"/>
      <c r="M77" s="511"/>
      <c r="N77" s="511"/>
      <c r="O77" s="511"/>
      <c r="P77" s="608"/>
      <c r="Q77" s="609"/>
      <c r="R77" s="609"/>
      <c r="S77" s="1088"/>
      <c r="T77" s="631"/>
      <c r="U77" s="631"/>
      <c r="V77" s="631"/>
      <c r="W77" s="631"/>
      <c r="X77" s="631"/>
      <c r="Y77" s="631"/>
      <c r="Z77" s="631"/>
      <c r="AA77" s="631"/>
      <c r="AB77" s="631"/>
      <c r="AC77" s="631"/>
      <c r="AD77" s="609"/>
      <c r="AE77" s="609"/>
      <c r="AF77" s="609"/>
      <c r="AG77" s="609"/>
      <c r="AH77" s="609"/>
      <c r="AI77" s="609"/>
      <c r="AJ77" s="609"/>
      <c r="AK77" s="609"/>
      <c r="AL77" s="609"/>
      <c r="AM77" s="609"/>
      <c r="AN77" s="609"/>
      <c r="AO77" s="609"/>
      <c r="AP77" s="609"/>
      <c r="AQ77" s="609"/>
    </row>
    <row r="78" spans="1:95" ht="15.5" x14ac:dyDescent="0.35">
      <c r="A78" t="s">
        <v>182</v>
      </c>
      <c r="B78" s="441">
        <v>821</v>
      </c>
      <c r="C78" s="399" t="s">
        <v>183</v>
      </c>
      <c r="D78" s="489"/>
      <c r="E78" s="546" t="str">
        <f>IF(SUM(F79:F86)&lt;&gt;F78, "The sum of lines 822-829 should equal line 821", "")</f>
        <v/>
      </c>
      <c r="F78" s="1250">
        <f>SUM(F79:F86)</f>
        <v>0</v>
      </c>
      <c r="G78" s="1173" t="str">
        <f t="shared" ref="G78:G86" si="49">IF((H78="Error"),"add explanation","")</f>
        <v/>
      </c>
      <c r="H78" s="463" t="str">
        <f t="shared" ref="H78:H86" si="50">IF(F78&gt;0,"Error","")</f>
        <v/>
      </c>
      <c r="I78" s="528" t="str">
        <f>IF(F78&gt;0,"Only Zero or a Negative figure can be entered in this cell.","")</f>
        <v/>
      </c>
      <c r="J78" s="522"/>
      <c r="K78" s="511"/>
      <c r="L78" s="511"/>
      <c r="M78" s="511"/>
      <c r="N78" s="511"/>
      <c r="O78" s="511"/>
      <c r="P78" s="608"/>
      <c r="Q78" s="609"/>
      <c r="R78" s="609"/>
      <c r="S78" s="1088"/>
      <c r="T78" s="631"/>
      <c r="U78" s="631"/>
      <c r="V78" s="631"/>
      <c r="W78" s="631"/>
      <c r="X78" s="631"/>
      <c r="Y78" s="631"/>
      <c r="Z78" s="631"/>
      <c r="AA78" s="631"/>
      <c r="AB78" s="631"/>
      <c r="AC78" s="631"/>
      <c r="AD78" s="609"/>
      <c r="AE78" s="609"/>
      <c r="AF78" s="609"/>
      <c r="AG78" s="609"/>
      <c r="AH78" s="609"/>
      <c r="AI78" s="609"/>
      <c r="AJ78" s="609"/>
      <c r="AK78" s="609"/>
      <c r="AL78" s="609"/>
      <c r="AM78" s="609"/>
      <c r="AN78" s="609"/>
      <c r="AO78" s="609"/>
      <c r="AP78" s="609"/>
      <c r="AQ78" s="609"/>
    </row>
    <row r="79" spans="1:95" ht="15.5" x14ac:dyDescent="0.35">
      <c r="A79" t="s">
        <v>184</v>
      </c>
      <c r="B79" s="441">
        <v>822</v>
      </c>
      <c r="C79" s="399" t="s">
        <v>185</v>
      </c>
      <c r="D79" s="489"/>
      <c r="E79" s="70"/>
      <c r="F79" s="1246"/>
      <c r="G79" s="1173" t="str">
        <f t="shared" si="49"/>
        <v/>
      </c>
      <c r="H79" s="463" t="str">
        <f t="shared" si="50"/>
        <v/>
      </c>
      <c r="I79" s="528" t="str">
        <f t="shared" ref="I79:I86" si="51">IF(F79&gt;0,"Only Zero or a Negative figure can be entered in this cell.","")</f>
        <v/>
      </c>
      <c r="J79" s="522"/>
      <c r="K79" s="511"/>
      <c r="L79" s="511"/>
      <c r="M79" s="511"/>
      <c r="N79" s="511"/>
      <c r="O79" s="511"/>
      <c r="P79" s="608"/>
      <c r="Q79" s="609"/>
      <c r="R79" s="609"/>
      <c r="S79" s="1088"/>
      <c r="T79" s="625">
        <v>0.4</v>
      </c>
      <c r="U79" s="625">
        <v>1000</v>
      </c>
      <c r="V79" s="631"/>
      <c r="W79" s="625">
        <f t="shared" si="45"/>
        <v>1000</v>
      </c>
      <c r="X79" s="625">
        <f t="shared" si="46"/>
        <v>-1000</v>
      </c>
      <c r="Y79" s="625">
        <f t="shared" si="47"/>
        <v>0</v>
      </c>
      <c r="Z79" s="625">
        <f t="shared" si="48"/>
        <v>0</v>
      </c>
      <c r="AA79" s="631" t="str">
        <f t="shared" ref="AA79:AA94" si="52">IF(OR(F79&lt;X79,F79&gt;W79),"Warning","")</f>
        <v/>
      </c>
      <c r="AB79" s="631" t="str">
        <f t="shared" ref="AB79:AB94" si="53">IF(OR(F79&gt;(Y79),F79&lt;(Z79)),"Warning","")</f>
        <v/>
      </c>
      <c r="AC79" s="631" t="str">
        <f t="shared" ref="AC79:AC94" si="54">IF(OR(F79=0),"",IF(AND(AA79="Warning",AB79="Warning"),"Warning",""))</f>
        <v/>
      </c>
      <c r="AD79" s="609"/>
      <c r="AE79" s="609"/>
      <c r="AF79" s="609"/>
      <c r="AG79" s="609"/>
      <c r="AH79" s="609"/>
      <c r="AI79" s="609"/>
      <c r="AJ79" s="609"/>
      <c r="AK79" s="609"/>
      <c r="AL79" s="609"/>
      <c r="AM79" s="609"/>
      <c r="AN79" s="609"/>
      <c r="AO79" s="609"/>
      <c r="AP79" s="609"/>
      <c r="AQ79" s="609"/>
    </row>
    <row r="80" spans="1:95" ht="15.5" x14ac:dyDescent="0.35">
      <c r="A80" t="s">
        <v>186</v>
      </c>
      <c r="B80" s="441">
        <v>823</v>
      </c>
      <c r="C80" s="399" t="s">
        <v>187</v>
      </c>
      <c r="D80" s="489"/>
      <c r="E80" s="70"/>
      <c r="F80" s="1246"/>
      <c r="G80" s="1173" t="str">
        <f t="shared" si="49"/>
        <v/>
      </c>
      <c r="H80" s="463" t="str">
        <f t="shared" si="50"/>
        <v/>
      </c>
      <c r="I80" s="528" t="str">
        <f t="shared" si="51"/>
        <v/>
      </c>
      <c r="J80" s="522"/>
      <c r="K80" s="511"/>
      <c r="L80" s="511"/>
      <c r="M80" s="511"/>
      <c r="N80" s="511"/>
      <c r="O80" s="511"/>
      <c r="P80" s="608"/>
      <c r="Q80" s="609"/>
      <c r="R80" s="609"/>
      <c r="S80" s="1088"/>
      <c r="T80" s="625">
        <v>0.4</v>
      </c>
      <c r="U80" s="625">
        <v>5000</v>
      </c>
      <c r="V80" s="631"/>
      <c r="W80" s="625">
        <f t="shared" si="45"/>
        <v>5000</v>
      </c>
      <c r="X80" s="625">
        <f t="shared" si="46"/>
        <v>-5000</v>
      </c>
      <c r="Y80" s="625">
        <f t="shared" si="47"/>
        <v>0</v>
      </c>
      <c r="Z80" s="625">
        <f t="shared" si="48"/>
        <v>0</v>
      </c>
      <c r="AA80" s="631" t="str">
        <f t="shared" si="52"/>
        <v/>
      </c>
      <c r="AB80" s="631" t="str">
        <f t="shared" si="53"/>
        <v/>
      </c>
      <c r="AC80" s="631" t="str">
        <f t="shared" si="54"/>
        <v/>
      </c>
      <c r="AD80" s="609"/>
      <c r="AE80" s="609"/>
      <c r="AF80" s="609"/>
      <c r="AG80" s="609"/>
      <c r="AH80" s="609"/>
      <c r="AI80" s="609"/>
      <c r="AJ80" s="609"/>
      <c r="AK80" s="609"/>
      <c r="AL80" s="609"/>
      <c r="AM80" s="609"/>
      <c r="AN80" s="609"/>
      <c r="AO80" s="609"/>
      <c r="AP80" s="609"/>
      <c r="AQ80" s="609"/>
    </row>
    <row r="81" spans="1:95" ht="15.5" x14ac:dyDescent="0.35">
      <c r="A81" t="s">
        <v>188</v>
      </c>
      <c r="B81" s="441">
        <v>824</v>
      </c>
      <c r="C81" s="399" t="s">
        <v>189</v>
      </c>
      <c r="D81" s="489"/>
      <c r="E81" s="70"/>
      <c r="F81" s="1246"/>
      <c r="G81" s="1173" t="str">
        <f t="shared" si="49"/>
        <v/>
      </c>
      <c r="H81" s="463" t="str">
        <f t="shared" si="50"/>
        <v/>
      </c>
      <c r="I81" s="528" t="str">
        <f t="shared" si="51"/>
        <v/>
      </c>
      <c r="J81" s="522"/>
      <c r="K81" s="511"/>
      <c r="L81" s="511"/>
      <c r="M81" s="511"/>
      <c r="N81" s="511"/>
      <c r="O81" s="511"/>
      <c r="P81" s="608"/>
      <c r="Q81" s="609"/>
      <c r="R81" s="609"/>
      <c r="S81" s="1088"/>
      <c r="T81" s="625">
        <v>0.4</v>
      </c>
      <c r="U81" s="625">
        <v>5000</v>
      </c>
      <c r="V81" s="631"/>
      <c r="W81" s="625">
        <f t="shared" si="45"/>
        <v>5000</v>
      </c>
      <c r="X81" s="625">
        <f t="shared" si="46"/>
        <v>-5000</v>
      </c>
      <c r="Y81" s="625">
        <f t="shared" si="47"/>
        <v>0</v>
      </c>
      <c r="Z81" s="625">
        <f t="shared" si="48"/>
        <v>0</v>
      </c>
      <c r="AA81" s="631" t="str">
        <f t="shared" si="52"/>
        <v/>
      </c>
      <c r="AB81" s="631" t="str">
        <f t="shared" si="53"/>
        <v/>
      </c>
      <c r="AC81" s="631" t="str">
        <f t="shared" si="54"/>
        <v/>
      </c>
      <c r="AD81" s="609"/>
      <c r="AE81" s="609"/>
      <c r="AF81" s="609"/>
      <c r="AG81" s="609"/>
      <c r="AH81" s="609"/>
      <c r="AI81" s="609"/>
      <c r="AJ81" s="609"/>
      <c r="AK81" s="609"/>
      <c r="AL81" s="609"/>
      <c r="AM81" s="609"/>
      <c r="AN81" s="609"/>
      <c r="AO81" s="609"/>
      <c r="AP81" s="609"/>
      <c r="AQ81" s="609"/>
    </row>
    <row r="82" spans="1:95" ht="15.5" x14ac:dyDescent="0.35">
      <c r="A82" t="s">
        <v>190</v>
      </c>
      <c r="B82" s="441">
        <v>825</v>
      </c>
      <c r="C82" s="399" t="s">
        <v>191</v>
      </c>
      <c r="D82" s="489"/>
      <c r="E82" s="70"/>
      <c r="F82" s="1246"/>
      <c r="G82" s="1173" t="str">
        <f t="shared" si="49"/>
        <v/>
      </c>
      <c r="H82" s="463" t="str">
        <f t="shared" si="50"/>
        <v/>
      </c>
      <c r="I82" s="528" t="str">
        <f t="shared" si="51"/>
        <v/>
      </c>
      <c r="J82" s="522"/>
      <c r="K82" s="511"/>
      <c r="L82" s="511"/>
      <c r="M82" s="511"/>
      <c r="N82" s="511"/>
      <c r="O82" s="511"/>
      <c r="P82" s="608"/>
      <c r="Q82" s="609"/>
      <c r="R82" s="609"/>
      <c r="S82" s="1088"/>
      <c r="T82" s="625">
        <v>0.4</v>
      </c>
      <c r="U82" s="625">
        <v>5000</v>
      </c>
      <c r="V82" s="631"/>
      <c r="W82" s="625">
        <f t="shared" si="45"/>
        <v>5000</v>
      </c>
      <c r="X82" s="625">
        <f t="shared" si="46"/>
        <v>-5000</v>
      </c>
      <c r="Y82" s="625">
        <f t="shared" si="47"/>
        <v>0</v>
      </c>
      <c r="Z82" s="625">
        <f t="shared" si="48"/>
        <v>0</v>
      </c>
      <c r="AA82" s="631" t="str">
        <f t="shared" si="52"/>
        <v/>
      </c>
      <c r="AB82" s="631" t="str">
        <f t="shared" si="53"/>
        <v/>
      </c>
      <c r="AC82" s="631" t="str">
        <f t="shared" si="54"/>
        <v/>
      </c>
      <c r="AD82" s="609"/>
      <c r="AE82" s="609"/>
      <c r="AF82" s="609"/>
      <c r="AG82" s="609"/>
      <c r="AH82" s="609"/>
      <c r="AI82" s="609"/>
      <c r="AJ82" s="609"/>
      <c r="AK82" s="609"/>
      <c r="AL82" s="609"/>
      <c r="AM82" s="609"/>
      <c r="AN82" s="609"/>
      <c r="AO82" s="609"/>
      <c r="AP82" s="609"/>
      <c r="AQ82" s="609"/>
    </row>
    <row r="83" spans="1:95" ht="15.5" x14ac:dyDescent="0.35">
      <c r="A83" t="s">
        <v>192</v>
      </c>
      <c r="B83" s="441">
        <v>826</v>
      </c>
      <c r="C83" s="399" t="s">
        <v>193</v>
      </c>
      <c r="D83" s="489"/>
      <c r="E83" s="70"/>
      <c r="F83" s="1246"/>
      <c r="G83" s="1173" t="str">
        <f t="shared" si="49"/>
        <v/>
      </c>
      <c r="H83" s="463" t="str">
        <f t="shared" si="50"/>
        <v/>
      </c>
      <c r="I83" s="528" t="str">
        <f t="shared" si="51"/>
        <v/>
      </c>
      <c r="J83" s="522"/>
      <c r="K83" s="511"/>
      <c r="L83" s="511"/>
      <c r="M83" s="511"/>
      <c r="N83" s="511"/>
      <c r="O83" s="511"/>
      <c r="P83" s="608"/>
      <c r="Q83" s="609"/>
      <c r="R83" s="609"/>
      <c r="S83" s="1088"/>
      <c r="T83" s="625">
        <v>0.4</v>
      </c>
      <c r="U83" s="625">
        <v>1000</v>
      </c>
      <c r="V83" s="631"/>
      <c r="W83" s="625">
        <f t="shared" si="45"/>
        <v>1000</v>
      </c>
      <c r="X83" s="625">
        <f t="shared" si="46"/>
        <v>-1000</v>
      </c>
      <c r="Y83" s="625">
        <f t="shared" si="47"/>
        <v>0</v>
      </c>
      <c r="Z83" s="625">
        <f t="shared" si="48"/>
        <v>0</v>
      </c>
      <c r="AA83" s="631" t="str">
        <f t="shared" si="52"/>
        <v/>
      </c>
      <c r="AB83" s="631" t="str">
        <f t="shared" si="53"/>
        <v/>
      </c>
      <c r="AC83" s="631" t="str">
        <f t="shared" si="54"/>
        <v/>
      </c>
      <c r="AD83" s="609"/>
      <c r="AE83" s="609"/>
      <c r="AF83" s="609"/>
      <c r="AG83" s="609"/>
      <c r="AH83" s="609"/>
      <c r="AI83" s="609"/>
      <c r="AJ83" s="609"/>
      <c r="AK83" s="609"/>
      <c r="AL83" s="609"/>
      <c r="AM83" s="609"/>
      <c r="AN83" s="609"/>
      <c r="AO83" s="609"/>
      <c r="AP83" s="609"/>
      <c r="AQ83" s="609"/>
    </row>
    <row r="84" spans="1:95" ht="15.5" x14ac:dyDescent="0.35">
      <c r="A84" t="s">
        <v>194</v>
      </c>
      <c r="B84" s="441">
        <v>827</v>
      </c>
      <c r="C84" s="399" t="s">
        <v>195</v>
      </c>
      <c r="D84" s="489"/>
      <c r="E84" s="70"/>
      <c r="F84" s="1246"/>
      <c r="G84" s="1173" t="str">
        <f t="shared" si="49"/>
        <v/>
      </c>
      <c r="H84" s="463" t="str">
        <f t="shared" si="50"/>
        <v/>
      </c>
      <c r="I84" s="528" t="str">
        <f t="shared" si="51"/>
        <v/>
      </c>
      <c r="J84" s="522"/>
      <c r="K84" s="511"/>
      <c r="L84" s="511"/>
      <c r="M84" s="511"/>
      <c r="N84" s="511"/>
      <c r="O84" s="511"/>
      <c r="P84" s="608"/>
      <c r="Q84" s="609"/>
      <c r="R84" s="609"/>
      <c r="S84" s="1088"/>
      <c r="T84" s="625">
        <v>0.4</v>
      </c>
      <c r="U84" s="625">
        <v>1000</v>
      </c>
      <c r="V84" s="631"/>
      <c r="W84" s="625">
        <f t="shared" si="45"/>
        <v>1000</v>
      </c>
      <c r="X84" s="625">
        <f t="shared" si="46"/>
        <v>-1000</v>
      </c>
      <c r="Y84" s="625">
        <f t="shared" si="47"/>
        <v>0</v>
      </c>
      <c r="Z84" s="625">
        <f t="shared" si="48"/>
        <v>0</v>
      </c>
      <c r="AA84" s="631" t="str">
        <f t="shared" si="52"/>
        <v/>
      </c>
      <c r="AB84" s="631" t="str">
        <f t="shared" si="53"/>
        <v/>
      </c>
      <c r="AC84" s="631" t="str">
        <f t="shared" si="54"/>
        <v/>
      </c>
      <c r="AD84" s="609"/>
      <c r="AE84" s="609"/>
      <c r="AF84" s="609"/>
      <c r="AG84" s="609"/>
      <c r="AH84" s="609"/>
      <c r="AI84" s="609"/>
      <c r="AJ84" s="609"/>
      <c r="AK84" s="609"/>
      <c r="AL84" s="609"/>
      <c r="AM84" s="609"/>
      <c r="AN84" s="609"/>
      <c r="AO84" s="609"/>
      <c r="AP84" s="609"/>
      <c r="AQ84" s="609"/>
    </row>
    <row r="85" spans="1:95" ht="15.5" x14ac:dyDescent="0.35">
      <c r="A85" t="s">
        <v>196</v>
      </c>
      <c r="B85" s="441">
        <v>828</v>
      </c>
      <c r="C85" s="399" t="s">
        <v>197</v>
      </c>
      <c r="D85" s="489"/>
      <c r="E85" s="70"/>
      <c r="F85" s="1246"/>
      <c r="G85" s="1173" t="str">
        <f t="shared" si="49"/>
        <v/>
      </c>
      <c r="H85" s="463" t="str">
        <f t="shared" si="50"/>
        <v/>
      </c>
      <c r="I85" s="528" t="str">
        <f t="shared" si="51"/>
        <v/>
      </c>
      <c r="J85" s="522"/>
      <c r="K85" s="511"/>
      <c r="L85" s="511"/>
      <c r="M85" s="511"/>
      <c r="N85" s="511"/>
      <c r="O85" s="511"/>
      <c r="P85" s="608"/>
      <c r="Q85" s="609"/>
      <c r="R85" s="609"/>
      <c r="S85" s="1088"/>
      <c r="T85" s="625">
        <v>0.4</v>
      </c>
      <c r="U85" s="625">
        <v>1000</v>
      </c>
      <c r="V85" s="631"/>
      <c r="W85" s="625">
        <f t="shared" si="45"/>
        <v>1000</v>
      </c>
      <c r="X85" s="625">
        <f t="shared" si="46"/>
        <v>-1000</v>
      </c>
      <c r="Y85" s="625">
        <f t="shared" si="47"/>
        <v>0</v>
      </c>
      <c r="Z85" s="625">
        <f t="shared" si="48"/>
        <v>0</v>
      </c>
      <c r="AA85" s="631" t="str">
        <f t="shared" si="52"/>
        <v/>
      </c>
      <c r="AB85" s="631" t="str">
        <f t="shared" si="53"/>
        <v/>
      </c>
      <c r="AC85" s="631" t="str">
        <f t="shared" si="54"/>
        <v/>
      </c>
      <c r="AD85" s="609"/>
      <c r="AE85" s="609"/>
      <c r="AF85" s="609"/>
      <c r="AG85" s="609"/>
      <c r="AH85" s="609"/>
      <c r="AI85" s="609"/>
      <c r="AJ85" s="609"/>
      <c r="AK85" s="609"/>
      <c r="AL85" s="609"/>
      <c r="AM85" s="609"/>
      <c r="AN85" s="609"/>
      <c r="AO85" s="609"/>
      <c r="AP85" s="609"/>
      <c r="AQ85" s="609"/>
    </row>
    <row r="86" spans="1:95" ht="15.5" x14ac:dyDescent="0.35">
      <c r="A86" t="s">
        <v>198</v>
      </c>
      <c r="B86" s="441">
        <v>829</v>
      </c>
      <c r="C86" s="399" t="s">
        <v>199</v>
      </c>
      <c r="D86" s="489"/>
      <c r="E86" s="70"/>
      <c r="F86" s="1246"/>
      <c r="G86" s="1173" t="str">
        <f t="shared" si="49"/>
        <v/>
      </c>
      <c r="H86" s="463" t="str">
        <f t="shared" si="50"/>
        <v/>
      </c>
      <c r="I86" s="528" t="str">
        <f t="shared" si="51"/>
        <v/>
      </c>
      <c r="J86" s="522"/>
      <c r="K86" s="511"/>
      <c r="L86" s="511"/>
      <c r="M86" s="511"/>
      <c r="N86" s="511"/>
      <c r="O86" s="511"/>
      <c r="P86" s="608"/>
      <c r="Q86" s="609"/>
      <c r="R86" s="609"/>
      <c r="S86" s="1088"/>
      <c r="T86" s="625">
        <v>0.4</v>
      </c>
      <c r="U86" s="625">
        <v>1000</v>
      </c>
      <c r="V86" s="631"/>
      <c r="W86" s="625">
        <f t="shared" si="45"/>
        <v>1000</v>
      </c>
      <c r="X86" s="625">
        <f t="shared" si="46"/>
        <v>-1000</v>
      </c>
      <c r="Y86" s="625">
        <f t="shared" si="47"/>
        <v>0</v>
      </c>
      <c r="Z86" s="625">
        <f t="shared" si="48"/>
        <v>0</v>
      </c>
      <c r="AA86" s="631" t="str">
        <f t="shared" si="52"/>
        <v/>
      </c>
      <c r="AB86" s="631" t="str">
        <f t="shared" si="53"/>
        <v/>
      </c>
      <c r="AC86" s="631" t="str">
        <f t="shared" si="54"/>
        <v/>
      </c>
      <c r="AD86" s="609"/>
      <c r="AE86" s="609"/>
      <c r="AF86" s="609"/>
      <c r="AG86" s="609"/>
      <c r="AH86" s="609"/>
      <c r="AI86" s="609"/>
      <c r="AJ86" s="609"/>
      <c r="AK86" s="609"/>
      <c r="AL86" s="609"/>
      <c r="AM86" s="609"/>
      <c r="AN86" s="609"/>
      <c r="AO86" s="609"/>
      <c r="AP86" s="609"/>
      <c r="AQ86" s="609"/>
    </row>
    <row r="87" spans="1:95" s="1" customFormat="1" ht="15.5" x14ac:dyDescent="0.35">
      <c r="A87" s="1" t="s">
        <v>200</v>
      </c>
      <c r="B87" s="92">
        <v>788</v>
      </c>
      <c r="C87" s="84" t="s">
        <v>201</v>
      </c>
      <c r="D87" s="89"/>
      <c r="E87" s="76"/>
      <c r="F87" s="1246"/>
      <c r="G87" s="1170" t="str">
        <f t="shared" si="26"/>
        <v/>
      </c>
      <c r="H87" s="113" t="str">
        <f t="shared" ref="H87" si="55">IF(AC87="Warning","Warning","")</f>
        <v/>
      </c>
      <c r="I87" s="528" t="str">
        <f>IF($H87="Warning","This year's figure is over "&amp;U87/1000&amp;" million and "&amp;(T87*100)&amp;"% different to "&amp;TEXT(V87,"#,###")&amp;" last year, please explain","")</f>
        <v/>
      </c>
      <c r="J87" s="527"/>
      <c r="K87" s="511"/>
      <c r="L87" s="514"/>
      <c r="M87" s="514"/>
      <c r="N87" s="514"/>
      <c r="O87" s="514"/>
      <c r="P87" s="610"/>
      <c r="Q87" s="619"/>
      <c r="R87" s="619"/>
      <c r="S87" s="635"/>
      <c r="T87" s="631">
        <f t="shared" ref="T87:T94" si="56">VLOOKUP("RS"&amp;$B87,data_val_parameters,8,0)/100</f>
        <v>0.4</v>
      </c>
      <c r="U87" s="1095">
        <f t="shared" si="27"/>
        <v>4000</v>
      </c>
      <c r="V87" s="631" t="e">
        <f t="shared" si="36"/>
        <v>#N/A</v>
      </c>
      <c r="W87" s="631" t="e">
        <f t="shared" si="45"/>
        <v>#N/A</v>
      </c>
      <c r="X87" s="631" t="e">
        <f t="shared" si="46"/>
        <v>#N/A</v>
      </c>
      <c r="Y87" s="631" t="e">
        <f t="shared" si="47"/>
        <v>#N/A</v>
      </c>
      <c r="Z87" s="631" t="e">
        <f t="shared" si="48"/>
        <v>#N/A</v>
      </c>
      <c r="AA87" s="631" t="e">
        <f t="shared" si="52"/>
        <v>#N/A</v>
      </c>
      <c r="AB87" s="631" t="e">
        <f t="shared" si="53"/>
        <v>#N/A</v>
      </c>
      <c r="AC87" s="631" t="str">
        <f t="shared" si="54"/>
        <v/>
      </c>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c r="BC87" s="619"/>
      <c r="BD87" s="619"/>
      <c r="BE87" s="619"/>
      <c r="BF87" s="619"/>
      <c r="BG87" s="619"/>
      <c r="BH87" s="619"/>
      <c r="BI87" s="619"/>
      <c r="BJ87" s="619"/>
      <c r="BK87" s="619"/>
      <c r="BL87" s="619"/>
      <c r="BM87" s="619"/>
      <c r="BN87" s="619"/>
      <c r="BO87" s="619"/>
      <c r="BP87" s="619"/>
      <c r="BQ87" s="619"/>
      <c r="BR87" s="619"/>
      <c r="BS87" s="619"/>
      <c r="BT87" s="619"/>
      <c r="BU87" s="619"/>
      <c r="BV87" s="619"/>
      <c r="BW87" s="619"/>
      <c r="BX87" s="619"/>
      <c r="BY87" s="619"/>
      <c r="BZ87" s="619"/>
      <c r="CA87" s="619"/>
      <c r="CB87" s="619"/>
      <c r="CC87" s="619"/>
      <c r="CD87" s="619"/>
      <c r="CE87" s="619"/>
      <c r="CF87" s="619"/>
      <c r="CG87" s="619"/>
      <c r="CH87" s="619"/>
      <c r="CI87" s="619"/>
      <c r="CJ87" s="619"/>
      <c r="CK87" s="619"/>
      <c r="CL87" s="619"/>
      <c r="CM87" s="619"/>
      <c r="CN87" s="619"/>
      <c r="CO87" s="619"/>
      <c r="CP87" s="619"/>
      <c r="CQ87" s="619"/>
    </row>
    <row r="88" spans="1:95" s="1" customFormat="1" ht="15.5" x14ac:dyDescent="0.35">
      <c r="A88" s="1" t="s">
        <v>202</v>
      </c>
      <c r="B88" s="92">
        <v>789</v>
      </c>
      <c r="C88" s="84" t="s">
        <v>203</v>
      </c>
      <c r="D88" s="89"/>
      <c r="E88" s="70"/>
      <c r="F88" s="1246"/>
      <c r="G88" s="1170" t="str">
        <f t="shared" si="26"/>
        <v/>
      </c>
      <c r="H88" s="113" t="str">
        <f t="shared" ref="H88:H89" si="57">IF(AC88="Warning","Warning","")</f>
        <v/>
      </c>
      <c r="I88" s="528" t="str">
        <f>IF($H88="Warning","This year's figure is over "&amp;U88/1000&amp;" million and "&amp;(T88*100)&amp;"% different to "&amp;TEXT(V88,"#,###")&amp;" last year, please explain","")</f>
        <v/>
      </c>
      <c r="J88" s="527"/>
      <c r="K88" s="511"/>
      <c r="L88" s="514"/>
      <c r="M88" s="514"/>
      <c r="N88" s="514"/>
      <c r="O88" s="514"/>
      <c r="P88" s="610"/>
      <c r="Q88" s="619"/>
      <c r="R88" s="619"/>
      <c r="S88" s="635"/>
      <c r="T88" s="631">
        <f t="shared" si="56"/>
        <v>0.5</v>
      </c>
      <c r="U88" s="1095">
        <f t="shared" si="27"/>
        <v>10000</v>
      </c>
      <c r="V88" s="631" t="e">
        <f t="shared" si="36"/>
        <v>#N/A</v>
      </c>
      <c r="W88" s="631" t="e">
        <f t="shared" si="45"/>
        <v>#N/A</v>
      </c>
      <c r="X88" s="631" t="e">
        <f t="shared" si="46"/>
        <v>#N/A</v>
      </c>
      <c r="Y88" s="631" t="e">
        <f t="shared" si="47"/>
        <v>#N/A</v>
      </c>
      <c r="Z88" s="631" t="e">
        <f t="shared" si="48"/>
        <v>#N/A</v>
      </c>
      <c r="AA88" s="631" t="e">
        <f t="shared" si="52"/>
        <v>#N/A</v>
      </c>
      <c r="AB88" s="631" t="e">
        <f t="shared" si="53"/>
        <v>#N/A</v>
      </c>
      <c r="AC88" s="631" t="str">
        <f t="shared" si="54"/>
        <v/>
      </c>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c r="BC88" s="619"/>
      <c r="BD88" s="619"/>
      <c r="BE88" s="619"/>
      <c r="BF88" s="619"/>
      <c r="BG88" s="619"/>
      <c r="BH88" s="619"/>
      <c r="BI88" s="619"/>
      <c r="BJ88" s="619"/>
      <c r="BK88" s="619"/>
      <c r="BL88" s="619"/>
      <c r="BM88" s="619"/>
      <c r="BN88" s="619"/>
      <c r="BO88" s="619"/>
      <c r="BP88" s="619"/>
      <c r="BQ88" s="619"/>
      <c r="BR88" s="619"/>
      <c r="BS88" s="619"/>
      <c r="BT88" s="619"/>
      <c r="BU88" s="619"/>
      <c r="BV88" s="619"/>
      <c r="BW88" s="619"/>
      <c r="BX88" s="619"/>
      <c r="BY88" s="619"/>
      <c r="BZ88" s="619"/>
      <c r="CA88" s="619"/>
      <c r="CB88" s="619"/>
      <c r="CC88" s="619"/>
      <c r="CD88" s="619"/>
      <c r="CE88" s="619"/>
      <c r="CF88" s="619"/>
      <c r="CG88" s="619"/>
      <c r="CH88" s="619"/>
      <c r="CI88" s="619"/>
      <c r="CJ88" s="619"/>
      <c r="CK88" s="619"/>
      <c r="CL88" s="619"/>
      <c r="CM88" s="619"/>
      <c r="CN88" s="619"/>
      <c r="CO88" s="619"/>
      <c r="CP88" s="619"/>
      <c r="CQ88" s="619"/>
    </row>
    <row r="89" spans="1:95" s="1" customFormat="1" ht="15.5" x14ac:dyDescent="0.35">
      <c r="A89" s="1" t="s">
        <v>204</v>
      </c>
      <c r="B89" s="92">
        <v>790</v>
      </c>
      <c r="C89" s="84" t="s">
        <v>205</v>
      </c>
      <c r="D89" s="89"/>
      <c r="E89" s="70"/>
      <c r="F89" s="1246"/>
      <c r="G89" s="1170" t="str">
        <f t="shared" si="26"/>
        <v/>
      </c>
      <c r="H89" s="113" t="str">
        <f t="shared" si="57"/>
        <v/>
      </c>
      <c r="I89" s="528" t="str">
        <f>IF($H89="Warning","This year's figure is over "&amp;U89/1000&amp;" million and "&amp;(T89*100)&amp;"% different to "&amp;TEXT(V89,"#,###")&amp;" last year, please explain","")</f>
        <v/>
      </c>
      <c r="J89" s="527"/>
      <c r="K89" s="511"/>
      <c r="L89" s="514"/>
      <c r="M89" s="514"/>
      <c r="N89" s="514"/>
      <c r="O89" s="514"/>
      <c r="P89" s="610"/>
      <c r="Q89" s="619"/>
      <c r="R89" s="619"/>
      <c r="S89" s="635"/>
      <c r="T89" s="631">
        <f t="shared" si="56"/>
        <v>0.4</v>
      </c>
      <c r="U89" s="1095">
        <f t="shared" si="27"/>
        <v>4000</v>
      </c>
      <c r="V89" s="631" t="e">
        <f t="shared" si="36"/>
        <v>#N/A</v>
      </c>
      <c r="W89" s="631" t="e">
        <f t="shared" si="45"/>
        <v>#N/A</v>
      </c>
      <c r="X89" s="631" t="e">
        <f t="shared" si="46"/>
        <v>#N/A</v>
      </c>
      <c r="Y89" s="631" t="e">
        <f t="shared" si="47"/>
        <v>#N/A</v>
      </c>
      <c r="Z89" s="631" t="e">
        <f t="shared" si="48"/>
        <v>#N/A</v>
      </c>
      <c r="AA89" s="631" t="e">
        <f t="shared" si="52"/>
        <v>#N/A</v>
      </c>
      <c r="AB89" s="631" t="e">
        <f t="shared" si="53"/>
        <v>#N/A</v>
      </c>
      <c r="AC89" s="631" t="str">
        <f t="shared" si="54"/>
        <v/>
      </c>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c r="BC89" s="619"/>
      <c r="BD89" s="619"/>
      <c r="BE89" s="619"/>
      <c r="BF89" s="619"/>
      <c r="BG89" s="619"/>
      <c r="BH89" s="619"/>
      <c r="BI89" s="619"/>
      <c r="BJ89" s="619"/>
      <c r="BK89" s="619"/>
      <c r="BL89" s="619"/>
      <c r="BM89" s="619"/>
      <c r="BN89" s="619"/>
      <c r="BO89" s="619"/>
      <c r="BP89" s="619"/>
      <c r="BQ89" s="619"/>
      <c r="BR89" s="619"/>
      <c r="BS89" s="619"/>
      <c r="BT89" s="619"/>
      <c r="BU89" s="619"/>
      <c r="BV89" s="619"/>
      <c r="BW89" s="619"/>
      <c r="BX89" s="619"/>
      <c r="BY89" s="619"/>
      <c r="BZ89" s="619"/>
      <c r="CA89" s="619"/>
      <c r="CB89" s="619"/>
      <c r="CC89" s="619"/>
      <c r="CD89" s="619"/>
      <c r="CE89" s="619"/>
      <c r="CF89" s="619"/>
      <c r="CG89" s="619"/>
      <c r="CH89" s="619"/>
      <c r="CI89" s="619"/>
      <c r="CJ89" s="619"/>
      <c r="CK89" s="619"/>
      <c r="CL89" s="619"/>
      <c r="CM89" s="619"/>
      <c r="CN89" s="619"/>
      <c r="CO89" s="619"/>
      <c r="CP89" s="619"/>
      <c r="CQ89" s="619"/>
    </row>
    <row r="90" spans="1:95" ht="15.5" x14ac:dyDescent="0.35">
      <c r="A90" t="s">
        <v>206</v>
      </c>
      <c r="B90" s="92">
        <v>791</v>
      </c>
      <c r="C90" s="86" t="s">
        <v>207</v>
      </c>
      <c r="D90" s="84"/>
      <c r="E90" s="563" t="s">
        <v>208</v>
      </c>
      <c r="F90" s="1231">
        <f>RG!H66*-1</f>
        <v>0</v>
      </c>
      <c r="G90" s="1170" t="str">
        <f t="shared" si="26"/>
        <v/>
      </c>
      <c r="H90" s="105" t="str">
        <f>IF(F90&gt;0,"Error","")</f>
        <v/>
      </c>
      <c r="I90" s="528" t="str">
        <f>IF(F90&gt;0,"Only Zero or Negative figure can be entered in this cell, the figures in the RG form should be positive and converted by formula in the RS","")</f>
        <v/>
      </c>
      <c r="J90" s="522"/>
      <c r="K90" s="511"/>
      <c r="L90" s="511"/>
      <c r="M90" s="511"/>
      <c r="N90" s="511"/>
      <c r="O90" s="511"/>
      <c r="P90" s="608"/>
      <c r="Q90" s="609"/>
      <c r="R90" s="609"/>
      <c r="S90" s="1088"/>
      <c r="T90" s="631">
        <f t="shared" si="56"/>
        <v>0.4</v>
      </c>
      <c r="U90" s="631">
        <f t="shared" si="27"/>
        <v>4000</v>
      </c>
      <c r="V90" s="631" t="e">
        <f t="shared" si="36"/>
        <v>#N/A</v>
      </c>
      <c r="W90" s="631" t="e">
        <f t="shared" si="45"/>
        <v>#N/A</v>
      </c>
      <c r="X90" s="631" t="e">
        <f t="shared" si="46"/>
        <v>#N/A</v>
      </c>
      <c r="Y90" s="631" t="e">
        <f t="shared" si="47"/>
        <v>#N/A</v>
      </c>
      <c r="Z90" s="631" t="e">
        <f t="shared" si="48"/>
        <v>#N/A</v>
      </c>
      <c r="AA90" s="631" t="e">
        <f t="shared" si="52"/>
        <v>#N/A</v>
      </c>
      <c r="AB90" s="631" t="e">
        <f t="shared" si="53"/>
        <v>#N/A</v>
      </c>
      <c r="AC90" s="631" t="str">
        <f t="shared" si="54"/>
        <v/>
      </c>
      <c r="AD90" s="609"/>
      <c r="AE90" s="609"/>
      <c r="AF90" s="609"/>
      <c r="AG90" s="609"/>
      <c r="AH90" s="609"/>
      <c r="AI90" s="609"/>
      <c r="AJ90" s="609"/>
      <c r="AK90" s="609"/>
      <c r="AL90" s="609"/>
      <c r="AM90" s="609"/>
      <c r="AN90" s="609"/>
      <c r="AO90" s="609"/>
      <c r="AP90" s="609"/>
      <c r="AQ90" s="609"/>
    </row>
    <row r="91" spans="1:95" ht="15.5" x14ac:dyDescent="0.35">
      <c r="A91" t="s">
        <v>209</v>
      </c>
      <c r="B91" s="92">
        <v>793</v>
      </c>
      <c r="C91" s="84" t="s">
        <v>210</v>
      </c>
      <c r="D91" s="84"/>
      <c r="E91" s="351"/>
      <c r="F91" s="1246"/>
      <c r="G91" s="1170" t="str">
        <f t="shared" si="26"/>
        <v/>
      </c>
      <c r="H91" s="465" t="str">
        <f>IF(F91&lt;&gt;0,"Warning","")</f>
        <v/>
      </c>
      <c r="I91" s="533" t="str">
        <f>IF($H91="Warning","Please note the arrangement or project(s) to which this relates - see guidance","")</f>
        <v/>
      </c>
      <c r="J91" s="529" t="str">
        <f>IF(AC91="Warning","This year's figure is over "&amp;U91/1000&amp;" million and "&amp;(T91*100)&amp;"% different to "&amp;TEXT(V91,"#,###")&amp;" last year, please explain","")</f>
        <v/>
      </c>
      <c r="K91" s="511"/>
      <c r="L91" s="511"/>
      <c r="M91" s="511"/>
      <c r="N91" s="511"/>
      <c r="O91" s="511"/>
      <c r="P91" s="608"/>
      <c r="Q91" s="609"/>
      <c r="R91" s="609"/>
      <c r="S91" s="1088"/>
      <c r="T91" s="631">
        <f t="shared" si="56"/>
        <v>0.4</v>
      </c>
      <c r="U91" s="631">
        <f t="shared" si="27"/>
        <v>4000</v>
      </c>
      <c r="V91" s="631" t="e">
        <f t="shared" si="36"/>
        <v>#N/A</v>
      </c>
      <c r="W91" s="631" t="e">
        <f t="shared" si="45"/>
        <v>#N/A</v>
      </c>
      <c r="X91" s="631" t="e">
        <f t="shared" si="46"/>
        <v>#N/A</v>
      </c>
      <c r="Y91" s="631" t="e">
        <f t="shared" si="47"/>
        <v>#N/A</v>
      </c>
      <c r="Z91" s="631" t="e">
        <f t="shared" si="48"/>
        <v>#N/A</v>
      </c>
      <c r="AA91" s="631" t="e">
        <f t="shared" si="52"/>
        <v>#N/A</v>
      </c>
      <c r="AB91" s="631" t="e">
        <f t="shared" si="53"/>
        <v>#N/A</v>
      </c>
      <c r="AC91" s="631" t="str">
        <f t="shared" si="54"/>
        <v/>
      </c>
      <c r="AD91" s="609"/>
      <c r="AE91" s="609"/>
      <c r="AF91" s="609"/>
      <c r="AG91" s="609"/>
      <c r="AH91" s="609"/>
      <c r="AI91" s="609"/>
      <c r="AJ91" s="609"/>
      <c r="AK91" s="609"/>
      <c r="AL91" s="609"/>
      <c r="AM91" s="609"/>
      <c r="AN91" s="609"/>
      <c r="AO91" s="609"/>
      <c r="AP91" s="609"/>
      <c r="AQ91" s="609"/>
    </row>
    <row r="92" spans="1:95" ht="15.5" x14ac:dyDescent="0.35">
      <c r="A92" t="s">
        <v>211</v>
      </c>
      <c r="B92" s="92">
        <v>794</v>
      </c>
      <c r="C92" s="84" t="s">
        <v>212</v>
      </c>
      <c r="D92" s="84"/>
      <c r="E92" s="351"/>
      <c r="F92" s="1246"/>
      <c r="G92" s="1170" t="str">
        <f>IF(ISERROR(H92),"",IF((H92="Error"),"add explanation",IF((H92="Warning"),"add explanation","")))</f>
        <v/>
      </c>
      <c r="H92" s="326" t="e">
        <f>IF(F92&gt;0,"Error",IF(AND(F92=0,VLOOKUP(LA_code,'LA List'!C3:I416,7,0)=1),"Warning",""))</f>
        <v>#N/A</v>
      </c>
      <c r="I92" s="529" t="e">
        <f>IF(F92&gt;0,"Only Zero or a Negative figure can be entered in this cell.",IF(H92="Warning","CIL figure is expected from your authority",""))</f>
        <v>#N/A</v>
      </c>
      <c r="J92" s="534" t="str">
        <f>IF(AC92="Warning","This year's figure is over "&amp;U92/1000&amp;" million and "&amp;(T92*100)&amp;"% different to "&amp;TEXT(V92,"#,###")&amp;" last year, please explain","")</f>
        <v/>
      </c>
      <c r="K92" s="511"/>
      <c r="L92" s="511"/>
      <c r="M92" s="511"/>
      <c r="N92" s="511"/>
      <c r="O92" s="511"/>
      <c r="P92" s="608"/>
      <c r="Q92" s="609"/>
      <c r="R92" s="620"/>
      <c r="S92" s="1095"/>
      <c r="T92" s="631">
        <f t="shared" si="56"/>
        <v>0.4</v>
      </c>
      <c r="U92" s="631">
        <f t="shared" si="27"/>
        <v>20000</v>
      </c>
      <c r="V92" s="631" t="e">
        <f t="shared" si="36"/>
        <v>#N/A</v>
      </c>
      <c r="W92" s="631" t="e">
        <f t="shared" si="45"/>
        <v>#N/A</v>
      </c>
      <c r="X92" s="631" t="e">
        <f t="shared" si="46"/>
        <v>#N/A</v>
      </c>
      <c r="Y92" s="631" t="e">
        <f t="shared" si="47"/>
        <v>#N/A</v>
      </c>
      <c r="Z92" s="631" t="e">
        <f t="shared" si="48"/>
        <v>#N/A</v>
      </c>
      <c r="AA92" s="631" t="e">
        <f t="shared" si="52"/>
        <v>#N/A</v>
      </c>
      <c r="AB92" s="631" t="e">
        <f t="shared" si="53"/>
        <v>#N/A</v>
      </c>
      <c r="AC92" s="631" t="str">
        <f t="shared" si="54"/>
        <v/>
      </c>
      <c r="AD92" s="609"/>
      <c r="AE92" s="609"/>
      <c r="AF92" s="609"/>
      <c r="AG92" s="609"/>
      <c r="AH92" s="609"/>
      <c r="AI92" s="609"/>
      <c r="AJ92" s="609"/>
      <c r="AK92" s="609"/>
      <c r="AL92" s="609"/>
      <c r="AM92" s="609"/>
      <c r="AN92" s="609"/>
      <c r="AO92" s="609"/>
      <c r="AP92" s="609"/>
      <c r="AQ92" s="609"/>
    </row>
    <row r="93" spans="1:95" ht="15.5" x14ac:dyDescent="0.35">
      <c r="A93" t="s">
        <v>213</v>
      </c>
      <c r="B93" s="92">
        <v>795</v>
      </c>
      <c r="C93" s="84" t="s">
        <v>214</v>
      </c>
      <c r="D93" s="84"/>
      <c r="E93" s="351"/>
      <c r="F93" s="1246"/>
      <c r="G93" s="1170" t="str">
        <f t="shared" si="26"/>
        <v/>
      </c>
      <c r="H93" s="326" t="str">
        <f>IF(F93&lt;0,"Error",IF(AC93="Warning","Warning",""))</f>
        <v/>
      </c>
      <c r="I93" s="533" t="str">
        <f>IF(F93&lt;0,"Only Zero or positive figure can be entered in this cell",IF(H93="Warning","This year's figure is over "&amp;U93/1000&amp;" million and "&amp;(T93*100)&amp;"% different to "&amp;TEXT(V93,"#,###")&amp;" last year, please explain",""))</f>
        <v/>
      </c>
      <c r="J93" s="522"/>
      <c r="K93" s="511"/>
      <c r="L93" s="511"/>
      <c r="M93" s="511"/>
      <c r="N93" s="511"/>
      <c r="O93" s="511"/>
      <c r="P93" s="608"/>
      <c r="Q93" s="609"/>
      <c r="R93" s="609"/>
      <c r="S93" s="1088"/>
      <c r="T93" s="631">
        <f t="shared" si="56"/>
        <v>0.4</v>
      </c>
      <c r="U93" s="631">
        <f t="shared" si="27"/>
        <v>4000</v>
      </c>
      <c r="V93" s="631" t="e">
        <f t="shared" si="36"/>
        <v>#N/A</v>
      </c>
      <c r="W93" s="631" t="e">
        <f t="shared" si="45"/>
        <v>#N/A</v>
      </c>
      <c r="X93" s="631" t="e">
        <f t="shared" si="46"/>
        <v>#N/A</v>
      </c>
      <c r="Y93" s="631" t="e">
        <f t="shared" si="47"/>
        <v>#N/A</v>
      </c>
      <c r="Z93" s="631" t="e">
        <f t="shared" si="48"/>
        <v>#N/A</v>
      </c>
      <c r="AA93" s="631" t="e">
        <f t="shared" si="52"/>
        <v>#N/A</v>
      </c>
      <c r="AB93" s="631" t="e">
        <f t="shared" si="53"/>
        <v>#N/A</v>
      </c>
      <c r="AC93" s="631" t="str">
        <f t="shared" si="54"/>
        <v/>
      </c>
      <c r="AD93" s="609"/>
      <c r="AE93" s="609"/>
      <c r="AF93" s="609"/>
      <c r="AG93" s="609"/>
      <c r="AH93" s="609"/>
      <c r="AI93" s="609"/>
      <c r="AJ93" s="609"/>
      <c r="AK93" s="609"/>
      <c r="AL93" s="609"/>
      <c r="AM93" s="609"/>
      <c r="AN93" s="609"/>
      <c r="AO93" s="609"/>
      <c r="AP93" s="609"/>
      <c r="AQ93" s="609"/>
    </row>
    <row r="94" spans="1:95" ht="15.5" x14ac:dyDescent="0.35">
      <c r="A94" t="s">
        <v>215</v>
      </c>
      <c r="B94" s="92">
        <v>796</v>
      </c>
      <c r="C94" s="84" t="s">
        <v>216</v>
      </c>
      <c r="D94" s="84"/>
      <c r="E94" s="351"/>
      <c r="F94" s="1246"/>
      <c r="G94" s="1170" t="str">
        <f t="shared" si="26"/>
        <v/>
      </c>
      <c r="H94" s="326" t="str">
        <f>IF(F94&gt;0,"Error",IF(AC94="Warning","Warning",""))</f>
        <v/>
      </c>
      <c r="I94" s="533" t="str">
        <f>IF(F94&gt;0,"Only Zero or Negative figure can be entered in this cell",IF(H94="Warning","This year's figure is over "&amp;U94/1000&amp;" million and "&amp;(T94*100)&amp;"% different to "&amp;TEXT(V94,"#,###")&amp;" last year, please explain",""))</f>
        <v/>
      </c>
      <c r="J94" s="522"/>
      <c r="K94" s="511"/>
      <c r="L94" s="511"/>
      <c r="M94" s="511"/>
      <c r="N94" s="511"/>
      <c r="O94" s="511"/>
      <c r="P94" s="608"/>
      <c r="Q94" s="609"/>
      <c r="R94" s="609"/>
      <c r="S94" s="1088"/>
      <c r="T94" s="631">
        <f t="shared" si="56"/>
        <v>0.4</v>
      </c>
      <c r="U94" s="631">
        <f t="shared" si="27"/>
        <v>4000</v>
      </c>
      <c r="V94" s="631" t="e">
        <f t="shared" si="36"/>
        <v>#N/A</v>
      </c>
      <c r="W94" s="631" t="e">
        <f t="shared" si="45"/>
        <v>#N/A</v>
      </c>
      <c r="X94" s="631" t="e">
        <f t="shared" si="46"/>
        <v>#N/A</v>
      </c>
      <c r="Y94" s="631" t="e">
        <f t="shared" si="47"/>
        <v>#N/A</v>
      </c>
      <c r="Z94" s="631" t="e">
        <f t="shared" si="48"/>
        <v>#N/A</v>
      </c>
      <c r="AA94" s="631" t="e">
        <f t="shared" si="52"/>
        <v>#N/A</v>
      </c>
      <c r="AB94" s="631" t="e">
        <f t="shared" si="53"/>
        <v>#N/A</v>
      </c>
      <c r="AC94" s="631" t="str">
        <f t="shared" si="54"/>
        <v/>
      </c>
      <c r="AD94" s="609"/>
      <c r="AE94" s="609"/>
      <c r="AF94" s="609"/>
      <c r="AG94" s="609"/>
      <c r="AH94" s="609"/>
      <c r="AI94" s="609"/>
      <c r="AJ94" s="609"/>
      <c r="AK94" s="609"/>
      <c r="AL94" s="609"/>
      <c r="AM94" s="609"/>
      <c r="AN94" s="609"/>
      <c r="AO94" s="609"/>
      <c r="AP94" s="609"/>
      <c r="AQ94" s="609"/>
    </row>
    <row r="95" spans="1:95" s="93" customFormat="1" ht="15.5" x14ac:dyDescent="0.35">
      <c r="A95" s="93" t="s">
        <v>217</v>
      </c>
      <c r="B95" s="92">
        <v>797</v>
      </c>
      <c r="C95" s="84" t="s">
        <v>218</v>
      </c>
      <c r="D95" s="446"/>
      <c r="E95" s="447"/>
      <c r="F95" s="1251" t="e">
        <f>G122-F122</f>
        <v>#N/A</v>
      </c>
      <c r="G95" s="1170" t="str">
        <f t="shared" si="26"/>
        <v/>
      </c>
      <c r="H95" s="105" t="e">
        <f t="shared" ref="H95" si="58">IF(AC95="Warning","Warning","")</f>
        <v>#N/A</v>
      </c>
      <c r="I95" s="528" t="e">
        <f>IF(H95="Warning","This year's figure is over "&amp;U95/1000&amp;" million and "&amp;(T95*100)&amp;"% different to "&amp;TEXT(V95,"#,###")&amp;" last year, please explain","")</f>
        <v>#N/A</v>
      </c>
      <c r="J95" s="535"/>
      <c r="K95" s="518"/>
      <c r="L95" s="518"/>
      <c r="M95" s="518"/>
      <c r="N95" s="518"/>
      <c r="O95" s="518"/>
      <c r="P95" s="626"/>
      <c r="Q95" s="625"/>
      <c r="R95" s="625"/>
      <c r="S95" s="627"/>
      <c r="T95" s="631">
        <f>VLOOKUP("RS"&amp;$B95,data_val_parameters,8,0)/100</f>
        <v>0.55000000000000004</v>
      </c>
      <c r="U95" s="631">
        <f t="shared" si="27"/>
        <v>2000</v>
      </c>
      <c r="V95" s="631" t="e">
        <f>VLOOKUP(LA_code,data_prev_year,MATCH("RS"&amp;$B95&amp;"1",data_prev_year_headers,0),0)</f>
        <v>#N/A</v>
      </c>
      <c r="W95" s="631" t="e">
        <f t="shared" si="45"/>
        <v>#N/A</v>
      </c>
      <c r="X95" s="631" t="e">
        <f t="shared" si="46"/>
        <v>#N/A</v>
      </c>
      <c r="Y95" s="631" t="e">
        <f t="shared" si="47"/>
        <v>#N/A</v>
      </c>
      <c r="Z95" s="631" t="e">
        <f t="shared" si="48"/>
        <v>#N/A</v>
      </c>
      <c r="AA95" s="631" t="e">
        <f>IF(OR(F95&lt;X95,F95&gt;W95),"Warning","")</f>
        <v>#N/A</v>
      </c>
      <c r="AB95" s="631" t="e">
        <f>IF(OR(F95&gt;(Y95),F95&lt;(Z95)),"Warning","")</f>
        <v>#N/A</v>
      </c>
      <c r="AC95" s="631" t="e">
        <f>IF(OR(F95=0),"",IF(AND(AA95="Warning",AB95="Warning"),"Warning",""))</f>
        <v>#N/A</v>
      </c>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5"/>
      <c r="BW95" s="625"/>
      <c r="BX95" s="625"/>
      <c r="BY95" s="625"/>
      <c r="BZ95" s="625"/>
      <c r="CA95" s="625"/>
      <c r="CB95" s="625"/>
      <c r="CC95" s="625"/>
      <c r="CD95" s="625"/>
      <c r="CE95" s="625"/>
      <c r="CF95" s="625"/>
      <c r="CG95" s="625"/>
      <c r="CH95" s="625"/>
      <c r="CI95" s="625"/>
      <c r="CJ95" s="625"/>
      <c r="CK95" s="625"/>
      <c r="CL95" s="625"/>
      <c r="CM95" s="625"/>
      <c r="CN95" s="625"/>
      <c r="CO95" s="625"/>
      <c r="CP95" s="625"/>
      <c r="CQ95" s="625"/>
    </row>
    <row r="96" spans="1:95" s="33" customFormat="1" ht="18" x14ac:dyDescent="0.4">
      <c r="A96" s="345" t="s">
        <v>219</v>
      </c>
      <c r="B96" s="148">
        <v>800</v>
      </c>
      <c r="C96" s="85" t="s">
        <v>220</v>
      </c>
      <c r="D96" s="85"/>
      <c r="E96" s="154"/>
      <c r="F96" s="1245" t="e">
        <f>SUM(F75,F76,F87:F95)</f>
        <v>#N/A</v>
      </c>
      <c r="G96" s="1170" t="str">
        <f t="shared" si="26"/>
        <v/>
      </c>
      <c r="H96" s="105"/>
      <c r="I96" s="528"/>
      <c r="J96" s="526"/>
      <c r="K96" s="511"/>
      <c r="L96" s="515"/>
      <c r="M96" s="515"/>
      <c r="N96" s="515"/>
      <c r="O96" s="515"/>
      <c r="P96" s="622"/>
      <c r="Q96" s="628"/>
      <c r="R96" s="628"/>
      <c r="S96" s="629"/>
      <c r="T96" s="631"/>
      <c r="U96" s="1095"/>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row>
    <row r="97" spans="1:95" s="33" customFormat="1" ht="18" x14ac:dyDescent="0.4">
      <c r="A97" s="35"/>
      <c r="B97" s="148"/>
      <c r="C97" s="85"/>
      <c r="D97" s="85"/>
      <c r="E97" s="154"/>
      <c r="F97" s="27"/>
      <c r="G97" s="1170"/>
      <c r="H97" s="105"/>
      <c r="I97" s="528"/>
      <c r="J97" s="526"/>
      <c r="K97" s="515"/>
      <c r="L97" s="515"/>
      <c r="M97" s="515"/>
      <c r="N97" s="515"/>
      <c r="O97" s="515"/>
      <c r="P97" s="622"/>
      <c r="Q97" s="628"/>
      <c r="R97" s="628"/>
      <c r="S97" s="629"/>
      <c r="T97" s="631"/>
      <c r="U97" s="1095"/>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8"/>
      <c r="BW97" s="628"/>
      <c r="BX97" s="628"/>
      <c r="BY97" s="628"/>
      <c r="BZ97" s="628"/>
      <c r="CA97" s="628"/>
      <c r="CB97" s="628"/>
      <c r="CC97" s="628"/>
      <c r="CD97" s="628"/>
      <c r="CE97" s="628"/>
      <c r="CF97" s="628"/>
      <c r="CG97" s="628"/>
      <c r="CH97" s="628"/>
      <c r="CI97" s="628"/>
      <c r="CJ97" s="628"/>
      <c r="CK97" s="628"/>
      <c r="CL97" s="628"/>
      <c r="CM97" s="628"/>
      <c r="CN97" s="628"/>
      <c r="CO97" s="628"/>
      <c r="CP97" s="628"/>
      <c r="CQ97" s="628"/>
    </row>
    <row r="98" spans="1:95" s="33" customFormat="1" ht="18" x14ac:dyDescent="0.4">
      <c r="A98" s="345" t="s">
        <v>221</v>
      </c>
      <c r="B98" s="92">
        <v>803</v>
      </c>
      <c r="C98" s="92" t="s">
        <v>222</v>
      </c>
      <c r="D98" s="84"/>
      <c r="E98" s="351"/>
      <c r="F98" s="1246"/>
      <c r="G98" s="1170" t="str">
        <f t="shared" ref="G98:G106" si="59">IF(ISERROR(H98),"",IF((H98="Error"),"add explanation",IF((H98="Warning"),"add explanation","")))</f>
        <v/>
      </c>
      <c r="H98" s="105" t="str">
        <f>IF(F98&gt;0,"Error",IF(AC98="Warning","Warning",""))</f>
        <v/>
      </c>
      <c r="I98" s="528" t="str">
        <f>IF(F98&gt;0,"Only Zero or Negative figure can be entered in this cell",IF(H98="Warning","This year's figure is over "&amp;U98/1000&amp;" million and "&amp;(T98*100)&amp;"% different to "&amp;TEXT(V98,"#,###")&amp;" last year, please explain",""))</f>
        <v/>
      </c>
      <c r="J98" s="526"/>
      <c r="K98" s="511"/>
      <c r="L98" s="515"/>
      <c r="M98" s="515"/>
      <c r="N98" s="515"/>
      <c r="O98" s="515"/>
      <c r="P98" s="622"/>
      <c r="Q98" s="628"/>
      <c r="R98" s="628"/>
      <c r="S98" s="629"/>
      <c r="T98" s="631">
        <f>VLOOKUP("RS"&amp;$B98,data_val_parameters,8,0)/100</f>
        <v>0.4</v>
      </c>
      <c r="U98" s="1095">
        <f t="shared" ref="U98:U106" si="60">VLOOKUP("RS"&amp;$B98,data_val_parameters,7,0)</f>
        <v>4000</v>
      </c>
      <c r="V98" s="631" t="e">
        <f>VLOOKUP(LA_code,data_prev_year,MATCH("RS"&amp;$B98&amp;"1",data_prev_year_headers,0),0)</f>
        <v>#N/A</v>
      </c>
      <c r="W98" s="631" t="e">
        <f t="shared" ref="W98" si="61">V98+U98</f>
        <v>#N/A</v>
      </c>
      <c r="X98" s="631" t="e">
        <f t="shared" ref="X98" si="62">V98-U98</f>
        <v>#N/A</v>
      </c>
      <c r="Y98" s="631" t="e">
        <f t="shared" ref="Y98" si="63">V98+(V98*T98)</f>
        <v>#N/A</v>
      </c>
      <c r="Z98" s="631" t="e">
        <f t="shared" ref="Z98" si="64">V98-(V98*T98)</f>
        <v>#N/A</v>
      </c>
      <c r="AA98" s="631" t="e">
        <f>IF(OR(F98&lt;X98,F98&gt;W98),"Warning","")</f>
        <v>#N/A</v>
      </c>
      <c r="AB98" s="631" t="e">
        <f>IF(OR(F98&gt;(Y98),F98&lt;(Z98)),"Warning","")</f>
        <v>#N/A</v>
      </c>
      <c r="AC98" s="631" t="str">
        <f>IF(OR(F98=0),"",IF(AND(AA98="Warning",AB98="Warning"),"Warning",""))</f>
        <v/>
      </c>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8"/>
      <c r="BT98" s="628"/>
      <c r="BU98" s="628"/>
      <c r="BV98" s="628"/>
      <c r="BW98" s="628"/>
      <c r="BX98" s="628"/>
      <c r="BY98" s="628"/>
      <c r="BZ98" s="628"/>
      <c r="CA98" s="628"/>
      <c r="CB98" s="628"/>
      <c r="CC98" s="628"/>
      <c r="CD98" s="628"/>
      <c r="CE98" s="628"/>
      <c r="CF98" s="628"/>
      <c r="CG98" s="628"/>
      <c r="CH98" s="628"/>
      <c r="CI98" s="628"/>
      <c r="CJ98" s="628"/>
      <c r="CK98" s="628"/>
      <c r="CL98" s="628"/>
      <c r="CM98" s="628"/>
      <c r="CN98" s="628"/>
      <c r="CO98" s="628"/>
      <c r="CP98" s="628"/>
      <c r="CQ98" s="628"/>
    </row>
    <row r="99" spans="1:95" ht="15.5" x14ac:dyDescent="0.35">
      <c r="A99" t="s">
        <v>223</v>
      </c>
      <c r="B99" s="92">
        <v>804</v>
      </c>
      <c r="C99" s="86" t="s">
        <v>224</v>
      </c>
      <c r="D99" s="84"/>
      <c r="E99" s="563" t="s">
        <v>225</v>
      </c>
      <c r="F99" s="1231" t="e">
        <f>RG!H56*-1</f>
        <v>#N/A</v>
      </c>
      <c r="G99" s="1170" t="str">
        <f t="shared" si="59"/>
        <v/>
      </c>
      <c r="H99" s="105" t="e">
        <f>IF(F99&gt;0,"Error",IF(AC99="Warning","Warning",""))</f>
        <v>#N/A</v>
      </c>
      <c r="I99" s="528" t="e">
        <f>IF(F99&gt;0,"Only Zero or Negative figure can be entered in this cell, the figures in the RG form should be positive and converted by formula in the RS",IF(H99="Warning","This year's figure is over "&amp;U99/1000&amp;" million and "&amp;(T99*100)&amp;"% different to "&amp;TEXT(V99,"#,###")&amp;" last year, please explain",""))</f>
        <v>#N/A</v>
      </c>
      <c r="J99" s="522"/>
      <c r="K99" s="511"/>
      <c r="L99" s="511"/>
      <c r="M99" s="511"/>
      <c r="N99" s="511"/>
      <c r="O99" s="511"/>
      <c r="P99" s="608"/>
      <c r="Q99" s="609"/>
      <c r="R99" s="609"/>
      <c r="S99" s="1088"/>
      <c r="T99" s="631">
        <f>VLOOKUP("RS"&amp;$B99,data_val_parameters,8,0)/100</f>
        <v>0.4</v>
      </c>
      <c r="U99" s="631">
        <f t="shared" si="60"/>
        <v>4000</v>
      </c>
      <c r="V99" s="631" t="e">
        <f>VLOOKUP(LA_code,data_prev_year,MATCH("RS"&amp;$B99&amp;"1",data_prev_year_headers,0),0)</f>
        <v>#N/A</v>
      </c>
      <c r="W99" s="631" t="e">
        <f t="shared" ref="W99" si="65">V99+U99</f>
        <v>#N/A</v>
      </c>
      <c r="X99" s="631" t="e">
        <f t="shared" ref="X99" si="66">V99-U99</f>
        <v>#N/A</v>
      </c>
      <c r="Y99" s="631" t="e">
        <f t="shared" ref="Y99" si="67">V99+(V99*T99)</f>
        <v>#N/A</v>
      </c>
      <c r="Z99" s="631" t="e">
        <f t="shared" ref="Z99" si="68">V99-(V99*T99)</f>
        <v>#N/A</v>
      </c>
      <c r="AA99" s="631" t="e">
        <f>IF(OR(F99&lt;X99,F99&gt;W99),"Warning","")</f>
        <v>#N/A</v>
      </c>
      <c r="AB99" s="631" t="e">
        <f>IF(OR(F99&gt;(Y99),F99&lt;(Z99)),"Warning","")</f>
        <v>#N/A</v>
      </c>
      <c r="AC99" s="631" t="e">
        <f>IF(OR(F99=0),"",IF(AND(AA99="Warning",AB99="Warning"),"Warning",""))</f>
        <v>#N/A</v>
      </c>
      <c r="AD99" s="609"/>
      <c r="AE99" s="609"/>
      <c r="AF99" s="609"/>
      <c r="AG99" s="609"/>
      <c r="AH99" s="609"/>
      <c r="AI99" s="609"/>
      <c r="AJ99" s="609"/>
      <c r="AK99" s="609"/>
      <c r="AL99" s="609"/>
      <c r="AM99" s="609"/>
      <c r="AN99" s="609"/>
      <c r="AO99" s="609"/>
      <c r="AP99" s="609"/>
      <c r="AQ99" s="609"/>
    </row>
    <row r="100" spans="1:95" s="31" customFormat="1" ht="15.5" x14ac:dyDescent="0.35">
      <c r="A100" s="345" t="s">
        <v>226</v>
      </c>
      <c r="B100" s="322">
        <v>805</v>
      </c>
      <c r="C100" s="323" t="s">
        <v>227</v>
      </c>
      <c r="D100" s="323"/>
      <c r="E100" s="324"/>
      <c r="F100" s="1249" t="e">
        <f>SUM(F96,F98:F99)</f>
        <v>#N/A</v>
      </c>
      <c r="G100" s="1172"/>
      <c r="H100" s="105"/>
      <c r="I100" s="528"/>
      <c r="J100" s="526"/>
      <c r="K100" s="511"/>
      <c r="L100" s="515"/>
      <c r="M100" s="515"/>
      <c r="N100" s="515"/>
      <c r="O100" s="515"/>
      <c r="P100" s="622"/>
      <c r="Q100" s="623"/>
      <c r="R100" s="623"/>
      <c r="S100" s="624"/>
      <c r="T100" s="631"/>
      <c r="U100" s="1095"/>
      <c r="V100" s="631"/>
      <c r="W100" s="631"/>
      <c r="X100" s="631"/>
      <c r="Y100" s="631"/>
      <c r="Z100" s="631"/>
      <c r="AA100" s="631"/>
      <c r="AB100" s="631"/>
      <c r="AC100" s="631"/>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623"/>
      <c r="CI100" s="623"/>
      <c r="CJ100" s="623"/>
      <c r="CK100" s="623"/>
      <c r="CL100" s="623"/>
      <c r="CM100" s="623"/>
      <c r="CN100" s="623"/>
      <c r="CO100" s="623"/>
      <c r="CP100" s="623"/>
      <c r="CQ100" s="623"/>
    </row>
    <row r="101" spans="1:95" ht="15.5" x14ac:dyDescent="0.35">
      <c r="A101" t="s">
        <v>228</v>
      </c>
      <c r="B101" s="92">
        <v>806</v>
      </c>
      <c r="C101" s="84" t="s">
        <v>229</v>
      </c>
      <c r="D101" s="84"/>
      <c r="E101" s="6"/>
      <c r="F101" s="1246"/>
      <c r="G101" s="1170" t="str">
        <f t="shared" si="59"/>
        <v/>
      </c>
      <c r="H101" s="105" t="str">
        <f>IF(AC101="Warning","Warning","")</f>
        <v/>
      </c>
      <c r="I101" s="528" t="str">
        <f>IF(H101="Warning","This year's figure is over "&amp;U101/1000&amp;" million and "&amp;(T101*100)&amp;"% different to "&amp;TEXT(V101,"#,###")&amp;" last year, please explain","")</f>
        <v/>
      </c>
      <c r="J101" s="522"/>
      <c r="K101" s="511"/>
      <c r="L101" s="511"/>
      <c r="M101" s="511"/>
      <c r="N101" s="511"/>
      <c r="O101" s="511"/>
      <c r="P101" s="608"/>
      <c r="Q101" s="609"/>
      <c r="R101" s="609"/>
      <c r="S101" s="1088"/>
      <c r="T101" s="631">
        <f>VLOOKUP("RS"&amp;$B101,data_val_parameters,8,0)/100</f>
        <v>0.4</v>
      </c>
      <c r="U101" s="631">
        <f t="shared" si="60"/>
        <v>4000</v>
      </c>
      <c r="V101" s="631" t="e">
        <f>VLOOKUP(LA_code,data_prev_year,MATCH("RS"&amp;$B101&amp;"1",data_prev_year_headers,0),0)</f>
        <v>#N/A</v>
      </c>
      <c r="W101" s="631" t="e">
        <f t="shared" ref="W101:W102" si="69">V101+U101</f>
        <v>#N/A</v>
      </c>
      <c r="X101" s="631" t="e">
        <f t="shared" ref="X101:X102" si="70">V101-U101</f>
        <v>#N/A</v>
      </c>
      <c r="Y101" s="631" t="e">
        <f t="shared" ref="Y101:Y102" si="71">V101+(V101*T101)</f>
        <v>#N/A</v>
      </c>
      <c r="Z101" s="631" t="e">
        <f t="shared" ref="Z101:Z102" si="72">V101-(V101*T101)</f>
        <v>#N/A</v>
      </c>
      <c r="AA101" s="631" t="e">
        <f>IF(OR(F101&lt;X101,F101&gt;W101),"Warning","")</f>
        <v>#N/A</v>
      </c>
      <c r="AB101" s="631" t="e">
        <f>IF(OR(F101&gt;(Y101),F101&lt;(Z101)),"Warning","")</f>
        <v>#N/A</v>
      </c>
      <c r="AC101" s="631" t="str">
        <f>IF(OR(F101=0),"",IF(AND(AA101="Warning",AB101="Warning"),"Warning",""))</f>
        <v/>
      </c>
      <c r="AD101" s="609"/>
      <c r="AE101" s="609"/>
      <c r="AF101" s="609"/>
      <c r="AG101" s="609"/>
      <c r="AH101" s="609"/>
      <c r="AI101" s="609"/>
      <c r="AJ101" s="609"/>
      <c r="AK101" s="609"/>
      <c r="AL101" s="609"/>
      <c r="AM101" s="609"/>
      <c r="AN101" s="609"/>
      <c r="AO101" s="609"/>
      <c r="AP101" s="609"/>
      <c r="AQ101" s="609"/>
    </row>
    <row r="102" spans="1:95" ht="15.5" x14ac:dyDescent="0.35">
      <c r="A102" t="s">
        <v>230</v>
      </c>
      <c r="B102" s="92">
        <v>811</v>
      </c>
      <c r="C102" s="84" t="s">
        <v>231</v>
      </c>
      <c r="D102" s="84"/>
      <c r="E102" s="6"/>
      <c r="F102" s="1250" t="e">
        <f>G121-F121</f>
        <v>#N/A</v>
      </c>
      <c r="G102" s="1170" t="str">
        <f t="shared" si="59"/>
        <v/>
      </c>
      <c r="H102" s="105" t="e">
        <f t="shared" ref="H102:H106" si="73">IF(AC102="Warning","Warning","")</f>
        <v>#N/A</v>
      </c>
      <c r="I102" s="528" t="e">
        <f>IF(H102="Warning","This year's figure is over "&amp;U102/1000&amp;" million and "&amp;(T102*100)&amp;"% different to "&amp;TEXT(V102,"#,###")&amp;" last year, please explain","")</f>
        <v>#N/A</v>
      </c>
      <c r="J102" s="522"/>
      <c r="K102" s="511"/>
      <c r="L102" s="511"/>
      <c r="M102" s="511"/>
      <c r="N102" s="511"/>
      <c r="O102" s="511"/>
      <c r="P102" s="608"/>
      <c r="Q102" s="609"/>
      <c r="R102" s="609"/>
      <c r="S102" s="1088"/>
      <c r="T102" s="631">
        <f>VLOOKUP("RS"&amp;$B102,data_val_parameters,8,0)/100</f>
        <v>0.45</v>
      </c>
      <c r="U102" s="631">
        <f t="shared" si="60"/>
        <v>10000</v>
      </c>
      <c r="V102" s="631" t="e">
        <f>VLOOKUP(LA_code,data_prev_year,MATCH("RS"&amp;$B102&amp;"1",data_prev_year_headers,0),0)</f>
        <v>#N/A</v>
      </c>
      <c r="W102" s="631" t="e">
        <f t="shared" si="69"/>
        <v>#N/A</v>
      </c>
      <c r="X102" s="631" t="e">
        <f t="shared" si="70"/>
        <v>#N/A</v>
      </c>
      <c r="Y102" s="631" t="e">
        <f t="shared" si="71"/>
        <v>#N/A</v>
      </c>
      <c r="Z102" s="631" t="e">
        <f t="shared" si="72"/>
        <v>#N/A</v>
      </c>
      <c r="AA102" s="631" t="e">
        <f>IF(OR(F102&lt;X102,F102&gt;W102),"Warning","")</f>
        <v>#N/A</v>
      </c>
      <c r="AB102" s="631" t="e">
        <f>IF(OR(F102&gt;(Y102),F102&lt;(Z102)),"Warning","")</f>
        <v>#N/A</v>
      </c>
      <c r="AC102" s="631" t="e">
        <f>IF(OR(F102=0),"",IF(AND(AA102="Warning",AB102="Warning"),"Warning",""))</f>
        <v>#N/A</v>
      </c>
      <c r="AD102" s="609"/>
      <c r="AE102" s="609"/>
      <c r="AF102" s="609"/>
      <c r="AG102" s="609"/>
      <c r="AH102" s="609"/>
      <c r="AI102" s="609"/>
      <c r="AJ102" s="609"/>
      <c r="AK102" s="609"/>
      <c r="AL102" s="609"/>
      <c r="AM102" s="609"/>
      <c r="AN102" s="609"/>
      <c r="AO102" s="609"/>
      <c r="AP102" s="609"/>
      <c r="AQ102" s="609"/>
    </row>
    <row r="103" spans="1:95" ht="15.5" x14ac:dyDescent="0.35">
      <c r="A103" t="s">
        <v>232</v>
      </c>
      <c r="B103" s="92">
        <v>813</v>
      </c>
      <c r="C103" s="84" t="s">
        <v>233</v>
      </c>
      <c r="D103" s="84"/>
      <c r="E103" s="6"/>
      <c r="F103" s="1250" t="e">
        <f>G123-F123</f>
        <v>#N/A</v>
      </c>
      <c r="G103" s="1170" t="str">
        <f t="shared" si="59"/>
        <v/>
      </c>
      <c r="H103" s="105" t="str">
        <f t="shared" si="73"/>
        <v/>
      </c>
      <c r="I103" s="528" t="str">
        <f>IF(H103="Warning","This year's figure is over "&amp;U103/1000&amp;" million and "&amp;(T103*100)&amp;"% different to "&amp;TEXT(V103,"#,###")&amp;" last year, please explain","")</f>
        <v/>
      </c>
      <c r="J103" s="522"/>
      <c r="K103" s="511"/>
      <c r="L103" s="511"/>
      <c r="M103" s="511"/>
      <c r="N103" s="511"/>
      <c r="O103" s="511"/>
      <c r="P103" s="608"/>
      <c r="Q103" s="609"/>
      <c r="R103" s="609"/>
      <c r="S103" s="1088"/>
      <c r="T103" s="631"/>
      <c r="U103" s="631"/>
      <c r="V103" s="631"/>
      <c r="W103" s="631"/>
      <c r="X103" s="631"/>
      <c r="Y103" s="631"/>
      <c r="Z103" s="631"/>
      <c r="AA103" s="631"/>
      <c r="AB103" s="631"/>
      <c r="AC103" s="631"/>
      <c r="AD103" s="609"/>
      <c r="AE103" s="609"/>
      <c r="AF103" s="609"/>
      <c r="AG103" s="609"/>
      <c r="AH103" s="609"/>
      <c r="AI103" s="609"/>
      <c r="AJ103" s="609"/>
      <c r="AK103" s="609"/>
      <c r="AL103" s="609"/>
      <c r="AM103" s="609"/>
      <c r="AN103" s="609"/>
      <c r="AO103" s="609"/>
      <c r="AP103" s="609"/>
      <c r="AQ103" s="609"/>
    </row>
    <row r="104" spans="1:95" ht="15.5" x14ac:dyDescent="0.35">
      <c r="A104" t="s">
        <v>234</v>
      </c>
      <c r="B104" s="92">
        <v>814</v>
      </c>
      <c r="C104" s="84" t="s">
        <v>235</v>
      </c>
      <c r="D104" s="84"/>
      <c r="E104" s="6"/>
      <c r="F104" s="1250" t="e">
        <f>G124-F124</f>
        <v>#N/A</v>
      </c>
      <c r="G104" s="1170" t="str">
        <f t="shared" si="59"/>
        <v/>
      </c>
      <c r="H104" s="105" t="e">
        <f>IF(F104&gt;(0.25*SUM(RG!$H$35)),"Warning","")</f>
        <v>#N/A</v>
      </c>
      <c r="I104" s="528" t="e">
        <f>IF(F104&gt;(0.25*SUM(RG!$H$35)),"Appropriations to Public Health reserves are greater than 25% of the PH Grant, please either review or explain in the memo","")</f>
        <v>#N/A</v>
      </c>
      <c r="J104" s="528" t="e">
        <f>IF(AC104="Warning","This year's figure is over "&amp;U104/1000&amp;" million and "&amp;(T104*100)&amp;"% different to "&amp;TEXT(V104,"#,###")&amp;" last year, please explain","")</f>
        <v>#N/A</v>
      </c>
      <c r="K104" s="511"/>
      <c r="L104" s="511"/>
      <c r="M104" s="511"/>
      <c r="N104" s="519"/>
      <c r="O104" s="511"/>
      <c r="P104" s="608"/>
      <c r="Q104" s="609"/>
      <c r="R104" s="609"/>
      <c r="S104" s="1088"/>
      <c r="T104" s="631">
        <f>VLOOKUP("RS"&amp;$B104,data_val_parameters,8,0)/100</f>
        <v>0.45</v>
      </c>
      <c r="U104" s="631">
        <f t="shared" si="60"/>
        <v>10000</v>
      </c>
      <c r="V104" s="631" t="e">
        <f t="shared" ref="V104:V108" si="74">VLOOKUP(LA_code,data_prev_year,MATCH("RS"&amp;$B104&amp;"1",data_prev_year_headers,0),0)</f>
        <v>#N/A</v>
      </c>
      <c r="W104" s="631" t="e">
        <f t="shared" ref="W104" si="75">V104+U104</f>
        <v>#N/A</v>
      </c>
      <c r="X104" s="631" t="e">
        <f t="shared" ref="X104" si="76">V104-U104</f>
        <v>#N/A</v>
      </c>
      <c r="Y104" s="631" t="e">
        <f t="shared" ref="Y104" si="77">V104+(V104*T104)</f>
        <v>#N/A</v>
      </c>
      <c r="Z104" s="631" t="e">
        <f t="shared" ref="Z104" si="78">V104-(V104*T104)</f>
        <v>#N/A</v>
      </c>
      <c r="AA104" s="631" t="e">
        <f t="shared" ref="AA104:AA108" si="79">IF(OR(F104&lt;X104,F104&gt;W104),"Warning","")</f>
        <v>#N/A</v>
      </c>
      <c r="AB104" s="631" t="e">
        <f t="shared" ref="AB104:AB108" si="80">IF(OR(F104&gt;(Y104),F104&lt;(Z104)),"Warning","")</f>
        <v>#N/A</v>
      </c>
      <c r="AC104" s="631" t="e">
        <f t="shared" ref="AC104:AC108" si="81">IF(OR(F104=0),"",IF(AND(AA104="Warning",AB104="Warning"),"Warning",""))</f>
        <v>#N/A</v>
      </c>
      <c r="AD104" s="609"/>
      <c r="AE104" s="609"/>
      <c r="AF104" s="609"/>
      <c r="AG104" s="609"/>
      <c r="AH104" s="609"/>
      <c r="AI104" s="609"/>
      <c r="AJ104" s="609"/>
      <c r="AK104" s="609"/>
      <c r="AL104" s="609"/>
      <c r="AM104" s="609"/>
      <c r="AN104" s="609"/>
      <c r="AO104" s="609"/>
      <c r="AP104" s="609"/>
      <c r="AQ104" s="609"/>
    </row>
    <row r="105" spans="1:95" ht="23.5" customHeight="1" x14ac:dyDescent="0.4">
      <c r="A105" t="s">
        <v>236</v>
      </c>
      <c r="B105" s="441">
        <v>815</v>
      </c>
      <c r="C105" s="399" t="s">
        <v>237</v>
      </c>
      <c r="D105" s="399"/>
      <c r="E105" s="557"/>
      <c r="F105" s="1245" t="e">
        <f>G125-F125</f>
        <v>#N/A</v>
      </c>
      <c r="G105" s="1170" t="str">
        <f t="shared" si="59"/>
        <v/>
      </c>
      <c r="H105" s="105" t="e">
        <f t="shared" si="73"/>
        <v>#N/A</v>
      </c>
      <c r="I105" s="528" t="e">
        <f>IF(H105="Warning","This year's figure is over "&amp;U105/1000&amp;" million and "&amp;(T105*100)&amp;"% different to "&amp;TEXT(V105,"#,###")&amp;" last year, please explain","")</f>
        <v>#N/A</v>
      </c>
      <c r="J105" s="522"/>
      <c r="K105" s="511"/>
      <c r="L105" s="511"/>
      <c r="M105" s="511"/>
      <c r="N105" s="511"/>
      <c r="O105" s="511"/>
      <c r="P105" s="608"/>
      <c r="Q105" s="609"/>
      <c r="R105" s="609"/>
      <c r="S105" s="1088"/>
      <c r="T105" s="631">
        <f>VLOOKUP("RS"&amp;$B105,data_val_parameters,8,0)/100</f>
        <v>0.55000000000000004</v>
      </c>
      <c r="U105" s="631">
        <f t="shared" si="60"/>
        <v>20000</v>
      </c>
      <c r="V105" s="631" t="e">
        <f t="shared" si="74"/>
        <v>#N/A</v>
      </c>
      <c r="W105" s="631" t="e">
        <f t="shared" ref="W105:W106" si="82">V105+U105</f>
        <v>#N/A</v>
      </c>
      <c r="X105" s="631" t="e">
        <f t="shared" ref="X105:X106" si="83">V105-U105</f>
        <v>#N/A</v>
      </c>
      <c r="Y105" s="631" t="e">
        <f t="shared" ref="Y105:Y106" si="84">V105+(V105*T105)</f>
        <v>#N/A</v>
      </c>
      <c r="Z105" s="631" t="e">
        <f t="shared" ref="Z105:Z106" si="85">V105-(V105*T105)</f>
        <v>#N/A</v>
      </c>
      <c r="AA105" s="631" t="e">
        <f t="shared" si="79"/>
        <v>#N/A</v>
      </c>
      <c r="AB105" s="631" t="e">
        <f t="shared" si="80"/>
        <v>#N/A</v>
      </c>
      <c r="AC105" s="631" t="e">
        <f t="shared" si="81"/>
        <v>#N/A</v>
      </c>
      <c r="AD105" s="609"/>
      <c r="AE105" s="609"/>
      <c r="AF105" s="609"/>
      <c r="AG105" s="609"/>
      <c r="AH105" s="609"/>
      <c r="AI105" s="609"/>
      <c r="AJ105" s="609"/>
      <c r="AK105" s="609"/>
      <c r="AL105" s="609"/>
      <c r="AM105" s="609"/>
      <c r="AN105" s="609"/>
      <c r="AO105" s="609"/>
      <c r="AP105" s="609"/>
      <c r="AQ105" s="609"/>
    </row>
    <row r="106" spans="1:95" ht="15.5" x14ac:dyDescent="0.35">
      <c r="A106" t="s">
        <v>238</v>
      </c>
      <c r="B106" s="441">
        <v>816</v>
      </c>
      <c r="C106" s="399" t="s">
        <v>239</v>
      </c>
      <c r="D106" s="399"/>
      <c r="E106" s="6"/>
      <c r="F106" s="1250" t="e">
        <f>G134-F134</f>
        <v>#N/A</v>
      </c>
      <c r="G106" s="1170" t="str">
        <f t="shared" si="59"/>
        <v/>
      </c>
      <c r="H106" s="105" t="e">
        <f t="shared" si="73"/>
        <v>#N/A</v>
      </c>
      <c r="I106" s="528" t="e">
        <f>IF(H106="Warning","This year's figure is over "&amp;U106/1000&amp;" million and "&amp;(T106*100)&amp;"% different to "&amp;TEXT(V106,"#,###")&amp;" last year, please explain","")</f>
        <v>#N/A</v>
      </c>
      <c r="J106" s="522"/>
      <c r="K106" s="511"/>
      <c r="L106" s="511"/>
      <c r="M106" s="511"/>
      <c r="N106" s="511"/>
      <c r="O106" s="511"/>
      <c r="P106" s="608"/>
      <c r="Q106" s="609"/>
      <c r="R106" s="609"/>
      <c r="S106" s="1088"/>
      <c r="T106" s="631">
        <f>VLOOKUP("RS"&amp;$B106,data_val_parameters,8,0)/100</f>
        <v>0.55000000000000004</v>
      </c>
      <c r="U106" s="631">
        <f t="shared" si="60"/>
        <v>20000</v>
      </c>
      <c r="V106" s="631" t="e">
        <f t="shared" si="74"/>
        <v>#N/A</v>
      </c>
      <c r="W106" s="631" t="e">
        <f t="shared" si="82"/>
        <v>#N/A</v>
      </c>
      <c r="X106" s="631" t="e">
        <f t="shared" si="83"/>
        <v>#N/A</v>
      </c>
      <c r="Y106" s="631" t="e">
        <f t="shared" si="84"/>
        <v>#N/A</v>
      </c>
      <c r="Z106" s="631" t="e">
        <f t="shared" si="85"/>
        <v>#N/A</v>
      </c>
      <c r="AA106" s="631" t="e">
        <f t="shared" si="79"/>
        <v>#N/A</v>
      </c>
      <c r="AB106" s="631" t="e">
        <f t="shared" si="80"/>
        <v>#N/A</v>
      </c>
      <c r="AC106" s="631" t="e">
        <f t="shared" si="81"/>
        <v>#N/A</v>
      </c>
      <c r="AD106" s="609"/>
      <c r="AE106" s="609"/>
      <c r="AF106" s="609"/>
      <c r="AG106" s="609"/>
      <c r="AH106" s="609"/>
      <c r="AI106" s="609"/>
      <c r="AJ106" s="609"/>
      <c r="AK106" s="609"/>
      <c r="AL106" s="609"/>
      <c r="AM106" s="609"/>
      <c r="AN106" s="609"/>
      <c r="AO106" s="609"/>
      <c r="AP106" s="609"/>
      <c r="AQ106" s="609"/>
    </row>
    <row r="107" spans="1:95" ht="15.5" x14ac:dyDescent="0.35">
      <c r="A107" t="s">
        <v>240</v>
      </c>
      <c r="B107" s="92">
        <v>851</v>
      </c>
      <c r="C107" s="456" t="s">
        <v>241</v>
      </c>
      <c r="D107" s="92"/>
      <c r="E107" s="150"/>
      <c r="F107" s="1247" t="e">
        <f>INDEX('LA Data'!$A$3:$AR$417,MATCH($B$22,'LA Data'!$A$3:$A$417,0),MATCH(A107,'LA Data'!$A$3:$AR$3,0))</f>
        <v>#N/A</v>
      </c>
      <c r="G107" s="1170" t="str">
        <f t="shared" ref="G107:G112" si="86">IF(ISERROR(H107),"",IF((H107="Error"),"add explanation",IF((H107="Warning"),"add explanation","")))</f>
        <v/>
      </c>
      <c r="H107" s="113" t="e">
        <f>IF(ROUND(VLOOKUP(LA_code,LA_Data,5,0),0)&lt;&gt;$F107,"Warning","")</f>
        <v>#N/A</v>
      </c>
      <c r="I107" s="536" t="e">
        <f>IF(ROUND(VLOOKUP(LA_code,LA_Data,5,0),0)&lt;&gt;$F107,"Revenue Support Grant does not match published Settlement data, please add a comment to the memo","")</f>
        <v>#N/A</v>
      </c>
      <c r="J107" s="522"/>
      <c r="K107" s="511"/>
      <c r="L107" s="511"/>
      <c r="M107" s="511"/>
      <c r="N107" s="511"/>
      <c r="O107" s="511"/>
      <c r="P107" s="608"/>
      <c r="Q107" s="609"/>
      <c r="R107" s="609"/>
      <c r="S107" s="1088"/>
      <c r="T107" s="631">
        <f>VLOOKUP("RS"&amp;$B107,data_val_parameters,8,0)/100</f>
        <v>0.4</v>
      </c>
      <c r="U107" s="631">
        <f t="shared" ref="U107:U112" si="87">VLOOKUP("RS"&amp;$B107,data_val_parameters,7,0)</f>
        <v>4000</v>
      </c>
      <c r="V107" s="631" t="e">
        <f t="shared" si="74"/>
        <v>#N/A</v>
      </c>
      <c r="W107" s="631" t="e">
        <f t="shared" ref="W107" si="88">V107+U107</f>
        <v>#N/A</v>
      </c>
      <c r="X107" s="631" t="e">
        <f t="shared" ref="X107" si="89">V107-U107</f>
        <v>#N/A</v>
      </c>
      <c r="Y107" s="631" t="e">
        <f t="shared" ref="Y107" si="90">V107+(V107*T107)</f>
        <v>#N/A</v>
      </c>
      <c r="Z107" s="631" t="e">
        <f t="shared" ref="Z107" si="91">V107-(V107*T107)</f>
        <v>#N/A</v>
      </c>
      <c r="AA107" s="631" t="e">
        <f t="shared" si="79"/>
        <v>#N/A</v>
      </c>
      <c r="AB107" s="631" t="e">
        <f t="shared" si="80"/>
        <v>#N/A</v>
      </c>
      <c r="AC107" s="631" t="e">
        <f t="shared" si="81"/>
        <v>#N/A</v>
      </c>
      <c r="AD107" s="609"/>
      <c r="AE107" s="609"/>
      <c r="AF107" s="609"/>
      <c r="AG107" s="609"/>
      <c r="AH107" s="609"/>
      <c r="AI107" s="609"/>
      <c r="AJ107" s="609"/>
      <c r="AK107" s="609"/>
      <c r="AL107" s="609"/>
      <c r="AM107" s="609"/>
      <c r="AN107" s="609"/>
      <c r="AO107" s="609"/>
      <c r="AP107" s="609"/>
      <c r="AQ107" s="609"/>
    </row>
    <row r="108" spans="1:95" ht="15.5" x14ac:dyDescent="0.35">
      <c r="A108" t="s">
        <v>242</v>
      </c>
      <c r="B108" s="92">
        <v>856</v>
      </c>
      <c r="C108" s="456" t="s">
        <v>243</v>
      </c>
      <c r="D108" s="84"/>
      <c r="E108" s="150"/>
      <c r="F108" s="1247" t="e">
        <f>INDEX('LA Data'!$A$3:$AR$417,MATCH($B$22,'LA Data'!$A$3:$A$417,0),MATCH(A108,'LA Data'!$A$3:$AR$3,0))</f>
        <v>#N/A</v>
      </c>
      <c r="G108" s="1170" t="str">
        <f t="shared" si="86"/>
        <v/>
      </c>
      <c r="H108" s="113" t="e">
        <f>IF(ROUND(VLOOKUP(LA_code,LA_Data,6,0),0)&lt;&gt;$F108,"Warning","")</f>
        <v>#N/A</v>
      </c>
      <c r="I108" s="536" t="e">
        <f>IF(VLOOKUP(LA_code,LA_Data,6,0)&lt;&gt;$F108,"Police Grant does not match published data, please add a comment to the memo","")</f>
        <v>#N/A</v>
      </c>
      <c r="J108" s="522"/>
      <c r="K108" s="511"/>
      <c r="L108" s="511"/>
      <c r="M108" s="511"/>
      <c r="N108" s="511"/>
      <c r="O108" s="511"/>
      <c r="P108" s="608"/>
      <c r="Q108" s="609"/>
      <c r="R108" s="609"/>
      <c r="S108" s="1088"/>
      <c r="T108" s="631">
        <f>VLOOKUP("RS"&amp;$B108,data_val_parameters,8,0)/100</f>
        <v>0.4</v>
      </c>
      <c r="U108" s="631">
        <f t="shared" si="87"/>
        <v>4000</v>
      </c>
      <c r="V108" s="631" t="e">
        <f t="shared" si="74"/>
        <v>#N/A</v>
      </c>
      <c r="W108" s="631" t="e">
        <f t="shared" ref="W108" si="92">V108+U108</f>
        <v>#N/A</v>
      </c>
      <c r="X108" s="631" t="e">
        <f t="shared" ref="X108" si="93">V108-U108</f>
        <v>#N/A</v>
      </c>
      <c r="Y108" s="631" t="e">
        <f t="shared" ref="Y108" si="94">V108+(V108*T108)</f>
        <v>#N/A</v>
      </c>
      <c r="Z108" s="631" t="e">
        <f t="shared" ref="Z108" si="95">V108-(V108*T108)</f>
        <v>#N/A</v>
      </c>
      <c r="AA108" s="631" t="e">
        <f t="shared" si="79"/>
        <v>#N/A</v>
      </c>
      <c r="AB108" s="631" t="e">
        <f t="shared" si="80"/>
        <v>#N/A</v>
      </c>
      <c r="AC108" s="631" t="e">
        <f t="shared" si="81"/>
        <v>#N/A</v>
      </c>
      <c r="AD108" s="609"/>
      <c r="AE108" s="609"/>
      <c r="AF108" s="609"/>
      <c r="AG108" s="609"/>
      <c r="AH108" s="609"/>
      <c r="AI108" s="631"/>
      <c r="AJ108" s="1145"/>
      <c r="AK108" s="630"/>
      <c r="AL108" s="1145"/>
      <c r="AM108" s="1145"/>
      <c r="AN108" s="1146"/>
      <c r="AO108" s="630"/>
      <c r="AP108" s="630"/>
      <c r="AQ108" s="609"/>
    </row>
    <row r="109" spans="1:95" ht="15.5" x14ac:dyDescent="0.35">
      <c r="A109" t="s">
        <v>244</v>
      </c>
      <c r="B109" s="92">
        <v>870</v>
      </c>
      <c r="C109" s="84" t="s">
        <v>245</v>
      </c>
      <c r="D109" s="84"/>
      <c r="E109" s="87"/>
      <c r="F109" s="1252"/>
      <c r="G109" s="1170" t="str">
        <f t="shared" si="86"/>
        <v/>
      </c>
      <c r="H109" s="113" t="b">
        <f>IF(F109&gt;0,"Error",IF(AC109="Warning","Warning"))</f>
        <v>0</v>
      </c>
      <c r="I109" s="536" t="str">
        <f>IF(F109&gt;0,"Only Zero or Negative figure can be entered in this cell","")</f>
        <v/>
      </c>
      <c r="J109" s="1124"/>
      <c r="K109" s="511"/>
      <c r="L109" s="511"/>
      <c r="M109" s="511"/>
      <c r="N109" s="511"/>
      <c r="O109" s="511"/>
      <c r="P109" s="608"/>
      <c r="Q109" s="609"/>
      <c r="R109" s="609"/>
      <c r="S109" s="1088"/>
      <c r="T109" s="631"/>
      <c r="U109" s="631"/>
      <c r="V109" s="631"/>
      <c r="W109" s="631"/>
      <c r="X109" s="631"/>
      <c r="Y109" s="631"/>
      <c r="Z109" s="631"/>
      <c r="AA109" s="631"/>
      <c r="AB109" s="631"/>
      <c r="AC109" s="631"/>
      <c r="AD109" s="609"/>
      <c r="AE109" s="609"/>
      <c r="AF109" s="609"/>
      <c r="AG109" s="609"/>
      <c r="AH109" s="609"/>
      <c r="AI109" s="1147"/>
      <c r="AJ109" s="1147"/>
      <c r="AK109" s="1148"/>
      <c r="AL109" s="1149"/>
      <c r="AM109" s="1148"/>
      <c r="AN109" s="1148"/>
      <c r="AO109" s="609"/>
      <c r="AP109" s="609"/>
      <c r="AQ109" s="609"/>
    </row>
    <row r="110" spans="1:95" ht="18" customHeight="1" x14ac:dyDescent="0.35">
      <c r="A110" t="s">
        <v>246</v>
      </c>
      <c r="B110" s="92">
        <v>880</v>
      </c>
      <c r="C110" s="242" t="s">
        <v>247</v>
      </c>
      <c r="D110" s="84"/>
      <c r="E110" s="1477"/>
      <c r="F110" s="1253"/>
      <c r="G110" s="1170" t="str">
        <f t="shared" si="86"/>
        <v/>
      </c>
      <c r="H110" s="113"/>
      <c r="I110" s="536"/>
      <c r="J110" s="522"/>
      <c r="K110" s="511"/>
      <c r="L110" s="511"/>
      <c r="M110" s="511"/>
      <c r="N110" s="511"/>
      <c r="O110" s="511"/>
      <c r="P110" s="608"/>
      <c r="Q110" s="609"/>
      <c r="R110" s="609"/>
      <c r="S110" s="1088"/>
      <c r="T110" s="631"/>
      <c r="U110" s="631"/>
      <c r="V110" s="631"/>
      <c r="W110" s="631"/>
      <c r="X110" s="631"/>
      <c r="Y110" s="631"/>
      <c r="Z110" s="631"/>
      <c r="AA110" s="631"/>
      <c r="AB110" s="631"/>
      <c r="AC110" s="631"/>
      <c r="AD110" s="609"/>
      <c r="AE110" s="609"/>
      <c r="AF110" s="609"/>
      <c r="AG110" s="609"/>
      <c r="AH110" s="609"/>
      <c r="AI110" s="609"/>
      <c r="AJ110" s="609"/>
      <c r="AK110" s="609"/>
      <c r="AL110" s="609"/>
      <c r="AM110" s="609"/>
      <c r="AN110" s="609"/>
      <c r="AO110" s="609"/>
      <c r="AP110" s="609"/>
      <c r="AQ110" s="609"/>
    </row>
    <row r="111" spans="1:95" ht="18" customHeight="1" x14ac:dyDescent="0.35">
      <c r="A111" t="s">
        <v>248</v>
      </c>
      <c r="B111" s="92">
        <v>885</v>
      </c>
      <c r="C111" s="84" t="s">
        <v>249</v>
      </c>
      <c r="D111" s="84"/>
      <c r="E111" s="1477"/>
      <c r="F111" s="1253"/>
      <c r="G111" s="1174" t="str">
        <f>IF(F111&lt;&gt;0,"description of what is being recorded here required","")</f>
        <v/>
      </c>
      <c r="H111" s="113" t="str">
        <f>IF(AC111="Warning","Warning","")</f>
        <v/>
      </c>
      <c r="I111" s="536" t="str">
        <f>IF(H111="Warning","This year's figure is over "&amp;U111/1000&amp;" million and "&amp;(T111*100)&amp;"% different to "&amp;TEXT(V111,"#,###")&amp;" last year, please explain","")</f>
        <v/>
      </c>
      <c r="J111" s="522"/>
      <c r="K111" s="511"/>
      <c r="L111" s="511"/>
      <c r="M111" s="511"/>
      <c r="N111" s="511"/>
      <c r="O111" s="511"/>
      <c r="P111" s="608"/>
      <c r="Q111" s="609"/>
      <c r="R111" s="609"/>
      <c r="S111" s="1088"/>
      <c r="T111" s="631">
        <f>VLOOKUP("RS"&amp;$B111,data_val_parameters,8,0)/100</f>
        <v>0.4</v>
      </c>
      <c r="U111" s="631">
        <f t="shared" si="87"/>
        <v>4000</v>
      </c>
      <c r="V111" s="631" t="e">
        <f>VLOOKUP(LA_code,data_prev_year,MATCH("RS"&amp;$B111&amp;"1",data_prev_year_headers,0),0)</f>
        <v>#N/A</v>
      </c>
      <c r="W111" s="631" t="e">
        <f t="shared" ref="W111:W112" si="96">V111+U111</f>
        <v>#N/A</v>
      </c>
      <c r="X111" s="631" t="e">
        <f t="shared" ref="X111:X112" si="97">V111-U111</f>
        <v>#N/A</v>
      </c>
      <c r="Y111" s="631" t="e">
        <f t="shared" ref="Y111:Y112" si="98">V111+(V111*T111)</f>
        <v>#N/A</v>
      </c>
      <c r="Z111" s="631" t="e">
        <f t="shared" ref="Z111:Z112" si="99">V111-(V111*T111)</f>
        <v>#N/A</v>
      </c>
      <c r="AA111" s="631" t="e">
        <f>IF(OR(F111&lt;X111,F111&gt;W111),"Warning","")</f>
        <v>#N/A</v>
      </c>
      <c r="AB111" s="631" t="e">
        <f>IF(OR(F111&gt;(Y111),F111&lt;(Z111)),"Warning","")</f>
        <v>#N/A</v>
      </c>
      <c r="AC111" s="631" t="str">
        <f>IF(OR(F111=0),"",IF(AND(AA111="Warning",AB111="Warning"),"Warning",""))</f>
        <v/>
      </c>
      <c r="AD111" s="609"/>
      <c r="AE111" s="609"/>
      <c r="AF111" s="609"/>
      <c r="AG111" s="609"/>
      <c r="AH111" s="609"/>
      <c r="AI111" s="609"/>
      <c r="AJ111" s="609"/>
      <c r="AK111" s="609"/>
      <c r="AL111" s="609"/>
      <c r="AM111" s="609"/>
      <c r="AN111" s="609"/>
      <c r="AO111" s="609"/>
      <c r="AP111" s="609"/>
      <c r="AQ111" s="609"/>
    </row>
    <row r="112" spans="1:95" s="35" customFormat="1" ht="17.149999999999999" customHeight="1" x14ac:dyDescent="0.4">
      <c r="A112" s="345" t="s">
        <v>250</v>
      </c>
      <c r="B112" s="148">
        <v>890</v>
      </c>
      <c r="C112" s="85" t="s">
        <v>251</v>
      </c>
      <c r="D112" s="85"/>
      <c r="E112" s="1018" t="e">
        <f>SUM(F100:F111)-F112</f>
        <v>#N/A</v>
      </c>
      <c r="F112" s="1254" t="e">
        <f>INDEX('LA Data'!$A$3:$AL$417,MATCH($B$22,'LA Data'!$A$3:$A$417,0),MATCH(A112,'LA Data'!$A$3:$AL$3,0))</f>
        <v>#N/A</v>
      </c>
      <c r="G112" s="1170" t="str">
        <f t="shared" si="86"/>
        <v/>
      </c>
      <c r="H112" s="113" t="e">
        <f>IF(ABS(E112)&gt;2,"Error",IF(ROUND(VLOOKUP(LA_code,LA_Data,17,0),0)&lt;&gt;$F112,"ERROR",""))</f>
        <v>#N/A</v>
      </c>
      <c r="I112" s="537" t="e">
        <f>IF(ABS(E112)&gt;2,"The sum of lines 805 to 885 does not equal line 890, please amend the data",IF(ROUND(VLOOKUP(LA_code,LA_Data,17,0),0)&lt;&gt;$F112,"Council Tax Requirement does not match CTR data, please add a comment to the memo",""))</f>
        <v>#N/A</v>
      </c>
      <c r="J112" s="526"/>
      <c r="K112" s="511"/>
      <c r="L112" s="515"/>
      <c r="M112" s="515"/>
      <c r="N112" s="515"/>
      <c r="O112" s="515"/>
      <c r="P112" s="622"/>
      <c r="Q112" s="628"/>
      <c r="R112" s="628"/>
      <c r="S112" s="629"/>
      <c r="T112" s="631">
        <f>VLOOKUP("RS"&amp;$B112,data_val_parameters,8,0)/100</f>
        <v>0.4</v>
      </c>
      <c r="U112" s="1095">
        <f t="shared" si="87"/>
        <v>4000</v>
      </c>
      <c r="V112" s="631" t="e">
        <f>VLOOKUP(LA_code,data_prev_year,MATCH("RS"&amp;$B112&amp;"1",data_prev_year_headers,0),0)</f>
        <v>#N/A</v>
      </c>
      <c r="W112" s="631" t="e">
        <f t="shared" si="96"/>
        <v>#N/A</v>
      </c>
      <c r="X112" s="631" t="e">
        <f t="shared" si="97"/>
        <v>#N/A</v>
      </c>
      <c r="Y112" s="631" t="e">
        <f t="shared" si="98"/>
        <v>#N/A</v>
      </c>
      <c r="Z112" s="631" t="e">
        <f t="shared" si="99"/>
        <v>#N/A</v>
      </c>
      <c r="AA112" s="631" t="e">
        <f>IF(OR(F112&lt;X112,F112&gt;W112),"Warning","")</f>
        <v>#N/A</v>
      </c>
      <c r="AB112" s="631" t="e">
        <f>IF(OR(F112&gt;(Y112),F112&lt;(Z112)),"Warning","")</f>
        <v>#N/A</v>
      </c>
      <c r="AC112" s="631" t="e">
        <f>IF(OR(F112=0),"",IF(AND(AA112="Warning",AB112="Warning"),"Warning",""))</f>
        <v>#N/A</v>
      </c>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8"/>
      <c r="BT112" s="628"/>
      <c r="BU112" s="628"/>
      <c r="BV112" s="628"/>
      <c r="BW112" s="628"/>
      <c r="BX112" s="628"/>
      <c r="BY112" s="628"/>
      <c r="BZ112" s="628"/>
      <c r="CA112" s="628"/>
      <c r="CB112" s="628"/>
      <c r="CC112" s="628"/>
      <c r="CD112" s="628"/>
      <c r="CE112" s="628"/>
      <c r="CF112" s="628"/>
      <c r="CG112" s="628"/>
      <c r="CH112" s="628"/>
      <c r="CI112" s="628"/>
      <c r="CJ112" s="628"/>
      <c r="CK112" s="628"/>
      <c r="CL112" s="628"/>
      <c r="CM112" s="628"/>
      <c r="CN112" s="628"/>
      <c r="CO112" s="628"/>
      <c r="CP112" s="628"/>
      <c r="CQ112" s="628"/>
    </row>
    <row r="113" spans="1:95" s="35" customFormat="1" ht="17.25" customHeight="1" x14ac:dyDescent="0.4">
      <c r="B113" s="148"/>
      <c r="C113" s="85"/>
      <c r="D113" s="85"/>
      <c r="E113" s="466" t="s">
        <v>252</v>
      </c>
      <c r="F113" s="78"/>
      <c r="G113" s="285"/>
      <c r="H113" s="107"/>
      <c r="I113" s="528"/>
      <c r="J113" s="526"/>
      <c r="K113" s="515"/>
      <c r="L113" s="515"/>
      <c r="M113" s="515"/>
      <c r="N113" s="515"/>
      <c r="O113" s="515"/>
      <c r="P113" s="622"/>
      <c r="Q113" s="628"/>
      <c r="R113" s="628"/>
      <c r="S113" s="629"/>
      <c r="T113" s="631"/>
      <c r="U113" s="1095"/>
      <c r="V113" s="628"/>
      <c r="W113" s="628"/>
      <c r="X113" s="628"/>
      <c r="Y113" s="628"/>
      <c r="Z113" s="628"/>
      <c r="AA113" s="628"/>
      <c r="AB113" s="628"/>
      <c r="AC113" s="628"/>
      <c r="AD113" s="628"/>
      <c r="AE113" s="628"/>
      <c r="AF113" s="628"/>
      <c r="AG113" s="628"/>
      <c r="AH113" s="628"/>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8"/>
      <c r="BW113" s="628"/>
      <c r="BX113" s="628"/>
      <c r="BY113" s="628"/>
      <c r="BZ113" s="628"/>
      <c r="CA113" s="628"/>
      <c r="CB113" s="628"/>
      <c r="CC113" s="628"/>
      <c r="CD113" s="628"/>
      <c r="CE113" s="628"/>
      <c r="CF113" s="628"/>
      <c r="CG113" s="628"/>
      <c r="CH113" s="628"/>
      <c r="CI113" s="628"/>
      <c r="CJ113" s="628"/>
      <c r="CK113" s="628"/>
      <c r="CL113" s="628"/>
      <c r="CM113" s="628"/>
      <c r="CN113" s="628"/>
      <c r="CO113" s="628"/>
      <c r="CP113" s="628"/>
      <c r="CQ113" s="628"/>
    </row>
    <row r="114" spans="1:95" ht="16" thickBot="1" x14ac:dyDescent="0.4">
      <c r="B114" s="155"/>
      <c r="C114" s="156" t="s">
        <v>253</v>
      </c>
      <c r="D114" s="156"/>
      <c r="E114" s="467" t="s">
        <v>254</v>
      </c>
      <c r="F114" s="157"/>
      <c r="G114" s="286"/>
      <c r="H114" s="158"/>
      <c r="I114" s="538"/>
      <c r="J114" s="522"/>
      <c r="K114" s="511"/>
      <c r="L114" s="511"/>
      <c r="M114" s="511"/>
      <c r="N114" s="511"/>
      <c r="O114" s="511"/>
      <c r="P114" s="608"/>
      <c r="Q114" s="609"/>
      <c r="R114" s="609"/>
      <c r="S114" s="1088"/>
      <c r="T114" s="631"/>
      <c r="U114" s="631"/>
      <c r="V114" s="631"/>
      <c r="W114" s="631"/>
      <c r="X114" s="631"/>
      <c r="Y114" s="631"/>
      <c r="Z114" s="631"/>
      <c r="AA114" s="631"/>
      <c r="AB114" s="631"/>
      <c r="AC114" s="631"/>
      <c r="AD114" s="609"/>
      <c r="AE114" s="609"/>
      <c r="AF114" s="609"/>
      <c r="AG114" s="609"/>
      <c r="AH114" s="609"/>
      <c r="AI114" s="609"/>
      <c r="AJ114" s="609"/>
      <c r="AK114" s="609"/>
      <c r="AL114" s="609"/>
      <c r="AM114" s="609"/>
      <c r="AN114" s="609"/>
      <c r="AO114" s="609"/>
      <c r="AP114" s="609"/>
      <c r="AQ114" s="609"/>
    </row>
    <row r="115" spans="1:95" s="79" customFormat="1" ht="37.5" hidden="1" customHeight="1" x14ac:dyDescent="0.35">
      <c r="A115" s="79" t="s">
        <v>255</v>
      </c>
      <c r="B115" s="983"/>
      <c r="C115" s="984" t="s">
        <v>44</v>
      </c>
      <c r="D115" s="985"/>
      <c r="E115" s="986"/>
      <c r="F115" s="1269" t="s">
        <v>256</v>
      </c>
      <c r="G115" s="1269" t="s">
        <v>257</v>
      </c>
      <c r="H115" s="987"/>
      <c r="I115" s="988"/>
      <c r="J115" s="989"/>
      <c r="K115" s="990"/>
      <c r="L115" s="990"/>
      <c r="M115" s="990"/>
      <c r="N115" s="990"/>
      <c r="O115" s="990"/>
      <c r="P115" s="991"/>
      <c r="S115" s="1007"/>
      <c r="T115" s="631"/>
      <c r="U115" s="1001"/>
      <c r="V115" s="631"/>
      <c r="W115" s="1001"/>
      <c r="X115" s="1001"/>
      <c r="Y115" s="1001"/>
      <c r="Z115" s="1001"/>
      <c r="AA115" s="1001"/>
      <c r="AB115" s="1001"/>
      <c r="AC115" s="1001"/>
    </row>
    <row r="116" spans="1:95" ht="20" x14ac:dyDescent="0.35">
      <c r="A116" t="s">
        <v>258</v>
      </c>
      <c r="B116" s="946" t="str">
        <f>"Revenue account reserves levels at start and end of "&amp;YearForm&amp;""</f>
        <v>Revenue account reserves levels at start and end of 2025-26</v>
      </c>
      <c r="C116" s="153"/>
      <c r="D116" s="153"/>
      <c r="E116" s="68"/>
      <c r="F116" s="594"/>
      <c r="G116" s="595"/>
      <c r="H116" s="161" t="s">
        <v>259</v>
      </c>
      <c r="I116" s="538"/>
      <c r="J116" s="522"/>
      <c r="K116" s="511"/>
      <c r="L116" s="511"/>
      <c r="M116" s="511"/>
      <c r="N116" s="511"/>
      <c r="O116" s="511"/>
      <c r="P116" s="608"/>
      <c r="Q116" s="609"/>
      <c r="R116" s="609"/>
      <c r="S116" s="1088"/>
      <c r="T116" s="631"/>
      <c r="U116" s="631"/>
      <c r="V116" s="631"/>
      <c r="W116" s="631"/>
      <c r="X116" s="631"/>
      <c r="Y116" s="631"/>
      <c r="Z116" s="631"/>
      <c r="AA116" s="631"/>
      <c r="AB116" s="631"/>
      <c r="AC116" s="631"/>
      <c r="AD116" s="609"/>
      <c r="AE116" s="609"/>
      <c r="AF116" s="609"/>
      <c r="AG116" s="609"/>
      <c r="AH116" s="609"/>
      <c r="AI116" s="609"/>
      <c r="AJ116" s="609"/>
      <c r="AK116" s="609"/>
      <c r="AL116" s="609"/>
      <c r="AM116" s="609"/>
      <c r="AN116" s="609"/>
      <c r="AO116" s="609"/>
      <c r="AP116" s="609"/>
      <c r="AQ116" s="609"/>
    </row>
    <row r="117" spans="1:95" s="317" customFormat="1" ht="19.5" customHeight="1" x14ac:dyDescent="0.45">
      <c r="A117" s="317" t="s">
        <v>260</v>
      </c>
      <c r="B117" s="1106" t="str">
        <f>"Start (1st April) positions have been pre-populated using 31 March "&amp;prev_year&amp;" figures submitted in your RO "&amp;prev_periodcode&amp;""</f>
        <v>Start (1st April) positions have been pre-populated using 31 March 2025 figures submitted in your RO 2024-25</v>
      </c>
      <c r="C117" s="1049"/>
      <c r="D117" s="1049"/>
      <c r="E117" s="1050"/>
      <c r="F117" s="440"/>
      <c r="G117" s="440"/>
      <c r="H117" s="117"/>
      <c r="I117" s="539"/>
      <c r="J117" s="540"/>
      <c r="K117" s="520"/>
      <c r="L117" s="520"/>
      <c r="M117" s="520"/>
      <c r="N117" s="520"/>
      <c r="O117" s="520"/>
      <c r="P117" s="632"/>
      <c r="Q117" s="611"/>
      <c r="R117" s="611"/>
      <c r="S117" s="633"/>
      <c r="T117" s="63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611"/>
      <c r="BT117" s="611"/>
      <c r="BU117" s="611"/>
      <c r="BV117" s="611"/>
      <c r="BW117" s="611"/>
      <c r="BX117" s="611"/>
      <c r="BY117" s="611"/>
      <c r="BZ117" s="611"/>
      <c r="CA117" s="611"/>
      <c r="CB117" s="611"/>
      <c r="CC117" s="611"/>
      <c r="CD117" s="611"/>
      <c r="CE117" s="611"/>
      <c r="CF117" s="611"/>
      <c r="CG117" s="611"/>
      <c r="CH117" s="611"/>
      <c r="CI117" s="611"/>
      <c r="CJ117" s="611"/>
      <c r="CK117" s="611"/>
      <c r="CL117" s="611"/>
      <c r="CM117" s="611"/>
      <c r="CN117" s="611"/>
      <c r="CO117" s="611"/>
      <c r="CP117" s="611"/>
      <c r="CQ117" s="611"/>
    </row>
    <row r="118" spans="1:95" s="317" customFormat="1" ht="19.5" customHeight="1" x14ac:dyDescent="0.45">
      <c r="B118" s="1104" t="s">
        <v>261</v>
      </c>
      <c r="C118" s="1049"/>
      <c r="D118" s="1049"/>
      <c r="E118" s="1050"/>
      <c r="F118" s="440"/>
      <c r="G118" s="440"/>
      <c r="H118" s="117"/>
      <c r="I118" s="539"/>
      <c r="J118" s="540"/>
      <c r="K118" s="520"/>
      <c r="L118" s="520"/>
      <c r="M118" s="520"/>
      <c r="N118" s="520"/>
      <c r="O118" s="520"/>
      <c r="P118" s="632"/>
      <c r="Q118" s="611"/>
      <c r="R118" s="611"/>
      <c r="S118" s="633"/>
      <c r="T118" s="63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c r="BP118" s="611"/>
      <c r="BQ118" s="611"/>
      <c r="BR118" s="611"/>
      <c r="BS118" s="611"/>
      <c r="BT118" s="611"/>
      <c r="BU118" s="611"/>
      <c r="BV118" s="611"/>
      <c r="BW118" s="611"/>
      <c r="BX118" s="611"/>
      <c r="BY118" s="611"/>
      <c r="BZ118" s="611"/>
      <c r="CA118" s="611"/>
      <c r="CB118" s="611"/>
      <c r="CC118" s="611"/>
      <c r="CD118" s="611"/>
      <c r="CE118" s="611"/>
      <c r="CF118" s="611"/>
      <c r="CG118" s="611"/>
      <c r="CH118" s="611"/>
      <c r="CI118" s="611"/>
      <c r="CJ118" s="611"/>
      <c r="CK118" s="611"/>
      <c r="CL118" s="611"/>
      <c r="CM118" s="611"/>
      <c r="CN118" s="611"/>
      <c r="CO118" s="611"/>
      <c r="CP118" s="611"/>
      <c r="CQ118" s="611"/>
    </row>
    <row r="119" spans="1:95" ht="21" customHeight="1" x14ac:dyDescent="0.35">
      <c r="B119" s="1105" t="s">
        <v>262</v>
      </c>
      <c r="C119" s="1101"/>
      <c r="D119" s="1101"/>
      <c r="E119" s="1051"/>
      <c r="F119" s="269" t="str">
        <f>"At 1 April 
"&amp;prev_year&amp;""</f>
        <v>At 1 April 
2025</v>
      </c>
      <c r="G119" s="269" t="str">
        <f>"At 31 March 
"&amp;current_year&amp;""</f>
        <v>At 31 March 
2026</v>
      </c>
      <c r="H119" s="163"/>
      <c r="I119" s="1102"/>
      <c r="J119" s="1103"/>
      <c r="L119" s="511"/>
      <c r="M119" s="511"/>
      <c r="N119" s="511"/>
      <c r="O119" s="511"/>
      <c r="P119" s="608"/>
      <c r="Q119" s="609"/>
      <c r="R119" s="609"/>
      <c r="S119" s="1088"/>
      <c r="T119" s="631"/>
      <c r="U119" s="631"/>
      <c r="V119" s="631"/>
      <c r="W119" s="631"/>
      <c r="X119" s="631"/>
      <c r="Y119" s="631"/>
      <c r="Z119" s="631"/>
      <c r="AA119" s="631"/>
      <c r="AB119" s="631"/>
      <c r="AC119" s="631"/>
      <c r="AD119" s="609"/>
      <c r="AE119" s="609"/>
      <c r="AF119" s="609"/>
      <c r="AG119" s="609"/>
      <c r="AH119" s="609"/>
      <c r="AI119" s="609"/>
      <c r="AJ119" s="609"/>
      <c r="AK119" s="609"/>
      <c r="AL119" s="609"/>
      <c r="AM119" s="609"/>
      <c r="AN119" s="609"/>
      <c r="AO119" s="609"/>
      <c r="AP119" s="609"/>
      <c r="AQ119" s="609"/>
    </row>
    <row r="120" spans="1:95" s="1" customFormat="1" ht="15.5" x14ac:dyDescent="0.35">
      <c r="B120" s="6" t="s">
        <v>263</v>
      </c>
      <c r="C120" s="94"/>
      <c r="D120" s="94"/>
      <c r="E120" s="94"/>
      <c r="F120" s="75" t="s">
        <v>60</v>
      </c>
      <c r="G120" s="75" t="s">
        <v>60</v>
      </c>
      <c r="H120" s="161"/>
      <c r="I120" s="538"/>
      <c r="J120" s="531"/>
      <c r="K120" s="509"/>
      <c r="L120" s="514"/>
      <c r="M120" s="514"/>
      <c r="N120" s="514"/>
      <c r="O120" s="514"/>
      <c r="P120" s="610"/>
      <c r="Q120" s="619"/>
      <c r="R120" s="619"/>
      <c r="S120" s="635"/>
      <c r="T120" s="631"/>
      <c r="U120" s="1095"/>
      <c r="V120" s="1095"/>
      <c r="W120" s="1095"/>
      <c r="X120" s="1095"/>
      <c r="Y120" s="1095"/>
      <c r="Z120" s="1095"/>
      <c r="AA120" s="1095"/>
      <c r="AB120" s="1095"/>
      <c r="AC120" s="1095"/>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c r="BC120" s="619"/>
      <c r="BD120" s="619"/>
      <c r="BE120" s="619"/>
      <c r="BF120" s="619"/>
      <c r="BG120" s="619"/>
      <c r="BH120" s="619"/>
      <c r="BI120" s="619"/>
      <c r="BJ120" s="619"/>
      <c r="BK120" s="619"/>
      <c r="BL120" s="619"/>
      <c r="BM120" s="619"/>
      <c r="BN120" s="619"/>
      <c r="BO120" s="619"/>
      <c r="BP120" s="619"/>
      <c r="BQ120" s="619"/>
      <c r="BR120" s="619"/>
      <c r="BS120" s="619"/>
      <c r="BT120" s="619"/>
      <c r="BU120" s="619"/>
      <c r="BV120" s="619"/>
      <c r="BW120" s="619"/>
      <c r="BX120" s="619"/>
      <c r="BY120" s="619"/>
      <c r="BZ120" s="619"/>
      <c r="CA120" s="619"/>
      <c r="CB120" s="619"/>
      <c r="CC120" s="619"/>
      <c r="CD120" s="619"/>
      <c r="CE120" s="619"/>
      <c r="CF120" s="619"/>
      <c r="CG120" s="619"/>
      <c r="CH120" s="619"/>
      <c r="CI120" s="619"/>
      <c r="CJ120" s="619"/>
      <c r="CK120" s="619"/>
      <c r="CL120" s="619"/>
      <c r="CM120" s="619"/>
      <c r="CN120" s="619"/>
      <c r="CO120" s="619"/>
      <c r="CP120" s="619"/>
      <c r="CQ120" s="619"/>
    </row>
    <row r="121" spans="1:95" ht="15.5" x14ac:dyDescent="0.35">
      <c r="A121" t="s">
        <v>264</v>
      </c>
      <c r="B121" s="92">
        <v>911</v>
      </c>
      <c r="C121" s="84" t="s">
        <v>265</v>
      </c>
      <c r="D121" s="967"/>
      <c r="E121" s="968" t="s">
        <v>266</v>
      </c>
      <c r="F121" s="1255" t="e">
        <f>VLOOKUP(LA_code,data_prev_year,MATCH("RS"&amp;$B121&amp;"3",data_prev_year_headers,0),0)</f>
        <v>#N/A</v>
      </c>
      <c r="G121" s="1256"/>
      <c r="H121" s="113" t="e">
        <f>IF(OR(F121&lt;0,G121&lt;0,S121=1),"Warning","")</f>
        <v>#N/A</v>
      </c>
      <c r="I121" s="536" t="e">
        <f>IF(OR(F121&lt;0,G121&lt;0),"Reserves levels should be non-negative. Please amend or explain on the memo sheet","")</f>
        <v>#N/A</v>
      </c>
      <c r="J121" s="534" t="e">
        <f>IF(F102+F121=G121,"","Reserves level at end of March does not equal appropriations (line811) added or taken from figure on 1 April")</f>
        <v>#N/A</v>
      </c>
      <c r="K121" s="517" t="e">
        <f>IF(AC121="Warning","This year's opening balance figure is over "&amp;U121/1000&amp;" million and "&amp;(T121*100)&amp;"% different to "&amp;TEXT(V121,"#,###")&amp;" last year, please explain","")</f>
        <v>#N/A</v>
      </c>
      <c r="L121" s="511"/>
      <c r="M121" s="511" t="str">
        <f>IF(AM121="Warning","This year's closing balance figure is over "&amp;AE121/1000&amp;" million and "&amp;(AD121*100)&amp;"% different to "&amp;TEXT(AF121,"#,###")&amp;" last year, please explain","")</f>
        <v/>
      </c>
      <c r="N121" s="511"/>
      <c r="O121" s="511"/>
      <c r="P121" s="608"/>
      <c r="Q121" s="609"/>
      <c r="R121" s="609"/>
      <c r="S121" s="1096" t="e">
        <f>IF(F102+F121=G121,0,1)</f>
        <v>#N/A</v>
      </c>
      <c r="T121" s="631">
        <f>VLOOKUP("RS"&amp;$B121,data_val_parameters,8,0)/100</f>
        <v>0.45</v>
      </c>
      <c r="U121" s="631">
        <f t="shared" ref="U121:U135" si="100">VLOOKUP("RS"&amp;$B121,data_val_parameters,7,0)</f>
        <v>10000</v>
      </c>
      <c r="V121" s="631" t="e">
        <f t="shared" ref="V121:V135" si="101">VLOOKUP(LA_code,data_prev_year,MATCH("RS"&amp;$B121&amp;"2",data_prev_year_headers,0),0)</f>
        <v>#N/A</v>
      </c>
      <c r="W121" s="631" t="e">
        <f t="shared" ref="W121:W122" si="102">V121+U121</f>
        <v>#N/A</v>
      </c>
      <c r="X121" s="631" t="e">
        <f t="shared" ref="X121:X122" si="103">V121-U121</f>
        <v>#N/A</v>
      </c>
      <c r="Y121" s="631" t="e">
        <f t="shared" ref="Y121:Y122" si="104">V121+(V121*T121)</f>
        <v>#N/A</v>
      </c>
      <c r="Z121" s="631" t="e">
        <f t="shared" ref="Z121:Z122" si="105">V121-(V121*T121)</f>
        <v>#N/A</v>
      </c>
      <c r="AA121" s="631" t="e">
        <f>IF(OR(F121&lt;X121,F121&gt;W121),"Warning","")</f>
        <v>#N/A</v>
      </c>
      <c r="AB121" s="631" t="e">
        <f>IF(OR(F121&gt;(Y121),F121&lt;(Z121)),"Warning","")</f>
        <v>#N/A</v>
      </c>
      <c r="AC121" s="631" t="e">
        <f>IF(OR(F121=0),"",IF(AND(AA121="Warning",AB121="Warning"),"Warning",""))</f>
        <v>#N/A</v>
      </c>
      <c r="AD121" s="609">
        <f>VLOOKUP("RS"&amp;$B121,data_val_parameters,8,0)/100</f>
        <v>0.45</v>
      </c>
      <c r="AE121" s="609">
        <f t="shared" ref="AE121:AE134" si="106">VLOOKUP("RS"&amp;$B121,data_val_parameters,7,0)</f>
        <v>10000</v>
      </c>
      <c r="AF121" s="609" t="e">
        <f>VLOOKUP(LA_code,data_prev_year,MATCH("RS"&amp;$B121&amp;"3",data_prev_year_headers,0),0)</f>
        <v>#N/A</v>
      </c>
      <c r="AG121" s="609" t="e">
        <f t="shared" ref="AG121:AG134" si="107">AF121+AE121</f>
        <v>#N/A</v>
      </c>
      <c r="AH121" s="609" t="e">
        <f t="shared" ref="AH121:AH134" si="108">AF121-AE121</f>
        <v>#N/A</v>
      </c>
      <c r="AI121" s="609" t="e">
        <f t="shared" ref="AI121:AI134" si="109">AF121+(AF121*AD121)</f>
        <v>#N/A</v>
      </c>
      <c r="AJ121" s="609" t="e">
        <f t="shared" ref="AJ121:AJ134" si="110">AF121-(AF121*AD121)</f>
        <v>#N/A</v>
      </c>
      <c r="AK121" s="609" t="e">
        <f>IF(OR(P121&lt;AH121,P121&gt;AG121),"Warning","")</f>
        <v>#N/A</v>
      </c>
      <c r="AL121" s="609" t="e">
        <f>IF(OR(P121&gt;(AI121),P121&lt;(AJ121)),"Warning","")</f>
        <v>#N/A</v>
      </c>
      <c r="AM121" s="609" t="str">
        <f>IF(OR(P121=0),"",IF(AND(AK121="Warning",AL121="Warning"),"Warning",""))</f>
        <v/>
      </c>
      <c r="AN121" s="609"/>
      <c r="AO121" s="609"/>
      <c r="AP121" s="609"/>
      <c r="AQ121" s="609"/>
    </row>
    <row r="122" spans="1:95" ht="15.65" customHeight="1" x14ac:dyDescent="0.35">
      <c r="A122" t="s">
        <v>267</v>
      </c>
      <c r="B122" s="92">
        <v>912</v>
      </c>
      <c r="C122" s="84" t="s">
        <v>268</v>
      </c>
      <c r="D122" s="967"/>
      <c r="E122" s="968" t="s">
        <v>269</v>
      </c>
      <c r="F122" s="1255" t="e">
        <f>VLOOKUP(LA_code,data_prev_year,MATCH("RS"&amp;$B122&amp;"3",data_prev_year_headers,0),0)</f>
        <v>#N/A</v>
      </c>
      <c r="G122" s="1256"/>
      <c r="H122" s="113" t="e">
        <f>IF(OR(F122&gt;0,G122&gt;0,S122=1),"Warning","")</f>
        <v>#N/A</v>
      </c>
      <c r="I122" s="547" t="e">
        <f>IF(OR(F122&gt;0,G122&gt;0),"Adjustment Account levels cannot be positive. Please amend.","")</f>
        <v>#N/A</v>
      </c>
      <c r="J122" s="534" t="e">
        <f>IF(F95+F122=G122,"","Reserves level at end of March does not equal appropriations (line797) added or taken from figure on 1 April")</f>
        <v>#N/A</v>
      </c>
      <c r="K122" s="517" t="e">
        <f t="shared" ref="K122:K134" si="111">IF(AC122="Warning","This year's opening balance figure is over "&amp;U122/1000&amp;" million and "&amp;(T122*100)&amp;"% different to "&amp;TEXT(V122,"#,###")&amp;" last year, please explain","")</f>
        <v>#N/A</v>
      </c>
      <c r="L122" s="511"/>
      <c r="M122" s="511"/>
      <c r="N122" s="511"/>
      <c r="O122" s="511"/>
      <c r="P122" s="608"/>
      <c r="Q122" s="609"/>
      <c r="R122" s="609"/>
      <c r="S122" s="1096" t="e">
        <f>IF(F95+F122=G122,0,1)</f>
        <v>#N/A</v>
      </c>
      <c r="T122" s="631">
        <f>VLOOKUP("RS"&amp;$B122,data_val_parameters,8,0)/100</f>
        <v>0.45</v>
      </c>
      <c r="U122" s="631">
        <f t="shared" si="100"/>
        <v>10000</v>
      </c>
      <c r="V122" s="631" t="e">
        <f t="shared" si="101"/>
        <v>#N/A</v>
      </c>
      <c r="W122" s="631" t="e">
        <f t="shared" si="102"/>
        <v>#N/A</v>
      </c>
      <c r="X122" s="631" t="e">
        <f t="shared" si="103"/>
        <v>#N/A</v>
      </c>
      <c r="Y122" s="631" t="e">
        <f t="shared" si="104"/>
        <v>#N/A</v>
      </c>
      <c r="Z122" s="631" t="e">
        <f t="shared" si="105"/>
        <v>#N/A</v>
      </c>
      <c r="AA122" s="631" t="e">
        <f>IF(OR(F122&lt;X122,F122&gt;W122),"Warning","")</f>
        <v>#N/A</v>
      </c>
      <c r="AB122" s="631" t="e">
        <f>IF(OR(F122&gt;(Y122),F122&lt;(Z122)),"Warning","")</f>
        <v>#N/A</v>
      </c>
      <c r="AC122" s="631" t="e">
        <f>IF(OR(F122=0),"",IF(AND(AA122="Warning",AB122="Warning"),"Warning",""))</f>
        <v>#N/A</v>
      </c>
      <c r="AD122" s="609">
        <f>VLOOKUP("RS"&amp;$B122,data_val_parameters,8,0)/100</f>
        <v>0.45</v>
      </c>
      <c r="AE122" s="609">
        <f t="shared" si="106"/>
        <v>10000</v>
      </c>
      <c r="AF122" s="609" t="e">
        <f>VLOOKUP(LA_code,data_prev_year,MATCH("RS"&amp;$B122&amp;"3",data_prev_year_headers,0),0)</f>
        <v>#N/A</v>
      </c>
      <c r="AG122" s="609" t="e">
        <f t="shared" ref="AG122" si="112">AF122+AE122</f>
        <v>#N/A</v>
      </c>
      <c r="AH122" s="609" t="e">
        <f t="shared" ref="AH122" si="113">AF122-AE122</f>
        <v>#N/A</v>
      </c>
      <c r="AI122" s="609" t="e">
        <f t="shared" ref="AI122" si="114">AF122+(AF122*AD122)</f>
        <v>#N/A</v>
      </c>
      <c r="AJ122" s="609" t="e">
        <f t="shared" ref="AJ122" si="115">AF122-(AF122*AD122)</f>
        <v>#N/A</v>
      </c>
      <c r="AK122" s="609" t="e">
        <f>IF(OR(P122&lt;AH122,P122&gt;AG122),"Warning","")</f>
        <v>#N/A</v>
      </c>
      <c r="AL122" s="609" t="e">
        <f>IF(OR(P122&gt;(AI122),P122&lt;(AJ122)),"Warning","")</f>
        <v>#N/A</v>
      </c>
      <c r="AM122" s="609"/>
      <c r="AN122" s="609"/>
      <c r="AO122" s="609"/>
      <c r="AP122" s="609"/>
      <c r="AQ122" s="609"/>
    </row>
    <row r="123" spans="1:95" ht="15.5" x14ac:dyDescent="0.35">
      <c r="A123" t="s">
        <v>270</v>
      </c>
      <c r="B123" s="92">
        <v>913</v>
      </c>
      <c r="C123" s="84" t="s">
        <v>271</v>
      </c>
      <c r="D123" s="967"/>
      <c r="E123" s="968" t="s">
        <v>272</v>
      </c>
      <c r="F123" s="1255" t="e">
        <f>VLOOKUP(LA_code,data_prev_year,MATCH("RS"&amp;$B123&amp;"3",data_prev_year_headers,0),0)</f>
        <v>#N/A</v>
      </c>
      <c r="G123" s="1256"/>
      <c r="H123" s="113" t="e">
        <f>IF(OR(F123&lt;0,G123&lt;0,S123=1),"Warning","")</f>
        <v>#N/A</v>
      </c>
      <c r="I123" s="536" t="e">
        <f>IF(OR(F123&lt;0,G123&lt;0),"Must be non-negative. Deficits must be recorded in the row above (DSG adjustment account)","")</f>
        <v>#N/A</v>
      </c>
      <c r="J123" s="534" t="e">
        <f>IF(F103+F123=G123,"","Reserves level at end of March does not equal appropriations (line813) added or taken from figure on 1 April")</f>
        <v>#N/A</v>
      </c>
      <c r="K123" s="517" t="e">
        <f t="shared" si="111"/>
        <v>#N/A</v>
      </c>
      <c r="L123" s="511"/>
      <c r="M123" s="511" t="str">
        <f t="shared" ref="M123:M125" si="116">IF(AM123="Warning","This year's closing balance figure is over "&amp;AE123/1000&amp;" million and "&amp;(AD123*100)&amp;"% different to "&amp;TEXT(AF123,"#,###")&amp;" last year, please explain","")</f>
        <v/>
      </c>
      <c r="N123" s="511"/>
      <c r="O123" s="511"/>
      <c r="P123" s="608"/>
      <c r="Q123" s="609"/>
      <c r="R123" s="609"/>
      <c r="S123" s="1096" t="e">
        <f>IF(F103+F123=G123,0,1)</f>
        <v>#N/A</v>
      </c>
      <c r="T123" s="631">
        <f>VLOOKUP("RS"&amp;$B123,data_val_parameters,8,0)/100</f>
        <v>0.45</v>
      </c>
      <c r="U123" s="631">
        <f t="shared" si="100"/>
        <v>10000</v>
      </c>
      <c r="V123" s="631" t="e">
        <f t="shared" si="101"/>
        <v>#N/A</v>
      </c>
      <c r="W123" s="631" t="e">
        <f t="shared" ref="W123:W134" si="117">V123+U123</f>
        <v>#N/A</v>
      </c>
      <c r="X123" s="631" t="e">
        <f t="shared" ref="X123:X134" si="118">V123-U123</f>
        <v>#N/A</v>
      </c>
      <c r="Y123" s="631" t="e">
        <f t="shared" ref="Y123:Y134" si="119">V123+(V123*T123)</f>
        <v>#N/A</v>
      </c>
      <c r="Z123" s="631" t="e">
        <f t="shared" ref="Z123:Z134" si="120">V123-(V123*T123)</f>
        <v>#N/A</v>
      </c>
      <c r="AA123" s="631" t="e">
        <f>IF(OR(F123&lt;X123,F123&gt;W123),"Warning","")</f>
        <v>#N/A</v>
      </c>
      <c r="AB123" s="631" t="e">
        <f>IF(OR(F123&gt;(Y123),F123&lt;(Z123)),"Warning","")</f>
        <v>#N/A</v>
      </c>
      <c r="AC123" s="631" t="e">
        <f>IF(OR(F123=0),"",IF(AND(AA123="Warning",AB123="Warning"),"Warning",""))</f>
        <v>#N/A</v>
      </c>
      <c r="AD123" s="609">
        <f>VLOOKUP("RS"&amp;$B123,data_val_parameters,8,0)/100</f>
        <v>0.45</v>
      </c>
      <c r="AE123" s="609">
        <f t="shared" si="106"/>
        <v>10000</v>
      </c>
      <c r="AF123" s="609" t="e">
        <f>VLOOKUP(LA_code,data_prev_year,MATCH("RS"&amp;$B123&amp;"3",data_prev_year_headers,0),0)</f>
        <v>#N/A</v>
      </c>
      <c r="AG123" s="609" t="e">
        <f t="shared" si="107"/>
        <v>#N/A</v>
      </c>
      <c r="AH123" s="609" t="e">
        <f t="shared" si="108"/>
        <v>#N/A</v>
      </c>
      <c r="AI123" s="609" t="e">
        <f t="shared" si="109"/>
        <v>#N/A</v>
      </c>
      <c r="AJ123" s="609" t="e">
        <f t="shared" si="110"/>
        <v>#N/A</v>
      </c>
      <c r="AK123" s="609" t="e">
        <f>IF(OR(P123&lt;AH123,P123&gt;AG123),"Warning","")</f>
        <v>#N/A</v>
      </c>
      <c r="AL123" s="609" t="e">
        <f>IF(OR(P123&gt;(AI123),P123&lt;(AJ123)),"Warning","")</f>
        <v>#N/A</v>
      </c>
      <c r="AM123" s="609" t="str">
        <f>IF(OR(P123=0),"",IF(AND(AK123="Warning",AL123="Warning"),"Warning",""))</f>
        <v/>
      </c>
      <c r="AN123" s="609"/>
      <c r="AO123" s="609"/>
      <c r="AP123" s="609"/>
      <c r="AQ123" s="609"/>
    </row>
    <row r="124" spans="1:95" ht="15.5" x14ac:dyDescent="0.35">
      <c r="A124" t="s">
        <v>273</v>
      </c>
      <c r="B124" s="92">
        <v>914</v>
      </c>
      <c r="C124" s="84" t="s">
        <v>274</v>
      </c>
      <c r="D124" s="967"/>
      <c r="E124" s="968" t="s">
        <v>275</v>
      </c>
      <c r="F124" s="1255" t="e">
        <f>VLOOKUP(LA_code,data_prev_year,MATCH("RS"&amp;$B124&amp;"3",data_prev_year_headers,0),0)</f>
        <v>#N/A</v>
      </c>
      <c r="G124" s="1256"/>
      <c r="H124" s="113" t="e">
        <f>IF(OR(F124&lt;0,G124&lt;0,S124=1),"Warning","")</f>
        <v>#N/A</v>
      </c>
      <c r="I124" s="536" t="e">
        <f>IF(OR(F124&lt;0,G124&lt;0),"Reserves levels should be non-negative, and the change must accord with appropriations (814). Please amend or explain on the memo sheet","")</f>
        <v>#N/A</v>
      </c>
      <c r="J124" s="534" t="e">
        <f>IF(F104+F124=G124,"","Reserves level at end of March does not equal appropriations (line814) added or taken from figure on 1 April")</f>
        <v>#N/A</v>
      </c>
      <c r="K124" s="517" t="e">
        <f t="shared" si="111"/>
        <v>#N/A</v>
      </c>
      <c r="L124" s="511"/>
      <c r="M124" s="511" t="str">
        <f t="shared" si="116"/>
        <v/>
      </c>
      <c r="N124" s="511"/>
      <c r="O124" s="511"/>
      <c r="P124" s="608"/>
      <c r="Q124" s="609"/>
      <c r="R124" s="609"/>
      <c r="S124" s="1096" t="e">
        <f>IF(F104+F124=G124,0,1)</f>
        <v>#N/A</v>
      </c>
      <c r="T124" s="631">
        <f>VLOOKUP("RS"&amp;$B124,data_val_parameters,8,0)/100</f>
        <v>0.45</v>
      </c>
      <c r="U124" s="631">
        <f t="shared" si="100"/>
        <v>10000</v>
      </c>
      <c r="V124" s="631" t="e">
        <f t="shared" si="101"/>
        <v>#N/A</v>
      </c>
      <c r="W124" s="631" t="e">
        <f t="shared" si="117"/>
        <v>#N/A</v>
      </c>
      <c r="X124" s="631" t="e">
        <f t="shared" si="118"/>
        <v>#N/A</v>
      </c>
      <c r="Y124" s="631" t="e">
        <f t="shared" si="119"/>
        <v>#N/A</v>
      </c>
      <c r="Z124" s="631" t="e">
        <f t="shared" si="120"/>
        <v>#N/A</v>
      </c>
      <c r="AA124" s="631" t="e">
        <f>IF(OR(F124&lt;X124,F124&gt;W124),"Warning","")</f>
        <v>#N/A</v>
      </c>
      <c r="AB124" s="631" t="e">
        <f>IF(OR(F124&gt;(Y124),F124&lt;(Z124)),"Warning","")</f>
        <v>#N/A</v>
      </c>
      <c r="AC124" s="631" t="e">
        <f>IF(OR(F124=0),"",IF(AND(AA124="Warning",AB124="Warning"),"Warning",""))</f>
        <v>#N/A</v>
      </c>
      <c r="AD124" s="609">
        <f>VLOOKUP("RS"&amp;$B124,data_val_parameters,8,0)/100</f>
        <v>0.45</v>
      </c>
      <c r="AE124" s="609">
        <f t="shared" si="106"/>
        <v>10000</v>
      </c>
      <c r="AF124" s="609" t="e">
        <f>VLOOKUP(LA_code,data_prev_year,MATCH("RS"&amp;$B124&amp;"3",data_prev_year_headers,0),0)</f>
        <v>#N/A</v>
      </c>
      <c r="AG124" s="609" t="e">
        <f t="shared" si="107"/>
        <v>#N/A</v>
      </c>
      <c r="AH124" s="609" t="e">
        <f t="shared" si="108"/>
        <v>#N/A</v>
      </c>
      <c r="AI124" s="609" t="e">
        <f t="shared" si="109"/>
        <v>#N/A</v>
      </c>
      <c r="AJ124" s="609" t="e">
        <f t="shared" si="110"/>
        <v>#N/A</v>
      </c>
      <c r="AK124" s="609" t="e">
        <f>IF(OR(P124&lt;AH124,P124&gt;AG124),"Warning","")</f>
        <v>#N/A</v>
      </c>
      <c r="AL124" s="609" t="e">
        <f>IF(OR(P124&gt;(AI124),P124&lt;(AJ124)),"Warning","")</f>
        <v>#N/A</v>
      </c>
      <c r="AM124" s="609" t="str">
        <f>IF(OR(P124=0),"",IF(AND(AK124="Warning",AL124="Warning"),"Warning",""))</f>
        <v/>
      </c>
      <c r="AN124" s="609"/>
      <c r="AO124" s="609"/>
      <c r="AP124" s="609"/>
      <c r="AQ124" s="609"/>
    </row>
    <row r="125" spans="1:95" ht="15.5" x14ac:dyDescent="0.35">
      <c r="A125" t="s">
        <v>276</v>
      </c>
      <c r="B125" s="92">
        <v>915</v>
      </c>
      <c r="C125" s="84" t="s">
        <v>277</v>
      </c>
      <c r="D125" s="84"/>
      <c r="E125" s="459"/>
      <c r="F125" s="1257" t="e">
        <f>SUM(F127:F131)</f>
        <v>#N/A</v>
      </c>
      <c r="G125" s="1257">
        <f>SUM(G127:G131)</f>
        <v>0</v>
      </c>
      <c r="H125" s="113" t="e">
        <f>IF(OR(F125&lt;0,G125&lt;0,S125=1),"Warning","")</f>
        <v>#N/A</v>
      </c>
      <c r="I125" s="536" t="e">
        <f>IF(OR(F125&lt;0,G125&lt;0),"Reserves levels should be non-negative, and the change must accord with appropriations (815). Please amend or explain on the memo sheet","")</f>
        <v>#N/A</v>
      </c>
      <c r="J125" s="534" t="e">
        <f>IF(F105+F125=G125,"","Reserves level at end of March does not equal appropriations (line815) added or taken from figure on 1 April")</f>
        <v>#N/A</v>
      </c>
      <c r="K125" s="517" t="e">
        <f t="shared" si="111"/>
        <v>#N/A</v>
      </c>
      <c r="L125" s="511"/>
      <c r="M125" s="511" t="str">
        <f t="shared" si="116"/>
        <v/>
      </c>
      <c r="N125" s="511"/>
      <c r="O125" s="511"/>
      <c r="P125" s="608"/>
      <c r="Q125" s="609"/>
      <c r="R125" s="609"/>
      <c r="S125" s="1096" t="e">
        <f>IF(F105+F125=G125,0,1)</f>
        <v>#N/A</v>
      </c>
      <c r="T125" s="631">
        <f>VLOOKUP("RS"&amp;$B125,data_val_parameters,8,0)/100</f>
        <v>0.55000000000000004</v>
      </c>
      <c r="U125" s="631">
        <f t="shared" si="100"/>
        <v>20000</v>
      </c>
      <c r="V125" s="631" t="e">
        <f t="shared" si="101"/>
        <v>#N/A</v>
      </c>
      <c r="W125" s="631" t="e">
        <f t="shared" si="117"/>
        <v>#N/A</v>
      </c>
      <c r="X125" s="631" t="e">
        <f t="shared" si="118"/>
        <v>#N/A</v>
      </c>
      <c r="Y125" s="631" t="e">
        <f t="shared" si="119"/>
        <v>#N/A</v>
      </c>
      <c r="Z125" s="631" t="e">
        <f t="shared" si="120"/>
        <v>#N/A</v>
      </c>
      <c r="AA125" s="631" t="e">
        <f>IF(OR(F125&lt;X125,F125&gt;W125),"Warning","")</f>
        <v>#N/A</v>
      </c>
      <c r="AB125" s="631" t="e">
        <f>IF(OR(F125&gt;(Y125),F125&lt;(Z125)),"Warning","")</f>
        <v>#N/A</v>
      </c>
      <c r="AC125" s="631" t="e">
        <f>IF(OR(F125=0),"",IF(AND(AA125="Warning",AB125="Warning"),"Warning",""))</f>
        <v>#N/A</v>
      </c>
      <c r="AD125" s="609">
        <f>VLOOKUP("RS"&amp;$B125,data_val_parameters,8,0)/100</f>
        <v>0.55000000000000004</v>
      </c>
      <c r="AE125" s="609">
        <f t="shared" si="106"/>
        <v>20000</v>
      </c>
      <c r="AF125" s="609" t="e">
        <f>VLOOKUP(LA_code,data_prev_year,MATCH("RS"&amp;$B125&amp;"3",data_prev_year_headers,0),0)</f>
        <v>#N/A</v>
      </c>
      <c r="AG125" s="609" t="e">
        <f t="shared" si="107"/>
        <v>#N/A</v>
      </c>
      <c r="AH125" s="609" t="e">
        <f t="shared" si="108"/>
        <v>#N/A</v>
      </c>
      <c r="AI125" s="609" t="e">
        <f t="shared" si="109"/>
        <v>#N/A</v>
      </c>
      <c r="AJ125" s="609" t="e">
        <f t="shared" si="110"/>
        <v>#N/A</v>
      </c>
      <c r="AK125" s="609" t="e">
        <f>IF(OR(P125&lt;AH125,P125&gt;AG125),"Warning","")</f>
        <v>#N/A</v>
      </c>
      <c r="AL125" s="609" t="e">
        <f>IF(OR(P125&gt;(AI125),P125&lt;(AJ125)),"Warning","")</f>
        <v>#N/A</v>
      </c>
      <c r="AM125" s="609" t="str">
        <f>IF(OR(P125=0),"",IF(AND(AK125="Warning",AL125="Warning"),"Warning",""))</f>
        <v/>
      </c>
      <c r="AN125" s="609"/>
      <c r="AO125" s="609"/>
      <c r="AP125" s="609"/>
      <c r="AQ125" s="609"/>
    </row>
    <row r="126" spans="1:95" ht="31" customHeight="1" x14ac:dyDescent="0.35">
      <c r="B126" s="490" t="s">
        <v>278</v>
      </c>
      <c r="C126" s="399"/>
      <c r="D126" s="84"/>
      <c r="E126" s="559" t="e">
        <f>IF(AND(F127="", F128="", F129="", F130="", F131="", F125&lt;&gt;0), "Please provide a breakdown for line 915 in lines 1023-1027.", "")</f>
        <v>#N/A</v>
      </c>
      <c r="F126" s="559" t="e">
        <f>IF(SUM(F127:F131)&lt;&gt;F125, "The sum of lines 1023-1027 must equal line 915", "")</f>
        <v>#N/A</v>
      </c>
      <c r="G126" s="558" t="str">
        <f>IF(SUM(G127:G131)&lt;&gt;G125, "The sum of lines 1023-1027 must equal line 915", "")</f>
        <v/>
      </c>
      <c r="H126" s="559" t="str">
        <f>IF(AND(G127="", G128="", G129="", G130="", G131="", G125&lt;&gt;0), "Sub-components of line 915 must be provided in lines 1023-1027.", "")</f>
        <v/>
      </c>
      <c r="I126" s="536"/>
      <c r="J126" s="534"/>
      <c r="L126" s="511"/>
      <c r="M126" s="511"/>
      <c r="N126" s="511"/>
      <c r="O126" s="511"/>
      <c r="P126" s="608"/>
      <c r="Q126" s="609"/>
      <c r="R126" s="609"/>
      <c r="S126" s="1096"/>
      <c r="T126" s="631"/>
      <c r="U126" s="631"/>
      <c r="V126" s="631"/>
      <c r="W126" s="631"/>
      <c r="X126" s="631"/>
      <c r="Y126" s="631"/>
      <c r="Z126" s="631"/>
      <c r="AA126" s="631"/>
      <c r="AB126" s="631"/>
      <c r="AC126" s="631"/>
      <c r="AD126" s="609"/>
      <c r="AE126" s="609"/>
      <c r="AF126" s="609"/>
      <c r="AG126" s="609"/>
      <c r="AH126" s="609"/>
      <c r="AI126" s="609"/>
      <c r="AJ126" s="609"/>
      <c r="AK126" s="609"/>
      <c r="AL126" s="609"/>
      <c r="AM126" s="609"/>
      <c r="AN126" s="609"/>
      <c r="AO126" s="609"/>
      <c r="AP126" s="609"/>
      <c r="AQ126" s="609"/>
    </row>
    <row r="127" spans="1:95" ht="15.5" x14ac:dyDescent="0.35">
      <c r="A127" t="s">
        <v>279</v>
      </c>
      <c r="B127" s="491">
        <v>1023</v>
      </c>
      <c r="C127" s="492" t="s">
        <v>280</v>
      </c>
      <c r="D127" s="967"/>
      <c r="E127" s="968" t="s">
        <v>281</v>
      </c>
      <c r="F127" s="1255" t="e">
        <f t="shared" ref="F127:F131" si="121">VLOOKUP(LA_code,data_prev_year,MATCH("RS"&amp;$B127&amp;"2",data_prev_year_headers,0),0)</f>
        <v>#N/A</v>
      </c>
      <c r="G127" s="1258"/>
      <c r="H127" s="464" t="e">
        <f>IF(OR(F127&lt;0,G127&lt;0),"Warning","")</f>
        <v>#N/A</v>
      </c>
      <c r="I127" s="536" t="e">
        <f>IF(OR(F127&lt;0,G127&lt;0),"Reserves levels should be non-negative. Please amend or explain on the memo sheet","")</f>
        <v>#N/A</v>
      </c>
      <c r="J127" s="534"/>
      <c r="L127" s="511"/>
      <c r="M127" s="511"/>
      <c r="N127" s="511"/>
      <c r="O127" s="511"/>
      <c r="P127" s="608"/>
      <c r="Q127" s="609"/>
      <c r="R127" s="609"/>
      <c r="S127" s="1096"/>
      <c r="T127" s="631"/>
      <c r="U127" s="631"/>
      <c r="V127" s="631"/>
      <c r="W127" s="631"/>
      <c r="X127" s="631"/>
      <c r="Y127" s="631"/>
      <c r="Z127" s="631"/>
      <c r="AA127" s="631"/>
      <c r="AB127" s="631"/>
      <c r="AC127" s="631"/>
      <c r="AD127" s="609"/>
      <c r="AE127" s="609"/>
      <c r="AF127" s="609"/>
      <c r="AG127" s="609"/>
      <c r="AH127" s="609"/>
      <c r="AI127" s="609"/>
      <c r="AJ127" s="609"/>
      <c r="AK127" s="609"/>
      <c r="AL127" s="609"/>
      <c r="AM127" s="609"/>
      <c r="AN127" s="609"/>
      <c r="AO127" s="609"/>
      <c r="AP127" s="609"/>
      <c r="AQ127" s="609"/>
    </row>
    <row r="128" spans="1:95" ht="15.5" x14ac:dyDescent="0.35">
      <c r="A128" t="s">
        <v>282</v>
      </c>
      <c r="B128" s="491">
        <v>1024</v>
      </c>
      <c r="C128" s="492" t="s">
        <v>283</v>
      </c>
      <c r="D128" s="967"/>
      <c r="E128" s="968" t="s">
        <v>284</v>
      </c>
      <c r="F128" s="1255" t="e">
        <f t="shared" si="121"/>
        <v>#N/A</v>
      </c>
      <c r="G128" s="1258"/>
      <c r="H128" s="464" t="e">
        <f t="shared" ref="H128:H131" si="122">IF(OR(F128&lt;0,G128&lt;0),"Warning","")</f>
        <v>#N/A</v>
      </c>
      <c r="I128" s="536" t="e">
        <f t="shared" ref="I128:I131" si="123">IF(OR(F128&lt;0,G128&lt;0),"Reserves levels should be non-negative. Please amend or explain on the memo sheet","")</f>
        <v>#N/A</v>
      </c>
      <c r="J128" s="534"/>
      <c r="L128" s="511"/>
      <c r="M128" s="511"/>
      <c r="N128" s="511"/>
      <c r="O128" s="511"/>
      <c r="P128" s="608"/>
      <c r="Q128" s="609"/>
      <c r="R128" s="609"/>
      <c r="S128" s="1096"/>
      <c r="T128" s="631"/>
      <c r="U128" s="631"/>
      <c r="V128" s="631"/>
      <c r="W128" s="631"/>
      <c r="X128" s="631"/>
      <c r="Y128" s="631"/>
      <c r="Z128" s="631"/>
      <c r="AA128" s="631"/>
      <c r="AB128" s="631"/>
      <c r="AC128" s="631"/>
      <c r="AD128" s="609"/>
      <c r="AE128" s="609"/>
      <c r="AF128" s="609"/>
      <c r="AG128" s="609"/>
      <c r="AH128" s="609"/>
      <c r="AI128" s="609"/>
      <c r="AJ128" s="609"/>
      <c r="AK128" s="609"/>
      <c r="AL128" s="609"/>
      <c r="AM128" s="609"/>
      <c r="AN128" s="609"/>
      <c r="AO128" s="609"/>
      <c r="AP128" s="609"/>
      <c r="AQ128" s="609"/>
    </row>
    <row r="129" spans="1:43" ht="15.5" x14ac:dyDescent="0.35">
      <c r="A129" t="s">
        <v>285</v>
      </c>
      <c r="B129" s="491">
        <v>1025</v>
      </c>
      <c r="C129" s="492" t="s">
        <v>286</v>
      </c>
      <c r="D129" s="967"/>
      <c r="E129" s="968" t="s">
        <v>272</v>
      </c>
      <c r="F129" s="1255" t="e">
        <f t="shared" si="121"/>
        <v>#N/A</v>
      </c>
      <c r="G129" s="1258"/>
      <c r="H129" s="464" t="e">
        <f t="shared" si="122"/>
        <v>#N/A</v>
      </c>
      <c r="I129" s="536" t="e">
        <f t="shared" si="123"/>
        <v>#N/A</v>
      </c>
      <c r="J129" s="534"/>
      <c r="L129" s="511"/>
      <c r="M129" s="511"/>
      <c r="N129" s="511"/>
      <c r="O129" s="511"/>
      <c r="P129" s="608"/>
      <c r="Q129" s="609"/>
      <c r="R129" s="609"/>
      <c r="S129" s="1096"/>
      <c r="T129" s="631"/>
      <c r="U129" s="631"/>
      <c r="V129" s="631"/>
      <c r="W129" s="631"/>
      <c r="X129" s="631"/>
      <c r="Y129" s="631"/>
      <c r="Z129" s="631"/>
      <c r="AA129" s="631"/>
      <c r="AB129" s="631"/>
      <c r="AC129" s="631"/>
      <c r="AD129" s="609"/>
      <c r="AE129" s="609"/>
      <c r="AF129" s="609"/>
      <c r="AG129" s="609"/>
      <c r="AH129" s="609"/>
      <c r="AI129" s="609"/>
      <c r="AJ129" s="609"/>
      <c r="AK129" s="609"/>
      <c r="AL129" s="609"/>
      <c r="AM129" s="609"/>
      <c r="AN129" s="609"/>
      <c r="AO129" s="609"/>
      <c r="AP129" s="609"/>
      <c r="AQ129" s="609"/>
    </row>
    <row r="130" spans="1:43" ht="15.5" x14ac:dyDescent="0.35">
      <c r="A130" t="s">
        <v>287</v>
      </c>
      <c r="B130" s="491">
        <v>1026</v>
      </c>
      <c r="C130" s="492" t="s">
        <v>288</v>
      </c>
      <c r="D130" s="967"/>
      <c r="E130" s="968" t="s">
        <v>275</v>
      </c>
      <c r="F130" s="1255" t="e">
        <f t="shared" si="121"/>
        <v>#N/A</v>
      </c>
      <c r="G130" s="1258"/>
      <c r="H130" s="464" t="e">
        <f t="shared" si="122"/>
        <v>#N/A</v>
      </c>
      <c r="I130" s="536" t="e">
        <f t="shared" si="123"/>
        <v>#N/A</v>
      </c>
      <c r="J130" s="534"/>
      <c r="L130" s="511"/>
      <c r="M130" s="511"/>
      <c r="N130" s="511"/>
      <c r="O130" s="511"/>
      <c r="P130" s="608"/>
      <c r="Q130" s="609"/>
      <c r="R130" s="609"/>
      <c r="S130" s="1096"/>
      <c r="T130" s="631"/>
      <c r="U130" s="631"/>
      <c r="V130" s="631"/>
      <c r="W130" s="631"/>
      <c r="X130" s="631"/>
      <c r="Y130" s="631"/>
      <c r="Z130" s="631"/>
      <c r="AA130" s="631"/>
      <c r="AB130" s="631"/>
      <c r="AC130" s="631"/>
      <c r="AD130" s="609"/>
      <c r="AE130" s="609"/>
      <c r="AF130" s="609"/>
      <c r="AG130" s="609"/>
      <c r="AH130" s="609"/>
      <c r="AI130" s="609"/>
      <c r="AJ130" s="609"/>
      <c r="AK130" s="609"/>
      <c r="AL130" s="609"/>
      <c r="AM130" s="609"/>
      <c r="AN130" s="609"/>
      <c r="AO130" s="609"/>
      <c r="AP130" s="609"/>
      <c r="AQ130" s="609"/>
    </row>
    <row r="131" spans="1:43" ht="15.5" x14ac:dyDescent="0.35">
      <c r="A131" t="s">
        <v>289</v>
      </c>
      <c r="B131" s="491">
        <v>1027</v>
      </c>
      <c r="C131" s="492" t="s">
        <v>290</v>
      </c>
      <c r="D131" s="1047"/>
      <c r="E131" s="1048" t="s">
        <v>291</v>
      </c>
      <c r="F131" s="1255" t="e">
        <f t="shared" si="121"/>
        <v>#N/A</v>
      </c>
      <c r="G131" s="1259"/>
      <c r="H131" s="464" t="e">
        <f t="shared" si="122"/>
        <v>#N/A</v>
      </c>
      <c r="I131" s="536" t="e">
        <f t="shared" si="123"/>
        <v>#N/A</v>
      </c>
      <c r="J131" s="534"/>
      <c r="L131" s="511"/>
      <c r="M131" s="511"/>
      <c r="N131" s="511"/>
      <c r="O131" s="511"/>
      <c r="P131" s="608"/>
      <c r="Q131" s="609"/>
      <c r="R131" s="609"/>
      <c r="S131" s="1096"/>
      <c r="T131" s="631"/>
      <c r="U131" s="631"/>
      <c r="V131" s="631"/>
      <c r="W131" s="631"/>
      <c r="X131" s="631"/>
      <c r="Y131" s="631"/>
      <c r="Z131" s="631"/>
      <c r="AA131" s="631"/>
      <c r="AB131" s="631"/>
      <c r="AC131" s="631"/>
      <c r="AD131" s="609"/>
      <c r="AE131" s="609"/>
      <c r="AF131" s="609"/>
      <c r="AG131" s="609"/>
      <c r="AH131" s="609"/>
      <c r="AI131" s="609"/>
      <c r="AJ131" s="609"/>
      <c r="AK131" s="609"/>
      <c r="AL131" s="609"/>
      <c r="AM131" s="609"/>
      <c r="AN131" s="609"/>
      <c r="AO131" s="609"/>
      <c r="AP131" s="609"/>
      <c r="AQ131" s="609"/>
    </row>
    <row r="132" spans="1:43" ht="31" hidden="1" customHeight="1" x14ac:dyDescent="0.35">
      <c r="A132" s="280" t="s">
        <v>292</v>
      </c>
      <c r="B132" s="432"/>
      <c r="C132" s="446" t="s">
        <v>44</v>
      </c>
      <c r="D132" s="84"/>
      <c r="E132" s="6"/>
      <c r="F132" s="1304" t="s">
        <v>293</v>
      </c>
      <c r="G132" s="596" t="s">
        <v>257</v>
      </c>
      <c r="H132" s="464"/>
      <c r="I132" s="536"/>
      <c r="J132" s="534"/>
      <c r="L132" s="511"/>
      <c r="M132" s="511"/>
      <c r="N132" s="511"/>
      <c r="O132" s="511"/>
      <c r="P132" s="608"/>
      <c r="Q132" s="609"/>
      <c r="R132" s="609"/>
      <c r="S132" s="1096"/>
      <c r="T132" s="631"/>
      <c r="U132" s="631"/>
      <c r="V132" s="631"/>
      <c r="W132" s="631"/>
      <c r="X132" s="631"/>
      <c r="Y132" s="631"/>
      <c r="Z132" s="631"/>
      <c r="AA132" s="631"/>
      <c r="AB132" s="631"/>
      <c r="AC132" s="631"/>
      <c r="AD132" s="609"/>
      <c r="AE132" s="609"/>
      <c r="AF132" s="609"/>
      <c r="AG132" s="609"/>
      <c r="AH132" s="609"/>
      <c r="AI132" s="609"/>
      <c r="AJ132" s="609"/>
      <c r="AK132" s="609"/>
      <c r="AL132" s="609"/>
      <c r="AM132" s="609"/>
      <c r="AN132" s="609"/>
      <c r="AO132" s="609"/>
      <c r="AP132" s="609"/>
      <c r="AQ132" s="609"/>
    </row>
    <row r="133" spans="1:43" ht="21.65" customHeight="1" x14ac:dyDescent="0.35">
      <c r="A133" s="280" t="s">
        <v>294</v>
      </c>
      <c r="B133" s="1053" t="s">
        <v>295</v>
      </c>
      <c r="C133" s="1260" t="s">
        <v>296</v>
      </c>
      <c r="D133" s="84"/>
      <c r="E133" s="6"/>
      <c r="F133" s="596"/>
      <c r="G133" s="596"/>
      <c r="H133" s="464"/>
      <c r="I133" s="536"/>
      <c r="J133" s="534"/>
      <c r="L133" s="511"/>
      <c r="M133" s="511"/>
      <c r="N133" s="511"/>
      <c r="O133" s="511"/>
      <c r="P133" s="608"/>
      <c r="Q133" s="609"/>
      <c r="R133" s="609"/>
      <c r="S133" s="1096"/>
      <c r="T133" s="631"/>
      <c r="U133" s="631"/>
      <c r="V133" s="631"/>
      <c r="W133" s="631"/>
      <c r="X133" s="631"/>
      <c r="Y133" s="631"/>
      <c r="Z133" s="631"/>
      <c r="AA133" s="631"/>
      <c r="AB133" s="631"/>
      <c r="AC133" s="631"/>
      <c r="AD133" s="609"/>
      <c r="AE133" s="609"/>
      <c r="AF133" s="609"/>
      <c r="AG133" s="609"/>
      <c r="AH133" s="609"/>
      <c r="AI133" s="609"/>
      <c r="AJ133" s="609"/>
      <c r="AK133" s="609"/>
      <c r="AL133" s="609"/>
      <c r="AM133" s="609"/>
      <c r="AN133" s="609"/>
      <c r="AO133" s="609"/>
      <c r="AP133" s="609"/>
      <c r="AQ133" s="609"/>
    </row>
    <row r="134" spans="1:43" ht="15.5" x14ac:dyDescent="0.35">
      <c r="A134" s="99" t="s">
        <v>297</v>
      </c>
      <c r="B134" s="92">
        <v>916</v>
      </c>
      <c r="C134" s="84" t="s">
        <v>298</v>
      </c>
      <c r="D134" s="967"/>
      <c r="E134" s="968" t="s">
        <v>275</v>
      </c>
      <c r="F134" s="1255" t="e">
        <f>VLOOKUP(LA_code,data_prev_year,MATCH("RS"&amp;$B134&amp;"3",data_prev_year_headers,0),0)</f>
        <v>#N/A</v>
      </c>
      <c r="G134" s="1222"/>
      <c r="H134" s="113" t="e">
        <f>IF(OR(F134&lt;0,G134&lt;0,S134=1),"Warning","")</f>
        <v>#N/A</v>
      </c>
      <c r="I134" s="536" t="e">
        <f>IF(OR(F134&lt;0,G134&lt;0),"Reserves levels should be non-negative. Please amend or explain on the memo sheet","")</f>
        <v>#N/A</v>
      </c>
      <c r="J134" s="534" t="e">
        <f>IF(F106+F134=G134,"","Reserves level at end of March does not equal appropriations (line816) added or taken from figure on 1 April")</f>
        <v>#N/A</v>
      </c>
      <c r="K134" s="517" t="e">
        <f t="shared" si="111"/>
        <v>#N/A</v>
      </c>
      <c r="L134" s="511"/>
      <c r="M134" s="511" t="str">
        <f>IF(AM134="Warning","This year's closing balance figure is over "&amp;AE134/1000&amp;" million and "&amp;(AD134*100)&amp;"% different to "&amp;TEXT(AF134,"#,###")&amp;" last year, please explain","")</f>
        <v/>
      </c>
      <c r="N134" s="511"/>
      <c r="O134" s="511"/>
      <c r="P134" s="634"/>
      <c r="Q134" s="609"/>
      <c r="R134" s="609"/>
      <c r="S134" s="1096" t="e">
        <f>IF(F106+F134=G134,0,1)</f>
        <v>#N/A</v>
      </c>
      <c r="T134" s="631">
        <f>VLOOKUP("RS"&amp;$B134,data_val_parameters,8,0)/100</f>
        <v>0.55000000000000004</v>
      </c>
      <c r="U134" s="631">
        <f t="shared" si="100"/>
        <v>20000</v>
      </c>
      <c r="V134" s="631" t="e">
        <f t="shared" si="101"/>
        <v>#N/A</v>
      </c>
      <c r="W134" s="631" t="e">
        <f t="shared" si="117"/>
        <v>#N/A</v>
      </c>
      <c r="X134" s="631" t="e">
        <f t="shared" si="118"/>
        <v>#N/A</v>
      </c>
      <c r="Y134" s="631" t="e">
        <f t="shared" si="119"/>
        <v>#N/A</v>
      </c>
      <c r="Z134" s="631" t="e">
        <f t="shared" si="120"/>
        <v>#N/A</v>
      </c>
      <c r="AA134" s="631" t="e">
        <f>IF(OR(F134&lt;X134,F134&gt;W134),"Warning","")</f>
        <v>#N/A</v>
      </c>
      <c r="AB134" s="631" t="e">
        <f>IF(OR(F134&gt;(Y134),F134&lt;(Z134)),"Warning","")</f>
        <v>#N/A</v>
      </c>
      <c r="AC134" s="631" t="e">
        <f>IF(OR(F134=0),"",IF(AND(AA134="Warning",AB134="Warning"),"Warning",""))</f>
        <v>#N/A</v>
      </c>
      <c r="AD134" s="609">
        <f>VLOOKUP("RS"&amp;$B134,data_val_parameters,8,0)/100</f>
        <v>0.55000000000000004</v>
      </c>
      <c r="AE134" s="609">
        <f t="shared" si="106"/>
        <v>20000</v>
      </c>
      <c r="AF134" s="609" t="e">
        <f>VLOOKUP(LA_code,data_prev_year,MATCH("RS"&amp;$B134&amp;"2",data_prev_year_headers,0),0)</f>
        <v>#N/A</v>
      </c>
      <c r="AG134" s="609" t="e">
        <f t="shared" si="107"/>
        <v>#N/A</v>
      </c>
      <c r="AH134" s="609" t="e">
        <f t="shared" si="108"/>
        <v>#N/A</v>
      </c>
      <c r="AI134" s="609" t="e">
        <f t="shared" si="109"/>
        <v>#N/A</v>
      </c>
      <c r="AJ134" s="609" t="e">
        <f t="shared" si="110"/>
        <v>#N/A</v>
      </c>
      <c r="AK134" s="609" t="e">
        <f>IF(OR(P134&lt;AH134,P134&gt;AG134),"Warning","")</f>
        <v>#N/A</v>
      </c>
      <c r="AL134" s="609" t="e">
        <f>IF(OR(P134&gt;(AI134),P134&lt;(AJ134)),"Warning","")</f>
        <v>#N/A</v>
      </c>
      <c r="AM134" s="609" t="str">
        <f>IF(OR(P134=0),"",IF(AND(AK134="Warning",AL134="Warning"),"Warning",""))</f>
        <v/>
      </c>
      <c r="AN134" s="609"/>
      <c r="AO134" s="609"/>
      <c r="AP134" s="609"/>
      <c r="AQ134" s="609"/>
    </row>
    <row r="135" spans="1:43" ht="15.5" x14ac:dyDescent="0.35">
      <c r="A135" t="s">
        <v>299</v>
      </c>
      <c r="B135" s="92">
        <v>920</v>
      </c>
      <c r="C135" s="92" t="s">
        <v>300</v>
      </c>
      <c r="D135" s="92"/>
      <c r="E135" s="6"/>
      <c r="F135" s="1258"/>
      <c r="G135" s="328"/>
      <c r="I135" s="541"/>
      <c r="J135" s="542"/>
      <c r="K135" s="509" t="str">
        <f>IF(AC135="Warning","This year's figure is over "&amp;U135/1000&amp;" million and "&amp;(T135*100)&amp;"% different to "&amp;TEXT(V135,"#,###")&amp;" last year, please explain","")</f>
        <v/>
      </c>
      <c r="L135" s="511"/>
      <c r="M135" s="511"/>
      <c r="N135" s="511"/>
      <c r="O135" s="511"/>
      <c r="P135" s="608"/>
      <c r="Q135" s="609"/>
      <c r="R135" s="609"/>
      <c r="S135" s="1088"/>
      <c r="T135" s="631">
        <f>VLOOKUP("RS"&amp;$B135,data_val_parameters,8,0)/100</f>
        <v>0.4</v>
      </c>
      <c r="U135" s="631">
        <f t="shared" si="100"/>
        <v>4000</v>
      </c>
      <c r="V135" s="631" t="e">
        <f t="shared" si="101"/>
        <v>#N/A</v>
      </c>
      <c r="W135" s="631" t="e">
        <f t="shared" ref="W135" si="124">V135+U135</f>
        <v>#N/A</v>
      </c>
      <c r="X135" s="631" t="e">
        <f t="shared" ref="X135" si="125">V135-U135</f>
        <v>#N/A</v>
      </c>
      <c r="Y135" s="631" t="e">
        <f t="shared" ref="Y135" si="126">V135+(V135*T135)</f>
        <v>#N/A</v>
      </c>
      <c r="Z135" s="631" t="e">
        <f t="shared" ref="Z135" si="127">V135-(V135*T135)</f>
        <v>#N/A</v>
      </c>
      <c r="AA135" s="631" t="e">
        <f>IF(OR(F135&lt;X135,F135&gt;W135),"Warning","")</f>
        <v>#N/A</v>
      </c>
      <c r="AB135" s="631" t="e">
        <f>IF(OR(F135&gt;(Y135),F135&lt;(Z135)),"Warning","")</f>
        <v>#N/A</v>
      </c>
      <c r="AC135" s="631" t="str">
        <f>IF(OR(F135=0),"",IF(AND(AA135="Warning",AB135="Warning"),"Warning",""))</f>
        <v/>
      </c>
      <c r="AD135" s="609"/>
      <c r="AE135" s="609"/>
      <c r="AF135" s="609"/>
      <c r="AG135" s="609"/>
      <c r="AH135" s="609"/>
      <c r="AI135" s="609"/>
      <c r="AJ135" s="609"/>
      <c r="AK135" s="609"/>
      <c r="AL135" s="609"/>
      <c r="AM135" s="609"/>
      <c r="AN135" s="609"/>
      <c r="AO135" s="609"/>
      <c r="AP135" s="609"/>
      <c r="AQ135" s="609"/>
    </row>
    <row r="136" spans="1:43" ht="15.5" x14ac:dyDescent="0.35">
      <c r="B136" s="165" t="s">
        <v>301</v>
      </c>
      <c r="C136" s="46"/>
      <c r="D136" s="46"/>
      <c r="E136" s="46"/>
      <c r="F136" s="24"/>
      <c r="G136" s="329"/>
      <c r="H136" s="164"/>
      <c r="I136" s="541"/>
      <c r="J136" s="522"/>
      <c r="K136" s="511"/>
      <c r="L136" s="511"/>
      <c r="M136" s="511"/>
      <c r="N136" s="511"/>
      <c r="O136" s="511"/>
      <c r="P136" s="608"/>
      <c r="Q136" s="609"/>
      <c r="R136" s="609"/>
      <c r="S136" s="631"/>
      <c r="T136" s="631"/>
      <c r="U136" s="631"/>
      <c r="V136" s="631"/>
      <c r="W136" s="631"/>
      <c r="X136" s="631"/>
      <c r="Y136" s="631"/>
      <c r="Z136" s="631"/>
      <c r="AA136" s="631"/>
      <c r="AB136" s="631"/>
      <c r="AC136" s="631"/>
      <c r="AD136" s="609"/>
      <c r="AE136" s="609"/>
      <c r="AF136" s="609"/>
      <c r="AG136" s="609"/>
      <c r="AH136" s="609"/>
      <c r="AI136" s="609"/>
      <c r="AJ136" s="609"/>
      <c r="AK136" s="609"/>
      <c r="AL136" s="609"/>
      <c r="AM136" s="609"/>
      <c r="AN136" s="609"/>
      <c r="AO136" s="609"/>
      <c r="AP136" s="609"/>
      <c r="AQ136" s="609"/>
    </row>
    <row r="137" spans="1:43" ht="15.5" x14ac:dyDescent="0.35">
      <c r="B137" s="165"/>
      <c r="C137" s="46"/>
      <c r="D137" s="46"/>
      <c r="E137" s="46"/>
      <c r="F137" s="24"/>
      <c r="G137" s="548"/>
      <c r="H137" s="164"/>
      <c r="I137" s="541"/>
      <c r="J137" s="522"/>
      <c r="K137" s="511"/>
      <c r="L137" s="511"/>
      <c r="M137" s="511"/>
      <c r="N137" s="511"/>
      <c r="O137" s="511"/>
      <c r="P137" s="608"/>
      <c r="Q137" s="609"/>
      <c r="R137" s="609"/>
      <c r="S137" s="631"/>
      <c r="T137" s="631"/>
      <c r="U137" s="631"/>
      <c r="V137" s="631"/>
      <c r="W137" s="631"/>
      <c r="X137" s="631"/>
      <c r="Y137" s="631"/>
      <c r="Z137" s="631"/>
      <c r="AA137" s="631"/>
      <c r="AB137" s="631"/>
      <c r="AC137" s="631"/>
      <c r="AD137" s="609"/>
      <c r="AE137" s="609"/>
      <c r="AF137" s="609"/>
      <c r="AG137" s="609"/>
      <c r="AH137" s="609"/>
      <c r="AI137" s="609"/>
      <c r="AJ137" s="609"/>
      <c r="AK137" s="609"/>
      <c r="AL137" s="609"/>
      <c r="AM137" s="609"/>
      <c r="AN137" s="609"/>
      <c r="AO137" s="609"/>
      <c r="AP137" s="609"/>
      <c r="AQ137" s="609"/>
    </row>
    <row r="138" spans="1:43" ht="17.25" customHeight="1" x14ac:dyDescent="0.4">
      <c r="B138" s="32" t="s">
        <v>302</v>
      </c>
      <c r="C138" s="87"/>
      <c r="D138" s="166"/>
      <c r="E138" s="162"/>
      <c r="F138" s="2"/>
      <c r="G138" s="549"/>
      <c r="H138" s="164"/>
      <c r="I138" s="541"/>
      <c r="J138" s="522"/>
      <c r="K138" s="511"/>
      <c r="L138" s="511"/>
      <c r="M138" s="511"/>
      <c r="N138" s="511"/>
      <c r="O138" s="511"/>
      <c r="P138" s="608"/>
      <c r="Q138" s="609"/>
      <c r="R138" s="609"/>
      <c r="S138" s="1088"/>
      <c r="T138" s="631"/>
      <c r="U138" s="631"/>
      <c r="V138" s="631"/>
      <c r="W138" s="631"/>
      <c r="X138" s="631"/>
      <c r="Y138" s="631"/>
      <c r="Z138" s="631"/>
      <c r="AA138" s="631"/>
      <c r="AB138" s="631"/>
      <c r="AC138" s="631"/>
      <c r="AD138" s="609"/>
      <c r="AE138" s="609"/>
      <c r="AF138" s="609"/>
      <c r="AG138" s="609"/>
      <c r="AH138" s="609"/>
      <c r="AI138" s="609"/>
      <c r="AJ138" s="609"/>
      <c r="AK138" s="609"/>
      <c r="AL138" s="609"/>
      <c r="AM138" s="609"/>
      <c r="AN138" s="609"/>
      <c r="AO138" s="609"/>
      <c r="AP138" s="609"/>
      <c r="AQ138" s="609"/>
    </row>
    <row r="139" spans="1:43" ht="17.25" customHeight="1" x14ac:dyDescent="0.35">
      <c r="B139" s="167"/>
      <c r="C139" s="166"/>
      <c r="D139" s="166"/>
      <c r="E139" s="162"/>
      <c r="F139" s="348" t="s">
        <v>60</v>
      </c>
      <c r="G139" s="330"/>
      <c r="H139" s="164"/>
      <c r="I139" s="541"/>
      <c r="J139" s="522"/>
      <c r="K139" s="511"/>
      <c r="L139" s="511"/>
      <c r="M139" s="511"/>
      <c r="N139" s="511"/>
      <c r="O139" s="511"/>
      <c r="P139" s="608"/>
      <c r="Q139" s="609"/>
      <c r="R139" s="609"/>
      <c r="S139" s="1088"/>
      <c r="T139" s="631"/>
      <c r="U139" s="631"/>
      <c r="V139" s="631"/>
      <c r="W139" s="631"/>
      <c r="X139" s="631"/>
      <c r="Y139" s="631"/>
      <c r="Z139" s="631"/>
      <c r="AA139" s="631"/>
      <c r="AB139" s="631"/>
      <c r="AC139" s="631"/>
      <c r="AD139" s="609"/>
      <c r="AE139" s="609"/>
      <c r="AF139" s="609"/>
      <c r="AG139" s="609"/>
      <c r="AH139" s="609"/>
      <c r="AI139" s="609"/>
      <c r="AJ139" s="609"/>
      <c r="AK139" s="609"/>
      <c r="AL139" s="609"/>
      <c r="AM139" s="609"/>
      <c r="AN139" s="609"/>
      <c r="AO139" s="609"/>
      <c r="AP139" s="609"/>
      <c r="AQ139" s="609"/>
    </row>
    <row r="140" spans="1:43" ht="15.5" x14ac:dyDescent="0.35">
      <c r="A140" t="s">
        <v>303</v>
      </c>
      <c r="B140" s="441">
        <v>931</v>
      </c>
      <c r="C140" s="441" t="s">
        <v>304</v>
      </c>
      <c r="D140" s="441"/>
      <c r="E140" s="24"/>
      <c r="F140" s="1222"/>
      <c r="G140" s="1175" t="str">
        <f t="shared" ref="G140:G151" si="128">IF(ISERROR(H140),"",IF((H140="Error"),"add explanation",IF((H140="Warning"),"add explanation","")))</f>
        <v/>
      </c>
      <c r="H140" s="113" t="str">
        <f>IF(AC140="Warning","Warning","")</f>
        <v/>
      </c>
      <c r="I140" s="536" t="str">
        <f>IF(H140="Warning","This year's figure is over "&amp;U140/1000&amp;" million and "&amp;(T140*100)&amp;"% different to "&amp;TEXT(V140,"#,###")&amp;" last year, please explain","")</f>
        <v/>
      </c>
      <c r="J140" s="522"/>
      <c r="K140" s="511"/>
      <c r="L140" s="511"/>
      <c r="M140" s="511"/>
      <c r="N140" s="511"/>
      <c r="O140" s="511"/>
      <c r="P140" s="608"/>
      <c r="Q140" s="609"/>
      <c r="R140" s="609"/>
      <c r="S140" s="1088"/>
      <c r="T140" s="631">
        <f>VLOOKUP("RS"&amp;$B140,data_val_parameters,8,0)/100</f>
        <v>0.65</v>
      </c>
      <c r="U140" s="631">
        <f t="shared" ref="U140:U150" si="129">VLOOKUP("RS"&amp;$B140,data_val_parameters,7,0)</f>
        <v>15000</v>
      </c>
      <c r="V140" s="631" t="e">
        <f>VLOOKUP(LA_code,data_prev_year,MATCH("RS"&amp;$B140&amp;"1",data_prev_year_headers,0),0)</f>
        <v>#N/A</v>
      </c>
      <c r="W140" s="631" t="e">
        <f t="shared" ref="W140" si="130">V140+U140</f>
        <v>#N/A</v>
      </c>
      <c r="X140" s="631" t="e">
        <f t="shared" ref="X140" si="131">V140-U140</f>
        <v>#N/A</v>
      </c>
      <c r="Y140" s="631" t="e">
        <f t="shared" ref="Y140" si="132">V140+(V140*T140)</f>
        <v>#N/A</v>
      </c>
      <c r="Z140" s="631" t="e">
        <f t="shared" ref="Z140" si="133">V140-(V140*T140)</f>
        <v>#N/A</v>
      </c>
      <c r="AA140" s="631" t="e">
        <f>IF(OR(F140&lt;X140,F140&gt;W140),"Warning","")</f>
        <v>#N/A</v>
      </c>
      <c r="AB140" s="631" t="e">
        <f>IF(OR(F140&gt;(Y140),F140&lt;(Z140)),"Warning","")</f>
        <v>#N/A</v>
      </c>
      <c r="AC140" s="631" t="str">
        <f>IF(OR(F140=0),"",IF(AND(AA140="Warning",AB140="Warning"),"Warning",""))</f>
        <v/>
      </c>
      <c r="AD140" s="609"/>
      <c r="AE140" s="609"/>
      <c r="AF140" s="609"/>
      <c r="AG140" s="609"/>
      <c r="AH140" s="609"/>
      <c r="AI140" s="609"/>
      <c r="AJ140" s="609"/>
      <c r="AK140" s="609"/>
      <c r="AL140" s="609"/>
      <c r="AM140" s="609"/>
      <c r="AN140" s="609"/>
      <c r="AO140" s="609"/>
      <c r="AP140" s="609"/>
      <c r="AQ140" s="609"/>
    </row>
    <row r="141" spans="1:43" ht="15.5" x14ac:dyDescent="0.35">
      <c r="A141" t="s">
        <v>305</v>
      </c>
      <c r="B141" s="441">
        <v>933</v>
      </c>
      <c r="C141" s="399" t="s">
        <v>306</v>
      </c>
      <c r="D141" s="399"/>
      <c r="E141" s="24"/>
      <c r="F141" s="1222"/>
      <c r="G141" s="1175" t="str">
        <f t="shared" si="128"/>
        <v/>
      </c>
      <c r="H141" s="113" t="str">
        <f t="shared" ref="H141:H150" si="134">IF(AC141="Warning","Warning","")</f>
        <v/>
      </c>
      <c r="I141" s="536" t="str">
        <f>IF(H141="Warning","This year's figure is over "&amp;U141/1000&amp;" million and "&amp;(T141*100)&amp;"% different to "&amp;TEXT(V141,"#,###")&amp;" last year, please explain","")</f>
        <v/>
      </c>
      <c r="J141" s="522"/>
      <c r="K141" s="511"/>
      <c r="L141" s="511"/>
      <c r="M141" s="511"/>
      <c r="N141" s="511"/>
      <c r="O141" s="511"/>
      <c r="P141" s="608"/>
      <c r="Q141" s="609"/>
      <c r="R141" s="609"/>
      <c r="S141" s="1088"/>
      <c r="T141" s="631">
        <f>VLOOKUP("RS"&amp;$B141,data_val_parameters,8,0)/100</f>
        <v>0.65</v>
      </c>
      <c r="U141" s="631">
        <f t="shared" si="129"/>
        <v>15000</v>
      </c>
      <c r="V141" s="631" t="e">
        <f>VLOOKUP(LA_code,data_prev_year,MATCH("RS"&amp;$B141&amp;"1",data_prev_year_headers,0),0)</f>
        <v>#N/A</v>
      </c>
      <c r="W141" s="631" t="e">
        <f t="shared" ref="W141:W150" si="135">V141+U141</f>
        <v>#N/A</v>
      </c>
      <c r="X141" s="631" t="e">
        <f t="shared" ref="X141:X150" si="136">V141-U141</f>
        <v>#N/A</v>
      </c>
      <c r="Y141" s="631" t="e">
        <f t="shared" ref="Y141:Y150" si="137">V141+(V141*T141)</f>
        <v>#N/A</v>
      </c>
      <c r="Z141" s="631" t="e">
        <f t="shared" ref="Z141:Z150" si="138">V141-(V141*T141)</f>
        <v>#N/A</v>
      </c>
      <c r="AA141" s="631" t="e">
        <f>IF(OR(F141&lt;X141,F141&gt;W141),"Warning","")</f>
        <v>#N/A</v>
      </c>
      <c r="AB141" s="631" t="e">
        <f>IF(OR(F141&gt;(Y141),F141&lt;(Z141)),"Warning","")</f>
        <v>#N/A</v>
      </c>
      <c r="AC141" s="631" t="str">
        <f>IF(OR(F141=0),"",IF(AND(AA141="Warning",AB141="Warning"),"Warning",""))</f>
        <v/>
      </c>
      <c r="AD141" s="609"/>
      <c r="AE141" s="609"/>
      <c r="AF141" s="609"/>
      <c r="AG141" s="609"/>
      <c r="AH141" s="609"/>
      <c r="AI141" s="609"/>
      <c r="AJ141" s="609"/>
      <c r="AK141" s="609"/>
      <c r="AL141" s="609"/>
      <c r="AM141" s="609"/>
      <c r="AN141" s="609"/>
      <c r="AO141" s="609"/>
      <c r="AP141" s="609"/>
      <c r="AQ141" s="609"/>
    </row>
    <row r="142" spans="1:43" ht="15.5" x14ac:dyDescent="0.35">
      <c r="A142" t="s">
        <v>307</v>
      </c>
      <c r="B142" s="441">
        <v>943</v>
      </c>
      <c r="C142" s="399" t="s">
        <v>308</v>
      </c>
      <c r="D142" s="399"/>
      <c r="E142" s="24"/>
      <c r="F142" s="1222"/>
      <c r="G142" s="1175"/>
      <c r="H142" s="113"/>
      <c r="I142" s="536"/>
      <c r="J142" s="522"/>
      <c r="K142" s="511"/>
      <c r="L142" s="511"/>
      <c r="M142" s="511"/>
      <c r="N142" s="511"/>
      <c r="O142" s="511"/>
      <c r="P142" s="608"/>
      <c r="Q142" s="609"/>
      <c r="R142" s="609"/>
      <c r="S142" s="1088"/>
      <c r="T142" s="631"/>
      <c r="U142" s="631"/>
      <c r="V142" s="631"/>
      <c r="W142" s="631"/>
      <c r="X142" s="631"/>
      <c r="Y142" s="631"/>
      <c r="Z142" s="631"/>
      <c r="AA142" s="631"/>
      <c r="AB142" s="631"/>
      <c r="AC142" s="631"/>
      <c r="AD142" s="609"/>
      <c r="AE142" s="609"/>
      <c r="AF142" s="609"/>
      <c r="AG142" s="609"/>
      <c r="AH142" s="609"/>
      <c r="AI142" s="609"/>
      <c r="AJ142" s="609"/>
      <c r="AK142" s="609"/>
      <c r="AL142" s="609"/>
      <c r="AM142" s="609"/>
      <c r="AN142" s="609"/>
      <c r="AO142" s="609"/>
      <c r="AP142" s="609"/>
      <c r="AQ142" s="609"/>
    </row>
    <row r="143" spans="1:43" ht="15.5" x14ac:dyDescent="0.35">
      <c r="A143" t="s">
        <v>309</v>
      </c>
      <c r="B143" s="441">
        <v>944</v>
      </c>
      <c r="C143" s="399" t="s">
        <v>310</v>
      </c>
      <c r="D143" s="399"/>
      <c r="E143" s="24"/>
      <c r="F143" s="1222"/>
      <c r="G143" s="1175"/>
      <c r="H143" s="113"/>
      <c r="I143" s="536"/>
      <c r="J143" s="522"/>
      <c r="K143" s="511"/>
      <c r="L143" s="511"/>
      <c r="M143" s="511"/>
      <c r="N143" s="511"/>
      <c r="O143" s="511"/>
      <c r="P143" s="608"/>
      <c r="Q143" s="609"/>
      <c r="R143" s="609"/>
      <c r="S143" s="1088"/>
      <c r="T143" s="631"/>
      <c r="U143" s="631"/>
      <c r="V143" s="631"/>
      <c r="W143" s="631"/>
      <c r="X143" s="631"/>
      <c r="Y143" s="631"/>
      <c r="Z143" s="631"/>
      <c r="AA143" s="631"/>
      <c r="AB143" s="631"/>
      <c r="AC143" s="631"/>
      <c r="AD143" s="609"/>
      <c r="AE143" s="609"/>
      <c r="AF143" s="609"/>
      <c r="AG143" s="609"/>
      <c r="AH143" s="609"/>
      <c r="AI143" s="609"/>
      <c r="AJ143" s="609"/>
      <c r="AK143" s="609"/>
      <c r="AL143" s="609"/>
      <c r="AM143" s="609"/>
      <c r="AN143" s="609"/>
      <c r="AO143" s="609"/>
      <c r="AP143" s="609"/>
      <c r="AQ143" s="609"/>
    </row>
    <row r="144" spans="1:43" ht="15.5" x14ac:dyDescent="0.35">
      <c r="A144" t="s">
        <v>311</v>
      </c>
      <c r="B144" s="441">
        <v>934</v>
      </c>
      <c r="C144" s="399" t="s">
        <v>312</v>
      </c>
      <c r="D144" s="399"/>
      <c r="E144" s="24"/>
      <c r="F144" s="1222"/>
      <c r="G144" s="1175" t="str">
        <f t="shared" si="128"/>
        <v/>
      </c>
      <c r="H144" s="113" t="str">
        <f t="shared" si="134"/>
        <v/>
      </c>
      <c r="I144" s="536" t="str">
        <f>IF(H144="Warning","This year's figure is over "&amp;U144/1000&amp;" million and "&amp;(T144*100)&amp;"% different to "&amp;TEXT(V144,"#,###")&amp;" last year, please explain","")</f>
        <v/>
      </c>
      <c r="J144" s="522"/>
      <c r="K144" s="511"/>
      <c r="L144" s="511"/>
      <c r="M144" s="511"/>
      <c r="N144" s="511"/>
      <c r="O144" s="511"/>
      <c r="P144" s="608"/>
      <c r="Q144" s="609"/>
      <c r="R144" s="609"/>
      <c r="S144" s="1088"/>
      <c r="T144" s="631">
        <f>VLOOKUP("RS"&amp;$B144,data_val_parameters,8,0)/100</f>
        <v>0.65</v>
      </c>
      <c r="U144" s="631">
        <f t="shared" si="129"/>
        <v>30000</v>
      </c>
      <c r="V144" s="631" t="e">
        <f>VLOOKUP(LA_code,data_prev_year,MATCH("RS"&amp;$B144&amp;"1",data_prev_year_headers,0),0)</f>
        <v>#N/A</v>
      </c>
      <c r="W144" s="631" t="e">
        <f t="shared" si="135"/>
        <v>#N/A</v>
      </c>
      <c r="X144" s="631" t="e">
        <f t="shared" si="136"/>
        <v>#N/A</v>
      </c>
      <c r="Y144" s="631" t="e">
        <f t="shared" si="137"/>
        <v>#N/A</v>
      </c>
      <c r="Z144" s="631" t="e">
        <f t="shared" si="138"/>
        <v>#N/A</v>
      </c>
      <c r="AA144" s="631" t="e">
        <f>IF(OR(F144&lt;X144,F144&gt;W144),"Warning","")</f>
        <v>#N/A</v>
      </c>
      <c r="AB144" s="631" t="e">
        <f>IF(OR(F144&gt;(Y144),F144&lt;(Z144)),"Warning","")</f>
        <v>#N/A</v>
      </c>
      <c r="AC144" s="631" t="str">
        <f>IF(OR(F144=0),"",IF(AND(AA144="Warning",AB144="Warning"),"Warning",""))</f>
        <v/>
      </c>
      <c r="AD144" s="609"/>
      <c r="AE144" s="609"/>
      <c r="AF144" s="609"/>
      <c r="AG144" s="609"/>
      <c r="AH144" s="609"/>
      <c r="AI144" s="609"/>
      <c r="AJ144" s="609"/>
      <c r="AK144" s="609"/>
      <c r="AL144" s="609"/>
      <c r="AM144" s="609"/>
      <c r="AN144" s="609"/>
      <c r="AO144" s="609"/>
      <c r="AP144" s="609"/>
      <c r="AQ144" s="609"/>
    </row>
    <row r="145" spans="1:95" ht="15.5" x14ac:dyDescent="0.35">
      <c r="A145" t="s">
        <v>313</v>
      </c>
      <c r="B145" s="441">
        <v>945</v>
      </c>
      <c r="C145" s="399" t="s">
        <v>314</v>
      </c>
      <c r="D145" s="399"/>
      <c r="E145" s="24"/>
      <c r="F145" s="1222"/>
      <c r="G145" s="1175"/>
      <c r="H145" s="113"/>
      <c r="I145" s="536"/>
      <c r="J145" s="522"/>
      <c r="K145" s="511"/>
      <c r="L145" s="511"/>
      <c r="M145" s="511"/>
      <c r="N145" s="511"/>
      <c r="O145" s="511"/>
      <c r="P145" s="608"/>
      <c r="Q145" s="609"/>
      <c r="R145" s="609"/>
      <c r="S145" s="1088"/>
      <c r="T145" s="631"/>
      <c r="U145" s="631"/>
      <c r="V145" s="631"/>
      <c r="W145" s="631"/>
      <c r="X145" s="631"/>
      <c r="Y145" s="631"/>
      <c r="Z145" s="631"/>
      <c r="AA145" s="631"/>
      <c r="AB145" s="631"/>
      <c r="AC145" s="631"/>
      <c r="AD145" s="609"/>
      <c r="AE145" s="609"/>
      <c r="AF145" s="609"/>
      <c r="AG145" s="609"/>
      <c r="AH145" s="609"/>
      <c r="AI145" s="609"/>
      <c r="AJ145" s="609"/>
      <c r="AK145" s="609"/>
      <c r="AL145" s="609"/>
      <c r="AM145" s="609"/>
      <c r="AN145" s="609"/>
      <c r="AO145" s="609"/>
      <c r="AP145" s="609"/>
      <c r="AQ145" s="609"/>
    </row>
    <row r="146" spans="1:95" ht="15.5" x14ac:dyDescent="0.35">
      <c r="A146" t="s">
        <v>315</v>
      </c>
      <c r="B146" s="441">
        <v>946</v>
      </c>
      <c r="C146" s="399" t="s">
        <v>316</v>
      </c>
      <c r="D146" s="399"/>
      <c r="E146" s="24"/>
      <c r="F146" s="1222"/>
      <c r="G146" s="1175"/>
      <c r="H146" s="113"/>
      <c r="I146" s="536"/>
      <c r="J146" s="522"/>
      <c r="K146" s="511"/>
      <c r="L146" s="511"/>
      <c r="M146" s="511"/>
      <c r="N146" s="511"/>
      <c r="O146" s="511"/>
      <c r="P146" s="608"/>
      <c r="Q146" s="609"/>
      <c r="R146" s="609"/>
      <c r="S146" s="1088"/>
      <c r="T146" s="631"/>
      <c r="U146" s="631"/>
      <c r="V146" s="631"/>
      <c r="W146" s="631"/>
      <c r="X146" s="631"/>
      <c r="Y146" s="631"/>
      <c r="Z146" s="631"/>
      <c r="AA146" s="631"/>
      <c r="AB146" s="631"/>
      <c r="AC146" s="631"/>
      <c r="AD146" s="609"/>
      <c r="AE146" s="609"/>
      <c r="AF146" s="609"/>
      <c r="AG146" s="609"/>
      <c r="AH146" s="609"/>
      <c r="AI146" s="609"/>
      <c r="AJ146" s="609"/>
      <c r="AK146" s="609"/>
      <c r="AL146" s="609"/>
      <c r="AM146" s="609"/>
      <c r="AN146" s="609"/>
      <c r="AO146" s="609"/>
      <c r="AP146" s="609"/>
      <c r="AQ146" s="609"/>
    </row>
    <row r="147" spans="1:95" ht="15.5" x14ac:dyDescent="0.35">
      <c r="A147" t="s">
        <v>317</v>
      </c>
      <c r="B147" s="441">
        <v>947</v>
      </c>
      <c r="C147" s="399" t="s">
        <v>318</v>
      </c>
      <c r="D147" s="399"/>
      <c r="E147" s="24"/>
      <c r="F147" s="1222"/>
      <c r="G147" s="1175"/>
      <c r="H147" s="113"/>
      <c r="I147" s="536"/>
      <c r="J147" s="522"/>
      <c r="K147" s="511"/>
      <c r="L147" s="511"/>
      <c r="M147" s="511"/>
      <c r="N147" s="511"/>
      <c r="O147" s="511"/>
      <c r="P147" s="608"/>
      <c r="Q147" s="609"/>
      <c r="R147" s="609"/>
      <c r="S147" s="1088"/>
      <c r="T147" s="631"/>
      <c r="U147" s="631"/>
      <c r="V147" s="631"/>
      <c r="W147" s="631"/>
      <c r="X147" s="631"/>
      <c r="Y147" s="631"/>
      <c r="Z147" s="631"/>
      <c r="AA147" s="631"/>
      <c r="AB147" s="631"/>
      <c r="AC147" s="631"/>
      <c r="AD147" s="609"/>
      <c r="AE147" s="609"/>
      <c r="AF147" s="609"/>
      <c r="AG147" s="609"/>
      <c r="AH147" s="609"/>
      <c r="AI147" s="609"/>
      <c r="AJ147" s="609"/>
      <c r="AK147" s="609"/>
      <c r="AL147" s="609"/>
      <c r="AM147" s="609"/>
      <c r="AN147" s="609"/>
      <c r="AO147" s="609"/>
      <c r="AP147" s="609"/>
      <c r="AQ147" s="609"/>
    </row>
    <row r="148" spans="1:95" ht="15.5" x14ac:dyDescent="0.35">
      <c r="A148" t="s">
        <v>319</v>
      </c>
      <c r="B148" s="441">
        <v>948</v>
      </c>
      <c r="C148" s="399" t="s">
        <v>320</v>
      </c>
      <c r="D148" s="399"/>
      <c r="E148" s="24"/>
      <c r="F148" s="1222"/>
      <c r="G148" s="1175"/>
      <c r="H148" s="113"/>
      <c r="I148" s="536"/>
      <c r="J148" s="522"/>
      <c r="K148" s="511"/>
      <c r="L148" s="511"/>
      <c r="M148" s="511"/>
      <c r="N148" s="511"/>
      <c r="O148" s="511"/>
      <c r="P148" s="608"/>
      <c r="Q148" s="609"/>
      <c r="R148" s="609"/>
      <c r="S148" s="1088"/>
      <c r="T148" s="631"/>
      <c r="U148" s="631"/>
      <c r="V148" s="631"/>
      <c r="W148" s="631"/>
      <c r="X148" s="631"/>
      <c r="Y148" s="631"/>
      <c r="Z148" s="631"/>
      <c r="AA148" s="631"/>
      <c r="AB148" s="631"/>
      <c r="AC148" s="631"/>
      <c r="AD148" s="609"/>
      <c r="AE148" s="609"/>
      <c r="AF148" s="609"/>
      <c r="AG148" s="609"/>
      <c r="AH148" s="609"/>
      <c r="AI148" s="609"/>
      <c r="AJ148" s="609"/>
      <c r="AK148" s="609"/>
      <c r="AL148" s="609"/>
      <c r="AM148" s="609"/>
      <c r="AN148" s="609"/>
      <c r="AO148" s="609"/>
      <c r="AP148" s="609"/>
      <c r="AQ148" s="609"/>
    </row>
    <row r="149" spans="1:95" ht="15.5" x14ac:dyDescent="0.35">
      <c r="A149" t="s">
        <v>321</v>
      </c>
      <c r="B149" s="441">
        <v>935</v>
      </c>
      <c r="C149" s="399" t="s">
        <v>322</v>
      </c>
      <c r="D149" s="399"/>
      <c r="E149" s="24"/>
      <c r="F149" s="1222"/>
      <c r="G149" s="1175" t="str">
        <f t="shared" si="128"/>
        <v/>
      </c>
      <c r="H149" s="113" t="str">
        <f t="shared" si="134"/>
        <v/>
      </c>
      <c r="I149" s="536" t="str">
        <f>IF(H149="Warning","This year's figure is over "&amp;U149/1000&amp;" million and "&amp;(T149*100)&amp;"% different to "&amp;TEXT(V149,"#,###")&amp;" last year, please explain","")</f>
        <v/>
      </c>
      <c r="J149" s="522"/>
      <c r="K149" s="511"/>
      <c r="L149" s="511"/>
      <c r="M149" s="511"/>
      <c r="N149" s="511"/>
      <c r="O149" s="511"/>
      <c r="P149" s="608"/>
      <c r="Q149" s="609"/>
      <c r="R149" s="609"/>
      <c r="S149" s="1088"/>
      <c r="T149" s="631">
        <f>VLOOKUP("RS"&amp;$B149,data_val_parameters,8,0)/100</f>
        <v>0.65</v>
      </c>
      <c r="U149" s="631">
        <f t="shared" si="129"/>
        <v>10000</v>
      </c>
      <c r="V149" s="631" t="e">
        <f>VLOOKUP(LA_code,data_prev_year,MATCH("RS"&amp;$B149&amp;"1",data_prev_year_headers,0),0)</f>
        <v>#N/A</v>
      </c>
      <c r="W149" s="631" t="e">
        <f t="shared" si="135"/>
        <v>#N/A</v>
      </c>
      <c r="X149" s="631" t="e">
        <f t="shared" si="136"/>
        <v>#N/A</v>
      </c>
      <c r="Y149" s="631" t="e">
        <f t="shared" si="137"/>
        <v>#N/A</v>
      </c>
      <c r="Z149" s="631" t="e">
        <f t="shared" si="138"/>
        <v>#N/A</v>
      </c>
      <c r="AA149" s="631" t="e">
        <f>IF(OR(F149&lt;X149,F149&gt;W149),"Warning","")</f>
        <v>#N/A</v>
      </c>
      <c r="AB149" s="631" t="e">
        <f>IF(OR(F149&gt;(Y149),F149&lt;(Z149)),"Warning","")</f>
        <v>#N/A</v>
      </c>
      <c r="AC149" s="631" t="str">
        <f>IF(OR(F149=0),"",IF(AND(AA149="Warning",AB149="Warning"),"Warning",""))</f>
        <v/>
      </c>
      <c r="AD149" s="609"/>
      <c r="AE149" s="609"/>
      <c r="AF149" s="609"/>
      <c r="AG149" s="609"/>
      <c r="AH149" s="609"/>
      <c r="AI149" s="609"/>
      <c r="AJ149" s="609"/>
      <c r="AK149" s="609"/>
      <c r="AL149" s="609"/>
      <c r="AM149" s="609"/>
      <c r="AN149" s="609"/>
      <c r="AO149" s="609"/>
      <c r="AP149" s="609"/>
      <c r="AQ149" s="609"/>
    </row>
    <row r="150" spans="1:95" ht="15.5" x14ac:dyDescent="0.35">
      <c r="A150" t="s">
        <v>323</v>
      </c>
      <c r="B150" s="168">
        <v>936</v>
      </c>
      <c r="C150" s="92" t="s">
        <v>324</v>
      </c>
      <c r="D150" s="169"/>
      <c r="E150" s="170"/>
      <c r="F150" s="1222"/>
      <c r="G150" s="1175" t="str">
        <f t="shared" si="128"/>
        <v/>
      </c>
      <c r="H150" s="113" t="str">
        <f t="shared" si="134"/>
        <v/>
      </c>
      <c r="I150" s="536" t="str">
        <f>IF(H150="Warning","This year's figure is over "&amp;U150/1000&amp;" million and "&amp;(T150*100)&amp;"% different to "&amp;TEXT(V150,"#,###")&amp;" last year, please explain","")</f>
        <v/>
      </c>
      <c r="J150" s="522"/>
      <c r="K150" s="511"/>
      <c r="L150" s="511"/>
      <c r="M150" s="511"/>
      <c r="N150" s="511"/>
      <c r="O150" s="511"/>
      <c r="P150" s="608"/>
      <c r="Q150" s="609"/>
      <c r="R150" s="609"/>
      <c r="S150" s="1088"/>
      <c r="T150" s="631">
        <f>VLOOKUP("RS"&amp;$B150,data_val_parameters,8,0)/100</f>
        <v>0.65</v>
      </c>
      <c r="U150" s="631">
        <f t="shared" si="129"/>
        <v>10000</v>
      </c>
      <c r="V150" s="631" t="e">
        <f>VLOOKUP(LA_code,data_prev_year,MATCH("RS"&amp;$B150&amp;"1",data_prev_year_headers,0),0)</f>
        <v>#N/A</v>
      </c>
      <c r="W150" s="631" t="e">
        <f t="shared" si="135"/>
        <v>#N/A</v>
      </c>
      <c r="X150" s="631" t="e">
        <f t="shared" si="136"/>
        <v>#N/A</v>
      </c>
      <c r="Y150" s="631" t="e">
        <f t="shared" si="137"/>
        <v>#N/A</v>
      </c>
      <c r="Z150" s="631" t="e">
        <f t="shared" si="138"/>
        <v>#N/A</v>
      </c>
      <c r="AA150" s="631" t="e">
        <f>IF(OR(F150&lt;X150,F150&gt;W150),"Warning","")</f>
        <v>#N/A</v>
      </c>
      <c r="AB150" s="631" t="e">
        <f>IF(OR(F150&gt;(Y150),F150&lt;(Z150)),"Warning","")</f>
        <v>#N/A</v>
      </c>
      <c r="AC150" s="631" t="str">
        <f>IF(OR(F150=0),"",IF(AND(AA150="Warning",AB150="Warning"),"Warning",""))</f>
        <v/>
      </c>
      <c r="AD150" s="609"/>
      <c r="AE150" s="609"/>
      <c r="AF150" s="609"/>
      <c r="AG150" s="609"/>
      <c r="AH150" s="609"/>
      <c r="AI150" s="609"/>
      <c r="AJ150" s="609"/>
      <c r="AK150" s="609"/>
      <c r="AL150" s="609"/>
      <c r="AM150" s="609"/>
      <c r="AN150" s="609"/>
      <c r="AO150" s="609"/>
      <c r="AP150" s="609"/>
      <c r="AQ150" s="609"/>
    </row>
    <row r="151" spans="1:95" s="34" customFormat="1" ht="17.25" customHeight="1" x14ac:dyDescent="0.35">
      <c r="A151" s="345" t="s">
        <v>325</v>
      </c>
      <c r="B151" s="153">
        <v>939</v>
      </c>
      <c r="C151" s="259" t="s">
        <v>326</v>
      </c>
      <c r="D151" s="171"/>
      <c r="E151" s="68"/>
      <c r="F151" s="1223">
        <f>SUM(F140:F150)</f>
        <v>0</v>
      </c>
      <c r="G151" s="1175" t="str">
        <f t="shared" si="128"/>
        <v/>
      </c>
      <c r="H151" s="106"/>
      <c r="I151" s="543"/>
      <c r="J151" s="526"/>
      <c r="K151" s="511"/>
      <c r="L151" s="515"/>
      <c r="M151" s="515"/>
      <c r="N151" s="515"/>
      <c r="O151" s="515"/>
      <c r="P151" s="622"/>
      <c r="Q151" s="623"/>
      <c r="R151" s="623"/>
      <c r="S151" s="624"/>
      <c r="T151" s="631">
        <f>VLOOKUP("RS"&amp;$B151,data_val_parameters,8,0)/100</f>
        <v>0.5</v>
      </c>
      <c r="U151" s="1095"/>
      <c r="V151" s="623"/>
      <c r="W151" s="623"/>
      <c r="X151" s="623"/>
      <c r="Y151" s="623"/>
      <c r="Z151" s="623"/>
      <c r="AA151" s="623"/>
      <c r="AB151" s="623"/>
      <c r="AC151" s="623"/>
      <c r="AD151" s="623"/>
      <c r="AE151" s="623"/>
      <c r="AF151" s="623"/>
      <c r="AG151" s="623"/>
      <c r="AH151" s="623"/>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3"/>
      <c r="BN151" s="623"/>
      <c r="BO151" s="623"/>
      <c r="BP151" s="623"/>
      <c r="BQ151" s="623"/>
      <c r="BR151" s="623"/>
      <c r="BS151" s="623"/>
      <c r="BT151" s="623"/>
      <c r="BU151" s="623"/>
      <c r="BV151" s="623"/>
      <c r="BW151" s="623"/>
      <c r="BX151" s="623"/>
      <c r="BY151" s="623"/>
      <c r="BZ151" s="623"/>
      <c r="CA151" s="623"/>
      <c r="CB151" s="623"/>
      <c r="CC151" s="623"/>
      <c r="CD151" s="623"/>
      <c r="CE151" s="623"/>
      <c r="CF151" s="623"/>
      <c r="CG151" s="623"/>
      <c r="CH151" s="623"/>
      <c r="CI151" s="623"/>
      <c r="CJ151" s="623"/>
      <c r="CK151" s="623"/>
      <c r="CL151" s="623"/>
      <c r="CM151" s="623"/>
      <c r="CN151" s="623"/>
      <c r="CO151" s="623"/>
      <c r="CP151" s="623"/>
      <c r="CQ151" s="623"/>
    </row>
    <row r="152" spans="1:95" ht="15.5" x14ac:dyDescent="0.35">
      <c r="B152" s="173"/>
      <c r="C152" s="6"/>
      <c r="D152" s="6"/>
      <c r="E152" s="6"/>
      <c r="F152" s="6"/>
      <c r="G152" s="1170"/>
      <c r="H152" s="161"/>
      <c r="I152" s="538"/>
      <c r="J152" s="522"/>
      <c r="K152" s="511"/>
      <c r="L152" s="511"/>
      <c r="M152" s="511"/>
      <c r="N152" s="511"/>
      <c r="O152" s="511"/>
      <c r="P152" s="608"/>
      <c r="Q152" s="609"/>
      <c r="R152" s="609"/>
      <c r="S152" s="1088"/>
      <c r="T152" s="631"/>
      <c r="U152" s="631"/>
      <c r="V152" s="631"/>
      <c r="W152" s="631"/>
      <c r="X152" s="631"/>
      <c r="Y152" s="631"/>
      <c r="Z152" s="631"/>
      <c r="AA152" s="631"/>
      <c r="AB152" s="631"/>
      <c r="AC152" s="631"/>
      <c r="AD152" s="609"/>
      <c r="AE152" s="609"/>
      <c r="AF152" s="609"/>
      <c r="AG152" s="609"/>
      <c r="AH152" s="609"/>
      <c r="AI152" s="609"/>
      <c r="AJ152" s="609"/>
      <c r="AK152" s="609"/>
      <c r="AL152" s="609"/>
      <c r="AM152" s="609"/>
      <c r="AN152" s="609"/>
      <c r="AO152" s="609"/>
      <c r="AP152" s="609"/>
      <c r="AQ152" s="609"/>
    </row>
    <row r="153" spans="1:95" ht="15.5" x14ac:dyDescent="0.35">
      <c r="B153" s="173"/>
      <c r="C153" s="6"/>
      <c r="D153" s="6"/>
      <c r="E153" s="6"/>
      <c r="F153" s="6"/>
      <c r="G153" s="1170"/>
      <c r="H153" s="161"/>
      <c r="I153" s="538"/>
      <c r="J153" s="522"/>
      <c r="K153" s="511"/>
      <c r="L153" s="511"/>
      <c r="M153" s="511"/>
      <c r="N153" s="511"/>
      <c r="O153" s="511"/>
      <c r="P153" s="608"/>
      <c r="Q153" s="609"/>
      <c r="R153" s="609"/>
      <c r="S153" s="1088"/>
      <c r="T153" s="631"/>
      <c r="U153" s="631"/>
      <c r="V153" s="631"/>
      <c r="W153" s="631"/>
      <c r="X153" s="631"/>
      <c r="Y153" s="631"/>
      <c r="Z153" s="631"/>
      <c r="AA153" s="631"/>
      <c r="AB153" s="631"/>
      <c r="AC153" s="631"/>
      <c r="AD153" s="609"/>
      <c r="AE153" s="609"/>
      <c r="AF153" s="609"/>
      <c r="AG153" s="609"/>
      <c r="AH153" s="609"/>
      <c r="AI153" s="609"/>
      <c r="AJ153" s="609"/>
      <c r="AK153" s="609"/>
      <c r="AL153" s="609"/>
      <c r="AM153" s="609"/>
      <c r="AN153" s="609"/>
      <c r="AO153" s="609"/>
      <c r="AP153" s="609"/>
      <c r="AQ153" s="609"/>
    </row>
    <row r="154" spans="1:95" ht="18" x14ac:dyDescent="0.4">
      <c r="B154" s="32" t="s">
        <v>327</v>
      </c>
      <c r="C154" s="6"/>
      <c r="D154" s="6"/>
      <c r="E154" s="6"/>
      <c r="F154" s="6"/>
      <c r="G154" s="1170"/>
      <c r="H154" s="161"/>
      <c r="I154" s="538"/>
      <c r="J154" s="522"/>
      <c r="K154" s="511"/>
      <c r="L154" s="511"/>
      <c r="M154" s="511"/>
      <c r="N154" s="511"/>
      <c r="O154" s="511"/>
      <c r="P154" s="608"/>
      <c r="Q154" s="609"/>
      <c r="R154" s="609"/>
      <c r="S154" s="1088"/>
      <c r="T154" s="631"/>
      <c r="U154" s="631"/>
      <c r="V154" s="631"/>
      <c r="W154" s="631"/>
      <c r="X154" s="631"/>
      <c r="Y154" s="631"/>
      <c r="Z154" s="631"/>
      <c r="AA154" s="631"/>
      <c r="AB154" s="631"/>
      <c r="AC154" s="631"/>
      <c r="AD154" s="609"/>
      <c r="AE154" s="609"/>
      <c r="AF154" s="609"/>
      <c r="AG154" s="609"/>
      <c r="AH154" s="609"/>
      <c r="AI154" s="609"/>
      <c r="AJ154" s="609"/>
      <c r="AK154" s="609"/>
      <c r="AL154" s="609"/>
      <c r="AM154" s="609"/>
      <c r="AN154" s="609"/>
      <c r="AO154" s="609"/>
      <c r="AP154" s="609"/>
      <c r="AQ154" s="609"/>
    </row>
    <row r="155" spans="1:95" ht="15.5" x14ac:dyDescent="0.35">
      <c r="B155" s="174"/>
      <c r="C155" s="6"/>
      <c r="D155" s="6"/>
      <c r="E155" s="6"/>
      <c r="F155" s="75" t="s">
        <v>60</v>
      </c>
      <c r="G155" s="1170"/>
      <c r="H155" s="161"/>
      <c r="I155" s="538"/>
      <c r="J155" s="522"/>
      <c r="K155" s="511"/>
      <c r="L155" s="511"/>
      <c r="M155" s="511"/>
      <c r="N155" s="511"/>
      <c r="O155" s="511"/>
      <c r="P155" s="608"/>
      <c r="Q155" s="609"/>
      <c r="R155" s="609"/>
      <c r="S155" s="1088"/>
      <c r="T155" s="631"/>
      <c r="U155" s="631"/>
      <c r="V155" s="631"/>
      <c r="W155" s="631"/>
      <c r="X155" s="631"/>
      <c r="Y155" s="631"/>
      <c r="Z155" s="631"/>
      <c r="AA155" s="631"/>
      <c r="AB155" s="631"/>
      <c r="AC155" s="631"/>
      <c r="AD155" s="609"/>
      <c r="AE155" s="609"/>
      <c r="AF155" s="609"/>
      <c r="AG155" s="609"/>
      <c r="AH155" s="609"/>
      <c r="AI155" s="609"/>
      <c r="AJ155" s="609"/>
      <c r="AK155" s="609"/>
      <c r="AL155" s="609"/>
      <c r="AM155" s="609"/>
      <c r="AN155" s="609"/>
      <c r="AO155" s="609"/>
      <c r="AP155" s="609"/>
      <c r="AQ155" s="609"/>
    </row>
    <row r="156" spans="1:95" ht="15.5" x14ac:dyDescent="0.35">
      <c r="A156" t="s">
        <v>328</v>
      </c>
      <c r="B156" s="84">
        <v>941</v>
      </c>
      <c r="C156" s="6" t="s">
        <v>329</v>
      </c>
      <c r="D156" s="6"/>
      <c r="E156" s="6"/>
      <c r="F156" s="1222"/>
      <c r="G156" s="1175" t="str">
        <f>IF(ISERROR(H156),"",IF((H156="Error"),"add explanation",IF((H156="Warning"),"add explanation","")))</f>
        <v/>
      </c>
      <c r="H156" s="113" t="str">
        <f>IF(AC156="Warning","Warning","")</f>
        <v/>
      </c>
      <c r="I156" s="536" t="str">
        <f>IF(H156="Warning","This year's figure is over "&amp;U156/1000&amp;" million and "&amp;(T156*100)&amp;"% different to "&amp;TEXT(V156,"#,###")&amp;" last year, please explain","")</f>
        <v/>
      </c>
      <c r="J156" s="522"/>
      <c r="K156" s="511"/>
      <c r="L156" s="511"/>
      <c r="M156" s="511"/>
      <c r="N156" s="511"/>
      <c r="O156" s="511"/>
      <c r="P156" s="608"/>
      <c r="Q156" s="609"/>
      <c r="R156" s="609"/>
      <c r="S156" s="1088"/>
      <c r="T156" s="631">
        <f>VLOOKUP("RS"&amp;$B156,data_val_parameters,8,0)/100</f>
        <v>0.65</v>
      </c>
      <c r="U156" s="631">
        <f t="shared" ref="U156:U157" si="139">VLOOKUP("RS"&amp;$B156,data_val_parameters,7,0)</f>
        <v>20000</v>
      </c>
      <c r="V156" s="631" t="e">
        <f>VLOOKUP(LA_code,data_prev_year,MATCH("RS"&amp;$B156&amp;"1",data_prev_year_headers,0),0)</f>
        <v>#N/A</v>
      </c>
      <c r="W156" s="631" t="e">
        <f t="shared" ref="W156" si="140">V156+U156</f>
        <v>#N/A</v>
      </c>
      <c r="X156" s="631" t="e">
        <f t="shared" ref="X156" si="141">V156-U156</f>
        <v>#N/A</v>
      </c>
      <c r="Y156" s="631" t="e">
        <f t="shared" ref="Y156" si="142">V156+(V156*T156)</f>
        <v>#N/A</v>
      </c>
      <c r="Z156" s="631" t="e">
        <f t="shared" ref="Z156" si="143">V156-(V156*T156)</f>
        <v>#N/A</v>
      </c>
      <c r="AA156" s="631" t="e">
        <f>IF(OR(F156&lt;X156,F156&gt;W156),"Warning","")</f>
        <v>#N/A</v>
      </c>
      <c r="AB156" s="631" t="e">
        <f>IF(OR(F156&gt;(Y156),F156&lt;(Z156)),"Warning","")</f>
        <v>#N/A</v>
      </c>
      <c r="AC156" s="631" t="str">
        <f>IF(OR(F156=0),"",IF(AND(AA156="Warning",AB156="Warning"),"Warning",""))</f>
        <v/>
      </c>
      <c r="AD156" s="609"/>
      <c r="AE156" s="609"/>
      <c r="AF156" s="609"/>
      <c r="AG156" s="609"/>
      <c r="AH156" s="609"/>
      <c r="AI156" s="609"/>
      <c r="AJ156" s="609"/>
      <c r="AK156" s="609"/>
      <c r="AL156" s="609"/>
      <c r="AM156" s="609"/>
      <c r="AN156" s="609"/>
      <c r="AO156" s="609"/>
      <c r="AP156" s="609"/>
      <c r="AQ156" s="609"/>
    </row>
    <row r="157" spans="1:95" ht="15.5" x14ac:dyDescent="0.35">
      <c r="A157" t="s">
        <v>330</v>
      </c>
      <c r="B157" s="84">
        <v>942</v>
      </c>
      <c r="C157" s="6" t="s">
        <v>331</v>
      </c>
      <c r="D157" s="6"/>
      <c r="E157" s="6"/>
      <c r="F157" s="1222"/>
      <c r="G157" s="1175" t="str">
        <f>IF(ISERROR(H157),"",IF((H157="Error"),"add explanation",IF((H157="Warning"),"add explanation","")))</f>
        <v/>
      </c>
      <c r="H157" s="113" t="str">
        <f>IF(AC157="Warning","Warning","")</f>
        <v/>
      </c>
      <c r="I157" s="536" t="str">
        <f>IF(H157="Warning","This year's figure is over "&amp;U157/1000&amp;" million and "&amp;(T157*100)&amp;"% different to "&amp;TEXT(V157,"#,###")&amp;" last year, please explain","")</f>
        <v/>
      </c>
      <c r="J157" s="522"/>
      <c r="K157" s="511"/>
      <c r="L157" s="511"/>
      <c r="M157" s="511"/>
      <c r="N157" s="511"/>
      <c r="O157" s="511"/>
      <c r="P157" s="608"/>
      <c r="Q157" s="609"/>
      <c r="R157" s="609"/>
      <c r="S157" s="1088"/>
      <c r="T157" s="631">
        <f>VLOOKUP("RS"&amp;$B157,data_val_parameters,8,0)/100</f>
        <v>0.65</v>
      </c>
      <c r="U157" s="631">
        <f t="shared" si="139"/>
        <v>20000</v>
      </c>
      <c r="V157" s="631" t="e">
        <f>VLOOKUP(LA_code,data_prev_year,MATCH("RS"&amp;$B157&amp;"1",data_prev_year_headers,0),0)</f>
        <v>#N/A</v>
      </c>
      <c r="W157" s="631" t="e">
        <f t="shared" ref="W157" si="144">V157+U157</f>
        <v>#N/A</v>
      </c>
      <c r="X157" s="631" t="e">
        <f t="shared" ref="X157" si="145">V157-U157</f>
        <v>#N/A</v>
      </c>
      <c r="Y157" s="631" t="e">
        <f t="shared" ref="Y157" si="146">V157+(V157*T157)</f>
        <v>#N/A</v>
      </c>
      <c r="Z157" s="631" t="e">
        <f t="shared" ref="Z157" si="147">V157-(V157*T157)</f>
        <v>#N/A</v>
      </c>
      <c r="AA157" s="631" t="e">
        <f>IF(OR(F157&lt;X157,F157&gt;W157),"Warning","")</f>
        <v>#N/A</v>
      </c>
      <c r="AB157" s="631" t="e">
        <f>IF(OR(F157&gt;(Y157),F157&lt;(Z157)),"Warning","")</f>
        <v>#N/A</v>
      </c>
      <c r="AC157" s="631" t="str">
        <f>IF(OR(F157=0),"",IF(AND(AA157="Warning",AB157="Warning"),"Warning",""))</f>
        <v/>
      </c>
      <c r="AD157" s="609"/>
      <c r="AE157" s="609"/>
      <c r="AF157" s="609"/>
      <c r="AG157" s="609"/>
      <c r="AH157" s="609"/>
      <c r="AI157" s="609"/>
      <c r="AJ157" s="609"/>
      <c r="AK157" s="609"/>
      <c r="AL157" s="609"/>
      <c r="AM157" s="609"/>
      <c r="AN157" s="609"/>
      <c r="AO157" s="609"/>
      <c r="AP157" s="609"/>
      <c r="AQ157" s="609"/>
    </row>
    <row r="158" spans="1:95" ht="16" thickBot="1" x14ac:dyDescent="0.4">
      <c r="B158" s="84"/>
      <c r="C158" s="6"/>
      <c r="D158" s="6"/>
      <c r="E158" s="6"/>
      <c r="F158" s="24"/>
      <c r="G158" s="1170"/>
      <c r="H158" s="161"/>
      <c r="I158" s="538"/>
      <c r="J158" s="522"/>
      <c r="K158" s="511"/>
      <c r="L158" s="511"/>
      <c r="M158" s="511"/>
      <c r="N158" s="511"/>
      <c r="O158" s="511"/>
      <c r="P158" s="608"/>
      <c r="Q158" s="609"/>
      <c r="R158" s="609"/>
      <c r="S158" s="1088"/>
      <c r="T158" s="631"/>
      <c r="U158" s="631"/>
      <c r="V158" s="631"/>
      <c r="W158" s="631"/>
      <c r="X158" s="631"/>
      <c r="Y158" s="631"/>
      <c r="Z158" s="631"/>
      <c r="AA158" s="631"/>
      <c r="AB158" s="631"/>
      <c r="AC158" s="631"/>
      <c r="AD158" s="609"/>
      <c r="AE158" s="609"/>
      <c r="AF158" s="609"/>
      <c r="AG158" s="609"/>
      <c r="AH158" s="609"/>
      <c r="AI158" s="609"/>
      <c r="AJ158" s="609"/>
      <c r="AK158" s="609"/>
      <c r="AL158" s="609"/>
      <c r="AM158" s="609"/>
      <c r="AN158" s="609"/>
      <c r="AO158" s="609"/>
      <c r="AP158" s="609"/>
      <c r="AQ158" s="609"/>
    </row>
    <row r="159" spans="1:95" s="998" customFormat="1" ht="25.5" hidden="1" customHeight="1" thickBot="1" x14ac:dyDescent="0.4">
      <c r="A159" s="998" t="s">
        <v>332</v>
      </c>
      <c r="B159" s="992"/>
      <c r="C159" s="993" t="s">
        <v>44</v>
      </c>
      <c r="D159" s="994"/>
      <c r="E159" s="994"/>
      <c r="F159" s="995" t="s">
        <v>333</v>
      </c>
      <c r="G159" s="1176"/>
      <c r="H159" s="987"/>
      <c r="I159" s="988"/>
      <c r="J159" s="996"/>
      <c r="K159" s="997"/>
      <c r="L159" s="997"/>
      <c r="M159" s="997"/>
      <c r="N159" s="997"/>
      <c r="O159" s="997"/>
      <c r="P159" s="999"/>
      <c r="S159" s="1097"/>
      <c r="T159" s="631"/>
      <c r="U159" s="1098"/>
      <c r="V159" s="1095"/>
      <c r="W159" s="1098"/>
      <c r="X159" s="1098"/>
      <c r="Y159" s="1098"/>
      <c r="Z159" s="1098"/>
      <c r="AA159" s="1098"/>
      <c r="AB159" s="1098"/>
      <c r="AC159" s="1098"/>
    </row>
    <row r="160" spans="1:95" s="3" customFormat="1" ht="25.5" customHeight="1" thickBot="1" x14ac:dyDescent="0.4">
      <c r="A160" s="3" t="s">
        <v>334</v>
      </c>
      <c r="B160" s="282">
        <v>960</v>
      </c>
      <c r="C160" s="281" t="s">
        <v>335</v>
      </c>
      <c r="D160" s="6"/>
      <c r="E160" s="6"/>
      <c r="F160" s="941"/>
      <c r="G160" s="1170" t="str">
        <f>IF(ISERROR(H160),"",IF((H160="Error"),"add explanation",IF((H160="Warning"),"add explanation","")))</f>
        <v/>
      </c>
      <c r="H160" s="105" t="str">
        <f>IF(F160="NO","Information","")</f>
        <v/>
      </c>
      <c r="I160" s="528" t="str">
        <f>IF(F160="NO","Please confirm the RO suite of forms are completed on non-IAS19 and PFI Off-Balance Sheet basis ","")</f>
        <v/>
      </c>
      <c r="J160" s="527"/>
      <c r="K160" s="511"/>
      <c r="L160" s="514"/>
      <c r="M160" s="514"/>
      <c r="N160" s="514"/>
      <c r="O160" s="514"/>
      <c r="P160" s="610"/>
      <c r="Q160" s="617"/>
      <c r="R160" s="617"/>
      <c r="S160" s="618"/>
      <c r="T160" s="631"/>
      <c r="U160" s="1095"/>
      <c r="V160" s="617"/>
      <c r="W160" s="617"/>
      <c r="X160" s="617"/>
      <c r="Y160" s="617"/>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617"/>
      <c r="BI160" s="617"/>
      <c r="BJ160" s="617"/>
      <c r="BK160" s="617"/>
      <c r="BL160" s="617"/>
      <c r="BM160" s="617"/>
      <c r="BN160" s="617"/>
      <c r="BO160" s="617"/>
      <c r="BP160" s="617"/>
      <c r="BQ160" s="617"/>
      <c r="BR160" s="617"/>
      <c r="BS160" s="617"/>
      <c r="BT160" s="617"/>
      <c r="BU160" s="617"/>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row>
    <row r="161" spans="1:95" s="3" customFormat="1" ht="16.399999999999999" customHeight="1" x14ac:dyDescent="0.35">
      <c r="B161" s="176"/>
      <c r="C161" s="177" t="s">
        <v>336</v>
      </c>
      <c r="D161" s="6"/>
      <c r="E161" s="6"/>
      <c r="F161" s="5"/>
      <c r="G161" s="1177"/>
      <c r="H161" s="178"/>
      <c r="I161" s="544"/>
      <c r="J161" s="527"/>
      <c r="K161" s="514"/>
      <c r="L161" s="514"/>
      <c r="M161" s="514"/>
      <c r="N161" s="514"/>
      <c r="O161" s="514"/>
      <c r="P161" s="610"/>
      <c r="Q161" s="617"/>
      <c r="R161" s="617"/>
      <c r="S161" s="618"/>
      <c r="T161" s="631"/>
      <c r="U161" s="1095"/>
      <c r="V161" s="617"/>
      <c r="W161" s="617"/>
      <c r="X161" s="617"/>
      <c r="Y161" s="617"/>
      <c r="Z161" s="617"/>
      <c r="AA161" s="617"/>
      <c r="AB161" s="617"/>
      <c r="AC161" s="617"/>
      <c r="AD161" s="617"/>
      <c r="AE161" s="617"/>
      <c r="AF161" s="617"/>
      <c r="AG161" s="617"/>
      <c r="AH161" s="617"/>
      <c r="AI161" s="617"/>
      <c r="AJ161" s="617"/>
      <c r="AK161" s="617"/>
      <c r="AL161" s="617"/>
      <c r="AM161" s="617"/>
      <c r="AN161" s="617"/>
      <c r="AO161" s="617"/>
      <c r="AP161" s="617"/>
      <c r="AQ161" s="617"/>
      <c r="AR161" s="617"/>
      <c r="AS161" s="617"/>
      <c r="AT161" s="617"/>
      <c r="AU161" s="617"/>
      <c r="AV161" s="617"/>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617"/>
      <c r="BR161" s="617"/>
      <c r="BS161" s="617"/>
      <c r="BT161" s="617"/>
      <c r="BU161" s="617"/>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row>
    <row r="162" spans="1:95" s="3" customFormat="1" ht="34.5" customHeight="1" x14ac:dyDescent="0.35">
      <c r="B162" s="112" t="s">
        <v>337</v>
      </c>
      <c r="C162" s="179"/>
      <c r="D162" s="6"/>
      <c r="E162" s="6"/>
      <c r="F162" s="108"/>
      <c r="G162" s="1170"/>
      <c r="H162" s="178"/>
      <c r="I162" s="544"/>
      <c r="J162" s="527"/>
      <c r="K162" s="514"/>
      <c r="L162" s="514"/>
      <c r="M162" s="514"/>
      <c r="N162" s="514"/>
      <c r="O162" s="514"/>
      <c r="P162" s="610"/>
      <c r="Q162" s="617"/>
      <c r="R162" s="617"/>
      <c r="S162" s="618"/>
      <c r="T162" s="631"/>
      <c r="U162" s="1095"/>
      <c r="V162" s="617"/>
      <c r="W162" s="617"/>
      <c r="X162" s="617"/>
      <c r="Y162" s="617"/>
      <c r="Z162" s="617"/>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c r="BT162" s="617"/>
      <c r="BU162" s="617"/>
      <c r="BV162" s="617"/>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row>
    <row r="163" spans="1:95" s="1" customFormat="1" ht="15.5" x14ac:dyDescent="0.35">
      <c r="B163" s="1219" t="s">
        <v>338</v>
      </c>
      <c r="C163" s="6"/>
      <c r="D163" s="6"/>
      <c r="E163" s="6"/>
      <c r="F163" s="50"/>
      <c r="G163" s="1172"/>
      <c r="H163" s="161"/>
      <c r="I163" s="538"/>
      <c r="J163" s="527"/>
      <c r="K163" s="514"/>
      <c r="L163" s="514"/>
      <c r="M163" s="514"/>
      <c r="N163" s="514"/>
      <c r="O163" s="514"/>
      <c r="P163" s="610"/>
      <c r="Q163" s="619"/>
      <c r="R163" s="619"/>
      <c r="S163" s="635"/>
      <c r="T163" s="631"/>
      <c r="U163" s="1095"/>
      <c r="V163" s="1095"/>
      <c r="W163" s="1095"/>
      <c r="X163" s="1095"/>
      <c r="Y163" s="1095"/>
      <c r="Z163" s="1095"/>
      <c r="AA163" s="1095"/>
      <c r="AB163" s="1095"/>
      <c r="AC163" s="1095"/>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c r="BC163" s="619"/>
      <c r="BD163" s="619"/>
      <c r="BE163" s="619"/>
      <c r="BF163" s="619"/>
      <c r="BG163" s="619"/>
      <c r="BH163" s="619"/>
      <c r="BI163" s="619"/>
      <c r="BJ163" s="619"/>
      <c r="BK163" s="619"/>
      <c r="BL163" s="619"/>
      <c r="BM163" s="619"/>
      <c r="BN163" s="619"/>
      <c r="BO163" s="619"/>
      <c r="BP163" s="619"/>
      <c r="BQ163" s="619"/>
      <c r="BR163" s="619"/>
      <c r="BS163" s="619"/>
      <c r="BT163" s="619"/>
      <c r="BU163" s="619"/>
      <c r="BV163" s="619"/>
      <c r="BW163" s="619"/>
      <c r="BX163" s="619"/>
      <c r="BY163" s="619"/>
      <c r="BZ163" s="619"/>
      <c r="CA163" s="619"/>
      <c r="CB163" s="619"/>
      <c r="CC163" s="619"/>
      <c r="CD163" s="619"/>
      <c r="CE163" s="619"/>
      <c r="CF163" s="619"/>
      <c r="CG163" s="619"/>
      <c r="CH163" s="619"/>
      <c r="CI163" s="619"/>
      <c r="CJ163" s="619"/>
      <c r="CK163" s="619"/>
      <c r="CL163" s="619"/>
      <c r="CM163" s="619"/>
      <c r="CN163" s="619"/>
      <c r="CO163" s="619"/>
      <c r="CP163" s="619"/>
      <c r="CQ163" s="619"/>
    </row>
    <row r="164" spans="1:95" s="1" customFormat="1" ht="18" x14ac:dyDescent="0.4">
      <c r="B164" s="32" t="str">
        <f>"Housing Revenue Account (HRA) - "&amp;YearForm&amp;""</f>
        <v>Housing Revenue Account (HRA) - 2025-26</v>
      </c>
      <c r="C164" s="6"/>
      <c r="D164" s="6"/>
      <c r="E164" s="6"/>
      <c r="F164" s="50"/>
      <c r="G164" s="1170"/>
      <c r="H164" s="161"/>
      <c r="I164" s="538"/>
      <c r="J164" s="527"/>
      <c r="K164" s="514"/>
      <c r="L164" s="514"/>
      <c r="M164" s="514"/>
      <c r="N164" s="514"/>
      <c r="O164" s="514"/>
      <c r="P164" s="610"/>
      <c r="Q164" s="619"/>
      <c r="R164" s="619"/>
      <c r="S164" s="635"/>
      <c r="T164" s="631"/>
      <c r="U164" s="1095"/>
      <c r="V164" s="1095"/>
      <c r="W164" s="1095"/>
      <c r="X164" s="1095"/>
      <c r="Y164" s="1095"/>
      <c r="Z164" s="1095"/>
      <c r="AA164" s="1095"/>
      <c r="AB164" s="1095"/>
      <c r="AC164" s="1095"/>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c r="BC164" s="619"/>
      <c r="BD164" s="619"/>
      <c r="BE164" s="619"/>
      <c r="BF164" s="619"/>
      <c r="BG164" s="619"/>
      <c r="BH164" s="619"/>
      <c r="BI164" s="619"/>
      <c r="BJ164" s="619"/>
      <c r="BK164" s="619"/>
      <c r="BL164" s="619"/>
      <c r="BM164" s="619"/>
      <c r="BN164" s="619"/>
      <c r="BO164" s="619"/>
      <c r="BP164" s="619"/>
      <c r="BQ164" s="619"/>
      <c r="BR164" s="619"/>
      <c r="BS164" s="619"/>
      <c r="BT164" s="619"/>
      <c r="BU164" s="619"/>
      <c r="BV164" s="619"/>
      <c r="BW164" s="619"/>
      <c r="BX164" s="619"/>
      <c r="BY164" s="619"/>
      <c r="BZ164" s="619"/>
      <c r="CA164" s="619"/>
      <c r="CB164" s="619"/>
      <c r="CC164" s="619"/>
      <c r="CD164" s="619"/>
      <c r="CE164" s="619"/>
      <c r="CF164" s="619"/>
      <c r="CG164" s="619"/>
      <c r="CH164" s="619"/>
      <c r="CI164" s="619"/>
      <c r="CJ164" s="619"/>
      <c r="CK164" s="619"/>
      <c r="CL164" s="619"/>
      <c r="CM164" s="619"/>
      <c r="CN164" s="619"/>
      <c r="CO164" s="619"/>
      <c r="CP164" s="619"/>
      <c r="CQ164" s="619"/>
    </row>
    <row r="165" spans="1:95" s="998" customFormat="1" ht="18" hidden="1" x14ac:dyDescent="0.4">
      <c r="A165" s="998" t="s">
        <v>339</v>
      </c>
      <c r="B165" s="1000"/>
      <c r="C165" s="993" t="s">
        <v>44</v>
      </c>
      <c r="D165" s="994"/>
      <c r="E165" s="994"/>
      <c r="F165" s="995" t="s">
        <v>340</v>
      </c>
      <c r="G165" s="1176"/>
      <c r="H165" s="987"/>
      <c r="I165" s="988"/>
      <c r="J165" s="996"/>
      <c r="K165" s="997"/>
      <c r="L165" s="997"/>
      <c r="M165" s="997"/>
      <c r="N165" s="997"/>
      <c r="O165" s="997"/>
      <c r="P165" s="999"/>
      <c r="S165" s="1097"/>
      <c r="T165" s="631"/>
      <c r="U165" s="1098"/>
      <c r="V165" s="1095"/>
      <c r="W165" s="1098"/>
      <c r="X165" s="1098"/>
      <c r="Y165" s="1098"/>
      <c r="Z165" s="1098"/>
      <c r="AA165" s="1098"/>
      <c r="AB165" s="1098"/>
      <c r="AC165" s="1098"/>
    </row>
    <row r="166" spans="1:95" s="1" customFormat="1" ht="15.5" x14ac:dyDescent="0.35">
      <c r="B166" s="87"/>
      <c r="C166" s="2"/>
      <c r="D166" s="2"/>
      <c r="E166" s="6"/>
      <c r="F166" s="82" t="s">
        <v>341</v>
      </c>
      <c r="G166" s="1170"/>
      <c r="H166" s="161"/>
      <c r="I166" s="538"/>
      <c r="J166" s="527"/>
      <c r="K166" s="514"/>
      <c r="L166" s="514"/>
      <c r="M166" s="514"/>
      <c r="N166" s="514"/>
      <c r="O166" s="514"/>
      <c r="P166" s="610"/>
      <c r="Q166" s="619"/>
      <c r="R166" s="619"/>
      <c r="S166" s="635"/>
      <c r="T166" s="631"/>
      <c r="U166" s="1095"/>
      <c r="V166" s="1095"/>
      <c r="W166" s="1095"/>
      <c r="X166" s="1095"/>
      <c r="Y166" s="1095"/>
      <c r="Z166" s="1095"/>
      <c r="AA166" s="1095"/>
      <c r="AB166" s="1095"/>
      <c r="AC166" s="1095"/>
      <c r="AD166" s="619"/>
      <c r="AE166" s="619"/>
      <c r="AF166" s="619"/>
      <c r="AG166" s="619"/>
      <c r="AH166" s="619"/>
      <c r="AI166" s="619"/>
      <c r="AJ166" s="619"/>
      <c r="AK166" s="619"/>
      <c r="AL166" s="619"/>
      <c r="AM166" s="619"/>
      <c r="AN166" s="619"/>
      <c r="AO166" s="619"/>
      <c r="AP166" s="619"/>
      <c r="AQ166" s="619"/>
      <c r="AR166" s="619"/>
      <c r="AS166" s="619"/>
      <c r="AT166" s="619"/>
      <c r="AU166" s="619"/>
      <c r="AV166" s="619"/>
      <c r="AW166" s="619"/>
      <c r="AX166" s="619"/>
      <c r="AY166" s="619"/>
      <c r="AZ166" s="619"/>
      <c r="BA166" s="619"/>
      <c r="BB166" s="619"/>
      <c r="BC166" s="619"/>
      <c r="BD166" s="619"/>
      <c r="BE166" s="619"/>
      <c r="BF166" s="619"/>
      <c r="BG166" s="619"/>
      <c r="BH166" s="619"/>
      <c r="BI166" s="619"/>
      <c r="BJ166" s="619"/>
      <c r="BK166" s="619"/>
      <c r="BL166" s="619"/>
      <c r="BM166" s="619"/>
      <c r="BN166" s="619"/>
      <c r="BO166" s="619"/>
      <c r="BP166" s="619"/>
      <c r="BQ166" s="619"/>
      <c r="BR166" s="619"/>
      <c r="BS166" s="619"/>
      <c r="BT166" s="619"/>
      <c r="BU166" s="619"/>
      <c r="BV166" s="619"/>
      <c r="BW166" s="619"/>
      <c r="BX166" s="619"/>
      <c r="BY166" s="619"/>
      <c r="BZ166" s="619"/>
      <c r="CA166" s="619"/>
      <c r="CB166" s="619"/>
      <c r="CC166" s="619"/>
      <c r="CD166" s="619"/>
      <c r="CE166" s="619"/>
      <c r="CF166" s="619"/>
      <c r="CG166" s="619"/>
      <c r="CH166" s="619"/>
      <c r="CI166" s="619"/>
      <c r="CJ166" s="619"/>
      <c r="CK166" s="619"/>
      <c r="CL166" s="619"/>
      <c r="CM166" s="619"/>
      <c r="CN166" s="619"/>
      <c r="CO166" s="619"/>
      <c r="CP166" s="619"/>
      <c r="CQ166" s="619"/>
    </row>
    <row r="167" spans="1:95" s="1" customFormat="1" ht="15.5" x14ac:dyDescent="0.35">
      <c r="B167" s="145"/>
      <c r="C167" s="2"/>
      <c r="D167" s="2"/>
      <c r="E167" s="6"/>
      <c r="F167" s="75" t="s">
        <v>60</v>
      </c>
      <c r="G167" s="1170"/>
      <c r="H167" s="161"/>
      <c r="I167" s="538"/>
      <c r="J167" s="527"/>
      <c r="K167" s="514"/>
      <c r="L167" s="514"/>
      <c r="M167" s="514"/>
      <c r="N167" s="514"/>
      <c r="O167" s="514"/>
      <c r="P167" s="610"/>
      <c r="Q167" s="619"/>
      <c r="R167" s="619"/>
      <c r="S167" s="635"/>
      <c r="T167" s="631"/>
      <c r="U167" s="1095"/>
      <c r="V167" s="1095"/>
      <c r="W167" s="1095"/>
      <c r="X167" s="1095"/>
      <c r="Y167" s="1095"/>
      <c r="Z167" s="1095"/>
      <c r="AA167" s="1095"/>
      <c r="AB167" s="1095"/>
      <c r="AC167" s="1095"/>
      <c r="AD167" s="619"/>
      <c r="AE167" s="619"/>
      <c r="AF167" s="619"/>
      <c r="AG167" s="619"/>
      <c r="AH167" s="619"/>
      <c r="AI167" s="619"/>
      <c r="AJ167" s="619"/>
      <c r="AK167" s="619"/>
      <c r="AL167" s="619"/>
      <c r="AM167" s="619"/>
      <c r="AN167" s="619"/>
      <c r="AO167" s="619"/>
      <c r="AP167" s="619"/>
      <c r="AQ167" s="619"/>
      <c r="AR167" s="619"/>
      <c r="AS167" s="619"/>
      <c r="AT167" s="619"/>
      <c r="AU167" s="619"/>
      <c r="AV167" s="619"/>
      <c r="AW167" s="619"/>
      <c r="AX167" s="619"/>
      <c r="AY167" s="619"/>
      <c r="AZ167" s="619"/>
      <c r="BA167" s="619"/>
      <c r="BB167" s="619"/>
      <c r="BC167" s="619"/>
      <c r="BD167" s="619"/>
      <c r="BE167" s="619"/>
      <c r="BF167" s="619"/>
      <c r="BG167" s="619"/>
      <c r="BH167" s="619"/>
      <c r="BI167" s="619"/>
      <c r="BJ167" s="619"/>
      <c r="BK167" s="619"/>
      <c r="BL167" s="619"/>
      <c r="BM167" s="619"/>
      <c r="BN167" s="619"/>
      <c r="BO167" s="619"/>
      <c r="BP167" s="619"/>
      <c r="BQ167" s="619"/>
      <c r="BR167" s="619"/>
      <c r="BS167" s="619"/>
      <c r="BT167" s="619"/>
      <c r="BU167" s="619"/>
      <c r="BV167" s="619"/>
      <c r="BW167" s="619"/>
      <c r="BX167" s="619"/>
      <c r="BY167" s="619"/>
      <c r="BZ167" s="619"/>
      <c r="CA167" s="619"/>
      <c r="CB167" s="619"/>
      <c r="CC167" s="619"/>
      <c r="CD167" s="619"/>
      <c r="CE167" s="619"/>
      <c r="CF167" s="619"/>
      <c r="CG167" s="619"/>
      <c r="CH167" s="619"/>
      <c r="CI167" s="619"/>
      <c r="CJ167" s="619"/>
      <c r="CK167" s="619"/>
      <c r="CL167" s="619"/>
      <c r="CM167" s="619"/>
      <c r="CN167" s="619"/>
      <c r="CO167" s="619"/>
      <c r="CP167" s="619"/>
      <c r="CQ167" s="619"/>
    </row>
    <row r="168" spans="1:95" s="1" customFormat="1" ht="15.5" x14ac:dyDescent="0.35">
      <c r="A168" s="1" t="s">
        <v>342</v>
      </c>
      <c r="B168" s="180">
        <v>980</v>
      </c>
      <c r="C168" s="413" t="s">
        <v>343</v>
      </c>
      <c r="D168" s="94"/>
      <c r="E168" s="563" t="s">
        <v>344</v>
      </c>
      <c r="F168" s="1223">
        <f>'RO4'!E88</f>
        <v>0</v>
      </c>
      <c r="G168" s="1171" t="str">
        <f>IF(ISERROR(H168),"",IF((H168="Error"),"add explanation",IF((H168="Warning"),"add explanation","")))</f>
        <v/>
      </c>
      <c r="H168" s="113" t="str">
        <f>IF(AC168="Warning","Warning","")</f>
        <v/>
      </c>
      <c r="I168" s="536" t="str">
        <f>IF(H168="Warning","This year's figure is over "&amp;U168/1000&amp;" million and "&amp;(T168*100)&amp;"% different to "&amp;TEXT(V168,"#,###")&amp;" last year, please explain","")</f>
        <v/>
      </c>
      <c r="J168" s="527"/>
      <c r="K168" s="511"/>
      <c r="L168" s="514"/>
      <c r="M168" s="514"/>
      <c r="N168" s="514"/>
      <c r="O168" s="514"/>
      <c r="P168" s="610"/>
      <c r="Q168" s="619"/>
      <c r="R168" s="619"/>
      <c r="S168" s="635"/>
      <c r="T168" s="631">
        <f>VLOOKUP("RS"&amp;$B168,data_val_parameters,8,0)/100</f>
        <v>0.55000000000000004</v>
      </c>
      <c r="U168" s="631">
        <f t="shared" ref="U168:U170" si="148">VLOOKUP("RS"&amp;$B168,data_val_parameters,7,0)</f>
        <v>8000</v>
      </c>
      <c r="V168" s="631" t="e">
        <f>VLOOKUP(LA_code,data_prev_year,MATCH("RS"&amp;$B168&amp;"5",data_prev_year_headers,0),0)</f>
        <v>#N/A</v>
      </c>
      <c r="W168" s="631" t="e">
        <f t="shared" ref="W168" si="149">V168+U168</f>
        <v>#N/A</v>
      </c>
      <c r="X168" s="631" t="e">
        <f t="shared" ref="X168" si="150">V168-U168</f>
        <v>#N/A</v>
      </c>
      <c r="Y168" s="631" t="e">
        <f t="shared" ref="Y168" si="151">V168+(V168*T168)</f>
        <v>#N/A</v>
      </c>
      <c r="Z168" s="631" t="e">
        <f t="shared" ref="Z168" si="152">V168-(V168*T168)</f>
        <v>#N/A</v>
      </c>
      <c r="AA168" s="631" t="e">
        <f>IF(OR(F168&lt;X168,F168&gt;W168),"Warning","")</f>
        <v>#N/A</v>
      </c>
      <c r="AB168" s="631" t="e">
        <f>IF(OR(F168&gt;(Y168),F168&lt;(Z168)),"Warning","")</f>
        <v>#N/A</v>
      </c>
      <c r="AC168" s="631" t="str">
        <f>IF(OR(F168=0),"",IF(AND(AA168="Warning",AB168="Warning"),"Warning",""))</f>
        <v/>
      </c>
      <c r="AD168" s="619"/>
      <c r="AE168" s="619"/>
      <c r="AF168" s="619"/>
      <c r="AG168" s="619"/>
      <c r="AH168" s="619"/>
      <c r="AI168" s="619"/>
      <c r="AJ168" s="619"/>
      <c r="AK168" s="619"/>
      <c r="AL168" s="619"/>
      <c r="AM168" s="619"/>
      <c r="AN168" s="619"/>
      <c r="AO168" s="619"/>
      <c r="AP168" s="619"/>
      <c r="AQ168" s="619"/>
      <c r="AR168" s="619"/>
      <c r="AS168" s="619"/>
      <c r="AT168" s="619"/>
      <c r="AU168" s="619"/>
      <c r="AV168" s="619"/>
      <c r="AW168" s="619"/>
      <c r="AX168" s="619"/>
      <c r="AY168" s="619"/>
      <c r="AZ168" s="619"/>
      <c r="BA168" s="619"/>
      <c r="BB168" s="619"/>
      <c r="BC168" s="619"/>
      <c r="BD168" s="619"/>
      <c r="BE168" s="619"/>
      <c r="BF168" s="619"/>
      <c r="BG168" s="619"/>
      <c r="BH168" s="619"/>
      <c r="BI168" s="619"/>
      <c r="BJ168" s="619"/>
      <c r="BK168" s="619"/>
      <c r="BL168" s="619"/>
      <c r="BM168" s="619"/>
      <c r="BN168" s="619"/>
      <c r="BO168" s="619"/>
      <c r="BP168" s="619"/>
      <c r="BQ168" s="619"/>
      <c r="BR168" s="619"/>
      <c r="BS168" s="619"/>
      <c r="BT168" s="619"/>
      <c r="BU168" s="619"/>
      <c r="BV168" s="619"/>
      <c r="BW168" s="619"/>
      <c r="BX168" s="619"/>
      <c r="BY168" s="619"/>
      <c r="BZ168" s="619"/>
      <c r="CA168" s="619"/>
      <c r="CB168" s="619"/>
      <c r="CC168" s="619"/>
      <c r="CD168" s="619"/>
      <c r="CE168" s="619"/>
      <c r="CF168" s="619"/>
      <c r="CG168" s="619"/>
      <c r="CH168" s="619"/>
      <c r="CI168" s="619"/>
      <c r="CJ168" s="619"/>
      <c r="CK168" s="619"/>
      <c r="CL168" s="619"/>
      <c r="CM168" s="619"/>
      <c r="CN168" s="619"/>
      <c r="CO168" s="619"/>
      <c r="CP168" s="619"/>
      <c r="CQ168" s="619"/>
    </row>
    <row r="169" spans="1:95" s="1" customFormat="1" ht="15.5" x14ac:dyDescent="0.35">
      <c r="A169" s="1" t="s">
        <v>345</v>
      </c>
      <c r="B169" s="91">
        <v>981</v>
      </c>
      <c r="C169" s="413" t="s">
        <v>346</v>
      </c>
      <c r="D169" s="94"/>
      <c r="E169" s="563" t="s">
        <v>347</v>
      </c>
      <c r="F169" s="1223">
        <f>'RO4'!E103</f>
        <v>0</v>
      </c>
      <c r="G169" s="1171" t="str">
        <f>IF(ISERROR(H169),"",IF((H169="Error"),"add explanation",IF((H169="Warning"),"add explanation","")))</f>
        <v/>
      </c>
      <c r="H169" s="113" t="str">
        <f t="shared" ref="H169:H170" si="153">IF(AC169="Warning","Warning","")</f>
        <v/>
      </c>
      <c r="I169" s="536" t="str">
        <f>IF(H169="Warning","This year's figure is over "&amp;U169/1000&amp;" million and "&amp;(T169*100)&amp;"% different to "&amp;TEXT(V169,"#,###")&amp;" last year, please explain","")</f>
        <v/>
      </c>
      <c r="J169" s="527"/>
      <c r="K169" s="511"/>
      <c r="L169" s="514"/>
      <c r="M169" s="514"/>
      <c r="N169" s="514"/>
      <c r="O169" s="514"/>
      <c r="P169" s="610"/>
      <c r="Q169" s="619"/>
      <c r="R169" s="619"/>
      <c r="S169" s="635"/>
      <c r="T169" s="631">
        <f>VLOOKUP("RS"&amp;$B169,data_val_parameters,8,0)/100</f>
        <v>0.55000000000000004</v>
      </c>
      <c r="U169" s="631">
        <f t="shared" si="148"/>
        <v>8000</v>
      </c>
      <c r="V169" s="631" t="e">
        <f>VLOOKUP(LA_code,data_prev_year,MATCH("RS"&amp;$B169&amp;"5",data_prev_year_headers,0),0)</f>
        <v>#N/A</v>
      </c>
      <c r="W169" s="631" t="e">
        <f t="shared" ref="W169:W170" si="154">V169+U169</f>
        <v>#N/A</v>
      </c>
      <c r="X169" s="631" t="e">
        <f t="shared" ref="X169:X170" si="155">V169-U169</f>
        <v>#N/A</v>
      </c>
      <c r="Y169" s="631" t="e">
        <f t="shared" ref="Y169:Y170" si="156">V169+(V169*T169)</f>
        <v>#N/A</v>
      </c>
      <c r="Z169" s="631" t="e">
        <f t="shared" ref="Z169:Z170" si="157">V169-(V169*T169)</f>
        <v>#N/A</v>
      </c>
      <c r="AA169" s="631" t="e">
        <f>IF(OR(F169&lt;X169,F169&gt;W169),"Warning","")</f>
        <v>#N/A</v>
      </c>
      <c r="AB169" s="631" t="e">
        <f>IF(OR(F169&gt;(Y169),F169&lt;(Z169)),"Warning","")</f>
        <v>#N/A</v>
      </c>
      <c r="AC169" s="631" t="str">
        <f>IF(OR(F169=0),"",IF(AND(AA169="Warning",AB169="Warning"),"Warning",""))</f>
        <v/>
      </c>
      <c r="AD169" s="619"/>
      <c r="AE169" s="619"/>
      <c r="AF169" s="619"/>
      <c r="AG169" s="619"/>
      <c r="AH169" s="619"/>
      <c r="AI169" s="619"/>
      <c r="AJ169" s="619"/>
      <c r="AK169" s="619"/>
      <c r="AL169" s="619"/>
      <c r="AM169" s="619"/>
      <c r="AN169" s="619"/>
      <c r="AO169" s="619"/>
      <c r="AP169" s="619"/>
      <c r="AQ169" s="619"/>
      <c r="AR169" s="619"/>
      <c r="AS169" s="619"/>
      <c r="AT169" s="619"/>
      <c r="AU169" s="619"/>
      <c r="AV169" s="619"/>
      <c r="AW169" s="619"/>
      <c r="AX169" s="619"/>
      <c r="AY169" s="619"/>
      <c r="AZ169" s="619"/>
      <c r="BA169" s="619"/>
      <c r="BB169" s="619"/>
      <c r="BC169" s="619"/>
      <c r="BD169" s="619"/>
      <c r="BE169" s="619"/>
      <c r="BF169" s="619"/>
      <c r="BG169" s="619"/>
      <c r="BH169" s="619"/>
      <c r="BI169" s="619"/>
      <c r="BJ169" s="619"/>
      <c r="BK169" s="619"/>
      <c r="BL169" s="619"/>
      <c r="BM169" s="619"/>
      <c r="BN169" s="619"/>
      <c r="BO169" s="619"/>
      <c r="BP169" s="619"/>
      <c r="BQ169" s="619"/>
      <c r="BR169" s="619"/>
      <c r="BS169" s="619"/>
      <c r="BT169" s="619"/>
      <c r="BU169" s="619"/>
      <c r="BV169" s="619"/>
      <c r="BW169" s="619"/>
      <c r="BX169" s="619"/>
      <c r="BY169" s="619"/>
      <c r="BZ169" s="619"/>
      <c r="CA169" s="619"/>
      <c r="CB169" s="619"/>
      <c r="CC169" s="619"/>
      <c r="CD169" s="619"/>
      <c r="CE169" s="619"/>
      <c r="CF169" s="619"/>
      <c r="CG169" s="619"/>
      <c r="CH169" s="619"/>
      <c r="CI169" s="619"/>
      <c r="CJ169" s="619"/>
      <c r="CK169" s="619"/>
      <c r="CL169" s="619"/>
      <c r="CM169" s="619"/>
      <c r="CN169" s="619"/>
      <c r="CO169" s="619"/>
      <c r="CP169" s="619"/>
      <c r="CQ169" s="619"/>
    </row>
    <row r="170" spans="1:95" s="1" customFormat="1" ht="15.5" x14ac:dyDescent="0.35">
      <c r="A170" s="1" t="s">
        <v>348</v>
      </c>
      <c r="B170" s="83">
        <v>982</v>
      </c>
      <c r="C170" s="68" t="s">
        <v>349</v>
      </c>
      <c r="D170" s="94"/>
      <c r="E170" s="563" t="s">
        <v>350</v>
      </c>
      <c r="F170" s="1223">
        <f>'RO4'!E105</f>
        <v>0</v>
      </c>
      <c r="G170" s="1171" t="str">
        <f>IF(ISERROR(H170),"",IF((H170="Error"),"add explanation",IF((H170="Warning"),"add explanation","")))</f>
        <v/>
      </c>
      <c r="H170" s="113" t="str">
        <f t="shared" si="153"/>
        <v/>
      </c>
      <c r="I170" s="536" t="str">
        <f>IF(H170="Warning","This year's figure is over "&amp;U170/1000&amp;" million and "&amp;(T170*100)&amp;"% different to "&amp;TEXT(V170,"#,###")&amp;" last year, please explain","")</f>
        <v/>
      </c>
      <c r="J170" s="527"/>
      <c r="K170" s="511"/>
      <c r="L170" s="514"/>
      <c r="M170" s="514"/>
      <c r="N170" s="514"/>
      <c r="O170" s="514"/>
      <c r="P170" s="610"/>
      <c r="Q170" s="619"/>
      <c r="R170" s="619"/>
      <c r="S170" s="635"/>
      <c r="T170" s="631">
        <f>VLOOKUP("RS"&amp;$B170,data_val_parameters,8,0)/100</f>
        <v>0.4</v>
      </c>
      <c r="U170" s="631">
        <f t="shared" si="148"/>
        <v>8000</v>
      </c>
      <c r="V170" s="631" t="e">
        <f>VLOOKUP(LA_code,data_prev_year,MATCH("RS"&amp;$B170&amp;"5",data_prev_year_headers,0),0)</f>
        <v>#N/A</v>
      </c>
      <c r="W170" s="631" t="e">
        <f t="shared" si="154"/>
        <v>#N/A</v>
      </c>
      <c r="X170" s="631" t="e">
        <f t="shared" si="155"/>
        <v>#N/A</v>
      </c>
      <c r="Y170" s="631" t="e">
        <f t="shared" si="156"/>
        <v>#N/A</v>
      </c>
      <c r="Z170" s="631" t="e">
        <f t="shared" si="157"/>
        <v>#N/A</v>
      </c>
      <c r="AA170" s="631" t="e">
        <f>IF(OR(F170&lt;X170,F170&gt;W170),"Warning","")</f>
        <v>#N/A</v>
      </c>
      <c r="AB170" s="631" t="e">
        <f>IF(OR(F170&gt;(Y170),F170&lt;(Z170)),"Warning","")</f>
        <v>#N/A</v>
      </c>
      <c r="AC170" s="631" t="str">
        <f>IF(OR(F170=0),"",IF(AND(AA170="Warning",AB170="Warning"),"Warning",""))</f>
        <v/>
      </c>
      <c r="AD170" s="619"/>
      <c r="AE170" s="619"/>
      <c r="AF170" s="619"/>
      <c r="AG170" s="619"/>
      <c r="AH170" s="619"/>
      <c r="AI170" s="619"/>
      <c r="AJ170" s="619"/>
      <c r="AK170" s="619"/>
      <c r="AL170" s="619"/>
      <c r="AM170" s="619"/>
      <c r="AN170" s="619"/>
      <c r="AO170" s="619"/>
      <c r="AP170" s="619"/>
      <c r="AQ170" s="619"/>
      <c r="AR170" s="619"/>
      <c r="AS170" s="619"/>
      <c r="AT170" s="619"/>
      <c r="AU170" s="619"/>
      <c r="AV170" s="619"/>
      <c r="AW170" s="619"/>
      <c r="AX170" s="619"/>
      <c r="AY170" s="619"/>
      <c r="AZ170" s="619"/>
      <c r="BA170" s="619"/>
      <c r="BB170" s="619"/>
      <c r="BC170" s="619"/>
      <c r="BD170" s="619"/>
      <c r="BE170" s="619"/>
      <c r="BF170" s="619"/>
      <c r="BG170" s="619"/>
      <c r="BH170" s="619"/>
      <c r="BI170" s="619"/>
      <c r="BJ170" s="619"/>
      <c r="BK170" s="619"/>
      <c r="BL170" s="619"/>
      <c r="BM170" s="619"/>
      <c r="BN170" s="619"/>
      <c r="BO170" s="619"/>
      <c r="BP170" s="619"/>
      <c r="BQ170" s="619"/>
      <c r="BR170" s="619"/>
      <c r="BS170" s="619"/>
      <c r="BT170" s="619"/>
      <c r="BU170" s="619"/>
      <c r="BV170" s="619"/>
      <c r="BW170" s="619"/>
      <c r="BX170" s="619"/>
      <c r="BY170" s="619"/>
      <c r="BZ170" s="619"/>
      <c r="CA170" s="619"/>
      <c r="CB170" s="619"/>
      <c r="CC170" s="619"/>
      <c r="CD170" s="619"/>
      <c r="CE170" s="619"/>
      <c r="CF170" s="619"/>
      <c r="CG170" s="619"/>
      <c r="CH170" s="619"/>
      <c r="CI170" s="619"/>
      <c r="CJ170" s="619"/>
      <c r="CK170" s="619"/>
      <c r="CL170" s="619"/>
      <c r="CM170" s="619"/>
      <c r="CN170" s="619"/>
      <c r="CO170" s="619"/>
      <c r="CP170" s="619"/>
      <c r="CQ170" s="619"/>
    </row>
    <row r="171" spans="1:95" s="1" customFormat="1" ht="18" x14ac:dyDescent="0.4">
      <c r="B171" s="32"/>
      <c r="C171" s="6"/>
      <c r="D171" s="6"/>
      <c r="E171" s="6"/>
      <c r="F171" s="50"/>
      <c r="G171" s="6"/>
      <c r="H171" s="161"/>
      <c r="I171" s="538"/>
      <c r="J171" s="527"/>
      <c r="K171" s="514"/>
      <c r="L171" s="514"/>
      <c r="M171" s="514"/>
      <c r="N171" s="514"/>
      <c r="O171" s="514"/>
      <c r="P171" s="610"/>
      <c r="Q171" s="619"/>
      <c r="R171" s="619"/>
      <c r="S171" s="635"/>
      <c r="T171" s="631"/>
      <c r="U171" s="1095"/>
      <c r="V171" s="1095"/>
      <c r="W171" s="1095"/>
      <c r="X171" s="1095"/>
      <c r="Y171" s="1095"/>
      <c r="Z171" s="1095"/>
      <c r="AA171" s="1095"/>
      <c r="AB171" s="1095"/>
      <c r="AC171" s="1095"/>
      <c r="AD171" s="619"/>
      <c r="AE171" s="619"/>
      <c r="AF171" s="619"/>
      <c r="AG171" s="619"/>
      <c r="AH171" s="619"/>
      <c r="AI171" s="619"/>
      <c r="AJ171" s="619"/>
      <c r="AK171" s="619"/>
      <c r="AL171" s="619"/>
      <c r="AM171" s="619"/>
      <c r="AN171" s="619"/>
      <c r="AO171" s="619"/>
      <c r="AP171" s="619"/>
      <c r="AQ171" s="619"/>
      <c r="AR171" s="619"/>
      <c r="AS171" s="619"/>
      <c r="AT171" s="619"/>
      <c r="AU171" s="619"/>
      <c r="AV171" s="619"/>
      <c r="AW171" s="619"/>
      <c r="AX171" s="619"/>
      <c r="AY171" s="619"/>
      <c r="AZ171" s="619"/>
      <c r="BA171" s="619"/>
      <c r="BB171" s="619"/>
      <c r="BC171" s="619"/>
      <c r="BD171" s="619"/>
      <c r="BE171" s="619"/>
      <c r="BF171" s="619"/>
      <c r="BG171" s="619"/>
      <c r="BH171" s="619"/>
      <c r="BI171" s="619"/>
      <c r="BJ171" s="619"/>
      <c r="BK171" s="619"/>
      <c r="BL171" s="619"/>
      <c r="BM171" s="619"/>
      <c r="BN171" s="619"/>
      <c r="BO171" s="619"/>
      <c r="BP171" s="619"/>
      <c r="BQ171" s="619"/>
      <c r="BR171" s="619"/>
      <c r="BS171" s="619"/>
      <c r="BT171" s="619"/>
      <c r="BU171" s="619"/>
      <c r="BV171" s="619"/>
      <c r="BW171" s="619"/>
      <c r="BX171" s="619"/>
      <c r="BY171" s="619"/>
      <c r="BZ171" s="619"/>
      <c r="CA171" s="619"/>
      <c r="CB171" s="619"/>
      <c r="CC171" s="619"/>
      <c r="CD171" s="619"/>
      <c r="CE171" s="619"/>
      <c r="CF171" s="619"/>
      <c r="CG171" s="619"/>
      <c r="CH171" s="619"/>
      <c r="CI171" s="619"/>
      <c r="CJ171" s="619"/>
      <c r="CK171" s="619"/>
      <c r="CL171" s="619"/>
      <c r="CM171" s="619"/>
      <c r="CN171" s="619"/>
      <c r="CO171" s="619"/>
      <c r="CP171" s="619"/>
      <c r="CQ171" s="619"/>
    </row>
    <row r="172" spans="1:95" s="1001" customFormat="1" ht="18" hidden="1" customHeight="1" x14ac:dyDescent="0.35">
      <c r="A172" s="1001" t="s">
        <v>339</v>
      </c>
      <c r="B172" s="1002" t="s">
        <v>44</v>
      </c>
      <c r="C172" s="994"/>
      <c r="D172" s="994"/>
      <c r="E172" s="1003"/>
      <c r="F172" s="1004" t="s">
        <v>351</v>
      </c>
      <c r="G172" s="1004" t="s">
        <v>352</v>
      </c>
      <c r="H172" s="1005"/>
      <c r="I172" s="1006"/>
      <c r="J172" s="989"/>
      <c r="K172" s="990"/>
      <c r="L172" s="990"/>
      <c r="M172" s="990"/>
      <c r="N172" s="990"/>
      <c r="O172" s="990"/>
      <c r="P172" s="991"/>
      <c r="S172" s="1007"/>
      <c r="T172" s="631" t="e">
        <f>VLOOKUP("RS"&amp;$B172,data_val_parameters,8,0)/100</f>
        <v>#N/A</v>
      </c>
      <c r="V172" s="631"/>
    </row>
    <row r="173" spans="1:95" ht="32.15" customHeight="1" x14ac:dyDescent="0.35">
      <c r="B173" s="181"/>
      <c r="C173" s="6"/>
      <c r="D173" s="6"/>
      <c r="E173" s="162"/>
      <c r="F173" s="443" t="str">
        <f>"At 1 April
"&amp;prev_year&amp;""</f>
        <v>At 1 April
2025</v>
      </c>
      <c r="G173" s="443" t="str">
        <f>"At 31 March
"&amp;current_year&amp;""</f>
        <v>At 31 March
2026</v>
      </c>
      <c r="H173" s="163"/>
      <c r="I173" s="538"/>
      <c r="J173" s="522"/>
      <c r="K173" s="511"/>
      <c r="L173" s="511"/>
      <c r="M173" s="511"/>
      <c r="N173" s="511"/>
      <c r="O173" s="511"/>
      <c r="P173" s="608"/>
      <c r="Q173" s="609"/>
      <c r="R173" s="609"/>
      <c r="S173" s="1088"/>
      <c r="T173" s="631"/>
      <c r="U173" s="631"/>
      <c r="V173" s="631"/>
      <c r="W173" s="631"/>
      <c r="X173" s="631"/>
      <c r="Y173" s="631"/>
      <c r="Z173" s="631"/>
      <c r="AA173" s="631"/>
      <c r="AB173" s="631"/>
      <c r="AC173" s="631"/>
      <c r="AD173" s="609"/>
      <c r="AE173" s="609"/>
      <c r="AF173" s="609"/>
      <c r="AG173" s="609"/>
      <c r="AH173" s="609"/>
      <c r="AI173" s="609"/>
      <c r="AJ173" s="609"/>
      <c r="AK173" s="609"/>
      <c r="AL173" s="609"/>
      <c r="AM173" s="609"/>
      <c r="AN173" s="609"/>
      <c r="AO173" s="609"/>
      <c r="AP173" s="609"/>
      <c r="AQ173" s="609"/>
    </row>
    <row r="174" spans="1:95" s="1" customFormat="1" ht="15.5" x14ac:dyDescent="0.35">
      <c r="B174" s="6" t="s">
        <v>263</v>
      </c>
      <c r="C174" s="94"/>
      <c r="D174" s="94"/>
      <c r="E174" s="94"/>
      <c r="F174" s="75" t="s">
        <v>60</v>
      </c>
      <c r="G174" s="75" t="s">
        <v>60</v>
      </c>
      <c r="H174" s="161"/>
      <c r="I174" s="538"/>
      <c r="J174" s="527"/>
      <c r="K174" s="514"/>
      <c r="L174" s="514"/>
      <c r="M174" s="514"/>
      <c r="N174" s="514"/>
      <c r="O174" s="514"/>
      <c r="P174" s="610"/>
      <c r="Q174" s="619"/>
      <c r="R174" s="619"/>
      <c r="S174" s="635"/>
      <c r="T174" s="631">
        <f>VLOOKUP("RS"&amp;$B175,data_val_parameters,8,0)/100</f>
        <v>0.55000000000000004</v>
      </c>
      <c r="U174" s="631">
        <f>VLOOKUP("RS"&amp;$B175,data_val_parameters,7,0)</f>
        <v>10000</v>
      </c>
      <c r="V174" s="1135" t="e">
        <f>VLOOKUP(LA_code,data_prev_year,MATCH("RS"&amp;$B175&amp;"6",data_prev_year_headers,0),0)</f>
        <v>#N/A</v>
      </c>
      <c r="W174" s="631" t="e">
        <f t="shared" ref="W174:W175" si="158">V174+U174</f>
        <v>#N/A</v>
      </c>
      <c r="X174" s="631" t="e">
        <f t="shared" ref="X174:X175" si="159">V174-U174</f>
        <v>#N/A</v>
      </c>
      <c r="Y174" s="631" t="e">
        <f t="shared" ref="Y174:Y175" si="160">V174+(V174*T174)</f>
        <v>#N/A</v>
      </c>
      <c r="Z174" s="631" t="e">
        <f t="shared" ref="Z174:Z175" si="161">V174-(V174*T174)</f>
        <v>#N/A</v>
      </c>
      <c r="AA174" s="631" t="e">
        <f>IF(OR(F175&lt;X174,F175&gt;W174),"Warning","")</f>
        <v>#N/A</v>
      </c>
      <c r="AB174" s="631" t="e">
        <f>IF(OR(F175&gt;(Y174),F175&lt;(Z174)),"Warning","")</f>
        <v>#N/A</v>
      </c>
      <c r="AC174" s="631" t="e">
        <f>IF(OR(F175=0),"",IF(AND(AA174="Warning",AB174="Warning"),"Warning",""))</f>
        <v>#N/A</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619"/>
      <c r="AY174" s="619"/>
      <c r="AZ174" s="619"/>
      <c r="BA174" s="619"/>
      <c r="BB174" s="619"/>
      <c r="BC174" s="619"/>
      <c r="BD174" s="619"/>
      <c r="BE174" s="619"/>
      <c r="BF174" s="619"/>
      <c r="BG174" s="619"/>
      <c r="BH174" s="619"/>
      <c r="BI174" s="619"/>
      <c r="BJ174" s="619"/>
      <c r="BK174" s="619"/>
      <c r="BL174" s="619"/>
      <c r="BM174" s="619"/>
      <c r="BN174" s="619"/>
      <c r="BO174" s="619"/>
      <c r="BP174" s="619"/>
      <c r="BQ174" s="619"/>
      <c r="BR174" s="619"/>
      <c r="BS174" s="619"/>
      <c r="BT174" s="619"/>
      <c r="BU174" s="619"/>
      <c r="BV174" s="619"/>
      <c r="BW174" s="619"/>
      <c r="BX174" s="619"/>
      <c r="BY174" s="619"/>
      <c r="BZ174" s="619"/>
      <c r="CA174" s="619"/>
      <c r="CB174" s="619"/>
      <c r="CC174" s="619"/>
      <c r="CD174" s="619"/>
      <c r="CE174" s="619"/>
      <c r="CF174" s="619"/>
      <c r="CG174" s="619"/>
      <c r="CH174" s="619"/>
      <c r="CI174" s="619"/>
      <c r="CJ174" s="619"/>
      <c r="CK174" s="619"/>
      <c r="CL174" s="619"/>
      <c r="CM174" s="619"/>
      <c r="CN174" s="619"/>
      <c r="CO174" s="619"/>
      <c r="CP174" s="619"/>
      <c r="CQ174" s="619"/>
    </row>
    <row r="175" spans="1:95" s="1" customFormat="1" ht="15.5" x14ac:dyDescent="0.35">
      <c r="A175" s="345" t="s">
        <v>353</v>
      </c>
      <c r="B175" s="91">
        <v>983</v>
      </c>
      <c r="C175" s="6" t="s">
        <v>354</v>
      </c>
      <c r="D175" s="94"/>
      <c r="E175" s="563" t="s">
        <v>355</v>
      </c>
      <c r="F175" s="1226" t="e">
        <f>'RO4'!E110</f>
        <v>#N/A</v>
      </c>
      <c r="G175" s="1226" t="e">
        <f>'RO4'!F110</f>
        <v>#N/A</v>
      </c>
      <c r="H175" s="970" t="str">
        <f>IF(ISERROR(I175),"",IF((I175="Error"),"add explanation",IF((I175="Warning"),"add explanation","")))</f>
        <v/>
      </c>
      <c r="I175" s="545" t="e">
        <f>IF(OR(AC174="Warning",AC175="Warning"),"Warning",IF(AE175="Error","Error",""))</f>
        <v>#N/A</v>
      </c>
      <c r="J175" s="529" t="e">
        <f>IF(AC174="Warning","This year's opening balance figure is over "&amp;U174/1000&amp;" million and "&amp;(T174*100)&amp;"% different to "&amp;TEXT(V174,"#,###")&amp;" last year, please explain",IF(AE175="Error","HRA balance should not be negative. Please double check your income, expenditure and reserves level at 1st April.",""))</f>
        <v>#N/A</v>
      </c>
      <c r="K175" s="511"/>
      <c r="L175" s="514"/>
      <c r="M175" s="514"/>
      <c r="N175" s="514"/>
      <c r="O175" s="514"/>
      <c r="P175" s="610"/>
      <c r="Q175" s="619"/>
      <c r="R175" s="619"/>
      <c r="S175" s="635"/>
      <c r="T175" s="631">
        <f>VLOOKUP("RS"&amp;$B175,data_val_parameters,8,0)/100</f>
        <v>0.55000000000000004</v>
      </c>
      <c r="U175" s="631">
        <f>VLOOKUP("RS"&amp;$B175,data_val_parameters,7,0)</f>
        <v>10000</v>
      </c>
      <c r="V175" s="631" t="e">
        <f>VLOOKUP(LA_code,data_prev_year,MATCH("RS"&amp;$B175&amp;"7",data_prev_year_headers,0),0)</f>
        <v>#N/A</v>
      </c>
      <c r="W175" s="631" t="e">
        <f t="shared" si="158"/>
        <v>#N/A</v>
      </c>
      <c r="X175" s="631" t="e">
        <f t="shared" si="159"/>
        <v>#N/A</v>
      </c>
      <c r="Y175" s="631" t="e">
        <f t="shared" si="160"/>
        <v>#N/A</v>
      </c>
      <c r="Z175" s="631" t="e">
        <f t="shared" si="161"/>
        <v>#N/A</v>
      </c>
      <c r="AA175" s="631" t="e">
        <f>IF(OR(G175&lt;X175,F175&gt;W175),"Warning","")</f>
        <v>#N/A</v>
      </c>
      <c r="AB175" s="631" t="e">
        <f>IF(OR(G175&gt;(Y175),G175&lt;(Z175)),"Warning","")</f>
        <v>#N/A</v>
      </c>
      <c r="AC175" s="631" t="e">
        <f>IF(OR(G175=0),"",IF(AND(AA175="Warning",AB175="Warning"),"Warning",""))</f>
        <v>#N/A</v>
      </c>
      <c r="AD175" s="619"/>
      <c r="AE175" s="619" t="e">
        <f>IF(OR(F175&lt;0,G175&lt;0),"Error","")</f>
        <v>#N/A</v>
      </c>
      <c r="AF175" s="619"/>
      <c r="AG175" s="619"/>
      <c r="AH175" s="619"/>
      <c r="AI175" s="619"/>
      <c r="AJ175" s="619"/>
      <c r="AK175" s="619"/>
      <c r="AL175" s="619"/>
      <c r="AM175" s="619"/>
      <c r="AN175" s="619"/>
      <c r="AO175" s="619"/>
      <c r="AP175" s="619"/>
      <c r="AQ175" s="619"/>
      <c r="AR175" s="619"/>
      <c r="AS175" s="619"/>
      <c r="AT175" s="619"/>
      <c r="AU175" s="619"/>
      <c r="AV175" s="619"/>
      <c r="AW175" s="619"/>
      <c r="AX175" s="619"/>
      <c r="AY175" s="619"/>
      <c r="AZ175" s="619"/>
      <c r="BA175" s="619"/>
      <c r="BB175" s="619"/>
      <c r="BC175" s="619"/>
      <c r="BD175" s="619"/>
      <c r="BE175" s="619"/>
      <c r="BF175" s="619"/>
      <c r="BG175" s="619"/>
      <c r="BH175" s="619"/>
      <c r="BI175" s="619"/>
      <c r="BJ175" s="619"/>
      <c r="BK175" s="619"/>
      <c r="BL175" s="619"/>
      <c r="BM175" s="619"/>
      <c r="BN175" s="619"/>
      <c r="BO175" s="619"/>
      <c r="BP175" s="619"/>
      <c r="BQ175" s="619"/>
      <c r="BR175" s="619"/>
      <c r="BS175" s="619"/>
      <c r="BT175" s="619"/>
      <c r="BU175" s="619"/>
      <c r="BV175" s="619"/>
      <c r="BW175" s="619"/>
      <c r="BX175" s="619"/>
      <c r="BY175" s="619"/>
      <c r="BZ175" s="619"/>
      <c r="CA175" s="619"/>
      <c r="CB175" s="619"/>
      <c r="CC175" s="619"/>
      <c r="CD175" s="619"/>
      <c r="CE175" s="619"/>
      <c r="CF175" s="619"/>
      <c r="CG175" s="619"/>
      <c r="CH175" s="619"/>
      <c r="CI175" s="619"/>
      <c r="CJ175" s="619"/>
      <c r="CK175" s="619"/>
      <c r="CL175" s="619"/>
      <c r="CM175" s="619"/>
      <c r="CN175" s="619"/>
      <c r="CO175" s="619"/>
      <c r="CP175" s="619"/>
      <c r="CQ175" s="619"/>
    </row>
    <row r="176" spans="1:95" ht="15.5" x14ac:dyDescent="0.35">
      <c r="B176" s="182"/>
      <c r="C176" s="182"/>
      <c r="D176" s="182"/>
      <c r="E176" s="6"/>
      <c r="F176" s="6"/>
      <c r="G176" s="6"/>
      <c r="H176" s="161"/>
      <c r="I176" s="538"/>
      <c r="J176" s="529" t="e">
        <f>IF(AC175="Warning","This year's closing balance figure is over "&amp;U175/1000&amp;" million and "&amp;(T175*100)&amp;"% different to "&amp;TEXT(V175,"#,###")&amp;" last year, please explain","")</f>
        <v>#N/A</v>
      </c>
      <c r="K176" s="511"/>
      <c r="L176" s="511"/>
      <c r="M176" s="511"/>
      <c r="N176" s="511"/>
      <c r="O176" s="511"/>
      <c r="P176" s="608"/>
      <c r="Q176" s="609"/>
      <c r="R176" s="609"/>
      <c r="S176" s="637"/>
      <c r="T176" s="638"/>
      <c r="U176" s="638"/>
      <c r="V176" s="1136"/>
      <c r="W176" s="631"/>
      <c r="X176" s="631"/>
      <c r="Y176" s="631"/>
      <c r="Z176" s="631"/>
      <c r="AA176" s="631"/>
      <c r="AB176" s="631"/>
      <c r="AC176" s="631"/>
      <c r="AD176" s="609"/>
      <c r="AE176" s="609"/>
      <c r="AF176" s="609"/>
      <c r="AG176" s="609"/>
      <c r="AH176" s="609"/>
      <c r="AI176" s="609"/>
      <c r="AJ176" s="609"/>
      <c r="AK176" s="609"/>
      <c r="AL176" s="609"/>
      <c r="AM176" s="609"/>
      <c r="AN176" s="609"/>
      <c r="AO176" s="609"/>
      <c r="AP176" s="609"/>
      <c r="AQ176" s="609"/>
    </row>
    <row r="177" spans="1:95" s="1" customFormat="1" ht="15.5" x14ac:dyDescent="0.35">
      <c r="B177" s="175"/>
      <c r="C177" s="6"/>
      <c r="D177" s="6"/>
      <c r="E177" s="6"/>
      <c r="F177" s="50"/>
      <c r="G177" s="145"/>
      <c r="H177" s="161"/>
      <c r="I177" s="538"/>
      <c r="J177" s="527"/>
      <c r="K177" s="514"/>
      <c r="L177" s="514"/>
      <c r="M177" s="514"/>
      <c r="N177" s="514"/>
      <c r="O177" s="514"/>
      <c r="P177" s="610"/>
      <c r="Q177" s="619"/>
      <c r="R177" s="619"/>
      <c r="S177" s="635"/>
      <c r="T177" s="1095"/>
      <c r="U177" s="1095"/>
      <c r="V177" s="1095"/>
      <c r="W177" s="1095"/>
      <c r="X177" s="1095"/>
      <c r="Y177" s="1095"/>
      <c r="Z177" s="1095"/>
      <c r="AA177" s="1095"/>
      <c r="AB177" s="1095"/>
      <c r="AC177" s="1095"/>
      <c r="AD177" s="619"/>
      <c r="AE177" s="619"/>
      <c r="AF177" s="619"/>
      <c r="AG177" s="619"/>
      <c r="AH177" s="619"/>
      <c r="AI177" s="619"/>
      <c r="AJ177" s="619"/>
      <c r="AK177" s="619"/>
      <c r="AL177" s="619"/>
      <c r="AM177" s="619"/>
      <c r="AN177" s="619"/>
      <c r="AO177" s="619"/>
      <c r="AP177" s="619"/>
      <c r="AQ177" s="619"/>
      <c r="AR177" s="619"/>
      <c r="AS177" s="619"/>
      <c r="AT177" s="619"/>
      <c r="AU177" s="619"/>
      <c r="AV177" s="619"/>
      <c r="AW177" s="619"/>
      <c r="AX177" s="619"/>
      <c r="AY177" s="619"/>
      <c r="AZ177" s="619"/>
      <c r="BA177" s="619"/>
      <c r="BB177" s="619"/>
      <c r="BC177" s="619"/>
      <c r="BD177" s="619"/>
      <c r="BE177" s="619"/>
      <c r="BF177" s="619"/>
      <c r="BG177" s="619"/>
      <c r="BH177" s="619"/>
      <c r="BI177" s="619"/>
      <c r="BJ177" s="619"/>
      <c r="BK177" s="619"/>
      <c r="BL177" s="619"/>
      <c r="BM177" s="619"/>
      <c r="BN177" s="619"/>
      <c r="BO177" s="619"/>
      <c r="BP177" s="619"/>
      <c r="BQ177" s="619"/>
      <c r="BR177" s="619"/>
      <c r="BS177" s="619"/>
      <c r="BT177" s="619"/>
      <c r="BU177" s="619"/>
      <c r="BV177" s="619"/>
      <c r="BW177" s="619"/>
      <c r="BX177" s="619"/>
      <c r="BY177" s="619"/>
      <c r="BZ177" s="619"/>
      <c r="CA177" s="619"/>
      <c r="CB177" s="619"/>
      <c r="CC177" s="619"/>
      <c r="CD177" s="619"/>
      <c r="CE177" s="619"/>
      <c r="CF177" s="619"/>
      <c r="CG177" s="619"/>
      <c r="CH177" s="619"/>
      <c r="CI177" s="619"/>
      <c r="CJ177" s="619"/>
      <c r="CK177" s="619"/>
      <c r="CL177" s="619"/>
      <c r="CM177" s="619"/>
      <c r="CN177" s="619"/>
      <c r="CO177" s="619"/>
      <c r="CP177" s="619"/>
      <c r="CQ177" s="619"/>
    </row>
    <row r="178" spans="1:95" s="1" customFormat="1" ht="18" x14ac:dyDescent="0.4">
      <c r="B178" s="32" t="s">
        <v>356</v>
      </c>
      <c r="C178" s="6"/>
      <c r="D178" s="6"/>
      <c r="E178" s="6"/>
      <c r="F178" s="50"/>
      <c r="G178" s="145"/>
      <c r="H178" s="161"/>
      <c r="I178" s="538"/>
      <c r="J178" s="522"/>
      <c r="K178" s="514"/>
      <c r="L178" s="514"/>
      <c r="M178" s="514"/>
      <c r="N178" s="514"/>
      <c r="O178" s="514"/>
      <c r="P178" s="610"/>
      <c r="Q178" s="619"/>
      <c r="R178" s="619"/>
      <c r="S178" s="635"/>
      <c r="T178" s="1095"/>
      <c r="U178" s="1095"/>
      <c r="V178" s="1095"/>
      <c r="W178" s="1095"/>
      <c r="X178" s="1095"/>
      <c r="Y178" s="1095"/>
      <c r="Z178" s="1095"/>
      <c r="AA178" s="1095"/>
      <c r="AB178" s="1095"/>
      <c r="AC178" s="1095"/>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619"/>
      <c r="BV178" s="619"/>
      <c r="BW178" s="619"/>
      <c r="BX178" s="619"/>
      <c r="BY178" s="619"/>
      <c r="BZ178" s="619"/>
      <c r="CA178" s="619"/>
      <c r="CB178" s="619"/>
      <c r="CC178" s="619"/>
      <c r="CD178" s="619"/>
      <c r="CE178" s="619"/>
      <c r="CF178" s="619"/>
      <c r="CG178" s="619"/>
      <c r="CH178" s="619"/>
      <c r="CI178" s="619"/>
      <c r="CJ178" s="619"/>
      <c r="CK178" s="619"/>
      <c r="CL178" s="619"/>
      <c r="CM178" s="619"/>
      <c r="CN178" s="619"/>
      <c r="CO178" s="619"/>
      <c r="CP178" s="619"/>
      <c r="CQ178" s="619"/>
    </row>
    <row r="179" spans="1:95" s="1" customFormat="1" ht="15.5" x14ac:dyDescent="0.35">
      <c r="C179" s="412" t="s">
        <v>357</v>
      </c>
      <c r="D179" s="409"/>
      <c r="E179" s="409"/>
      <c r="F179" s="75" t="s">
        <v>60</v>
      </c>
      <c r="G179" s="145"/>
      <c r="H179" s="161"/>
      <c r="I179" s="538"/>
      <c r="J179" s="522"/>
      <c r="K179" s="514"/>
      <c r="L179" s="514"/>
      <c r="M179" s="514"/>
      <c r="N179" s="514"/>
      <c r="O179" s="514"/>
      <c r="P179" s="610"/>
      <c r="Q179" s="619"/>
      <c r="R179" s="619"/>
      <c r="S179" s="635"/>
      <c r="T179" s="1095"/>
      <c r="U179" s="1095"/>
      <c r="V179" s="1095"/>
      <c r="W179" s="1095"/>
      <c r="X179" s="1095"/>
      <c r="Y179" s="1095"/>
      <c r="Z179" s="1095"/>
      <c r="AA179" s="1095"/>
      <c r="AB179" s="1095"/>
      <c r="AC179" s="1095"/>
      <c r="AD179" s="619"/>
      <c r="AE179" s="619"/>
      <c r="AF179" s="619"/>
      <c r="AG179" s="619"/>
      <c r="AH179" s="619"/>
      <c r="AI179" s="619"/>
      <c r="AJ179" s="619"/>
      <c r="AK179" s="619"/>
      <c r="AL179" s="619"/>
      <c r="AM179" s="619"/>
      <c r="AN179" s="619"/>
      <c r="AO179" s="619"/>
      <c r="AP179" s="619"/>
      <c r="AQ179" s="619"/>
      <c r="AR179" s="619"/>
      <c r="AS179" s="619"/>
      <c r="AT179" s="619"/>
      <c r="AU179" s="619"/>
      <c r="AV179" s="619"/>
      <c r="AW179" s="619"/>
      <c r="AX179" s="619"/>
      <c r="AY179" s="619"/>
      <c r="AZ179" s="619"/>
      <c r="BA179" s="619"/>
      <c r="BB179" s="619"/>
      <c r="BC179" s="619"/>
      <c r="BD179" s="619"/>
      <c r="BE179" s="619"/>
      <c r="BF179" s="619"/>
      <c r="BG179" s="619"/>
      <c r="BH179" s="619"/>
      <c r="BI179" s="619"/>
      <c r="BJ179" s="619"/>
      <c r="BK179" s="619"/>
      <c r="BL179" s="619"/>
      <c r="BM179" s="619"/>
      <c r="BN179" s="619"/>
      <c r="BO179" s="619"/>
      <c r="BP179" s="619"/>
      <c r="BQ179" s="619"/>
      <c r="BR179" s="619"/>
      <c r="BS179" s="619"/>
      <c r="BT179" s="619"/>
      <c r="BU179" s="619"/>
      <c r="BV179" s="619"/>
      <c r="BW179" s="619"/>
      <c r="BX179" s="619"/>
      <c r="BY179" s="619"/>
      <c r="BZ179" s="619"/>
      <c r="CA179" s="619"/>
      <c r="CB179" s="619"/>
      <c r="CC179" s="619"/>
      <c r="CD179" s="619"/>
      <c r="CE179" s="619"/>
      <c r="CF179" s="619"/>
      <c r="CG179" s="619"/>
      <c r="CH179" s="619"/>
      <c r="CI179" s="619"/>
      <c r="CJ179" s="619"/>
      <c r="CK179" s="619"/>
      <c r="CL179" s="619"/>
      <c r="CM179" s="619"/>
      <c r="CN179" s="619"/>
      <c r="CO179" s="619"/>
      <c r="CP179" s="619"/>
      <c r="CQ179" s="619"/>
    </row>
    <row r="180" spans="1:95" s="1" customFormat="1" ht="15.5" x14ac:dyDescent="0.35">
      <c r="A180" s="1" t="s">
        <v>358</v>
      </c>
      <c r="B180" s="84">
        <v>994</v>
      </c>
      <c r="C180" s="24" t="s">
        <v>359</v>
      </c>
      <c r="D180" s="6"/>
      <c r="E180" s="6"/>
      <c r="F180" s="1222"/>
      <c r="G180" s="1178" t="str">
        <f t="shared" ref="G180:G181" si="162">IF(ISERROR(H180),"",IF((H180="Error"),"add explanation",IF((H180="Warning"),"add explanation","")))</f>
        <v/>
      </c>
      <c r="H180" s="113" t="e">
        <f>IF(S180&lt;&gt;"","Warning",IF(F180&gt;40000,"Warning",""))</f>
        <v>#N/A</v>
      </c>
      <c r="I180" s="528" t="e">
        <f>IF(AND($H180="Warning",$F180=0),"A value is expected for your class of local authority please complete",IF(AND($H180="Warning",$F180&gt;40000),"Please check that you have entered this in £000 and not £",""))</f>
        <v>#N/A</v>
      </c>
      <c r="J180" s="529" t="e">
        <f>IF(AD180="Warning","This year's figure is over "&amp;V180/1000&amp;" million and "&amp;(U180*100)&amp;"% different to "&amp;TEXT(W180,"#,###")&amp;" last year, please explain","")</f>
        <v>#N/A</v>
      </c>
      <c r="K180" s="511"/>
      <c r="L180" s="514"/>
      <c r="M180" s="514"/>
      <c r="N180" s="514"/>
      <c r="O180" s="514"/>
      <c r="P180" s="610"/>
      <c r="Q180" s="619"/>
      <c r="R180" s="619"/>
      <c r="S180" s="635" t="e">
        <f>IF(AND(F180=0,T180=1),"Warning","")</f>
        <v>#N/A</v>
      </c>
      <c r="T180" s="1095" t="e">
        <f>VLOOKUP(LA_code,'LA List'!C3:J416,7,0)</f>
        <v>#N/A</v>
      </c>
      <c r="U180" s="631">
        <f>VLOOKUP("RS"&amp;$B180,data_val_parameters,8,0)/100</f>
        <v>0.35</v>
      </c>
      <c r="V180" s="631">
        <f t="shared" ref="V180:V182" si="163">VLOOKUP("RS"&amp;$B180,data_val_parameters,7,0)</f>
        <v>500</v>
      </c>
      <c r="W180" s="631" t="e">
        <f>VLOOKUP(LA_code,data_prev_year,MATCH("RS"&amp;$B180&amp;"8",data_prev_year_headers,0),0)</f>
        <v>#N/A</v>
      </c>
      <c r="X180" s="631" t="e">
        <f t="shared" ref="X180" si="164">W180+V180</f>
        <v>#N/A</v>
      </c>
      <c r="Y180" s="631" t="e">
        <f t="shared" ref="Y180" si="165">W180-V180</f>
        <v>#N/A</v>
      </c>
      <c r="Z180" s="631" t="e">
        <f t="shared" ref="Z180" si="166">W180+(W180*U180)</f>
        <v>#N/A</v>
      </c>
      <c r="AA180" s="631" t="e">
        <f t="shared" ref="AA180" si="167">W180-(W180*U180)</f>
        <v>#N/A</v>
      </c>
      <c r="AB180" s="631" t="e">
        <f>IF(OR(G180&lt;Y180,G180&gt;X180),"Warning","")</f>
        <v>#N/A</v>
      </c>
      <c r="AC180" s="631" t="e">
        <f>IF(OR(G180&gt;(Z180),G180&lt;(AA180)),"Warning","")</f>
        <v>#N/A</v>
      </c>
      <c r="AD180" s="609" t="e">
        <f>IF(OR(G180=0),"",IF(AND(AB180="Warning",AC180="Warning"),"Warning",""))</f>
        <v>#N/A</v>
      </c>
      <c r="AE180" s="619"/>
      <c r="AF180" s="619"/>
      <c r="AG180" s="619"/>
      <c r="AH180" s="619"/>
      <c r="AI180" s="619"/>
      <c r="AJ180" s="619"/>
      <c r="AK180" s="619"/>
      <c r="AL180" s="619"/>
      <c r="AM180" s="619"/>
      <c r="AN180" s="619"/>
      <c r="AO180" s="619"/>
      <c r="AP180" s="619"/>
      <c r="AQ180" s="619"/>
      <c r="AR180" s="619"/>
      <c r="AS180" s="619"/>
      <c r="AT180" s="619"/>
      <c r="AU180" s="619"/>
      <c r="AV180" s="619"/>
      <c r="AW180" s="619"/>
      <c r="AX180" s="619"/>
      <c r="AY180" s="619"/>
      <c r="AZ180" s="619"/>
      <c r="BA180" s="619"/>
      <c r="BB180" s="619"/>
      <c r="BC180" s="619"/>
      <c r="BD180" s="619"/>
      <c r="BE180" s="619"/>
      <c r="BF180" s="619"/>
      <c r="BG180" s="619"/>
      <c r="BH180" s="619"/>
      <c r="BI180" s="619"/>
      <c r="BJ180" s="619"/>
      <c r="BK180" s="619"/>
      <c r="BL180" s="619"/>
      <c r="BM180" s="619"/>
      <c r="BN180" s="619"/>
      <c r="BO180" s="619"/>
      <c r="BP180" s="619"/>
      <c r="BQ180" s="619"/>
      <c r="BR180" s="619"/>
      <c r="BS180" s="619"/>
      <c r="BT180" s="619"/>
      <c r="BU180" s="619"/>
      <c r="BV180" s="619"/>
      <c r="BW180" s="619"/>
      <c r="BX180" s="619"/>
      <c r="BY180" s="619"/>
      <c r="BZ180" s="619"/>
      <c r="CA180" s="619"/>
      <c r="CB180" s="619"/>
      <c r="CC180" s="619"/>
      <c r="CD180" s="619"/>
      <c r="CE180" s="619"/>
      <c r="CF180" s="619"/>
      <c r="CG180" s="619"/>
      <c r="CH180" s="619"/>
      <c r="CI180" s="619"/>
      <c r="CJ180" s="619"/>
      <c r="CK180" s="619"/>
      <c r="CL180" s="619"/>
      <c r="CM180" s="619"/>
      <c r="CN180" s="619"/>
      <c r="CO180" s="619"/>
      <c r="CP180" s="619"/>
      <c r="CQ180" s="619"/>
    </row>
    <row r="181" spans="1:95" s="1" customFormat="1" ht="15.5" x14ac:dyDescent="0.35">
      <c r="A181" s="1" t="s">
        <v>360</v>
      </c>
      <c r="B181" s="84">
        <v>995</v>
      </c>
      <c r="C181" s="24" t="s">
        <v>361</v>
      </c>
      <c r="D181" s="6"/>
      <c r="E181" s="6"/>
      <c r="F181" s="1222"/>
      <c r="G181" s="1178" t="str">
        <f t="shared" si="162"/>
        <v/>
      </c>
      <c r="H181" s="113" t="e">
        <f>IF(S181&lt;&gt;"","Warning",IF(F181&gt;75000,"Warning",""))</f>
        <v>#N/A</v>
      </c>
      <c r="I181" s="528" t="e">
        <f>IF(AND($H181="Warning",$F181=0),"A value is expected for your class of local authority please complete",IF(AND($H181="Warning",$F181&gt;75000),"Please check that you have entered this in £000 and not £",""))</f>
        <v>#N/A</v>
      </c>
      <c r="J181" s="529" t="e">
        <f t="shared" ref="J181:J182" si="168">IF(AD181="Warning","This year's figure is over "&amp;V181/1000&amp;" million and "&amp;(U181*100)&amp;"% different to "&amp;TEXT(W181,"#,###")&amp;" last year, please explain","")</f>
        <v>#N/A</v>
      </c>
      <c r="K181" s="511"/>
      <c r="L181" s="514"/>
      <c r="M181" s="514"/>
      <c r="N181" s="514"/>
      <c r="O181" s="514"/>
      <c r="P181" s="610"/>
      <c r="Q181" s="619"/>
      <c r="R181" s="619"/>
      <c r="S181" s="635" t="e">
        <f>IF(AND(F181=0,T181=1),"Warning","")</f>
        <v>#N/A</v>
      </c>
      <c r="T181" s="1095" t="e">
        <f>VLOOKUP(LA_code,'LA List'!C3:J416,7,0)</f>
        <v>#N/A</v>
      </c>
      <c r="U181" s="631">
        <f>VLOOKUP("RS"&amp;$B181,data_val_parameters,8,0)/100</f>
        <v>0.35</v>
      </c>
      <c r="V181" s="631">
        <f t="shared" si="163"/>
        <v>500</v>
      </c>
      <c r="W181" s="631" t="e">
        <f>VLOOKUP(LA_code,data_prev_year,MATCH("RS"&amp;$B181&amp;"8",data_prev_year_headers,0),0)</f>
        <v>#N/A</v>
      </c>
      <c r="X181" s="631" t="e">
        <f t="shared" ref="X181:X182" si="169">W181+V181</f>
        <v>#N/A</v>
      </c>
      <c r="Y181" s="631" t="e">
        <f t="shared" ref="Y181:Y182" si="170">W181-V181</f>
        <v>#N/A</v>
      </c>
      <c r="Z181" s="631" t="e">
        <f t="shared" ref="Z181:Z182" si="171">W181+(W181*U181)</f>
        <v>#N/A</v>
      </c>
      <c r="AA181" s="631" t="e">
        <f t="shared" ref="AA181:AA182" si="172">W181-(W181*U181)</f>
        <v>#N/A</v>
      </c>
      <c r="AB181" s="631" t="e">
        <f>IF(OR(G181&lt;Y181,G181&gt;X181),"Warning","")</f>
        <v>#N/A</v>
      </c>
      <c r="AC181" s="631" t="e">
        <f>IF(OR(G181&gt;(Z181),G181&lt;(AA181)),"Warning","")</f>
        <v>#N/A</v>
      </c>
      <c r="AD181" s="609" t="e">
        <f>IF(OR(G181=0),"",IF(AND(AB181="Warning",AC181="Warning"),"Warning",""))</f>
        <v>#N/A</v>
      </c>
      <c r="AE181" s="619"/>
      <c r="AF181" s="619"/>
      <c r="AG181" s="619"/>
      <c r="AH181" s="619"/>
      <c r="AI181" s="619"/>
      <c r="AJ181" s="619"/>
      <c r="AK181" s="619"/>
      <c r="AL181" s="619"/>
      <c r="AM181" s="619"/>
      <c r="AN181" s="619"/>
      <c r="AO181" s="619"/>
      <c r="AP181" s="619"/>
      <c r="AQ181" s="619"/>
      <c r="AR181" s="619"/>
      <c r="AS181" s="619"/>
      <c r="AT181" s="619"/>
      <c r="AU181" s="619"/>
      <c r="AV181" s="619"/>
      <c r="AW181" s="619"/>
      <c r="AX181" s="619"/>
      <c r="AY181" s="619"/>
      <c r="AZ181" s="619"/>
      <c r="BA181" s="619"/>
      <c r="BB181" s="619"/>
      <c r="BC181" s="619"/>
      <c r="BD181" s="619"/>
      <c r="BE181" s="619"/>
      <c r="BF181" s="619"/>
      <c r="BG181" s="619"/>
      <c r="BH181" s="619"/>
      <c r="BI181" s="619"/>
      <c r="BJ181" s="619"/>
      <c r="BK181" s="619"/>
      <c r="BL181" s="619"/>
      <c r="BM181" s="619"/>
      <c r="BN181" s="619"/>
      <c r="BO181" s="619"/>
      <c r="BP181" s="619"/>
      <c r="BQ181" s="619"/>
      <c r="BR181" s="619"/>
      <c r="BS181" s="619"/>
      <c r="BT181" s="619"/>
      <c r="BU181" s="619"/>
      <c r="BV181" s="619"/>
      <c r="BW181" s="619"/>
      <c r="BX181" s="619"/>
      <c r="BY181" s="619"/>
      <c r="BZ181" s="619"/>
      <c r="CA181" s="619"/>
      <c r="CB181" s="619"/>
      <c r="CC181" s="619"/>
      <c r="CD181" s="619"/>
      <c r="CE181" s="619"/>
      <c r="CF181" s="619"/>
      <c r="CG181" s="619"/>
      <c r="CH181" s="619"/>
      <c r="CI181" s="619"/>
      <c r="CJ181" s="619"/>
      <c r="CK181" s="619"/>
      <c r="CL181" s="619"/>
      <c r="CM181" s="619"/>
      <c r="CN181" s="619"/>
      <c r="CO181" s="619"/>
      <c r="CP181" s="619"/>
      <c r="CQ181" s="619"/>
    </row>
    <row r="182" spans="1:95" s="1" customFormat="1" ht="15.5" x14ac:dyDescent="0.35">
      <c r="A182" s="1" t="s">
        <v>362</v>
      </c>
      <c r="B182" s="84">
        <v>996</v>
      </c>
      <c r="C182" s="82" t="s">
        <v>363</v>
      </c>
      <c r="D182" s="6"/>
      <c r="E182" s="6"/>
      <c r="F182" s="1223">
        <f>SUM(F180:F181)</f>
        <v>0</v>
      </c>
      <c r="G182" s="1178" t="str">
        <f>IF(ISERROR(H182),"",IF((H182="Error"),"add explanation",IF((H182="Warning"),"add explanation","")))</f>
        <v/>
      </c>
      <c r="H182" s="113" t="e">
        <f>IF(S182&lt;&gt;"","Warning",IF(F182&gt;115000,"Warning",""))</f>
        <v>#N/A</v>
      </c>
      <c r="I182" s="528" t="e">
        <f>IF(AND($H182="Warning",$F182=0),"A value is expected for your class of local authority please complete",IF(AND($H182="Warning",$F182&gt;115000),"Please check that you have entered this in £000 and not £",""))</f>
        <v>#N/A</v>
      </c>
      <c r="J182" s="529" t="e">
        <f t="shared" si="168"/>
        <v>#N/A</v>
      </c>
      <c r="K182" s="511"/>
      <c r="L182" s="514"/>
      <c r="M182" s="514"/>
      <c r="N182" s="514"/>
      <c r="O182" s="514"/>
      <c r="P182" s="610"/>
      <c r="Q182" s="619"/>
      <c r="R182" s="619"/>
      <c r="S182" s="635" t="e">
        <f>IF(AND(F182=0,T182=1),"Warning","")</f>
        <v>#N/A</v>
      </c>
      <c r="T182" s="1095" t="e">
        <f>VLOOKUP(LA_code,'LA List'!C3:J416,7,0)</f>
        <v>#N/A</v>
      </c>
      <c r="U182" s="631">
        <f>VLOOKUP("RS"&amp;$B182,data_val_parameters,8,0)/100</f>
        <v>0.35</v>
      </c>
      <c r="V182" s="631">
        <f t="shared" si="163"/>
        <v>500</v>
      </c>
      <c r="W182" s="631" t="e">
        <f>VLOOKUP(LA_code,data_prev_year,MATCH("RS"&amp;$B182&amp;"8",data_prev_year_headers,0),0)</f>
        <v>#N/A</v>
      </c>
      <c r="X182" s="631" t="e">
        <f t="shared" si="169"/>
        <v>#N/A</v>
      </c>
      <c r="Y182" s="631" t="e">
        <f t="shared" si="170"/>
        <v>#N/A</v>
      </c>
      <c r="Z182" s="631" t="e">
        <f t="shared" si="171"/>
        <v>#N/A</v>
      </c>
      <c r="AA182" s="631" t="e">
        <f t="shared" si="172"/>
        <v>#N/A</v>
      </c>
      <c r="AB182" s="631" t="e">
        <f>IF(OR(G182&lt;Y182,G182&gt;X182),"Warning","")</f>
        <v>#N/A</v>
      </c>
      <c r="AC182" s="631" t="e">
        <f>IF(OR(G182&gt;(Z182),G182&lt;(AA182)),"Warning","")</f>
        <v>#N/A</v>
      </c>
      <c r="AD182" s="609" t="e">
        <f>IF(OR(G182=0),"",IF(AND(AB182="Warning",AC182="Warning"),"Warning",""))</f>
        <v>#N/A</v>
      </c>
      <c r="AE182" s="619"/>
      <c r="AF182" s="619"/>
      <c r="AG182" s="619"/>
      <c r="AH182" s="619"/>
      <c r="AI182" s="619"/>
      <c r="AJ182" s="619"/>
      <c r="AK182" s="619"/>
      <c r="AL182" s="619"/>
      <c r="AM182" s="619"/>
      <c r="AN182" s="619"/>
      <c r="AO182" s="619"/>
      <c r="AP182" s="619"/>
      <c r="AQ182" s="619"/>
      <c r="AR182" s="619"/>
      <c r="AS182" s="619"/>
      <c r="AT182" s="619"/>
      <c r="AU182" s="619"/>
      <c r="AV182" s="619"/>
      <c r="AW182" s="619"/>
      <c r="AX182" s="619"/>
      <c r="AY182" s="619"/>
      <c r="AZ182" s="619"/>
      <c r="BA182" s="619"/>
      <c r="BB182" s="619"/>
      <c r="BC182" s="619"/>
      <c r="BD182" s="619"/>
      <c r="BE182" s="619"/>
      <c r="BF182" s="619"/>
      <c r="BG182" s="619"/>
      <c r="BH182" s="619"/>
      <c r="BI182" s="619"/>
      <c r="BJ182" s="619"/>
      <c r="BK182" s="619"/>
      <c r="BL182" s="619"/>
      <c r="BM182" s="619"/>
      <c r="BN182" s="619"/>
      <c r="BO182" s="619"/>
      <c r="BP182" s="619"/>
      <c r="BQ182" s="619"/>
      <c r="BR182" s="619"/>
      <c r="BS182" s="619"/>
      <c r="BT182" s="619"/>
      <c r="BU182" s="619"/>
      <c r="BV182" s="619"/>
      <c r="BW182" s="619"/>
      <c r="BX182" s="619"/>
      <c r="BY182" s="619"/>
      <c r="BZ182" s="619"/>
      <c r="CA182" s="619"/>
      <c r="CB182" s="619"/>
      <c r="CC182" s="619"/>
      <c r="CD182" s="619"/>
      <c r="CE182" s="619"/>
      <c r="CF182" s="619"/>
      <c r="CG182" s="619"/>
      <c r="CH182" s="619"/>
      <c r="CI182" s="619"/>
      <c r="CJ182" s="619"/>
      <c r="CK182" s="619"/>
      <c r="CL182" s="619"/>
      <c r="CM182" s="619"/>
      <c r="CN182" s="619"/>
      <c r="CO182" s="619"/>
      <c r="CP182" s="619"/>
      <c r="CQ182" s="619"/>
    </row>
    <row r="183" spans="1:95" s="1" customFormat="1" ht="15.5" x14ac:dyDescent="0.35">
      <c r="B183" s="84"/>
      <c r="C183" s="24"/>
      <c r="D183" s="6"/>
      <c r="E183" s="6"/>
      <c r="F183" s="50"/>
      <c r="G183" s="1179"/>
      <c r="H183" s="161"/>
      <c r="I183" s="538"/>
      <c r="J183" s="522"/>
      <c r="K183" s="514"/>
      <c r="L183" s="514"/>
      <c r="M183" s="514"/>
      <c r="N183" s="514"/>
      <c r="O183" s="514"/>
      <c r="P183" s="610"/>
      <c r="Q183" s="619"/>
      <c r="R183" s="619"/>
      <c r="S183" s="635"/>
      <c r="T183" s="1095"/>
      <c r="U183" s="1095"/>
      <c r="V183" s="1095"/>
      <c r="W183" s="1095"/>
      <c r="X183" s="1095"/>
      <c r="Y183" s="1095"/>
      <c r="Z183" s="1095"/>
      <c r="AA183" s="1095"/>
      <c r="AB183" s="1095"/>
      <c r="AC183" s="1095"/>
      <c r="AD183" s="619"/>
      <c r="AE183" s="619"/>
      <c r="AF183" s="619"/>
      <c r="AG183" s="619"/>
      <c r="AH183" s="619"/>
      <c r="AI183" s="619"/>
      <c r="AJ183" s="619"/>
      <c r="AK183" s="619"/>
      <c r="AL183" s="619"/>
      <c r="AM183" s="619"/>
      <c r="AN183" s="619"/>
      <c r="AO183" s="619"/>
      <c r="AP183" s="619"/>
      <c r="AQ183" s="619"/>
      <c r="AR183" s="619"/>
      <c r="AS183" s="619"/>
      <c r="AT183" s="619"/>
      <c r="AU183" s="619"/>
      <c r="AV183" s="619"/>
      <c r="AW183" s="619"/>
      <c r="AX183" s="619"/>
      <c r="AY183" s="619"/>
      <c r="AZ183" s="619"/>
      <c r="BA183" s="619"/>
      <c r="BB183" s="619"/>
      <c r="BC183" s="619"/>
      <c r="BD183" s="619"/>
      <c r="BE183" s="619"/>
      <c r="BF183" s="619"/>
      <c r="BG183" s="619"/>
      <c r="BH183" s="619"/>
      <c r="BI183" s="619"/>
      <c r="BJ183" s="619"/>
      <c r="BK183" s="619"/>
      <c r="BL183" s="619"/>
      <c r="BM183" s="619"/>
      <c r="BN183" s="619"/>
      <c r="BO183" s="619"/>
      <c r="BP183" s="619"/>
      <c r="BQ183" s="619"/>
      <c r="BR183" s="619"/>
      <c r="BS183" s="619"/>
      <c r="BT183" s="619"/>
      <c r="BU183" s="619"/>
      <c r="BV183" s="619"/>
      <c r="BW183" s="619"/>
      <c r="BX183" s="619"/>
      <c r="BY183" s="619"/>
      <c r="BZ183" s="619"/>
      <c r="CA183" s="619"/>
      <c r="CB183" s="619"/>
      <c r="CC183" s="619"/>
      <c r="CD183" s="619"/>
      <c r="CE183" s="619"/>
      <c r="CF183" s="619"/>
      <c r="CG183" s="619"/>
      <c r="CH183" s="619"/>
      <c r="CI183" s="619"/>
      <c r="CJ183" s="619"/>
      <c r="CK183" s="619"/>
      <c r="CL183" s="619"/>
      <c r="CM183" s="619"/>
      <c r="CN183" s="619"/>
      <c r="CO183" s="619"/>
      <c r="CP183" s="619"/>
      <c r="CQ183" s="619"/>
    </row>
    <row r="184" spans="1:95" s="1" customFormat="1" ht="15.5" x14ac:dyDescent="0.35">
      <c r="B184" s="412"/>
      <c r="C184" s="24"/>
      <c r="D184" s="6"/>
      <c r="E184" s="6"/>
      <c r="F184" s="75" t="s">
        <v>60</v>
      </c>
      <c r="G184" s="1179"/>
      <c r="H184" s="161"/>
      <c r="I184" s="538"/>
      <c r="J184" s="522"/>
      <c r="K184" s="514"/>
      <c r="L184" s="514"/>
      <c r="M184" s="514"/>
      <c r="N184" s="514"/>
      <c r="O184" s="514"/>
      <c r="P184" s="610"/>
      <c r="Q184" s="619"/>
      <c r="R184" s="619"/>
      <c r="S184" s="635"/>
      <c r="T184" s="1095"/>
      <c r="U184" s="1095"/>
      <c r="V184" s="1095"/>
      <c r="W184" s="1095"/>
      <c r="X184" s="1095"/>
      <c r="Y184" s="1095"/>
      <c r="Z184" s="1095"/>
      <c r="AA184" s="1095"/>
      <c r="AB184" s="1095"/>
      <c r="AC184" s="1095"/>
      <c r="AD184" s="619"/>
      <c r="AE184" s="619"/>
      <c r="AF184" s="619"/>
      <c r="AG184" s="619"/>
      <c r="AH184" s="619"/>
      <c r="AI184" s="619"/>
      <c r="AJ184" s="619"/>
      <c r="AK184" s="619"/>
      <c r="AL184" s="619"/>
      <c r="AM184" s="619"/>
      <c r="AN184" s="619"/>
      <c r="AO184" s="619"/>
      <c r="AP184" s="619"/>
      <c r="AQ184" s="619"/>
      <c r="AR184" s="619"/>
      <c r="AS184" s="619"/>
      <c r="AT184" s="619"/>
      <c r="AU184" s="619"/>
      <c r="AV184" s="619"/>
      <c r="AW184" s="619"/>
      <c r="AX184" s="619"/>
      <c r="AY184" s="619"/>
      <c r="AZ184" s="619"/>
      <c r="BA184" s="619"/>
      <c r="BB184" s="619"/>
      <c r="BC184" s="619"/>
      <c r="BD184" s="619"/>
      <c r="BE184" s="619"/>
      <c r="BF184" s="619"/>
      <c r="BG184" s="619"/>
      <c r="BH184" s="619"/>
      <c r="BI184" s="619"/>
      <c r="BJ184" s="619"/>
      <c r="BK184" s="619"/>
      <c r="BL184" s="619"/>
      <c r="BM184" s="619"/>
      <c r="BN184" s="619"/>
      <c r="BO184" s="619"/>
      <c r="BP184" s="619"/>
      <c r="BQ184" s="619"/>
      <c r="BR184" s="619"/>
      <c r="BS184" s="619"/>
      <c r="BT184" s="619"/>
      <c r="BU184" s="619"/>
      <c r="BV184" s="619"/>
      <c r="BW184" s="619"/>
      <c r="BX184" s="619"/>
      <c r="BY184" s="619"/>
      <c r="BZ184" s="619"/>
      <c r="CA184" s="619"/>
      <c r="CB184" s="619"/>
      <c r="CC184" s="619"/>
      <c r="CD184" s="619"/>
      <c r="CE184" s="619"/>
      <c r="CF184" s="619"/>
      <c r="CG184" s="619"/>
      <c r="CH184" s="619"/>
      <c r="CI184" s="619"/>
      <c r="CJ184" s="619"/>
      <c r="CK184" s="619"/>
      <c r="CL184" s="619"/>
      <c r="CM184" s="619"/>
      <c r="CN184" s="619"/>
      <c r="CO184" s="619"/>
      <c r="CP184" s="619"/>
      <c r="CQ184" s="619"/>
    </row>
    <row r="185" spans="1:95" s="1" customFormat="1" ht="28.5" x14ac:dyDescent="0.35">
      <c r="A185" s="1" t="s">
        <v>364</v>
      </c>
      <c r="B185" s="84">
        <v>997</v>
      </c>
      <c r="C185" s="414" t="s">
        <v>365</v>
      </c>
      <c r="D185" s="6"/>
      <c r="E185" s="6"/>
      <c r="F185" s="1222"/>
      <c r="G185" s="1178" t="str">
        <f>IF(ISERROR(H185),"",IF((H185="Error"),"add explanation",IF((H185="Warning"),"add explanation","")))</f>
        <v/>
      </c>
      <c r="H185" s="113" t="str">
        <f>IF(AC185="Warning","Warning","")</f>
        <v/>
      </c>
      <c r="I185" s="529" t="str">
        <f>IF(H185="Warning","This year's figure is over "&amp;U185/1000&amp;" million and "&amp;(T185*100)&amp;"% different to "&amp;TEXT(V185,"#,###")&amp;" last year, please explain","")</f>
        <v/>
      </c>
      <c r="J185" s="522"/>
      <c r="K185" s="511"/>
      <c r="L185" s="514"/>
      <c r="M185" s="514"/>
      <c r="N185" s="514"/>
      <c r="O185" s="514"/>
      <c r="P185" s="610"/>
      <c r="Q185" s="619"/>
      <c r="R185" s="619"/>
      <c r="S185" s="635"/>
      <c r="T185" s="631">
        <f>VLOOKUP("RS"&amp;$B185,data_val_parameters,8,0)/100</f>
        <v>0.45</v>
      </c>
      <c r="U185" s="631">
        <f t="shared" ref="U185" si="173">VLOOKUP("RS"&amp;$B185,data_val_parameters,7,0)</f>
        <v>4000</v>
      </c>
      <c r="V185" s="631" t="e">
        <f>VLOOKUP(LA_code,data_prev_year,MATCH("RS"&amp;$B185&amp;"8",data_prev_year_headers,0),0)</f>
        <v>#N/A</v>
      </c>
      <c r="W185" s="631" t="e">
        <f t="shared" ref="W185" si="174">V185+U185</f>
        <v>#N/A</v>
      </c>
      <c r="X185" s="631" t="e">
        <f t="shared" ref="X185" si="175">V185-U185</f>
        <v>#N/A</v>
      </c>
      <c r="Y185" s="631" t="e">
        <f t="shared" ref="Y185" si="176">V185+(V185*T185)</f>
        <v>#N/A</v>
      </c>
      <c r="Z185" s="631" t="e">
        <f t="shared" ref="Z185" si="177">V185-(V185*T185)</f>
        <v>#N/A</v>
      </c>
      <c r="AA185" s="631" t="e">
        <f>IF(OR(F185&lt;X185,F185&gt;W185),"Warning","")</f>
        <v>#N/A</v>
      </c>
      <c r="AB185" s="631" t="e">
        <f>IF(OR(F185&gt;(Y185),F185&lt;(Z185)),"Warning","")</f>
        <v>#N/A</v>
      </c>
      <c r="AC185" s="631" t="str">
        <f>IF(OR(F185=0),"",IF(AND(AA185="Warning",AB185="Warning"),"Warning",""))</f>
        <v/>
      </c>
      <c r="AD185" s="619"/>
      <c r="AE185" s="619"/>
      <c r="AF185" s="619"/>
      <c r="AG185" s="619"/>
      <c r="AH185" s="619"/>
      <c r="AI185" s="619"/>
      <c r="AJ185" s="619"/>
      <c r="AK185" s="619"/>
      <c r="AL185" s="619"/>
      <c r="AM185" s="619"/>
      <c r="AN185" s="619"/>
      <c r="AO185" s="619"/>
      <c r="AP185" s="619"/>
      <c r="AQ185" s="619"/>
      <c r="AR185" s="619"/>
      <c r="AS185" s="619"/>
      <c r="AT185" s="619"/>
      <c r="AU185" s="619"/>
      <c r="AV185" s="619"/>
      <c r="AW185" s="619"/>
      <c r="AX185" s="619"/>
      <c r="AY185" s="619"/>
      <c r="AZ185" s="619"/>
      <c r="BA185" s="619"/>
      <c r="BB185" s="619"/>
      <c r="BC185" s="619"/>
      <c r="BD185" s="619"/>
      <c r="BE185" s="619"/>
      <c r="BF185" s="619"/>
      <c r="BG185" s="619"/>
      <c r="BH185" s="619"/>
      <c r="BI185" s="619"/>
      <c r="BJ185" s="619"/>
      <c r="BK185" s="619"/>
      <c r="BL185" s="619"/>
      <c r="BM185" s="619"/>
      <c r="BN185" s="619"/>
      <c r="BO185" s="619"/>
      <c r="BP185" s="619"/>
      <c r="BQ185" s="619"/>
      <c r="BR185" s="619"/>
      <c r="BS185" s="619"/>
      <c r="BT185" s="619"/>
      <c r="BU185" s="619"/>
      <c r="BV185" s="619"/>
      <c r="BW185" s="619"/>
      <c r="BX185" s="619"/>
      <c r="BY185" s="619"/>
      <c r="BZ185" s="619"/>
      <c r="CA185" s="619"/>
      <c r="CB185" s="619"/>
      <c r="CC185" s="619"/>
      <c r="CD185" s="619"/>
      <c r="CE185" s="619"/>
      <c r="CF185" s="619"/>
      <c r="CG185" s="619"/>
      <c r="CH185" s="619"/>
      <c r="CI185" s="619"/>
      <c r="CJ185" s="619"/>
      <c r="CK185" s="619"/>
      <c r="CL185" s="619"/>
      <c r="CM185" s="619"/>
      <c r="CN185" s="619"/>
      <c r="CO185" s="619"/>
      <c r="CP185" s="619"/>
      <c r="CQ185" s="619"/>
    </row>
    <row r="186" spans="1:95" s="1" customFormat="1" ht="15.5" x14ac:dyDescent="0.35">
      <c r="B186" s="84"/>
      <c r="C186" s="280"/>
      <c r="D186" s="6"/>
      <c r="E186" s="6"/>
      <c r="F186" s="50"/>
      <c r="G186" s="1180"/>
      <c r="H186" s="161"/>
      <c r="I186" s="538"/>
      <c r="J186" s="527"/>
      <c r="K186" s="514"/>
      <c r="L186" s="514"/>
      <c r="M186" s="514"/>
      <c r="N186" s="514"/>
      <c r="O186" s="514"/>
      <c r="P186" s="610"/>
      <c r="Q186" s="619"/>
      <c r="R186" s="619"/>
      <c r="S186" s="635"/>
      <c r="T186" s="1095"/>
      <c r="U186" s="1095"/>
      <c r="V186" s="1095"/>
      <c r="W186" s="1095"/>
      <c r="X186" s="1095"/>
      <c r="Y186" s="1095"/>
      <c r="Z186" s="1095"/>
      <c r="AA186" s="1095"/>
      <c r="AB186" s="1095"/>
      <c r="AC186" s="1095"/>
      <c r="AD186" s="619"/>
      <c r="AE186" s="619"/>
      <c r="AF186" s="619"/>
      <c r="AG186" s="619"/>
      <c r="AH186" s="619"/>
      <c r="AI186" s="619"/>
      <c r="AJ186" s="619"/>
      <c r="AK186" s="619"/>
      <c r="AL186" s="619"/>
      <c r="AM186" s="619"/>
      <c r="AN186" s="619"/>
      <c r="AO186" s="619"/>
      <c r="AP186" s="619"/>
      <c r="AQ186" s="619"/>
      <c r="AR186" s="619"/>
      <c r="AS186" s="619"/>
      <c r="AT186" s="619"/>
      <c r="AU186" s="619"/>
      <c r="AV186" s="619"/>
      <c r="AW186" s="619"/>
      <c r="AX186" s="619"/>
      <c r="AY186" s="619"/>
      <c r="AZ186" s="619"/>
      <c r="BA186" s="619"/>
      <c r="BB186" s="619"/>
      <c r="BC186" s="619"/>
      <c r="BD186" s="619"/>
      <c r="BE186" s="619"/>
      <c r="BF186" s="619"/>
      <c r="BG186" s="619"/>
      <c r="BH186" s="619"/>
      <c r="BI186" s="619"/>
      <c r="BJ186" s="619"/>
      <c r="BK186" s="619"/>
      <c r="BL186" s="619"/>
      <c r="BM186" s="619"/>
      <c r="BN186" s="619"/>
      <c r="BO186" s="619"/>
      <c r="BP186" s="619"/>
      <c r="BQ186" s="619"/>
      <c r="BR186" s="619"/>
      <c r="BS186" s="619"/>
      <c r="BT186" s="619"/>
      <c r="BU186" s="619"/>
      <c r="BV186" s="619"/>
      <c r="BW186" s="619"/>
      <c r="BX186" s="619"/>
      <c r="BY186" s="619"/>
      <c r="BZ186" s="619"/>
      <c r="CA186" s="619"/>
      <c r="CB186" s="619"/>
      <c r="CC186" s="619"/>
      <c r="CD186" s="619"/>
      <c r="CE186" s="619"/>
      <c r="CF186" s="619"/>
      <c r="CG186" s="619"/>
      <c r="CH186" s="619"/>
      <c r="CI186" s="619"/>
      <c r="CJ186" s="619"/>
      <c r="CK186" s="619"/>
      <c r="CL186" s="619"/>
      <c r="CM186" s="619"/>
      <c r="CN186" s="619"/>
      <c r="CO186" s="619"/>
      <c r="CP186" s="619"/>
      <c r="CQ186" s="619"/>
    </row>
    <row r="187" spans="1:95" ht="15.5" x14ac:dyDescent="0.35">
      <c r="B187" s="182"/>
      <c r="C187" s="6"/>
      <c r="D187" s="6"/>
      <c r="E187" s="6"/>
      <c r="F187" s="6"/>
      <c r="G187" s="76"/>
      <c r="H187" s="6"/>
      <c r="I187" s="522"/>
      <c r="J187" s="522"/>
      <c r="K187" s="511"/>
      <c r="L187" s="511"/>
      <c r="M187" s="511"/>
      <c r="N187" s="511"/>
      <c r="O187" s="511"/>
      <c r="P187" s="608"/>
      <c r="Q187" s="609"/>
      <c r="R187" s="609"/>
      <c r="S187" s="1088"/>
      <c r="T187" s="631"/>
      <c r="U187" s="631"/>
      <c r="V187" s="631"/>
      <c r="W187" s="631"/>
      <c r="X187" s="631"/>
      <c r="Y187" s="631"/>
      <c r="Z187" s="631"/>
      <c r="AA187" s="631"/>
      <c r="AB187" s="631"/>
      <c r="AC187" s="631"/>
      <c r="AD187" s="609"/>
      <c r="AE187" s="609"/>
      <c r="AF187" s="609"/>
      <c r="AG187" s="609"/>
      <c r="AH187" s="609"/>
      <c r="AI187" s="609"/>
      <c r="AJ187" s="609"/>
      <c r="AK187" s="609"/>
      <c r="AL187" s="609"/>
      <c r="AM187" s="609"/>
      <c r="AN187" s="609"/>
      <c r="AO187" s="609"/>
      <c r="AP187" s="609"/>
      <c r="AQ187" s="609"/>
    </row>
    <row r="188" spans="1:95" x14ac:dyDescent="0.25">
      <c r="B188" s="206"/>
      <c r="C188" s="87"/>
      <c r="D188" s="87"/>
      <c r="E188" s="87"/>
      <c r="F188" s="87"/>
      <c r="G188" s="87"/>
      <c r="H188" s="87"/>
      <c r="I188" s="522"/>
      <c r="J188" s="522"/>
      <c r="K188" s="511"/>
      <c r="L188" s="511"/>
      <c r="M188" s="511"/>
      <c r="N188" s="511"/>
      <c r="O188" s="511"/>
      <c r="P188" s="608"/>
      <c r="Q188" s="609"/>
      <c r="R188" s="609"/>
      <c r="S188" s="1088"/>
      <c r="T188" s="631"/>
      <c r="U188" s="631"/>
      <c r="V188" s="631"/>
      <c r="W188" s="631"/>
      <c r="X188" s="631"/>
      <c r="Y188" s="631"/>
      <c r="Z188" s="631"/>
      <c r="AA188" s="631"/>
      <c r="AB188" s="631"/>
      <c r="AC188" s="631"/>
      <c r="AD188" s="609"/>
      <c r="AE188" s="609"/>
      <c r="AF188" s="609"/>
      <c r="AG188" s="609"/>
      <c r="AH188" s="609"/>
      <c r="AI188" s="609"/>
      <c r="AJ188" s="609"/>
      <c r="AK188" s="609"/>
      <c r="AL188" s="609"/>
      <c r="AM188" s="609"/>
      <c r="AN188" s="609"/>
      <c r="AO188" s="609"/>
      <c r="AP188" s="609"/>
      <c r="AQ188" s="609"/>
    </row>
    <row r="189" spans="1:95" ht="18" x14ac:dyDescent="0.4">
      <c r="B189" s="35"/>
      <c r="P189" s="608"/>
      <c r="Q189" s="609"/>
      <c r="R189" s="609"/>
      <c r="S189" s="1088"/>
      <c r="T189" s="631"/>
      <c r="U189" s="631"/>
      <c r="V189" s="631"/>
      <c r="W189" s="631"/>
      <c r="X189" s="631"/>
      <c r="Y189" s="631"/>
      <c r="Z189" s="631"/>
      <c r="AA189" s="631"/>
      <c r="AB189" s="631"/>
      <c r="AC189" s="631"/>
      <c r="AD189" s="609"/>
      <c r="AE189" s="609"/>
      <c r="AF189" s="609"/>
      <c r="AG189" s="609"/>
      <c r="AH189" s="609"/>
      <c r="AI189" s="609"/>
      <c r="AJ189" s="609"/>
      <c r="AK189" s="609"/>
      <c r="AL189" s="609"/>
      <c r="AM189" s="609"/>
      <c r="AN189" s="609"/>
      <c r="AO189" s="609"/>
      <c r="AP189" s="609"/>
      <c r="AQ189" s="609"/>
    </row>
    <row r="190" spans="1:95" x14ac:dyDescent="0.25">
      <c r="B190" s="432"/>
      <c r="P190" s="608"/>
      <c r="Q190" s="609"/>
      <c r="R190" s="609"/>
      <c r="S190" s="1088"/>
      <c r="T190" s="631"/>
      <c r="U190" s="631"/>
      <c r="V190" s="631"/>
      <c r="W190" s="631"/>
      <c r="X190" s="631"/>
      <c r="Y190" s="631"/>
      <c r="Z190" s="631"/>
      <c r="AA190" s="631"/>
      <c r="AB190" s="631"/>
      <c r="AC190" s="631"/>
      <c r="AD190" s="609"/>
      <c r="AE190" s="609"/>
      <c r="AF190" s="609"/>
      <c r="AG190" s="609"/>
      <c r="AH190" s="609"/>
      <c r="AI190" s="609"/>
      <c r="AJ190" s="609"/>
      <c r="AK190" s="609"/>
      <c r="AL190" s="609"/>
      <c r="AM190" s="609"/>
      <c r="AN190" s="609"/>
      <c r="AO190" s="609"/>
      <c r="AP190" s="609"/>
      <c r="AQ190" s="609"/>
    </row>
    <row r="191" spans="1:95" x14ac:dyDescent="0.25">
      <c r="B191" s="432"/>
      <c r="P191" s="608"/>
      <c r="Q191" s="609"/>
      <c r="R191" s="609"/>
      <c r="S191" s="1088"/>
      <c r="T191" s="631"/>
      <c r="U191" s="631"/>
      <c r="V191" s="631"/>
      <c r="W191" s="631"/>
      <c r="X191" s="631"/>
      <c r="Y191" s="631"/>
      <c r="Z191" s="631"/>
      <c r="AA191" s="631"/>
      <c r="AB191" s="631"/>
      <c r="AC191" s="631"/>
      <c r="AD191" s="609"/>
      <c r="AE191" s="609"/>
      <c r="AF191" s="609"/>
      <c r="AG191" s="609"/>
      <c r="AH191" s="609"/>
      <c r="AI191" s="609"/>
      <c r="AJ191" s="609"/>
      <c r="AK191" s="609"/>
      <c r="AL191" s="609"/>
      <c r="AM191" s="609"/>
      <c r="AN191" s="609"/>
      <c r="AO191" s="609"/>
      <c r="AP191" s="609"/>
      <c r="AQ191" s="609"/>
    </row>
    <row r="192" spans="1:95" ht="96" customHeight="1" x14ac:dyDescent="0.35">
      <c r="B192" s="432"/>
      <c r="F192" s="1038"/>
      <c r="G192" s="1038"/>
      <c r="H192" s="1038"/>
      <c r="P192" s="608"/>
      <c r="Q192" s="609"/>
      <c r="R192" s="609"/>
      <c r="S192" s="1088"/>
      <c r="T192" s="631"/>
      <c r="U192" s="631"/>
      <c r="V192" s="631"/>
      <c r="W192" s="631"/>
      <c r="X192" s="631"/>
      <c r="Y192" s="631"/>
      <c r="Z192" s="631"/>
      <c r="AA192" s="631"/>
      <c r="AB192" s="631"/>
      <c r="AC192" s="631"/>
      <c r="AD192" s="609"/>
      <c r="AE192" s="609"/>
      <c r="AF192" s="609"/>
      <c r="AG192" s="609"/>
      <c r="AH192" s="609"/>
      <c r="AI192" s="609"/>
      <c r="AJ192" s="609"/>
      <c r="AK192" s="609"/>
      <c r="AL192" s="609"/>
      <c r="AM192" s="609"/>
      <c r="AN192" s="609"/>
      <c r="AO192" s="609"/>
      <c r="AP192" s="609"/>
      <c r="AQ192" s="609"/>
    </row>
    <row r="193" spans="2:43" ht="15.5" x14ac:dyDescent="0.35">
      <c r="B193" s="432"/>
      <c r="E193" s="437"/>
      <c r="P193" s="608"/>
      <c r="Q193" s="609"/>
      <c r="R193" s="609"/>
      <c r="S193" s="1088"/>
      <c r="T193" s="631"/>
      <c r="U193" s="631"/>
      <c r="V193" s="631"/>
      <c r="W193" s="631"/>
      <c r="X193" s="631"/>
      <c r="Y193" s="631"/>
      <c r="Z193" s="631"/>
      <c r="AA193" s="631"/>
      <c r="AB193" s="631"/>
      <c r="AC193" s="631"/>
      <c r="AD193" s="609"/>
      <c r="AE193" s="609"/>
      <c r="AF193" s="609"/>
      <c r="AG193" s="609"/>
      <c r="AH193" s="609"/>
      <c r="AI193" s="609"/>
      <c r="AJ193" s="609"/>
      <c r="AK193" s="609"/>
      <c r="AL193" s="609"/>
      <c r="AM193" s="609"/>
      <c r="AN193" s="609"/>
      <c r="AO193" s="609"/>
      <c r="AP193" s="609"/>
      <c r="AQ193" s="609"/>
    </row>
    <row r="194" spans="2:43" ht="15.5" x14ac:dyDescent="0.35">
      <c r="B194" s="432"/>
      <c r="E194" s="437"/>
      <c r="P194" s="608"/>
      <c r="Q194" s="609"/>
      <c r="R194" s="609"/>
      <c r="S194" s="1088"/>
      <c r="T194" s="631"/>
      <c r="U194" s="631"/>
      <c r="V194" s="631"/>
      <c r="W194" s="631"/>
      <c r="X194" s="631"/>
      <c r="Y194" s="631"/>
      <c r="Z194" s="631"/>
      <c r="AA194" s="631"/>
      <c r="AB194" s="631"/>
      <c r="AC194" s="631"/>
      <c r="AD194" s="609"/>
      <c r="AE194" s="609"/>
      <c r="AF194" s="609"/>
      <c r="AG194" s="609"/>
      <c r="AH194" s="609"/>
      <c r="AI194" s="609"/>
      <c r="AJ194" s="609"/>
      <c r="AK194" s="609"/>
      <c r="AL194" s="609"/>
      <c r="AM194" s="609"/>
      <c r="AN194" s="609"/>
      <c r="AO194" s="609"/>
      <c r="AP194" s="609"/>
      <c r="AQ194" s="609"/>
    </row>
    <row r="195" spans="2:43" ht="17.5" x14ac:dyDescent="0.35">
      <c r="B195" s="432"/>
      <c r="E195" s="1021"/>
      <c r="P195" s="608"/>
      <c r="Q195" s="609"/>
      <c r="R195" s="609"/>
      <c r="S195" s="1088"/>
      <c r="T195" s="631"/>
      <c r="U195" s="631"/>
      <c r="V195" s="631"/>
      <c r="W195" s="631"/>
      <c r="X195" s="631"/>
      <c r="Y195" s="631"/>
      <c r="Z195" s="631"/>
      <c r="AA195" s="631"/>
      <c r="AB195" s="631"/>
      <c r="AC195" s="631"/>
      <c r="AD195" s="609"/>
      <c r="AE195" s="609"/>
      <c r="AF195" s="609"/>
      <c r="AG195" s="609"/>
      <c r="AH195" s="609"/>
      <c r="AI195" s="609"/>
      <c r="AJ195" s="609"/>
      <c r="AK195" s="609"/>
      <c r="AL195" s="609"/>
      <c r="AM195" s="609"/>
      <c r="AN195" s="609"/>
      <c r="AO195" s="609"/>
      <c r="AP195" s="609"/>
      <c r="AQ195" s="609"/>
    </row>
    <row r="196" spans="2:43" x14ac:dyDescent="0.25">
      <c r="B196" s="432"/>
    </row>
    <row r="197" spans="2:43" x14ac:dyDescent="0.25">
      <c r="B197" s="432"/>
    </row>
    <row r="198" spans="2:43" x14ac:dyDescent="0.25">
      <c r="B198" s="432"/>
    </row>
    <row r="199" spans="2:43" x14ac:dyDescent="0.25">
      <c r="B199" s="432"/>
    </row>
    <row r="200" spans="2:43" x14ac:dyDescent="0.25">
      <c r="B200" s="432"/>
    </row>
    <row r="201" spans="2:43" x14ac:dyDescent="0.25">
      <c r="B201" s="432"/>
    </row>
    <row r="202" spans="2:43" x14ac:dyDescent="0.25">
      <c r="B202" s="432"/>
    </row>
    <row r="203" spans="2:43" x14ac:dyDescent="0.25">
      <c r="B203" s="432"/>
    </row>
    <row r="204" spans="2:43" x14ac:dyDescent="0.25">
      <c r="B204" s="432"/>
    </row>
    <row r="205" spans="2:43" x14ac:dyDescent="0.25">
      <c r="B205" s="432"/>
    </row>
    <row r="206" spans="2:43" x14ac:dyDescent="0.25">
      <c r="B206" s="432"/>
    </row>
    <row r="207" spans="2:43" x14ac:dyDescent="0.25">
      <c r="B207" s="432"/>
    </row>
    <row r="208" spans="2:43" x14ac:dyDescent="0.25">
      <c r="B208" s="432"/>
    </row>
    <row r="209" spans="2:2" x14ac:dyDescent="0.25">
      <c r="B209" s="432"/>
    </row>
    <row r="210" spans="2:2" x14ac:dyDescent="0.25">
      <c r="B210" s="432"/>
    </row>
    <row r="211" spans="2:2" x14ac:dyDescent="0.25">
      <c r="B211" s="432"/>
    </row>
    <row r="212" spans="2:2" x14ac:dyDescent="0.25">
      <c r="B212" s="432"/>
    </row>
    <row r="213" spans="2:2" x14ac:dyDescent="0.25">
      <c r="B213" s="432"/>
    </row>
    <row r="214" spans="2:2" x14ac:dyDescent="0.25">
      <c r="B214" s="432"/>
    </row>
    <row r="215" spans="2:2" x14ac:dyDescent="0.25">
      <c r="B215" s="432"/>
    </row>
    <row r="216" spans="2:2" x14ac:dyDescent="0.25">
      <c r="B216" s="432"/>
    </row>
    <row r="217" spans="2:2" x14ac:dyDescent="0.25">
      <c r="B217" s="432"/>
    </row>
    <row r="218" spans="2:2" x14ac:dyDescent="0.25">
      <c r="B218" s="432"/>
    </row>
    <row r="219" spans="2:2" x14ac:dyDescent="0.25">
      <c r="B219" s="432"/>
    </row>
    <row r="220" spans="2:2" x14ac:dyDescent="0.25">
      <c r="B220" s="432"/>
    </row>
    <row r="221" spans="2:2" x14ac:dyDescent="0.25">
      <c r="B221" s="432"/>
    </row>
    <row r="222" spans="2:2" x14ac:dyDescent="0.25">
      <c r="B222" s="432"/>
    </row>
    <row r="223" spans="2:2" x14ac:dyDescent="0.25">
      <c r="B223" s="432"/>
    </row>
    <row r="224" spans="2:2" x14ac:dyDescent="0.25">
      <c r="B224" s="432"/>
    </row>
    <row r="225" spans="2:2" x14ac:dyDescent="0.25">
      <c r="B225" s="432"/>
    </row>
    <row r="226" spans="2:2" x14ac:dyDescent="0.25">
      <c r="B226" s="432"/>
    </row>
    <row r="227" spans="2:2" x14ac:dyDescent="0.25">
      <c r="B227" s="432"/>
    </row>
    <row r="228" spans="2:2" x14ac:dyDescent="0.25">
      <c r="B228" s="432"/>
    </row>
    <row r="229" spans="2:2" x14ac:dyDescent="0.25">
      <c r="B229" s="432"/>
    </row>
    <row r="230" spans="2:2" x14ac:dyDescent="0.25">
      <c r="B230" s="432"/>
    </row>
    <row r="231" spans="2:2" x14ac:dyDescent="0.25">
      <c r="B231" s="432"/>
    </row>
    <row r="232" spans="2:2" x14ac:dyDescent="0.25">
      <c r="B232" s="432"/>
    </row>
    <row r="233" spans="2:2" x14ac:dyDescent="0.25">
      <c r="B233" s="432"/>
    </row>
    <row r="234" spans="2:2" x14ac:dyDescent="0.25">
      <c r="B234" s="432"/>
    </row>
    <row r="235" spans="2:2" x14ac:dyDescent="0.25">
      <c r="B235" s="432"/>
    </row>
    <row r="236" spans="2:2" x14ac:dyDescent="0.25">
      <c r="B236" s="432"/>
    </row>
    <row r="237" spans="2:2" x14ac:dyDescent="0.25">
      <c r="B237" s="432"/>
    </row>
    <row r="238" spans="2:2" x14ac:dyDescent="0.25">
      <c r="B238" s="432"/>
    </row>
    <row r="239" spans="2:2" x14ac:dyDescent="0.25">
      <c r="B239" s="432"/>
    </row>
    <row r="240" spans="2:2" x14ac:dyDescent="0.25">
      <c r="B240" s="432"/>
    </row>
    <row r="241" spans="2:2" x14ac:dyDescent="0.25">
      <c r="B241" s="432"/>
    </row>
    <row r="242" spans="2:2" x14ac:dyDescent="0.25">
      <c r="B242" s="432"/>
    </row>
    <row r="243" spans="2:2" x14ac:dyDescent="0.25">
      <c r="B243" s="432"/>
    </row>
    <row r="244" spans="2:2" ht="11.5" customHeight="1" x14ac:dyDescent="0.25">
      <c r="B244" s="432"/>
    </row>
    <row r="245" spans="2:2" ht="11.5" customHeight="1" x14ac:dyDescent="0.25">
      <c r="B245" s="432"/>
    </row>
    <row r="246" spans="2:2" ht="11.5" customHeight="1" x14ac:dyDescent="0.25">
      <c r="B246" s="432"/>
    </row>
    <row r="247" spans="2:2" ht="11.5" customHeight="1" x14ac:dyDescent="0.25">
      <c r="B247" s="432"/>
    </row>
    <row r="248" spans="2:2" ht="11.5" customHeight="1" x14ac:dyDescent="0.25">
      <c r="B248" s="432"/>
    </row>
    <row r="249" spans="2:2" ht="11.5" customHeight="1" x14ac:dyDescent="0.25">
      <c r="B249" s="432"/>
    </row>
    <row r="250" spans="2:2" ht="11.5" customHeight="1" x14ac:dyDescent="0.25">
      <c r="B250" s="432"/>
    </row>
    <row r="251" spans="2:2" ht="11.5" customHeight="1" x14ac:dyDescent="0.25">
      <c r="B251" s="432"/>
    </row>
    <row r="252" spans="2:2" ht="11.5" customHeight="1" x14ac:dyDescent="0.25">
      <c r="B252" s="432"/>
    </row>
    <row r="253" spans="2:2" ht="11.5" customHeight="1" x14ac:dyDescent="0.25">
      <c r="B253" s="432"/>
    </row>
    <row r="254" spans="2:2" ht="11.5" customHeight="1" x14ac:dyDescent="0.25">
      <c r="B254" s="432"/>
    </row>
    <row r="255" spans="2:2" ht="11.5" customHeight="1" x14ac:dyDescent="0.25">
      <c r="B255" s="432"/>
    </row>
    <row r="256" spans="2:2" ht="11.5" customHeight="1" x14ac:dyDescent="0.25">
      <c r="B256" s="432"/>
    </row>
    <row r="257" spans="2:2" ht="11.5" customHeight="1" x14ac:dyDescent="0.25">
      <c r="B257" s="432"/>
    </row>
    <row r="258" spans="2:2" ht="11.5" customHeight="1" x14ac:dyDescent="0.25">
      <c r="B258" s="432"/>
    </row>
    <row r="259" spans="2:2" ht="11.5" customHeight="1" x14ac:dyDescent="0.25">
      <c r="B259" s="432"/>
    </row>
    <row r="260" spans="2:2" ht="11.5" customHeight="1" x14ac:dyDescent="0.25">
      <c r="B260" s="432"/>
    </row>
    <row r="261" spans="2:2" ht="11.5" customHeight="1" x14ac:dyDescent="0.25">
      <c r="B261" s="432"/>
    </row>
    <row r="262" spans="2:2" ht="11.5" customHeight="1" x14ac:dyDescent="0.25">
      <c r="B262" s="432"/>
    </row>
    <row r="263" spans="2:2" ht="11.5" customHeight="1" x14ac:dyDescent="0.25">
      <c r="B263" s="432"/>
    </row>
    <row r="264" spans="2:2" ht="11.5" customHeight="1" x14ac:dyDescent="0.25">
      <c r="B264" s="432"/>
    </row>
    <row r="265" spans="2:2" ht="11.5" customHeight="1" x14ac:dyDescent="0.25">
      <c r="B265" s="432"/>
    </row>
    <row r="266" spans="2:2" ht="11.5" customHeight="1" x14ac:dyDescent="0.25">
      <c r="B266" s="432"/>
    </row>
    <row r="267" spans="2:2" ht="11.5" customHeight="1" x14ac:dyDescent="0.25">
      <c r="B267" s="432"/>
    </row>
    <row r="268" spans="2:2" ht="11.5" customHeight="1" x14ac:dyDescent="0.25">
      <c r="B268" s="432"/>
    </row>
    <row r="269" spans="2:2" ht="11.5" customHeight="1" x14ac:dyDescent="0.25">
      <c r="B269" s="432"/>
    </row>
    <row r="270" spans="2:2" ht="11.5" customHeight="1" x14ac:dyDescent="0.25">
      <c r="B270" s="432"/>
    </row>
    <row r="271" spans="2:2" ht="11.5" customHeight="1" x14ac:dyDescent="0.25">
      <c r="B271" s="432"/>
    </row>
    <row r="272" spans="2:2" ht="11.5" customHeight="1" x14ac:dyDescent="0.25">
      <c r="B272" s="432"/>
    </row>
    <row r="273" spans="2:2" ht="11.5" customHeight="1" x14ac:dyDescent="0.25">
      <c r="B273" s="432"/>
    </row>
    <row r="274" spans="2:2" ht="11.5" customHeight="1" x14ac:dyDescent="0.25">
      <c r="B274" s="432"/>
    </row>
    <row r="275" spans="2:2" ht="11.5" customHeight="1" x14ac:dyDescent="0.25">
      <c r="B275" s="432"/>
    </row>
    <row r="276" spans="2:2" ht="11.5" customHeight="1" x14ac:dyDescent="0.25">
      <c r="B276" s="432"/>
    </row>
    <row r="277" spans="2:2" ht="11.5" customHeight="1" x14ac:dyDescent="0.25">
      <c r="B277" s="432"/>
    </row>
    <row r="278" spans="2:2" ht="11.5" customHeight="1" x14ac:dyDescent="0.25">
      <c r="B278" s="432"/>
    </row>
    <row r="279" spans="2:2" ht="11.5" customHeight="1" x14ac:dyDescent="0.25">
      <c r="B279" s="432"/>
    </row>
    <row r="280" spans="2:2" ht="11.5" customHeight="1" x14ac:dyDescent="0.25">
      <c r="B280" s="432"/>
    </row>
    <row r="281" spans="2:2" ht="11.5" customHeight="1" x14ac:dyDescent="0.25">
      <c r="B281" s="432"/>
    </row>
    <row r="282" spans="2:2" ht="11.5" customHeight="1" x14ac:dyDescent="0.25">
      <c r="B282" s="432"/>
    </row>
    <row r="283" spans="2:2" ht="11.5" customHeight="1" x14ac:dyDescent="0.25">
      <c r="B283" s="432"/>
    </row>
    <row r="284" spans="2:2" ht="11.5" customHeight="1" x14ac:dyDescent="0.25">
      <c r="B284" s="432"/>
    </row>
    <row r="285" spans="2:2" ht="11.5" customHeight="1" x14ac:dyDescent="0.25">
      <c r="B285" s="432"/>
    </row>
    <row r="286" spans="2:2" ht="11.5" customHeight="1" x14ac:dyDescent="0.25">
      <c r="B286" s="432"/>
    </row>
    <row r="287" spans="2:2" ht="11.5" customHeight="1" x14ac:dyDescent="0.25">
      <c r="B287" s="432"/>
    </row>
    <row r="288" spans="2:2" ht="11.5" customHeight="1" x14ac:dyDescent="0.25">
      <c r="B288" s="432"/>
    </row>
    <row r="289" spans="2:2" ht="11.5" customHeight="1" x14ac:dyDescent="0.25">
      <c r="B289" s="432"/>
    </row>
    <row r="290" spans="2:2" ht="11.5" customHeight="1" x14ac:dyDescent="0.25">
      <c r="B290" s="432"/>
    </row>
    <row r="291" spans="2:2" ht="11.5" customHeight="1" x14ac:dyDescent="0.25">
      <c r="B291" s="432"/>
    </row>
    <row r="292" spans="2:2" ht="11.5" customHeight="1" x14ac:dyDescent="0.25">
      <c r="B292" s="432"/>
    </row>
    <row r="293" spans="2:2" ht="11.5" customHeight="1" x14ac:dyDescent="0.25">
      <c r="B293" s="432"/>
    </row>
    <row r="294" spans="2:2" ht="11.5" customHeight="1" x14ac:dyDescent="0.25">
      <c r="B294" s="432"/>
    </row>
    <row r="295" spans="2:2" ht="11.5" customHeight="1" x14ac:dyDescent="0.25">
      <c r="B295" s="432"/>
    </row>
    <row r="296" spans="2:2" ht="11.5" customHeight="1" x14ac:dyDescent="0.25">
      <c r="B296" s="432"/>
    </row>
    <row r="297" spans="2:2" ht="11.5" customHeight="1" x14ac:dyDescent="0.25">
      <c r="B297" s="432"/>
    </row>
    <row r="298" spans="2:2" ht="11.5" customHeight="1" x14ac:dyDescent="0.25">
      <c r="B298" s="432"/>
    </row>
    <row r="299" spans="2:2" ht="11.5" customHeight="1" x14ac:dyDescent="0.25">
      <c r="B299" s="432"/>
    </row>
    <row r="300" spans="2:2" ht="11.5" customHeight="1" x14ac:dyDescent="0.25">
      <c r="B300" s="432"/>
    </row>
    <row r="301" spans="2:2" ht="11.5" customHeight="1" x14ac:dyDescent="0.25">
      <c r="B301" s="432"/>
    </row>
    <row r="302" spans="2:2" ht="11.5" customHeight="1" x14ac:dyDescent="0.25">
      <c r="B302" s="432"/>
    </row>
    <row r="303" spans="2:2" ht="11.5" customHeight="1" x14ac:dyDescent="0.25">
      <c r="B303" s="432"/>
    </row>
    <row r="304" spans="2:2" ht="11.5" customHeight="1" x14ac:dyDescent="0.25">
      <c r="B304" s="432"/>
    </row>
    <row r="305" spans="2:19" ht="11.5" customHeight="1" x14ac:dyDescent="0.25">
      <c r="B305" s="432"/>
    </row>
    <row r="306" spans="2:19" ht="11.5" customHeight="1" x14ac:dyDescent="0.25">
      <c r="B306" s="432"/>
    </row>
    <row r="307" spans="2:19" ht="11.5" customHeight="1" x14ac:dyDescent="0.25">
      <c r="B307" s="432"/>
    </row>
    <row r="308" spans="2:19" ht="11.5" customHeight="1" x14ac:dyDescent="0.25">
      <c r="B308" s="432"/>
    </row>
    <row r="309" spans="2:19" ht="11.5" customHeight="1" x14ac:dyDescent="0.25">
      <c r="B309" s="432"/>
    </row>
    <row r="310" spans="2:19" ht="11.5" customHeight="1" x14ac:dyDescent="0.25">
      <c r="B310" s="432"/>
    </row>
    <row r="311" spans="2:19" ht="11.5" customHeight="1" x14ac:dyDescent="0.25">
      <c r="B311" s="432"/>
    </row>
    <row r="312" spans="2:19" ht="11.5" customHeight="1" x14ac:dyDescent="0.25">
      <c r="B312" s="432"/>
    </row>
    <row r="313" spans="2:19" ht="11.5" customHeight="1" x14ac:dyDescent="0.25">
      <c r="B313" s="432"/>
    </row>
    <row r="314" spans="2:19" ht="11.5" customHeight="1" x14ac:dyDescent="0.25">
      <c r="B314" s="432"/>
    </row>
    <row r="315" spans="2:19" ht="11.5" customHeight="1" x14ac:dyDescent="0.25">
      <c r="B315"/>
      <c r="S315" s="280"/>
    </row>
    <row r="316" spans="2:19" ht="11.5" customHeight="1" x14ac:dyDescent="0.25">
      <c r="B316"/>
      <c r="S316" s="280"/>
    </row>
    <row r="317" spans="2:19" ht="11.5" customHeight="1" x14ac:dyDescent="0.25">
      <c r="B317"/>
      <c r="S317" s="280"/>
    </row>
    <row r="318" spans="2:19" ht="11.5" customHeight="1" x14ac:dyDescent="0.25">
      <c r="B318"/>
      <c r="S318" s="280"/>
    </row>
    <row r="319" spans="2:19" ht="11.5" customHeight="1" x14ac:dyDescent="0.25">
      <c r="B319"/>
      <c r="S319" s="280"/>
    </row>
    <row r="320" spans="2:19" ht="11.5" customHeight="1" x14ac:dyDescent="0.25">
      <c r="B320"/>
      <c r="S320" s="280"/>
    </row>
    <row r="321" spans="2:19" ht="11.5" customHeight="1" x14ac:dyDescent="0.25">
      <c r="B321"/>
      <c r="S321" s="280"/>
    </row>
    <row r="322" spans="2:19" ht="11.5" customHeight="1" x14ac:dyDescent="0.25">
      <c r="B322"/>
      <c r="S322" s="280"/>
    </row>
    <row r="323" spans="2:19" ht="11.5" customHeight="1" x14ac:dyDescent="0.25">
      <c r="B323"/>
      <c r="S323" s="280"/>
    </row>
    <row r="324" spans="2:19" ht="11.5" customHeight="1" x14ac:dyDescent="0.25">
      <c r="B324"/>
      <c r="S324" s="280"/>
    </row>
    <row r="325" spans="2:19" ht="11.5" customHeight="1" x14ac:dyDescent="0.25">
      <c r="B325"/>
      <c r="S325" s="280"/>
    </row>
    <row r="326" spans="2:19" ht="11.5" customHeight="1" x14ac:dyDescent="0.25">
      <c r="B326"/>
      <c r="S326" s="280"/>
    </row>
    <row r="327" spans="2:19" ht="11.5" customHeight="1" x14ac:dyDescent="0.25">
      <c r="B327"/>
      <c r="S327" s="280"/>
    </row>
    <row r="328" spans="2:19" ht="11.5" customHeight="1" x14ac:dyDescent="0.25">
      <c r="B328"/>
      <c r="S328" s="280"/>
    </row>
    <row r="329" spans="2:19" ht="11.5" customHeight="1" x14ac:dyDescent="0.25">
      <c r="B329"/>
      <c r="S329" s="280"/>
    </row>
    <row r="330" spans="2:19" ht="11.5" customHeight="1" x14ac:dyDescent="0.25">
      <c r="B330"/>
      <c r="S330" s="280"/>
    </row>
    <row r="331" spans="2:19" ht="11.5" customHeight="1" x14ac:dyDescent="0.25">
      <c r="B331"/>
      <c r="S331" s="280"/>
    </row>
    <row r="332" spans="2:19" ht="11.5" customHeight="1" x14ac:dyDescent="0.25">
      <c r="B332"/>
      <c r="S332" s="280"/>
    </row>
    <row r="333" spans="2:19" ht="11.5" customHeight="1" x14ac:dyDescent="0.25">
      <c r="B333"/>
      <c r="S333" s="280"/>
    </row>
    <row r="334" spans="2:19" ht="11.5" customHeight="1" x14ac:dyDescent="0.25">
      <c r="B334"/>
      <c r="S334" s="280"/>
    </row>
    <row r="335" spans="2:19" ht="11.5" customHeight="1" x14ac:dyDescent="0.25">
      <c r="B335"/>
      <c r="S335" s="280"/>
    </row>
    <row r="336" spans="2:19" ht="11.5" customHeight="1" x14ac:dyDescent="0.25">
      <c r="B336"/>
      <c r="S336" s="280"/>
    </row>
    <row r="337" spans="2:19" ht="11.5" customHeight="1" x14ac:dyDescent="0.25">
      <c r="B337"/>
      <c r="S337" s="280"/>
    </row>
    <row r="338" spans="2:19" ht="11.5" customHeight="1" x14ac:dyDescent="0.25">
      <c r="B338"/>
      <c r="S338" s="280"/>
    </row>
    <row r="339" spans="2:19" ht="11.5" customHeight="1" x14ac:dyDescent="0.25">
      <c r="B339"/>
      <c r="S339" s="280"/>
    </row>
    <row r="340" spans="2:19" ht="11.5" customHeight="1" x14ac:dyDescent="0.25">
      <c r="B340"/>
      <c r="S340" s="280"/>
    </row>
    <row r="341" spans="2:19" ht="11.5" customHeight="1" x14ac:dyDescent="0.25">
      <c r="B341"/>
      <c r="S341" s="280"/>
    </row>
    <row r="342" spans="2:19" ht="11.5" customHeight="1" x14ac:dyDescent="0.25">
      <c r="B342"/>
      <c r="S342" s="280"/>
    </row>
    <row r="343" spans="2:19" ht="11.5" customHeight="1" x14ac:dyDescent="0.25">
      <c r="B343"/>
      <c r="S343" s="280"/>
    </row>
    <row r="344" spans="2:19" ht="11.5" customHeight="1" x14ac:dyDescent="0.25">
      <c r="B344"/>
      <c r="S344" s="280"/>
    </row>
    <row r="345" spans="2:19" ht="11.5" customHeight="1" x14ac:dyDescent="0.25">
      <c r="B345"/>
      <c r="S345" s="280"/>
    </row>
    <row r="346" spans="2:19" ht="11.5" customHeight="1" x14ac:dyDescent="0.25">
      <c r="B346"/>
      <c r="S346" s="280"/>
    </row>
    <row r="347" spans="2:19" ht="11.5" customHeight="1" x14ac:dyDescent="0.25">
      <c r="B347"/>
      <c r="S347" s="280"/>
    </row>
    <row r="348" spans="2:19" ht="11.5" customHeight="1" x14ac:dyDescent="0.25">
      <c r="B348"/>
      <c r="S348" s="280"/>
    </row>
    <row r="349" spans="2:19" ht="11.5" customHeight="1" x14ac:dyDescent="0.25">
      <c r="B349"/>
      <c r="S349" s="280"/>
    </row>
    <row r="350" spans="2:19" ht="11.5" customHeight="1" x14ac:dyDescent="0.25">
      <c r="B350"/>
      <c r="S350" s="280"/>
    </row>
    <row r="351" spans="2:19" ht="11.5" customHeight="1" x14ac:dyDescent="0.25">
      <c r="B351"/>
      <c r="S351" s="280"/>
    </row>
    <row r="352" spans="2:19" ht="11.5" customHeight="1" x14ac:dyDescent="0.25">
      <c r="B352"/>
      <c r="S352" s="280"/>
    </row>
    <row r="353" spans="2:19" ht="11.5" customHeight="1" x14ac:dyDescent="0.25">
      <c r="B353"/>
      <c r="S353" s="280"/>
    </row>
    <row r="354" spans="2:19" ht="11.5" customHeight="1" x14ac:dyDescent="0.25">
      <c r="B354"/>
      <c r="S354" s="280"/>
    </row>
    <row r="355" spans="2:19" ht="11.5" customHeight="1" x14ac:dyDescent="0.25">
      <c r="B355"/>
      <c r="S355" s="280"/>
    </row>
    <row r="356" spans="2:19" ht="11.5" customHeight="1" x14ac:dyDescent="0.25">
      <c r="B356"/>
      <c r="S356" s="280"/>
    </row>
    <row r="357" spans="2:19" ht="11.5" customHeight="1" x14ac:dyDescent="0.25">
      <c r="B357"/>
      <c r="S357" s="280"/>
    </row>
    <row r="358" spans="2:19" ht="11.5" customHeight="1" x14ac:dyDescent="0.25">
      <c r="B358"/>
      <c r="S358" s="280"/>
    </row>
    <row r="359" spans="2:19" ht="11.5" customHeight="1" x14ac:dyDescent="0.25">
      <c r="B359"/>
      <c r="S359" s="280"/>
    </row>
    <row r="360" spans="2:19" ht="11.5" customHeight="1" x14ac:dyDescent="0.25">
      <c r="B360"/>
      <c r="S360" s="280"/>
    </row>
    <row r="361" spans="2:19" ht="11.5" customHeight="1" x14ac:dyDescent="0.25">
      <c r="B361"/>
      <c r="S361" s="280"/>
    </row>
    <row r="362" spans="2:19" ht="11.5" customHeight="1" x14ac:dyDescent="0.25">
      <c r="B362"/>
      <c r="S362" s="280"/>
    </row>
    <row r="363" spans="2:19" ht="11.5" customHeight="1" x14ac:dyDescent="0.25">
      <c r="B363"/>
      <c r="S363" s="280"/>
    </row>
    <row r="364" spans="2:19" ht="11.5" customHeight="1" x14ac:dyDescent="0.25">
      <c r="B364"/>
      <c r="S364" s="280"/>
    </row>
    <row r="365" spans="2:19" ht="11.5" customHeight="1" x14ac:dyDescent="0.25">
      <c r="B365"/>
      <c r="S365" s="280"/>
    </row>
    <row r="366" spans="2:19" ht="11.5" customHeight="1" x14ac:dyDescent="0.25">
      <c r="B366"/>
      <c r="S366" s="280"/>
    </row>
    <row r="367" spans="2:19" ht="11.5" customHeight="1" x14ac:dyDescent="0.25">
      <c r="B367"/>
      <c r="S367" s="280"/>
    </row>
    <row r="368" spans="2:19" ht="11.5" customHeight="1" x14ac:dyDescent="0.25">
      <c r="B368"/>
      <c r="S368" s="280"/>
    </row>
    <row r="369" spans="2:19" ht="11.5" customHeight="1" x14ac:dyDescent="0.25">
      <c r="B369"/>
      <c r="S369" s="280"/>
    </row>
    <row r="370" spans="2:19" ht="11.5" customHeight="1" x14ac:dyDescent="0.25">
      <c r="B370"/>
      <c r="S370" s="280"/>
    </row>
    <row r="371" spans="2:19" ht="11.5" customHeight="1" x14ac:dyDescent="0.25">
      <c r="B371"/>
      <c r="S371" s="280"/>
    </row>
    <row r="372" spans="2:19" ht="11.5" customHeight="1" x14ac:dyDescent="0.25">
      <c r="B372"/>
      <c r="S372" s="280"/>
    </row>
    <row r="373" spans="2:19" ht="11.5" customHeight="1" x14ac:dyDescent="0.25">
      <c r="B373"/>
      <c r="S373" s="280"/>
    </row>
    <row r="374" spans="2:19" ht="11.5" customHeight="1" x14ac:dyDescent="0.25">
      <c r="B374"/>
      <c r="S374" s="280"/>
    </row>
    <row r="375" spans="2:19" ht="11.5" customHeight="1" x14ac:dyDescent="0.25">
      <c r="B375"/>
      <c r="S375" s="280"/>
    </row>
    <row r="376" spans="2:19" ht="11.5" customHeight="1" x14ac:dyDescent="0.25">
      <c r="B376"/>
      <c r="S376" s="280"/>
    </row>
    <row r="377" spans="2:19" ht="11.5" customHeight="1" x14ac:dyDescent="0.25">
      <c r="B377"/>
      <c r="S377" s="280"/>
    </row>
    <row r="378" spans="2:19" ht="11.5" customHeight="1" x14ac:dyDescent="0.25">
      <c r="B378"/>
      <c r="S378" s="280"/>
    </row>
    <row r="379" spans="2:19" ht="11.5" customHeight="1" x14ac:dyDescent="0.25">
      <c r="B379"/>
      <c r="S379" s="280"/>
    </row>
    <row r="380" spans="2:19" ht="11.5" customHeight="1" x14ac:dyDescent="0.25">
      <c r="B380"/>
      <c r="S380" s="280"/>
    </row>
    <row r="381" spans="2:19" ht="11.5" customHeight="1" x14ac:dyDescent="0.25">
      <c r="B381"/>
      <c r="S381" s="280"/>
    </row>
    <row r="382" spans="2:19" ht="11.5" customHeight="1" x14ac:dyDescent="0.25">
      <c r="B382"/>
      <c r="S382" s="280"/>
    </row>
    <row r="383" spans="2:19" ht="11.5" customHeight="1" x14ac:dyDescent="0.25">
      <c r="B383"/>
      <c r="S383" s="280"/>
    </row>
    <row r="384" spans="2:19" ht="11.5" customHeight="1" x14ac:dyDescent="0.25">
      <c r="B384"/>
      <c r="S384" s="280"/>
    </row>
    <row r="385" spans="2:19" ht="11.5" customHeight="1" x14ac:dyDescent="0.25">
      <c r="B385"/>
      <c r="S385" s="280"/>
    </row>
    <row r="386" spans="2:19" ht="11.5" customHeight="1" x14ac:dyDescent="0.25">
      <c r="B386"/>
      <c r="S386" s="280"/>
    </row>
    <row r="387" spans="2:19" ht="11.5" customHeight="1" x14ac:dyDescent="0.25">
      <c r="B387"/>
      <c r="S387" s="280"/>
    </row>
    <row r="388" spans="2:19" ht="11.5" customHeight="1" x14ac:dyDescent="0.25">
      <c r="B388"/>
      <c r="S388" s="280"/>
    </row>
    <row r="389" spans="2:19" ht="11.5" customHeight="1" x14ac:dyDescent="0.25">
      <c r="B389"/>
      <c r="S389" s="280"/>
    </row>
    <row r="390" spans="2:19" ht="11.5" customHeight="1" x14ac:dyDescent="0.25">
      <c r="B390"/>
      <c r="S390" s="280"/>
    </row>
    <row r="391" spans="2:19" ht="11.5" customHeight="1" x14ac:dyDescent="0.25">
      <c r="B391"/>
      <c r="S391" s="280"/>
    </row>
    <row r="392" spans="2:19" ht="11.5" customHeight="1" x14ac:dyDescent="0.25">
      <c r="B392"/>
      <c r="S392" s="280"/>
    </row>
    <row r="393" spans="2:19" ht="11.5" customHeight="1" x14ac:dyDescent="0.25">
      <c r="B393"/>
      <c r="S393" s="280"/>
    </row>
    <row r="394" spans="2:19" ht="11.5" customHeight="1" x14ac:dyDescent="0.25">
      <c r="B394"/>
      <c r="S394" s="280"/>
    </row>
    <row r="395" spans="2:19" ht="11.5" customHeight="1" x14ac:dyDescent="0.25">
      <c r="B395"/>
      <c r="S395" s="280"/>
    </row>
    <row r="396" spans="2:19" ht="11.5" customHeight="1" x14ac:dyDescent="0.25">
      <c r="B396"/>
      <c r="S396" s="280"/>
    </row>
    <row r="397" spans="2:19" ht="11.5" customHeight="1" x14ac:dyDescent="0.25">
      <c r="B397"/>
      <c r="S397" s="280"/>
    </row>
    <row r="398" spans="2:19" ht="11.5" customHeight="1" x14ac:dyDescent="0.25">
      <c r="B398"/>
      <c r="S398" s="280"/>
    </row>
    <row r="399" spans="2:19" ht="11.5" customHeight="1" x14ac:dyDescent="0.25">
      <c r="B399"/>
      <c r="S399" s="280"/>
    </row>
    <row r="400" spans="2:19" ht="11.5" customHeight="1" x14ac:dyDescent="0.25">
      <c r="B400"/>
      <c r="S400" s="280"/>
    </row>
    <row r="401" spans="2:19" ht="11.5" customHeight="1" x14ac:dyDescent="0.25">
      <c r="B401"/>
      <c r="S401" s="280"/>
    </row>
    <row r="402" spans="2:19" ht="11.5" customHeight="1" x14ac:dyDescent="0.25">
      <c r="B402"/>
      <c r="S402" s="280"/>
    </row>
    <row r="403" spans="2:19" ht="11.5" customHeight="1" x14ac:dyDescent="0.25">
      <c r="B403"/>
      <c r="S403" s="280"/>
    </row>
    <row r="404" spans="2:19" ht="11.5" customHeight="1" x14ac:dyDescent="0.25">
      <c r="B404"/>
      <c r="S404" s="280"/>
    </row>
    <row r="405" spans="2:19" ht="11.5" customHeight="1" x14ac:dyDescent="0.25">
      <c r="B405"/>
      <c r="S405" s="280"/>
    </row>
    <row r="406" spans="2:19" ht="11.5" customHeight="1" x14ac:dyDescent="0.25">
      <c r="B406"/>
      <c r="S406" s="280"/>
    </row>
    <row r="407" spans="2:19" ht="11.5" customHeight="1" x14ac:dyDescent="0.25">
      <c r="B407"/>
      <c r="S407" s="280"/>
    </row>
    <row r="408" spans="2:19" ht="11.5" customHeight="1" x14ac:dyDescent="0.25">
      <c r="B408"/>
      <c r="S408" s="280"/>
    </row>
    <row r="409" spans="2:19" ht="11.5" customHeight="1" x14ac:dyDescent="0.25">
      <c r="B409"/>
      <c r="S409" s="280"/>
    </row>
    <row r="410" spans="2:19" ht="11.5" customHeight="1" x14ac:dyDescent="0.25">
      <c r="B410"/>
      <c r="S410" s="280"/>
    </row>
    <row r="411" spans="2:19" ht="11.5" customHeight="1" x14ac:dyDescent="0.25">
      <c r="B411"/>
      <c r="S411" s="280"/>
    </row>
    <row r="412" spans="2:19" ht="11.5" customHeight="1" x14ac:dyDescent="0.25">
      <c r="B412"/>
      <c r="S412" s="280"/>
    </row>
    <row r="413" spans="2:19" ht="11.5" customHeight="1" x14ac:dyDescent="0.25">
      <c r="B413"/>
      <c r="S413" s="280"/>
    </row>
    <row r="414" spans="2:19" ht="11.5" customHeight="1" x14ac:dyDescent="0.25">
      <c r="B414"/>
      <c r="S414" s="280"/>
    </row>
    <row r="415" spans="2:19" ht="11.5" customHeight="1" x14ac:dyDescent="0.25">
      <c r="B415"/>
      <c r="S415" s="280"/>
    </row>
    <row r="416" spans="2:19" ht="11.5" customHeight="1" x14ac:dyDescent="0.25">
      <c r="B416"/>
      <c r="S416" s="280"/>
    </row>
    <row r="417" spans="2:19" ht="11.5" customHeight="1" x14ac:dyDescent="0.25">
      <c r="B417"/>
      <c r="S417" s="280"/>
    </row>
    <row r="418" spans="2:19" ht="11.5" customHeight="1" x14ac:dyDescent="0.25">
      <c r="B418"/>
      <c r="S418" s="280"/>
    </row>
    <row r="419" spans="2:19" ht="11.5" customHeight="1" x14ac:dyDescent="0.25">
      <c r="B419"/>
      <c r="S419" s="280"/>
    </row>
    <row r="420" spans="2:19" ht="11.5" customHeight="1" x14ac:dyDescent="0.25">
      <c r="B420"/>
      <c r="S420" s="280"/>
    </row>
    <row r="421" spans="2:19" ht="11.5" customHeight="1" x14ac:dyDescent="0.25">
      <c r="B421"/>
      <c r="S421" s="280"/>
    </row>
    <row r="422" spans="2:19" ht="11.5" customHeight="1" x14ac:dyDescent="0.25">
      <c r="B422"/>
      <c r="S422" s="280"/>
    </row>
    <row r="423" spans="2:19" ht="11.5" customHeight="1" x14ac:dyDescent="0.25">
      <c r="B423"/>
      <c r="S423" s="280"/>
    </row>
    <row r="424" spans="2:19" ht="11.5" customHeight="1" x14ac:dyDescent="0.25">
      <c r="B424"/>
      <c r="S424" s="280"/>
    </row>
    <row r="425" spans="2:19" ht="11.5" customHeight="1" x14ac:dyDescent="0.25">
      <c r="B425"/>
      <c r="S425" s="280"/>
    </row>
    <row r="426" spans="2:19" ht="11.5" customHeight="1" x14ac:dyDescent="0.25">
      <c r="B426"/>
      <c r="S426" s="280"/>
    </row>
    <row r="427" spans="2:19" ht="11.5" customHeight="1" x14ac:dyDescent="0.25">
      <c r="B427"/>
      <c r="S427" s="280"/>
    </row>
    <row r="428" spans="2:19" ht="11.5" customHeight="1" x14ac:dyDescent="0.25">
      <c r="B428"/>
      <c r="S428" s="280"/>
    </row>
    <row r="429" spans="2:19" ht="11.5" customHeight="1" x14ac:dyDescent="0.25">
      <c r="B429"/>
      <c r="S429" s="280"/>
    </row>
    <row r="430" spans="2:19" ht="11.5" customHeight="1" x14ac:dyDescent="0.25">
      <c r="B430"/>
      <c r="S430" s="280"/>
    </row>
    <row r="431" spans="2:19" ht="11.5" customHeight="1" x14ac:dyDescent="0.25">
      <c r="B431"/>
      <c r="S431" s="280"/>
    </row>
    <row r="432" spans="2:19" ht="11.5" customHeight="1" x14ac:dyDescent="0.25">
      <c r="B432"/>
      <c r="S432" s="280"/>
    </row>
    <row r="433" spans="2:19" ht="11.5" customHeight="1" x14ac:dyDescent="0.25">
      <c r="B433"/>
      <c r="S433" s="280"/>
    </row>
    <row r="434" spans="2:19" ht="11.5" customHeight="1" x14ac:dyDescent="0.25">
      <c r="B434"/>
      <c r="S434" s="280"/>
    </row>
    <row r="435" spans="2:19" ht="11.5" customHeight="1" x14ac:dyDescent="0.25">
      <c r="B435"/>
      <c r="S435" s="280"/>
    </row>
    <row r="436" spans="2:19" ht="11.5" customHeight="1" x14ac:dyDescent="0.25">
      <c r="B436"/>
      <c r="S436" s="280"/>
    </row>
    <row r="437" spans="2:19" ht="11.5" customHeight="1" x14ac:dyDescent="0.25">
      <c r="B437"/>
      <c r="S437" s="280"/>
    </row>
    <row r="438" spans="2:19" ht="11.5" customHeight="1" x14ac:dyDescent="0.25">
      <c r="B438"/>
      <c r="S438" s="280"/>
    </row>
    <row r="439" spans="2:19" ht="11.5" customHeight="1" x14ac:dyDescent="0.25">
      <c r="B439"/>
      <c r="S439" s="280"/>
    </row>
    <row r="440" spans="2:19" ht="11.5" customHeight="1" x14ac:dyDescent="0.25">
      <c r="B440"/>
      <c r="S440" s="280"/>
    </row>
    <row r="441" spans="2:19" ht="11.5" customHeight="1" x14ac:dyDescent="0.25">
      <c r="B441"/>
      <c r="S441" s="280"/>
    </row>
    <row r="442" spans="2:19" ht="11.5" customHeight="1" x14ac:dyDescent="0.25">
      <c r="B442"/>
      <c r="S442" s="280"/>
    </row>
    <row r="443" spans="2:19" ht="11.5" customHeight="1" x14ac:dyDescent="0.25">
      <c r="B443"/>
      <c r="S443" s="280"/>
    </row>
    <row r="444" spans="2:19" ht="11.5" customHeight="1" x14ac:dyDescent="0.25">
      <c r="B444"/>
      <c r="S444" s="280"/>
    </row>
    <row r="445" spans="2:19" ht="11.5" customHeight="1" x14ac:dyDescent="0.25">
      <c r="B445"/>
      <c r="S445" s="280"/>
    </row>
    <row r="446" spans="2:19" ht="11.5" customHeight="1" x14ac:dyDescent="0.25">
      <c r="B446"/>
      <c r="S446" s="280"/>
    </row>
    <row r="447" spans="2:19" ht="11.5" customHeight="1" x14ac:dyDescent="0.25">
      <c r="B447"/>
      <c r="S447" s="280"/>
    </row>
    <row r="448" spans="2:19" ht="11.5" customHeight="1" x14ac:dyDescent="0.25">
      <c r="B448"/>
      <c r="S448" s="280"/>
    </row>
    <row r="449" spans="2:19" ht="11.5" customHeight="1" x14ac:dyDescent="0.25">
      <c r="B449"/>
      <c r="S449" s="280"/>
    </row>
    <row r="450" spans="2:19" ht="11.5" customHeight="1" x14ac:dyDescent="0.25">
      <c r="B450"/>
      <c r="S450" s="280"/>
    </row>
    <row r="451" spans="2:19" ht="11.5" customHeight="1" x14ac:dyDescent="0.25">
      <c r="B451"/>
      <c r="S451" s="280"/>
    </row>
    <row r="452" spans="2:19" ht="11.5" customHeight="1" x14ac:dyDescent="0.25">
      <c r="B452"/>
      <c r="S452" s="280"/>
    </row>
    <row r="453" spans="2:19" ht="11.5" customHeight="1" x14ac:dyDescent="0.25">
      <c r="B453"/>
      <c r="S453" s="280"/>
    </row>
    <row r="454" spans="2:19" ht="11.5" customHeight="1" x14ac:dyDescent="0.25">
      <c r="B454"/>
      <c r="S454" s="280"/>
    </row>
    <row r="455" spans="2:19" ht="11.5" customHeight="1" x14ac:dyDescent="0.25">
      <c r="B455"/>
      <c r="S455" s="280"/>
    </row>
    <row r="456" spans="2:19" ht="11.5" customHeight="1" x14ac:dyDescent="0.25">
      <c r="B456"/>
      <c r="S456" s="280"/>
    </row>
    <row r="457" spans="2:19" ht="11.5" customHeight="1" x14ac:dyDescent="0.25">
      <c r="B457"/>
      <c r="S457" s="280"/>
    </row>
    <row r="458" spans="2:19" ht="11.5" customHeight="1" x14ac:dyDescent="0.25">
      <c r="B458"/>
      <c r="S458" s="280"/>
    </row>
    <row r="459" spans="2:19" ht="11.5" customHeight="1" x14ac:dyDescent="0.25">
      <c r="B459"/>
      <c r="S459" s="280"/>
    </row>
    <row r="460" spans="2:19" ht="11.5" customHeight="1" x14ac:dyDescent="0.25">
      <c r="B460"/>
      <c r="S460" s="280"/>
    </row>
    <row r="461" spans="2:19" ht="11.5" customHeight="1" x14ac:dyDescent="0.25">
      <c r="B461"/>
      <c r="S461" s="280"/>
    </row>
    <row r="462" spans="2:19" ht="11.5" customHeight="1" x14ac:dyDescent="0.25">
      <c r="B462"/>
      <c r="S462" s="280"/>
    </row>
    <row r="463" spans="2:19" ht="11.5" customHeight="1" x14ac:dyDescent="0.25">
      <c r="B463"/>
      <c r="S463" s="280"/>
    </row>
    <row r="464" spans="2:19" ht="11.5" customHeight="1" x14ac:dyDescent="0.25">
      <c r="B464"/>
      <c r="S464" s="280"/>
    </row>
    <row r="465" spans="2:19" ht="11.5" customHeight="1" x14ac:dyDescent="0.25">
      <c r="B465"/>
      <c r="S465" s="280"/>
    </row>
    <row r="466" spans="2:19" ht="11.5" customHeight="1" x14ac:dyDescent="0.25">
      <c r="B466"/>
      <c r="S466" s="280"/>
    </row>
    <row r="467" spans="2:19" ht="11.5" customHeight="1" x14ac:dyDescent="0.25">
      <c r="B467"/>
      <c r="S467" s="280"/>
    </row>
    <row r="468" spans="2:19" ht="11.5" customHeight="1" x14ac:dyDescent="0.25">
      <c r="B468"/>
      <c r="S468" s="280"/>
    </row>
    <row r="469" spans="2:19" ht="11.5" customHeight="1" x14ac:dyDescent="0.25">
      <c r="B469"/>
      <c r="S469" s="280"/>
    </row>
    <row r="470" spans="2:19" ht="11.5" customHeight="1" x14ac:dyDescent="0.25">
      <c r="B470"/>
      <c r="S470" s="280"/>
    </row>
    <row r="471" spans="2:19" ht="11.5" customHeight="1" x14ac:dyDescent="0.25">
      <c r="B471"/>
      <c r="S471" s="280"/>
    </row>
    <row r="472" spans="2:19" ht="11.5" customHeight="1" x14ac:dyDescent="0.25">
      <c r="B472"/>
      <c r="S472" s="280"/>
    </row>
    <row r="473" spans="2:19" ht="11.5" customHeight="1" x14ac:dyDescent="0.25">
      <c r="B473"/>
      <c r="S473" s="280"/>
    </row>
    <row r="474" spans="2:19" ht="11.5" customHeight="1" x14ac:dyDescent="0.25">
      <c r="B474"/>
      <c r="S474" s="280"/>
    </row>
    <row r="475" spans="2:19" ht="11.5" customHeight="1" x14ac:dyDescent="0.25">
      <c r="B475"/>
      <c r="S475" s="280"/>
    </row>
    <row r="476" spans="2:19" ht="11.5" customHeight="1" x14ac:dyDescent="0.25">
      <c r="B476"/>
      <c r="S476" s="280"/>
    </row>
    <row r="477" spans="2:19" ht="11.5" customHeight="1" x14ac:dyDescent="0.25">
      <c r="B477"/>
      <c r="S477" s="280"/>
    </row>
    <row r="478" spans="2:19" ht="11.5" customHeight="1" x14ac:dyDescent="0.25">
      <c r="B478"/>
      <c r="S478" s="280"/>
    </row>
    <row r="479" spans="2:19" ht="11.5" customHeight="1" x14ac:dyDescent="0.25">
      <c r="B479"/>
      <c r="S479" s="280"/>
    </row>
    <row r="480" spans="2:19" ht="11.5" customHeight="1" x14ac:dyDescent="0.25">
      <c r="B480"/>
      <c r="S480" s="280"/>
    </row>
    <row r="481" spans="2:19" ht="11.5" customHeight="1" x14ac:dyDescent="0.25">
      <c r="B481"/>
      <c r="S481" s="280"/>
    </row>
    <row r="482" spans="2:19" ht="11.5" customHeight="1" x14ac:dyDescent="0.25">
      <c r="B482"/>
      <c r="S482" s="280"/>
    </row>
    <row r="483" spans="2:19" ht="11.5" customHeight="1" x14ac:dyDescent="0.25">
      <c r="B483"/>
      <c r="S483" s="280"/>
    </row>
    <row r="484" spans="2:19" ht="11.5" customHeight="1" x14ac:dyDescent="0.25">
      <c r="B484"/>
      <c r="S484" s="280"/>
    </row>
    <row r="485" spans="2:19" ht="11.5" customHeight="1" x14ac:dyDescent="0.25">
      <c r="B485"/>
      <c r="S485" s="280"/>
    </row>
    <row r="486" spans="2:19" ht="11.5" customHeight="1" x14ac:dyDescent="0.25">
      <c r="B486"/>
      <c r="S486" s="280"/>
    </row>
    <row r="487" spans="2:19" ht="11.5" customHeight="1" x14ac:dyDescent="0.25">
      <c r="B487"/>
      <c r="S487" s="280"/>
    </row>
    <row r="488" spans="2:19" ht="11.5" customHeight="1" x14ac:dyDescent="0.25">
      <c r="B488"/>
      <c r="S488" s="280"/>
    </row>
    <row r="489" spans="2:19" ht="11.5" customHeight="1" x14ac:dyDescent="0.25">
      <c r="B489"/>
      <c r="S489" s="280"/>
    </row>
    <row r="490" spans="2:19" ht="11.5" customHeight="1" x14ac:dyDescent="0.25">
      <c r="B490"/>
      <c r="S490" s="280"/>
    </row>
    <row r="491" spans="2:19" ht="11.5" customHeight="1" x14ac:dyDescent="0.25">
      <c r="B491"/>
      <c r="S491" s="280"/>
    </row>
    <row r="492" spans="2:19" ht="11.5" customHeight="1" x14ac:dyDescent="0.25">
      <c r="B492"/>
      <c r="S492" s="280"/>
    </row>
    <row r="493" spans="2:19" ht="11.5" customHeight="1" x14ac:dyDescent="0.25">
      <c r="B493"/>
      <c r="S493" s="280"/>
    </row>
    <row r="494" spans="2:19" ht="11.5" customHeight="1" x14ac:dyDescent="0.25">
      <c r="B494"/>
      <c r="S494" s="280"/>
    </row>
    <row r="495" spans="2:19" ht="11.5" customHeight="1" x14ac:dyDescent="0.25">
      <c r="B495"/>
      <c r="S495" s="280"/>
    </row>
    <row r="496" spans="2:19" ht="11.5" customHeight="1" x14ac:dyDescent="0.25">
      <c r="B496"/>
      <c r="S496" s="280"/>
    </row>
    <row r="497" spans="2:47" ht="11.5" customHeight="1" x14ac:dyDescent="0.25">
      <c r="B497"/>
      <c r="S497" s="280"/>
    </row>
    <row r="498" spans="2:47" ht="11.5" customHeight="1" x14ac:dyDescent="0.25">
      <c r="B498"/>
      <c r="S498" s="280"/>
    </row>
    <row r="499" spans="2:47" ht="11.5" customHeight="1" x14ac:dyDescent="0.25">
      <c r="B499"/>
      <c r="S499" s="280"/>
    </row>
    <row r="500" spans="2:47" ht="11.5" customHeight="1" x14ac:dyDescent="0.25">
      <c r="B500"/>
      <c r="S500" s="280"/>
    </row>
    <row r="501" spans="2:47" ht="11.5" customHeight="1" x14ac:dyDescent="0.25">
      <c r="B501"/>
      <c r="S501" s="280"/>
    </row>
    <row r="502" spans="2:47" ht="11.5" customHeight="1" x14ac:dyDescent="0.35">
      <c r="B502"/>
      <c r="S502" s="280"/>
      <c r="AS502" s="640"/>
      <c r="AU502" s="640"/>
    </row>
    <row r="503" spans="2:47" ht="11.5" customHeight="1" x14ac:dyDescent="0.25">
      <c r="B503"/>
      <c r="S503" s="280"/>
    </row>
    <row r="504" spans="2:47" ht="11.5" customHeight="1" x14ac:dyDescent="0.25">
      <c r="B504"/>
      <c r="S504" s="280"/>
    </row>
    <row r="505" spans="2:47" ht="11.5" customHeight="1" x14ac:dyDescent="0.25">
      <c r="B505"/>
      <c r="S505" s="280"/>
    </row>
    <row r="506" spans="2:47" ht="11.5" customHeight="1" x14ac:dyDescent="0.25">
      <c r="B506"/>
      <c r="S506" s="280"/>
    </row>
    <row r="507" spans="2:47" ht="11.5" customHeight="1" x14ac:dyDescent="0.25">
      <c r="B507"/>
      <c r="S507" s="280"/>
    </row>
    <row r="508" spans="2:47" ht="11.5" customHeight="1" x14ac:dyDescent="0.25">
      <c r="B508"/>
      <c r="S508" s="280"/>
    </row>
    <row r="509" spans="2:47" ht="11.5" customHeight="1" x14ac:dyDescent="0.25">
      <c r="B509"/>
      <c r="S509" s="280"/>
    </row>
    <row r="510" spans="2:47" ht="11.5" customHeight="1" x14ac:dyDescent="0.25">
      <c r="B510"/>
      <c r="S510" s="280"/>
    </row>
    <row r="511" spans="2:47" ht="11.5" customHeight="1" x14ac:dyDescent="0.25">
      <c r="B511"/>
      <c r="S511" s="280"/>
    </row>
    <row r="512" spans="2:47" ht="11.5" customHeight="1" x14ac:dyDescent="0.25">
      <c r="B512"/>
      <c r="S512" s="280"/>
    </row>
    <row r="513" spans="2:19" ht="11.5" customHeight="1" x14ac:dyDescent="0.25">
      <c r="B513"/>
      <c r="S513" s="280"/>
    </row>
    <row r="514" spans="2:19" ht="11.5" customHeight="1" x14ac:dyDescent="0.25">
      <c r="B514"/>
      <c r="S514" s="280"/>
    </row>
    <row r="515" spans="2:19" ht="11.5" customHeight="1" x14ac:dyDescent="0.25">
      <c r="B515"/>
      <c r="S515" s="280"/>
    </row>
    <row r="516" spans="2:19" ht="11.5" customHeight="1" x14ac:dyDescent="0.25">
      <c r="B516"/>
      <c r="S516" s="280"/>
    </row>
    <row r="517" spans="2:19" ht="11.5" customHeight="1" x14ac:dyDescent="0.25">
      <c r="B517"/>
      <c r="S517" s="280"/>
    </row>
    <row r="518" spans="2:19" ht="11.5" customHeight="1" x14ac:dyDescent="0.25">
      <c r="B518"/>
      <c r="S518" s="280"/>
    </row>
    <row r="519" spans="2:19" ht="11.5" customHeight="1" x14ac:dyDescent="0.25">
      <c r="B519"/>
      <c r="S519" s="280"/>
    </row>
    <row r="520" spans="2:19" ht="11.5" customHeight="1" x14ac:dyDescent="0.25">
      <c r="B520"/>
      <c r="S520" s="280"/>
    </row>
    <row r="521" spans="2:19" ht="11.5" customHeight="1" x14ac:dyDescent="0.25">
      <c r="B521"/>
      <c r="S521" s="280"/>
    </row>
    <row r="522" spans="2:19" ht="11.5" customHeight="1" x14ac:dyDescent="0.25">
      <c r="B522"/>
      <c r="S522" s="280"/>
    </row>
    <row r="523" spans="2:19" ht="11.5" customHeight="1" x14ac:dyDescent="0.25">
      <c r="B523"/>
      <c r="S523" s="280"/>
    </row>
    <row r="524" spans="2:19" ht="11.5" customHeight="1" x14ac:dyDescent="0.25">
      <c r="B524"/>
      <c r="S524" s="280"/>
    </row>
    <row r="525" spans="2:19" ht="11.5" customHeight="1" x14ac:dyDescent="0.25">
      <c r="B525"/>
      <c r="S525" s="280"/>
    </row>
    <row r="526" spans="2:19" ht="11.5" customHeight="1" x14ac:dyDescent="0.25">
      <c r="B526"/>
      <c r="S526" s="280"/>
    </row>
    <row r="527" spans="2:19" ht="11.5" customHeight="1" x14ac:dyDescent="0.25">
      <c r="B527"/>
      <c r="S527" s="280"/>
    </row>
    <row r="528" spans="2:19" ht="11.5" customHeight="1" x14ac:dyDescent="0.25">
      <c r="B528"/>
      <c r="S528" s="280"/>
    </row>
    <row r="529" spans="2:70" ht="11.5" customHeight="1" x14ac:dyDescent="0.25">
      <c r="B529"/>
      <c r="S529" s="280"/>
    </row>
    <row r="530" spans="2:70" ht="11.5" customHeight="1" x14ac:dyDescent="0.25">
      <c r="B530"/>
      <c r="S530" s="280"/>
    </row>
    <row r="531" spans="2:70" ht="11.5" customHeight="1" x14ac:dyDescent="0.25">
      <c r="B531"/>
      <c r="S531" s="280"/>
    </row>
    <row r="532" spans="2:70" ht="11.5" customHeight="1" x14ac:dyDescent="0.25">
      <c r="B532"/>
      <c r="S532" s="280"/>
      <c r="AO532" t="s">
        <v>31</v>
      </c>
    </row>
    <row r="533" spans="2:70" ht="11.5" customHeight="1" x14ac:dyDescent="0.25">
      <c r="B533"/>
      <c r="S533" s="280"/>
      <c r="AE533" s="1"/>
    </row>
    <row r="534" spans="2:70" ht="11.5" customHeight="1" x14ac:dyDescent="0.4">
      <c r="B534"/>
      <c r="R534" s="2"/>
      <c r="S534" s="8"/>
      <c r="T534" s="94"/>
      <c r="U534" s="94"/>
      <c r="V534" s="94"/>
      <c r="W534" s="94"/>
      <c r="X534" s="94"/>
      <c r="Y534" s="94"/>
      <c r="Z534" s="94"/>
      <c r="AA534" s="94"/>
      <c r="AB534" s="94"/>
      <c r="AC534" s="94"/>
      <c r="AD534" s="2"/>
      <c r="AS534" s="641" t="s">
        <v>366</v>
      </c>
    </row>
    <row r="535" spans="2:70" ht="11.5" customHeight="1" thickBot="1" x14ac:dyDescent="0.3">
      <c r="B535"/>
      <c r="R535" s="2"/>
      <c r="S535" s="8"/>
      <c r="T535" s="94"/>
      <c r="U535" s="94"/>
      <c r="V535" s="94"/>
      <c r="W535" s="94"/>
      <c r="X535" s="94"/>
      <c r="Y535" s="94"/>
      <c r="Z535" s="94"/>
      <c r="AA535" s="94"/>
      <c r="AB535" s="94"/>
      <c r="AC535" s="94"/>
      <c r="AD535" s="2"/>
    </row>
    <row r="536" spans="2:70" ht="11.5" customHeight="1" thickBot="1" x14ac:dyDescent="0.35">
      <c r="B536"/>
      <c r="R536" s="2"/>
      <c r="S536" s="386"/>
      <c r="T536" s="94"/>
      <c r="U536" s="94"/>
      <c r="V536" s="94"/>
      <c r="W536" s="94"/>
      <c r="X536" s="94"/>
      <c r="Y536" s="94"/>
      <c r="Z536" s="94"/>
      <c r="AA536" s="94"/>
      <c r="AB536" s="94"/>
      <c r="AC536" s="94"/>
      <c r="AD536" s="2"/>
      <c r="AR536" s="642">
        <v>1</v>
      </c>
      <c r="AS536" s="643">
        <v>2</v>
      </c>
      <c r="AT536" s="644">
        <v>3</v>
      </c>
      <c r="AU536" s="643">
        <v>4</v>
      </c>
      <c r="AV536" s="644">
        <v>5</v>
      </c>
      <c r="AW536" s="643">
        <v>6</v>
      </c>
      <c r="AX536" s="644">
        <v>7</v>
      </c>
      <c r="AY536" s="644">
        <v>8</v>
      </c>
      <c r="AZ536" s="643">
        <v>9</v>
      </c>
      <c r="BA536" s="644">
        <v>10</v>
      </c>
      <c r="BB536" s="645">
        <v>11</v>
      </c>
      <c r="BC536" s="646">
        <v>12</v>
      </c>
      <c r="BD536" s="647">
        <v>13</v>
      </c>
      <c r="BE536" s="643">
        <v>14</v>
      </c>
      <c r="BF536" s="645">
        <v>15</v>
      </c>
      <c r="BG536" s="646">
        <v>16</v>
      </c>
      <c r="BH536" s="647">
        <v>17</v>
      </c>
      <c r="BI536" s="643">
        <v>18</v>
      </c>
      <c r="BJ536" s="644">
        <v>19</v>
      </c>
      <c r="BK536" s="644">
        <v>20</v>
      </c>
      <c r="BL536" s="643">
        <v>21</v>
      </c>
      <c r="BM536" s="643">
        <v>22</v>
      </c>
      <c r="BN536" s="644">
        <v>23</v>
      </c>
      <c r="BO536" s="643">
        <v>24</v>
      </c>
      <c r="BP536" s="644">
        <v>25</v>
      </c>
      <c r="BQ536" s="648">
        <v>26</v>
      </c>
    </row>
    <row r="537" spans="2:70" ht="129" customHeight="1" thickBot="1" x14ac:dyDescent="0.4">
      <c r="B537"/>
      <c r="R537" s="2"/>
      <c r="S537" s="386"/>
      <c r="T537" s="94"/>
      <c r="U537" s="94"/>
      <c r="V537" s="94"/>
      <c r="W537" s="94"/>
      <c r="X537" s="94"/>
      <c r="Y537" s="94"/>
      <c r="Z537" s="94"/>
      <c r="AA537" s="94"/>
      <c r="AB537" s="94"/>
      <c r="AC537" s="94"/>
      <c r="AD537" s="2"/>
      <c r="AR537" s="649" t="s">
        <v>367</v>
      </c>
      <c r="AS537" s="650" t="str">
        <f>$C30</f>
        <v>Education services</v>
      </c>
      <c r="AT537" s="650" t="str">
        <f>$C31</f>
        <v>Highways and transport services</v>
      </c>
      <c r="AU537" s="650" t="str">
        <f>$C32</f>
        <v>Children Social Care</v>
      </c>
      <c r="AV537" s="650" t="str">
        <f>$C35</f>
        <v>Housing services (GFRA only)</v>
      </c>
      <c r="AW537" s="650" t="str">
        <f>$C36</f>
        <v>Cultural and related services</v>
      </c>
      <c r="AX537" s="650" t="str">
        <f>$C37</f>
        <v>Environmental and regulatory services</v>
      </c>
      <c r="AY537" s="651" t="s">
        <v>368</v>
      </c>
      <c r="AZ537" s="650" t="str">
        <f>$C39</f>
        <v>Police services</v>
      </c>
      <c r="BA537" s="650" t="str">
        <f>$C40</f>
        <v>Fire and rescue services</v>
      </c>
      <c r="BB537" s="650" t="str">
        <f>$C33</f>
        <v>Adult Social Care</v>
      </c>
      <c r="BC537" s="652" t="s">
        <v>253</v>
      </c>
      <c r="BD537" s="653" t="str">
        <f>$C53</f>
        <v>Integrated Transport Authority levy (- for authorities for which this is an income, + for others)</v>
      </c>
      <c r="BE537" s="653" t="str">
        <f>$C54</f>
        <v>Waste Disposal Authority levy (- for authorities for which this is an income, + for others)</v>
      </c>
      <c r="BF537" s="653" t="str">
        <f>$C55</f>
        <v xml:space="preserve">London Pensions Fund Authority levy </v>
      </c>
      <c r="BG537" s="652" t="s">
        <v>253</v>
      </c>
      <c r="BH537" s="653" t="str">
        <f>$C49</f>
        <v>Contribution to the HRA re items shared by the whole community</v>
      </c>
      <c r="BI537" s="653" t="str">
        <f>$C45</f>
        <v>Housing benefits: rent allowances - mandatory payments</v>
      </c>
      <c r="BJ537" s="653" t="str">
        <f>$C46</f>
        <v>Housing benefits: non-HRA rent rebates - mandatory payments</v>
      </c>
      <c r="BK537" s="654" t="s">
        <v>369</v>
      </c>
      <c r="BL537" s="653" t="s">
        <v>370</v>
      </c>
      <c r="BM537" s="654" t="s">
        <v>371</v>
      </c>
      <c r="BN537" s="653" t="str">
        <f>$C65</f>
        <v>Levy: Environment Agency flood defence: payments(+) receipts(-)</v>
      </c>
      <c r="BO537" s="653" t="str">
        <f>$C121</f>
        <v>Schools reserves level</v>
      </c>
      <c r="BP537" s="653" t="str">
        <f>$C125</f>
        <v xml:space="preserve">Other earmarked financial reserves level </v>
      </c>
      <c r="BQ537" s="653" t="str">
        <f>$C134</f>
        <v>Unallocated financial reserves level</v>
      </c>
    </row>
    <row r="538" spans="2:70" ht="11.5" customHeight="1" thickBot="1" x14ac:dyDescent="0.45">
      <c r="B538"/>
      <c r="R538" s="2"/>
      <c r="AR538" s="655" t="e">
        <f>VLOOKUP($B$21,LA_list,5,FALSE)</f>
        <v>#NAME?</v>
      </c>
      <c r="AS538" s="656" t="e">
        <f>VLOOKUP(VLOOKUP($B$21,LA_list,5,FALSE),CLASS_CHECK,2,FALSE)</f>
        <v>#NAME?</v>
      </c>
      <c r="AT538" s="656" t="e">
        <f>VLOOKUP(VLOOKUP($B$21,LA_list,5,FALSE),CLASS_CHECK,3,FALSE)</f>
        <v>#NAME?</v>
      </c>
      <c r="AU538" s="656" t="e">
        <f>VLOOKUP(VLOOKUP($B$21,LA_list,5,FALSE),CLASS_CHECK,4,FALSE)</f>
        <v>#NAME?</v>
      </c>
      <c r="AV538" s="656" t="e">
        <f>VLOOKUP(VLOOKUP($B$21,LA_list,5,FALSE),CLASS_CHECK,5,FALSE)</f>
        <v>#NAME?</v>
      </c>
      <c r="AW538" s="656" t="e">
        <f>VLOOKUP(VLOOKUP($B$21,LA_list,5,FALSE),CLASS_CHECK,6,FALSE)</f>
        <v>#NAME?</v>
      </c>
      <c r="AX538" s="656" t="e">
        <f>VLOOKUP(VLOOKUP($B$21,LA_list,5,FALSE),CLASS_CHECK,7,FALSE)</f>
        <v>#NAME?</v>
      </c>
      <c r="AY538" s="656" t="e">
        <f>VLOOKUP(VLOOKUP($B$21,LA_list,5,FALSE),CLASS_CHECK,8,FALSE)</f>
        <v>#NAME?</v>
      </c>
      <c r="AZ538" s="656" t="e">
        <f>VLOOKUP(VLOOKUP($B$21,LA_list,5,FALSE),CLASS_CHECK,9,FALSE)</f>
        <v>#NAME?</v>
      </c>
      <c r="BA538" s="656" t="e">
        <f>VLOOKUP(VLOOKUP($B$21,LA_list,5,FALSE),CLASS_CHECK,10,FALSE)</f>
        <v>#NAME?</v>
      </c>
      <c r="BB538" s="656" t="e">
        <f>VLOOKUP(VLOOKUP($B$21,LA_list,5,FALSE),CLASS_CHECK,11,FALSE)</f>
        <v>#NAME?</v>
      </c>
      <c r="BC538" s="657" t="s">
        <v>253</v>
      </c>
      <c r="BD538" s="656" t="e">
        <f>VLOOKUP(VLOOKUP($B$21,LA_list,5,FALSE),CLASS_CHECK,13,FALSE)</f>
        <v>#NAME?</v>
      </c>
      <c r="BE538" s="656" t="e">
        <f>VLOOKUP(VLOOKUP($B$21,LA_list,5,FALSE),CLASS_CHECK,14,FALSE)</f>
        <v>#NAME?</v>
      </c>
      <c r="BF538" s="656" t="e">
        <f>VLOOKUP(VLOOKUP($B$21,LA_list,5,FALSE),CLASS_CHECK,15,FALSE)</f>
        <v>#NAME?</v>
      </c>
      <c r="BG538" s="657" t="s">
        <v>253</v>
      </c>
      <c r="BH538" s="656" t="e">
        <f>VLOOKUP(VLOOKUP($B$21,LA_list,5,FALSE),CLASS_CHECK,17,FALSE)</f>
        <v>#NAME?</v>
      </c>
      <c r="BI538" s="656" t="e">
        <f>VLOOKUP(VLOOKUP($B$21,LA_list,5,FALSE),CLASS_CHECK,18,FALSE)</f>
        <v>#NAME?</v>
      </c>
      <c r="BJ538" s="656" t="e">
        <f>VLOOKUP(VLOOKUP($B$21,LA_list,5,FALSE),CLASS_CHECK,19,FALSE)</f>
        <v>#NAME?</v>
      </c>
      <c r="BK538" s="656" t="e">
        <f>VLOOKUP(VLOOKUP($B$21,LA_list,5,FALSE),CLASS_CHECK,20,FALSE)</f>
        <v>#NAME?</v>
      </c>
      <c r="BL538" s="656" t="e">
        <f>VLOOKUP(VLOOKUP($B$21,LA_list,5,FALSE),CLASS_CHECK,21,FALSE)</f>
        <v>#NAME?</v>
      </c>
      <c r="BM538" s="656" t="e">
        <f>VLOOKUP(VLOOKUP($B$21,LA_list,5,FALSE),CLASS_CHECK,22,FALSE)</f>
        <v>#NAME?</v>
      </c>
      <c r="BN538" s="656" t="e">
        <f>VLOOKUP(VLOOKUP($B$21,LA_list,5,FALSE),CLASS_CHECK,23,FALSE)</f>
        <v>#NAME?</v>
      </c>
      <c r="BO538" s="656" t="e">
        <f>VLOOKUP(VLOOKUP($B$21,LA_list,5,FALSE),CLASS_CHECK,24,FALSE)</f>
        <v>#NAME?</v>
      </c>
      <c r="BP538" s="656" t="e">
        <f>VLOOKUP(VLOOKUP($B$21,LA_list,5,FALSE),CLASS_CHECK,25,FALSE)</f>
        <v>#NAME?</v>
      </c>
      <c r="BQ538" s="656" t="e">
        <f>VLOOKUP(VLOOKUP($B$21,LA_list,5,FALSE),CLASS_CHECK,26,FALSE)</f>
        <v>#NAME?</v>
      </c>
      <c r="BR538" s="658" t="s">
        <v>253</v>
      </c>
    </row>
    <row r="539" spans="2:70" ht="11.5" customHeight="1" thickBot="1" x14ac:dyDescent="0.4">
      <c r="B539"/>
      <c r="AR539" s="659"/>
      <c r="AS539" s="660" t="str">
        <f>"RS LINE " &amp; $B30</f>
        <v>RS LINE 190</v>
      </c>
      <c r="AT539" s="661" t="str">
        <f>"RS LINE " &amp; $B31</f>
        <v>RS LINE 290</v>
      </c>
      <c r="AU539" s="661" t="str">
        <f>"RS LINE " &amp; $B32</f>
        <v>RS LINE 330</v>
      </c>
      <c r="AV539" s="661" t="str">
        <f>"RS LINE " &amp; $B35</f>
        <v>RS LINE 490</v>
      </c>
      <c r="AW539" s="661" t="str">
        <f>"RS LINE " &amp; $B36</f>
        <v>RS LINE 509</v>
      </c>
      <c r="AX539" s="661" t="str">
        <f>"RS LINE " &amp; $B37</f>
        <v>RS LINE 590</v>
      </c>
      <c r="AY539" s="661" t="str">
        <f>"RS LINE " &amp; $B38</f>
        <v>RS LINE 599</v>
      </c>
      <c r="AZ539" s="661" t="str">
        <f>"RS LINE " &amp; $B39</f>
        <v>RS LINE 601</v>
      </c>
      <c r="BA539" s="661" t="str">
        <f>"RS LINE " &amp; $B40</f>
        <v>RS LINE 602</v>
      </c>
      <c r="BB539" s="661" t="str">
        <f>"RS LINE " &amp; $B33</f>
        <v>RS LINE 360</v>
      </c>
      <c r="BC539" s="662" t="s">
        <v>253</v>
      </c>
      <c r="BD539" s="663" t="str">
        <f>"RS LINE " &amp; $B53</f>
        <v>RS LINE 722</v>
      </c>
      <c r="BE539" s="661" t="str">
        <f>"RS LINE " &amp; $B54</f>
        <v>RS LINE 724</v>
      </c>
      <c r="BF539" s="664" t="str">
        <f>"RS LINE " &amp; $B55</f>
        <v>RS LINE 727</v>
      </c>
      <c r="BG539" s="662" t="s">
        <v>253</v>
      </c>
      <c r="BH539" s="663" t="str">
        <f>"RS LINE " &amp; $B49</f>
        <v>RS LINE 718</v>
      </c>
      <c r="BI539" s="661" t="str">
        <f>"RS LINE " &amp; $B45</f>
        <v>RS LINE 711</v>
      </c>
      <c r="BJ539" s="661" t="str">
        <f>"RS LINE " &amp; $B46</f>
        <v>RS LINE 712</v>
      </c>
      <c r="BK539" s="661" t="str">
        <f>"RS LINE " &amp; $B47</f>
        <v>RS LINE 713</v>
      </c>
      <c r="BL539" s="661" t="e">
        <f>"RG LINE " &amp;RG!#REF!</f>
        <v>#REF!</v>
      </c>
      <c r="BM539" s="661" t="e">
        <f>"RS LINE " &amp;#REF!</f>
        <v>#REF!</v>
      </c>
      <c r="BN539" s="661" t="str">
        <f>"RS LINE " &amp; $B65</f>
        <v>RS LINE 759</v>
      </c>
      <c r="BO539" s="661" t="str">
        <f>"RS LINE " &amp; $B121</f>
        <v>RS LINE 911</v>
      </c>
      <c r="BP539" s="661" t="str">
        <f>"RS LINE " &amp; $B125</f>
        <v>RS LINE 915</v>
      </c>
      <c r="BQ539" s="665" t="str">
        <f>"RS LINE " &amp; $B134</f>
        <v>RS LINE 916</v>
      </c>
    </row>
    <row r="540" spans="2:70" ht="11.5" customHeight="1" x14ac:dyDescent="0.35">
      <c r="B540"/>
      <c r="AR540" s="666" t="s">
        <v>372</v>
      </c>
      <c r="AS540" s="667" t="str">
        <f>IF($F$30&lt;&gt;0,"","Entry expected for your class")</f>
        <v>Entry expected for your class</v>
      </c>
      <c r="AT540" s="668" t="str">
        <f>IF($F$31&lt;&gt;0,"","Entry expected for your class")</f>
        <v>Entry expected for your class</v>
      </c>
      <c r="AU540" s="668" t="str">
        <f>IF($F$32&lt;&gt;0,"","Entry expected for your class")</f>
        <v>Entry expected for your class</v>
      </c>
      <c r="AV540" s="669" t="s">
        <v>253</v>
      </c>
      <c r="AW540" s="668" t="str">
        <f>IF($F$36&lt;&gt;0,"","Entry expected for your class")</f>
        <v>Entry expected for your class</v>
      </c>
      <c r="AX540" s="670" t="str">
        <f>IF($F$37&lt;&gt;0,"","Entry expected for your class")</f>
        <v>Entry expected for your class</v>
      </c>
      <c r="AY540" s="671" t="str">
        <f>IF($F$38&lt;&gt;0,"","Entry expected for your class")</f>
        <v>Entry expected for your class</v>
      </c>
      <c r="AZ540" s="672" t="s">
        <v>253</v>
      </c>
      <c r="BA540" s="669" t="s">
        <v>253</v>
      </c>
      <c r="BB540" s="668" t="str">
        <f>IF($F$33&lt;&gt;0,"","Entry expected for your class")</f>
        <v>Entry expected for your class</v>
      </c>
      <c r="BC540" s="669" t="s">
        <v>253</v>
      </c>
      <c r="BD540" s="673" t="str">
        <f t="shared" ref="BD540:BD545" si="178">IF($F$53=0,"","Zero entry expected for your class")</f>
        <v/>
      </c>
      <c r="BE540" s="673" t="str">
        <f t="shared" ref="BE540:BE545" si="179">IF($F$54=0,"","Zero entry expected for your class")</f>
        <v/>
      </c>
      <c r="BF540" s="673" t="str">
        <f>IF($F$55=0,"","Zero entry expected for your class")</f>
        <v/>
      </c>
      <c r="BG540" s="669" t="s">
        <v>253</v>
      </c>
      <c r="BH540" s="673" t="str">
        <f>IF($F$49=0,"","WARNING: Col 1 - Zero entry expected for your class")</f>
        <v/>
      </c>
      <c r="BI540" s="673" t="str">
        <f>IF($F$45=0,"","Zero entry expected for your class")</f>
        <v/>
      </c>
      <c r="BJ540" s="674" t="str">
        <f>IF($F$46=0,"","Zero entry expected for your class")</f>
        <v/>
      </c>
      <c r="BK540" s="671" t="str">
        <f>IF($F$47=0,"","Zero entry expected for your class")</f>
        <v/>
      </c>
      <c r="BL540" s="675" t="e">
        <f>IF(RG!#REF!=0,"","WARNING: Col 1 - Zero entry expected for your class")</f>
        <v>#REF!</v>
      </c>
      <c r="BM540" s="1305" t="e">
        <f>IF(#REF!=0,"","WARNING: Col 1 - Zero entry expected for your class")</f>
        <v>#REF!</v>
      </c>
      <c r="BN540" s="668" t="str">
        <f>IF($F$65&gt;0,"","Greater than zero expected for your class")</f>
        <v>Greater than zero expected for your class</v>
      </c>
      <c r="BO540" s="668" t="e">
        <f>IF($F$121&gt;0,"","WARNING: Col 1 - Greater than zero expected for your class")</f>
        <v>#N/A</v>
      </c>
      <c r="BP540" s="668" t="e">
        <f>IF($F$125&gt;0,"","WARNING: Col 1 - Greater than zero expected for your class")</f>
        <v>#N/A</v>
      </c>
      <c r="BQ540" s="676" t="e">
        <f>IF($F$134&gt;0,"","WARNING: Col 1 - Greater than zero expected for your class")</f>
        <v>#N/A</v>
      </c>
      <c r="BR540" s="677"/>
    </row>
    <row r="541" spans="2:70" ht="11.5" customHeight="1" x14ac:dyDescent="0.35">
      <c r="B541"/>
      <c r="S541" s="280"/>
      <c r="AG541" s="39"/>
      <c r="AH541" s="13"/>
      <c r="AI541" s="13"/>
      <c r="AJ541" s="13"/>
      <c r="AK541" s="13"/>
      <c r="AL541" s="13"/>
      <c r="AM541" s="13"/>
      <c r="AN541" s="13"/>
      <c r="AO541" s="13"/>
      <c r="AP541" s="13"/>
      <c r="AR541" s="1306" t="s">
        <v>373</v>
      </c>
      <c r="AS541" s="1307" t="str">
        <f>IF($F$30=0,"","Zero entry expected for your class")</f>
        <v/>
      </c>
      <c r="AT541" s="1305" t="str">
        <f>IF($F$31=0,"","Zero entry expected for your class")</f>
        <v/>
      </c>
      <c r="AU541" s="1305" t="str">
        <f>IF($F$32=0,"","Zero entry expected for your class")</f>
        <v/>
      </c>
      <c r="AV541" s="1305" t="str">
        <f>IF($F$35=0,"","Zero entry expected for your class")</f>
        <v/>
      </c>
      <c r="AW541" s="1305" t="str">
        <f>IF($F$36=0,"","Zero entry expected for your class")</f>
        <v/>
      </c>
      <c r="AX541" s="1308" t="s">
        <v>253</v>
      </c>
      <c r="AY541" s="1309" t="str">
        <f>IF($F$38=0,"","Zero entry expected for your class")</f>
        <v/>
      </c>
      <c r="AZ541" s="1310" t="str">
        <f>IF($F$39=0,"","Zero entry expected for your class")</f>
        <v/>
      </c>
      <c r="BA541" s="1311" t="str">
        <f>IF($F$40&lt;&gt;0,"","Entry expected for your class")</f>
        <v>Entry expected for your class</v>
      </c>
      <c r="BB541" s="1305" t="str">
        <f>IF($F$33=0,"","Zero entry expected for your class")</f>
        <v/>
      </c>
      <c r="BC541" s="1312" t="s">
        <v>253</v>
      </c>
      <c r="BD541" s="1305" t="str">
        <f t="shared" si="178"/>
        <v/>
      </c>
      <c r="BE541" s="1305" t="str">
        <f t="shared" si="179"/>
        <v/>
      </c>
      <c r="BF541" s="1305" t="str">
        <f>IF($F$55=0,"","Zero entry expected for your class")</f>
        <v/>
      </c>
      <c r="BG541" s="1312" t="s">
        <v>253</v>
      </c>
      <c r="BH541" s="1305" t="str">
        <f>IF($F$49=0,"","WARNING: Col 1 - Zero entry expected for your class")</f>
        <v/>
      </c>
      <c r="BI541" s="1305" t="str">
        <f>IF($F$45=0,"","Zero entry expected for your class")</f>
        <v/>
      </c>
      <c r="BJ541" s="1313" t="str">
        <f>IF($F$46=0,"","Zero entry expected for your class")</f>
        <v/>
      </c>
      <c r="BK541" s="1314" t="str">
        <f>IF($F$47=0,"","Zero entry expected for your class")</f>
        <v/>
      </c>
      <c r="BL541" s="1310" t="e">
        <f>IF(RG!#REF!=0,"","WARNING: Col 1 - Zero entry expected for your class")</f>
        <v>#REF!</v>
      </c>
      <c r="BM541" s="1305" t="e">
        <f>IF(#REF!=0,"","WARNING: Col 1 - Zero entry expected for your class")</f>
        <v>#REF!</v>
      </c>
      <c r="BN541" s="1305" t="str">
        <f>IF($F$65=0,"","Zero entry expected for your class")</f>
        <v/>
      </c>
      <c r="BO541" s="1305" t="e">
        <f>IF($F$121=0,"","WARNING: Col 1 - Zero entry expected for your class")</f>
        <v>#N/A</v>
      </c>
      <c r="BP541" s="1315" t="e">
        <f>IF($F$125&gt;=0,"","WARNING: Col 1 - Greater than or equal to zero expected for your class")</f>
        <v>#N/A</v>
      </c>
      <c r="BQ541" s="1316" t="e">
        <f>IF($F$134&gt;=0,"","WARNING: Col 1 - Greater than or equal to zero expected for your class")</f>
        <v>#N/A</v>
      </c>
      <c r="BR541" s="677"/>
    </row>
    <row r="542" spans="2:70" ht="11.5" customHeight="1" x14ac:dyDescent="0.35">
      <c r="B542"/>
      <c r="S542" s="280"/>
      <c r="AR542" s="1306" t="s">
        <v>374</v>
      </c>
      <c r="AS542" s="1317" t="str">
        <f>IF($F$30&lt;&gt;0,"","Entry expected for your class")</f>
        <v>Entry expected for your class</v>
      </c>
      <c r="AT542" s="1311" t="str">
        <f>IF($F$31&lt;&gt;0,"","Entry expected for your class")</f>
        <v>Entry expected for your class</v>
      </c>
      <c r="AU542" s="1311" t="str">
        <f>IF($F$32&lt;&gt;0,"","Entry expected for your class")</f>
        <v>Entry expected for your class</v>
      </c>
      <c r="AV542" s="1312" t="s">
        <v>253</v>
      </c>
      <c r="AW542" s="1311" t="str">
        <f>IF($F$36&lt;&gt;0,"","Entry expected for your class")</f>
        <v>Entry expected for your class</v>
      </c>
      <c r="AX542" s="1308" t="s">
        <v>253</v>
      </c>
      <c r="AY542" s="1314" t="str">
        <f>IF($F$38&lt;&gt;0,"","Entry expected for your class")</f>
        <v>Entry expected for your class</v>
      </c>
      <c r="AZ542" s="1318" t="str">
        <f>IF($F$39&lt;&gt;0,"","Entry expected for your class")</f>
        <v>Entry expected for your class</v>
      </c>
      <c r="BA542" s="1305" t="str">
        <f>IF($F$40=0,"","Zero entry expected for your class")</f>
        <v/>
      </c>
      <c r="BB542" s="1311" t="str">
        <f>IF($F$33&lt;&gt;0,"","Entry expected for your class")</f>
        <v>Entry expected for your class</v>
      </c>
      <c r="BC542" s="1312" t="s">
        <v>253</v>
      </c>
      <c r="BD542" s="1305" t="str">
        <f t="shared" si="178"/>
        <v/>
      </c>
      <c r="BE542" s="1305" t="str">
        <f t="shared" si="179"/>
        <v/>
      </c>
      <c r="BF542" s="1311" t="str">
        <f>IF($F$55&gt;0,"","Greater than zero expected for your class")</f>
        <v>Greater than zero expected for your class</v>
      </c>
      <c r="BG542" s="1312" t="s">
        <v>253</v>
      </c>
      <c r="BH542" s="1312" t="s">
        <v>253</v>
      </c>
      <c r="BI542" s="1311" t="str">
        <f>IF($F$45&gt;0,"","Greater than zero expected for your class")</f>
        <v>Greater than zero expected for your class</v>
      </c>
      <c r="BJ542" s="1308" t="s">
        <v>253</v>
      </c>
      <c r="BK542" s="1311" t="str">
        <f>IF($F$47&gt;0,"","Greater than zero expected for your class")</f>
        <v>Greater than zero expected for your class</v>
      </c>
      <c r="BL542" s="1318" t="e">
        <f>IF(RG!#REF!&gt;0,"","WARNING: Col 1 - Greater than zero expected for your class")</f>
        <v>#REF!</v>
      </c>
      <c r="BM542" s="1319" t="s">
        <v>253</v>
      </c>
      <c r="BN542" s="1311" t="str">
        <f>IF($F$65&gt;0,"","Greater than zero expected for your class")</f>
        <v>Greater than zero expected for your class</v>
      </c>
      <c r="BO542" s="1311" t="e">
        <f>IF($F$121&gt;0,"","WARNING: Col 1 - Greater than zero expected for your class")</f>
        <v>#N/A</v>
      </c>
      <c r="BP542" s="1311" t="e">
        <f>IF($F$125&gt;0,"","WARNING: Col 1 - Greater than zero expected for your class")</f>
        <v>#N/A</v>
      </c>
      <c r="BQ542" s="1320" t="e">
        <f>IF($F$134&gt;0,"","WARNING: Col 1 - Greater than zero expected for your class")</f>
        <v>#N/A</v>
      </c>
      <c r="BR542" s="677"/>
    </row>
    <row r="543" spans="2:70" ht="11.5" customHeight="1" x14ac:dyDescent="0.35">
      <c r="B543"/>
      <c r="S543" s="280"/>
      <c r="AE543" s="1"/>
      <c r="AQ543" s="1"/>
      <c r="AR543" s="1321" t="s">
        <v>375</v>
      </c>
      <c r="AS543" s="1307" t="str">
        <f>IF($F$30=0,"","Zero entry expected for your class")</f>
        <v/>
      </c>
      <c r="AT543" s="1305" t="str">
        <f>IF($F$31=0,"","Zero entry expected for your class")</f>
        <v/>
      </c>
      <c r="AU543" s="1305" t="str">
        <f>IF($F$32=0,"","Zero entry expected for your class")</f>
        <v/>
      </c>
      <c r="AV543" s="1305" t="str">
        <f>IF($F$35=0,"","Zero entry expected for your class")</f>
        <v/>
      </c>
      <c r="AW543" s="1305" t="str">
        <f>IF($F$36=0,"","Zero entry expected for your class")</f>
        <v/>
      </c>
      <c r="AX543" s="1308" t="s">
        <v>253</v>
      </c>
      <c r="AY543" s="1322" t="str">
        <f>IF($F$38=0,"","Zero entry expected for your class")</f>
        <v/>
      </c>
      <c r="AZ543" s="1318" t="str">
        <f>IF($F$39&lt;&gt;0,"","Entry expected for your class")</f>
        <v>Entry expected for your class</v>
      </c>
      <c r="BA543" s="1305" t="str">
        <f>IF($F$40=0,"","Zero entry expected for your class")</f>
        <v/>
      </c>
      <c r="BB543" s="1305" t="str">
        <f>IF($F$33=0,"","Zero entry expected for your class")</f>
        <v/>
      </c>
      <c r="BC543" s="1312" t="s">
        <v>253</v>
      </c>
      <c r="BD543" s="1305" t="str">
        <f t="shared" si="178"/>
        <v/>
      </c>
      <c r="BE543" s="1305" t="str">
        <f t="shared" si="179"/>
        <v/>
      </c>
      <c r="BF543" s="1305" t="str">
        <f>IF($F$55=0,"","Zero entry expected for your class")</f>
        <v/>
      </c>
      <c r="BG543" s="1312" t="s">
        <v>253</v>
      </c>
      <c r="BH543" s="1305" t="str">
        <f>IF($F$49=0,"","WARNING: Col 1 - Zero entry expected for your class")</f>
        <v/>
      </c>
      <c r="BI543" s="1305" t="str">
        <f>IF($F$45=0,"","Zero entry expected for your class")</f>
        <v/>
      </c>
      <c r="BJ543" s="1313" t="str">
        <f>IF($F$46=0,"","Zero entry expected for your class")</f>
        <v/>
      </c>
      <c r="BK543" s="1314" t="str">
        <f>IF($F$47=0,"","Zero entry expected for your class")</f>
        <v/>
      </c>
      <c r="BL543" s="1310" t="e">
        <f>IF(RG!#REF!=0,"","WARNING: Col 1 - Zero entry expected for your class")</f>
        <v>#REF!</v>
      </c>
      <c r="BM543" s="1305" t="e">
        <f>IF(#REF!=0,"","WARNING: Col 1 - Zero entry expected for your class")</f>
        <v>#REF!</v>
      </c>
      <c r="BN543" s="1305" t="str">
        <f>IF($F$65=0,"","Zero entry expected for your class")</f>
        <v/>
      </c>
      <c r="BO543" s="1305" t="e">
        <f>IF($F$121=0,"","WARNING: Col 1 - Zero entry expected for your class")</f>
        <v>#N/A</v>
      </c>
      <c r="BP543" s="1315" t="e">
        <f>IF($F$125&gt;=0,"","WARNING: Col 1 - Greater than or equal to zero expected for your class")</f>
        <v>#N/A</v>
      </c>
      <c r="BQ543" s="1316" t="e">
        <f>IF($F$134&gt;=0,"","WARNING: Col 1 - Greater than or equal to zero expected for your class")</f>
        <v>#N/A</v>
      </c>
      <c r="BR543" s="677"/>
    </row>
    <row r="544" spans="2:70" ht="11.5" customHeight="1" x14ac:dyDescent="0.35">
      <c r="B544"/>
      <c r="S544" s="280"/>
      <c r="AE544" s="1"/>
      <c r="AQ544" s="1"/>
      <c r="AR544" s="1306" t="s">
        <v>376</v>
      </c>
      <c r="AS544" s="1307" t="str">
        <f>IF($F$30=0,"","Zero entry expected for your class")</f>
        <v/>
      </c>
      <c r="AT544" s="1305" t="str">
        <f>IF($F$31=0,"","Zero entry expected for your class")</f>
        <v/>
      </c>
      <c r="AU544" s="1305" t="str">
        <f>IF($F$32=0,"","Zero entry expected for your class")</f>
        <v/>
      </c>
      <c r="AV544" s="1305" t="str">
        <f>IF($F$35=0,"","Zero entry expected for your class")</f>
        <v/>
      </c>
      <c r="AW544" s="1305" t="str">
        <f>IF($F$36=0,"","Zero entry expected for your class")</f>
        <v/>
      </c>
      <c r="AX544" s="1308" t="s">
        <v>253</v>
      </c>
      <c r="AY544" s="1309" t="str">
        <f>IF($F$38=0,"","Zero entry expected for your class")</f>
        <v/>
      </c>
      <c r="AZ544" s="1310" t="str">
        <f>IF($F$39=0,"","Zero entry expected for your class")</f>
        <v/>
      </c>
      <c r="BA544" s="1311" t="str">
        <f>IF($F$40&lt;&gt;0,"","Entry expected for your class")</f>
        <v>Entry expected for your class</v>
      </c>
      <c r="BB544" s="1305" t="str">
        <f>IF($F$33=0,"","Zero entry expected for your class")</f>
        <v/>
      </c>
      <c r="BC544" s="1312" t="s">
        <v>253</v>
      </c>
      <c r="BD544" s="1305" t="str">
        <f t="shared" si="178"/>
        <v/>
      </c>
      <c r="BE544" s="1305" t="str">
        <f t="shared" si="179"/>
        <v/>
      </c>
      <c r="BF544" s="1305" t="str">
        <f>IF($F$55=0,"","Zero entry expected for your class")</f>
        <v/>
      </c>
      <c r="BG544" s="1312" t="s">
        <v>253</v>
      </c>
      <c r="BH544" s="1305" t="str">
        <f>IF($F$49=0,"","WARNING: Col 1 - Zero entry expected for your class")</f>
        <v/>
      </c>
      <c r="BI544" s="1305" t="str">
        <f>IF($F$45=0,"","Zero entry expected for your class")</f>
        <v/>
      </c>
      <c r="BJ544" s="1313" t="str">
        <f>IF($F$46=0,"","Zero entry expected for your class")</f>
        <v/>
      </c>
      <c r="BK544" s="1314" t="str">
        <f>IF($F$47=0,"","Zero entry expected for your class")</f>
        <v/>
      </c>
      <c r="BL544" s="1310" t="e">
        <f>IF(RG!#REF!=0,"","WARNING: Col 1 - Zero entry expected for your class")</f>
        <v>#REF!</v>
      </c>
      <c r="BM544" s="1305" t="e">
        <f>IF(#REF!=0,"","WARNING: Col 1 - Zero entry expected for your class")</f>
        <v>#REF!</v>
      </c>
      <c r="BN544" s="1305" t="str">
        <f>IF($F$65=0,"","Zero entry expected for your class")</f>
        <v/>
      </c>
      <c r="BO544" s="1305" t="e">
        <f>IF($F$121=0,"","WARNING: Col 1 - Zero entry expected for your class")</f>
        <v>#N/A</v>
      </c>
      <c r="BP544" s="1315" t="e">
        <f>IF($F$125&gt;=0,"","WARNING: Col 1 - Greater than or equal to zero expected for your class")</f>
        <v>#N/A</v>
      </c>
      <c r="BQ544" s="1316" t="e">
        <f>IF($F$134&gt;=0,"","WARNING: Col 1 - Greater than or equal to zero expected for your class")</f>
        <v>#N/A</v>
      </c>
      <c r="BR544" s="677"/>
    </row>
    <row r="545" spans="2:70" ht="11.5" customHeight="1" x14ac:dyDescent="0.35">
      <c r="B545"/>
      <c r="S545" s="280"/>
      <c r="AR545" s="1306" t="s">
        <v>377</v>
      </c>
      <c r="AS545" s="1307" t="str">
        <f>IF($F$30=0,"","Zero entry expected for your class")</f>
        <v/>
      </c>
      <c r="AT545" s="1311" t="str">
        <f>IF($F$31&lt;&gt;0,"","Entry expected for your class")</f>
        <v>Entry expected for your class</v>
      </c>
      <c r="AU545" s="1305" t="str">
        <f>IF($F$32=0,"","Zero entry expected for your class")</f>
        <v/>
      </c>
      <c r="AV545" s="1305" t="str">
        <f>IF($F$35=0,"","Zero entry expected for your class")</f>
        <v/>
      </c>
      <c r="AW545" s="1311" t="str">
        <f>IF($F$36&lt;&gt;0,"","Entry expected for your class")</f>
        <v>Entry expected for your class</v>
      </c>
      <c r="AX545" s="1323" t="str">
        <f>IF($F$37&lt;&gt;0,"","Entry expected for your class")</f>
        <v>Entry expected for your class</v>
      </c>
      <c r="AY545" s="1314" t="str">
        <f>IF($F$38&lt;&gt;0,"","Entry expected for your class")</f>
        <v>Entry expected for your class</v>
      </c>
      <c r="AZ545" s="1318" t="str">
        <f>IF($F$39&lt;&gt;0,"","Entry expected for your class")</f>
        <v>Entry expected for your class</v>
      </c>
      <c r="BA545" s="1311" t="str">
        <f>IF($F$40&lt;&gt;0,"","Entry expected for your class")</f>
        <v>Entry expected for your class</v>
      </c>
      <c r="BB545" s="1305" t="str">
        <f>IF($F$33=0,"","Zero entry expected for your class")</f>
        <v/>
      </c>
      <c r="BC545" s="1312" t="s">
        <v>253</v>
      </c>
      <c r="BD545" s="1305" t="str">
        <f t="shared" si="178"/>
        <v/>
      </c>
      <c r="BE545" s="1305" t="str">
        <f t="shared" si="179"/>
        <v/>
      </c>
      <c r="BF545" s="1305" t="str">
        <f>IF($F$55=0,"","Zero entry expected for your class")</f>
        <v/>
      </c>
      <c r="BG545" s="1312" t="s">
        <v>253</v>
      </c>
      <c r="BH545" s="1305" t="str">
        <f>IF($F$49=0,"","WARNING: Col 1 - Zero entry expected for your class")</f>
        <v/>
      </c>
      <c r="BI545" s="1305" t="str">
        <f>IF($F$45=0,"","Zero entry expected for your class")</f>
        <v/>
      </c>
      <c r="BJ545" s="1313" t="str">
        <f>IF($F$46=0,"","Zero entry expected for your class")</f>
        <v/>
      </c>
      <c r="BK545" s="1314" t="str">
        <f>IF($F$47=0,"","Zero entry expected for your class")</f>
        <v/>
      </c>
      <c r="BL545" s="1310" t="e">
        <f>IF(RG!#REF!=0,"","WARNING: Col 1 - Zero entry expected for your class")</f>
        <v>#REF!</v>
      </c>
      <c r="BM545" s="1305" t="e">
        <f>IF(#REF!=0,"","WARNING: Col 1 - Zero entry expected for your class")</f>
        <v>#REF!</v>
      </c>
      <c r="BN545" s="1305" t="str">
        <f>IF($F$65=0,"","Zero entry expected for your class")</f>
        <v/>
      </c>
      <c r="BO545" s="1305" t="e">
        <f>IF($F$121=0,"","WARNING: Col 1 - Zero entry expected for your class")</f>
        <v>#N/A</v>
      </c>
      <c r="BP545" s="1311" t="e">
        <f>IF($F$125&gt;0,"","WARNING: Col 1 - Greater than zero expected for your class")</f>
        <v>#N/A</v>
      </c>
      <c r="BQ545" s="1320" t="e">
        <f>IF($F$134&gt;0,"","WARNING: Col 1 - Greater than zero expected for your class")</f>
        <v>#N/A</v>
      </c>
      <c r="BR545" s="677"/>
    </row>
    <row r="546" spans="2:70" ht="11.5" customHeight="1" x14ac:dyDescent="0.35">
      <c r="B546"/>
      <c r="S546" s="280"/>
      <c r="AR546" s="1324" t="s">
        <v>253</v>
      </c>
      <c r="AS546" s="1324" t="s">
        <v>253</v>
      </c>
      <c r="AT546" s="1312" t="s">
        <v>253</v>
      </c>
      <c r="AU546" s="1312" t="s">
        <v>253</v>
      </c>
      <c r="AV546" s="1312" t="s">
        <v>253</v>
      </c>
      <c r="AW546" s="1312" t="s">
        <v>253</v>
      </c>
      <c r="AX546" s="1308" t="s">
        <v>253</v>
      </c>
      <c r="AY546" s="1308" t="s">
        <v>253</v>
      </c>
      <c r="AZ546" s="1325" t="s">
        <v>253</v>
      </c>
      <c r="BA546" s="1312" t="s">
        <v>253</v>
      </c>
      <c r="BB546" s="1312" t="s">
        <v>253</v>
      </c>
      <c r="BC546" s="1312" t="s">
        <v>253</v>
      </c>
      <c r="BD546" s="1312" t="s">
        <v>253</v>
      </c>
      <c r="BE546" s="1312" t="s">
        <v>253</v>
      </c>
      <c r="BF546" s="1312" t="s">
        <v>253</v>
      </c>
      <c r="BG546" s="1312" t="s">
        <v>253</v>
      </c>
      <c r="BH546" s="1312" t="s">
        <v>253</v>
      </c>
      <c r="BI546" s="1312" t="s">
        <v>253</v>
      </c>
      <c r="BJ546" s="1308" t="s">
        <v>253</v>
      </c>
      <c r="BK546" s="1326" t="s">
        <v>253</v>
      </c>
      <c r="BL546" s="1325" t="s">
        <v>253</v>
      </c>
      <c r="BM546" s="1325"/>
      <c r="BN546" s="1312" t="s">
        <v>253</v>
      </c>
      <c r="BO546" s="1312" t="s">
        <v>253</v>
      </c>
      <c r="BP546" s="1312" t="s">
        <v>253</v>
      </c>
      <c r="BQ546" s="1327" t="s">
        <v>253</v>
      </c>
      <c r="BR546" s="677"/>
    </row>
    <row r="547" spans="2:70" ht="11.5" customHeight="1" x14ac:dyDescent="0.35">
      <c r="B547"/>
      <c r="S547" s="280"/>
      <c r="AR547" s="1306" t="s">
        <v>378</v>
      </c>
      <c r="AS547" s="1317" t="str">
        <f>IF($F$30&lt;&gt;0,"","Entry expected for your class")</f>
        <v>Entry expected for your class</v>
      </c>
      <c r="AT547" s="1311" t="str">
        <f>IF($F$31&lt;&gt;0,"","Entry expected for your class")</f>
        <v>Entry expected for your class</v>
      </c>
      <c r="AU547" s="1311" t="str">
        <f>IF($F$32&lt;&gt;0,"","Entry expected for your class")</f>
        <v>Entry expected for your class</v>
      </c>
      <c r="AV547" s="1311" t="str">
        <f>IF($F$35&lt;&gt;0,"","Entry expected for your class")</f>
        <v>Entry expected for your class</v>
      </c>
      <c r="AW547" s="1311" t="str">
        <f>IF($F$36&lt;&gt;0,"","Entry expected for your class")</f>
        <v>Entry expected for your class</v>
      </c>
      <c r="AX547" s="1323" t="str">
        <f>IF($F$37&lt;&gt;0,"","Entry expected for your class")</f>
        <v>Entry expected for your class</v>
      </c>
      <c r="AY547" s="1314" t="str">
        <f>IF($F$38&lt;&gt;0,"","Entry expected for your class")</f>
        <v>Entry expected for your class</v>
      </c>
      <c r="AZ547" s="1310" t="str">
        <f>IF($F$39=0,"","Zero entry expected for your class")</f>
        <v/>
      </c>
      <c r="BA547" s="1305" t="str">
        <f>IF($F$40=0,"","Zero entry expected for your class")</f>
        <v/>
      </c>
      <c r="BB547" s="1311" t="str">
        <f>IF($F$33&lt;&gt;0,"","Entry expected for your class")</f>
        <v>Entry expected for your class</v>
      </c>
      <c r="BC547" s="1312" t="s">
        <v>253</v>
      </c>
      <c r="BD547" s="1305" t="str">
        <f>IF($F$53=0,"","Zero entry expected for your class")</f>
        <v/>
      </c>
      <c r="BE547" s="1312" t="s">
        <v>253</v>
      </c>
      <c r="BF547" s="1311" t="str">
        <f>IF($F$55&gt;0,"","Greater than zero expected for your class")</f>
        <v>Greater than zero expected for your class</v>
      </c>
      <c r="BG547" s="1312" t="s">
        <v>253</v>
      </c>
      <c r="BH547" s="1312" t="s">
        <v>253</v>
      </c>
      <c r="BI547" s="1311" t="str">
        <f>IF($F$45&gt;0,"","Greater than zero expected for your class")</f>
        <v>Greater than zero expected for your class</v>
      </c>
      <c r="BJ547" s="1323" t="str">
        <f>IF($F$46&gt;0,"","Greater than zero expected for your class")</f>
        <v>Greater than zero expected for your class</v>
      </c>
      <c r="BK547" s="1311" t="str">
        <f>IF($F$47&gt;0,"","Greater than zero expected for your class")</f>
        <v>Greater than zero expected for your class</v>
      </c>
      <c r="BL547" s="1318" t="e">
        <f>IF(RG!#REF!&gt;0,"","WARNING: Col 1 - Greater than zero expected for your class")</f>
        <v>#REF!</v>
      </c>
      <c r="BM547" s="1319" t="s">
        <v>253</v>
      </c>
      <c r="BN547" s="1311" t="str">
        <f>IF($F$65&gt;0,"","Greater than zero expected for your class")</f>
        <v>Greater than zero expected for your class</v>
      </c>
      <c r="BO547" s="1311" t="e">
        <f>IF($F$121&gt;0,"","WARNING: Col 1 - Greater than zero expected for your class")</f>
        <v>#N/A</v>
      </c>
      <c r="BP547" s="1311" t="e">
        <f>IF($F$125&gt;0,"","WARNING: Col 1 - Greater than zero expected for your class")</f>
        <v>#N/A</v>
      </c>
      <c r="BQ547" s="1320" t="e">
        <f>IF($F$134&gt;0,"","WARNING: Col 1 - Greater than zero expected for your class")</f>
        <v>#N/A</v>
      </c>
      <c r="BR547" s="677"/>
    </row>
    <row r="548" spans="2:70" ht="11.5" customHeight="1" x14ac:dyDescent="0.35">
      <c r="B548"/>
      <c r="S548" s="280"/>
      <c r="AR548" s="1324" t="s">
        <v>253</v>
      </c>
      <c r="AS548" s="1324" t="s">
        <v>253</v>
      </c>
      <c r="AT548" s="1312" t="s">
        <v>253</v>
      </c>
      <c r="AU548" s="1312" t="s">
        <v>253</v>
      </c>
      <c r="AV548" s="1312" t="s">
        <v>253</v>
      </c>
      <c r="AW548" s="1312" t="s">
        <v>253</v>
      </c>
      <c r="AX548" s="1308" t="s">
        <v>253</v>
      </c>
      <c r="AY548" s="1308" t="s">
        <v>253</v>
      </c>
      <c r="AZ548" s="1325" t="s">
        <v>253</v>
      </c>
      <c r="BA548" s="1312" t="s">
        <v>253</v>
      </c>
      <c r="BB548" s="1312" t="s">
        <v>253</v>
      </c>
      <c r="BC548" s="1312" t="s">
        <v>253</v>
      </c>
      <c r="BD548" s="1312" t="s">
        <v>253</v>
      </c>
      <c r="BE548" s="1312" t="s">
        <v>253</v>
      </c>
      <c r="BF548" s="1312" t="s">
        <v>253</v>
      </c>
      <c r="BG548" s="1312" t="s">
        <v>253</v>
      </c>
      <c r="BH548" s="1312" t="s">
        <v>253</v>
      </c>
      <c r="BI548" s="1312" t="s">
        <v>253</v>
      </c>
      <c r="BJ548" s="1308" t="s">
        <v>253</v>
      </c>
      <c r="BK548" s="1326" t="s">
        <v>253</v>
      </c>
      <c r="BL548" s="1325" t="s">
        <v>253</v>
      </c>
      <c r="BM548" s="1325"/>
      <c r="BN548" s="1312" t="s">
        <v>253</v>
      </c>
      <c r="BO548" s="1312" t="s">
        <v>253</v>
      </c>
      <c r="BP548" s="1312" t="s">
        <v>253</v>
      </c>
      <c r="BQ548" s="1327" t="s">
        <v>253</v>
      </c>
      <c r="BR548" s="677"/>
    </row>
    <row r="549" spans="2:70" ht="11.5" customHeight="1" x14ac:dyDescent="0.35">
      <c r="B549"/>
      <c r="S549" s="280"/>
      <c r="AR549" s="1306" t="s">
        <v>379</v>
      </c>
      <c r="AS549" s="1317" t="str">
        <f>IF($F$30&lt;&gt;0,"","Entry expected for your class")</f>
        <v>Entry expected for your class</v>
      </c>
      <c r="AT549" s="1311" t="str">
        <f>IF($F$31&lt;&gt;0,"","Entry expected for your class")</f>
        <v>Entry expected for your class</v>
      </c>
      <c r="AU549" s="1311" t="str">
        <f>IF($F$32&lt;&gt;0,"","Entry expected for your class")</f>
        <v>Entry expected for your class</v>
      </c>
      <c r="AV549" s="1311" t="str">
        <f>IF($F$35&lt;&gt;0,"","Entry expected for your class")</f>
        <v>Entry expected for your class</v>
      </c>
      <c r="AW549" s="1311" t="str">
        <f>IF($F$36&lt;&gt;0,"","Entry expected for your class")</f>
        <v>Entry expected for your class</v>
      </c>
      <c r="AX549" s="1323" t="str">
        <f>IF($F$37&lt;&gt;0,"","Entry expected for your class")</f>
        <v>Entry expected for your class</v>
      </c>
      <c r="AY549" s="1314" t="str">
        <f>IF($F$38&lt;&gt;0,"","Entry expected for your class")</f>
        <v>Entry expected for your class</v>
      </c>
      <c r="AZ549" s="1310" t="str">
        <f>IF($F$39=0,"","Zero entry expected for your class")</f>
        <v/>
      </c>
      <c r="BA549" s="1305" t="str">
        <f>IF($F$40=0,"","Zero entry expected for your class")</f>
        <v/>
      </c>
      <c r="BB549" s="1311" t="str">
        <f>IF($F$33&lt;&gt;0,"","Entry expected for your class")</f>
        <v>Entry expected for your class</v>
      </c>
      <c r="BC549" s="1312" t="s">
        <v>253</v>
      </c>
      <c r="BD549" s="1311" t="str">
        <f>IF($F$53&gt;0,"","Greater than zero expected for your class")</f>
        <v>Greater than zero expected for your class</v>
      </c>
      <c r="BE549" s="1312" t="s">
        <v>253</v>
      </c>
      <c r="BF549" s="1305" t="str">
        <f>IF($F$55=0,"","Zero entry expected for your class")</f>
        <v/>
      </c>
      <c r="BG549" s="1312" t="s">
        <v>253</v>
      </c>
      <c r="BH549" s="1312" t="s">
        <v>253</v>
      </c>
      <c r="BI549" s="1311" t="str">
        <f>IF($F$45&gt;0,"","Greater than zero expected for your class")</f>
        <v>Greater than zero expected for your class</v>
      </c>
      <c r="BJ549" s="1328" t="str">
        <f>IF($F$46&gt;=0,"","Greater than or equal to zero expected for your class")</f>
        <v/>
      </c>
      <c r="BK549" s="1326" t="s">
        <v>253</v>
      </c>
      <c r="BL549" s="1318" t="e">
        <f>IF(RG!#REF!&gt;0,"","WARNING: Col 1 - Greater than zero expected for your class")</f>
        <v>#REF!</v>
      </c>
      <c r="BM549" s="1319" t="s">
        <v>253</v>
      </c>
      <c r="BN549" s="1311" t="str">
        <f>IF($F$65&gt;0,"","Greater than zero expected for your class")</f>
        <v>Greater than zero expected for your class</v>
      </c>
      <c r="BO549" s="1311" t="e">
        <f>IF($F$121&gt;0,"","WARNING: Col 1 - Greater than zero expected for your class")</f>
        <v>#N/A</v>
      </c>
      <c r="BP549" s="1311" t="e">
        <f>IF($F$125&gt;0,"","WARNING: Col 1 - Greater than zero expected for your class")</f>
        <v>#N/A</v>
      </c>
      <c r="BQ549" s="1320" t="e">
        <f>IF($F$134&gt;0,"","WARNING: Col 1 - Greater than zero expected for your class")</f>
        <v>#N/A</v>
      </c>
      <c r="BR549" s="677"/>
    </row>
    <row r="550" spans="2:70" ht="11.5" customHeight="1" x14ac:dyDescent="0.35">
      <c r="B550"/>
      <c r="S550" s="280"/>
      <c r="AR550" s="1324" t="s">
        <v>253</v>
      </c>
      <c r="AS550" s="1324" t="s">
        <v>253</v>
      </c>
      <c r="AT550" s="1312" t="s">
        <v>253</v>
      </c>
      <c r="AU550" s="1312" t="s">
        <v>253</v>
      </c>
      <c r="AV550" s="1312" t="s">
        <v>253</v>
      </c>
      <c r="AW550" s="1312" t="s">
        <v>253</v>
      </c>
      <c r="AX550" s="1308" t="s">
        <v>253</v>
      </c>
      <c r="AY550" s="1308" t="s">
        <v>253</v>
      </c>
      <c r="AZ550" s="1325" t="s">
        <v>253</v>
      </c>
      <c r="BA550" s="1312" t="s">
        <v>253</v>
      </c>
      <c r="BB550" s="1312" t="s">
        <v>253</v>
      </c>
      <c r="BC550" s="1312" t="s">
        <v>253</v>
      </c>
      <c r="BD550" s="1312" t="s">
        <v>253</v>
      </c>
      <c r="BE550" s="1312" t="s">
        <v>253</v>
      </c>
      <c r="BF550" s="1312" t="s">
        <v>253</v>
      </c>
      <c r="BG550" s="1312" t="s">
        <v>253</v>
      </c>
      <c r="BH550" s="1312" t="s">
        <v>253</v>
      </c>
      <c r="BI550" s="1312" t="s">
        <v>253</v>
      </c>
      <c r="BJ550" s="1308" t="s">
        <v>253</v>
      </c>
      <c r="BK550" s="1326" t="s">
        <v>253</v>
      </c>
      <c r="BL550" s="1325" t="s">
        <v>253</v>
      </c>
      <c r="BM550" s="1325"/>
      <c r="BN550" s="1312" t="s">
        <v>253</v>
      </c>
      <c r="BO550" s="1312" t="s">
        <v>253</v>
      </c>
      <c r="BP550" s="1312" t="s">
        <v>253</v>
      </c>
      <c r="BQ550" s="1327" t="s">
        <v>253</v>
      </c>
      <c r="BR550" s="677"/>
    </row>
    <row r="551" spans="2:70" ht="11.5" customHeight="1" x14ac:dyDescent="0.35">
      <c r="B551"/>
      <c r="S551" s="280"/>
      <c r="AR551" s="1306" t="s">
        <v>380</v>
      </c>
      <c r="AS551" s="1317" t="str">
        <f>IF($F$30&lt;&gt;0,"","Entry expected for your class")</f>
        <v>Entry expected for your class</v>
      </c>
      <c r="AT551" s="1311" t="str">
        <f>IF($F$31&lt;&gt;0,"","Entry expected for your class")</f>
        <v>Entry expected for your class</v>
      </c>
      <c r="AU551" s="1311" t="str">
        <f>IF($F$32&lt;&gt;0,"","Entry expected for your class")</f>
        <v>Entry expected for your class</v>
      </c>
      <c r="AV551" s="1311" t="str">
        <f>IF($F$35&lt;&gt;0,"","Entry expected for your class")</f>
        <v>Entry expected for your class</v>
      </c>
      <c r="AW551" s="1311" t="str">
        <f>IF($F$36&lt;&gt;0,"","Entry expected for your class")</f>
        <v>Entry expected for your class</v>
      </c>
      <c r="AX551" s="1323" t="str">
        <f>IF($F$37&lt;&gt;0,"","Entry expected for your class")</f>
        <v>Entry expected for your class</v>
      </c>
      <c r="AY551" s="1314" t="str">
        <f>IF($F$38&lt;&gt;0,"","Entry expected for your class")</f>
        <v>Entry expected for your class</v>
      </c>
      <c r="AZ551" s="1310" t="str">
        <f t="shared" ref="AZ551:AZ557" si="180">IF($F$39=0,"","Zero entry expected for your class")</f>
        <v/>
      </c>
      <c r="BA551" s="1305" t="str">
        <f>IF($F$40=0,"","Zero entry expected for your class")</f>
        <v/>
      </c>
      <c r="BB551" s="1311" t="str">
        <f>IF($F$33&lt;&gt;0,"","Entry expected for your class")</f>
        <v>Entry expected for your class</v>
      </c>
      <c r="BC551" s="1312" t="s">
        <v>253</v>
      </c>
      <c r="BD551" s="1305" t="str">
        <f>IF($F$53=0,"","Zero entry expected for your class")</f>
        <v/>
      </c>
      <c r="BE551" s="1312" t="s">
        <v>253</v>
      </c>
      <c r="BF551" s="1311" t="str">
        <f>IF($F$55&gt;0,"","Greater than zero expected for your class")</f>
        <v>Greater than zero expected for your class</v>
      </c>
      <c r="BG551" s="1312" t="s">
        <v>253</v>
      </c>
      <c r="BH551" s="1312" t="s">
        <v>253</v>
      </c>
      <c r="BI551" s="1311" t="str">
        <f>IF($F$45&gt;0,"","Greater than zero expected for your class")</f>
        <v>Greater than zero expected for your class</v>
      </c>
      <c r="BJ551" s="1323" t="str">
        <f>IF($F$46&gt;0,"","Greater than zero expected for your class")</f>
        <v>Greater than zero expected for your class</v>
      </c>
      <c r="BK551" s="1326" t="s">
        <v>253</v>
      </c>
      <c r="BL551" s="1318" t="e">
        <f>IF(RG!#REF!&gt;0,"","WARNING: Col 1 - Greater than zero expected for your class")</f>
        <v>#REF!</v>
      </c>
      <c r="BM551" s="1319" t="s">
        <v>253</v>
      </c>
      <c r="BN551" s="1311" t="str">
        <f>IF($F$65&gt;0,"","Greater than zero expected for your class")</f>
        <v>Greater than zero expected for your class</v>
      </c>
      <c r="BO551" s="1311" t="e">
        <f>IF($F$121&gt;0,"","WARNING: Col 1 - Greater than zero expected for your class")</f>
        <v>#N/A</v>
      </c>
      <c r="BP551" s="1311" t="e">
        <f>IF($F$125&gt;0,"","WARNING: Col 1 - Greater than zero expected for your class")</f>
        <v>#N/A</v>
      </c>
      <c r="BQ551" s="1320" t="e">
        <f>IF($F$134&gt;0,"","WARNING: Col 1 - Greater than zero expected for your class")</f>
        <v>#N/A</v>
      </c>
      <c r="BR551" s="677"/>
    </row>
    <row r="552" spans="2:70" ht="11.5" customHeight="1" x14ac:dyDescent="0.35">
      <c r="B552"/>
      <c r="S552" s="280"/>
      <c r="AR552" s="1306" t="s">
        <v>381</v>
      </c>
      <c r="AS552" s="1307" t="str">
        <f>IF($F$30=0,"","Zero entry expected for your class")</f>
        <v/>
      </c>
      <c r="AT552" s="1312" t="s">
        <v>253</v>
      </c>
      <c r="AU552" s="1305" t="str">
        <f>IF($F$32=0,"","Zero entry expected for your class")</f>
        <v/>
      </c>
      <c r="AV552" s="1305" t="str">
        <f>IF($F$35=0,"","Zero entry expected for your class")</f>
        <v/>
      </c>
      <c r="AW552" s="1311" t="str">
        <f>IF($F$36&lt;&gt;0,"","Entry expected for your class")</f>
        <v>Entry expected for your class</v>
      </c>
      <c r="AX552" s="1308" t="s">
        <v>253</v>
      </c>
      <c r="AY552" s="1314" t="str">
        <f>IF($F$38&lt;&gt;0,"","Entry expected for your class")</f>
        <v>Entry expected for your class</v>
      </c>
      <c r="AZ552" s="1310" t="str">
        <f t="shared" si="180"/>
        <v/>
      </c>
      <c r="BA552" s="1305" t="str">
        <f>IF($F$40=0,"","Zero entry expected for your class")</f>
        <v/>
      </c>
      <c r="BB552" s="1305" t="str">
        <f>IF($F$33=0,"","Zero entry expected for your class")</f>
        <v/>
      </c>
      <c r="BC552" s="1312" t="s">
        <v>253</v>
      </c>
      <c r="BD552" s="1305" t="str">
        <f>IF($F$53=0,"","Zero entry expected for your class")</f>
        <v/>
      </c>
      <c r="BE552" s="1305" t="str">
        <f>IF($F$54=0,"","Zero entry expected for your class")</f>
        <v/>
      </c>
      <c r="BF552" s="1305" t="str">
        <f t="shared" ref="BF552:BF557" si="181">IF($F$55=0,"","Zero entry expected for your class")</f>
        <v/>
      </c>
      <c r="BG552" s="1312" t="s">
        <v>253</v>
      </c>
      <c r="BH552" s="1305" t="str">
        <f>IF($F$49=0,"","WARNING: Col 1 - Zero entry expected for your class")</f>
        <v/>
      </c>
      <c r="BI552" s="1305" t="str">
        <f>IF($F$45=0,"","Zero entry expected for your class")</f>
        <v/>
      </c>
      <c r="BJ552" s="1313" t="str">
        <f>IF($F$46=0,"","Zero entry expected for your class")</f>
        <v/>
      </c>
      <c r="BK552" s="1314" t="str">
        <f>IF($F$47=0,"","Zero entry expected for your class")</f>
        <v/>
      </c>
      <c r="BL552" s="1310" t="e">
        <f>IF(RG!#REF!=0,"","WARNING: Col 1 - Zero entry expected for your class")</f>
        <v>#REF!</v>
      </c>
      <c r="BM552" s="1305" t="e">
        <f>IF(#REF!=0,"","WARNING: Col 1 - Zero entry expected for your class")</f>
        <v>#REF!</v>
      </c>
      <c r="BN552" s="1305" t="str">
        <f>IF($F$65=0,"","Zero entry expected for your class")</f>
        <v/>
      </c>
      <c r="BO552" s="1305" t="e">
        <f>IF($F$121=0,"","WARNING: Col 1 - Zero entry expected for your class")</f>
        <v>#N/A</v>
      </c>
      <c r="BP552" s="1315" t="e">
        <f>IF($F$125&gt;=0,"","WARNING: Col 1 - Greater than or equal to zero expected for your class")</f>
        <v>#N/A</v>
      </c>
      <c r="BQ552" s="1316" t="e">
        <f>IF($F$134&gt;=0,"","WARNING: Col 1 - Greater than or equal to zero expected for your class")</f>
        <v>#N/A</v>
      </c>
      <c r="BR552" s="677"/>
    </row>
    <row r="553" spans="2:70" ht="11.5" customHeight="1" x14ac:dyDescent="0.35">
      <c r="B553"/>
      <c r="S553" s="280"/>
      <c r="AR553" s="1306" t="s">
        <v>382</v>
      </c>
      <c r="AS553" s="1307" t="str">
        <f>IF($F$30=0,"","Zero entry expected for your class")</f>
        <v/>
      </c>
      <c r="AT553" s="1311" t="str">
        <f>IF($F$31&lt;&gt;0,"","Entry expected for your class")</f>
        <v>Entry expected for your class</v>
      </c>
      <c r="AU553" s="1305" t="str">
        <f>IF($F$32=0,"","Zero entry expected for your class")</f>
        <v/>
      </c>
      <c r="AV553" s="1305" t="str">
        <f>IF($F$35=0,"","Zero entry expected for your class")</f>
        <v/>
      </c>
      <c r="AW553" s="1305" t="str">
        <f>IF($F$36=0,"","Zero entry expected for your class")</f>
        <v/>
      </c>
      <c r="AX553" s="1313" t="str">
        <f>IF($F$37=0,"","Zero entry expected for your class")</f>
        <v/>
      </c>
      <c r="AY553" s="1312" t="s">
        <v>253</v>
      </c>
      <c r="AZ553" s="1310" t="str">
        <f t="shared" si="180"/>
        <v/>
      </c>
      <c r="BA553" s="1305" t="str">
        <f>IF($F$40=0,"","Zero entry expected for your class")</f>
        <v/>
      </c>
      <c r="BB553" s="1305" t="str">
        <f>IF($F$33=0,"","Zero entry expected for your class")</f>
        <v/>
      </c>
      <c r="BC553" s="1312" t="s">
        <v>253</v>
      </c>
      <c r="BD553" s="1329" t="str">
        <f>IF($F$53&lt;0,"","Negative entry expected for your class - also give levy breakdown in the Levy tab")</f>
        <v>Negative entry expected for your class - also give levy breakdown in the Levy tab</v>
      </c>
      <c r="BE553" s="1305"/>
      <c r="BF553" s="1305" t="str">
        <f t="shared" si="181"/>
        <v/>
      </c>
      <c r="BG553" s="1312" t="s">
        <v>253</v>
      </c>
      <c r="BH553" s="1305" t="str">
        <f>IF($F$49=0,"","WARNING: Col 1 - Zero entry expected for your class")</f>
        <v/>
      </c>
      <c r="BI553" s="1305" t="str">
        <f>IF($F$45=0,"","Zero entry expected for your class")</f>
        <v/>
      </c>
      <c r="BJ553" s="1313" t="str">
        <f>IF($F$46=0,"","Zero entry expected for your class")</f>
        <v/>
      </c>
      <c r="BK553" s="1326" t="s">
        <v>253</v>
      </c>
      <c r="BL553" s="1310" t="e">
        <f>IF(RG!#REF!=0,"","WARNING: Col 1 - Zero entry expected for your class")</f>
        <v>#REF!</v>
      </c>
      <c r="BM553" s="1305" t="e">
        <f>IF(#REF!=0,"","WARNING: Col 1 - Zero entry expected for your class")</f>
        <v>#REF!</v>
      </c>
      <c r="BN553" s="1305" t="str">
        <f>IF($F$65=0,"","Zero entry expected for your class")</f>
        <v/>
      </c>
      <c r="BO553" s="1305" t="e">
        <f>IF($F$121=0,"","WARNING: Col 1 - Zero entry expected for your class")</f>
        <v>#N/A</v>
      </c>
      <c r="BP553" s="1315" t="e">
        <f>IF($F$125&gt;=0,"","WARNING: Col 1 - Greater than or equal to zero expected for your class")</f>
        <v>#N/A</v>
      </c>
      <c r="BQ553" s="1316" t="e">
        <f>IF($F$134&gt;=0,"","WARNING: Col 1 - Greater than or equal to zero expected for your class")</f>
        <v>#N/A</v>
      </c>
      <c r="BR553" s="677"/>
    </row>
    <row r="554" spans="2:70" ht="11.5" customHeight="1" x14ac:dyDescent="0.35">
      <c r="B554"/>
      <c r="S554" s="280"/>
      <c r="AR554" s="1306" t="s">
        <v>383</v>
      </c>
      <c r="AS554" s="1317" t="str">
        <f>IF($F$30&lt;&gt;0,"","Entry expected for your class")</f>
        <v>Entry expected for your class</v>
      </c>
      <c r="AT554" s="1311" t="str">
        <f>IF($F$31&lt;&gt;0,"","Entry expected for your class")</f>
        <v>Entry expected for your class</v>
      </c>
      <c r="AU554" s="1311" t="str">
        <f>IF($F$32&lt;&gt;0,"","Entry expected for your class")</f>
        <v>Entry expected for your class</v>
      </c>
      <c r="AV554" s="1312" t="s">
        <v>253</v>
      </c>
      <c r="AW554" s="1311" t="str">
        <f>IF($F$36&lt;&gt;0,"","Entry expected for your class")</f>
        <v>Entry expected for your class</v>
      </c>
      <c r="AX554" s="1323" t="str">
        <f>IF($F$37&lt;&gt;0,"","Entry expected for your class")</f>
        <v>Entry expected for your class</v>
      </c>
      <c r="AY554" s="1314" t="str">
        <f>IF($F$38&lt;&gt;0,"","Entry expected for your class")</f>
        <v>Entry expected for your class</v>
      </c>
      <c r="AZ554" s="1310" t="str">
        <f t="shared" si="180"/>
        <v/>
      </c>
      <c r="BA554" s="1311" t="str">
        <f>IF($F$40&lt;&gt;0,"","Entry expected for your class")</f>
        <v>Entry expected for your class</v>
      </c>
      <c r="BB554" s="1311" t="str">
        <f>IF($F$33&lt;&gt;0,"","Entry expected for your class")</f>
        <v>Entry expected for your class</v>
      </c>
      <c r="BC554" s="1312" t="s">
        <v>253</v>
      </c>
      <c r="BD554" s="1305" t="str">
        <f>IF($F$53=0,"","Zero entry expected for your class")</f>
        <v/>
      </c>
      <c r="BE554" s="1305" t="str">
        <f>IF($F$54=0,"","Zero entry expected for your class")</f>
        <v/>
      </c>
      <c r="BF554" s="1305" t="str">
        <f t="shared" si="181"/>
        <v/>
      </c>
      <c r="BG554" s="1312" t="s">
        <v>253</v>
      </c>
      <c r="BH554" s="1312" t="s">
        <v>253</v>
      </c>
      <c r="BI554" s="1311" t="str">
        <f>IF($F$45&gt;0,"","Greater than zero expected for your class")</f>
        <v>Greater than zero expected for your class</v>
      </c>
      <c r="BJ554" s="1323" t="str">
        <f>IF($F$46&gt;0,"","Greater than zero expected for your class")</f>
        <v>Greater than zero expected for your class</v>
      </c>
      <c r="BK554" s="1314" t="str">
        <f>IF($F$47=0,"","Zero entry expected for your class")</f>
        <v/>
      </c>
      <c r="BL554" s="1318" t="e">
        <f>IF(RG!#REF!&gt;0,"","WARNING: Col 1 - Greater than zero expected for your class")</f>
        <v>#REF!</v>
      </c>
      <c r="BM554" s="1319" t="s">
        <v>253</v>
      </c>
      <c r="BN554" s="1305" t="str">
        <f>IF($F$65=0,"","Zero entry expected for your class")</f>
        <v/>
      </c>
      <c r="BO554" s="1311" t="e">
        <f>IF($F$121&gt;0,"","WARNING: Col 1 - Greater than zero expected for your class")</f>
        <v>#N/A</v>
      </c>
      <c r="BP554" s="1311" t="e">
        <f>IF($F$125&gt;0,"","WARNING: Col 1 - Greater than zero expected for your class")</f>
        <v>#N/A</v>
      </c>
      <c r="BQ554" s="1320" t="e">
        <f>IF($F$134&gt;0,"","WARNING: Col 1 - Greater than zero expected for your class")</f>
        <v>#N/A</v>
      </c>
      <c r="BR554" s="677"/>
    </row>
    <row r="555" spans="2:70" ht="11.5" customHeight="1" x14ac:dyDescent="0.35">
      <c r="B555"/>
      <c r="S555" s="280"/>
      <c r="AR555" s="1306" t="s">
        <v>384</v>
      </c>
      <c r="AS555" s="1307" t="str">
        <f>IF($F$30=0,"","Zero entry expected for your class")</f>
        <v/>
      </c>
      <c r="AT555" s="1312" t="s">
        <v>253</v>
      </c>
      <c r="AU555" s="1312" t="s">
        <v>253</v>
      </c>
      <c r="AV555" s="1311" t="str">
        <f>IF($F$35&lt;&gt;0,"","Entry expected for your class")</f>
        <v>Entry expected for your class</v>
      </c>
      <c r="AW555" s="1311" t="str">
        <f>IF($F$36&lt;&gt;0,"","Entry expected for your class")</f>
        <v>Entry expected for your class</v>
      </c>
      <c r="AX555" s="1323" t="str">
        <f>IF($F$37&lt;&gt;0,"","Entry expected for your class")</f>
        <v>Entry expected for your class</v>
      </c>
      <c r="AY555" s="1314" t="str">
        <f>IF($F$38&lt;&gt;0,"","Entry expected for your class")</f>
        <v>Entry expected for your class</v>
      </c>
      <c r="AZ555" s="1310" t="str">
        <f t="shared" si="180"/>
        <v/>
      </c>
      <c r="BA555" s="1305" t="str">
        <f>IF($F$40=0,"","Zero entry expected for your class")</f>
        <v/>
      </c>
      <c r="BB555" s="1312" t="s">
        <v>253</v>
      </c>
      <c r="BC555" s="1312" t="s">
        <v>253</v>
      </c>
      <c r="BD555" s="1305" t="str">
        <f>IF($F$53=0,"","Zero entry expected for your class")</f>
        <v/>
      </c>
      <c r="BE555" s="1305" t="str">
        <f>IF($F$54=0,"","Zero entry expected for your class")</f>
        <v/>
      </c>
      <c r="BF555" s="1305" t="str">
        <f t="shared" si="181"/>
        <v/>
      </c>
      <c r="BG555" s="1312" t="s">
        <v>253</v>
      </c>
      <c r="BH555" s="1312" t="s">
        <v>253</v>
      </c>
      <c r="BI555" s="1311" t="str">
        <f>IF($F$45&gt;0,"","Greater than zero expected for your class")</f>
        <v>Greater than zero expected for your class</v>
      </c>
      <c r="BJ555" s="1328" t="str">
        <f>IF($F$46&gt;=0,"","Greater than or equal to zero expected for your class")</f>
        <v/>
      </c>
      <c r="BK555" s="1326" t="s">
        <v>253</v>
      </c>
      <c r="BL555" s="1318" t="e">
        <f>IF(RG!#REF!&gt;0,"","WARNING: Col 1 - Greater than zero expected for your class")</f>
        <v>#REF!</v>
      </c>
      <c r="BM555" s="1319" t="s">
        <v>253</v>
      </c>
      <c r="BN555" s="1305" t="str">
        <f>IF($F$65=0,"","Zero entry expected for your class")</f>
        <v/>
      </c>
      <c r="BO555" s="1305" t="e">
        <f>IF($F$121=0,"","WARNING: Col 1 - Zero entry expected for your class")</f>
        <v>#N/A</v>
      </c>
      <c r="BP555" s="1311" t="e">
        <f>IF($F$125&gt;0,"","WARNING: Col 1 - Greater than zero expected for your class")</f>
        <v>#N/A</v>
      </c>
      <c r="BQ555" s="1320" t="e">
        <f>IF($F$134&gt;0,"","WARNING: Col 1 - Greater than zero expected for your class")</f>
        <v>#N/A</v>
      </c>
      <c r="BR555" s="677"/>
    </row>
    <row r="556" spans="2:70" ht="11.5" customHeight="1" x14ac:dyDescent="0.35">
      <c r="B556"/>
      <c r="S556" s="280"/>
      <c r="AR556" s="1306" t="s">
        <v>385</v>
      </c>
      <c r="AS556" s="1317" t="str">
        <f>IF($F$30&lt;&gt;0,"","Entry expected for your class")</f>
        <v>Entry expected for your class</v>
      </c>
      <c r="AT556" s="1311" t="str">
        <f>IF($F$31&lt;&gt;0,"","Entry expected for your class")</f>
        <v>Entry expected for your class</v>
      </c>
      <c r="AU556" s="1311" t="str">
        <f>IF($F$32&lt;&gt;0,"","Entry expected for your class")</f>
        <v>Entry expected for your class</v>
      </c>
      <c r="AV556" s="1311" t="str">
        <f>IF($F$35&lt;&gt;0,"","Entry expected for your class")</f>
        <v>Entry expected for your class</v>
      </c>
      <c r="AW556" s="1311" t="str">
        <f>IF($F$36&lt;&gt;0,"","Entry expected for your class")</f>
        <v>Entry expected for your class</v>
      </c>
      <c r="AX556" s="1323" t="str">
        <f>IF($F$37&lt;&gt;0,"","Entry expected for your class")</f>
        <v>Entry expected for your class</v>
      </c>
      <c r="AY556" s="1314" t="str">
        <f>IF($F$38&lt;&gt;0,"","Entry expected for your class")</f>
        <v>Entry expected for your class</v>
      </c>
      <c r="AZ556" s="1310" t="str">
        <f t="shared" si="180"/>
        <v/>
      </c>
      <c r="BA556" s="1312" t="s">
        <v>253</v>
      </c>
      <c r="BB556" s="1311" t="str">
        <f>IF($F$33&lt;&gt;0,"","Entry expected for your class")</f>
        <v>Entry expected for your class</v>
      </c>
      <c r="BC556" s="1312" t="s">
        <v>253</v>
      </c>
      <c r="BD556" s="1305" t="str">
        <f>IF($F$53=0,"","Zero entry expected for your class")</f>
        <v/>
      </c>
      <c r="BE556" s="1305" t="str">
        <f>IF($F$54=0,"","Zero entry expected for your class")</f>
        <v/>
      </c>
      <c r="BF556" s="1305" t="str">
        <f t="shared" si="181"/>
        <v/>
      </c>
      <c r="BG556" s="1312" t="s">
        <v>253</v>
      </c>
      <c r="BH556" s="1312" t="s">
        <v>253</v>
      </c>
      <c r="BI556" s="1311" t="str">
        <f>IF($F$45&gt;0,"","Greater than zero expected for your class")</f>
        <v>Greater than zero expected for your class</v>
      </c>
      <c r="BJ556" s="1328" t="str">
        <f>IF($F$46&gt;=0,"","Greater than or equal to zero expected for your class")</f>
        <v/>
      </c>
      <c r="BK556" s="1326" t="s">
        <v>253</v>
      </c>
      <c r="BL556" s="1318" t="e">
        <f>IF(RG!#REF!&gt;0,"","WARNING: Col 1 - Greater than zero expected for your class")</f>
        <v>#REF!</v>
      </c>
      <c r="BM556" s="1319" t="s">
        <v>253</v>
      </c>
      <c r="BN556" s="1311" t="str">
        <f>IF($F$65&gt;0,"","Greater than zero expected for your class")</f>
        <v>Greater than zero expected for your class</v>
      </c>
      <c r="BO556" s="1311" t="e">
        <f>IF($F$121&gt;0,"","WARNING: Col 1 - Greater than zero expected for your class")</f>
        <v>#N/A</v>
      </c>
      <c r="BP556" s="1311" t="e">
        <f>IF($F$125&gt;0,"","WARNING: Col 1 - Greater than zero expected for your class")</f>
        <v>#N/A</v>
      </c>
      <c r="BQ556" s="1320" t="e">
        <f>IF($F$134&gt;0,"","WARNING: Col 1 - Greater than zero expected for your class")</f>
        <v>#N/A</v>
      </c>
      <c r="BR556" s="677"/>
    </row>
    <row r="557" spans="2:70" ht="11.5" customHeight="1" thickBot="1" x14ac:dyDescent="0.4">
      <c r="B557"/>
      <c r="S557" s="280"/>
      <c r="AR557" s="1330" t="s">
        <v>386</v>
      </c>
      <c r="AS557" s="1331" t="str">
        <f>IF($F$30=0,"","Zero entry expected for your class")</f>
        <v/>
      </c>
      <c r="AT557" s="1332" t="str">
        <f>IF($F$31=0,"","Zero entry expected for your class")</f>
        <v/>
      </c>
      <c r="AU557" s="1332" t="str">
        <f>IF($F$32=0,"","Zero entry expected for your class")</f>
        <v/>
      </c>
      <c r="AV557" s="1332" t="str">
        <f>IF($F$35=0,"","Zero entry expected for your class")</f>
        <v/>
      </c>
      <c r="AW557" s="1332" t="str">
        <f>IF($F$36=0,"","Zero entry expected for your class")</f>
        <v/>
      </c>
      <c r="AX557" s="1333" t="str">
        <f>IF($F$37&lt;&gt;0,"","Entry expected for your class")</f>
        <v>Entry expected for your class</v>
      </c>
      <c r="AY557" s="678" t="str">
        <f>IF($F$38=0,"","Zero entry expected for your class")</f>
        <v/>
      </c>
      <c r="AZ557" s="1334" t="str">
        <f t="shared" si="180"/>
        <v/>
      </c>
      <c r="BA557" s="1332" t="str">
        <f>IF($F$40=0,"","Zero entry expected for your class")</f>
        <v/>
      </c>
      <c r="BB557" s="1332" t="str">
        <f>IF($F$33=0,"","Zero entry expected for your class")</f>
        <v/>
      </c>
      <c r="BC557" s="1312" t="s">
        <v>253</v>
      </c>
      <c r="BD557" s="1332" t="str">
        <f>IF($F$53=0,"","Zero entry expected for your class")</f>
        <v/>
      </c>
      <c r="BE557" s="1335" t="str">
        <f>IF($F$54&lt;0,"","Negative entry expected for your class - also give a levy breakdown in the Levy tab")</f>
        <v>Negative entry expected for your class - also give a levy breakdown in the Levy tab</v>
      </c>
      <c r="BF557" s="1332" t="str">
        <f t="shared" si="181"/>
        <v/>
      </c>
      <c r="BG557" s="1336" t="s">
        <v>253</v>
      </c>
      <c r="BH557" s="1332" t="str">
        <f>IF($F$49=0,"","WARNING: Col 1 - Zero entry expected for your class")</f>
        <v/>
      </c>
      <c r="BI557" s="1332" t="str">
        <f>IF($F$45=0,"","Zero entry expected for your class")</f>
        <v/>
      </c>
      <c r="BJ557" s="1337" t="str">
        <f>IF($F$46=0,"","Zero entry expected for your class")</f>
        <v/>
      </c>
      <c r="BK557" s="679" t="str">
        <f>IF($F$47=0,"","Zero entry expected for your class")</f>
        <v/>
      </c>
      <c r="BL557" s="1334" t="e">
        <f>IF(RG!#REF!=0,"","WARNING: Col 1 - Zero entry expected for your class")</f>
        <v>#REF!</v>
      </c>
      <c r="BM557" s="1332" t="e">
        <f>IF(#REF!=0,"","WARNING: Col 1 - Zero entry expected for your class")</f>
        <v>#REF!</v>
      </c>
      <c r="BN557" s="1332" t="str">
        <f>IF($F$65=0,"","Zero entry expected for your class")</f>
        <v/>
      </c>
      <c r="BO557" s="1332" t="e">
        <f>IF($F$121=0,"","WARNING: Col 1 - Zero entry expected for your class")</f>
        <v>#N/A</v>
      </c>
      <c r="BP557" s="1338" t="e">
        <f>IF($F$125&gt;=0,"","WARNING: Col 1 - Greater than or equal to zero expected for your class")</f>
        <v>#N/A</v>
      </c>
      <c r="BQ557" s="1339" t="e">
        <f>IF($F$134&gt;=0,"","WARNING: Col 1 - Greater than or equal to zero expected for your class")</f>
        <v>#N/A</v>
      </c>
      <c r="BR557" s="677"/>
    </row>
    <row r="558" spans="2:70" ht="11.5" customHeight="1" x14ac:dyDescent="0.25">
      <c r="B558" s="432"/>
    </row>
    <row r="559" spans="2:70" ht="11.5" customHeight="1" x14ac:dyDescent="0.25">
      <c r="B559" s="432"/>
    </row>
    <row r="560" spans="2:70" ht="11.5" customHeight="1" x14ac:dyDescent="0.25">
      <c r="B560" s="432"/>
    </row>
    <row r="561" spans="2:2" ht="11.5" customHeight="1" x14ac:dyDescent="0.25">
      <c r="B561" s="432"/>
    </row>
    <row r="562" spans="2:2" ht="11.5" customHeight="1" x14ac:dyDescent="0.25">
      <c r="B562" s="432"/>
    </row>
    <row r="563" spans="2:2" ht="11.5" customHeight="1" x14ac:dyDescent="0.25">
      <c r="B563" s="432"/>
    </row>
    <row r="564" spans="2:2" ht="11.5" customHeight="1" x14ac:dyDescent="0.25">
      <c r="B564" s="432"/>
    </row>
    <row r="565" spans="2:2" ht="11.5" customHeight="1" x14ac:dyDescent="0.25">
      <c r="B565" s="432"/>
    </row>
    <row r="566" spans="2:2" ht="11.5" customHeight="1" x14ac:dyDescent="0.25">
      <c r="B566" s="432"/>
    </row>
    <row r="567" spans="2:2" ht="11.5" customHeight="1" x14ac:dyDescent="0.25">
      <c r="B567" s="432"/>
    </row>
    <row r="568" spans="2:2" ht="11.5" customHeight="1" x14ac:dyDescent="0.25">
      <c r="B568" s="432"/>
    </row>
    <row r="569" spans="2:2" ht="11.5" customHeight="1" x14ac:dyDescent="0.25">
      <c r="B569" s="432"/>
    </row>
    <row r="570" spans="2:2" ht="11.5" customHeight="1" x14ac:dyDescent="0.25">
      <c r="B570" s="432"/>
    </row>
    <row r="571" spans="2:2" ht="11.5" customHeight="1" x14ac:dyDescent="0.25">
      <c r="B571" s="432"/>
    </row>
    <row r="572" spans="2:2" ht="11.5" customHeight="1" x14ac:dyDescent="0.25">
      <c r="B572" s="432"/>
    </row>
    <row r="573" spans="2:2" ht="11.5" customHeight="1" x14ac:dyDescent="0.25">
      <c r="B573" s="432"/>
    </row>
    <row r="574" spans="2:2" ht="11.5" customHeight="1" x14ac:dyDescent="0.25">
      <c r="B574" s="432"/>
    </row>
    <row r="575" spans="2:2" ht="11.5" customHeight="1" x14ac:dyDescent="0.25">
      <c r="B575" s="432"/>
    </row>
    <row r="576" spans="2:2" ht="11.5" customHeight="1" x14ac:dyDescent="0.25">
      <c r="B576" s="432"/>
    </row>
    <row r="577" spans="2:2" ht="11.5" customHeight="1" x14ac:dyDescent="0.25">
      <c r="B577" s="432"/>
    </row>
    <row r="578" spans="2:2" ht="11.5" customHeight="1" x14ac:dyDescent="0.25">
      <c r="B578" s="432"/>
    </row>
    <row r="579" spans="2:2" ht="11.5" customHeight="1" x14ac:dyDescent="0.25">
      <c r="B579" s="432"/>
    </row>
    <row r="580" spans="2:2" ht="11.5" customHeight="1" x14ac:dyDescent="0.25">
      <c r="B580" s="432"/>
    </row>
    <row r="581" spans="2:2" ht="11.5" customHeight="1" x14ac:dyDescent="0.25">
      <c r="B581" s="432"/>
    </row>
    <row r="582" spans="2:2" ht="11.5" customHeight="1" x14ac:dyDescent="0.25">
      <c r="B582" s="432"/>
    </row>
    <row r="583" spans="2:2" ht="11.5" customHeight="1" x14ac:dyDescent="0.25">
      <c r="B583" s="432"/>
    </row>
    <row r="584" spans="2:2" ht="11.5" customHeight="1" x14ac:dyDescent="0.25">
      <c r="B584" s="432"/>
    </row>
    <row r="585" spans="2:2" ht="11.5" customHeight="1" x14ac:dyDescent="0.25">
      <c r="B585" s="432"/>
    </row>
    <row r="586" spans="2:2" ht="11.5" customHeight="1" x14ac:dyDescent="0.25">
      <c r="B586" s="432"/>
    </row>
    <row r="587" spans="2:2" ht="11.5" customHeight="1" x14ac:dyDescent="0.25">
      <c r="B587" s="432"/>
    </row>
    <row r="588" spans="2:2" ht="11.5" customHeight="1" x14ac:dyDescent="0.25">
      <c r="B588" s="432"/>
    </row>
    <row r="589" spans="2:2" ht="11.5" customHeight="1" x14ac:dyDescent="0.25">
      <c r="B589" s="432"/>
    </row>
    <row r="590" spans="2:2" ht="11.5" customHeight="1" x14ac:dyDescent="0.25">
      <c r="B590" s="432"/>
    </row>
    <row r="591" spans="2:2" ht="11.5" customHeight="1" x14ac:dyDescent="0.25">
      <c r="B591" s="432"/>
    </row>
    <row r="592" spans="2:2" ht="11.5" customHeight="1" x14ac:dyDescent="0.25">
      <c r="B592" s="432"/>
    </row>
    <row r="593" spans="2:2" ht="11.5" customHeight="1" x14ac:dyDescent="0.25">
      <c r="B593" s="432"/>
    </row>
    <row r="594" spans="2:2" ht="11.5" customHeight="1" x14ac:dyDescent="0.25">
      <c r="B594" s="432"/>
    </row>
    <row r="595" spans="2:2" ht="11.5" customHeight="1" x14ac:dyDescent="0.25">
      <c r="B595" s="432"/>
    </row>
    <row r="596" spans="2:2" ht="11.5" customHeight="1" x14ac:dyDescent="0.25">
      <c r="B596" s="432"/>
    </row>
    <row r="597" spans="2:2" ht="11.5" customHeight="1" x14ac:dyDescent="0.25">
      <c r="B597" s="432"/>
    </row>
    <row r="598" spans="2:2" ht="11.5" customHeight="1" x14ac:dyDescent="0.25">
      <c r="B598" s="432"/>
    </row>
    <row r="599" spans="2:2" ht="11.5" customHeight="1" x14ac:dyDescent="0.25">
      <c r="B599" s="432"/>
    </row>
    <row r="600" spans="2:2" ht="11.5" customHeight="1" x14ac:dyDescent="0.25">
      <c r="B600" s="432"/>
    </row>
    <row r="601" spans="2:2" ht="11.5" customHeight="1" x14ac:dyDescent="0.25">
      <c r="B601" s="432"/>
    </row>
    <row r="602" spans="2:2" ht="11.5" customHeight="1" x14ac:dyDescent="0.25">
      <c r="B602" s="432"/>
    </row>
    <row r="603" spans="2:2" ht="11.5" customHeight="1" x14ac:dyDescent="0.25">
      <c r="B603" s="432"/>
    </row>
    <row r="604" spans="2:2" ht="11.5" customHeight="1" x14ac:dyDescent="0.25">
      <c r="B604" s="432"/>
    </row>
    <row r="605" spans="2:2" ht="11.5" customHeight="1" x14ac:dyDescent="0.25">
      <c r="B605" s="432"/>
    </row>
    <row r="606" spans="2:2" ht="11.5" customHeight="1" x14ac:dyDescent="0.25">
      <c r="B606" s="432"/>
    </row>
    <row r="607" spans="2:2" ht="11.5" customHeight="1" x14ac:dyDescent="0.25">
      <c r="B607" s="432"/>
    </row>
    <row r="608" spans="2:2" ht="11.5" customHeight="1" x14ac:dyDescent="0.25">
      <c r="B608" s="432"/>
    </row>
    <row r="609" spans="2:2" ht="11.5" customHeight="1" x14ac:dyDescent="0.25">
      <c r="B609" s="432"/>
    </row>
    <row r="610" spans="2:2" ht="11.5" customHeight="1" x14ac:dyDescent="0.25">
      <c r="B610" s="432"/>
    </row>
    <row r="611" spans="2:2" ht="11.5" customHeight="1" x14ac:dyDescent="0.25">
      <c r="B611" s="432"/>
    </row>
    <row r="612" spans="2:2" ht="11.5" customHeight="1" x14ac:dyDescent="0.25">
      <c r="B612" s="432"/>
    </row>
    <row r="613" spans="2:2" ht="11.5" customHeight="1" x14ac:dyDescent="0.25">
      <c r="B613" s="432"/>
    </row>
    <row r="614" spans="2:2" ht="11.5" customHeight="1" x14ac:dyDescent="0.25">
      <c r="B614" s="432"/>
    </row>
    <row r="615" spans="2:2" ht="11.5" customHeight="1" x14ac:dyDescent="0.25">
      <c r="B615" s="432"/>
    </row>
    <row r="616" spans="2:2" ht="11.5" customHeight="1" x14ac:dyDescent="0.25">
      <c r="B616" s="432"/>
    </row>
    <row r="617" spans="2:2" ht="11.5" customHeight="1" x14ac:dyDescent="0.25">
      <c r="B617" s="432"/>
    </row>
    <row r="618" spans="2:2" ht="11.5" customHeight="1" x14ac:dyDescent="0.25">
      <c r="B618" s="432"/>
    </row>
    <row r="619" spans="2:2" ht="11.5" customHeight="1" x14ac:dyDescent="0.25">
      <c r="B619" s="432"/>
    </row>
    <row r="620" spans="2:2" ht="11.5" customHeight="1" x14ac:dyDescent="0.25">
      <c r="B620" s="432"/>
    </row>
    <row r="621" spans="2:2" ht="11.5" customHeight="1" x14ac:dyDescent="0.25">
      <c r="B621" s="432"/>
    </row>
    <row r="622" spans="2:2" ht="11.5" customHeight="1" x14ac:dyDescent="0.25">
      <c r="B622" s="432"/>
    </row>
    <row r="623" spans="2:2" ht="11.5" customHeight="1" x14ac:dyDescent="0.25">
      <c r="B623" s="432"/>
    </row>
    <row r="624" spans="2:2" ht="11.5" customHeight="1" x14ac:dyDescent="0.25">
      <c r="B624" s="432"/>
    </row>
    <row r="625" spans="2:2" ht="11.5" customHeight="1" x14ac:dyDescent="0.25">
      <c r="B625" s="432"/>
    </row>
    <row r="626" spans="2:2" ht="11.5" customHeight="1" x14ac:dyDescent="0.25">
      <c r="B626" s="432"/>
    </row>
    <row r="627" spans="2:2" ht="11.5" customHeight="1" x14ac:dyDescent="0.25">
      <c r="B627" s="432"/>
    </row>
    <row r="628" spans="2:2" ht="11.5" customHeight="1" x14ac:dyDescent="0.25">
      <c r="B628" s="432"/>
    </row>
    <row r="629" spans="2:2" ht="11.5" customHeight="1" x14ac:dyDescent="0.25">
      <c r="B629" s="432"/>
    </row>
    <row r="630" spans="2:2" ht="11.5" customHeight="1" x14ac:dyDescent="0.25">
      <c r="B630" s="432"/>
    </row>
    <row r="631" spans="2:2" ht="11.5" customHeight="1" x14ac:dyDescent="0.25">
      <c r="B631" s="432"/>
    </row>
    <row r="632" spans="2:2" ht="11.5" customHeight="1" x14ac:dyDescent="0.25">
      <c r="B632" s="432"/>
    </row>
    <row r="633" spans="2:2" ht="11.5" customHeight="1" x14ac:dyDescent="0.25">
      <c r="B633" s="432"/>
    </row>
    <row r="634" spans="2:2" ht="11.5" customHeight="1" x14ac:dyDescent="0.25">
      <c r="B634" s="432"/>
    </row>
    <row r="635" spans="2:2" ht="11.5" customHeight="1" x14ac:dyDescent="0.25">
      <c r="B635" s="432"/>
    </row>
    <row r="636" spans="2:2" ht="11.5" customHeight="1" x14ac:dyDescent="0.25">
      <c r="B636" s="432"/>
    </row>
    <row r="637" spans="2:2" ht="11.5" customHeight="1" x14ac:dyDescent="0.25">
      <c r="B637" s="432"/>
    </row>
    <row r="638" spans="2:2" ht="11.5" customHeight="1" x14ac:dyDescent="0.25">
      <c r="B638" s="432"/>
    </row>
    <row r="639" spans="2:2" ht="11.5" customHeight="1" x14ac:dyDescent="0.25">
      <c r="B639" s="432"/>
    </row>
    <row r="640" spans="2:2" ht="11.5" customHeight="1" x14ac:dyDescent="0.25">
      <c r="B640" s="432"/>
    </row>
    <row r="641" spans="2:2" ht="11.5" customHeight="1" x14ac:dyDescent="0.25">
      <c r="B641" s="432"/>
    </row>
    <row r="642" spans="2:2" ht="11.5" customHeight="1" x14ac:dyDescent="0.25">
      <c r="B642" s="432"/>
    </row>
    <row r="643" spans="2:2" ht="11.5" customHeight="1" x14ac:dyDescent="0.25">
      <c r="B643" s="432"/>
    </row>
    <row r="644" spans="2:2" ht="11.5" customHeight="1" x14ac:dyDescent="0.25">
      <c r="B644" s="432"/>
    </row>
    <row r="645" spans="2:2" ht="11.5" customHeight="1" x14ac:dyDescent="0.25">
      <c r="B645" s="432"/>
    </row>
    <row r="646" spans="2:2" ht="11.5" customHeight="1" x14ac:dyDescent="0.25">
      <c r="B646" s="432"/>
    </row>
    <row r="647" spans="2:2" ht="11.5" customHeight="1" x14ac:dyDescent="0.25">
      <c r="B647" s="432"/>
    </row>
    <row r="648" spans="2:2" ht="11.5" customHeight="1" x14ac:dyDescent="0.25">
      <c r="B648" s="432"/>
    </row>
    <row r="649" spans="2:2" ht="11.5" customHeight="1" x14ac:dyDescent="0.25">
      <c r="B649" s="432"/>
    </row>
    <row r="650" spans="2:2" ht="11.5" customHeight="1" x14ac:dyDescent="0.25">
      <c r="B650" s="432"/>
    </row>
    <row r="651" spans="2:2" ht="11.5" customHeight="1" x14ac:dyDescent="0.25">
      <c r="B651" s="432"/>
    </row>
    <row r="652" spans="2:2" ht="11.5" customHeight="1" x14ac:dyDescent="0.25">
      <c r="B652" s="432"/>
    </row>
    <row r="653" spans="2:2" ht="11.5" customHeight="1" x14ac:dyDescent="0.25">
      <c r="B653" s="432"/>
    </row>
    <row r="654" spans="2:2" ht="11.5" customHeight="1" x14ac:dyDescent="0.25">
      <c r="B654" s="432"/>
    </row>
    <row r="655" spans="2:2" ht="11.5" customHeight="1" x14ac:dyDescent="0.25">
      <c r="B655" s="432"/>
    </row>
    <row r="656" spans="2:2" ht="11.5" customHeight="1" x14ac:dyDescent="0.25">
      <c r="B656" s="432"/>
    </row>
    <row r="657" spans="2:2" ht="11.5" customHeight="1" x14ac:dyDescent="0.25">
      <c r="B657" s="432"/>
    </row>
    <row r="658" spans="2:2" ht="11.5" customHeight="1" x14ac:dyDescent="0.25">
      <c r="B658" s="432"/>
    </row>
    <row r="659" spans="2:2" ht="11.5" customHeight="1" x14ac:dyDescent="0.25">
      <c r="B659" s="432"/>
    </row>
    <row r="660" spans="2:2" ht="11.5" customHeight="1" x14ac:dyDescent="0.25">
      <c r="B660" s="432"/>
    </row>
    <row r="661" spans="2:2" ht="11.5" customHeight="1" x14ac:dyDescent="0.25">
      <c r="B661" s="432"/>
    </row>
    <row r="662" spans="2:2" ht="11.5" customHeight="1" x14ac:dyDescent="0.25">
      <c r="B662" s="432"/>
    </row>
    <row r="663" spans="2:2" ht="11.5" customHeight="1" x14ac:dyDescent="0.25">
      <c r="B663" s="432"/>
    </row>
    <row r="664" spans="2:2" ht="11.5" customHeight="1" x14ac:dyDescent="0.25">
      <c r="B664" s="432"/>
    </row>
    <row r="665" spans="2:2" ht="11.5" customHeight="1" x14ac:dyDescent="0.25">
      <c r="B665" s="432"/>
    </row>
    <row r="666" spans="2:2" ht="11.5" customHeight="1" x14ac:dyDescent="0.25">
      <c r="B666" s="432"/>
    </row>
    <row r="667" spans="2:2" ht="11.5" customHeight="1" x14ac:dyDescent="0.25">
      <c r="B667" s="432"/>
    </row>
    <row r="668" spans="2:2" ht="11.5" customHeight="1" x14ac:dyDescent="0.25">
      <c r="B668" s="432"/>
    </row>
    <row r="669" spans="2:2" ht="11.5" customHeight="1" x14ac:dyDescent="0.25">
      <c r="B669" s="432"/>
    </row>
    <row r="670" spans="2:2" ht="11.5" customHeight="1" x14ac:dyDescent="0.25">
      <c r="B670" s="432"/>
    </row>
    <row r="671" spans="2:2" ht="11.5" customHeight="1" x14ac:dyDescent="0.25">
      <c r="B671" s="432"/>
    </row>
    <row r="672" spans="2:2" ht="11.5" customHeight="1" x14ac:dyDescent="0.25">
      <c r="B672" s="432"/>
    </row>
    <row r="673" spans="2:2" ht="11.5" customHeight="1" x14ac:dyDescent="0.25">
      <c r="B673" s="432"/>
    </row>
    <row r="674" spans="2:2" ht="11.5" customHeight="1" x14ac:dyDescent="0.25">
      <c r="B674" s="432"/>
    </row>
    <row r="675" spans="2:2" ht="11.5" customHeight="1" x14ac:dyDescent="0.25">
      <c r="B675" s="432"/>
    </row>
    <row r="676" spans="2:2" ht="11.5" customHeight="1" x14ac:dyDescent="0.25">
      <c r="B676" s="432"/>
    </row>
    <row r="677" spans="2:2" ht="11.5" customHeight="1" x14ac:dyDescent="0.25">
      <c r="B677" s="432"/>
    </row>
    <row r="678" spans="2:2" ht="11.5" customHeight="1" x14ac:dyDescent="0.25">
      <c r="B678" s="432"/>
    </row>
    <row r="679" spans="2:2" ht="11.5" customHeight="1" x14ac:dyDescent="0.25">
      <c r="B679" s="432"/>
    </row>
    <row r="680" spans="2:2" ht="11.5" customHeight="1" x14ac:dyDescent="0.25">
      <c r="B680" s="432"/>
    </row>
    <row r="681" spans="2:2" ht="11.5" customHeight="1" x14ac:dyDescent="0.25">
      <c r="B681" s="432"/>
    </row>
    <row r="682" spans="2:2" ht="11.5" customHeight="1" x14ac:dyDescent="0.25">
      <c r="B682" s="432"/>
    </row>
    <row r="683" spans="2:2" ht="11.5" customHeight="1" x14ac:dyDescent="0.25">
      <c r="B683" s="432"/>
    </row>
    <row r="684" spans="2:2" ht="11.5" customHeight="1" x14ac:dyDescent="0.25">
      <c r="B684" s="432"/>
    </row>
    <row r="685" spans="2:2" ht="11.5" customHeight="1" x14ac:dyDescent="0.25">
      <c r="B685" s="432"/>
    </row>
    <row r="686" spans="2:2" ht="11.5" customHeight="1" x14ac:dyDescent="0.25">
      <c r="B686" s="432"/>
    </row>
    <row r="687" spans="2:2" ht="11.5" customHeight="1" x14ac:dyDescent="0.25">
      <c r="B687" s="432"/>
    </row>
    <row r="688" spans="2:2" ht="11.5" customHeight="1" x14ac:dyDescent="0.25">
      <c r="B688" s="432"/>
    </row>
    <row r="689" spans="2:2" ht="11.5" customHeight="1" x14ac:dyDescent="0.25">
      <c r="B689" s="432"/>
    </row>
    <row r="690" spans="2:2" ht="11.5" customHeight="1" x14ac:dyDescent="0.25">
      <c r="B690" s="432"/>
    </row>
    <row r="691" spans="2:2" ht="11.5" customHeight="1" x14ac:dyDescent="0.25">
      <c r="B691" s="432"/>
    </row>
    <row r="692" spans="2:2" ht="11.5" customHeight="1" x14ac:dyDescent="0.25">
      <c r="B692" s="432"/>
    </row>
    <row r="693" spans="2:2" ht="11.5" customHeight="1" x14ac:dyDescent="0.25">
      <c r="B693" s="432"/>
    </row>
    <row r="694" spans="2:2" ht="11.5" customHeight="1" x14ac:dyDescent="0.25">
      <c r="B694" s="432"/>
    </row>
    <row r="695" spans="2:2" ht="11.5" customHeight="1" x14ac:dyDescent="0.25">
      <c r="B695" s="432"/>
    </row>
    <row r="696" spans="2:2" ht="11.5" customHeight="1" x14ac:dyDescent="0.25">
      <c r="B696" s="432"/>
    </row>
    <row r="697" spans="2:2" ht="11.5" customHeight="1" x14ac:dyDescent="0.25">
      <c r="B697" s="432"/>
    </row>
    <row r="698" spans="2:2" ht="11.5" customHeight="1" x14ac:dyDescent="0.25">
      <c r="B698" s="432"/>
    </row>
    <row r="699" spans="2:2" ht="11.5" customHeight="1" x14ac:dyDescent="0.25">
      <c r="B699" s="432"/>
    </row>
    <row r="700" spans="2:2" ht="11.5" customHeight="1" x14ac:dyDescent="0.25">
      <c r="B700" s="432"/>
    </row>
    <row r="701" spans="2:2" ht="11.5" customHeight="1" x14ac:dyDescent="0.25">
      <c r="B701" s="432"/>
    </row>
    <row r="702" spans="2:2" ht="11.5" customHeight="1" x14ac:dyDescent="0.25">
      <c r="B702" s="432"/>
    </row>
    <row r="703" spans="2:2" ht="11.5" customHeight="1" x14ac:dyDescent="0.25">
      <c r="B703" s="432"/>
    </row>
    <row r="704" spans="2:2" ht="11.5" customHeight="1" x14ac:dyDescent="0.25">
      <c r="B704" s="432"/>
    </row>
    <row r="705" ht="11.5" customHeight="1" x14ac:dyDescent="0.25"/>
    <row r="706" ht="11.5" customHeight="1" x14ac:dyDescent="0.25"/>
    <row r="707" ht="11.5" customHeight="1" x14ac:dyDescent="0.25"/>
    <row r="708" ht="11.5" customHeight="1" x14ac:dyDescent="0.25"/>
    <row r="709" ht="11.5" customHeight="1" x14ac:dyDescent="0.25"/>
    <row r="710" ht="11.5" customHeight="1" x14ac:dyDescent="0.25"/>
    <row r="711" ht="11.5" customHeight="1" x14ac:dyDescent="0.25"/>
    <row r="712" ht="11.5" customHeight="1" x14ac:dyDescent="0.25"/>
    <row r="713" ht="11.5" customHeight="1" x14ac:dyDescent="0.25"/>
    <row r="714" ht="11.5" customHeight="1" x14ac:dyDescent="0.25"/>
    <row r="715" ht="11.5" customHeight="1" x14ac:dyDescent="0.25"/>
    <row r="716" ht="11.5" customHeight="1" x14ac:dyDescent="0.25"/>
    <row r="717" ht="11.5" customHeight="1" x14ac:dyDescent="0.25"/>
    <row r="718" ht="11.5" customHeight="1" x14ac:dyDescent="0.25"/>
    <row r="719" ht="11.5" customHeight="1" x14ac:dyDescent="0.25"/>
    <row r="720" ht="11.5" customHeight="1" x14ac:dyDescent="0.25"/>
    <row r="721" ht="11.5" customHeight="1" x14ac:dyDescent="0.25"/>
    <row r="722" ht="11.5" customHeight="1" x14ac:dyDescent="0.25"/>
    <row r="723" ht="11.5" customHeight="1" x14ac:dyDescent="0.25"/>
    <row r="724" ht="11.5" customHeight="1" x14ac:dyDescent="0.25"/>
    <row r="725" ht="11.5" customHeight="1" x14ac:dyDescent="0.25"/>
    <row r="726" ht="11.5" customHeight="1" x14ac:dyDescent="0.25"/>
    <row r="727" ht="11.5" customHeight="1" x14ac:dyDescent="0.25"/>
    <row r="728" ht="11.5" customHeight="1" x14ac:dyDescent="0.25"/>
    <row r="729" ht="11.5" customHeight="1" x14ac:dyDescent="0.25"/>
    <row r="730" ht="11.5" customHeight="1" x14ac:dyDescent="0.25"/>
    <row r="731" ht="11.5" customHeight="1" x14ac:dyDescent="0.25"/>
    <row r="732" ht="11.5" customHeight="1" x14ac:dyDescent="0.25"/>
    <row r="733" ht="11.5" customHeight="1" x14ac:dyDescent="0.25"/>
    <row r="734" ht="11.5" customHeight="1" x14ac:dyDescent="0.25"/>
    <row r="735" ht="11.5" customHeight="1" x14ac:dyDescent="0.25"/>
    <row r="736" ht="11.5" customHeight="1" x14ac:dyDescent="0.25"/>
    <row r="737" ht="11.5" customHeight="1" x14ac:dyDescent="0.25"/>
    <row r="738" ht="11.5" customHeight="1" x14ac:dyDescent="0.25"/>
    <row r="739" ht="11.5" customHeight="1" x14ac:dyDescent="0.25"/>
    <row r="740" ht="11.5" customHeight="1" x14ac:dyDescent="0.25"/>
    <row r="741" ht="11.5" customHeight="1" x14ac:dyDescent="0.25"/>
    <row r="742" ht="11.5" customHeight="1" x14ac:dyDescent="0.25"/>
    <row r="743" ht="11.5" customHeight="1" x14ac:dyDescent="0.25"/>
    <row r="744" ht="11.5" customHeight="1" x14ac:dyDescent="0.25"/>
    <row r="745" ht="11.5" customHeight="1" x14ac:dyDescent="0.25"/>
    <row r="746" ht="11.5" customHeight="1" x14ac:dyDescent="0.25"/>
    <row r="747" ht="11.5" customHeight="1" x14ac:dyDescent="0.25"/>
    <row r="748" ht="11.5" customHeight="1" x14ac:dyDescent="0.25"/>
    <row r="749" ht="11.5" customHeight="1" x14ac:dyDescent="0.25"/>
    <row r="750" ht="11.5" customHeight="1" x14ac:dyDescent="0.25"/>
    <row r="751" ht="11.5" customHeight="1" x14ac:dyDescent="0.25"/>
    <row r="752" ht="11.5" customHeight="1" x14ac:dyDescent="0.25"/>
    <row r="753" ht="11.5" customHeight="1" x14ac:dyDescent="0.25"/>
    <row r="754" ht="11.5" customHeight="1" x14ac:dyDescent="0.25"/>
    <row r="755" ht="11.5" customHeight="1" x14ac:dyDescent="0.25"/>
    <row r="756" ht="11.5" customHeight="1" x14ac:dyDescent="0.25"/>
    <row r="757" ht="11.5" customHeight="1" x14ac:dyDescent="0.25"/>
    <row r="758" ht="11.5" customHeight="1" x14ac:dyDescent="0.25"/>
    <row r="759" ht="11.5" customHeight="1" x14ac:dyDescent="0.25"/>
    <row r="760" ht="11.5" customHeight="1" x14ac:dyDescent="0.25"/>
    <row r="761" ht="11.5" customHeight="1" x14ac:dyDescent="0.25"/>
    <row r="762" ht="11.5" customHeight="1" x14ac:dyDescent="0.25"/>
    <row r="763" ht="11.5" customHeight="1" x14ac:dyDescent="0.25"/>
    <row r="764" ht="11.5" customHeight="1" x14ac:dyDescent="0.25"/>
    <row r="765" ht="11.5" customHeight="1" x14ac:dyDescent="0.25"/>
    <row r="766" ht="11.5" customHeight="1" x14ac:dyDescent="0.25"/>
    <row r="767" ht="11.5" customHeight="1" x14ac:dyDescent="0.25"/>
    <row r="768" ht="11.5" customHeight="1" x14ac:dyDescent="0.25"/>
    <row r="769" ht="11.5" customHeight="1" x14ac:dyDescent="0.25"/>
    <row r="770" ht="11.5" customHeight="1" x14ac:dyDescent="0.25"/>
    <row r="771" ht="11.5" customHeight="1" x14ac:dyDescent="0.25"/>
    <row r="772" ht="11.5" customHeight="1" x14ac:dyDescent="0.25"/>
    <row r="773" ht="11.5" customHeight="1" x14ac:dyDescent="0.25"/>
    <row r="774" ht="11.5" customHeight="1" x14ac:dyDescent="0.25"/>
    <row r="775" ht="11.5" customHeight="1" x14ac:dyDescent="0.25"/>
    <row r="776" ht="11.5" customHeight="1" x14ac:dyDescent="0.25"/>
    <row r="777" ht="11.5" customHeight="1" x14ac:dyDescent="0.25"/>
    <row r="778" ht="11.5" customHeight="1" x14ac:dyDescent="0.25"/>
    <row r="779" ht="11.5" customHeight="1" x14ac:dyDescent="0.25"/>
    <row r="780" ht="11.5" customHeight="1" x14ac:dyDescent="0.25"/>
    <row r="781" ht="11.5" customHeight="1" x14ac:dyDescent="0.25"/>
    <row r="782" ht="11.5" customHeight="1" x14ac:dyDescent="0.25"/>
    <row r="783" ht="11.5" customHeight="1" x14ac:dyDescent="0.25"/>
    <row r="784" ht="11.5" customHeight="1" x14ac:dyDescent="0.25"/>
    <row r="785" ht="11.5" customHeight="1" x14ac:dyDescent="0.25"/>
    <row r="786" ht="11.5" customHeight="1" x14ac:dyDescent="0.25"/>
    <row r="787" ht="11.5" customHeight="1" x14ac:dyDescent="0.25"/>
    <row r="788" ht="11.5" customHeight="1" x14ac:dyDescent="0.25"/>
    <row r="789" ht="11.5" customHeight="1" x14ac:dyDescent="0.25"/>
    <row r="790" ht="11.5" customHeight="1" x14ac:dyDescent="0.25"/>
    <row r="791" ht="11.5" customHeight="1" x14ac:dyDescent="0.25"/>
    <row r="792" ht="11.5" customHeight="1" x14ac:dyDescent="0.25"/>
    <row r="793" ht="11.5" customHeight="1" x14ac:dyDescent="0.25"/>
    <row r="794" ht="11.5" customHeight="1" x14ac:dyDescent="0.25"/>
    <row r="795" ht="11.5" customHeight="1" x14ac:dyDescent="0.25"/>
    <row r="796" ht="11.5" customHeight="1" x14ac:dyDescent="0.25"/>
    <row r="797" ht="11.5" customHeight="1" x14ac:dyDescent="0.25"/>
    <row r="798" ht="11.5" customHeight="1" x14ac:dyDescent="0.25"/>
    <row r="799" ht="11.5" customHeight="1" x14ac:dyDescent="0.25"/>
    <row r="800" ht="11.5" customHeight="1" x14ac:dyDescent="0.25"/>
    <row r="801" ht="11.5" customHeight="1" x14ac:dyDescent="0.25"/>
    <row r="802" ht="11.5" customHeight="1" x14ac:dyDescent="0.25"/>
    <row r="803" ht="11.5" customHeight="1" x14ac:dyDescent="0.25"/>
    <row r="804" ht="11.5" customHeight="1" x14ac:dyDescent="0.25"/>
    <row r="805" ht="11.5" customHeight="1" x14ac:dyDescent="0.25"/>
    <row r="806" ht="11.5" customHeight="1" x14ac:dyDescent="0.25"/>
    <row r="807" ht="11.5" customHeight="1" x14ac:dyDescent="0.25"/>
    <row r="808" ht="11.5" customHeight="1" x14ac:dyDescent="0.25"/>
    <row r="809" ht="11.5" customHeight="1" x14ac:dyDescent="0.25"/>
    <row r="810" ht="11.5" customHeight="1" x14ac:dyDescent="0.25"/>
    <row r="811" ht="11.5" customHeight="1" x14ac:dyDescent="0.25"/>
    <row r="812" ht="11.5" customHeight="1" x14ac:dyDescent="0.25"/>
    <row r="813" ht="11.5" customHeight="1" x14ac:dyDescent="0.25"/>
    <row r="814" ht="11.5" customHeight="1" x14ac:dyDescent="0.25"/>
    <row r="815" ht="11.5" customHeight="1" x14ac:dyDescent="0.25"/>
    <row r="816" ht="11.5" customHeight="1" x14ac:dyDescent="0.25"/>
    <row r="817" ht="11.5" customHeight="1" x14ac:dyDescent="0.25"/>
    <row r="818" ht="11.5" customHeight="1" x14ac:dyDescent="0.25"/>
    <row r="819" ht="11.5" customHeight="1" x14ac:dyDescent="0.25"/>
    <row r="820" ht="11.5" customHeight="1" x14ac:dyDescent="0.25"/>
    <row r="821" ht="11.5" customHeight="1" x14ac:dyDescent="0.25"/>
    <row r="822" ht="11.5" customHeight="1" x14ac:dyDescent="0.25"/>
    <row r="823" ht="11.5" customHeight="1" x14ac:dyDescent="0.25"/>
    <row r="824" ht="11.5" customHeight="1" x14ac:dyDescent="0.25"/>
    <row r="825" ht="11.5" customHeight="1" x14ac:dyDescent="0.25"/>
    <row r="826" ht="11.5" customHeight="1" x14ac:dyDescent="0.25"/>
    <row r="827" ht="11.5" customHeight="1" x14ac:dyDescent="0.25"/>
    <row r="828" ht="11.5" customHeight="1" x14ac:dyDescent="0.25"/>
    <row r="829" ht="11.5" customHeight="1" x14ac:dyDescent="0.25"/>
    <row r="830" ht="11.5" customHeight="1" x14ac:dyDescent="0.25"/>
    <row r="831" ht="11.5" customHeight="1" x14ac:dyDescent="0.25"/>
    <row r="832" ht="11.5" customHeight="1" x14ac:dyDescent="0.25"/>
    <row r="833" ht="11.5" customHeight="1" x14ac:dyDescent="0.25"/>
    <row r="834" ht="11.5" customHeight="1" x14ac:dyDescent="0.25"/>
    <row r="835" ht="11.5" customHeight="1" x14ac:dyDescent="0.25"/>
    <row r="836" ht="11.5" customHeight="1" x14ac:dyDescent="0.25"/>
    <row r="837" ht="11.5" customHeight="1" x14ac:dyDescent="0.25"/>
    <row r="838" ht="11.5" customHeight="1" x14ac:dyDescent="0.25"/>
    <row r="839" ht="11.5" customHeight="1" x14ac:dyDescent="0.25"/>
    <row r="840" ht="11.5" customHeight="1" x14ac:dyDescent="0.25"/>
    <row r="841" ht="11.5" customHeight="1" x14ac:dyDescent="0.25"/>
    <row r="842" ht="11.5" customHeight="1" x14ac:dyDescent="0.25"/>
    <row r="843" ht="11.5" customHeight="1" x14ac:dyDescent="0.25"/>
    <row r="844" ht="11.5" customHeight="1" x14ac:dyDescent="0.25"/>
    <row r="845" ht="11.5" customHeight="1" x14ac:dyDescent="0.25"/>
    <row r="846" ht="11.5" customHeight="1" x14ac:dyDescent="0.25"/>
    <row r="847" ht="11.5" customHeight="1" x14ac:dyDescent="0.25"/>
    <row r="848" ht="11.5" customHeight="1" x14ac:dyDescent="0.25"/>
    <row r="849" ht="11.5" customHeight="1" x14ac:dyDescent="0.25"/>
    <row r="850" ht="11.5" customHeight="1" x14ac:dyDescent="0.25"/>
    <row r="851" ht="11.5" customHeight="1" x14ac:dyDescent="0.25"/>
    <row r="852" ht="11.5" customHeight="1" x14ac:dyDescent="0.25"/>
    <row r="853" ht="11.5" customHeight="1" x14ac:dyDescent="0.25"/>
    <row r="854" ht="11.5" customHeight="1" x14ac:dyDescent="0.25"/>
    <row r="855" ht="11.5" customHeight="1" x14ac:dyDescent="0.25"/>
    <row r="856" ht="11.5" customHeight="1" x14ac:dyDescent="0.25"/>
    <row r="857" ht="11.5" customHeight="1" x14ac:dyDescent="0.25"/>
    <row r="858" ht="11.5" customHeight="1" x14ac:dyDescent="0.25"/>
    <row r="859" ht="11.5" customHeight="1" x14ac:dyDescent="0.25"/>
    <row r="860" ht="11.5" customHeight="1" x14ac:dyDescent="0.25"/>
    <row r="861" ht="11.5" customHeight="1" x14ac:dyDescent="0.25"/>
    <row r="862" ht="11.5" customHeight="1" x14ac:dyDescent="0.25"/>
    <row r="863" ht="11.5" customHeight="1" x14ac:dyDescent="0.25"/>
    <row r="864" ht="11.5" customHeight="1" x14ac:dyDescent="0.25"/>
    <row r="865" ht="11.5" customHeight="1" x14ac:dyDescent="0.25"/>
    <row r="866" ht="11.5" customHeight="1" x14ac:dyDescent="0.25"/>
    <row r="867" ht="11.5" customHeight="1" x14ac:dyDescent="0.25"/>
    <row r="868" ht="11.5" customHeight="1" x14ac:dyDescent="0.25"/>
    <row r="869" ht="11.5" customHeight="1" x14ac:dyDescent="0.25"/>
    <row r="870" ht="11.5" customHeight="1" x14ac:dyDescent="0.25"/>
    <row r="871" ht="11.5" customHeight="1" x14ac:dyDescent="0.25"/>
    <row r="872" ht="11.5" customHeight="1" x14ac:dyDescent="0.25"/>
    <row r="873" ht="11.5" customHeight="1" x14ac:dyDescent="0.25"/>
    <row r="874" ht="11.5" customHeight="1" x14ac:dyDescent="0.25"/>
    <row r="875" ht="11.5" customHeight="1" x14ac:dyDescent="0.25"/>
    <row r="876" ht="11.5" customHeight="1" x14ac:dyDescent="0.25"/>
    <row r="877" ht="11.5" customHeight="1" x14ac:dyDescent="0.25"/>
    <row r="878" ht="11.5" customHeight="1" x14ac:dyDescent="0.25"/>
    <row r="879" ht="11.5" customHeight="1" x14ac:dyDescent="0.25"/>
    <row r="880" ht="11.5" customHeight="1" x14ac:dyDescent="0.25"/>
    <row r="881" ht="11.5" customHeight="1" x14ac:dyDescent="0.25"/>
    <row r="882" ht="11.5" customHeight="1" x14ac:dyDescent="0.25"/>
    <row r="883" ht="11.5" customHeight="1" x14ac:dyDescent="0.25"/>
    <row r="884" ht="11.5" customHeight="1" x14ac:dyDescent="0.25"/>
    <row r="885" ht="11.5" customHeight="1" x14ac:dyDescent="0.25"/>
    <row r="886" ht="11.5" customHeight="1" x14ac:dyDescent="0.25"/>
    <row r="887" ht="11.5" customHeight="1" x14ac:dyDescent="0.25"/>
    <row r="888" ht="11.5" customHeight="1" x14ac:dyDescent="0.25"/>
    <row r="889" ht="11.5" customHeight="1" x14ac:dyDescent="0.25"/>
    <row r="890" ht="11.5" customHeight="1" x14ac:dyDescent="0.25"/>
    <row r="891" ht="11.5" customHeight="1" x14ac:dyDescent="0.25"/>
    <row r="892" ht="11.5" customHeight="1" x14ac:dyDescent="0.25"/>
    <row r="893" ht="11.5" customHeight="1" x14ac:dyDescent="0.25"/>
    <row r="894" ht="11.5" customHeight="1" x14ac:dyDescent="0.25"/>
    <row r="895" ht="11.5" customHeight="1" x14ac:dyDescent="0.25"/>
    <row r="896" ht="11.5" customHeight="1" x14ac:dyDescent="0.25"/>
    <row r="897" ht="11.5" customHeight="1" x14ac:dyDescent="0.25"/>
    <row r="898" ht="11.5" customHeight="1" x14ac:dyDescent="0.25"/>
    <row r="899" ht="11.5" customHeight="1" x14ac:dyDescent="0.25"/>
    <row r="900" ht="11.5" customHeight="1" x14ac:dyDescent="0.25"/>
    <row r="901" ht="11.5" customHeight="1" x14ac:dyDescent="0.25"/>
    <row r="902" ht="11.5" customHeight="1" x14ac:dyDescent="0.25"/>
    <row r="903" ht="11.5" customHeight="1" x14ac:dyDescent="0.25"/>
    <row r="904" ht="11.5" customHeight="1" x14ac:dyDescent="0.25"/>
    <row r="905" ht="11.5" customHeight="1" x14ac:dyDescent="0.25"/>
    <row r="906" ht="11.5" customHeight="1" x14ac:dyDescent="0.25"/>
    <row r="907" ht="11.5" customHeight="1" x14ac:dyDescent="0.25"/>
    <row r="908" ht="11.5" customHeight="1" x14ac:dyDescent="0.25"/>
    <row r="909" ht="11.5" customHeight="1" x14ac:dyDescent="0.25"/>
    <row r="910" ht="11.5" customHeight="1" x14ac:dyDescent="0.25"/>
    <row r="911" ht="11.5" customHeight="1" x14ac:dyDescent="0.25"/>
    <row r="912" ht="11.5" customHeight="1" x14ac:dyDescent="0.25"/>
    <row r="913" spans="2:2" ht="11.5" customHeight="1" x14ac:dyDescent="0.25">
      <c r="B913" s="432"/>
    </row>
    <row r="914" spans="2:2" ht="11.5" customHeight="1" x14ac:dyDescent="0.25">
      <c r="B914" s="432"/>
    </row>
    <row r="915" spans="2:2" ht="11.5" customHeight="1" x14ac:dyDescent="0.25">
      <c r="B915" s="432"/>
    </row>
    <row r="916" spans="2:2" ht="11.5" customHeight="1" x14ac:dyDescent="0.25">
      <c r="B916" s="432"/>
    </row>
    <row r="917" spans="2:2" ht="11.5" customHeight="1" x14ac:dyDescent="0.25">
      <c r="B917" s="432"/>
    </row>
    <row r="918" spans="2:2" ht="11.5" customHeight="1" x14ac:dyDescent="0.25">
      <c r="B918" s="432"/>
    </row>
    <row r="919" spans="2:2" ht="11.5" customHeight="1" x14ac:dyDescent="0.25">
      <c r="B919" s="432"/>
    </row>
    <row r="920" spans="2:2" ht="11.5" customHeight="1" x14ac:dyDescent="0.25">
      <c r="B920" s="432"/>
    </row>
    <row r="921" spans="2:2" ht="11.5" customHeight="1" x14ac:dyDescent="0.25">
      <c r="B921" s="432"/>
    </row>
    <row r="922" spans="2:2" ht="11.5" customHeight="1" x14ac:dyDescent="0.25">
      <c r="B922" s="432"/>
    </row>
    <row r="923" spans="2:2" ht="11.5" customHeight="1" x14ac:dyDescent="0.25">
      <c r="B923" s="432"/>
    </row>
    <row r="924" spans="2:2" ht="11.5" customHeight="1" x14ac:dyDescent="0.25">
      <c r="B924" s="432"/>
    </row>
    <row r="925" spans="2:2" ht="11.5" customHeight="1" x14ac:dyDescent="0.25">
      <c r="B925" s="432"/>
    </row>
    <row r="926" spans="2:2" ht="11.5" customHeight="1" x14ac:dyDescent="0.25">
      <c r="B926" s="432"/>
    </row>
    <row r="927" spans="2:2" ht="11.5" customHeight="1" x14ac:dyDescent="0.25">
      <c r="B927" s="432"/>
    </row>
    <row r="928" spans="2:2" ht="11.5" customHeight="1" x14ac:dyDescent="0.25">
      <c r="B928" s="432"/>
    </row>
    <row r="929" spans="2:2" ht="11.5" customHeight="1" x14ac:dyDescent="0.25">
      <c r="B929" s="432"/>
    </row>
    <row r="930" spans="2:2" ht="11.5" customHeight="1" x14ac:dyDescent="0.25">
      <c r="B930" s="432"/>
    </row>
    <row r="931" spans="2:2" ht="11.5" customHeight="1" x14ac:dyDescent="0.25">
      <c r="B931" s="432"/>
    </row>
    <row r="932" spans="2:2" ht="11.5" customHeight="1" x14ac:dyDescent="0.25">
      <c r="B932" s="432"/>
    </row>
    <row r="933" spans="2:2" ht="11.5" customHeight="1" x14ac:dyDescent="0.25">
      <c r="B933" s="432"/>
    </row>
    <row r="934" spans="2:2" ht="11.5" customHeight="1" x14ac:dyDescent="0.25">
      <c r="B934" s="432"/>
    </row>
    <row r="935" spans="2:2" ht="11.5" customHeight="1" x14ac:dyDescent="0.25">
      <c r="B935" s="432"/>
    </row>
    <row r="936" spans="2:2" ht="11.5" customHeight="1" x14ac:dyDescent="0.25">
      <c r="B936" s="432"/>
    </row>
    <row r="937" spans="2:2" ht="11.5" customHeight="1" x14ac:dyDescent="0.25">
      <c r="B937" s="432"/>
    </row>
    <row r="938" spans="2:2" ht="11.5" customHeight="1" x14ac:dyDescent="0.25">
      <c r="B938" s="432"/>
    </row>
    <row r="939" spans="2:2" ht="11.5" customHeight="1" x14ac:dyDescent="0.25">
      <c r="B939" s="432"/>
    </row>
    <row r="940" spans="2:2" ht="11.5" customHeight="1" x14ac:dyDescent="0.25">
      <c r="B940" s="432"/>
    </row>
    <row r="941" spans="2:2" ht="11.5" customHeight="1" x14ac:dyDescent="0.25">
      <c r="B941" s="432"/>
    </row>
    <row r="942" spans="2:2" ht="11.5" customHeight="1" x14ac:dyDescent="0.25">
      <c r="B942" s="432"/>
    </row>
    <row r="943" spans="2:2" ht="11.5" customHeight="1" x14ac:dyDescent="0.25">
      <c r="B943" s="432"/>
    </row>
    <row r="944" spans="2:2" ht="11.5" customHeight="1" x14ac:dyDescent="0.25">
      <c r="B944" s="432"/>
    </row>
    <row r="945" spans="2:2" ht="11.5" customHeight="1" x14ac:dyDescent="0.25">
      <c r="B945" s="432"/>
    </row>
    <row r="946" spans="2:2" ht="11.5" customHeight="1" x14ac:dyDescent="0.25">
      <c r="B946" s="432"/>
    </row>
    <row r="947" spans="2:2" ht="11.5" customHeight="1" x14ac:dyDescent="0.25">
      <c r="B947" s="432"/>
    </row>
    <row r="948" spans="2:2" ht="11.5" customHeight="1" x14ac:dyDescent="0.25">
      <c r="B948" s="432"/>
    </row>
    <row r="949" spans="2:2" ht="11.5" customHeight="1" x14ac:dyDescent="0.25">
      <c r="B949" s="432"/>
    </row>
    <row r="950" spans="2:2" ht="11.5" customHeight="1" x14ac:dyDescent="0.25">
      <c r="B950" s="432"/>
    </row>
    <row r="951" spans="2:2" ht="11.5" customHeight="1" x14ac:dyDescent="0.25">
      <c r="B951" s="432"/>
    </row>
    <row r="952" spans="2:2" ht="11.5" customHeight="1" x14ac:dyDescent="0.25">
      <c r="B952" s="432"/>
    </row>
    <row r="953" spans="2:2" ht="11.5" customHeight="1" x14ac:dyDescent="0.25">
      <c r="B953" s="432"/>
    </row>
    <row r="954" spans="2:2" ht="11.5" customHeight="1" x14ac:dyDescent="0.25">
      <c r="B954" s="432"/>
    </row>
    <row r="955" spans="2:2" ht="11.5" customHeight="1" x14ac:dyDescent="0.25">
      <c r="B955" s="432"/>
    </row>
    <row r="956" spans="2:2" ht="11.5" customHeight="1" x14ac:dyDescent="0.25">
      <c r="B956" s="432"/>
    </row>
    <row r="957" spans="2:2" ht="11.5" customHeight="1" x14ac:dyDescent="0.25">
      <c r="B957" s="432"/>
    </row>
    <row r="958" spans="2:2" ht="11.5" customHeight="1" x14ac:dyDescent="0.25">
      <c r="B958" s="432"/>
    </row>
    <row r="959" spans="2:2" ht="11.5" customHeight="1" x14ac:dyDescent="0.25">
      <c r="B959" s="432"/>
    </row>
    <row r="960" spans="2:2" ht="11.5" customHeight="1" x14ac:dyDescent="0.25">
      <c r="B960" s="432"/>
    </row>
    <row r="961" spans="2:2" ht="11.5" customHeight="1" x14ac:dyDescent="0.25">
      <c r="B961" s="432"/>
    </row>
    <row r="962" spans="2:2" ht="11.5" customHeight="1" x14ac:dyDescent="0.25">
      <c r="B962" s="432"/>
    </row>
    <row r="963" spans="2:2" ht="11.5" customHeight="1" x14ac:dyDescent="0.25">
      <c r="B963" s="432"/>
    </row>
    <row r="964" spans="2:2" ht="11.5" customHeight="1" x14ac:dyDescent="0.25">
      <c r="B964" s="432"/>
    </row>
    <row r="965" spans="2:2" ht="11.5" customHeight="1" x14ac:dyDescent="0.25">
      <c r="B965" s="432"/>
    </row>
    <row r="966" spans="2:2" ht="11.5" customHeight="1" x14ac:dyDescent="0.25">
      <c r="B966" s="432"/>
    </row>
    <row r="967" spans="2:2" ht="11.5" customHeight="1" x14ac:dyDescent="0.25">
      <c r="B967" s="432"/>
    </row>
    <row r="968" spans="2:2" ht="11.5" customHeight="1" x14ac:dyDescent="0.25">
      <c r="B968" s="432"/>
    </row>
    <row r="969" spans="2:2" ht="11.5" customHeight="1" x14ac:dyDescent="0.25">
      <c r="B969" s="432"/>
    </row>
    <row r="970" spans="2:2" ht="11.5" customHeight="1" x14ac:dyDescent="0.25">
      <c r="B970" s="432"/>
    </row>
    <row r="971" spans="2:2" ht="11.5" customHeight="1" x14ac:dyDescent="0.25">
      <c r="B971" s="432"/>
    </row>
    <row r="972" spans="2:2" ht="11.5" customHeight="1" x14ac:dyDescent="0.25">
      <c r="B972" s="432"/>
    </row>
    <row r="973" spans="2:2" ht="11.5" customHeight="1" x14ac:dyDescent="0.25">
      <c r="B973" s="432"/>
    </row>
    <row r="974" spans="2:2" ht="11.5" customHeight="1" x14ac:dyDescent="0.25">
      <c r="B974" s="432"/>
    </row>
    <row r="975" spans="2:2" ht="11.5" customHeight="1" x14ac:dyDescent="0.25">
      <c r="B975" s="432"/>
    </row>
    <row r="976" spans="2:2" ht="11.5" customHeight="1" x14ac:dyDescent="0.25">
      <c r="B976" s="432"/>
    </row>
    <row r="977" spans="2:42" ht="11.5" customHeight="1" x14ac:dyDescent="0.25">
      <c r="B977" s="432"/>
    </row>
    <row r="978" spans="2:42" ht="11.5" customHeight="1" x14ac:dyDescent="0.25">
      <c r="B978" s="432"/>
    </row>
    <row r="979" spans="2:42" ht="11.5" customHeight="1" x14ac:dyDescent="0.25">
      <c r="B979" s="432"/>
    </row>
    <row r="980" spans="2:42" ht="11.5" customHeight="1" x14ac:dyDescent="0.25">
      <c r="B980" s="432"/>
    </row>
    <row r="981" spans="2:42" ht="11.5" customHeight="1" x14ac:dyDescent="0.25">
      <c r="B981" s="432"/>
    </row>
    <row r="982" spans="2:42" ht="11.5" customHeight="1" x14ac:dyDescent="0.25">
      <c r="B982" s="432"/>
    </row>
    <row r="983" spans="2:42" ht="11.5" customHeight="1" x14ac:dyDescent="0.25">
      <c r="B983" s="432"/>
    </row>
    <row r="984" spans="2:42" ht="11.5" customHeight="1" x14ac:dyDescent="0.25">
      <c r="B984" s="432"/>
    </row>
    <row r="985" spans="2:42" ht="11.5" customHeight="1" x14ac:dyDescent="0.25">
      <c r="B985" s="432"/>
    </row>
    <row r="986" spans="2:42" ht="11.5" customHeight="1" x14ac:dyDescent="0.25">
      <c r="B986" s="432"/>
    </row>
    <row r="987" spans="2:42" ht="11.5" customHeight="1" x14ac:dyDescent="0.25">
      <c r="B987" s="432"/>
    </row>
    <row r="988" spans="2:42" ht="11.5" customHeight="1" x14ac:dyDescent="0.25">
      <c r="B988" s="432"/>
    </row>
    <row r="989" spans="2:42" ht="11.5" customHeight="1" x14ac:dyDescent="0.25">
      <c r="B989" s="432"/>
    </row>
    <row r="990" spans="2:42" ht="11.5" customHeight="1" x14ac:dyDescent="0.25">
      <c r="B990" s="432"/>
    </row>
    <row r="991" spans="2:42" ht="11.5" customHeight="1" x14ac:dyDescent="0.25">
      <c r="B991"/>
      <c r="S991" s="280"/>
      <c r="AF991" s="72"/>
      <c r="AG991" s="73"/>
      <c r="AH991" s="74"/>
      <c r="AI991" s="74"/>
      <c r="AJ991" s="74"/>
      <c r="AK991" s="74"/>
      <c r="AL991" s="74"/>
      <c r="AM991" s="74"/>
      <c r="AN991" s="74"/>
      <c r="AO991" s="74"/>
      <c r="AP991" s="74"/>
    </row>
    <row r="992" spans="2:42" ht="11.5" customHeight="1" x14ac:dyDescent="0.25">
      <c r="B992"/>
      <c r="S992" s="280"/>
      <c r="AF992" s="345"/>
      <c r="AG992" s="345"/>
      <c r="AH992" s="345"/>
      <c r="AI992" s="345"/>
      <c r="AJ992" s="345"/>
      <c r="AK992" s="345"/>
      <c r="AL992" s="345"/>
      <c r="AM992" s="345"/>
      <c r="AN992" s="345"/>
      <c r="AO992" s="345"/>
      <c r="AP992" s="345"/>
    </row>
    <row r="993" spans="2:2" ht="11.5" customHeight="1" x14ac:dyDescent="0.25">
      <c r="B993" s="432"/>
    </row>
    <row r="994" spans="2:2" ht="11.5" customHeight="1" x14ac:dyDescent="0.25">
      <c r="B994" s="432"/>
    </row>
    <row r="995" spans="2:2" ht="11.5" customHeight="1" x14ac:dyDescent="0.25">
      <c r="B995" s="432"/>
    </row>
    <row r="996" spans="2:2" ht="11.5" customHeight="1" x14ac:dyDescent="0.25">
      <c r="B996" s="432"/>
    </row>
    <row r="997" spans="2:2" ht="11.5" customHeight="1" x14ac:dyDescent="0.25">
      <c r="B997" s="432"/>
    </row>
    <row r="998" spans="2:2" ht="11.5" customHeight="1" x14ac:dyDescent="0.25">
      <c r="B998" s="432"/>
    </row>
    <row r="999" spans="2:2" ht="11.5" customHeight="1" x14ac:dyDescent="0.25">
      <c r="B999" s="432"/>
    </row>
    <row r="1000" spans="2:2" ht="11.5" customHeight="1" x14ac:dyDescent="0.25">
      <c r="B1000" s="432"/>
    </row>
    <row r="1001" spans="2:2" ht="11.5" customHeight="1" x14ac:dyDescent="0.25">
      <c r="B1001" s="432"/>
    </row>
    <row r="1002" spans="2:2" ht="11.5" customHeight="1" x14ac:dyDescent="0.25">
      <c r="B1002" s="432"/>
    </row>
    <row r="1003" spans="2:2" ht="11.5" customHeight="1" x14ac:dyDescent="0.25">
      <c r="B1003" s="432"/>
    </row>
    <row r="1004" spans="2:2" ht="11.5" customHeight="1" x14ac:dyDescent="0.25">
      <c r="B1004" s="432"/>
    </row>
    <row r="1005" spans="2:2" ht="11.5" customHeight="1" x14ac:dyDescent="0.25">
      <c r="B1005" s="432"/>
    </row>
    <row r="1006" spans="2:2" ht="11.5" customHeight="1" x14ac:dyDescent="0.25">
      <c r="B1006" s="432"/>
    </row>
    <row r="1007" spans="2:2" ht="11.5" customHeight="1" x14ac:dyDescent="0.25">
      <c r="B1007" s="432"/>
    </row>
    <row r="1008" spans="2:2" ht="11.5" customHeight="1" x14ac:dyDescent="0.25">
      <c r="B1008" s="432"/>
    </row>
    <row r="1009" spans="2:2" ht="11.5" customHeight="1" x14ac:dyDescent="0.25">
      <c r="B1009" s="432"/>
    </row>
    <row r="1010" spans="2:2" ht="11.5" customHeight="1" x14ac:dyDescent="0.25">
      <c r="B1010" s="432"/>
    </row>
    <row r="1011" spans="2:2" ht="11.5" customHeight="1" x14ac:dyDescent="0.25">
      <c r="B1011" s="432"/>
    </row>
    <row r="1012" spans="2:2" ht="11.5" customHeight="1" x14ac:dyDescent="0.25">
      <c r="B1012" s="432"/>
    </row>
    <row r="1013" spans="2:2" ht="11.5" customHeight="1" x14ac:dyDescent="0.25">
      <c r="B1013" s="432"/>
    </row>
    <row r="1014" spans="2:2" ht="11.5" customHeight="1" x14ac:dyDescent="0.25">
      <c r="B1014" s="432"/>
    </row>
    <row r="1015" spans="2:2" ht="11.5" customHeight="1" x14ac:dyDescent="0.25">
      <c r="B1015" s="432"/>
    </row>
    <row r="1016" spans="2:2" x14ac:dyDescent="0.25">
      <c r="B1016" s="432"/>
    </row>
    <row r="1017" spans="2:2" x14ac:dyDescent="0.25">
      <c r="B1017" s="432"/>
    </row>
    <row r="1018" spans="2:2" x14ac:dyDescent="0.25">
      <c r="B1018" s="432"/>
    </row>
    <row r="1019" spans="2:2" x14ac:dyDescent="0.25">
      <c r="B1019" s="432"/>
    </row>
    <row r="1020" spans="2:2" x14ac:dyDescent="0.25">
      <c r="B1020" s="432"/>
    </row>
    <row r="1021" spans="2:2" x14ac:dyDescent="0.25">
      <c r="B1021" s="432"/>
    </row>
    <row r="1022" spans="2:2" x14ac:dyDescent="0.25">
      <c r="B1022" s="432"/>
    </row>
    <row r="1023" spans="2:2" x14ac:dyDescent="0.25">
      <c r="B1023" s="432"/>
    </row>
    <row r="1024" spans="2:2" x14ac:dyDescent="0.25">
      <c r="B1024" s="432"/>
    </row>
    <row r="1025" spans="2:2" x14ac:dyDescent="0.25">
      <c r="B1025" s="432"/>
    </row>
    <row r="1026" spans="2:2" x14ac:dyDescent="0.25">
      <c r="B1026" s="432"/>
    </row>
    <row r="1027" spans="2:2" x14ac:dyDescent="0.25">
      <c r="B1027" s="432"/>
    </row>
    <row r="1028" spans="2:2" x14ac:dyDescent="0.25">
      <c r="B1028" s="432"/>
    </row>
    <row r="1029" spans="2:2" x14ac:dyDescent="0.25">
      <c r="B1029" s="432"/>
    </row>
    <row r="1030" spans="2:2" x14ac:dyDescent="0.25">
      <c r="B1030" s="432"/>
    </row>
    <row r="1031" spans="2:2" x14ac:dyDescent="0.25">
      <c r="B1031" s="432"/>
    </row>
    <row r="1032" spans="2:2" x14ac:dyDescent="0.25">
      <c r="B1032" s="432"/>
    </row>
    <row r="1033" spans="2:2" x14ac:dyDescent="0.25">
      <c r="B1033" s="432"/>
    </row>
    <row r="1034" spans="2:2" x14ac:dyDescent="0.25">
      <c r="B1034" s="432"/>
    </row>
    <row r="1035" spans="2:2" x14ac:dyDescent="0.25">
      <c r="B1035" s="432"/>
    </row>
  </sheetData>
  <sheetProtection sheet="1" objects="1" scenarios="1"/>
  <protectedRanges>
    <protectedRange sqref="F76:F89 F91:F95 F98 F61:F62 F156:F157 F52:F56 F185 F65:F74 P134 F180:F181 F45:F49 F134:F135 F121:F125 F140:F150 F127:G130 J121:J133 G125 F101:F112 G131 F131:F132" name="Range1"/>
    <protectedRange sqref="F175" name="Range1_2"/>
  </protectedRanges>
  <mergeCells count="12">
    <mergeCell ref="C16:I16"/>
    <mergeCell ref="C17:I17"/>
    <mergeCell ref="B2:I2"/>
    <mergeCell ref="E110:E111"/>
    <mergeCell ref="F22:F24"/>
    <mergeCell ref="H22:H24"/>
    <mergeCell ref="G22:G24"/>
    <mergeCell ref="K14:N14"/>
    <mergeCell ref="B11:I11"/>
    <mergeCell ref="B12:I12"/>
    <mergeCell ref="B14:I14"/>
    <mergeCell ref="C15:I15"/>
  </mergeCells>
  <phoneticPr fontId="0" type="noConversion"/>
  <conditionalFormatting sqref="B3">
    <cfRule type="containsText" dxfId="214" priority="70" operator="containsText" text="resolve">
      <formula>NOT(ISERROR(SEARCH("resolve",B3)))</formula>
    </cfRule>
  </conditionalFormatting>
  <conditionalFormatting sqref="B116">
    <cfRule type="containsText" dxfId="213" priority="3" operator="containsText" text="resolve">
      <formula>NOT(ISERROR(SEARCH("resolve",B116)))</formula>
    </cfRule>
  </conditionalFormatting>
  <conditionalFormatting sqref="C3">
    <cfRule type="expression" dxfId="212" priority="178">
      <formula>ISNUMBER(SEARCH(R3,B3))</formula>
    </cfRule>
  </conditionalFormatting>
  <conditionalFormatting sqref="D3">
    <cfRule type="expression" dxfId="211" priority="179">
      <formula>ISNUMBER(SEARCH(R3,B3))</formula>
    </cfRule>
  </conditionalFormatting>
  <conditionalFormatting sqref="E3">
    <cfRule type="expression" dxfId="210" priority="180">
      <formula>ISNUMBER(SEARCH(R3,B3))</formula>
    </cfRule>
  </conditionalFormatting>
  <conditionalFormatting sqref="F3">
    <cfRule type="expression" dxfId="209" priority="181">
      <formula>ISNUMBER(SEARCH(R3,B3))</formula>
    </cfRule>
  </conditionalFormatting>
  <conditionalFormatting sqref="F160">
    <cfRule type="containsText" dxfId="208" priority="104" operator="containsText" text="Yes">
      <formula>NOT(ISERROR(SEARCH("Yes",F160)))</formula>
    </cfRule>
    <cfRule type="cellIs" dxfId="207" priority="158" stopIfTrue="1" operator="equal">
      <formula>"YES"</formula>
    </cfRule>
    <cfRule type="containsBlanks" dxfId="206" priority="187">
      <formula>LEN(TRIM(F160))=0</formula>
    </cfRule>
  </conditionalFormatting>
  <conditionalFormatting sqref="G3">
    <cfRule type="expression" dxfId="205" priority="182">
      <formula>ISNUMBER(SEARCH(R3,B3))</formula>
    </cfRule>
  </conditionalFormatting>
  <conditionalFormatting sqref="H3">
    <cfRule type="expression" dxfId="204" priority="183">
      <formula>ISNUMBER(SEARCH(R3,B3))</formula>
    </cfRule>
  </conditionalFormatting>
  <conditionalFormatting sqref="H30:H125 E125 H134:I134">
    <cfRule type="containsText" dxfId="203" priority="90" operator="containsText" text="Warning">
      <formula>NOT(ISERROR(SEARCH("Warning",E30)))</formula>
    </cfRule>
    <cfRule type="containsText" dxfId="202" priority="91" operator="containsText" text="Error">
      <formula>NOT(ISERROR(SEARCH("Error",E30)))</formula>
    </cfRule>
  </conditionalFormatting>
  <conditionalFormatting sqref="H127:H133">
    <cfRule type="containsText" dxfId="201" priority="4" operator="containsText" text="Warning">
      <formula>NOT(ISERROR(SEARCH("Warning",H127)))</formula>
    </cfRule>
  </conditionalFormatting>
  <conditionalFormatting sqref="H136:H174">
    <cfRule type="containsText" dxfId="200" priority="19" operator="containsText" text="Information">
      <formula>NOT(ISERROR(SEARCH("Information",H136)))</formula>
    </cfRule>
    <cfRule type="containsText" dxfId="199" priority="20" operator="containsText" text="Warning">
      <formula>NOT(ISERROR(SEARCH("Warning",H136)))</formula>
    </cfRule>
    <cfRule type="containsText" dxfId="198" priority="21" operator="containsText" text="Error">
      <formula>NOT(ISERROR(SEARCH("Error",H136)))</formula>
    </cfRule>
  </conditionalFormatting>
  <conditionalFormatting sqref="H176:H185">
    <cfRule type="containsText" dxfId="197" priority="16" operator="containsText" text="Information">
      <formula>NOT(ISERROR(SEARCH("Information",H176)))</formula>
    </cfRule>
    <cfRule type="containsText" dxfId="196" priority="17" operator="containsText" text="Warning">
      <formula>NOT(ISERROR(SEARCH("Warning",H176)))</formula>
    </cfRule>
    <cfRule type="containsText" dxfId="195" priority="18" operator="containsText" text="Error">
      <formula>NOT(ISERROR(SEARCH("Error",H176)))</formula>
    </cfRule>
  </conditionalFormatting>
  <conditionalFormatting sqref="H134:I134 H30:H125 E125">
    <cfRule type="containsText" dxfId="194" priority="89" operator="containsText" text="Information">
      <formula>NOT(ISERROR(SEARCH("Information",E30)))</formula>
    </cfRule>
  </conditionalFormatting>
  <conditionalFormatting sqref="I3">
    <cfRule type="expression" dxfId="193" priority="184">
      <formula>ISNUMBER(SEARCH(R3,B3))</formula>
    </cfRule>
  </conditionalFormatting>
  <conditionalFormatting sqref="I30:I67 J66 I176:I184">
    <cfRule type="containsText" dxfId="192" priority="105" operator="containsText" text=" ">
      <formula>NOT(ISERROR(SEARCH(" ",I30)))</formula>
    </cfRule>
  </conditionalFormatting>
  <conditionalFormatting sqref="I70:I91">
    <cfRule type="containsText" dxfId="191" priority="80" operator="containsText" text=" ">
      <formula>NOT(ISERROR(SEARCH(" ",I70)))</formula>
    </cfRule>
  </conditionalFormatting>
  <conditionalFormatting sqref="I93:I174">
    <cfRule type="containsText" dxfId="190" priority="22" operator="containsText" text=" ">
      <formula>NOT(ISERROR(SEARCH(" ",I93)))</formula>
    </cfRule>
  </conditionalFormatting>
  <conditionalFormatting sqref="I175">
    <cfRule type="containsText" dxfId="189" priority="13" operator="containsText" text="Information">
      <formula>NOT(ISERROR(SEARCH("Information",I175)))</formula>
    </cfRule>
    <cfRule type="containsText" dxfId="188" priority="14" operator="containsText" text="Warning">
      <formula>NOT(ISERROR(SEARCH("Warning",I175)))</formula>
    </cfRule>
    <cfRule type="containsText" dxfId="187" priority="15" operator="containsText" text="Error">
      <formula>NOT(ISERROR(SEARCH("Error",I175)))</formula>
    </cfRule>
  </conditionalFormatting>
  <conditionalFormatting sqref="J3">
    <cfRule type="expression" dxfId="186" priority="185">
      <formula>ISNUMBER(SEARCH(R3,B3))</formula>
    </cfRule>
  </conditionalFormatting>
  <conditionalFormatting sqref="J104">
    <cfRule type="containsText" dxfId="185" priority="31" operator="containsText" text=" ">
      <formula>NOT(ISERROR(SEARCH(" ",J104)))</formula>
    </cfRule>
  </conditionalFormatting>
  <conditionalFormatting sqref="K3">
    <cfRule type="expression" dxfId="184" priority="186">
      <formula>ISNUMBER(SEARCH(R3,B3))</formula>
    </cfRule>
  </conditionalFormatting>
  <dataValidations xWindow="620" yWindow="1100" count="8">
    <dataValidation allowBlank="1" showInputMessage="1" showErrorMessage="1" promptTitle="Line 851" prompt="RSG is pre-populated with 2024-25 Settlement data. It should not have changed but if so overwrite and explain in the memo." sqref="F107" xr:uid="{00000000-0002-0000-0100-000002000000}"/>
    <dataValidation allowBlank="1" showInputMessage="1" showErrorMessage="1" promptTitle="Line 856" prompt="Police grant is pre-populated with the 'Police Grant Report' 2024-25 data. It should not have changed but if so overwrite and explain in the memo." sqref="F108"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2"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3" xr:uid="{5966F9FB-F800-4BB6-9F0E-01751A34C609}"/>
    <dataValidation type="list" allowBlank="1" showInputMessage="1" sqref="F160" xr:uid="{00000000-0002-0000-0100-000000000000}">
      <formula1>$B$161:$B$163</formula1>
    </dataValidation>
    <dataValidation allowBlank="1" showErrorMessage="1" sqref="F109"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0:G151" location="Memo!C35" display="Memo!C35" xr:uid="{00000000-0004-0000-0100-000011000000}"/>
    <hyperlink ref="G156:G157" location="Memo!C35" display="Memo!C35" xr:uid="{00000000-0004-0000-0100-000013000000}"/>
    <hyperlink ref="G160" location="Memo!C149" display="Memo!C149" xr:uid="{00000000-0004-0000-0100-000014000000}"/>
    <hyperlink ref="G168:G170" location="Memo!C35" display="Memo!C35" xr:uid="{00000000-0004-0000-0100-000015000000}"/>
    <hyperlink ref="G185"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6" location="Memo!C109" display="Memo!C109" xr:uid="{00000000-0004-0000-0100-00003D000000}"/>
    <hyperlink ref="G107" location="Memo!C110" display="Memo!C110" xr:uid="{00000000-0004-0000-0100-00003E000000}"/>
    <hyperlink ref="G108" location="Memo!C114" display="Memo!C114" xr:uid="{00000000-0004-0000-0100-00003F000000}"/>
    <hyperlink ref="G109" location="Memo!C116" display="Memo!C116" xr:uid="{00000000-0004-0000-0100-000040000000}"/>
    <hyperlink ref="G110" location="Memo!C118" display="Memo!C118" xr:uid="{00000000-0004-0000-0100-000041000000}"/>
    <hyperlink ref="G111" location="Memo!C119" display="Memo!C119" xr:uid="{00000000-0004-0000-0100-000042000000}"/>
    <hyperlink ref="G112" location="Memo!C120" display="Memo!C120" xr:uid="{00000000-0004-0000-0100-000043000000}"/>
    <hyperlink ref="G140" location="Memo!C135" display="Memo!C135" xr:uid="{00000000-0004-0000-0100-000044000000}"/>
    <hyperlink ref="G141" location="Memo!C136" display="Memo!C136" xr:uid="{00000000-0004-0000-0100-000045000000}"/>
    <hyperlink ref="G144" location="Memo!C139" display="Memo!C139" xr:uid="{00000000-0004-0000-0100-000046000000}"/>
    <hyperlink ref="G149" location="Memo!C144" display="Memo!C144" xr:uid="{00000000-0004-0000-0100-000047000000}"/>
    <hyperlink ref="G150" location="Memo!C145" display="Memo!C145" xr:uid="{00000000-0004-0000-0100-000048000000}"/>
    <hyperlink ref="G151" location="Memo!C146" display="Memo!C146" xr:uid="{00000000-0004-0000-0100-000049000000}"/>
    <hyperlink ref="G156" location="Memo!C147" display="Memo!C147" xr:uid="{00000000-0004-0000-0100-00004A000000}"/>
    <hyperlink ref="G157" location="Memo!C148" display="Memo!C148" xr:uid="{00000000-0004-0000-0100-00004B000000}"/>
    <hyperlink ref="G168" location="Memo!C150" display="Memo!C150" xr:uid="{00000000-0004-0000-0100-00004D000000}"/>
    <hyperlink ref="G169" location="Memo!C151" display="Memo!C151" xr:uid="{00000000-0004-0000-0100-00004E000000}"/>
    <hyperlink ref="G170"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G180" location="Memo!C154" display="Memo!C154" xr:uid="{F4168004-837C-4245-A62D-C2A087EAE258}"/>
    <hyperlink ref="G182" location="Memo!C156" display="Memo!C156" xr:uid="{00000000-0004-0000-0100-000052000000}"/>
    <hyperlink ref="G181"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07" r:id="rId1"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H175" location="Memo!C35" display="Memo!C35" xr:uid="{F6E22180-E05F-407D-98E0-FBD174B526D0}"/>
    <hyperlink ref="C179" r:id="rId2" display="The person in your authority who completes the Council Tax Requirement return maybe be best placed to provide these notional figures" xr:uid="{C07557A9-98A9-4834-95DB-FB032C504602}"/>
    <hyperlink ref="G30:G112" location="Memo!C35" display="Memo!C35" xr:uid="{98A9B651-6D54-4F78-BBDF-6403596F3B9C}"/>
    <hyperlink ref="G180:G185" location="Memo!C35" display="Memo!C35" xr:uid="{1C837B47-91DF-4B96-B85A-3E746CE85CBE}"/>
    <hyperlink ref="G140:G170" location="Memo!C35" display="Memo!C35" xr:uid="{2C1289B5-B221-4427-AEA8-E47CEC94CDCC}"/>
    <hyperlink ref="C108" r:id="rId3" xr:uid="{0B2A858F-7FE7-45E7-B98E-97751B01C961}"/>
    <hyperlink ref="G95" location="Memo!C35" display="Memo!C35" xr:uid="{7DD66F2F-82CD-48F6-96B3-8A20E002DA7A}"/>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6" min="1" max="13" man="1"/>
  </rowBreaks>
  <ignoredErrors>
    <ignoredError sqref="F139 F26:F28 F155 F167 F179 F184"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PR440"/>
  <sheetViews>
    <sheetView zoomScale="90" zoomScaleNormal="90" workbookViewId="0">
      <selection activeCell="B1" sqref="B1:L1"/>
    </sheetView>
  </sheetViews>
  <sheetFormatPr defaultColWidth="8.7265625" defaultRowHeight="12.5" x14ac:dyDescent="0.25"/>
  <cols>
    <col min="5" max="5" width="10.81640625" customWidth="1"/>
    <col min="6" max="368" width="8.7265625" customWidth="1"/>
    <col min="432" max="433" width="8.7265625" customWidth="1"/>
  </cols>
  <sheetData>
    <row r="1" spans="1:434" ht="18" x14ac:dyDescent="0.4">
      <c r="A1" s="458" t="s">
        <v>3778</v>
      </c>
    </row>
    <row r="2" spans="1:434" ht="80.5" customHeight="1" x14ac:dyDescent="0.25">
      <c r="F2" t="s">
        <v>3779</v>
      </c>
      <c r="G2" t="s">
        <v>3780</v>
      </c>
      <c r="H2" t="s">
        <v>3781</v>
      </c>
      <c r="I2" t="s">
        <v>3782</v>
      </c>
      <c r="J2" t="s">
        <v>3783</v>
      </c>
      <c r="K2" t="s">
        <v>3784</v>
      </c>
      <c r="L2" t="s">
        <v>3785</v>
      </c>
      <c r="M2" t="s">
        <v>3786</v>
      </c>
      <c r="N2" t="s">
        <v>3787</v>
      </c>
      <c r="O2" t="s">
        <v>3788</v>
      </c>
      <c r="P2" t="s">
        <v>3789</v>
      </c>
      <c r="Q2" t="s">
        <v>3790</v>
      </c>
      <c r="R2" t="s">
        <v>3791</v>
      </c>
      <c r="S2" t="s">
        <v>3792</v>
      </c>
      <c r="T2" t="s">
        <v>3793</v>
      </c>
      <c r="U2" t="s">
        <v>3794</v>
      </c>
      <c r="V2" t="s">
        <v>3795</v>
      </c>
      <c r="W2" t="s">
        <v>3796</v>
      </c>
      <c r="X2" t="s">
        <v>3797</v>
      </c>
      <c r="Y2" t="s">
        <v>3798</v>
      </c>
      <c r="Z2" t="s">
        <v>3799</v>
      </c>
      <c r="AA2" t="s">
        <v>3800</v>
      </c>
      <c r="AB2" t="s">
        <v>3801</v>
      </c>
      <c r="AC2" t="s">
        <v>3802</v>
      </c>
      <c r="AD2" t="s">
        <v>3803</v>
      </c>
      <c r="AE2" t="s">
        <v>3804</v>
      </c>
      <c r="AF2" t="s">
        <v>3805</v>
      </c>
      <c r="AG2" t="s">
        <v>3806</v>
      </c>
      <c r="AH2" t="s">
        <v>3807</v>
      </c>
      <c r="AI2" t="s">
        <v>3808</v>
      </c>
      <c r="AJ2" t="s">
        <v>3809</v>
      </c>
      <c r="AK2" t="s">
        <v>3810</v>
      </c>
      <c r="AL2" t="s">
        <v>3811</v>
      </c>
      <c r="AM2" t="s">
        <v>3812</v>
      </c>
      <c r="AN2" t="s">
        <v>3813</v>
      </c>
      <c r="AO2" t="s">
        <v>3814</v>
      </c>
      <c r="AP2" t="s">
        <v>3815</v>
      </c>
      <c r="AQ2" t="s">
        <v>3816</v>
      </c>
      <c r="AR2" t="s">
        <v>3817</v>
      </c>
      <c r="AS2" t="s">
        <v>3818</v>
      </c>
      <c r="AT2" t="s">
        <v>3819</v>
      </c>
      <c r="AU2" t="s">
        <v>3820</v>
      </c>
      <c r="AV2" t="s">
        <v>3821</v>
      </c>
      <c r="AW2" t="s">
        <v>3822</v>
      </c>
      <c r="AX2" t="s">
        <v>3823</v>
      </c>
      <c r="AY2" t="s">
        <v>3824</v>
      </c>
      <c r="AZ2" t="s">
        <v>3825</v>
      </c>
      <c r="BA2" t="s">
        <v>3826</v>
      </c>
      <c r="BB2" t="s">
        <v>3827</v>
      </c>
      <c r="BC2" t="s">
        <v>3828</v>
      </c>
      <c r="BD2" t="s">
        <v>3829</v>
      </c>
      <c r="BE2" t="s">
        <v>3830</v>
      </c>
      <c r="BF2" t="s">
        <v>3831</v>
      </c>
      <c r="BG2" t="s">
        <v>3832</v>
      </c>
      <c r="BH2" t="s">
        <v>3833</v>
      </c>
      <c r="BI2" t="s">
        <v>3834</v>
      </c>
      <c r="BJ2" t="s">
        <v>3835</v>
      </c>
      <c r="BK2" t="s">
        <v>3836</v>
      </c>
      <c r="BL2" t="s">
        <v>3837</v>
      </c>
      <c r="BM2" t="s">
        <v>3838</v>
      </c>
      <c r="BN2" t="s">
        <v>3839</v>
      </c>
      <c r="BO2" t="s">
        <v>3840</v>
      </c>
      <c r="BP2" t="s">
        <v>3841</v>
      </c>
      <c r="BQ2" t="s">
        <v>3842</v>
      </c>
      <c r="BR2" t="s">
        <v>3843</v>
      </c>
      <c r="BS2" t="s">
        <v>3844</v>
      </c>
      <c r="BT2" t="s">
        <v>3845</v>
      </c>
      <c r="BU2" t="s">
        <v>3846</v>
      </c>
      <c r="BV2" t="s">
        <v>3847</v>
      </c>
      <c r="BW2" t="s">
        <v>3848</v>
      </c>
      <c r="BX2" t="s">
        <v>3849</v>
      </c>
      <c r="BY2" t="s">
        <v>3850</v>
      </c>
      <c r="BZ2" t="s">
        <v>3851</v>
      </c>
      <c r="CA2" t="s">
        <v>3852</v>
      </c>
      <c r="CB2" t="s">
        <v>3853</v>
      </c>
      <c r="CC2" t="s">
        <v>3854</v>
      </c>
      <c r="CD2" t="s">
        <v>3855</v>
      </c>
      <c r="CE2" t="s">
        <v>3856</v>
      </c>
      <c r="CF2" t="s">
        <v>3857</v>
      </c>
      <c r="CG2" t="s">
        <v>3858</v>
      </c>
      <c r="CH2" t="s">
        <v>3859</v>
      </c>
      <c r="CI2" t="s">
        <v>3860</v>
      </c>
      <c r="CJ2" t="s">
        <v>3861</v>
      </c>
      <c r="CK2" t="s">
        <v>3862</v>
      </c>
      <c r="CL2" t="s">
        <v>3863</v>
      </c>
      <c r="CM2" t="s">
        <v>3864</v>
      </c>
      <c r="CN2" t="s">
        <v>3865</v>
      </c>
      <c r="CO2" t="s">
        <v>3866</v>
      </c>
      <c r="CP2" t="s">
        <v>3867</v>
      </c>
      <c r="CQ2" t="s">
        <v>3868</v>
      </c>
      <c r="CR2" t="s">
        <v>3869</v>
      </c>
      <c r="CS2" t="s">
        <v>3870</v>
      </c>
      <c r="CT2" t="s">
        <v>3871</v>
      </c>
      <c r="CU2" t="s">
        <v>3872</v>
      </c>
      <c r="CV2" t="s">
        <v>3873</v>
      </c>
      <c r="CW2" t="s">
        <v>3874</v>
      </c>
      <c r="CX2" t="s">
        <v>3875</v>
      </c>
      <c r="CY2" t="s">
        <v>3876</v>
      </c>
      <c r="CZ2" t="s">
        <v>3877</v>
      </c>
      <c r="DA2" t="s">
        <v>3878</v>
      </c>
      <c r="DB2" t="s">
        <v>3879</v>
      </c>
      <c r="DC2" t="s">
        <v>3880</v>
      </c>
      <c r="DD2" t="s">
        <v>3881</v>
      </c>
      <c r="DE2" t="s">
        <v>3882</v>
      </c>
      <c r="DF2" t="s">
        <v>3883</v>
      </c>
      <c r="DG2" t="s">
        <v>3884</v>
      </c>
      <c r="DH2" t="s">
        <v>3885</v>
      </c>
      <c r="DI2" t="s">
        <v>3886</v>
      </c>
      <c r="DJ2" t="s">
        <v>3887</v>
      </c>
      <c r="DK2" t="s">
        <v>3888</v>
      </c>
      <c r="DL2" t="s">
        <v>3889</v>
      </c>
      <c r="DM2" t="s">
        <v>3890</v>
      </c>
      <c r="DN2" t="s">
        <v>3891</v>
      </c>
      <c r="DO2" t="s">
        <v>3892</v>
      </c>
      <c r="DP2" t="s">
        <v>3893</v>
      </c>
      <c r="DQ2" t="s">
        <v>3894</v>
      </c>
      <c r="DR2" t="s">
        <v>3895</v>
      </c>
      <c r="DS2" t="s">
        <v>3896</v>
      </c>
      <c r="DT2" t="s">
        <v>3897</v>
      </c>
      <c r="DU2" t="s">
        <v>3898</v>
      </c>
      <c r="DV2" t="s">
        <v>3899</v>
      </c>
      <c r="DW2" t="s">
        <v>3900</v>
      </c>
      <c r="DX2" t="s">
        <v>3901</v>
      </c>
      <c r="DY2" t="s">
        <v>3902</v>
      </c>
      <c r="DZ2" t="s">
        <v>3903</v>
      </c>
      <c r="EA2" t="s">
        <v>3904</v>
      </c>
      <c r="EB2" t="s">
        <v>3905</v>
      </c>
      <c r="EC2" t="s">
        <v>3906</v>
      </c>
      <c r="ED2" t="s">
        <v>3907</v>
      </c>
      <c r="EE2" t="s">
        <v>3908</v>
      </c>
      <c r="EF2" t="s">
        <v>3909</v>
      </c>
      <c r="EG2" t="s">
        <v>3910</v>
      </c>
      <c r="EH2" t="s">
        <v>3911</v>
      </c>
      <c r="EI2" t="s">
        <v>3912</v>
      </c>
      <c r="EJ2" t="s">
        <v>3913</v>
      </c>
      <c r="EK2" t="s">
        <v>3914</v>
      </c>
      <c r="EL2" t="s">
        <v>3915</v>
      </c>
      <c r="EM2" t="s">
        <v>3916</v>
      </c>
      <c r="EN2" t="s">
        <v>3917</v>
      </c>
      <c r="EO2" t="s">
        <v>3918</v>
      </c>
      <c r="EP2" t="s">
        <v>3919</v>
      </c>
      <c r="EQ2" t="s">
        <v>3920</v>
      </c>
      <c r="ER2" t="s">
        <v>3921</v>
      </c>
      <c r="ES2" t="s">
        <v>3922</v>
      </c>
      <c r="ET2" t="s">
        <v>3923</v>
      </c>
      <c r="EU2" t="s">
        <v>3924</v>
      </c>
      <c r="EV2" t="s">
        <v>3925</v>
      </c>
      <c r="EW2" t="s">
        <v>3926</v>
      </c>
      <c r="EX2" t="s">
        <v>3927</v>
      </c>
      <c r="EY2" t="s">
        <v>3928</v>
      </c>
      <c r="EZ2" t="s">
        <v>3929</v>
      </c>
      <c r="FA2" t="s">
        <v>3930</v>
      </c>
      <c r="FB2" t="s">
        <v>3931</v>
      </c>
      <c r="FC2" t="s">
        <v>3932</v>
      </c>
      <c r="FD2" t="s">
        <v>3933</v>
      </c>
      <c r="FE2" t="s">
        <v>3934</v>
      </c>
      <c r="FF2" t="s">
        <v>3935</v>
      </c>
      <c r="FG2" t="s">
        <v>3936</v>
      </c>
      <c r="FH2" t="s">
        <v>3937</v>
      </c>
      <c r="FI2" t="s">
        <v>3938</v>
      </c>
      <c r="FJ2" t="s">
        <v>3939</v>
      </c>
      <c r="FK2" t="s">
        <v>3940</v>
      </c>
      <c r="FL2" t="s">
        <v>3941</v>
      </c>
      <c r="FM2" t="s">
        <v>3942</v>
      </c>
      <c r="FN2" t="s">
        <v>3943</v>
      </c>
      <c r="FO2" t="s">
        <v>3944</v>
      </c>
      <c r="FP2" t="s">
        <v>3945</v>
      </c>
      <c r="FQ2" t="s">
        <v>3946</v>
      </c>
      <c r="FR2" t="s">
        <v>3947</v>
      </c>
      <c r="FS2" t="s">
        <v>3948</v>
      </c>
      <c r="FT2" t="s">
        <v>3949</v>
      </c>
      <c r="FU2" t="s">
        <v>3950</v>
      </c>
      <c r="FV2" t="s">
        <v>3951</v>
      </c>
      <c r="FW2" t="s">
        <v>3952</v>
      </c>
      <c r="FX2" t="s">
        <v>3953</v>
      </c>
      <c r="FY2" t="s">
        <v>3954</v>
      </c>
      <c r="FZ2" t="s">
        <v>3955</v>
      </c>
      <c r="GA2" t="s">
        <v>3956</v>
      </c>
      <c r="GB2" t="s">
        <v>3957</v>
      </c>
      <c r="GC2" t="s">
        <v>3958</v>
      </c>
      <c r="GD2" t="s">
        <v>3959</v>
      </c>
      <c r="GE2" t="s">
        <v>3960</v>
      </c>
      <c r="GF2" t="s">
        <v>3961</v>
      </c>
      <c r="GG2" t="s">
        <v>3962</v>
      </c>
      <c r="GH2" t="s">
        <v>3963</v>
      </c>
      <c r="GI2" t="s">
        <v>3964</v>
      </c>
      <c r="GJ2" t="s">
        <v>3965</v>
      </c>
      <c r="GK2" t="s">
        <v>3966</v>
      </c>
      <c r="GL2" t="s">
        <v>3967</v>
      </c>
      <c r="GM2" t="s">
        <v>3968</v>
      </c>
      <c r="GN2" t="s">
        <v>3969</v>
      </c>
      <c r="GO2" t="s">
        <v>3970</v>
      </c>
      <c r="GP2" t="s">
        <v>3971</v>
      </c>
      <c r="GQ2" t="s">
        <v>3972</v>
      </c>
      <c r="GR2" t="s">
        <v>3973</v>
      </c>
      <c r="GS2" t="s">
        <v>3974</v>
      </c>
      <c r="GT2" t="s">
        <v>3975</v>
      </c>
      <c r="GU2" t="s">
        <v>3976</v>
      </c>
      <c r="GV2" t="s">
        <v>3977</v>
      </c>
      <c r="GW2" t="s">
        <v>3978</v>
      </c>
      <c r="GX2" t="s">
        <v>3979</v>
      </c>
      <c r="GY2" t="s">
        <v>3980</v>
      </c>
      <c r="GZ2" t="s">
        <v>3981</v>
      </c>
      <c r="HA2" t="s">
        <v>3982</v>
      </c>
      <c r="HB2" t="s">
        <v>3983</v>
      </c>
      <c r="HC2" t="s">
        <v>3984</v>
      </c>
      <c r="HD2" t="s">
        <v>3985</v>
      </c>
      <c r="HE2" t="s">
        <v>3986</v>
      </c>
      <c r="HF2" t="s">
        <v>3987</v>
      </c>
      <c r="HG2" t="s">
        <v>3988</v>
      </c>
      <c r="HH2" t="s">
        <v>3989</v>
      </c>
      <c r="HI2" t="s">
        <v>3990</v>
      </c>
      <c r="HJ2" t="s">
        <v>3991</v>
      </c>
      <c r="HK2" t="s">
        <v>3992</v>
      </c>
      <c r="HL2" t="s">
        <v>3993</v>
      </c>
      <c r="HM2" t="s">
        <v>3994</v>
      </c>
      <c r="HN2" t="s">
        <v>3995</v>
      </c>
      <c r="HO2" t="s">
        <v>3996</v>
      </c>
      <c r="HP2" t="s">
        <v>3997</v>
      </c>
      <c r="HQ2" t="s">
        <v>3998</v>
      </c>
      <c r="HR2" t="s">
        <v>3999</v>
      </c>
      <c r="HS2" t="s">
        <v>4000</v>
      </c>
      <c r="HT2" t="s">
        <v>4001</v>
      </c>
      <c r="HU2" t="s">
        <v>4002</v>
      </c>
      <c r="HV2" t="s">
        <v>4003</v>
      </c>
      <c r="HW2" t="s">
        <v>4004</v>
      </c>
      <c r="HX2" t="s">
        <v>4005</v>
      </c>
      <c r="HY2" t="s">
        <v>4006</v>
      </c>
      <c r="HZ2" t="s">
        <v>4007</v>
      </c>
      <c r="IA2" t="s">
        <v>4008</v>
      </c>
      <c r="IB2" t="s">
        <v>4009</v>
      </c>
      <c r="IC2" t="s">
        <v>4010</v>
      </c>
      <c r="ID2" t="s">
        <v>4011</v>
      </c>
      <c r="IE2" t="s">
        <v>4012</v>
      </c>
      <c r="IF2" t="s">
        <v>4013</v>
      </c>
      <c r="IG2" t="s">
        <v>4014</v>
      </c>
      <c r="IH2" t="s">
        <v>4015</v>
      </c>
      <c r="II2" t="s">
        <v>4016</v>
      </c>
      <c r="IJ2" t="s">
        <v>4017</v>
      </c>
      <c r="IK2" t="s">
        <v>4018</v>
      </c>
      <c r="IL2" t="s">
        <v>4019</v>
      </c>
      <c r="IM2" t="s">
        <v>4020</v>
      </c>
      <c r="IN2" t="s">
        <v>4021</v>
      </c>
      <c r="IO2" t="s">
        <v>4022</v>
      </c>
      <c r="IP2" t="s">
        <v>4023</v>
      </c>
      <c r="IQ2" t="s">
        <v>4024</v>
      </c>
      <c r="IR2" t="s">
        <v>4025</v>
      </c>
      <c r="IS2" t="s">
        <v>4026</v>
      </c>
      <c r="IT2" t="s">
        <v>4027</v>
      </c>
      <c r="IU2" t="s">
        <v>4028</v>
      </c>
      <c r="IV2" t="s">
        <v>4029</v>
      </c>
      <c r="IW2" t="s">
        <v>4030</v>
      </c>
      <c r="IX2" t="s">
        <v>4031</v>
      </c>
      <c r="IY2" t="s">
        <v>4032</v>
      </c>
      <c r="IZ2" t="s">
        <v>4033</v>
      </c>
      <c r="JA2" t="s">
        <v>4034</v>
      </c>
      <c r="JB2" t="s">
        <v>4035</v>
      </c>
      <c r="JC2" t="s">
        <v>4036</v>
      </c>
      <c r="JD2" t="s">
        <v>4037</v>
      </c>
      <c r="JE2" t="s">
        <v>4038</v>
      </c>
      <c r="JF2" t="s">
        <v>4039</v>
      </c>
      <c r="JG2" t="s">
        <v>4040</v>
      </c>
      <c r="JH2" t="s">
        <v>4041</v>
      </c>
      <c r="JI2" t="s">
        <v>4042</v>
      </c>
      <c r="JJ2" t="s">
        <v>4043</v>
      </c>
      <c r="JK2" t="s">
        <v>4044</v>
      </c>
      <c r="JL2" t="s">
        <v>4045</v>
      </c>
      <c r="JM2" t="s">
        <v>4046</v>
      </c>
      <c r="JN2" t="s">
        <v>4047</v>
      </c>
      <c r="JO2" t="s">
        <v>4048</v>
      </c>
      <c r="JP2" t="s">
        <v>4049</v>
      </c>
      <c r="JQ2" t="s">
        <v>4050</v>
      </c>
      <c r="JR2" t="s">
        <v>4051</v>
      </c>
      <c r="JS2" t="s">
        <v>4052</v>
      </c>
      <c r="JT2" t="s">
        <v>4053</v>
      </c>
      <c r="JU2" t="s">
        <v>4054</v>
      </c>
      <c r="JV2" t="s">
        <v>4055</v>
      </c>
      <c r="JW2" t="s">
        <v>4056</v>
      </c>
      <c r="JX2" t="s">
        <v>4057</v>
      </c>
      <c r="JY2" t="s">
        <v>4058</v>
      </c>
      <c r="JZ2" t="s">
        <v>4059</v>
      </c>
      <c r="KA2" t="s">
        <v>4060</v>
      </c>
      <c r="KB2" t="s">
        <v>4061</v>
      </c>
      <c r="KC2" t="s">
        <v>4062</v>
      </c>
      <c r="KD2" t="s">
        <v>4063</v>
      </c>
      <c r="KE2" t="s">
        <v>4064</v>
      </c>
      <c r="KF2" t="s">
        <v>4065</v>
      </c>
      <c r="KG2" t="s">
        <v>4066</v>
      </c>
      <c r="KH2" t="s">
        <v>4067</v>
      </c>
      <c r="KI2" t="s">
        <v>4068</v>
      </c>
      <c r="KJ2" t="s">
        <v>4069</v>
      </c>
      <c r="KK2" t="s">
        <v>4070</v>
      </c>
      <c r="KL2" t="s">
        <v>4071</v>
      </c>
      <c r="KM2" t="s">
        <v>4072</v>
      </c>
      <c r="KN2" t="s">
        <v>4073</v>
      </c>
      <c r="KO2" t="s">
        <v>4074</v>
      </c>
      <c r="KP2" t="s">
        <v>4075</v>
      </c>
      <c r="KQ2" t="s">
        <v>4076</v>
      </c>
      <c r="KR2" t="s">
        <v>4077</v>
      </c>
      <c r="KS2" t="s">
        <v>4078</v>
      </c>
      <c r="KT2" t="s">
        <v>4079</v>
      </c>
      <c r="KU2" t="s">
        <v>4080</v>
      </c>
      <c r="KV2" t="s">
        <v>4081</v>
      </c>
      <c r="KW2" t="s">
        <v>4082</v>
      </c>
      <c r="KX2" t="s">
        <v>4083</v>
      </c>
      <c r="KY2" t="s">
        <v>4084</v>
      </c>
      <c r="KZ2" t="s">
        <v>4085</v>
      </c>
      <c r="LA2" t="s">
        <v>4086</v>
      </c>
      <c r="LB2" t="s">
        <v>4087</v>
      </c>
      <c r="LC2" t="s">
        <v>4088</v>
      </c>
      <c r="LD2" t="s">
        <v>4089</v>
      </c>
      <c r="LE2" t="s">
        <v>4090</v>
      </c>
      <c r="LF2" t="s">
        <v>4091</v>
      </c>
      <c r="LG2" t="s">
        <v>4092</v>
      </c>
      <c r="LH2" t="s">
        <v>4093</v>
      </c>
      <c r="LI2" s="280" t="s">
        <v>4094</v>
      </c>
      <c r="LJ2" t="s">
        <v>4095</v>
      </c>
      <c r="LK2" t="s">
        <v>4096</v>
      </c>
      <c r="LL2" t="s">
        <v>4097</v>
      </c>
      <c r="LM2" t="s">
        <v>4098</v>
      </c>
      <c r="LN2" t="s">
        <v>4099</v>
      </c>
      <c r="LO2" s="280" t="s">
        <v>4100</v>
      </c>
      <c r="LP2" t="s">
        <v>4101</v>
      </c>
      <c r="LQ2" t="s">
        <v>4102</v>
      </c>
      <c r="LR2" t="s">
        <v>4103</v>
      </c>
      <c r="LS2" t="s">
        <v>4104</v>
      </c>
      <c r="LT2" t="s">
        <v>4105</v>
      </c>
      <c r="LU2" t="s">
        <v>4106</v>
      </c>
      <c r="LV2" t="s">
        <v>4107</v>
      </c>
      <c r="LW2" t="s">
        <v>4108</v>
      </c>
      <c r="LX2" t="s">
        <v>4109</v>
      </c>
      <c r="LY2" t="s">
        <v>4110</v>
      </c>
      <c r="LZ2" t="s">
        <v>4111</v>
      </c>
      <c r="MA2" t="s">
        <v>4112</v>
      </c>
      <c r="MB2" t="s">
        <v>4113</v>
      </c>
      <c r="MC2" t="s">
        <v>4114</v>
      </c>
      <c r="MD2" t="s">
        <v>4115</v>
      </c>
      <c r="ME2" t="s">
        <v>4116</v>
      </c>
      <c r="MF2" t="s">
        <v>4117</v>
      </c>
      <c r="MG2" t="s">
        <v>4118</v>
      </c>
      <c r="MH2" t="s">
        <v>4119</v>
      </c>
      <c r="MI2" t="s">
        <v>4120</v>
      </c>
      <c r="MJ2" t="s">
        <v>4121</v>
      </c>
      <c r="MK2" t="s">
        <v>4122</v>
      </c>
      <c r="ML2" s="947" t="s">
        <v>4123</v>
      </c>
      <c r="MM2" s="947" t="s">
        <v>4124</v>
      </c>
      <c r="MN2" s="947" t="s">
        <v>4125</v>
      </c>
      <c r="MO2" s="947" t="s">
        <v>4126</v>
      </c>
      <c r="MP2" s="947" t="s">
        <v>4127</v>
      </c>
      <c r="MQ2" t="s">
        <v>4128</v>
      </c>
      <c r="MR2" t="s">
        <v>4129</v>
      </c>
      <c r="MS2" t="s">
        <v>4130</v>
      </c>
      <c r="MT2" t="s">
        <v>4131</v>
      </c>
      <c r="MU2" t="s">
        <v>4132</v>
      </c>
      <c r="MV2" t="s">
        <v>4133</v>
      </c>
      <c r="MW2" t="s">
        <v>4134</v>
      </c>
      <c r="MX2" t="s">
        <v>4135</v>
      </c>
      <c r="MY2" t="s">
        <v>4136</v>
      </c>
      <c r="MZ2" t="s">
        <v>4137</v>
      </c>
      <c r="NA2" t="s">
        <v>4138</v>
      </c>
      <c r="NB2" t="s">
        <v>4139</v>
      </c>
      <c r="NC2" t="s">
        <v>4140</v>
      </c>
      <c r="ND2" t="s">
        <v>4141</v>
      </c>
      <c r="NE2" t="s">
        <v>4142</v>
      </c>
      <c r="NF2" t="s">
        <v>4143</v>
      </c>
      <c r="NG2" t="s">
        <v>4144</v>
      </c>
      <c r="NH2" t="s">
        <v>4145</v>
      </c>
      <c r="NI2" t="s">
        <v>4146</v>
      </c>
      <c r="NJ2" t="s">
        <v>4147</v>
      </c>
      <c r="NK2" t="s">
        <v>4148</v>
      </c>
      <c r="NL2" t="s">
        <v>4149</v>
      </c>
      <c r="NM2" t="s">
        <v>4150</v>
      </c>
      <c r="NN2" t="s">
        <v>4151</v>
      </c>
      <c r="NO2" t="s">
        <v>4152</v>
      </c>
      <c r="NP2" t="s">
        <v>4153</v>
      </c>
      <c r="NQ2" t="s">
        <v>4154</v>
      </c>
      <c r="NR2" t="s">
        <v>4155</v>
      </c>
      <c r="NS2" t="s">
        <v>4156</v>
      </c>
      <c r="NT2" t="s">
        <v>4157</v>
      </c>
      <c r="NU2" t="s">
        <v>4158</v>
      </c>
      <c r="NV2" t="s">
        <v>4159</v>
      </c>
      <c r="NW2" t="s">
        <v>4160</v>
      </c>
      <c r="NX2" t="s">
        <v>4161</v>
      </c>
      <c r="NY2" t="s">
        <v>4162</v>
      </c>
      <c r="NZ2" t="s">
        <v>4163</v>
      </c>
      <c r="OA2" t="s">
        <v>4164</v>
      </c>
      <c r="OB2" t="s">
        <v>4165</v>
      </c>
      <c r="OC2" t="s">
        <v>4166</v>
      </c>
      <c r="OD2" t="s">
        <v>4167</v>
      </c>
      <c r="OE2" t="s">
        <v>4168</v>
      </c>
      <c r="OF2" t="s">
        <v>4169</v>
      </c>
      <c r="OG2" t="s">
        <v>4170</v>
      </c>
      <c r="OH2" t="s">
        <v>4171</v>
      </c>
      <c r="OI2" t="s">
        <v>4172</v>
      </c>
      <c r="OJ2" t="s">
        <v>4173</v>
      </c>
      <c r="OK2" t="s">
        <v>4174</v>
      </c>
      <c r="OL2" t="s">
        <v>4175</v>
      </c>
      <c r="OM2" t="s">
        <v>4176</v>
      </c>
      <c r="ON2" t="s">
        <v>4177</v>
      </c>
      <c r="OO2" t="s">
        <v>4178</v>
      </c>
      <c r="OP2" t="s">
        <v>4179</v>
      </c>
      <c r="OQ2" t="s">
        <v>4180</v>
      </c>
      <c r="OR2" t="s">
        <v>4181</v>
      </c>
      <c r="OS2" t="s">
        <v>4182</v>
      </c>
      <c r="OT2" t="s">
        <v>4183</v>
      </c>
      <c r="OU2" t="s">
        <v>4184</v>
      </c>
      <c r="OV2" t="s">
        <v>4185</v>
      </c>
      <c r="OW2" t="s">
        <v>4186</v>
      </c>
      <c r="OX2" t="s">
        <v>4187</v>
      </c>
      <c r="OY2" t="s">
        <v>4188</v>
      </c>
      <c r="OZ2" t="s">
        <v>4189</v>
      </c>
      <c r="PA2" t="s">
        <v>4190</v>
      </c>
      <c r="PB2" t="s">
        <v>4191</v>
      </c>
      <c r="PC2" t="s">
        <v>4192</v>
      </c>
      <c r="PD2" t="s">
        <v>4193</v>
      </c>
      <c r="PE2" t="s">
        <v>4194</v>
      </c>
      <c r="PF2" t="s">
        <v>4195</v>
      </c>
      <c r="PG2" t="s">
        <v>4196</v>
      </c>
      <c r="PH2" t="s">
        <v>4197</v>
      </c>
      <c r="PI2" t="s">
        <v>4198</v>
      </c>
      <c r="PJ2" t="s">
        <v>4199</v>
      </c>
      <c r="PP2" s="947"/>
      <c r="PQ2" s="947"/>
      <c r="PR2" s="947"/>
    </row>
    <row r="3" spans="1:434" ht="13" x14ac:dyDescent="0.25">
      <c r="A3" s="316"/>
      <c r="B3" s="316"/>
      <c r="C3" s="316"/>
      <c r="D3" s="316"/>
      <c r="E3" s="1039" t="s">
        <v>4200</v>
      </c>
      <c r="F3" s="316" t="s">
        <v>2001</v>
      </c>
      <c r="G3" s="316" t="s">
        <v>2001</v>
      </c>
      <c r="H3" s="316" t="s">
        <v>2001</v>
      </c>
      <c r="I3" s="316" t="s">
        <v>2001</v>
      </c>
      <c r="J3" s="316" t="s">
        <v>2001</v>
      </c>
      <c r="K3" s="316" t="s">
        <v>2001</v>
      </c>
      <c r="L3" s="316" t="s">
        <v>2001</v>
      </c>
      <c r="M3" s="1115" t="s">
        <v>2001</v>
      </c>
      <c r="N3" s="316" t="s">
        <v>2010</v>
      </c>
      <c r="O3" s="316" t="s">
        <v>2010</v>
      </c>
      <c r="P3" s="316" t="s">
        <v>2010</v>
      </c>
      <c r="Q3" s="316" t="s">
        <v>2010</v>
      </c>
      <c r="R3" s="316" t="s">
        <v>2010</v>
      </c>
      <c r="S3" s="316" t="s">
        <v>2010</v>
      </c>
      <c r="T3" s="316" t="s">
        <v>2010</v>
      </c>
      <c r="U3" s="316" t="s">
        <v>2010</v>
      </c>
      <c r="V3" s="316" t="s">
        <v>2010</v>
      </c>
      <c r="W3" s="316" t="s">
        <v>2010</v>
      </c>
      <c r="X3" s="316" t="s">
        <v>2010</v>
      </c>
      <c r="Y3" s="316" t="s">
        <v>2010</v>
      </c>
      <c r="Z3" s="316" t="s">
        <v>2010</v>
      </c>
      <c r="AA3" s="316" t="s">
        <v>2010</v>
      </c>
      <c r="AB3" s="316" t="s">
        <v>2010</v>
      </c>
      <c r="AC3" s="316" t="s">
        <v>2010</v>
      </c>
      <c r="AD3" s="316" t="s">
        <v>2010</v>
      </c>
      <c r="AE3" s="316" t="s">
        <v>2010</v>
      </c>
      <c r="AF3" s="316" t="s">
        <v>2010</v>
      </c>
      <c r="AG3" s="316" t="s">
        <v>2010</v>
      </c>
      <c r="AH3" s="316" t="s">
        <v>2010</v>
      </c>
      <c r="AI3" s="316" t="s">
        <v>2010</v>
      </c>
      <c r="AJ3" s="316" t="s">
        <v>2010</v>
      </c>
      <c r="AK3" s="1115" t="s">
        <v>2010</v>
      </c>
      <c r="AL3" s="316" t="s">
        <v>2010</v>
      </c>
      <c r="AM3" s="316" t="s">
        <v>2010</v>
      </c>
      <c r="AN3" s="316" t="s">
        <v>2010</v>
      </c>
      <c r="AO3" s="316" t="s">
        <v>2010</v>
      </c>
      <c r="AP3" s="316" t="s">
        <v>2010</v>
      </c>
      <c r="AQ3" s="316" t="s">
        <v>2010</v>
      </c>
      <c r="AR3" s="316" t="s">
        <v>2010</v>
      </c>
      <c r="AS3" s="316" t="s">
        <v>2010</v>
      </c>
      <c r="AT3" s="316" t="s">
        <v>2010</v>
      </c>
      <c r="AU3" s="316" t="s">
        <v>2010</v>
      </c>
      <c r="AV3" s="316" t="s">
        <v>2010</v>
      </c>
      <c r="AW3" s="316" t="s">
        <v>2010</v>
      </c>
      <c r="AX3" s="316" t="s">
        <v>2047</v>
      </c>
      <c r="AY3" s="316" t="s">
        <v>2047</v>
      </c>
      <c r="AZ3" s="316" t="s">
        <v>2047</v>
      </c>
      <c r="BA3" s="316" t="s">
        <v>2047</v>
      </c>
      <c r="BB3" s="316" t="s">
        <v>2047</v>
      </c>
      <c r="BC3" s="316" t="s">
        <v>2047</v>
      </c>
      <c r="BD3" s="316" t="s">
        <v>2047</v>
      </c>
      <c r="BE3" s="316" t="s">
        <v>2047</v>
      </c>
      <c r="BF3" s="316" t="s">
        <v>2047</v>
      </c>
      <c r="BG3" s="1115" t="s">
        <v>2047</v>
      </c>
      <c r="BH3" s="316" t="s">
        <v>2047</v>
      </c>
      <c r="BI3" s="316" t="s">
        <v>2047</v>
      </c>
      <c r="BJ3" s="316" t="s">
        <v>2047</v>
      </c>
      <c r="BK3" s="316" t="s">
        <v>2047</v>
      </c>
      <c r="BL3" s="316" t="s">
        <v>2047</v>
      </c>
      <c r="BM3" s="316" t="s">
        <v>2047</v>
      </c>
      <c r="BN3" s="316" t="s">
        <v>2047</v>
      </c>
      <c r="BO3" s="316" t="s">
        <v>2047</v>
      </c>
      <c r="BP3" s="316" t="s">
        <v>2047</v>
      </c>
      <c r="BQ3" s="316" t="s">
        <v>2047</v>
      </c>
      <c r="BR3" s="316" t="s">
        <v>2047</v>
      </c>
      <c r="BS3" s="316" t="s">
        <v>2047</v>
      </c>
      <c r="BT3" s="316" t="s">
        <v>2047</v>
      </c>
      <c r="BU3" s="316" t="s">
        <v>2047</v>
      </c>
      <c r="BV3" s="316" t="s">
        <v>2047</v>
      </c>
      <c r="BW3" s="316" t="s">
        <v>2047</v>
      </c>
      <c r="BX3" s="316" t="s">
        <v>2047</v>
      </c>
      <c r="BY3" s="316" t="s">
        <v>2047</v>
      </c>
      <c r="BZ3" s="316" t="s">
        <v>2047</v>
      </c>
      <c r="CA3" s="1115" t="s">
        <v>2047</v>
      </c>
      <c r="CB3" s="316" t="s">
        <v>2047</v>
      </c>
      <c r="CC3" s="316" t="s">
        <v>2047</v>
      </c>
      <c r="CD3" s="316" t="s">
        <v>2047</v>
      </c>
      <c r="CE3" s="316" t="s">
        <v>2047</v>
      </c>
      <c r="CF3" s="316" t="s">
        <v>2047</v>
      </c>
      <c r="CG3" s="316" t="s">
        <v>2047</v>
      </c>
      <c r="CH3" s="316" t="s">
        <v>2047</v>
      </c>
      <c r="CI3" s="316" t="s">
        <v>2047</v>
      </c>
      <c r="CJ3" s="316" t="s">
        <v>2047</v>
      </c>
      <c r="CK3" s="316" t="s">
        <v>2047</v>
      </c>
      <c r="CL3" s="316" t="s">
        <v>2047</v>
      </c>
      <c r="CM3" s="316" t="s">
        <v>2047</v>
      </c>
      <c r="CN3" s="316" t="s">
        <v>2047</v>
      </c>
      <c r="CO3" s="316" t="s">
        <v>2047</v>
      </c>
      <c r="CP3" s="316" t="s">
        <v>2047</v>
      </c>
      <c r="CQ3" s="316" t="s">
        <v>2047</v>
      </c>
      <c r="CR3" s="316" t="s">
        <v>2047</v>
      </c>
      <c r="CS3" s="316" t="s">
        <v>2047</v>
      </c>
      <c r="CT3" s="316" t="s">
        <v>2047</v>
      </c>
      <c r="CU3" s="316" t="s">
        <v>2047</v>
      </c>
      <c r="CV3" s="316" t="s">
        <v>2047</v>
      </c>
      <c r="CW3" s="316" t="s">
        <v>2047</v>
      </c>
      <c r="CX3" s="316" t="s">
        <v>2047</v>
      </c>
      <c r="CY3" s="316" t="s">
        <v>2047</v>
      </c>
      <c r="CZ3" s="316" t="s">
        <v>2047</v>
      </c>
      <c r="DA3" s="1115" t="s">
        <v>2047</v>
      </c>
      <c r="DB3" s="316" t="s">
        <v>2047</v>
      </c>
      <c r="DC3" s="316" t="s">
        <v>2047</v>
      </c>
      <c r="DD3" s="316" t="s">
        <v>2047</v>
      </c>
      <c r="DE3" s="316" t="s">
        <v>2047</v>
      </c>
      <c r="DF3" s="316" t="s">
        <v>2047</v>
      </c>
      <c r="DG3" s="316" t="s">
        <v>2047</v>
      </c>
      <c r="DH3" s="316" t="s">
        <v>2115</v>
      </c>
      <c r="DI3" s="316" t="s">
        <v>2115</v>
      </c>
      <c r="DJ3" s="316" t="s">
        <v>2115</v>
      </c>
      <c r="DK3" s="316" t="s">
        <v>2115</v>
      </c>
      <c r="DL3" s="316" t="s">
        <v>2115</v>
      </c>
      <c r="DM3" s="316" t="s">
        <v>2115</v>
      </c>
      <c r="DN3" s="316" t="s">
        <v>2115</v>
      </c>
      <c r="DO3" s="316" t="s">
        <v>2115</v>
      </c>
      <c r="DP3" s="316" t="s">
        <v>2115</v>
      </c>
      <c r="DQ3" s="316" t="s">
        <v>2115</v>
      </c>
      <c r="DR3" s="316" t="s">
        <v>2115</v>
      </c>
      <c r="DS3" s="316" t="s">
        <v>2115</v>
      </c>
      <c r="DT3" s="316" t="s">
        <v>2115</v>
      </c>
      <c r="DU3" s="316" t="s">
        <v>2115</v>
      </c>
      <c r="DV3" s="316" t="s">
        <v>2115</v>
      </c>
      <c r="DW3" s="316" t="s">
        <v>2115</v>
      </c>
      <c r="DX3" s="316" t="s">
        <v>2115</v>
      </c>
      <c r="DY3" s="316" t="s">
        <v>2115</v>
      </c>
      <c r="DZ3" s="316" t="s">
        <v>2115</v>
      </c>
      <c r="EA3" s="316" t="s">
        <v>2115</v>
      </c>
      <c r="EB3" s="316" t="s">
        <v>2115</v>
      </c>
      <c r="EC3" s="316" t="s">
        <v>2115</v>
      </c>
      <c r="ED3" s="1115" t="s">
        <v>2115</v>
      </c>
      <c r="EE3" s="316" t="s">
        <v>2115</v>
      </c>
      <c r="EF3" s="316" t="s">
        <v>2115</v>
      </c>
      <c r="EG3" s="316" t="s">
        <v>2115</v>
      </c>
      <c r="EH3" s="316" t="s">
        <v>2115</v>
      </c>
      <c r="EI3" s="316" t="s">
        <v>2115</v>
      </c>
      <c r="EJ3" s="316" t="s">
        <v>2115</v>
      </c>
      <c r="EK3" s="316" t="s">
        <v>2115</v>
      </c>
      <c r="EL3" s="316" t="s">
        <v>2115</v>
      </c>
      <c r="EM3" s="316" t="s">
        <v>2115</v>
      </c>
      <c r="EN3" s="316" t="s">
        <v>2115</v>
      </c>
      <c r="EO3" s="316" t="s">
        <v>2115</v>
      </c>
      <c r="EP3" s="316" t="s">
        <v>2115</v>
      </c>
      <c r="EQ3" s="316" t="s">
        <v>2115</v>
      </c>
      <c r="ER3" s="316" t="s">
        <v>2115</v>
      </c>
      <c r="ES3" s="316" t="s">
        <v>2115</v>
      </c>
      <c r="ET3" s="316" t="s">
        <v>2115</v>
      </c>
      <c r="EU3" s="316" t="s">
        <v>2115</v>
      </c>
      <c r="EV3" s="316" t="s">
        <v>2115</v>
      </c>
      <c r="EW3" s="316" t="s">
        <v>2115</v>
      </c>
      <c r="EX3" s="316" t="s">
        <v>2115</v>
      </c>
      <c r="EY3" s="316" t="s">
        <v>2115</v>
      </c>
      <c r="EZ3" s="316" t="s">
        <v>2115</v>
      </c>
      <c r="FA3" s="316" t="s">
        <v>2115</v>
      </c>
      <c r="FB3" s="316" t="s">
        <v>2163</v>
      </c>
      <c r="FC3" s="316" t="s">
        <v>2163</v>
      </c>
      <c r="FD3" s="316" t="s">
        <v>2163</v>
      </c>
      <c r="FE3" s="316" t="s">
        <v>2163</v>
      </c>
      <c r="FF3" s="316" t="s">
        <v>2163</v>
      </c>
      <c r="FG3" s="316" t="s">
        <v>2163</v>
      </c>
      <c r="FH3" s="316" t="s">
        <v>2163</v>
      </c>
      <c r="FI3" s="316" t="s">
        <v>2163</v>
      </c>
      <c r="FJ3" s="316" t="s">
        <v>2163</v>
      </c>
      <c r="FK3" s="316" t="s">
        <v>2163</v>
      </c>
      <c r="FL3" s="316" t="s">
        <v>2163</v>
      </c>
      <c r="FM3" s="316" t="s">
        <v>2163</v>
      </c>
      <c r="FN3" s="316" t="s">
        <v>2163</v>
      </c>
      <c r="FO3" s="316" t="s">
        <v>2163</v>
      </c>
      <c r="FP3" s="1115" t="s">
        <v>2163</v>
      </c>
      <c r="FQ3" s="316" t="s">
        <v>2163</v>
      </c>
      <c r="FR3" s="316" t="s">
        <v>2163</v>
      </c>
      <c r="FS3" s="316" t="s">
        <v>2163</v>
      </c>
      <c r="FT3" s="316" t="s">
        <v>2163</v>
      </c>
      <c r="FU3" s="316" t="s">
        <v>2163</v>
      </c>
      <c r="FV3" s="316" t="s">
        <v>2163</v>
      </c>
      <c r="FW3" s="316" t="s">
        <v>2163</v>
      </c>
      <c r="FX3" s="316" t="s">
        <v>2163</v>
      </c>
      <c r="FY3" s="316" t="s">
        <v>2163</v>
      </c>
      <c r="FZ3" s="316" t="s">
        <v>2163</v>
      </c>
      <c r="GA3" s="316" t="s">
        <v>2163</v>
      </c>
      <c r="GB3" s="316" t="s">
        <v>2163</v>
      </c>
      <c r="GC3" s="316" t="s">
        <v>2163</v>
      </c>
      <c r="GD3" s="316" t="s">
        <v>2163</v>
      </c>
      <c r="GE3" s="316" t="s">
        <v>2163</v>
      </c>
      <c r="GF3" s="316" t="s">
        <v>2163</v>
      </c>
      <c r="GG3" s="316" t="s">
        <v>2163</v>
      </c>
      <c r="GH3" s="316" t="s">
        <v>2163</v>
      </c>
      <c r="GI3" s="316" t="s">
        <v>2163</v>
      </c>
      <c r="GJ3" s="316" t="s">
        <v>2163</v>
      </c>
      <c r="GK3" s="316" t="s">
        <v>2163</v>
      </c>
      <c r="GL3" s="316" t="s">
        <v>2163</v>
      </c>
      <c r="GM3" s="316" t="s">
        <v>2163</v>
      </c>
      <c r="GN3" s="316" t="s">
        <v>2163</v>
      </c>
      <c r="GO3" s="316" t="s">
        <v>2163</v>
      </c>
      <c r="GP3" s="316" t="s">
        <v>2163</v>
      </c>
      <c r="GQ3" s="316" t="s">
        <v>2163</v>
      </c>
      <c r="GR3" s="316" t="s">
        <v>2163</v>
      </c>
      <c r="GS3" s="316" t="s">
        <v>2163</v>
      </c>
      <c r="GT3" s="1115" t="s">
        <v>2163</v>
      </c>
      <c r="GU3" s="316" t="s">
        <v>2163</v>
      </c>
      <c r="GV3" s="316" t="s">
        <v>2163</v>
      </c>
      <c r="GW3" s="316" t="s">
        <v>2163</v>
      </c>
      <c r="GX3" s="316" t="s">
        <v>2163</v>
      </c>
      <c r="GY3" s="316" t="s">
        <v>2163</v>
      </c>
      <c r="GZ3" s="316" t="s">
        <v>2163</v>
      </c>
      <c r="HA3" s="316" t="s">
        <v>2163</v>
      </c>
      <c r="HB3" s="316" t="s">
        <v>2163</v>
      </c>
      <c r="HC3" s="316" t="s">
        <v>2163</v>
      </c>
      <c r="HD3" s="316" t="s">
        <v>2163</v>
      </c>
      <c r="HE3" s="1115" t="s">
        <v>2163</v>
      </c>
      <c r="HF3" s="316" t="s">
        <v>2163</v>
      </c>
      <c r="HG3" s="1115" t="s">
        <v>2163</v>
      </c>
      <c r="HH3" s="316" t="s">
        <v>2222</v>
      </c>
      <c r="HI3" s="1115" t="s">
        <v>2222</v>
      </c>
      <c r="HJ3" s="316" t="s">
        <v>2222</v>
      </c>
      <c r="HK3" s="316" t="s">
        <v>2222</v>
      </c>
      <c r="HL3" s="316" t="s">
        <v>2222</v>
      </c>
      <c r="HM3" s="316" t="s">
        <v>2222</v>
      </c>
      <c r="HN3" s="1115" t="s">
        <v>2222</v>
      </c>
      <c r="HO3" s="316" t="s">
        <v>2222</v>
      </c>
      <c r="HP3" s="316" t="s">
        <v>2222</v>
      </c>
      <c r="HQ3" s="316" t="s">
        <v>2222</v>
      </c>
      <c r="HR3" s="316" t="s">
        <v>2222</v>
      </c>
      <c r="HS3" s="316" t="s">
        <v>2222</v>
      </c>
      <c r="HT3" s="316" t="s">
        <v>2222</v>
      </c>
      <c r="HU3" s="316" t="s">
        <v>2222</v>
      </c>
      <c r="HV3" s="316" t="s">
        <v>2222</v>
      </c>
      <c r="HW3" s="316" t="s">
        <v>2222</v>
      </c>
      <c r="HX3" s="316" t="s">
        <v>2222</v>
      </c>
      <c r="HY3" s="316" t="s">
        <v>2222</v>
      </c>
      <c r="HZ3" s="316" t="s">
        <v>2222</v>
      </c>
      <c r="IA3" s="316" t="s">
        <v>2222</v>
      </c>
      <c r="IB3" s="316" t="s">
        <v>2222</v>
      </c>
      <c r="IC3" s="316" t="s">
        <v>2222</v>
      </c>
      <c r="ID3" s="316" t="s">
        <v>2222</v>
      </c>
      <c r="IE3" s="316" t="s">
        <v>2222</v>
      </c>
      <c r="IF3" s="316" t="s">
        <v>2222</v>
      </c>
      <c r="IG3" s="316" t="s">
        <v>2222</v>
      </c>
      <c r="IH3" s="316" t="s">
        <v>2222</v>
      </c>
      <c r="II3" s="316" t="s">
        <v>2222</v>
      </c>
      <c r="IJ3" s="316" t="s">
        <v>2222</v>
      </c>
      <c r="IK3" s="316" t="s">
        <v>2222</v>
      </c>
      <c r="IL3" s="316" t="s">
        <v>2222</v>
      </c>
      <c r="IM3" s="316" t="s">
        <v>2222</v>
      </c>
      <c r="IN3" s="316" t="s">
        <v>2222</v>
      </c>
      <c r="IO3" s="316" t="s">
        <v>2222</v>
      </c>
      <c r="IP3" s="284" t="s">
        <v>2222</v>
      </c>
      <c r="IQ3" s="1022" t="s">
        <v>2222</v>
      </c>
      <c r="IR3" s="284" t="s">
        <v>52</v>
      </c>
      <c r="IS3" s="284" t="s">
        <v>52</v>
      </c>
      <c r="IT3" s="284" t="s">
        <v>52</v>
      </c>
      <c r="IU3" s="284" t="s">
        <v>52</v>
      </c>
      <c r="IV3" s="284" t="s">
        <v>52</v>
      </c>
      <c r="IW3" s="284" t="s">
        <v>52</v>
      </c>
      <c r="IX3" s="284" t="s">
        <v>52</v>
      </c>
      <c r="IY3" s="284" t="s">
        <v>52</v>
      </c>
      <c r="IZ3" s="284" t="s">
        <v>52</v>
      </c>
      <c r="JA3" s="284" t="s">
        <v>52</v>
      </c>
      <c r="JB3" s="284" t="s">
        <v>52</v>
      </c>
      <c r="JC3" s="284" t="s">
        <v>52</v>
      </c>
      <c r="JD3" s="284" t="s">
        <v>52</v>
      </c>
      <c r="JE3" s="284" t="s">
        <v>52</v>
      </c>
      <c r="JF3" s="284" t="s">
        <v>52</v>
      </c>
      <c r="JG3" s="284" t="s">
        <v>52</v>
      </c>
      <c r="JH3" s="284" t="s">
        <v>52</v>
      </c>
      <c r="JI3" s="284" t="s">
        <v>52</v>
      </c>
      <c r="JJ3" s="284" t="s">
        <v>52</v>
      </c>
      <c r="JK3" s="284" t="s">
        <v>52</v>
      </c>
      <c r="JL3" s="284" t="s">
        <v>52</v>
      </c>
      <c r="JM3" s="284" t="s">
        <v>52</v>
      </c>
      <c r="JN3" s="284" t="s">
        <v>52</v>
      </c>
      <c r="JO3" s="284" t="s">
        <v>52</v>
      </c>
      <c r="JP3" s="284" t="s">
        <v>52</v>
      </c>
      <c r="JQ3" s="284" t="s">
        <v>52</v>
      </c>
      <c r="JR3" s="284" t="s">
        <v>52</v>
      </c>
      <c r="JS3" s="284" t="s">
        <v>52</v>
      </c>
      <c r="JT3" s="284" t="s">
        <v>52</v>
      </c>
      <c r="JU3" s="284" t="s">
        <v>52</v>
      </c>
      <c r="JV3" s="284" t="s">
        <v>52</v>
      </c>
      <c r="JW3" s="284" t="s">
        <v>52</v>
      </c>
      <c r="JX3" s="284" t="s">
        <v>52</v>
      </c>
      <c r="JY3" s="284" t="s">
        <v>52</v>
      </c>
      <c r="JZ3" s="284" t="s">
        <v>52</v>
      </c>
      <c r="KA3" s="284" t="s">
        <v>52</v>
      </c>
      <c r="KB3" s="284" t="s">
        <v>52</v>
      </c>
      <c r="KC3" s="284" t="s">
        <v>52</v>
      </c>
      <c r="KD3" s="284" t="s">
        <v>52</v>
      </c>
      <c r="KE3" s="284" t="s">
        <v>52</v>
      </c>
      <c r="KF3" s="284" t="s">
        <v>52</v>
      </c>
      <c r="KG3" s="284" t="s">
        <v>52</v>
      </c>
      <c r="KH3" s="284" t="s">
        <v>52</v>
      </c>
      <c r="KI3" s="284" t="s">
        <v>52</v>
      </c>
      <c r="KJ3" s="284" t="s">
        <v>52</v>
      </c>
      <c r="KK3" s="284" t="s">
        <v>52</v>
      </c>
      <c r="KL3" s="284" t="s">
        <v>52</v>
      </c>
      <c r="KM3" s="284" t="s">
        <v>52</v>
      </c>
      <c r="KN3" s="284" t="s">
        <v>52</v>
      </c>
      <c r="KO3" s="284" t="s">
        <v>52</v>
      </c>
      <c r="KP3" s="284" t="s">
        <v>52</v>
      </c>
      <c r="KQ3" s="284" t="s">
        <v>52</v>
      </c>
      <c r="KR3" s="284" t="s">
        <v>52</v>
      </c>
      <c r="KS3" s="284" t="s">
        <v>52</v>
      </c>
      <c r="KT3" s="284" t="s">
        <v>52</v>
      </c>
      <c r="KU3" s="284" t="s">
        <v>52</v>
      </c>
      <c r="KV3" s="284" t="s">
        <v>52</v>
      </c>
      <c r="KW3" s="284" t="s">
        <v>52</v>
      </c>
      <c r="KX3" s="284" t="s">
        <v>52</v>
      </c>
      <c r="KY3" s="284" t="s">
        <v>52</v>
      </c>
      <c r="KZ3" s="284" t="s">
        <v>52</v>
      </c>
      <c r="LA3" s="284" t="s">
        <v>52</v>
      </c>
      <c r="LB3" s="284" t="s">
        <v>52</v>
      </c>
      <c r="LC3" s="284" t="s">
        <v>52</v>
      </c>
      <c r="LD3" s="284" t="s">
        <v>52</v>
      </c>
      <c r="LE3" s="284" t="s">
        <v>52</v>
      </c>
      <c r="LF3" s="284" t="s">
        <v>52</v>
      </c>
      <c r="LG3" s="284" t="s">
        <v>52</v>
      </c>
      <c r="LH3" s="284" t="s">
        <v>52</v>
      </c>
      <c r="LI3" s="1022" t="s">
        <v>52</v>
      </c>
      <c r="LJ3" s="284" t="s">
        <v>52</v>
      </c>
      <c r="LK3" s="284" t="s">
        <v>52</v>
      </c>
      <c r="LL3" s="284" t="s">
        <v>52</v>
      </c>
      <c r="LM3" s="284" t="s">
        <v>52</v>
      </c>
      <c r="LN3" s="284" t="s">
        <v>52</v>
      </c>
      <c r="LO3" s="1022" t="s">
        <v>52</v>
      </c>
      <c r="LP3" s="284" t="s">
        <v>52</v>
      </c>
      <c r="LQ3" s="284" t="s">
        <v>52</v>
      </c>
      <c r="LR3" s="284" t="s">
        <v>52</v>
      </c>
      <c r="LS3" s="284" t="s">
        <v>52</v>
      </c>
      <c r="LT3" s="284" t="s">
        <v>52</v>
      </c>
      <c r="LU3" s="284" t="s">
        <v>52</v>
      </c>
      <c r="LV3" s="284" t="s">
        <v>52</v>
      </c>
      <c r="LW3" s="284" t="s">
        <v>52</v>
      </c>
      <c r="LX3" s="284" t="s">
        <v>52</v>
      </c>
      <c r="LY3" s="284" t="s">
        <v>52</v>
      </c>
      <c r="LZ3" s="284" t="s">
        <v>52</v>
      </c>
      <c r="MA3" s="284" t="s">
        <v>52</v>
      </c>
      <c r="MB3" s="284" t="s">
        <v>52</v>
      </c>
      <c r="MC3" s="284" t="s">
        <v>52</v>
      </c>
      <c r="MD3" s="284" t="s">
        <v>52</v>
      </c>
      <c r="ME3" s="284" t="s">
        <v>52</v>
      </c>
      <c r="MF3" s="284" t="s">
        <v>52</v>
      </c>
      <c r="MG3" s="284" t="s">
        <v>52</v>
      </c>
      <c r="MH3" s="284" t="s">
        <v>52</v>
      </c>
      <c r="MI3" s="284" t="s">
        <v>52</v>
      </c>
      <c r="MJ3" s="284" t="s">
        <v>52</v>
      </c>
      <c r="MK3" s="284" t="s">
        <v>52</v>
      </c>
      <c r="ML3" s="1119" t="s">
        <v>52</v>
      </c>
      <c r="MM3" s="1119" t="s">
        <v>52</v>
      </c>
      <c r="MN3" s="1119" t="s">
        <v>52</v>
      </c>
      <c r="MO3" s="1119" t="s">
        <v>52</v>
      </c>
      <c r="MP3" s="1119" t="s">
        <v>52</v>
      </c>
      <c r="MQ3" s="284" t="s">
        <v>448</v>
      </c>
      <c r="MR3" s="284" t="s">
        <v>448</v>
      </c>
      <c r="MS3" s="284" t="s">
        <v>448</v>
      </c>
      <c r="MT3" s="284" t="s">
        <v>448</v>
      </c>
      <c r="MU3" s="284" t="s">
        <v>448</v>
      </c>
      <c r="MV3" s="284" t="s">
        <v>448</v>
      </c>
      <c r="MW3" s="284" t="s">
        <v>448</v>
      </c>
      <c r="MX3" s="284" t="s">
        <v>448</v>
      </c>
      <c r="MY3" s="284" t="s">
        <v>448</v>
      </c>
      <c r="MZ3" s="284" t="s">
        <v>448</v>
      </c>
      <c r="NA3" s="284" t="s">
        <v>448</v>
      </c>
      <c r="NB3" s="284" t="s">
        <v>448</v>
      </c>
      <c r="NC3" s="284" t="s">
        <v>448</v>
      </c>
      <c r="ND3" s="284" t="s">
        <v>448</v>
      </c>
      <c r="NE3" t="s">
        <v>1381</v>
      </c>
      <c r="NF3" t="s">
        <v>1381</v>
      </c>
      <c r="NG3" t="s">
        <v>1381</v>
      </c>
      <c r="NH3" t="s">
        <v>1381</v>
      </c>
      <c r="NI3" t="s">
        <v>1381</v>
      </c>
      <c r="NJ3" t="s">
        <v>1381</v>
      </c>
      <c r="NK3" t="s">
        <v>1381</v>
      </c>
      <c r="NL3" t="s">
        <v>1381</v>
      </c>
      <c r="NM3" t="s">
        <v>1381</v>
      </c>
      <c r="NN3" t="s">
        <v>1381</v>
      </c>
      <c r="NO3" t="s">
        <v>1381</v>
      </c>
      <c r="NP3" t="s">
        <v>1381</v>
      </c>
      <c r="NQ3" t="s">
        <v>1381</v>
      </c>
      <c r="NR3" t="s">
        <v>1381</v>
      </c>
      <c r="NS3" t="s">
        <v>1381</v>
      </c>
      <c r="NT3" t="s">
        <v>1381</v>
      </c>
      <c r="NU3" t="s">
        <v>1381</v>
      </c>
      <c r="NV3" t="s">
        <v>1381</v>
      </c>
      <c r="NW3" t="s">
        <v>1381</v>
      </c>
      <c r="NX3" t="s">
        <v>1381</v>
      </c>
      <c r="NY3" t="s">
        <v>1381</v>
      </c>
      <c r="NZ3" t="s">
        <v>1381</v>
      </c>
      <c r="OA3" t="s">
        <v>1381</v>
      </c>
      <c r="OB3" t="s">
        <v>1381</v>
      </c>
      <c r="OC3" t="s">
        <v>1381</v>
      </c>
      <c r="OD3" t="s">
        <v>1381</v>
      </c>
      <c r="OE3" t="s">
        <v>1381</v>
      </c>
      <c r="OF3" t="s">
        <v>1381</v>
      </c>
      <c r="OG3" t="s">
        <v>1381</v>
      </c>
      <c r="OH3" t="s">
        <v>1381</v>
      </c>
      <c r="OI3" t="s">
        <v>1381</v>
      </c>
      <c r="OJ3" t="s">
        <v>1381</v>
      </c>
      <c r="OK3" t="s">
        <v>1381</v>
      </c>
      <c r="OL3" t="s">
        <v>1381</v>
      </c>
      <c r="OM3" t="s">
        <v>1381</v>
      </c>
      <c r="ON3" t="s">
        <v>1381</v>
      </c>
      <c r="OO3" t="s">
        <v>1381</v>
      </c>
      <c r="OP3" t="s">
        <v>1381</v>
      </c>
      <c r="OQ3" t="s">
        <v>1381</v>
      </c>
      <c r="OR3" t="s">
        <v>1381</v>
      </c>
      <c r="OS3" t="s">
        <v>1381</v>
      </c>
      <c r="OT3" t="s">
        <v>1381</v>
      </c>
      <c r="OU3" t="s">
        <v>1381</v>
      </c>
      <c r="OV3" t="s">
        <v>1381</v>
      </c>
      <c r="OW3" t="s">
        <v>1381</v>
      </c>
      <c r="OX3" t="s">
        <v>1381</v>
      </c>
      <c r="OY3" t="s">
        <v>1381</v>
      </c>
      <c r="OZ3" t="s">
        <v>1381</v>
      </c>
      <c r="PA3" t="s">
        <v>1381</v>
      </c>
      <c r="PB3" t="s">
        <v>1381</v>
      </c>
      <c r="PC3" t="s">
        <v>1381</v>
      </c>
      <c r="PD3" t="s">
        <v>1381</v>
      </c>
      <c r="PE3" t="s">
        <v>1381</v>
      </c>
      <c r="PF3" t="s">
        <v>1381</v>
      </c>
      <c r="PG3" t="s">
        <v>1381</v>
      </c>
      <c r="PH3" t="s">
        <v>1381</v>
      </c>
      <c r="PI3" t="s">
        <v>1381</v>
      </c>
      <c r="PJ3" t="s">
        <v>1381</v>
      </c>
      <c r="PP3" s="1027"/>
      <c r="PQ3" s="1027"/>
      <c r="PR3" s="1027"/>
    </row>
    <row r="4" spans="1:434" ht="13" x14ac:dyDescent="0.25">
      <c r="A4" s="316"/>
      <c r="B4" s="316"/>
      <c r="C4" s="316"/>
      <c r="D4" s="316"/>
      <c r="E4" s="1039" t="s">
        <v>4201</v>
      </c>
      <c r="F4" s="316">
        <v>10</v>
      </c>
      <c r="G4" s="316">
        <v>20</v>
      </c>
      <c r="H4" s="316">
        <v>30</v>
      </c>
      <c r="I4" s="316">
        <v>40</v>
      </c>
      <c r="J4" s="316">
        <v>45</v>
      </c>
      <c r="K4" s="316">
        <v>65</v>
      </c>
      <c r="L4" s="316">
        <v>90</v>
      </c>
      <c r="M4" s="316">
        <v>1901</v>
      </c>
      <c r="N4" s="316">
        <v>11</v>
      </c>
      <c r="O4" s="316">
        <v>12</v>
      </c>
      <c r="P4" s="316">
        <v>31</v>
      </c>
      <c r="Q4" s="316">
        <v>32</v>
      </c>
      <c r="R4" s="316">
        <v>33</v>
      </c>
      <c r="S4" s="316">
        <v>41</v>
      </c>
      <c r="T4" s="316">
        <v>44</v>
      </c>
      <c r="U4" s="316">
        <v>48</v>
      </c>
      <c r="V4" s="316">
        <v>49</v>
      </c>
      <c r="W4" s="316">
        <v>51</v>
      </c>
      <c r="X4" s="316">
        <v>52</v>
      </c>
      <c r="Y4" s="316">
        <v>54</v>
      </c>
      <c r="Z4" s="316">
        <v>58</v>
      </c>
      <c r="AA4" s="316">
        <v>61</v>
      </c>
      <c r="AB4" s="316">
        <v>62</v>
      </c>
      <c r="AC4" s="316">
        <v>71</v>
      </c>
      <c r="AD4" s="316">
        <v>72</v>
      </c>
      <c r="AE4" s="316">
        <v>73</v>
      </c>
      <c r="AF4" s="316">
        <v>74</v>
      </c>
      <c r="AG4" s="316">
        <v>75</v>
      </c>
      <c r="AH4" s="316">
        <v>76</v>
      </c>
      <c r="AI4" s="316">
        <v>80</v>
      </c>
      <c r="AJ4" s="316">
        <v>90</v>
      </c>
      <c r="AK4" s="316">
        <v>1901</v>
      </c>
      <c r="AL4" s="316">
        <v>101</v>
      </c>
      <c r="AM4" s="316">
        <v>102</v>
      </c>
      <c r="AN4" s="316">
        <v>103</v>
      </c>
      <c r="AO4" s="316">
        <v>104</v>
      </c>
      <c r="AP4" s="316">
        <v>130</v>
      </c>
      <c r="AQ4" s="316">
        <v>141</v>
      </c>
      <c r="AR4" s="316">
        <v>144</v>
      </c>
      <c r="AS4" s="316">
        <v>161</v>
      </c>
      <c r="AT4" s="316">
        <v>162</v>
      </c>
      <c r="AU4" s="316">
        <v>172</v>
      </c>
      <c r="AV4" s="316">
        <v>173</v>
      </c>
      <c r="AW4" s="316">
        <v>174</v>
      </c>
      <c r="AX4" s="316">
        <v>10</v>
      </c>
      <c r="AY4" s="316">
        <v>13</v>
      </c>
      <c r="AZ4" s="316">
        <v>15</v>
      </c>
      <c r="BA4" s="316">
        <v>22</v>
      </c>
      <c r="BB4" s="316">
        <v>23</v>
      </c>
      <c r="BC4" s="316">
        <v>25</v>
      </c>
      <c r="BD4" s="316">
        <v>26</v>
      </c>
      <c r="BE4" s="316">
        <v>27</v>
      </c>
      <c r="BF4" s="316">
        <v>30</v>
      </c>
      <c r="BG4" s="316">
        <v>301</v>
      </c>
      <c r="BH4" s="316">
        <v>32</v>
      </c>
      <c r="BI4" s="316">
        <v>33</v>
      </c>
      <c r="BJ4" s="316">
        <v>34</v>
      </c>
      <c r="BK4" s="316">
        <v>35</v>
      </c>
      <c r="BL4" s="316">
        <v>36</v>
      </c>
      <c r="BM4" s="316">
        <v>37</v>
      </c>
      <c r="BN4" s="316">
        <v>40</v>
      </c>
      <c r="BO4" s="316">
        <v>41</v>
      </c>
      <c r="BP4" s="316">
        <v>44</v>
      </c>
      <c r="BQ4" s="316">
        <v>45</v>
      </c>
      <c r="BR4" s="316">
        <v>48</v>
      </c>
      <c r="BS4" s="316">
        <v>49</v>
      </c>
      <c r="BT4" s="316">
        <v>50</v>
      </c>
      <c r="BU4" s="316">
        <v>51</v>
      </c>
      <c r="BV4" s="316">
        <v>53</v>
      </c>
      <c r="BW4" s="316">
        <v>54</v>
      </c>
      <c r="BX4" s="316">
        <v>55</v>
      </c>
      <c r="BY4" s="316">
        <v>56</v>
      </c>
      <c r="BZ4" s="316">
        <v>60</v>
      </c>
      <c r="CA4" s="316">
        <v>601</v>
      </c>
      <c r="CB4" s="316">
        <v>61</v>
      </c>
      <c r="CC4" s="316">
        <v>62</v>
      </c>
      <c r="CD4" s="316">
        <v>63</v>
      </c>
      <c r="CE4" s="316">
        <v>65</v>
      </c>
      <c r="CF4" s="316">
        <v>66</v>
      </c>
      <c r="CG4" s="316">
        <v>68</v>
      </c>
      <c r="CH4" s="316">
        <v>70</v>
      </c>
      <c r="CI4" s="316">
        <v>71</v>
      </c>
      <c r="CJ4" s="316">
        <v>72</v>
      </c>
      <c r="CK4" s="316">
        <v>73</v>
      </c>
      <c r="CL4" s="316">
        <v>74</v>
      </c>
      <c r="CM4" s="316">
        <v>76</v>
      </c>
      <c r="CN4" s="316">
        <v>77</v>
      </c>
      <c r="CO4" s="316">
        <v>78</v>
      </c>
      <c r="CP4" s="316">
        <v>79</v>
      </c>
      <c r="CQ4" s="316">
        <v>80</v>
      </c>
      <c r="CR4" s="316">
        <v>81</v>
      </c>
      <c r="CS4" s="316">
        <v>82</v>
      </c>
      <c r="CT4" s="316">
        <v>83</v>
      </c>
      <c r="CU4" s="316">
        <v>84</v>
      </c>
      <c r="CV4" s="316">
        <v>85</v>
      </c>
      <c r="CW4" s="316">
        <v>86</v>
      </c>
      <c r="CX4" s="316">
        <v>87</v>
      </c>
      <c r="CY4" s="316">
        <v>89</v>
      </c>
      <c r="CZ4" s="316">
        <v>90</v>
      </c>
      <c r="DA4" s="316">
        <v>1901</v>
      </c>
      <c r="DB4" s="316">
        <v>93</v>
      </c>
      <c r="DC4" s="316">
        <v>94</v>
      </c>
      <c r="DD4" s="316">
        <v>95</v>
      </c>
      <c r="DE4" s="316">
        <v>96</v>
      </c>
      <c r="DF4" s="316">
        <v>98</v>
      </c>
      <c r="DG4" s="316">
        <v>99</v>
      </c>
      <c r="DH4">
        <v>10</v>
      </c>
      <c r="DI4">
        <v>20</v>
      </c>
      <c r="DJ4">
        <v>31</v>
      </c>
      <c r="DK4">
        <v>38</v>
      </c>
      <c r="DL4">
        <v>80</v>
      </c>
      <c r="DM4">
        <v>81</v>
      </c>
      <c r="DN4">
        <v>82</v>
      </c>
      <c r="DO4">
        <v>83</v>
      </c>
      <c r="DP4">
        <v>84</v>
      </c>
      <c r="DQ4">
        <v>85</v>
      </c>
      <c r="DR4">
        <v>86</v>
      </c>
      <c r="DS4">
        <v>87</v>
      </c>
      <c r="DT4">
        <v>88</v>
      </c>
      <c r="DU4">
        <v>89</v>
      </c>
      <c r="DV4">
        <v>51</v>
      </c>
      <c r="DW4">
        <v>52</v>
      </c>
      <c r="DX4">
        <v>53</v>
      </c>
      <c r="DY4">
        <v>57</v>
      </c>
      <c r="DZ4">
        <v>60</v>
      </c>
      <c r="EA4">
        <v>75</v>
      </c>
      <c r="EB4">
        <v>78</v>
      </c>
      <c r="EC4">
        <v>90</v>
      </c>
      <c r="ED4">
        <v>1901</v>
      </c>
      <c r="EE4">
        <v>101</v>
      </c>
      <c r="EF4">
        <v>102</v>
      </c>
      <c r="EG4">
        <v>103</v>
      </c>
      <c r="EH4">
        <v>104</v>
      </c>
      <c r="EI4">
        <v>105</v>
      </c>
      <c r="EJ4">
        <v>106</v>
      </c>
      <c r="EK4">
        <v>107</v>
      </c>
      <c r="EL4">
        <v>108</v>
      </c>
      <c r="EM4">
        <v>111</v>
      </c>
      <c r="EN4">
        <v>121</v>
      </c>
      <c r="EO4">
        <v>122</v>
      </c>
      <c r="EP4">
        <v>123</v>
      </c>
      <c r="EQ4">
        <v>124</v>
      </c>
      <c r="ER4">
        <v>125</v>
      </c>
      <c r="ES4">
        <v>126</v>
      </c>
      <c r="ET4">
        <v>127</v>
      </c>
      <c r="EU4">
        <v>128</v>
      </c>
      <c r="EV4">
        <v>129</v>
      </c>
      <c r="EW4">
        <v>130</v>
      </c>
      <c r="EX4">
        <v>131</v>
      </c>
      <c r="EY4">
        <v>133</v>
      </c>
      <c r="EZ4">
        <v>146</v>
      </c>
      <c r="FA4">
        <v>146</v>
      </c>
      <c r="FB4">
        <v>111</v>
      </c>
      <c r="FC4">
        <v>112</v>
      </c>
      <c r="FD4">
        <v>113</v>
      </c>
      <c r="FE4">
        <v>114</v>
      </c>
      <c r="FF4">
        <v>115</v>
      </c>
      <c r="FG4">
        <v>121</v>
      </c>
      <c r="FH4">
        <v>122</v>
      </c>
      <c r="FI4">
        <v>123</v>
      </c>
      <c r="FJ4">
        <v>129</v>
      </c>
      <c r="FK4">
        <v>131</v>
      </c>
      <c r="FL4">
        <v>137</v>
      </c>
      <c r="FM4">
        <v>140</v>
      </c>
      <c r="FN4">
        <v>150</v>
      </c>
      <c r="FO4">
        <v>190</v>
      </c>
      <c r="FP4">
        <v>1191</v>
      </c>
      <c r="FQ4">
        <v>210</v>
      </c>
      <c r="FR4">
        <v>219</v>
      </c>
      <c r="FS4">
        <v>220</v>
      </c>
      <c r="FT4">
        <v>221</v>
      </c>
      <c r="FU4">
        <v>222</v>
      </c>
      <c r="FV4">
        <v>223</v>
      </c>
      <c r="FW4">
        <v>224</v>
      </c>
      <c r="FX4">
        <v>225</v>
      </c>
      <c r="FY4">
        <v>226</v>
      </c>
      <c r="FZ4">
        <v>227</v>
      </c>
      <c r="GA4">
        <v>228</v>
      </c>
      <c r="GB4">
        <v>229</v>
      </c>
      <c r="GC4">
        <v>230</v>
      </c>
      <c r="GD4">
        <v>231</v>
      </c>
      <c r="GE4">
        <v>232</v>
      </c>
      <c r="GF4">
        <v>233</v>
      </c>
      <c r="GG4">
        <v>241</v>
      </c>
      <c r="GH4">
        <v>243</v>
      </c>
      <c r="GI4">
        <v>244</v>
      </c>
      <c r="GJ4">
        <v>247</v>
      </c>
      <c r="GK4">
        <v>250</v>
      </c>
      <c r="GL4">
        <v>270</v>
      </c>
      <c r="GM4">
        <v>281</v>
      </c>
      <c r="GN4">
        <v>282</v>
      </c>
      <c r="GO4">
        <v>283</v>
      </c>
      <c r="GP4">
        <v>284</v>
      </c>
      <c r="GQ4">
        <v>285</v>
      </c>
      <c r="GR4">
        <v>286</v>
      </c>
      <c r="GS4">
        <v>290</v>
      </c>
      <c r="GT4">
        <v>1291</v>
      </c>
      <c r="GU4">
        <v>310</v>
      </c>
      <c r="GV4">
        <v>320</v>
      </c>
      <c r="GW4">
        <v>335</v>
      </c>
      <c r="GX4">
        <v>338</v>
      </c>
      <c r="GY4">
        <v>340</v>
      </c>
      <c r="GZ4">
        <v>350</v>
      </c>
      <c r="HA4">
        <v>351</v>
      </c>
      <c r="HB4">
        <v>352</v>
      </c>
      <c r="HC4">
        <v>360</v>
      </c>
      <c r="HD4">
        <v>390</v>
      </c>
      <c r="HE4">
        <v>1391</v>
      </c>
      <c r="HF4">
        <v>400</v>
      </c>
      <c r="HG4">
        <v>1401</v>
      </c>
      <c r="HH4">
        <v>100</v>
      </c>
      <c r="HI4">
        <v>1291</v>
      </c>
      <c r="HJ4">
        <v>210</v>
      </c>
      <c r="HK4">
        <v>220</v>
      </c>
      <c r="HL4">
        <v>230</v>
      </c>
      <c r="HM4">
        <v>290</v>
      </c>
      <c r="HN4">
        <v>1391</v>
      </c>
      <c r="HO4">
        <v>410</v>
      </c>
      <c r="HP4">
        <v>421</v>
      </c>
      <c r="HQ4">
        <v>422</v>
      </c>
      <c r="HR4">
        <v>423</v>
      </c>
      <c r="HS4">
        <v>425</v>
      </c>
      <c r="HT4">
        <v>426</v>
      </c>
      <c r="HU4">
        <v>428</v>
      </c>
      <c r="HV4">
        <v>430</v>
      </c>
      <c r="HW4">
        <v>441</v>
      </c>
      <c r="HX4">
        <v>442</v>
      </c>
      <c r="HY4">
        <v>450</v>
      </c>
      <c r="HZ4">
        <v>460</v>
      </c>
      <c r="IA4">
        <v>465</v>
      </c>
      <c r="IB4">
        <v>470</v>
      </c>
      <c r="IC4">
        <v>475</v>
      </c>
      <c r="ID4">
        <v>476</v>
      </c>
      <c r="IE4">
        <v>481</v>
      </c>
      <c r="IF4">
        <v>482</v>
      </c>
      <c r="IG4">
        <v>484</v>
      </c>
      <c r="IH4">
        <v>489</v>
      </c>
      <c r="II4">
        <v>490</v>
      </c>
      <c r="IJ4">
        <v>1491</v>
      </c>
      <c r="IK4">
        <v>491</v>
      </c>
      <c r="IL4">
        <v>492</v>
      </c>
      <c r="IM4">
        <v>493</v>
      </c>
      <c r="IN4">
        <v>494</v>
      </c>
      <c r="IO4">
        <v>495</v>
      </c>
      <c r="IP4">
        <v>500</v>
      </c>
      <c r="IQ4">
        <v>1501</v>
      </c>
      <c r="IR4">
        <v>190</v>
      </c>
      <c r="IS4">
        <v>290</v>
      </c>
      <c r="IT4">
        <v>330</v>
      </c>
      <c r="IU4">
        <v>360</v>
      </c>
      <c r="IV4">
        <v>390</v>
      </c>
      <c r="IW4">
        <v>490</v>
      </c>
      <c r="IX4">
        <v>509</v>
      </c>
      <c r="IY4">
        <v>590</v>
      </c>
      <c r="IZ4">
        <v>599</v>
      </c>
      <c r="JA4">
        <v>601</v>
      </c>
      <c r="JB4">
        <v>602</v>
      </c>
      <c r="JC4">
        <v>690</v>
      </c>
      <c r="JD4">
        <v>698</v>
      </c>
      <c r="JE4">
        <v>699</v>
      </c>
      <c r="JF4">
        <v>711</v>
      </c>
      <c r="JG4">
        <v>712</v>
      </c>
      <c r="JH4">
        <v>713</v>
      </c>
      <c r="JI4">
        <v>714</v>
      </c>
      <c r="JJ4">
        <v>718</v>
      </c>
      <c r="JK4">
        <v>721</v>
      </c>
      <c r="JL4">
        <v>722</v>
      </c>
      <c r="JM4">
        <v>724</v>
      </c>
      <c r="JN4">
        <v>727</v>
      </c>
      <c r="JO4">
        <v>728</v>
      </c>
      <c r="JP4">
        <v>731</v>
      </c>
      <c r="JQ4">
        <v>732</v>
      </c>
      <c r="JR4">
        <v>741</v>
      </c>
      <c r="JS4">
        <v>742</v>
      </c>
      <c r="JT4">
        <v>747</v>
      </c>
      <c r="JU4">
        <v>748</v>
      </c>
      <c r="JV4">
        <v>749</v>
      </c>
      <c r="JW4">
        <v>759</v>
      </c>
      <c r="JX4">
        <v>765</v>
      </c>
      <c r="JY4">
        <v>766</v>
      </c>
      <c r="JZ4">
        <v>767</v>
      </c>
      <c r="KA4">
        <v>768</v>
      </c>
      <c r="KB4">
        <v>771</v>
      </c>
      <c r="KC4">
        <v>773</v>
      </c>
      <c r="KD4">
        <v>776</v>
      </c>
      <c r="KE4">
        <v>781</v>
      </c>
      <c r="KF4">
        <v>783</v>
      </c>
      <c r="KG4">
        <v>785</v>
      </c>
      <c r="KH4">
        <v>786</v>
      </c>
      <c r="KI4">
        <v>788</v>
      </c>
      <c r="KJ4">
        <v>789</v>
      </c>
      <c r="KK4">
        <v>790</v>
      </c>
      <c r="KL4">
        <v>791</v>
      </c>
      <c r="KM4">
        <v>793</v>
      </c>
      <c r="KN4">
        <v>794</v>
      </c>
      <c r="KO4">
        <v>795</v>
      </c>
      <c r="KP4">
        <v>796</v>
      </c>
      <c r="KQ4">
        <v>797</v>
      </c>
      <c r="KR4">
        <v>800</v>
      </c>
      <c r="KS4">
        <v>803</v>
      </c>
      <c r="KT4">
        <v>804</v>
      </c>
      <c r="KU4">
        <v>805</v>
      </c>
      <c r="KV4">
        <v>806</v>
      </c>
      <c r="KW4">
        <v>811</v>
      </c>
      <c r="KX4">
        <v>813</v>
      </c>
      <c r="KY4">
        <v>814</v>
      </c>
      <c r="KZ4">
        <v>815</v>
      </c>
      <c r="LA4">
        <v>816</v>
      </c>
      <c r="LB4">
        <v>851</v>
      </c>
      <c r="LC4">
        <v>856</v>
      </c>
      <c r="LD4">
        <v>870</v>
      </c>
      <c r="LE4">
        <v>880</v>
      </c>
      <c r="LF4">
        <v>885</v>
      </c>
      <c r="LG4">
        <v>890</v>
      </c>
      <c r="LH4">
        <v>911</v>
      </c>
      <c r="LI4">
        <v>912</v>
      </c>
      <c r="LJ4">
        <v>913</v>
      </c>
      <c r="LK4">
        <v>914</v>
      </c>
      <c r="LL4">
        <v>915</v>
      </c>
      <c r="LM4">
        <v>916</v>
      </c>
      <c r="LN4">
        <v>911</v>
      </c>
      <c r="LO4">
        <v>912</v>
      </c>
      <c r="LP4">
        <v>913</v>
      </c>
      <c r="LQ4">
        <v>914</v>
      </c>
      <c r="LR4">
        <v>915</v>
      </c>
      <c r="LS4">
        <v>916</v>
      </c>
      <c r="LT4">
        <v>920</v>
      </c>
      <c r="LU4">
        <v>931</v>
      </c>
      <c r="LV4">
        <v>933</v>
      </c>
      <c r="LW4">
        <v>934</v>
      </c>
      <c r="LX4">
        <v>935</v>
      </c>
      <c r="LY4">
        <v>936</v>
      </c>
      <c r="LZ4">
        <v>939</v>
      </c>
      <c r="MA4">
        <v>941</v>
      </c>
      <c r="MB4">
        <v>942</v>
      </c>
      <c r="MC4">
        <v>980</v>
      </c>
      <c r="MD4">
        <v>981</v>
      </c>
      <c r="ME4">
        <v>982</v>
      </c>
      <c r="MF4">
        <v>983</v>
      </c>
      <c r="MG4">
        <v>983</v>
      </c>
      <c r="MH4">
        <v>994</v>
      </c>
      <c r="MI4">
        <v>995</v>
      </c>
      <c r="MJ4">
        <v>996</v>
      </c>
      <c r="MK4">
        <v>997</v>
      </c>
      <c r="ML4" s="560">
        <v>1023</v>
      </c>
      <c r="MM4" s="560">
        <v>1024</v>
      </c>
      <c r="MN4" s="560">
        <v>1025</v>
      </c>
      <c r="MO4" s="560">
        <v>1026</v>
      </c>
      <c r="MP4" s="560">
        <v>1027</v>
      </c>
      <c r="MQ4">
        <v>190</v>
      </c>
      <c r="MR4">
        <v>290</v>
      </c>
      <c r="MS4">
        <v>330</v>
      </c>
      <c r="MT4">
        <v>360</v>
      </c>
      <c r="MU4">
        <v>390</v>
      </c>
      <c r="MV4">
        <v>490</v>
      </c>
      <c r="MW4">
        <v>509</v>
      </c>
      <c r="MX4">
        <v>590</v>
      </c>
      <c r="MY4">
        <v>599</v>
      </c>
      <c r="MZ4">
        <v>601</v>
      </c>
      <c r="NA4">
        <v>602</v>
      </c>
      <c r="NB4">
        <v>690</v>
      </c>
      <c r="NC4">
        <v>698</v>
      </c>
      <c r="ND4">
        <v>699</v>
      </c>
      <c r="NE4">
        <v>260</v>
      </c>
      <c r="NF4">
        <v>281</v>
      </c>
      <c r="NG4">
        <v>282</v>
      </c>
      <c r="NH4">
        <v>283</v>
      </c>
      <c r="NI4">
        <v>284</v>
      </c>
      <c r="NJ4">
        <v>514</v>
      </c>
      <c r="NK4">
        <v>515</v>
      </c>
      <c r="NL4">
        <v>521</v>
      </c>
      <c r="NM4">
        <v>525</v>
      </c>
      <c r="NN4">
        <v>528</v>
      </c>
      <c r="NO4">
        <v>535</v>
      </c>
      <c r="NP4">
        <v>550</v>
      </c>
      <c r="NQ4">
        <v>580</v>
      </c>
      <c r="NR4">
        <v>591</v>
      </c>
      <c r="NS4">
        <v>594</v>
      </c>
      <c r="NT4">
        <v>595</v>
      </c>
      <c r="NU4">
        <v>596</v>
      </c>
      <c r="NV4">
        <v>597</v>
      </c>
      <c r="NW4">
        <v>696</v>
      </c>
      <c r="NX4">
        <v>697</v>
      </c>
      <c r="NY4">
        <v>698</v>
      </c>
      <c r="NZ4">
        <v>716</v>
      </c>
      <c r="OA4">
        <v>717</v>
      </c>
      <c r="OB4">
        <v>723</v>
      </c>
      <c r="OC4">
        <v>726</v>
      </c>
      <c r="OD4">
        <v>733</v>
      </c>
      <c r="OE4">
        <v>734</v>
      </c>
      <c r="OF4">
        <v>741</v>
      </c>
      <c r="OG4">
        <v>752</v>
      </c>
      <c r="OH4">
        <v>757</v>
      </c>
      <c r="OI4">
        <v>810</v>
      </c>
      <c r="OJ4">
        <v>821</v>
      </c>
      <c r="OK4">
        <v>825</v>
      </c>
      <c r="OL4">
        <v>830</v>
      </c>
      <c r="OM4">
        <v>841</v>
      </c>
      <c r="ON4">
        <v>845</v>
      </c>
      <c r="OO4">
        <v>850</v>
      </c>
      <c r="OP4">
        <v>860</v>
      </c>
      <c r="OQ4">
        <v>871</v>
      </c>
      <c r="OR4">
        <v>872</v>
      </c>
      <c r="OS4">
        <v>873</v>
      </c>
      <c r="OT4">
        <v>874</v>
      </c>
      <c r="OU4">
        <v>875</v>
      </c>
      <c r="OV4">
        <v>896</v>
      </c>
      <c r="OW4">
        <v>897</v>
      </c>
      <c r="OX4">
        <v>898</v>
      </c>
      <c r="OY4">
        <v>931</v>
      </c>
      <c r="OZ4">
        <v>933</v>
      </c>
      <c r="PA4">
        <v>934</v>
      </c>
      <c r="PB4">
        <v>935</v>
      </c>
      <c r="PC4">
        <v>936</v>
      </c>
      <c r="PD4">
        <v>939</v>
      </c>
      <c r="PE4">
        <v>931</v>
      </c>
      <c r="PF4">
        <v>933</v>
      </c>
      <c r="PG4">
        <v>934</v>
      </c>
      <c r="PH4">
        <v>935</v>
      </c>
      <c r="PI4">
        <v>936</v>
      </c>
      <c r="PJ4">
        <v>939</v>
      </c>
      <c r="PP4" s="506"/>
      <c r="PQ4" s="506"/>
      <c r="PR4" s="506"/>
    </row>
    <row r="5" spans="1:434" ht="13" x14ac:dyDescent="0.25">
      <c r="A5" s="316"/>
      <c r="B5" s="316"/>
      <c r="C5" s="316"/>
      <c r="D5" s="316"/>
      <c r="E5" s="1039" t="s">
        <v>4202</v>
      </c>
      <c r="F5" s="316">
        <v>7</v>
      </c>
      <c r="G5" s="316">
        <v>7</v>
      </c>
      <c r="H5" s="316">
        <v>7</v>
      </c>
      <c r="I5" s="316">
        <v>7</v>
      </c>
      <c r="J5" s="316">
        <v>7</v>
      </c>
      <c r="K5" s="316">
        <v>7</v>
      </c>
      <c r="L5" s="316">
        <v>7</v>
      </c>
      <c r="M5" s="316">
        <v>2</v>
      </c>
      <c r="N5" s="316">
        <v>7</v>
      </c>
      <c r="O5" s="316">
        <v>7</v>
      </c>
      <c r="P5" s="316">
        <v>7</v>
      </c>
      <c r="Q5" s="316">
        <v>7</v>
      </c>
      <c r="R5" s="316">
        <v>7</v>
      </c>
      <c r="S5" s="316">
        <v>7</v>
      </c>
      <c r="T5" s="316">
        <v>7</v>
      </c>
      <c r="U5" s="316">
        <v>7</v>
      </c>
      <c r="V5" s="316">
        <v>7</v>
      </c>
      <c r="W5" s="316">
        <v>7</v>
      </c>
      <c r="X5" s="316">
        <v>7</v>
      </c>
      <c r="Y5" s="316">
        <v>7</v>
      </c>
      <c r="Z5" s="316">
        <v>7</v>
      </c>
      <c r="AA5" s="316">
        <v>7</v>
      </c>
      <c r="AB5" s="316">
        <v>7</v>
      </c>
      <c r="AC5" s="316">
        <v>7</v>
      </c>
      <c r="AD5" s="316">
        <v>7</v>
      </c>
      <c r="AE5" s="316">
        <v>7</v>
      </c>
      <c r="AF5" s="316">
        <v>7</v>
      </c>
      <c r="AG5" s="316">
        <v>7</v>
      </c>
      <c r="AH5" s="316">
        <v>7</v>
      </c>
      <c r="AI5" s="316">
        <v>7</v>
      </c>
      <c r="AJ5" s="316">
        <v>7</v>
      </c>
      <c r="AK5" s="316">
        <v>2</v>
      </c>
      <c r="AL5" s="316">
        <v>5</v>
      </c>
      <c r="AM5" s="316">
        <v>5</v>
      </c>
      <c r="AN5" s="316">
        <v>5</v>
      </c>
      <c r="AO5" s="316">
        <v>5</v>
      </c>
      <c r="AP5" s="316">
        <v>7</v>
      </c>
      <c r="AQ5" s="316">
        <v>2</v>
      </c>
      <c r="AR5" s="316">
        <v>2</v>
      </c>
      <c r="AS5" s="316">
        <v>4</v>
      </c>
      <c r="AT5" s="316">
        <v>4</v>
      </c>
      <c r="AU5" s="316">
        <v>7</v>
      </c>
      <c r="AV5" s="316">
        <v>7</v>
      </c>
      <c r="AW5" s="316">
        <v>7</v>
      </c>
      <c r="AX5" s="316">
        <v>7</v>
      </c>
      <c r="AY5" s="316">
        <v>7</v>
      </c>
      <c r="AZ5" s="316">
        <v>7</v>
      </c>
      <c r="BA5" s="316">
        <v>7</v>
      </c>
      <c r="BB5" s="316">
        <v>7</v>
      </c>
      <c r="BC5" s="316">
        <v>7</v>
      </c>
      <c r="BD5" s="316">
        <v>7</v>
      </c>
      <c r="BE5" s="316">
        <v>7</v>
      </c>
      <c r="BF5" s="316">
        <v>7</v>
      </c>
      <c r="BG5" s="316">
        <v>2</v>
      </c>
      <c r="BH5" s="316">
        <v>7</v>
      </c>
      <c r="BI5" s="316">
        <v>7</v>
      </c>
      <c r="BJ5" s="316">
        <v>7</v>
      </c>
      <c r="BK5" s="316">
        <v>7</v>
      </c>
      <c r="BL5" s="316">
        <v>7</v>
      </c>
      <c r="BM5" s="316">
        <v>7</v>
      </c>
      <c r="BN5" s="316">
        <v>7</v>
      </c>
      <c r="BO5" s="316">
        <v>7</v>
      </c>
      <c r="BP5" s="316">
        <v>7</v>
      </c>
      <c r="BQ5" s="316">
        <v>7</v>
      </c>
      <c r="BR5" s="316">
        <v>7</v>
      </c>
      <c r="BS5" s="316">
        <v>7</v>
      </c>
      <c r="BT5" s="316">
        <v>7</v>
      </c>
      <c r="BU5" s="316">
        <v>7</v>
      </c>
      <c r="BV5" s="316">
        <v>7</v>
      </c>
      <c r="BW5" s="316">
        <v>7</v>
      </c>
      <c r="BX5" s="316">
        <v>7</v>
      </c>
      <c r="BY5" s="316">
        <v>7</v>
      </c>
      <c r="BZ5" s="316">
        <v>7</v>
      </c>
      <c r="CA5" s="316"/>
      <c r="CB5" s="316">
        <v>7</v>
      </c>
      <c r="CC5" s="316">
        <v>7</v>
      </c>
      <c r="CD5" s="316">
        <v>7</v>
      </c>
      <c r="CE5" s="316">
        <v>7</v>
      </c>
      <c r="CF5" s="316">
        <v>7</v>
      </c>
      <c r="CG5" s="316">
        <v>7</v>
      </c>
      <c r="CH5" s="316">
        <v>7</v>
      </c>
      <c r="CI5" s="316">
        <v>7</v>
      </c>
      <c r="CJ5" s="316">
        <v>7</v>
      </c>
      <c r="CK5" s="316">
        <v>7</v>
      </c>
      <c r="CL5" s="316">
        <v>7</v>
      </c>
      <c r="CM5" s="316">
        <v>7</v>
      </c>
      <c r="CN5" s="316">
        <v>7</v>
      </c>
      <c r="CO5" s="316">
        <v>7</v>
      </c>
      <c r="CP5" s="316">
        <v>7</v>
      </c>
      <c r="CQ5" s="316">
        <v>7</v>
      </c>
      <c r="CR5" s="316">
        <v>7</v>
      </c>
      <c r="CS5" s="316">
        <v>7</v>
      </c>
      <c r="CT5" s="316">
        <v>7</v>
      </c>
      <c r="CU5" s="316">
        <v>7</v>
      </c>
      <c r="CV5" s="316">
        <v>7</v>
      </c>
      <c r="CW5" s="316">
        <v>7</v>
      </c>
      <c r="CX5" s="316">
        <v>7</v>
      </c>
      <c r="CY5" s="316">
        <v>7</v>
      </c>
      <c r="CZ5" s="316">
        <v>7</v>
      </c>
      <c r="DA5" s="316">
        <v>2</v>
      </c>
      <c r="DB5" s="316">
        <v>7</v>
      </c>
      <c r="DC5" s="316">
        <v>7</v>
      </c>
      <c r="DD5" s="316">
        <v>7</v>
      </c>
      <c r="DE5" s="316">
        <v>7</v>
      </c>
      <c r="DF5" s="316">
        <v>7</v>
      </c>
      <c r="DG5" s="316">
        <v>7</v>
      </c>
      <c r="DH5">
        <v>7</v>
      </c>
      <c r="DI5">
        <v>7</v>
      </c>
      <c r="DJ5">
        <v>7</v>
      </c>
      <c r="DK5">
        <v>7</v>
      </c>
      <c r="DL5">
        <v>7</v>
      </c>
      <c r="DM5">
        <v>7</v>
      </c>
      <c r="DN5">
        <v>7</v>
      </c>
      <c r="DO5">
        <v>7</v>
      </c>
      <c r="DP5">
        <v>7</v>
      </c>
      <c r="DQ5">
        <v>7</v>
      </c>
      <c r="DR5">
        <v>7</v>
      </c>
      <c r="DS5">
        <v>7</v>
      </c>
      <c r="DT5">
        <v>7</v>
      </c>
      <c r="DU5">
        <v>7</v>
      </c>
      <c r="DV5">
        <v>7</v>
      </c>
      <c r="DW5">
        <v>7</v>
      </c>
      <c r="DX5">
        <v>7</v>
      </c>
      <c r="DY5">
        <v>7</v>
      </c>
      <c r="DZ5">
        <v>7</v>
      </c>
      <c r="EA5">
        <v>7</v>
      </c>
      <c r="EB5">
        <v>7</v>
      </c>
      <c r="EC5">
        <v>7</v>
      </c>
      <c r="ED5">
        <v>2</v>
      </c>
      <c r="EE5">
        <v>8</v>
      </c>
      <c r="EF5">
        <v>8</v>
      </c>
      <c r="EG5">
        <v>8</v>
      </c>
      <c r="EH5">
        <v>8</v>
      </c>
      <c r="EI5">
        <v>8</v>
      </c>
      <c r="EJ5">
        <v>8</v>
      </c>
      <c r="EK5">
        <v>8</v>
      </c>
      <c r="EL5">
        <v>8</v>
      </c>
      <c r="EM5">
        <v>8</v>
      </c>
      <c r="EN5">
        <v>8</v>
      </c>
      <c r="EO5">
        <v>8</v>
      </c>
      <c r="EP5">
        <v>8</v>
      </c>
      <c r="EQ5">
        <v>8</v>
      </c>
      <c r="ER5">
        <v>8</v>
      </c>
      <c r="ES5">
        <v>8</v>
      </c>
      <c r="ET5">
        <v>8</v>
      </c>
      <c r="EU5">
        <v>8</v>
      </c>
      <c r="EV5">
        <v>8</v>
      </c>
      <c r="EW5">
        <v>8</v>
      </c>
      <c r="EX5">
        <v>8</v>
      </c>
      <c r="EY5">
        <v>8</v>
      </c>
      <c r="EZ5">
        <v>9</v>
      </c>
      <c r="FA5">
        <v>10</v>
      </c>
      <c r="FB5">
        <v>7</v>
      </c>
      <c r="FC5">
        <v>7</v>
      </c>
      <c r="FD5">
        <v>7</v>
      </c>
      <c r="FE5">
        <v>7</v>
      </c>
      <c r="FF5">
        <v>7</v>
      </c>
      <c r="FG5">
        <v>7</v>
      </c>
      <c r="FH5">
        <v>7</v>
      </c>
      <c r="FI5">
        <v>7</v>
      </c>
      <c r="FJ5">
        <v>7</v>
      </c>
      <c r="FK5">
        <v>7</v>
      </c>
      <c r="FL5">
        <v>7</v>
      </c>
      <c r="FM5">
        <v>7</v>
      </c>
      <c r="FN5">
        <v>7</v>
      </c>
      <c r="FO5">
        <v>7</v>
      </c>
      <c r="FP5">
        <v>2</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P5">
        <v>7</v>
      </c>
      <c r="GQ5">
        <v>7</v>
      </c>
      <c r="GR5">
        <v>7</v>
      </c>
      <c r="GS5">
        <v>7</v>
      </c>
      <c r="GT5">
        <v>2</v>
      </c>
      <c r="GU5">
        <v>7</v>
      </c>
      <c r="GV5">
        <v>7</v>
      </c>
      <c r="GW5">
        <v>7</v>
      </c>
      <c r="GX5">
        <v>7</v>
      </c>
      <c r="GY5">
        <v>7</v>
      </c>
      <c r="GZ5">
        <v>7</v>
      </c>
      <c r="HA5">
        <v>7</v>
      </c>
      <c r="HB5">
        <v>7</v>
      </c>
      <c r="HC5">
        <v>7</v>
      </c>
      <c r="HD5">
        <v>7</v>
      </c>
      <c r="HE5">
        <v>2</v>
      </c>
      <c r="HF5">
        <v>7</v>
      </c>
      <c r="HG5">
        <v>2</v>
      </c>
      <c r="HH5">
        <v>7</v>
      </c>
      <c r="HI5">
        <v>2</v>
      </c>
      <c r="HJ5">
        <v>7</v>
      </c>
      <c r="HK5">
        <v>7</v>
      </c>
      <c r="HL5">
        <v>7</v>
      </c>
      <c r="HM5">
        <v>7</v>
      </c>
      <c r="HN5">
        <v>2</v>
      </c>
      <c r="HO5">
        <v>7</v>
      </c>
      <c r="HP5">
        <v>7</v>
      </c>
      <c r="HQ5">
        <v>7</v>
      </c>
      <c r="HR5">
        <v>7</v>
      </c>
      <c r="HS5">
        <v>7</v>
      </c>
      <c r="HT5">
        <v>7</v>
      </c>
      <c r="HU5">
        <v>7</v>
      </c>
      <c r="HV5">
        <v>7</v>
      </c>
      <c r="HW5">
        <v>7</v>
      </c>
      <c r="HX5">
        <v>7</v>
      </c>
      <c r="HY5">
        <v>7</v>
      </c>
      <c r="HZ5">
        <v>7</v>
      </c>
      <c r="IA5">
        <v>7</v>
      </c>
      <c r="IB5">
        <v>7</v>
      </c>
      <c r="IC5">
        <v>7</v>
      </c>
      <c r="ID5">
        <v>7</v>
      </c>
      <c r="IE5">
        <v>7</v>
      </c>
      <c r="IF5">
        <v>7</v>
      </c>
      <c r="IG5">
        <v>7</v>
      </c>
      <c r="IH5">
        <v>7</v>
      </c>
      <c r="II5">
        <v>7</v>
      </c>
      <c r="IJ5">
        <v>2</v>
      </c>
      <c r="IK5">
        <v>5</v>
      </c>
      <c r="IL5">
        <v>5</v>
      </c>
      <c r="IM5">
        <v>5</v>
      </c>
      <c r="IN5">
        <v>5</v>
      </c>
      <c r="IO5">
        <v>5</v>
      </c>
      <c r="IP5">
        <v>7</v>
      </c>
      <c r="IQ5">
        <v>2</v>
      </c>
      <c r="IR5">
        <v>1</v>
      </c>
      <c r="IS5">
        <v>1</v>
      </c>
      <c r="IT5">
        <v>1</v>
      </c>
      <c r="IU5">
        <v>1</v>
      </c>
      <c r="IV5">
        <v>1</v>
      </c>
      <c r="IW5">
        <v>1</v>
      </c>
      <c r="IX5">
        <v>1</v>
      </c>
      <c r="IY5">
        <v>1</v>
      </c>
      <c r="IZ5">
        <v>1</v>
      </c>
      <c r="JA5">
        <v>1</v>
      </c>
      <c r="JB5">
        <v>1</v>
      </c>
      <c r="JC5">
        <v>1</v>
      </c>
      <c r="JD5">
        <v>1</v>
      </c>
      <c r="JE5">
        <v>1</v>
      </c>
      <c r="JF5">
        <v>1</v>
      </c>
      <c r="JG5">
        <v>1</v>
      </c>
      <c r="JH5">
        <v>1</v>
      </c>
      <c r="JI5">
        <v>1</v>
      </c>
      <c r="JJ5">
        <v>1</v>
      </c>
      <c r="JK5">
        <v>1</v>
      </c>
      <c r="JL5">
        <v>1</v>
      </c>
      <c r="JM5">
        <v>1</v>
      </c>
      <c r="JN5">
        <v>1</v>
      </c>
      <c r="JO5">
        <v>1</v>
      </c>
      <c r="JP5">
        <v>1</v>
      </c>
      <c r="JQ5">
        <v>1</v>
      </c>
      <c r="JR5">
        <v>1</v>
      </c>
      <c r="JS5">
        <v>1</v>
      </c>
      <c r="JT5">
        <v>1</v>
      </c>
      <c r="JU5">
        <v>1</v>
      </c>
      <c r="JV5">
        <v>1</v>
      </c>
      <c r="JW5">
        <v>1</v>
      </c>
      <c r="JX5">
        <v>1</v>
      </c>
      <c r="JY5">
        <v>1</v>
      </c>
      <c r="JZ5">
        <v>1</v>
      </c>
      <c r="KA5">
        <v>1</v>
      </c>
      <c r="KB5">
        <v>1</v>
      </c>
      <c r="KC5">
        <v>1</v>
      </c>
      <c r="KD5">
        <v>1</v>
      </c>
      <c r="KE5">
        <v>1</v>
      </c>
      <c r="KF5">
        <v>1</v>
      </c>
      <c r="KG5">
        <v>1</v>
      </c>
      <c r="KH5">
        <v>1</v>
      </c>
      <c r="KI5">
        <v>1</v>
      </c>
      <c r="KJ5">
        <v>1</v>
      </c>
      <c r="KK5">
        <v>1</v>
      </c>
      <c r="KL5">
        <v>1</v>
      </c>
      <c r="KM5">
        <v>1</v>
      </c>
      <c r="KN5">
        <v>1</v>
      </c>
      <c r="KO5">
        <v>1</v>
      </c>
      <c r="KP5">
        <v>1</v>
      </c>
      <c r="KQ5">
        <v>1</v>
      </c>
      <c r="KR5">
        <v>1</v>
      </c>
      <c r="KS5">
        <v>1</v>
      </c>
      <c r="KT5">
        <v>1</v>
      </c>
      <c r="KU5">
        <v>1</v>
      </c>
      <c r="KV5">
        <v>1</v>
      </c>
      <c r="KW5">
        <v>1</v>
      </c>
      <c r="KX5">
        <v>1</v>
      </c>
      <c r="KY5">
        <v>1</v>
      </c>
      <c r="KZ5">
        <v>1</v>
      </c>
      <c r="LA5">
        <v>1</v>
      </c>
      <c r="LB5">
        <v>1</v>
      </c>
      <c r="LC5">
        <v>1</v>
      </c>
      <c r="LD5">
        <v>1</v>
      </c>
      <c r="LE5">
        <v>1</v>
      </c>
      <c r="LF5">
        <v>1</v>
      </c>
      <c r="LG5">
        <v>1</v>
      </c>
      <c r="LH5">
        <v>2</v>
      </c>
      <c r="LI5">
        <v>2</v>
      </c>
      <c r="LJ5">
        <v>2</v>
      </c>
      <c r="LK5">
        <v>2</v>
      </c>
      <c r="LL5">
        <v>2</v>
      </c>
      <c r="LM5">
        <v>2</v>
      </c>
      <c r="LN5">
        <v>3</v>
      </c>
      <c r="LO5">
        <v>3</v>
      </c>
      <c r="LP5">
        <v>3</v>
      </c>
      <c r="LQ5">
        <v>3</v>
      </c>
      <c r="LR5">
        <v>3</v>
      </c>
      <c r="LS5">
        <v>3</v>
      </c>
      <c r="LT5">
        <v>2</v>
      </c>
      <c r="LU5">
        <v>1</v>
      </c>
      <c r="LV5">
        <v>1</v>
      </c>
      <c r="LW5">
        <v>1</v>
      </c>
      <c r="LX5">
        <v>1</v>
      </c>
      <c r="LY5">
        <v>1</v>
      </c>
      <c r="LZ5">
        <v>1</v>
      </c>
      <c r="MA5">
        <v>1</v>
      </c>
      <c r="MB5">
        <v>1</v>
      </c>
      <c r="MC5">
        <v>5</v>
      </c>
      <c r="MD5">
        <v>5</v>
      </c>
      <c r="ME5">
        <v>5</v>
      </c>
      <c r="MF5">
        <v>6</v>
      </c>
      <c r="MG5">
        <v>7</v>
      </c>
      <c r="MH5">
        <v>8</v>
      </c>
      <c r="MI5">
        <v>8</v>
      </c>
      <c r="MJ5">
        <v>8</v>
      </c>
      <c r="MK5">
        <v>8</v>
      </c>
      <c r="ML5" s="1117">
        <v>2</v>
      </c>
      <c r="MM5" s="1117">
        <v>2</v>
      </c>
      <c r="MN5" s="1117">
        <v>2</v>
      </c>
      <c r="MO5" s="1117">
        <v>2</v>
      </c>
      <c r="MP5" s="1117">
        <v>2</v>
      </c>
      <c r="MQ5">
        <v>7</v>
      </c>
      <c r="MR5">
        <v>7</v>
      </c>
      <c r="MS5">
        <v>7</v>
      </c>
      <c r="MT5">
        <v>7</v>
      </c>
      <c r="MU5">
        <v>7</v>
      </c>
      <c r="MV5">
        <v>7</v>
      </c>
      <c r="MW5">
        <v>7</v>
      </c>
      <c r="MX5">
        <v>7</v>
      </c>
      <c r="MY5">
        <v>7</v>
      </c>
      <c r="MZ5">
        <v>7</v>
      </c>
      <c r="NA5">
        <v>7</v>
      </c>
      <c r="NB5">
        <v>7</v>
      </c>
      <c r="NC5">
        <v>7</v>
      </c>
      <c r="ND5">
        <v>7</v>
      </c>
      <c r="NE5">
        <v>1</v>
      </c>
      <c r="NF5">
        <v>1</v>
      </c>
      <c r="NG5">
        <v>1</v>
      </c>
      <c r="NH5">
        <v>1</v>
      </c>
      <c r="NI5">
        <v>1</v>
      </c>
      <c r="NJ5">
        <v>1</v>
      </c>
      <c r="NK5">
        <v>1</v>
      </c>
      <c r="NL5">
        <v>1</v>
      </c>
      <c r="NM5">
        <v>1</v>
      </c>
      <c r="NN5">
        <v>1</v>
      </c>
      <c r="NO5">
        <v>1</v>
      </c>
      <c r="NP5">
        <v>1</v>
      </c>
      <c r="NQ5">
        <v>1</v>
      </c>
      <c r="NR5">
        <v>1</v>
      </c>
      <c r="NS5">
        <v>1</v>
      </c>
      <c r="NT5">
        <v>1</v>
      </c>
      <c r="NU5">
        <v>1</v>
      </c>
      <c r="NV5">
        <v>1</v>
      </c>
      <c r="NW5">
        <v>1</v>
      </c>
      <c r="NX5">
        <v>1</v>
      </c>
      <c r="NY5">
        <v>1</v>
      </c>
      <c r="NZ5">
        <v>1</v>
      </c>
      <c r="OA5">
        <v>1</v>
      </c>
      <c r="OB5">
        <v>1</v>
      </c>
      <c r="OC5">
        <v>1</v>
      </c>
      <c r="OD5">
        <v>1</v>
      </c>
      <c r="OE5">
        <v>1</v>
      </c>
      <c r="OF5">
        <v>1</v>
      </c>
      <c r="OG5">
        <v>1</v>
      </c>
      <c r="OH5">
        <v>1</v>
      </c>
      <c r="OI5">
        <v>1</v>
      </c>
      <c r="OJ5">
        <v>1</v>
      </c>
      <c r="OK5">
        <v>1</v>
      </c>
      <c r="OL5">
        <v>1</v>
      </c>
      <c r="OM5">
        <v>1</v>
      </c>
      <c r="ON5">
        <v>1</v>
      </c>
      <c r="OO5">
        <v>1</v>
      </c>
      <c r="OP5">
        <v>1</v>
      </c>
      <c r="OQ5">
        <v>1</v>
      </c>
      <c r="OR5">
        <v>1</v>
      </c>
      <c r="OS5">
        <v>1</v>
      </c>
      <c r="OT5">
        <v>1</v>
      </c>
      <c r="OU5">
        <v>1</v>
      </c>
      <c r="OV5">
        <v>1</v>
      </c>
      <c r="OW5">
        <v>1</v>
      </c>
      <c r="OX5">
        <v>1</v>
      </c>
      <c r="OY5">
        <v>2</v>
      </c>
      <c r="OZ5">
        <v>2</v>
      </c>
      <c r="PA5">
        <v>2</v>
      </c>
      <c r="PB5">
        <v>2</v>
      </c>
      <c r="PC5">
        <v>2</v>
      </c>
      <c r="PD5">
        <v>2</v>
      </c>
      <c r="PE5">
        <v>3</v>
      </c>
      <c r="PF5">
        <v>3</v>
      </c>
      <c r="PG5">
        <v>3</v>
      </c>
      <c r="PH5">
        <v>3</v>
      </c>
      <c r="PI5">
        <v>3</v>
      </c>
      <c r="PJ5">
        <v>3</v>
      </c>
      <c r="PP5" s="1027"/>
      <c r="PQ5" s="1027"/>
      <c r="PR5" s="1027"/>
    </row>
    <row r="6" spans="1:434" s="506" customFormat="1" ht="287.5" x14ac:dyDescent="0.25">
      <c r="A6" s="506" t="s">
        <v>2403</v>
      </c>
      <c r="B6" s="506" t="s">
        <v>4203</v>
      </c>
      <c r="C6" s="506" t="s">
        <v>4204</v>
      </c>
      <c r="E6" s="506" t="s">
        <v>2406</v>
      </c>
      <c r="F6" s="506" t="s">
        <v>4205</v>
      </c>
      <c r="G6" s="506" t="s">
        <v>4206</v>
      </c>
      <c r="H6" s="506" t="s">
        <v>4207</v>
      </c>
      <c r="I6" s="506" t="s">
        <v>4208</v>
      </c>
      <c r="J6" s="506" t="s">
        <v>4209</v>
      </c>
      <c r="K6" s="506" t="s">
        <v>4210</v>
      </c>
      <c r="L6" s="506" t="s">
        <v>4211</v>
      </c>
      <c r="M6" s="1116" t="s">
        <v>747</v>
      </c>
      <c r="N6" s="560" t="s">
        <v>4212</v>
      </c>
      <c r="O6" s="560" t="s">
        <v>4213</v>
      </c>
      <c r="P6" s="560" t="s">
        <v>4214</v>
      </c>
      <c r="Q6" s="560" t="s">
        <v>4215</v>
      </c>
      <c r="R6" s="560" t="s">
        <v>4216</v>
      </c>
      <c r="S6" s="560" t="s">
        <v>4217</v>
      </c>
      <c r="T6" s="560" t="s">
        <v>4218</v>
      </c>
      <c r="U6" s="560" t="s">
        <v>4219</v>
      </c>
      <c r="V6" s="560" t="s">
        <v>4220</v>
      </c>
      <c r="W6" s="560" t="s">
        <v>4221</v>
      </c>
      <c r="X6" s="560" t="s">
        <v>4222</v>
      </c>
      <c r="Y6" s="560" t="s">
        <v>4223</v>
      </c>
      <c r="Z6" s="560" t="s">
        <v>4224</v>
      </c>
      <c r="AA6" s="560" t="s">
        <v>4225</v>
      </c>
      <c r="AB6" s="560" t="s">
        <v>4226</v>
      </c>
      <c r="AC6" s="560" t="s">
        <v>4227</v>
      </c>
      <c r="AD6" s="560" t="s">
        <v>4228</v>
      </c>
      <c r="AE6" s="560" t="s">
        <v>4229</v>
      </c>
      <c r="AF6" s="560" t="s">
        <v>4230</v>
      </c>
      <c r="AG6" s="560" t="s">
        <v>4231</v>
      </c>
      <c r="AH6" s="560" t="s">
        <v>4232</v>
      </c>
      <c r="AI6" s="560" t="s">
        <v>4233</v>
      </c>
      <c r="AJ6" s="560" t="s">
        <v>4234</v>
      </c>
      <c r="AK6" s="1116" t="s">
        <v>807</v>
      </c>
      <c r="AL6" s="560" t="s">
        <v>4235</v>
      </c>
      <c r="AM6" s="560" t="s">
        <v>4236</v>
      </c>
      <c r="AN6" s="560" t="s">
        <v>4237</v>
      </c>
      <c r="AO6" s="560" t="s">
        <v>4238</v>
      </c>
      <c r="AP6" s="560" t="s">
        <v>4239</v>
      </c>
      <c r="AQ6" s="560" t="s">
        <v>4240</v>
      </c>
      <c r="AR6" s="560" t="s">
        <v>4241</v>
      </c>
      <c r="AS6" s="560" t="s">
        <v>4242</v>
      </c>
      <c r="AT6" s="560" t="s">
        <v>4243</v>
      </c>
      <c r="AU6" s="560" t="s">
        <v>4244</v>
      </c>
      <c r="AV6" s="560" t="s">
        <v>4245</v>
      </c>
      <c r="AW6" s="560" t="s">
        <v>4246</v>
      </c>
      <c r="AX6" s="560" t="s">
        <v>4247</v>
      </c>
      <c r="AY6" s="560" t="s">
        <v>4248</v>
      </c>
      <c r="AZ6" s="560" t="s">
        <v>4249</v>
      </c>
      <c r="BA6" s="560" t="s">
        <v>4250</v>
      </c>
      <c r="BB6" s="560" t="s">
        <v>4251</v>
      </c>
      <c r="BC6" s="560" t="s">
        <v>4252</v>
      </c>
      <c r="BD6" s="560" t="s">
        <v>4253</v>
      </c>
      <c r="BE6" s="560" t="s">
        <v>4254</v>
      </c>
      <c r="BF6" s="560" t="s">
        <v>4255</v>
      </c>
      <c r="BG6" s="560" t="s">
        <v>877</v>
      </c>
      <c r="BH6" s="560" t="s">
        <v>4256</v>
      </c>
      <c r="BI6" s="560" t="s">
        <v>4257</v>
      </c>
      <c r="BJ6" s="560" t="s">
        <v>4258</v>
      </c>
      <c r="BK6" s="560" t="s">
        <v>4259</v>
      </c>
      <c r="BL6" s="560" t="s">
        <v>4260</v>
      </c>
      <c r="BM6" s="560" t="s">
        <v>4261</v>
      </c>
      <c r="BN6" s="560" t="s">
        <v>4262</v>
      </c>
      <c r="BO6" s="560" t="s">
        <v>4263</v>
      </c>
      <c r="BP6" s="560" t="s">
        <v>4264</v>
      </c>
      <c r="BQ6" s="560" t="s">
        <v>4265</v>
      </c>
      <c r="BR6" s="560" t="s">
        <v>4266</v>
      </c>
      <c r="BS6" s="560" t="s">
        <v>4267</v>
      </c>
      <c r="BT6" s="560" t="s">
        <v>4268</v>
      </c>
      <c r="BU6" s="560" t="s">
        <v>4269</v>
      </c>
      <c r="BV6" s="560" t="s">
        <v>4270</v>
      </c>
      <c r="BW6" s="560" t="s">
        <v>4271</v>
      </c>
      <c r="BX6" s="560" t="s">
        <v>4272</v>
      </c>
      <c r="BY6" s="560" t="s">
        <v>4273</v>
      </c>
      <c r="BZ6" s="560" t="s">
        <v>4274</v>
      </c>
      <c r="CA6" s="1116" t="s">
        <v>938</v>
      </c>
      <c r="CB6" s="560" t="s">
        <v>4275</v>
      </c>
      <c r="CC6" s="560" t="s">
        <v>4276</v>
      </c>
      <c r="CD6" s="560" t="s">
        <v>4277</v>
      </c>
      <c r="CE6" s="560" t="s">
        <v>4278</v>
      </c>
      <c r="CF6" s="560" t="s">
        <v>4279</v>
      </c>
      <c r="CG6" s="560" t="s">
        <v>4280</v>
      </c>
      <c r="CH6" s="560" t="s">
        <v>4281</v>
      </c>
      <c r="CI6" s="560" t="s">
        <v>4282</v>
      </c>
      <c r="CJ6" s="560" t="s">
        <v>4283</v>
      </c>
      <c r="CK6" s="560" t="s">
        <v>4284</v>
      </c>
      <c r="CL6" s="560" t="s">
        <v>4285</v>
      </c>
      <c r="CM6" s="560" t="s">
        <v>4286</v>
      </c>
      <c r="CN6" s="560" t="s">
        <v>4287</v>
      </c>
      <c r="CO6" s="560" t="s">
        <v>4288</v>
      </c>
      <c r="CP6" s="560" t="s">
        <v>4289</v>
      </c>
      <c r="CQ6" s="560" t="s">
        <v>4290</v>
      </c>
      <c r="CR6" s="560" t="s">
        <v>4291</v>
      </c>
      <c r="CS6" s="560" t="s">
        <v>4292</v>
      </c>
      <c r="CT6" s="560" t="s">
        <v>4293</v>
      </c>
      <c r="CU6" s="560" t="s">
        <v>4294</v>
      </c>
      <c r="CV6" s="560" t="s">
        <v>4295</v>
      </c>
      <c r="CW6" s="560" t="s">
        <v>4296</v>
      </c>
      <c r="CX6" s="560" t="s">
        <v>4297</v>
      </c>
      <c r="CY6" s="560" t="s">
        <v>4298</v>
      </c>
      <c r="CZ6" s="560" t="s">
        <v>4299</v>
      </c>
      <c r="DA6" s="1116" t="s">
        <v>992</v>
      </c>
      <c r="DB6" s="560" t="s">
        <v>4300</v>
      </c>
      <c r="DC6" s="560" t="s">
        <v>4301</v>
      </c>
      <c r="DD6" s="560" t="s">
        <v>4302</v>
      </c>
      <c r="DE6" s="560" t="s">
        <v>4303</v>
      </c>
      <c r="DF6" s="560" t="s">
        <v>4304</v>
      </c>
      <c r="DG6" s="560" t="s">
        <v>4305</v>
      </c>
      <c r="DH6" s="560" t="s">
        <v>4306</v>
      </c>
      <c r="DI6" s="560" t="s">
        <v>4307</v>
      </c>
      <c r="DJ6" s="560" t="s">
        <v>4308</v>
      </c>
      <c r="DK6" s="560" t="s">
        <v>4309</v>
      </c>
      <c r="DL6" s="560" t="s">
        <v>4310</v>
      </c>
      <c r="DM6" s="560" t="s">
        <v>4311</v>
      </c>
      <c r="DN6" s="560" t="s">
        <v>4312</v>
      </c>
      <c r="DO6" s="560" t="s">
        <v>4313</v>
      </c>
      <c r="DP6" s="560" t="s">
        <v>4314</v>
      </c>
      <c r="DQ6" s="560" t="s">
        <v>4315</v>
      </c>
      <c r="DR6" s="560" t="s">
        <v>4316</v>
      </c>
      <c r="DS6" s="560" t="s">
        <v>4317</v>
      </c>
      <c r="DT6" s="560" t="s">
        <v>4318</v>
      </c>
      <c r="DU6" s="560" t="s">
        <v>4319</v>
      </c>
      <c r="DV6" s="560" t="s">
        <v>4320</v>
      </c>
      <c r="DW6" s="560" t="s">
        <v>4321</v>
      </c>
      <c r="DX6" s="560" t="s">
        <v>4322</v>
      </c>
      <c r="DY6" s="560" t="s">
        <v>4323</v>
      </c>
      <c r="DZ6" s="560" t="s">
        <v>4324</v>
      </c>
      <c r="EA6" s="560" t="s">
        <v>4325</v>
      </c>
      <c r="EB6" s="560" t="s">
        <v>4326</v>
      </c>
      <c r="EC6" s="560" t="s">
        <v>4327</v>
      </c>
      <c r="ED6" s="1116" t="s">
        <v>1060</v>
      </c>
      <c r="EE6" s="506" t="s">
        <v>1065</v>
      </c>
      <c r="EF6" s="506" t="s">
        <v>1067</v>
      </c>
      <c r="EG6" s="506" t="s">
        <v>1069</v>
      </c>
      <c r="EH6" s="506" t="s">
        <v>4328</v>
      </c>
      <c r="EI6" s="506" t="s">
        <v>1073</v>
      </c>
      <c r="EJ6" s="506" t="s">
        <v>1075</v>
      </c>
      <c r="EK6" s="506" t="s">
        <v>1077</v>
      </c>
      <c r="EL6" s="506" t="s">
        <v>4329</v>
      </c>
      <c r="EM6" s="506" t="s">
        <v>1081</v>
      </c>
      <c r="EN6" s="506" t="s">
        <v>1085</v>
      </c>
      <c r="EO6" s="506" t="s">
        <v>1087</v>
      </c>
      <c r="EP6" s="506" t="s">
        <v>1089</v>
      </c>
      <c r="EQ6" s="506" t="s">
        <v>1091</v>
      </c>
      <c r="ER6" s="506" t="s">
        <v>1093</v>
      </c>
      <c r="ES6" s="506" t="s">
        <v>1095</v>
      </c>
      <c r="ET6" s="506" t="s">
        <v>4330</v>
      </c>
      <c r="EU6" s="506" t="s">
        <v>1099</v>
      </c>
      <c r="EV6" s="506" t="s">
        <v>1101</v>
      </c>
      <c r="EW6" s="506" t="s">
        <v>1103</v>
      </c>
      <c r="EX6" s="506" t="s">
        <v>4331</v>
      </c>
      <c r="EY6" s="506" t="s">
        <v>1107</v>
      </c>
      <c r="EZ6" s="560" t="s">
        <v>4332</v>
      </c>
      <c r="FA6" s="560" t="s">
        <v>4333</v>
      </c>
      <c r="FB6" s="560" t="s">
        <v>4334</v>
      </c>
      <c r="FC6" s="560" t="s">
        <v>4335</v>
      </c>
      <c r="FD6" s="560" t="s">
        <v>4336</v>
      </c>
      <c r="FE6" s="560" t="s">
        <v>4337</v>
      </c>
      <c r="FF6" s="560" t="s">
        <v>4338</v>
      </c>
      <c r="FG6" s="560" t="s">
        <v>4339</v>
      </c>
      <c r="FH6" s="560" t="s">
        <v>4340</v>
      </c>
      <c r="FI6" s="560" t="s">
        <v>4341</v>
      </c>
      <c r="FJ6" s="560" t="s">
        <v>4342</v>
      </c>
      <c r="FK6" s="560" t="s">
        <v>4343</v>
      </c>
      <c r="FL6" s="560" t="s">
        <v>4344</v>
      </c>
      <c r="FM6" s="560" t="s">
        <v>4345</v>
      </c>
      <c r="FN6" s="560" t="s">
        <v>4346</v>
      </c>
      <c r="FO6" s="560" t="s">
        <v>4347</v>
      </c>
      <c r="FP6" s="1116" t="s">
        <v>1149</v>
      </c>
      <c r="FQ6" s="560" t="s">
        <v>4348</v>
      </c>
      <c r="FR6" s="560" t="s">
        <v>4349</v>
      </c>
      <c r="FS6" s="560" t="s">
        <v>4350</v>
      </c>
      <c r="FT6" s="560" t="s">
        <v>4351</v>
      </c>
      <c r="FU6" s="560" t="s">
        <v>4352</v>
      </c>
      <c r="FV6" s="560" t="s">
        <v>4353</v>
      </c>
      <c r="FW6" s="560" t="s">
        <v>4354</v>
      </c>
      <c r="FX6" s="560" t="s">
        <v>4355</v>
      </c>
      <c r="FY6" s="560" t="s">
        <v>4356</v>
      </c>
      <c r="FZ6" s="560" t="s">
        <v>4357</v>
      </c>
      <c r="GA6" s="560" t="s">
        <v>4358</v>
      </c>
      <c r="GB6" s="560" t="s">
        <v>4359</v>
      </c>
      <c r="GC6" s="560" t="s">
        <v>4360</v>
      </c>
      <c r="GD6" s="560" t="s">
        <v>4361</v>
      </c>
      <c r="GE6" s="560" t="s">
        <v>4362</v>
      </c>
      <c r="GF6" s="560" t="s">
        <v>4363</v>
      </c>
      <c r="GG6" s="560" t="s">
        <v>4364</v>
      </c>
      <c r="GH6" s="560" t="s">
        <v>4365</v>
      </c>
      <c r="GI6" s="560" t="s">
        <v>4366</v>
      </c>
      <c r="GJ6" s="560" t="s">
        <v>4367</v>
      </c>
      <c r="GK6" s="560" t="s">
        <v>4368</v>
      </c>
      <c r="GL6" s="560" t="s">
        <v>4369</v>
      </c>
      <c r="GM6" s="560" t="s">
        <v>4370</v>
      </c>
      <c r="GN6" s="560" t="s">
        <v>4371</v>
      </c>
      <c r="GO6" s="560" t="s">
        <v>4372</v>
      </c>
      <c r="GP6" s="560" t="s">
        <v>4373</v>
      </c>
      <c r="GQ6" s="560" t="s">
        <v>4374</v>
      </c>
      <c r="GR6" s="560" t="s">
        <v>4375</v>
      </c>
      <c r="GS6" s="560" t="s">
        <v>4376</v>
      </c>
      <c r="GT6" s="1116" t="s">
        <v>1216</v>
      </c>
      <c r="GU6" s="560" t="s">
        <v>4377</v>
      </c>
      <c r="GV6" s="560" t="s">
        <v>4378</v>
      </c>
      <c r="GW6" s="560" t="s">
        <v>4379</v>
      </c>
      <c r="GX6" s="560" t="s">
        <v>4380</v>
      </c>
      <c r="GY6" s="560" t="s">
        <v>4381</v>
      </c>
      <c r="GZ6" s="560" t="s">
        <v>4382</v>
      </c>
      <c r="HA6" s="560" t="s">
        <v>4383</v>
      </c>
      <c r="HB6" s="560" t="s">
        <v>4384</v>
      </c>
      <c r="HC6" s="560" t="s">
        <v>4385</v>
      </c>
      <c r="HD6" s="560" t="s">
        <v>4386</v>
      </c>
      <c r="HE6" s="1116" t="s">
        <v>1242</v>
      </c>
      <c r="HF6" s="560" t="s">
        <v>4387</v>
      </c>
      <c r="HG6" s="1116" t="s">
        <v>1248</v>
      </c>
      <c r="HH6" s="560" t="s">
        <v>4388</v>
      </c>
      <c r="HI6" s="1116" t="s">
        <v>1257</v>
      </c>
      <c r="HJ6" s="560" t="s">
        <v>4389</v>
      </c>
      <c r="HK6" s="560" t="s">
        <v>4390</v>
      </c>
      <c r="HL6" s="560" t="s">
        <v>4391</v>
      </c>
      <c r="HM6" s="560" t="s">
        <v>4392</v>
      </c>
      <c r="HN6" s="1116" t="s">
        <v>1270</v>
      </c>
      <c r="HO6" s="560" t="s">
        <v>4393</v>
      </c>
      <c r="HP6" s="560" t="s">
        <v>4394</v>
      </c>
      <c r="HQ6" s="560" t="s">
        <v>4395</v>
      </c>
      <c r="HR6" s="560" t="s">
        <v>4396</v>
      </c>
      <c r="HS6" s="560" t="s">
        <v>4397</v>
      </c>
      <c r="HT6" s="560" t="s">
        <v>4398</v>
      </c>
      <c r="HU6" s="560" t="s">
        <v>4399</v>
      </c>
      <c r="HV6" s="560" t="s">
        <v>4400</v>
      </c>
      <c r="HW6" s="560" t="s">
        <v>4401</v>
      </c>
      <c r="HX6" s="560" t="s">
        <v>4402</v>
      </c>
      <c r="HY6" s="560" t="s">
        <v>4403</v>
      </c>
      <c r="HZ6" s="560" t="s">
        <v>4404</v>
      </c>
      <c r="IA6" s="506" t="s">
        <v>4405</v>
      </c>
      <c r="IB6" s="506" t="s">
        <v>4406</v>
      </c>
      <c r="IC6" s="506" t="s">
        <v>4407</v>
      </c>
      <c r="ID6" s="506" t="s">
        <v>4408</v>
      </c>
      <c r="IE6" s="506" t="s">
        <v>4409</v>
      </c>
      <c r="IF6" s="506" t="s">
        <v>4410</v>
      </c>
      <c r="IG6" s="506" t="s">
        <v>4411</v>
      </c>
      <c r="IH6" s="506" t="s">
        <v>4412</v>
      </c>
      <c r="II6" s="506" t="s">
        <v>4413</v>
      </c>
      <c r="IJ6" s="1116" t="s">
        <v>1323</v>
      </c>
      <c r="IK6" s="560" t="s">
        <v>4414</v>
      </c>
      <c r="IL6" s="560" t="s">
        <v>4415</v>
      </c>
      <c r="IM6" s="560" t="s">
        <v>4416</v>
      </c>
      <c r="IN6" s="560" t="s">
        <v>4417</v>
      </c>
      <c r="IO6" s="560" t="s">
        <v>4418</v>
      </c>
      <c r="IP6" s="560" t="s">
        <v>4419</v>
      </c>
      <c r="IQ6" s="1116" t="s">
        <v>1349</v>
      </c>
      <c r="IR6" s="506" t="s">
        <v>75</v>
      </c>
      <c r="IS6" s="506" t="s">
        <v>78</v>
      </c>
      <c r="IT6" s="506" t="s">
        <v>81</v>
      </c>
      <c r="IU6" s="506" t="s">
        <v>84</v>
      </c>
      <c r="IV6" s="506" t="s">
        <v>87</v>
      </c>
      <c r="IW6" s="506" t="s">
        <v>90</v>
      </c>
      <c r="IX6" s="506" t="s">
        <v>93</v>
      </c>
      <c r="IY6" s="506" t="s">
        <v>96</v>
      </c>
      <c r="IZ6" s="506" t="s">
        <v>99</v>
      </c>
      <c r="JA6" s="506" t="s">
        <v>102</v>
      </c>
      <c r="JB6" s="506" t="s">
        <v>105</v>
      </c>
      <c r="JC6" s="506" t="s">
        <v>108</v>
      </c>
      <c r="JD6" s="506" t="s">
        <v>111</v>
      </c>
      <c r="JE6" s="506" t="s">
        <v>4420</v>
      </c>
      <c r="JF6" s="506" t="s">
        <v>4421</v>
      </c>
      <c r="JG6" s="506" t="s">
        <v>4422</v>
      </c>
      <c r="JH6" s="506" t="s">
        <v>369</v>
      </c>
      <c r="JI6" s="506" t="s">
        <v>4423</v>
      </c>
      <c r="JJ6" s="506" t="s">
        <v>125</v>
      </c>
      <c r="JK6" s="506" t="s">
        <v>4424</v>
      </c>
      <c r="JL6" s="506" t="s">
        <v>4425</v>
      </c>
      <c r="JM6" s="506" t="s">
        <v>4426</v>
      </c>
      <c r="JN6" s="506" t="s">
        <v>4427</v>
      </c>
      <c r="JO6" s="506" t="s">
        <v>4428</v>
      </c>
      <c r="JP6" s="506" t="s">
        <v>138</v>
      </c>
      <c r="JQ6" s="506" t="s">
        <v>141</v>
      </c>
      <c r="JR6" s="506" t="s">
        <v>144</v>
      </c>
      <c r="JS6" s="506" t="s">
        <v>147</v>
      </c>
      <c r="JT6" s="506" t="s">
        <v>150</v>
      </c>
      <c r="JU6" s="506" t="s">
        <v>152</v>
      </c>
      <c r="JV6" s="506" t="s">
        <v>4429</v>
      </c>
      <c r="JW6" s="506" t="s">
        <v>4430</v>
      </c>
      <c r="JX6" s="506" t="s">
        <v>4431</v>
      </c>
      <c r="JY6" s="506" t="s">
        <v>4432</v>
      </c>
      <c r="JZ6" s="506" t="s">
        <v>4433</v>
      </c>
      <c r="KA6" s="506" t="s">
        <v>4434</v>
      </c>
      <c r="KB6" s="506" t="s">
        <v>166</v>
      </c>
      <c r="KC6" s="506" t="s">
        <v>168</v>
      </c>
      <c r="KD6" s="506" t="s">
        <v>170</v>
      </c>
      <c r="KE6" s="506" t="s">
        <v>4435</v>
      </c>
      <c r="KF6" s="506" t="s">
        <v>4436</v>
      </c>
      <c r="KG6" s="506" t="s">
        <v>4437</v>
      </c>
      <c r="KH6" s="506" t="s">
        <v>4438</v>
      </c>
      <c r="KI6" s="506" t="s">
        <v>201</v>
      </c>
      <c r="KJ6" s="506" t="s">
        <v>4439</v>
      </c>
      <c r="KK6" s="506" t="s">
        <v>4440</v>
      </c>
      <c r="KL6" s="506" t="s">
        <v>4441</v>
      </c>
      <c r="KM6" s="506" t="s">
        <v>4442</v>
      </c>
      <c r="KN6" s="506" t="s">
        <v>4443</v>
      </c>
      <c r="KO6" s="506" t="s">
        <v>4444</v>
      </c>
      <c r="KP6" s="506" t="s">
        <v>4445</v>
      </c>
      <c r="KQ6" s="560" t="s">
        <v>4446</v>
      </c>
      <c r="KR6" s="506" t="s">
        <v>4447</v>
      </c>
      <c r="KS6" s="506" t="s">
        <v>4448</v>
      </c>
      <c r="KT6" s="506" t="s">
        <v>4449</v>
      </c>
      <c r="KU6" s="506" t="s">
        <v>4450</v>
      </c>
      <c r="KV6" s="506" t="s">
        <v>229</v>
      </c>
      <c r="KW6" s="506" t="s">
        <v>4451</v>
      </c>
      <c r="KX6" s="560" t="s">
        <v>4452</v>
      </c>
      <c r="KY6" s="506" t="s">
        <v>4453</v>
      </c>
      <c r="KZ6" s="560" t="s">
        <v>4454</v>
      </c>
      <c r="LA6" s="506" t="s">
        <v>4455</v>
      </c>
      <c r="LB6" s="506" t="s">
        <v>241</v>
      </c>
      <c r="LC6" s="506" t="s">
        <v>4456</v>
      </c>
      <c r="LD6" s="560" t="s">
        <v>4457</v>
      </c>
      <c r="LE6" s="506" t="s">
        <v>4458</v>
      </c>
      <c r="LF6" s="560" t="s">
        <v>4459</v>
      </c>
      <c r="LG6" s="506" t="s">
        <v>4460</v>
      </c>
      <c r="LH6" s="506" t="s">
        <v>4461</v>
      </c>
      <c r="LI6" s="560" t="s">
        <v>4462</v>
      </c>
      <c r="LJ6" s="560" t="s">
        <v>4463</v>
      </c>
      <c r="LK6" s="506" t="s">
        <v>4464</v>
      </c>
      <c r="LL6" s="560" t="s">
        <v>4465</v>
      </c>
      <c r="LM6" s="506" t="s">
        <v>4466</v>
      </c>
      <c r="LN6" s="506" t="s">
        <v>4467</v>
      </c>
      <c r="LO6" s="560" t="s">
        <v>4468</v>
      </c>
      <c r="LP6" s="560" t="s">
        <v>4469</v>
      </c>
      <c r="LQ6" s="506" t="s">
        <v>4470</v>
      </c>
      <c r="LR6" s="560" t="s">
        <v>4471</v>
      </c>
      <c r="LS6" s="506" t="s">
        <v>4472</v>
      </c>
      <c r="LT6" s="506" t="s">
        <v>4473</v>
      </c>
      <c r="LU6" s="506" t="s">
        <v>4474</v>
      </c>
      <c r="LV6" s="506" t="s">
        <v>4475</v>
      </c>
      <c r="LW6" s="506" t="s">
        <v>4476</v>
      </c>
      <c r="LX6" s="506" t="s">
        <v>4477</v>
      </c>
      <c r="LY6" s="506" t="s">
        <v>4478</v>
      </c>
      <c r="LZ6" s="506" t="s">
        <v>4479</v>
      </c>
      <c r="MA6" s="506" t="s">
        <v>329</v>
      </c>
      <c r="MB6" s="506" t="s">
        <v>331</v>
      </c>
      <c r="MC6" s="506" t="s">
        <v>4480</v>
      </c>
      <c r="MD6" s="506" t="s">
        <v>4481</v>
      </c>
      <c r="ME6" s="506" t="s">
        <v>4482</v>
      </c>
      <c r="MF6" s="560" t="s">
        <v>4483</v>
      </c>
      <c r="MG6" s="560" t="s">
        <v>4484</v>
      </c>
      <c r="MH6" s="506" t="s">
        <v>4485</v>
      </c>
      <c r="MI6" s="506" t="s">
        <v>4486</v>
      </c>
      <c r="MJ6" s="506" t="s">
        <v>363</v>
      </c>
      <c r="MK6" s="506" t="s">
        <v>4487</v>
      </c>
      <c r="ML6" s="1118" t="s">
        <v>4488</v>
      </c>
      <c r="MM6" s="1118" t="s">
        <v>4489</v>
      </c>
      <c r="MN6" s="1118" t="s">
        <v>4490</v>
      </c>
      <c r="MO6" s="1118" t="s">
        <v>4491</v>
      </c>
      <c r="MP6" s="1118" t="s">
        <v>4492</v>
      </c>
      <c r="MQ6" s="506" t="s">
        <v>4493</v>
      </c>
      <c r="MR6" s="506" t="s">
        <v>4494</v>
      </c>
      <c r="MS6" s="506" t="s">
        <v>4495</v>
      </c>
      <c r="MT6" s="506" t="s">
        <v>4496</v>
      </c>
      <c r="MU6" s="506" t="s">
        <v>4497</v>
      </c>
      <c r="MV6" s="506" t="s">
        <v>4498</v>
      </c>
      <c r="MW6" s="506" t="s">
        <v>4499</v>
      </c>
      <c r="MX6" s="506" t="s">
        <v>4500</v>
      </c>
      <c r="MY6" s="506" t="s">
        <v>4501</v>
      </c>
      <c r="MZ6" s="506" t="s">
        <v>4502</v>
      </c>
      <c r="NA6" s="506" t="s">
        <v>4503</v>
      </c>
      <c r="NB6" s="506" t="s">
        <v>4504</v>
      </c>
      <c r="NC6" s="506" t="s">
        <v>4505</v>
      </c>
      <c r="ND6" s="506" t="s">
        <v>4506</v>
      </c>
      <c r="NE6" s="560" t="s">
        <v>4507</v>
      </c>
      <c r="NF6" s="560" t="s">
        <v>4508</v>
      </c>
      <c r="NG6" s="560" t="s">
        <v>4509</v>
      </c>
      <c r="NH6" s="560" t="s">
        <v>4510</v>
      </c>
      <c r="NI6" s="560" t="s">
        <v>4511</v>
      </c>
      <c r="NJ6" s="560" t="s">
        <v>4512</v>
      </c>
      <c r="NK6" s="560" t="s">
        <v>4513</v>
      </c>
      <c r="NL6" s="560" t="s">
        <v>4514</v>
      </c>
      <c r="NM6" s="560" t="s">
        <v>4515</v>
      </c>
      <c r="NN6" s="560" t="s">
        <v>4516</v>
      </c>
      <c r="NO6" s="560" t="s">
        <v>4517</v>
      </c>
      <c r="NP6" s="560" t="s">
        <v>4518</v>
      </c>
      <c r="NQ6" s="560" t="s">
        <v>4519</v>
      </c>
      <c r="NR6" s="560" t="s">
        <v>4520</v>
      </c>
      <c r="NS6" s="560" t="s">
        <v>4521</v>
      </c>
      <c r="NT6" s="560" t="s">
        <v>4522</v>
      </c>
      <c r="NU6" s="560" t="s">
        <v>4523</v>
      </c>
      <c r="NV6" s="560" t="s">
        <v>4524</v>
      </c>
      <c r="NW6" s="560" t="s">
        <v>4525</v>
      </c>
      <c r="NX6" s="506" t="s">
        <v>4526</v>
      </c>
      <c r="NY6" s="506" t="s">
        <v>4527</v>
      </c>
      <c r="NZ6" s="560" t="s">
        <v>4528</v>
      </c>
      <c r="OA6" s="560" t="s">
        <v>4529</v>
      </c>
      <c r="OB6" s="560" t="s">
        <v>4530</v>
      </c>
      <c r="OC6" s="560" t="s">
        <v>4531</v>
      </c>
      <c r="OD6" s="560" t="s">
        <v>4532</v>
      </c>
      <c r="OE6" s="560" t="s">
        <v>4533</v>
      </c>
      <c r="OF6" s="560" t="s">
        <v>4534</v>
      </c>
      <c r="OG6" s="560" t="s">
        <v>4535</v>
      </c>
      <c r="OH6" s="560" t="s">
        <v>4536</v>
      </c>
      <c r="OI6" s="560" t="s">
        <v>4537</v>
      </c>
      <c r="OJ6" s="560" t="s">
        <v>4538</v>
      </c>
      <c r="OK6" s="560" t="s">
        <v>4539</v>
      </c>
      <c r="OL6" s="560" t="s">
        <v>4540</v>
      </c>
      <c r="OM6" s="560" t="s">
        <v>4541</v>
      </c>
      <c r="ON6" s="560" t="s">
        <v>4542</v>
      </c>
      <c r="OO6" s="560" t="s">
        <v>4543</v>
      </c>
      <c r="OP6" s="560" t="s">
        <v>4544</v>
      </c>
      <c r="OQ6" s="560" t="s">
        <v>4545</v>
      </c>
      <c r="OR6" s="560" t="s">
        <v>4546</v>
      </c>
      <c r="OS6" s="560" t="s">
        <v>4547</v>
      </c>
      <c r="OT6" s="560" t="s">
        <v>4548</v>
      </c>
      <c r="OU6" s="560" t="s">
        <v>4549</v>
      </c>
      <c r="OV6" s="560" t="s">
        <v>4550</v>
      </c>
      <c r="OW6" s="506" t="s">
        <v>4551</v>
      </c>
      <c r="OX6" s="506" t="s">
        <v>4552</v>
      </c>
      <c r="OY6" s="560" t="s">
        <v>4553</v>
      </c>
      <c r="OZ6" s="560" t="s">
        <v>4554</v>
      </c>
      <c r="PA6" s="560" t="s">
        <v>4555</v>
      </c>
      <c r="PB6" s="560" t="s">
        <v>4556</v>
      </c>
      <c r="PC6" s="560" t="s">
        <v>4557</v>
      </c>
      <c r="PD6" s="560" t="s">
        <v>4558</v>
      </c>
      <c r="PE6" s="560" t="s">
        <v>4559</v>
      </c>
      <c r="PF6" s="560" t="s">
        <v>4560</v>
      </c>
      <c r="PG6" s="560" t="s">
        <v>4561</v>
      </c>
      <c r="PH6" s="560" t="s">
        <v>4562</v>
      </c>
      <c r="PI6" s="560" t="s">
        <v>4563</v>
      </c>
      <c r="PJ6" s="560" t="s">
        <v>4564</v>
      </c>
      <c r="PP6" s="1028"/>
      <c r="PQ6" s="1028"/>
      <c r="PR6" s="1028"/>
    </row>
    <row r="7" spans="1:434" s="506" customFormat="1" x14ac:dyDescent="0.25">
      <c r="PP7" s="1028"/>
      <c r="PQ7" s="1028"/>
      <c r="PR7" s="1028"/>
    </row>
    <row r="8" spans="1:434" ht="14" x14ac:dyDescent="0.3">
      <c r="A8" t="s">
        <v>2447</v>
      </c>
      <c r="B8" t="s">
        <v>2448</v>
      </c>
      <c r="C8" t="s">
        <v>2449</v>
      </c>
      <c r="E8" t="s">
        <v>384</v>
      </c>
      <c r="F8" s="561">
        <v>0</v>
      </c>
      <c r="G8" s="561">
        <v>0</v>
      </c>
      <c r="H8" s="561">
        <v>0</v>
      </c>
      <c r="I8" s="561">
        <v>0</v>
      </c>
      <c r="J8" s="561">
        <v>0</v>
      </c>
      <c r="K8" s="561">
        <v>0</v>
      </c>
      <c r="L8" s="561">
        <v>0</v>
      </c>
      <c r="M8" s="561">
        <v>0</v>
      </c>
      <c r="N8" s="561">
        <v>21</v>
      </c>
      <c r="O8" s="561">
        <v>0</v>
      </c>
      <c r="P8" s="561">
        <v>0</v>
      </c>
      <c r="Q8" s="561">
        <v>0</v>
      </c>
      <c r="R8" s="561">
        <v>0</v>
      </c>
      <c r="S8" s="561">
        <v>0</v>
      </c>
      <c r="T8" s="561">
        <v>0</v>
      </c>
      <c r="U8" s="561">
        <v>0</v>
      </c>
      <c r="V8" s="561">
        <v>43</v>
      </c>
      <c r="W8" s="561">
        <v>0</v>
      </c>
      <c r="X8" s="561">
        <v>0</v>
      </c>
      <c r="Y8" s="561">
        <v>0</v>
      </c>
      <c r="Z8" s="561">
        <v>0</v>
      </c>
      <c r="AA8" s="561">
        <v>27</v>
      </c>
      <c r="AB8" s="561">
        <v>-306</v>
      </c>
      <c r="AC8" s="561">
        <v>0</v>
      </c>
      <c r="AD8" s="561">
        <v>0</v>
      </c>
      <c r="AE8" s="561">
        <v>18</v>
      </c>
      <c r="AF8" s="561">
        <v>0</v>
      </c>
      <c r="AG8" s="561">
        <v>0</v>
      </c>
      <c r="AH8" s="561">
        <v>3</v>
      </c>
      <c r="AI8" s="561">
        <v>0</v>
      </c>
      <c r="AJ8" s="561">
        <v>-194</v>
      </c>
      <c r="AK8" s="561">
        <v>2</v>
      </c>
      <c r="AL8" s="561">
        <v>0</v>
      </c>
      <c r="AM8" s="561">
        <v>0</v>
      </c>
      <c r="AN8" s="561">
        <v>0</v>
      </c>
      <c r="AO8" s="561">
        <v>0</v>
      </c>
      <c r="AP8" s="561">
        <v>0</v>
      </c>
      <c r="AQ8" s="561">
        <v>0</v>
      </c>
      <c r="AR8" s="561">
        <v>0</v>
      </c>
      <c r="AS8" s="561">
        <v>0</v>
      </c>
      <c r="AT8" s="561">
        <v>67</v>
      </c>
      <c r="AU8" s="561">
        <v>0</v>
      </c>
      <c r="AV8" s="561">
        <v>0</v>
      </c>
      <c r="AW8" s="561">
        <v>0</v>
      </c>
      <c r="AX8" s="561">
        <v>0</v>
      </c>
      <c r="AY8" s="561">
        <v>0</v>
      </c>
      <c r="AZ8" s="561">
        <v>0</v>
      </c>
      <c r="BA8" s="561">
        <v>0</v>
      </c>
      <c r="BB8" s="561">
        <v>0</v>
      </c>
      <c r="BC8" s="561">
        <v>0</v>
      </c>
      <c r="BD8" s="561">
        <v>0</v>
      </c>
      <c r="BE8" s="561">
        <v>0</v>
      </c>
      <c r="BF8" s="561">
        <v>0</v>
      </c>
      <c r="BG8" s="561">
        <v>0</v>
      </c>
      <c r="BH8" s="561">
        <v>0</v>
      </c>
      <c r="BI8" s="561">
        <v>0</v>
      </c>
      <c r="BJ8" s="561">
        <v>0</v>
      </c>
      <c r="BK8" s="561">
        <v>0</v>
      </c>
      <c r="BL8" s="561">
        <v>0</v>
      </c>
      <c r="BM8" s="561">
        <v>0</v>
      </c>
      <c r="BN8" s="561">
        <v>0</v>
      </c>
      <c r="BO8" s="561">
        <v>0</v>
      </c>
      <c r="BP8" s="561">
        <v>0</v>
      </c>
      <c r="BQ8" s="561">
        <v>0</v>
      </c>
      <c r="BR8" s="561">
        <v>0</v>
      </c>
      <c r="BS8" s="561">
        <v>0</v>
      </c>
      <c r="BT8" s="561">
        <v>0</v>
      </c>
      <c r="BU8" s="561">
        <v>0</v>
      </c>
      <c r="BV8" s="561">
        <v>0</v>
      </c>
      <c r="BW8" s="561">
        <v>0</v>
      </c>
      <c r="BX8" s="561">
        <v>0</v>
      </c>
      <c r="BY8" s="561">
        <v>0</v>
      </c>
      <c r="BZ8" s="561">
        <v>0</v>
      </c>
      <c r="CA8" s="561">
        <v>0</v>
      </c>
      <c r="CB8" s="561">
        <v>0</v>
      </c>
      <c r="CC8" s="561">
        <v>0</v>
      </c>
      <c r="CD8" s="561">
        <v>0</v>
      </c>
      <c r="CE8" s="561">
        <v>0</v>
      </c>
      <c r="CF8" s="561">
        <v>0</v>
      </c>
      <c r="CG8" s="561">
        <v>0</v>
      </c>
      <c r="CH8" s="561">
        <v>0</v>
      </c>
      <c r="CI8" s="561">
        <v>0</v>
      </c>
      <c r="CJ8" s="561">
        <v>0</v>
      </c>
      <c r="CK8" s="561">
        <v>0</v>
      </c>
      <c r="CL8" s="561">
        <v>0</v>
      </c>
      <c r="CM8" s="561">
        <v>0</v>
      </c>
      <c r="CN8" s="561">
        <v>0</v>
      </c>
      <c r="CO8" s="561">
        <v>0</v>
      </c>
      <c r="CP8" s="561">
        <v>0</v>
      </c>
      <c r="CQ8" s="561">
        <v>0</v>
      </c>
      <c r="CR8" s="561">
        <v>0</v>
      </c>
      <c r="CS8" s="561">
        <v>0</v>
      </c>
      <c r="CT8" s="561">
        <v>0</v>
      </c>
      <c r="CU8" s="561">
        <v>0</v>
      </c>
      <c r="CV8" s="561">
        <v>0</v>
      </c>
      <c r="CW8" s="561">
        <v>0</v>
      </c>
      <c r="CX8" s="561">
        <v>0</v>
      </c>
      <c r="CY8" s="561">
        <v>0</v>
      </c>
      <c r="CZ8" s="561">
        <v>0</v>
      </c>
      <c r="DA8" s="561">
        <v>0</v>
      </c>
      <c r="DB8" s="561">
        <v>0</v>
      </c>
      <c r="DC8" s="561">
        <v>0</v>
      </c>
      <c r="DD8" s="561">
        <v>0</v>
      </c>
      <c r="DE8" s="561">
        <v>0</v>
      </c>
      <c r="DF8" s="561">
        <v>0</v>
      </c>
      <c r="DG8" s="561">
        <v>0</v>
      </c>
      <c r="DH8" s="561">
        <v>23</v>
      </c>
      <c r="DI8" s="561">
        <v>0</v>
      </c>
      <c r="DJ8" s="561">
        <v>87</v>
      </c>
      <c r="DK8" s="561">
        <v>0</v>
      </c>
      <c r="DL8" s="561">
        <v>0</v>
      </c>
      <c r="DM8" s="561">
        <v>230</v>
      </c>
      <c r="DN8" s="561">
        <v>0</v>
      </c>
      <c r="DO8" s="561">
        <v>1681</v>
      </c>
      <c r="DP8" s="561">
        <v>-17</v>
      </c>
      <c r="DQ8" s="561">
        <v>0</v>
      </c>
      <c r="DR8" s="561">
        <v>0</v>
      </c>
      <c r="DS8" s="561">
        <v>354</v>
      </c>
      <c r="DT8" s="561">
        <v>0</v>
      </c>
      <c r="DU8" s="561">
        <v>2248</v>
      </c>
      <c r="DV8" s="561">
        <v>0</v>
      </c>
      <c r="DW8" s="561">
        <v>0</v>
      </c>
      <c r="DX8" s="561">
        <v>-33</v>
      </c>
      <c r="DY8" s="561">
        <v>461</v>
      </c>
      <c r="DZ8" s="561">
        <v>0</v>
      </c>
      <c r="EA8" s="561">
        <v>0</v>
      </c>
      <c r="EB8" s="561">
        <v>0</v>
      </c>
      <c r="EC8" s="561">
        <v>2786</v>
      </c>
      <c r="ED8" s="561">
        <v>41</v>
      </c>
      <c r="EE8" s="561">
        <v>14302</v>
      </c>
      <c r="EF8" s="561">
        <v>509</v>
      </c>
      <c r="EG8" s="561">
        <v>852</v>
      </c>
      <c r="EH8" s="561">
        <v>0</v>
      </c>
      <c r="EI8" s="561">
        <v>0</v>
      </c>
      <c r="EJ8" s="561">
        <v>0</v>
      </c>
      <c r="EK8" s="561">
        <v>0</v>
      </c>
      <c r="EL8" s="561">
        <v>0</v>
      </c>
      <c r="EM8" s="561">
        <v>0</v>
      </c>
      <c r="EN8" s="561">
        <v>3558</v>
      </c>
      <c r="EO8" s="561">
        <v>3898</v>
      </c>
      <c r="EP8" s="561">
        <v>736</v>
      </c>
      <c r="EQ8" s="561">
        <v>434</v>
      </c>
      <c r="ER8" s="561">
        <v>2736</v>
      </c>
      <c r="ES8" s="561" t="s">
        <v>4565</v>
      </c>
      <c r="ET8" s="561">
        <v>0</v>
      </c>
      <c r="EU8" s="561">
        <v>3370</v>
      </c>
      <c r="EV8" s="561">
        <v>0</v>
      </c>
      <c r="EW8" s="561">
        <v>0</v>
      </c>
      <c r="EX8" s="561">
        <v>0</v>
      </c>
      <c r="EY8" s="561">
        <v>9</v>
      </c>
      <c r="EZ8" s="561">
        <v>922</v>
      </c>
      <c r="FA8" s="561">
        <v>741</v>
      </c>
      <c r="FB8" s="561">
        <v>0</v>
      </c>
      <c r="FC8" s="561">
        <v>0</v>
      </c>
      <c r="FD8" s="561">
        <v>0</v>
      </c>
      <c r="FE8" s="561">
        <v>0</v>
      </c>
      <c r="FF8" s="561">
        <v>0</v>
      </c>
      <c r="FG8" s="561">
        <v>115</v>
      </c>
      <c r="FH8" s="561">
        <v>-65</v>
      </c>
      <c r="FI8" s="561">
        <v>123</v>
      </c>
      <c r="FJ8" s="561">
        <v>-181</v>
      </c>
      <c r="FK8" s="561">
        <v>825</v>
      </c>
      <c r="FL8" s="561">
        <v>12</v>
      </c>
      <c r="FM8" s="561">
        <v>72</v>
      </c>
      <c r="FN8" s="561">
        <v>0</v>
      </c>
      <c r="FO8" s="561">
        <v>901</v>
      </c>
      <c r="FP8" s="561">
        <v>0</v>
      </c>
      <c r="FQ8" s="561">
        <v>185</v>
      </c>
      <c r="FR8" s="561">
        <v>0</v>
      </c>
      <c r="FS8" s="561">
        <v>0</v>
      </c>
      <c r="FT8" s="561">
        <v>143</v>
      </c>
      <c r="FU8" s="561">
        <v>61</v>
      </c>
      <c r="FV8" s="561">
        <v>40</v>
      </c>
      <c r="FW8" s="561">
        <v>38</v>
      </c>
      <c r="FX8" s="561">
        <v>0</v>
      </c>
      <c r="FY8" s="561">
        <v>0</v>
      </c>
      <c r="FZ8" s="561">
        <v>0</v>
      </c>
      <c r="GA8" s="561">
        <v>202</v>
      </c>
      <c r="GB8" s="561">
        <v>324</v>
      </c>
      <c r="GC8" s="561">
        <v>193</v>
      </c>
      <c r="GD8" s="561">
        <v>0</v>
      </c>
      <c r="GE8" s="561">
        <v>193</v>
      </c>
      <c r="GF8" s="561">
        <v>4</v>
      </c>
      <c r="GG8" s="561">
        <v>0</v>
      </c>
      <c r="GH8" s="561">
        <v>6</v>
      </c>
      <c r="GI8" s="561">
        <v>0</v>
      </c>
      <c r="GJ8" s="561">
        <v>34</v>
      </c>
      <c r="GK8" s="561">
        <v>0</v>
      </c>
      <c r="GL8" s="561">
        <v>578</v>
      </c>
      <c r="GM8" s="561">
        <v>552</v>
      </c>
      <c r="GN8" s="561">
        <v>0</v>
      </c>
      <c r="GO8" s="561">
        <v>-258</v>
      </c>
      <c r="GP8" s="561">
        <v>288</v>
      </c>
      <c r="GQ8" s="561">
        <v>0</v>
      </c>
      <c r="GR8" s="561">
        <v>0</v>
      </c>
      <c r="GS8" s="561">
        <v>2583</v>
      </c>
      <c r="GT8" s="561">
        <v>240</v>
      </c>
      <c r="GU8" s="561">
        <v>305</v>
      </c>
      <c r="GV8" s="561">
        <v>767</v>
      </c>
      <c r="GW8" s="561">
        <v>564</v>
      </c>
      <c r="GX8" s="561">
        <v>10</v>
      </c>
      <c r="GY8" s="561">
        <v>3</v>
      </c>
      <c r="GZ8" s="561">
        <v>389</v>
      </c>
      <c r="HA8" s="561">
        <v>0</v>
      </c>
      <c r="HB8" s="561">
        <v>0</v>
      </c>
      <c r="HC8" s="561">
        <v>80</v>
      </c>
      <c r="HD8" s="561">
        <v>2118</v>
      </c>
      <c r="HE8" s="561">
        <v>0</v>
      </c>
      <c r="HF8" s="561">
        <v>5602</v>
      </c>
      <c r="HG8" s="561">
        <v>0</v>
      </c>
      <c r="HH8" s="561">
        <v>0</v>
      </c>
      <c r="HI8" s="561">
        <v>0</v>
      </c>
      <c r="HJ8" s="561">
        <v>0</v>
      </c>
      <c r="HK8" s="561">
        <v>0</v>
      </c>
      <c r="HL8" s="561">
        <v>0</v>
      </c>
      <c r="HM8" s="561">
        <v>0</v>
      </c>
      <c r="HN8" s="561">
        <v>0</v>
      </c>
      <c r="HO8" s="561">
        <v>2171</v>
      </c>
      <c r="HP8" s="561">
        <v>137</v>
      </c>
      <c r="HQ8" s="561">
        <v>0</v>
      </c>
      <c r="HR8" s="561">
        <v>0</v>
      </c>
      <c r="HS8" s="561">
        <v>112</v>
      </c>
      <c r="HT8" s="561">
        <v>14</v>
      </c>
      <c r="HU8" s="561">
        <v>0</v>
      </c>
      <c r="HV8" s="561">
        <v>0</v>
      </c>
      <c r="HW8" s="561">
        <v>164</v>
      </c>
      <c r="HX8" s="561">
        <v>268</v>
      </c>
      <c r="HY8" s="561">
        <v>28</v>
      </c>
      <c r="HZ8" s="561">
        <v>43</v>
      </c>
      <c r="IA8" s="561">
        <v>0</v>
      </c>
      <c r="IB8" s="561">
        <v>0</v>
      </c>
      <c r="IC8" s="561">
        <v>0</v>
      </c>
      <c r="ID8" s="561">
        <v>0</v>
      </c>
      <c r="IE8" s="561">
        <v>729</v>
      </c>
      <c r="IF8" s="561">
        <v>0</v>
      </c>
      <c r="IG8" s="561">
        <v>0</v>
      </c>
      <c r="IH8" s="561">
        <v>217</v>
      </c>
      <c r="II8" s="561">
        <v>3883</v>
      </c>
      <c r="IJ8" s="561">
        <v>93</v>
      </c>
      <c r="IK8" s="561">
        <v>1212</v>
      </c>
      <c r="IL8" s="561">
        <v>0</v>
      </c>
      <c r="IM8" s="561">
        <v>0</v>
      </c>
      <c r="IN8" s="561">
        <v>0</v>
      </c>
      <c r="IO8" s="561">
        <v>0</v>
      </c>
      <c r="IP8" s="561">
        <v>0</v>
      </c>
      <c r="IQ8" s="561">
        <v>0</v>
      </c>
      <c r="IR8" s="561">
        <v>0</v>
      </c>
      <c r="IS8" s="561">
        <v>-194</v>
      </c>
      <c r="IT8" s="561">
        <v>0</v>
      </c>
      <c r="IU8" s="561">
        <v>0</v>
      </c>
      <c r="IV8" s="561">
        <v>0</v>
      </c>
      <c r="IW8" s="561">
        <v>2786</v>
      </c>
      <c r="IX8" s="561">
        <v>901</v>
      </c>
      <c r="IY8" s="561">
        <v>2583</v>
      </c>
      <c r="IZ8" s="561">
        <v>2118</v>
      </c>
      <c r="JA8" s="561">
        <v>0</v>
      </c>
      <c r="JB8" s="561">
        <v>0</v>
      </c>
      <c r="JC8" s="561">
        <v>3883</v>
      </c>
      <c r="JD8" s="561">
        <v>0</v>
      </c>
      <c r="JE8" s="561">
        <v>12077</v>
      </c>
      <c r="JF8" s="561">
        <v>6079</v>
      </c>
      <c r="JG8" s="561">
        <v>725</v>
      </c>
      <c r="JH8" s="561">
        <v>4545</v>
      </c>
      <c r="JI8" s="561">
        <v>0</v>
      </c>
      <c r="JJ8" s="561">
        <v>0</v>
      </c>
      <c r="JK8" s="561">
        <v>457</v>
      </c>
      <c r="JL8" s="561">
        <v>0</v>
      </c>
      <c r="JM8" s="561">
        <v>0</v>
      </c>
      <c r="JN8" s="561">
        <v>0</v>
      </c>
      <c r="JO8" s="561">
        <v>0</v>
      </c>
      <c r="JP8" s="561">
        <v>0</v>
      </c>
      <c r="JQ8" s="561">
        <v>0</v>
      </c>
      <c r="JR8" s="561">
        <v>0</v>
      </c>
      <c r="JS8" s="561">
        <v>0</v>
      </c>
      <c r="JT8" s="561">
        <v>0</v>
      </c>
      <c r="JU8" s="561">
        <v>0</v>
      </c>
      <c r="JV8" s="561">
        <v>23883</v>
      </c>
      <c r="JW8" s="561">
        <v>0</v>
      </c>
      <c r="JX8" s="561">
        <v>80</v>
      </c>
      <c r="JY8" s="561">
        <v>0</v>
      </c>
      <c r="JZ8" s="561">
        <v>-189</v>
      </c>
      <c r="KA8" s="561">
        <v>0</v>
      </c>
      <c r="KB8" s="561">
        <v>0</v>
      </c>
      <c r="KC8" s="561">
        <v>2100</v>
      </c>
      <c r="KD8" s="561">
        <v>0</v>
      </c>
      <c r="KE8" s="561">
        <v>2671</v>
      </c>
      <c r="KF8" s="561">
        <v>0</v>
      </c>
      <c r="KG8" s="561">
        <v>28545</v>
      </c>
      <c r="KH8" s="561">
        <v>-4922</v>
      </c>
      <c r="KI8" s="561">
        <v>0</v>
      </c>
      <c r="KJ8" s="561">
        <v>-49</v>
      </c>
      <c r="KK8" s="561">
        <v>0</v>
      </c>
      <c r="KL8" s="561">
        <v>-11312</v>
      </c>
      <c r="KM8" s="561">
        <v>0</v>
      </c>
      <c r="KN8" s="561">
        <v>0</v>
      </c>
      <c r="KO8" s="561">
        <v>0</v>
      </c>
      <c r="KP8" s="561">
        <v>0</v>
      </c>
      <c r="KQ8" s="561">
        <v>0</v>
      </c>
      <c r="KR8" s="561">
        <v>12262</v>
      </c>
      <c r="KS8" s="561">
        <v>0</v>
      </c>
      <c r="KT8" s="561">
        <v>-2140</v>
      </c>
      <c r="KU8" s="561">
        <v>10122</v>
      </c>
      <c r="KV8" s="561">
        <v>0</v>
      </c>
      <c r="KW8" s="561">
        <v>0</v>
      </c>
      <c r="KX8" s="561">
        <v>0</v>
      </c>
      <c r="KY8" s="561">
        <v>0</v>
      </c>
      <c r="KZ8" s="561">
        <v>829</v>
      </c>
      <c r="LA8" s="561">
        <v>49</v>
      </c>
      <c r="LB8" s="561">
        <v>-79</v>
      </c>
      <c r="LC8" s="561">
        <v>0</v>
      </c>
      <c r="LD8" s="561">
        <v>-2988</v>
      </c>
      <c r="LE8" s="561">
        <v>3</v>
      </c>
      <c r="LF8" s="561">
        <v>0</v>
      </c>
      <c r="LG8" s="561">
        <v>7936</v>
      </c>
      <c r="LH8" s="561">
        <v>0</v>
      </c>
      <c r="LI8" s="561">
        <v>0</v>
      </c>
      <c r="LJ8" s="561">
        <v>0</v>
      </c>
      <c r="LK8" s="561">
        <v>0</v>
      </c>
      <c r="LL8" s="561">
        <v>2841</v>
      </c>
      <c r="LM8" s="561">
        <v>1051</v>
      </c>
      <c r="LN8" s="561">
        <v>0</v>
      </c>
      <c r="LO8" s="561">
        <v>0</v>
      </c>
      <c r="LP8" s="561">
        <v>0</v>
      </c>
      <c r="LQ8" s="561">
        <v>0</v>
      </c>
      <c r="LR8" s="561">
        <v>3670</v>
      </c>
      <c r="LS8" s="561">
        <v>1100</v>
      </c>
      <c r="LT8" s="561">
        <v>0</v>
      </c>
      <c r="LU8" s="561">
        <v>5230</v>
      </c>
      <c r="LV8" s="561">
        <v>0</v>
      </c>
      <c r="LW8" s="561">
        <v>9768</v>
      </c>
      <c r="LX8" s="561">
        <v>0</v>
      </c>
      <c r="LY8" s="561">
        <v>1</v>
      </c>
      <c r="LZ8" s="561">
        <v>14999</v>
      </c>
      <c r="MA8" s="561">
        <v>0</v>
      </c>
      <c r="MB8" s="561">
        <v>0</v>
      </c>
      <c r="MC8" s="561">
        <v>15663</v>
      </c>
      <c r="MD8" s="561">
        <v>14741</v>
      </c>
      <c r="ME8" s="561">
        <v>922</v>
      </c>
      <c r="MF8" s="561">
        <v>741</v>
      </c>
      <c r="MG8" s="561">
        <v>1663</v>
      </c>
      <c r="MH8" s="561">
        <v>2149</v>
      </c>
      <c r="MI8" s="561">
        <v>2487</v>
      </c>
      <c r="MJ8" s="561">
        <v>4636</v>
      </c>
      <c r="MK8" s="561">
        <v>457</v>
      </c>
      <c r="ML8" s="561">
        <v>0</v>
      </c>
      <c r="MM8" s="561">
        <v>433</v>
      </c>
      <c r="MN8" s="561">
        <v>1445</v>
      </c>
      <c r="MO8" s="561">
        <v>0</v>
      </c>
      <c r="MP8" s="561">
        <v>1792</v>
      </c>
      <c r="MQ8" s="561">
        <v>0</v>
      </c>
      <c r="MR8" s="561">
        <v>-194</v>
      </c>
      <c r="MS8" s="561">
        <v>0</v>
      </c>
      <c r="MT8" s="561">
        <v>0</v>
      </c>
      <c r="MU8" s="561">
        <v>0</v>
      </c>
      <c r="MV8" s="561">
        <v>2786</v>
      </c>
      <c r="MW8" s="561">
        <v>901</v>
      </c>
      <c r="MX8" s="561">
        <v>2583</v>
      </c>
      <c r="MY8" s="561">
        <v>2118</v>
      </c>
      <c r="MZ8" s="561">
        <v>0</v>
      </c>
      <c r="NA8" s="561">
        <v>0</v>
      </c>
      <c r="NB8" s="561">
        <v>3883</v>
      </c>
      <c r="NC8" s="561">
        <v>0</v>
      </c>
      <c r="ND8" s="561">
        <v>12077</v>
      </c>
      <c r="NE8" s="561">
        <v>0</v>
      </c>
      <c r="NF8" s="561">
        <v>0</v>
      </c>
      <c r="NG8" s="561">
        <v>0</v>
      </c>
      <c r="NH8" s="561">
        <v>0</v>
      </c>
      <c r="NI8" s="561">
        <v>0</v>
      </c>
      <c r="NJ8" s="561">
        <v>0</v>
      </c>
      <c r="NK8" s="561">
        <v>0</v>
      </c>
      <c r="NL8" s="561">
        <v>0</v>
      </c>
      <c r="NM8" s="561">
        <v>0</v>
      </c>
      <c r="NN8" s="561">
        <v>0</v>
      </c>
      <c r="NO8" s="561">
        <v>0</v>
      </c>
      <c r="NP8" s="561">
        <v>0</v>
      </c>
      <c r="NQ8" s="561">
        <v>0</v>
      </c>
      <c r="NR8" s="561">
        <v>0</v>
      </c>
      <c r="NS8" s="561">
        <v>0</v>
      </c>
      <c r="NT8" s="561">
        <v>0</v>
      </c>
      <c r="NU8" s="561">
        <v>0</v>
      </c>
      <c r="NV8" s="561">
        <v>0</v>
      </c>
      <c r="NW8" s="561">
        <v>0</v>
      </c>
      <c r="NX8" s="561">
        <v>0</v>
      </c>
      <c r="NY8" s="561">
        <v>0</v>
      </c>
      <c r="NZ8" s="561">
        <v>0</v>
      </c>
      <c r="OA8" s="561">
        <v>0</v>
      </c>
      <c r="OB8" s="561">
        <v>0</v>
      </c>
      <c r="OC8" s="561">
        <v>0</v>
      </c>
      <c r="OD8" s="561">
        <v>0</v>
      </c>
      <c r="OE8" s="561">
        <v>0</v>
      </c>
      <c r="OF8" s="561">
        <v>0</v>
      </c>
      <c r="OG8" s="561">
        <v>0</v>
      </c>
      <c r="OH8" s="561">
        <v>0</v>
      </c>
      <c r="OI8" s="561">
        <v>0</v>
      </c>
      <c r="OJ8" s="561">
        <v>0</v>
      </c>
      <c r="OK8" s="561">
        <v>0</v>
      </c>
      <c r="OL8" s="561">
        <v>0</v>
      </c>
      <c r="OM8" s="561">
        <v>0</v>
      </c>
      <c r="ON8" s="561">
        <v>0</v>
      </c>
      <c r="OO8" s="561">
        <v>0</v>
      </c>
      <c r="OP8" s="561">
        <v>0</v>
      </c>
      <c r="OQ8" s="561">
        <v>0</v>
      </c>
      <c r="OR8" s="561">
        <v>0</v>
      </c>
      <c r="OS8" s="561">
        <v>0</v>
      </c>
      <c r="OT8" s="561">
        <v>0</v>
      </c>
      <c r="OU8" s="561">
        <v>0</v>
      </c>
      <c r="OV8" s="561">
        <v>0</v>
      </c>
      <c r="OW8" s="561">
        <v>0</v>
      </c>
      <c r="OX8" s="561">
        <v>0</v>
      </c>
      <c r="OY8" s="561">
        <v>0</v>
      </c>
      <c r="OZ8" s="561">
        <v>0</v>
      </c>
      <c r="PA8" s="561">
        <v>0</v>
      </c>
      <c r="PB8" s="561">
        <v>0</v>
      </c>
      <c r="PC8" s="561">
        <v>0</v>
      </c>
      <c r="PD8" s="561">
        <v>0</v>
      </c>
      <c r="PE8" s="561">
        <v>0</v>
      </c>
      <c r="PF8" s="561">
        <v>0</v>
      </c>
      <c r="PG8" s="561">
        <v>0</v>
      </c>
      <c r="PH8" s="561">
        <v>0</v>
      </c>
      <c r="PI8" s="561">
        <v>0</v>
      </c>
      <c r="PJ8" s="561">
        <v>0</v>
      </c>
    </row>
    <row r="9" spans="1:434" ht="14" x14ac:dyDescent="0.3">
      <c r="A9" t="s">
        <v>2450</v>
      </c>
      <c r="B9" t="s">
        <v>2451</v>
      </c>
      <c r="C9" t="s">
        <v>2452</v>
      </c>
      <c r="E9" t="s">
        <v>384</v>
      </c>
      <c r="F9" s="561" t="s">
        <v>2453</v>
      </c>
      <c r="G9" s="561" t="s">
        <v>2453</v>
      </c>
      <c r="H9" s="561" t="s">
        <v>2453</v>
      </c>
      <c r="I9" s="561" t="s">
        <v>2453</v>
      </c>
      <c r="J9" s="561" t="s">
        <v>2453</v>
      </c>
      <c r="K9" s="561" t="s">
        <v>2453</v>
      </c>
      <c r="L9" s="561" t="s">
        <v>2453</v>
      </c>
      <c r="M9" s="561" t="s">
        <v>2453</v>
      </c>
      <c r="N9" s="561" t="s">
        <v>2453</v>
      </c>
      <c r="O9" s="561" t="s">
        <v>2453</v>
      </c>
      <c r="P9" s="561" t="s">
        <v>2453</v>
      </c>
      <c r="Q9" s="561" t="s">
        <v>2453</v>
      </c>
      <c r="R9" s="561" t="s">
        <v>2453</v>
      </c>
      <c r="S9" s="561" t="s">
        <v>2453</v>
      </c>
      <c r="T9" s="561" t="s">
        <v>2453</v>
      </c>
      <c r="U9" s="561" t="s">
        <v>2453</v>
      </c>
      <c r="V9" s="561" t="s">
        <v>2453</v>
      </c>
      <c r="W9" s="561" t="s">
        <v>2453</v>
      </c>
      <c r="X9" s="561" t="s">
        <v>2453</v>
      </c>
      <c r="Y9" s="561" t="s">
        <v>2453</v>
      </c>
      <c r="Z9" s="561" t="s">
        <v>2453</v>
      </c>
      <c r="AA9" s="561" t="s">
        <v>2453</v>
      </c>
      <c r="AB9" s="561" t="s">
        <v>2453</v>
      </c>
      <c r="AC9" s="561" t="s">
        <v>2453</v>
      </c>
      <c r="AD9" s="561" t="s">
        <v>2453</v>
      </c>
      <c r="AE9" s="561" t="s">
        <v>2453</v>
      </c>
      <c r="AF9" s="561" t="s">
        <v>2453</v>
      </c>
      <c r="AG9" s="561" t="s">
        <v>2453</v>
      </c>
      <c r="AH9" s="561" t="s">
        <v>2453</v>
      </c>
      <c r="AI9" s="561" t="s">
        <v>2453</v>
      </c>
      <c r="AJ9" s="561" t="s">
        <v>2453</v>
      </c>
      <c r="AK9" s="561" t="s">
        <v>2453</v>
      </c>
      <c r="AL9" s="561" t="s">
        <v>2453</v>
      </c>
      <c r="AM9" s="561" t="s">
        <v>2453</v>
      </c>
      <c r="AN9" s="561" t="s">
        <v>2453</v>
      </c>
      <c r="AO9" s="561" t="s">
        <v>2453</v>
      </c>
      <c r="AP9" s="561" t="s">
        <v>2453</v>
      </c>
      <c r="AQ9" s="561" t="s">
        <v>2453</v>
      </c>
      <c r="AR9" s="561" t="s">
        <v>2453</v>
      </c>
      <c r="AS9" s="561" t="s">
        <v>2453</v>
      </c>
      <c r="AT9" s="561" t="s">
        <v>2453</v>
      </c>
      <c r="AU9" s="561" t="s">
        <v>2453</v>
      </c>
      <c r="AV9" s="561" t="s">
        <v>2453</v>
      </c>
      <c r="AW9" s="561" t="s">
        <v>2453</v>
      </c>
      <c r="AX9" s="561" t="s">
        <v>2453</v>
      </c>
      <c r="AY9" s="561" t="s">
        <v>2453</v>
      </c>
      <c r="AZ9" s="561" t="s">
        <v>2453</v>
      </c>
      <c r="BA9" s="561" t="s">
        <v>2453</v>
      </c>
      <c r="BB9" s="561" t="s">
        <v>2453</v>
      </c>
      <c r="BC9" s="561" t="s">
        <v>2453</v>
      </c>
      <c r="BD9" s="561" t="s">
        <v>2453</v>
      </c>
      <c r="BE9" s="561" t="s">
        <v>2453</v>
      </c>
      <c r="BF9" s="561" t="s">
        <v>2453</v>
      </c>
      <c r="BG9" s="561" t="s">
        <v>2453</v>
      </c>
      <c r="BH9" s="561" t="s">
        <v>2453</v>
      </c>
      <c r="BI9" s="561" t="s">
        <v>2453</v>
      </c>
      <c r="BJ9" s="561" t="s">
        <v>2453</v>
      </c>
      <c r="BK9" s="561" t="s">
        <v>2453</v>
      </c>
      <c r="BL9" s="561" t="s">
        <v>2453</v>
      </c>
      <c r="BM9" s="561" t="s">
        <v>2453</v>
      </c>
      <c r="BN9" s="561" t="s">
        <v>2453</v>
      </c>
      <c r="BO9" s="561" t="s">
        <v>2453</v>
      </c>
      <c r="BP9" s="561" t="s">
        <v>2453</v>
      </c>
      <c r="BQ9" s="561" t="s">
        <v>2453</v>
      </c>
      <c r="BR9" s="561" t="s">
        <v>2453</v>
      </c>
      <c r="BS9" s="561" t="s">
        <v>2453</v>
      </c>
      <c r="BT9" s="561" t="s">
        <v>2453</v>
      </c>
      <c r="BU9" s="561" t="s">
        <v>2453</v>
      </c>
      <c r="BV9" s="561" t="s">
        <v>2453</v>
      </c>
      <c r="BW9" s="561" t="s">
        <v>2453</v>
      </c>
      <c r="BX9" s="561" t="s">
        <v>2453</v>
      </c>
      <c r="BY9" s="561" t="s">
        <v>2453</v>
      </c>
      <c r="BZ9" s="561" t="s">
        <v>2453</v>
      </c>
      <c r="CA9" s="561" t="s">
        <v>2453</v>
      </c>
      <c r="CB9" s="561" t="s">
        <v>2453</v>
      </c>
      <c r="CC9" s="561" t="s">
        <v>2453</v>
      </c>
      <c r="CD9" s="561" t="s">
        <v>2453</v>
      </c>
      <c r="CE9" s="561" t="s">
        <v>2453</v>
      </c>
      <c r="CF9" s="561" t="s">
        <v>2453</v>
      </c>
      <c r="CG9" s="561" t="s">
        <v>2453</v>
      </c>
      <c r="CH9" s="561" t="s">
        <v>2453</v>
      </c>
      <c r="CI9" s="561" t="s">
        <v>2453</v>
      </c>
      <c r="CJ9" s="561" t="s">
        <v>2453</v>
      </c>
      <c r="CK9" s="561" t="s">
        <v>2453</v>
      </c>
      <c r="CL9" s="561" t="s">
        <v>2453</v>
      </c>
      <c r="CM9" s="561" t="s">
        <v>2453</v>
      </c>
      <c r="CN9" s="561" t="s">
        <v>2453</v>
      </c>
      <c r="CO9" s="561" t="s">
        <v>2453</v>
      </c>
      <c r="CP9" s="561" t="s">
        <v>2453</v>
      </c>
      <c r="CQ9" s="561" t="s">
        <v>2453</v>
      </c>
      <c r="CR9" s="561" t="s">
        <v>2453</v>
      </c>
      <c r="CS9" s="561" t="s">
        <v>2453</v>
      </c>
      <c r="CT9" s="561" t="s">
        <v>2453</v>
      </c>
      <c r="CU9" s="561" t="s">
        <v>2453</v>
      </c>
      <c r="CV9" s="561" t="s">
        <v>2453</v>
      </c>
      <c r="CW9" s="561" t="s">
        <v>2453</v>
      </c>
      <c r="CX9" s="561" t="s">
        <v>2453</v>
      </c>
      <c r="CY9" s="561" t="s">
        <v>2453</v>
      </c>
      <c r="CZ9" s="561" t="s">
        <v>2453</v>
      </c>
      <c r="DA9" s="561" t="s">
        <v>2453</v>
      </c>
      <c r="DB9" s="561" t="s">
        <v>2453</v>
      </c>
      <c r="DC9" s="561" t="s">
        <v>2453</v>
      </c>
      <c r="DD9" s="561" t="s">
        <v>2453</v>
      </c>
      <c r="DE9" s="561" t="s">
        <v>2453</v>
      </c>
      <c r="DF9" s="561" t="s">
        <v>2453</v>
      </c>
      <c r="DG9" s="561" t="s">
        <v>2453</v>
      </c>
      <c r="DH9" s="561" t="s">
        <v>2453</v>
      </c>
      <c r="DI9" s="561" t="s">
        <v>2453</v>
      </c>
      <c r="DJ9" s="561" t="s">
        <v>2453</v>
      </c>
      <c r="DK9" s="561" t="s">
        <v>2453</v>
      </c>
      <c r="DL9" s="561" t="s">
        <v>2453</v>
      </c>
      <c r="DM9" s="561" t="s">
        <v>2453</v>
      </c>
      <c r="DN9" s="561" t="s">
        <v>2453</v>
      </c>
      <c r="DO9" s="561" t="s">
        <v>2453</v>
      </c>
      <c r="DP9" s="561" t="s">
        <v>2453</v>
      </c>
      <c r="DQ9" s="561" t="s">
        <v>2453</v>
      </c>
      <c r="DR9" s="561" t="s">
        <v>2453</v>
      </c>
      <c r="DS9" s="561" t="s">
        <v>2453</v>
      </c>
      <c r="DT9" s="561" t="s">
        <v>2453</v>
      </c>
      <c r="DU9" s="561" t="s">
        <v>2453</v>
      </c>
      <c r="DV9" s="561" t="s">
        <v>2453</v>
      </c>
      <c r="DW9" s="561" t="s">
        <v>2453</v>
      </c>
      <c r="DX9" s="561" t="s">
        <v>2453</v>
      </c>
      <c r="DY9" s="561" t="s">
        <v>2453</v>
      </c>
      <c r="DZ9" s="561" t="s">
        <v>2453</v>
      </c>
      <c r="EA9" s="561" t="s">
        <v>2453</v>
      </c>
      <c r="EB9" s="561" t="s">
        <v>2453</v>
      </c>
      <c r="EC9" s="561" t="s">
        <v>2453</v>
      </c>
      <c r="ED9" s="561" t="s">
        <v>2453</v>
      </c>
      <c r="EE9" s="561" t="s">
        <v>2453</v>
      </c>
      <c r="EF9" s="561" t="s">
        <v>2453</v>
      </c>
      <c r="EG9" s="561" t="s">
        <v>2453</v>
      </c>
      <c r="EH9" s="561" t="s">
        <v>2453</v>
      </c>
      <c r="EI9" s="561" t="s">
        <v>2453</v>
      </c>
      <c r="EJ9" s="561" t="s">
        <v>2453</v>
      </c>
      <c r="EK9" s="561" t="s">
        <v>2453</v>
      </c>
      <c r="EL9" s="561" t="s">
        <v>2453</v>
      </c>
      <c r="EM9" s="561" t="s">
        <v>2453</v>
      </c>
      <c r="EN9" s="561" t="s">
        <v>2453</v>
      </c>
      <c r="EO9" s="561" t="s">
        <v>2453</v>
      </c>
      <c r="EP9" s="561" t="s">
        <v>2453</v>
      </c>
      <c r="EQ9" s="561" t="s">
        <v>2453</v>
      </c>
      <c r="ER9" s="561" t="s">
        <v>2453</v>
      </c>
      <c r="ES9" s="561" t="s">
        <v>4565</v>
      </c>
      <c r="ET9" s="561" t="s">
        <v>2453</v>
      </c>
      <c r="EU9" s="561" t="s">
        <v>2453</v>
      </c>
      <c r="EV9" s="561" t="s">
        <v>2453</v>
      </c>
      <c r="EW9" s="561" t="s">
        <v>2453</v>
      </c>
      <c r="EX9" s="561" t="s">
        <v>2453</v>
      </c>
      <c r="EY9" s="561" t="s">
        <v>2453</v>
      </c>
      <c r="EZ9" s="561" t="s">
        <v>2453</v>
      </c>
      <c r="FA9" s="561" t="s">
        <v>2453</v>
      </c>
      <c r="FB9" s="561" t="s">
        <v>2453</v>
      </c>
      <c r="FC9" s="561" t="s">
        <v>2453</v>
      </c>
      <c r="FD9" s="561" t="s">
        <v>2453</v>
      </c>
      <c r="FE9" s="561" t="s">
        <v>2453</v>
      </c>
      <c r="FF9" s="561" t="s">
        <v>2453</v>
      </c>
      <c r="FG9" s="561" t="s">
        <v>2453</v>
      </c>
      <c r="FH9" s="561" t="s">
        <v>2453</v>
      </c>
      <c r="FI9" s="561" t="s">
        <v>2453</v>
      </c>
      <c r="FJ9" s="561" t="s">
        <v>2453</v>
      </c>
      <c r="FK9" s="561" t="s">
        <v>2453</v>
      </c>
      <c r="FL9" s="561" t="s">
        <v>2453</v>
      </c>
      <c r="FM9" s="561" t="s">
        <v>2453</v>
      </c>
      <c r="FN9" s="561" t="s">
        <v>2453</v>
      </c>
      <c r="FO9" s="561" t="s">
        <v>2453</v>
      </c>
      <c r="FP9" s="561" t="s">
        <v>2453</v>
      </c>
      <c r="FQ9" s="561" t="s">
        <v>2453</v>
      </c>
      <c r="FR9" s="561" t="s">
        <v>2453</v>
      </c>
      <c r="FS9" s="561" t="s">
        <v>2453</v>
      </c>
      <c r="FT9" s="561" t="s">
        <v>2453</v>
      </c>
      <c r="FU9" s="561" t="s">
        <v>2453</v>
      </c>
      <c r="FV9" s="561" t="s">
        <v>2453</v>
      </c>
      <c r="FW9" s="561" t="s">
        <v>2453</v>
      </c>
      <c r="FX9" s="561" t="s">
        <v>2453</v>
      </c>
      <c r="FY9" s="561" t="s">
        <v>2453</v>
      </c>
      <c r="FZ9" s="561" t="s">
        <v>2453</v>
      </c>
      <c r="GA9" s="561" t="s">
        <v>2453</v>
      </c>
      <c r="GB9" s="561" t="s">
        <v>2453</v>
      </c>
      <c r="GC9" s="561" t="s">
        <v>2453</v>
      </c>
      <c r="GD9" s="561" t="s">
        <v>2453</v>
      </c>
      <c r="GE9" s="561" t="s">
        <v>2453</v>
      </c>
      <c r="GF9" s="561" t="s">
        <v>2453</v>
      </c>
      <c r="GG9" s="561" t="s">
        <v>2453</v>
      </c>
      <c r="GH9" s="561" t="s">
        <v>2453</v>
      </c>
      <c r="GI9" s="561" t="s">
        <v>2453</v>
      </c>
      <c r="GJ9" s="561" t="s">
        <v>2453</v>
      </c>
      <c r="GK9" s="561" t="s">
        <v>2453</v>
      </c>
      <c r="GL9" s="561" t="s">
        <v>2453</v>
      </c>
      <c r="GM9" s="561" t="s">
        <v>2453</v>
      </c>
      <c r="GN9" s="561" t="s">
        <v>2453</v>
      </c>
      <c r="GO9" s="561" t="s">
        <v>2453</v>
      </c>
      <c r="GP9" s="561" t="s">
        <v>2453</v>
      </c>
      <c r="GQ9" s="561" t="s">
        <v>2453</v>
      </c>
      <c r="GR9" s="561" t="s">
        <v>2453</v>
      </c>
      <c r="GS9" s="561" t="s">
        <v>2453</v>
      </c>
      <c r="GT9" s="561" t="s">
        <v>2453</v>
      </c>
      <c r="GU9" s="561" t="s">
        <v>2453</v>
      </c>
      <c r="GV9" s="561" t="s">
        <v>2453</v>
      </c>
      <c r="GW9" s="561" t="s">
        <v>2453</v>
      </c>
      <c r="GX9" s="561" t="s">
        <v>2453</v>
      </c>
      <c r="GY9" s="561" t="s">
        <v>2453</v>
      </c>
      <c r="GZ9" s="561" t="s">
        <v>2453</v>
      </c>
      <c r="HA9" s="561" t="s">
        <v>2453</v>
      </c>
      <c r="HB9" s="561" t="s">
        <v>2453</v>
      </c>
      <c r="HC9" s="561" t="s">
        <v>2453</v>
      </c>
      <c r="HD9" s="561" t="s">
        <v>2453</v>
      </c>
      <c r="HE9" s="561" t="s">
        <v>2453</v>
      </c>
      <c r="HF9" s="561" t="s">
        <v>2453</v>
      </c>
      <c r="HG9" s="561" t="s">
        <v>2453</v>
      </c>
      <c r="HH9" s="561" t="s">
        <v>2453</v>
      </c>
      <c r="HI9" s="561" t="s">
        <v>2453</v>
      </c>
      <c r="HJ9" s="561" t="s">
        <v>2453</v>
      </c>
      <c r="HK9" s="561" t="s">
        <v>2453</v>
      </c>
      <c r="HL9" s="561" t="s">
        <v>2453</v>
      </c>
      <c r="HM9" s="561" t="s">
        <v>2453</v>
      </c>
      <c r="HN9" s="561" t="s">
        <v>2453</v>
      </c>
      <c r="HO9" s="561" t="s">
        <v>2453</v>
      </c>
      <c r="HP9" s="561" t="s">
        <v>2453</v>
      </c>
      <c r="HQ9" s="561" t="s">
        <v>2453</v>
      </c>
      <c r="HR9" s="561" t="s">
        <v>2453</v>
      </c>
      <c r="HS9" s="561" t="s">
        <v>2453</v>
      </c>
      <c r="HT9" s="561" t="s">
        <v>2453</v>
      </c>
      <c r="HU9" s="561" t="s">
        <v>2453</v>
      </c>
      <c r="HV9" s="561" t="s">
        <v>2453</v>
      </c>
      <c r="HW9" s="561" t="s">
        <v>2453</v>
      </c>
      <c r="HX9" s="561" t="s">
        <v>2453</v>
      </c>
      <c r="HY9" s="561" t="s">
        <v>2453</v>
      </c>
      <c r="HZ9" s="561" t="s">
        <v>2453</v>
      </c>
      <c r="IA9" s="561" t="s">
        <v>2453</v>
      </c>
      <c r="IB9" s="561" t="s">
        <v>2453</v>
      </c>
      <c r="IC9" s="561" t="s">
        <v>2453</v>
      </c>
      <c r="ID9" s="561" t="s">
        <v>2453</v>
      </c>
      <c r="IE9" s="561" t="s">
        <v>2453</v>
      </c>
      <c r="IF9" s="561" t="s">
        <v>2453</v>
      </c>
      <c r="IG9" s="561" t="s">
        <v>2453</v>
      </c>
      <c r="IH9" s="561" t="s">
        <v>2453</v>
      </c>
      <c r="II9" s="561" t="s">
        <v>2453</v>
      </c>
      <c r="IJ9" s="561" t="s">
        <v>2453</v>
      </c>
      <c r="IK9" s="561" t="s">
        <v>2453</v>
      </c>
      <c r="IL9" s="561" t="s">
        <v>2453</v>
      </c>
      <c r="IM9" s="561" t="s">
        <v>2453</v>
      </c>
      <c r="IN9" s="561" t="s">
        <v>2453</v>
      </c>
      <c r="IO9" s="561" t="s">
        <v>2453</v>
      </c>
      <c r="IP9" s="561" t="s">
        <v>2453</v>
      </c>
      <c r="IQ9" s="561" t="s">
        <v>2453</v>
      </c>
      <c r="IR9" s="561" t="s">
        <v>2453</v>
      </c>
      <c r="IS9" s="561" t="s">
        <v>2453</v>
      </c>
      <c r="IT9" s="561" t="s">
        <v>2453</v>
      </c>
      <c r="IU9" s="561" t="s">
        <v>2453</v>
      </c>
      <c r="IV9" s="561" t="s">
        <v>2453</v>
      </c>
      <c r="IW9" s="561" t="s">
        <v>2453</v>
      </c>
      <c r="IX9" s="561" t="s">
        <v>2453</v>
      </c>
      <c r="IY9" s="561" t="s">
        <v>2453</v>
      </c>
      <c r="IZ9" s="561" t="s">
        <v>2453</v>
      </c>
      <c r="JA9" s="561" t="s">
        <v>2453</v>
      </c>
      <c r="JB9" s="561" t="s">
        <v>2453</v>
      </c>
      <c r="JC9" s="561" t="s">
        <v>2453</v>
      </c>
      <c r="JD9" s="561" t="s">
        <v>2453</v>
      </c>
      <c r="JE9" s="561" t="s">
        <v>2453</v>
      </c>
      <c r="JF9" s="561" t="s">
        <v>2453</v>
      </c>
      <c r="JG9" s="561" t="s">
        <v>2453</v>
      </c>
      <c r="JH9" s="561" t="s">
        <v>2453</v>
      </c>
      <c r="JI9" s="561" t="s">
        <v>2453</v>
      </c>
      <c r="JJ9" s="561" t="s">
        <v>2453</v>
      </c>
      <c r="JK9" s="561" t="s">
        <v>2453</v>
      </c>
      <c r="JL9" s="561" t="s">
        <v>2453</v>
      </c>
      <c r="JM9" s="561" t="s">
        <v>2453</v>
      </c>
      <c r="JN9" s="561" t="s">
        <v>2453</v>
      </c>
      <c r="JO9" s="561" t="s">
        <v>2453</v>
      </c>
      <c r="JP9" s="561" t="s">
        <v>2453</v>
      </c>
      <c r="JQ9" s="561" t="s">
        <v>2453</v>
      </c>
      <c r="JR9" s="561" t="s">
        <v>2453</v>
      </c>
      <c r="JS9" s="561" t="s">
        <v>2453</v>
      </c>
      <c r="JT9" s="561" t="s">
        <v>2453</v>
      </c>
      <c r="JU9" s="561" t="s">
        <v>2453</v>
      </c>
      <c r="JV9" s="561" t="s">
        <v>2453</v>
      </c>
      <c r="JW9" s="561" t="s">
        <v>2453</v>
      </c>
      <c r="JX9" s="561" t="s">
        <v>2453</v>
      </c>
      <c r="JY9" s="561" t="s">
        <v>2453</v>
      </c>
      <c r="JZ9" s="561" t="s">
        <v>2453</v>
      </c>
      <c r="KA9" s="561" t="s">
        <v>2453</v>
      </c>
      <c r="KB9" s="561" t="s">
        <v>2453</v>
      </c>
      <c r="KC9" s="561" t="s">
        <v>2453</v>
      </c>
      <c r="KD9" s="561" t="s">
        <v>2453</v>
      </c>
      <c r="KE9" s="561" t="s">
        <v>2453</v>
      </c>
      <c r="KF9" s="561" t="s">
        <v>2453</v>
      </c>
      <c r="KG9" s="561" t="s">
        <v>2453</v>
      </c>
      <c r="KH9" s="561" t="s">
        <v>2453</v>
      </c>
      <c r="KI9" s="561" t="s">
        <v>2453</v>
      </c>
      <c r="KJ9" s="561" t="s">
        <v>2453</v>
      </c>
      <c r="KK9" s="561" t="s">
        <v>2453</v>
      </c>
      <c r="KL9" s="561" t="s">
        <v>2453</v>
      </c>
      <c r="KM9" s="561" t="s">
        <v>2453</v>
      </c>
      <c r="KN9" s="561" t="s">
        <v>2453</v>
      </c>
      <c r="KO9" s="561" t="s">
        <v>2453</v>
      </c>
      <c r="KP9" s="561" t="s">
        <v>2453</v>
      </c>
      <c r="KQ9" s="561" t="s">
        <v>2453</v>
      </c>
      <c r="KR9" s="561" t="s">
        <v>2453</v>
      </c>
      <c r="KS9" s="561" t="s">
        <v>2453</v>
      </c>
      <c r="KT9" s="561" t="s">
        <v>2453</v>
      </c>
      <c r="KU9" s="561" t="s">
        <v>2453</v>
      </c>
      <c r="KV9" s="561" t="s">
        <v>2453</v>
      </c>
      <c r="KW9" s="561" t="s">
        <v>2453</v>
      </c>
      <c r="KX9" s="561" t="s">
        <v>2453</v>
      </c>
      <c r="KY9" s="561" t="s">
        <v>2453</v>
      </c>
      <c r="KZ9" s="561" t="s">
        <v>2453</v>
      </c>
      <c r="LA9" s="561" t="s">
        <v>2453</v>
      </c>
      <c r="LB9" s="561" t="s">
        <v>2453</v>
      </c>
      <c r="LC9" s="561" t="s">
        <v>2453</v>
      </c>
      <c r="LD9" s="561" t="s">
        <v>2453</v>
      </c>
      <c r="LE9" s="561" t="s">
        <v>2453</v>
      </c>
      <c r="LF9" s="561" t="s">
        <v>2453</v>
      </c>
      <c r="LG9" s="561" t="s">
        <v>2453</v>
      </c>
      <c r="LH9" s="561" t="s">
        <v>2453</v>
      </c>
      <c r="LI9" s="561" t="s">
        <v>2453</v>
      </c>
      <c r="LJ9" s="561" t="s">
        <v>2453</v>
      </c>
      <c r="LK9" s="561" t="s">
        <v>2453</v>
      </c>
      <c r="LL9" s="561" t="s">
        <v>2453</v>
      </c>
      <c r="LM9" s="561" t="s">
        <v>2453</v>
      </c>
      <c r="LN9" s="561" t="s">
        <v>2453</v>
      </c>
      <c r="LO9" s="561" t="s">
        <v>2453</v>
      </c>
      <c r="LP9" s="561" t="s">
        <v>2453</v>
      </c>
      <c r="LQ9" s="561" t="s">
        <v>2453</v>
      </c>
      <c r="LR9" s="561" t="s">
        <v>2453</v>
      </c>
      <c r="LS9" s="561" t="s">
        <v>2453</v>
      </c>
      <c r="LT9" s="561" t="s">
        <v>2453</v>
      </c>
      <c r="LU9" s="561" t="s">
        <v>2453</v>
      </c>
      <c r="LV9" s="561" t="s">
        <v>2453</v>
      </c>
      <c r="LW9" s="561" t="s">
        <v>2453</v>
      </c>
      <c r="LX9" s="561" t="s">
        <v>2453</v>
      </c>
      <c r="LY9" s="561" t="s">
        <v>2453</v>
      </c>
      <c r="LZ9" s="561" t="s">
        <v>2453</v>
      </c>
      <c r="MA9" s="561" t="s">
        <v>2453</v>
      </c>
      <c r="MB9" s="561" t="s">
        <v>2453</v>
      </c>
      <c r="MC9" s="561" t="s">
        <v>2453</v>
      </c>
      <c r="MD9" s="561" t="s">
        <v>2453</v>
      </c>
      <c r="ME9" s="561" t="s">
        <v>2453</v>
      </c>
      <c r="MF9" s="561" t="s">
        <v>2453</v>
      </c>
      <c r="MG9" s="561" t="s">
        <v>2453</v>
      </c>
      <c r="MH9" s="561" t="s">
        <v>2453</v>
      </c>
      <c r="MI9" s="561" t="s">
        <v>2453</v>
      </c>
      <c r="MJ9" s="561" t="s">
        <v>2453</v>
      </c>
      <c r="MK9" s="561" t="s">
        <v>2453</v>
      </c>
      <c r="ML9" s="561" t="s">
        <v>2453</v>
      </c>
      <c r="MM9" s="561" t="s">
        <v>2453</v>
      </c>
      <c r="MN9" s="561" t="s">
        <v>2453</v>
      </c>
      <c r="MO9" s="561" t="s">
        <v>2453</v>
      </c>
      <c r="MP9" s="561" t="s">
        <v>2453</v>
      </c>
      <c r="MQ9" s="561" t="s">
        <v>2453</v>
      </c>
      <c r="MR9" s="561" t="s">
        <v>2453</v>
      </c>
      <c r="MS9" s="561" t="s">
        <v>2453</v>
      </c>
      <c r="MT9" s="561" t="s">
        <v>2453</v>
      </c>
      <c r="MU9" s="561" t="s">
        <v>2453</v>
      </c>
      <c r="MV9" s="561" t="s">
        <v>2453</v>
      </c>
      <c r="MW9" s="561" t="s">
        <v>2453</v>
      </c>
      <c r="MX9" s="561" t="s">
        <v>2453</v>
      </c>
      <c r="MY9" s="561" t="s">
        <v>2453</v>
      </c>
      <c r="MZ9" s="561" t="s">
        <v>2453</v>
      </c>
      <c r="NA9" s="561" t="s">
        <v>2453</v>
      </c>
      <c r="NB9" s="561" t="s">
        <v>2453</v>
      </c>
      <c r="NC9" s="561" t="s">
        <v>2453</v>
      </c>
      <c r="ND9" s="561" t="s">
        <v>2453</v>
      </c>
      <c r="NE9" s="561" t="s">
        <v>2453</v>
      </c>
      <c r="NF9" s="561" t="s">
        <v>2453</v>
      </c>
      <c r="NG9" s="561" t="s">
        <v>2453</v>
      </c>
      <c r="NH9" s="561" t="s">
        <v>2453</v>
      </c>
      <c r="NI9" s="561" t="s">
        <v>2453</v>
      </c>
      <c r="NJ9" s="561" t="s">
        <v>2453</v>
      </c>
      <c r="NK9" s="561" t="s">
        <v>2453</v>
      </c>
      <c r="NL9" s="561" t="s">
        <v>2453</v>
      </c>
      <c r="NM9" s="561" t="s">
        <v>2453</v>
      </c>
      <c r="NN9" s="561" t="s">
        <v>2453</v>
      </c>
      <c r="NO9" s="561" t="s">
        <v>2453</v>
      </c>
      <c r="NP9" s="561" t="s">
        <v>2453</v>
      </c>
      <c r="NQ9" s="561" t="s">
        <v>2453</v>
      </c>
      <c r="NR9" s="561" t="s">
        <v>2453</v>
      </c>
      <c r="NS9" s="561" t="s">
        <v>2453</v>
      </c>
      <c r="NT9" s="561" t="s">
        <v>2453</v>
      </c>
      <c r="NU9" s="561">
        <v>0</v>
      </c>
      <c r="NV9" s="561" t="s">
        <v>2453</v>
      </c>
      <c r="NW9" s="561" t="s">
        <v>2453</v>
      </c>
      <c r="NX9" s="561" t="s">
        <v>2453</v>
      </c>
      <c r="NY9" s="561" t="s">
        <v>2453</v>
      </c>
      <c r="NZ9" s="561" t="s">
        <v>2453</v>
      </c>
      <c r="OA9" s="561" t="s">
        <v>2453</v>
      </c>
      <c r="OB9" s="561" t="s">
        <v>2453</v>
      </c>
      <c r="OC9" s="561" t="s">
        <v>2453</v>
      </c>
      <c r="OD9" s="561" t="s">
        <v>2453</v>
      </c>
      <c r="OE9" s="561" t="s">
        <v>2453</v>
      </c>
      <c r="OF9" s="561" t="s">
        <v>2453</v>
      </c>
      <c r="OG9" s="561" t="s">
        <v>2453</v>
      </c>
      <c r="OH9" s="561" t="s">
        <v>2453</v>
      </c>
      <c r="OI9" s="561" t="s">
        <v>2453</v>
      </c>
      <c r="OJ9" s="561" t="s">
        <v>2453</v>
      </c>
      <c r="OK9" s="561" t="s">
        <v>2453</v>
      </c>
      <c r="OL9" s="561" t="s">
        <v>2453</v>
      </c>
      <c r="OM9" s="561" t="s">
        <v>2453</v>
      </c>
      <c r="ON9" s="561" t="s">
        <v>2453</v>
      </c>
      <c r="OO9" s="561" t="s">
        <v>2453</v>
      </c>
      <c r="OP9" s="561" t="s">
        <v>2453</v>
      </c>
      <c r="OQ9" s="561" t="s">
        <v>2453</v>
      </c>
      <c r="OR9" s="561" t="s">
        <v>2453</v>
      </c>
      <c r="OS9" s="561" t="s">
        <v>2453</v>
      </c>
      <c r="OT9" s="561" t="s">
        <v>2453</v>
      </c>
      <c r="OU9" s="561" t="s">
        <v>2453</v>
      </c>
      <c r="OV9" s="561">
        <v>0</v>
      </c>
      <c r="OW9" s="561" t="s">
        <v>2453</v>
      </c>
      <c r="OX9" s="561" t="s">
        <v>2453</v>
      </c>
      <c r="OY9" s="561" t="s">
        <v>2453</v>
      </c>
      <c r="OZ9" s="561" t="s">
        <v>2453</v>
      </c>
      <c r="PA9" s="561" t="s">
        <v>2453</v>
      </c>
      <c r="PB9" s="561" t="s">
        <v>2453</v>
      </c>
      <c r="PC9" s="561" t="s">
        <v>2453</v>
      </c>
      <c r="PD9" s="561" t="s">
        <v>2453</v>
      </c>
      <c r="PE9" s="561" t="s">
        <v>2453</v>
      </c>
      <c r="PF9" s="561" t="s">
        <v>2453</v>
      </c>
      <c r="PG9" s="561" t="s">
        <v>2453</v>
      </c>
      <c r="PH9" s="561" t="s">
        <v>2453</v>
      </c>
      <c r="PI9" s="561" t="s">
        <v>2453</v>
      </c>
      <c r="PJ9" s="561" t="s">
        <v>2453</v>
      </c>
    </row>
    <row r="10" spans="1:434" ht="14" x14ac:dyDescent="0.3">
      <c r="A10" t="s">
        <v>2454</v>
      </c>
      <c r="B10" t="s">
        <v>2455</v>
      </c>
      <c r="C10" t="s">
        <v>2456</v>
      </c>
      <c r="E10" t="s">
        <v>384</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0</v>
      </c>
      <c r="W10" s="561">
        <v>0</v>
      </c>
      <c r="X10" s="561">
        <v>0</v>
      </c>
      <c r="Y10" s="561">
        <v>0</v>
      </c>
      <c r="Z10" s="561">
        <v>0</v>
      </c>
      <c r="AA10" s="561">
        <v>0</v>
      </c>
      <c r="AB10" s="561">
        <v>-1091</v>
      </c>
      <c r="AC10" s="561">
        <v>13.5</v>
      </c>
      <c r="AD10" s="561">
        <v>0</v>
      </c>
      <c r="AE10" s="561">
        <v>0</v>
      </c>
      <c r="AF10" s="561">
        <v>0</v>
      </c>
      <c r="AG10" s="561">
        <v>0</v>
      </c>
      <c r="AH10" s="561">
        <v>4.4000000000000004</v>
      </c>
      <c r="AI10" s="561">
        <v>0</v>
      </c>
      <c r="AJ10" s="561">
        <v>-1073.0999999999999</v>
      </c>
      <c r="AK10" s="561">
        <v>0</v>
      </c>
      <c r="AL10" s="561">
        <v>0</v>
      </c>
      <c r="AM10" s="561">
        <v>0</v>
      </c>
      <c r="AN10" s="561">
        <v>0</v>
      </c>
      <c r="AO10" s="561">
        <v>0</v>
      </c>
      <c r="AP10" s="561">
        <v>0</v>
      </c>
      <c r="AQ10" s="561">
        <v>0</v>
      </c>
      <c r="AR10" s="561">
        <v>0</v>
      </c>
      <c r="AS10" s="561">
        <v>0</v>
      </c>
      <c r="AT10" s="561">
        <v>0</v>
      </c>
      <c r="AU10" s="561">
        <v>0</v>
      </c>
      <c r="AV10" s="561">
        <v>0</v>
      </c>
      <c r="AW10" s="561">
        <v>0</v>
      </c>
      <c r="AX10" s="561">
        <v>0</v>
      </c>
      <c r="AY10" s="561">
        <v>0</v>
      </c>
      <c r="AZ10" s="561">
        <v>0</v>
      </c>
      <c r="BA10" s="561">
        <v>0</v>
      </c>
      <c r="BB10" s="561">
        <v>0</v>
      </c>
      <c r="BC10" s="561">
        <v>0</v>
      </c>
      <c r="BD10" s="561">
        <v>0</v>
      </c>
      <c r="BE10" s="561">
        <v>0</v>
      </c>
      <c r="BF10" s="561">
        <v>0</v>
      </c>
      <c r="BG10" s="561">
        <v>0</v>
      </c>
      <c r="BH10" s="561">
        <v>0</v>
      </c>
      <c r="BI10" s="561">
        <v>0</v>
      </c>
      <c r="BJ10" s="561">
        <v>0</v>
      </c>
      <c r="BK10" s="561">
        <v>0</v>
      </c>
      <c r="BL10" s="561">
        <v>0</v>
      </c>
      <c r="BM10" s="561">
        <v>0</v>
      </c>
      <c r="BN10" s="561">
        <v>0</v>
      </c>
      <c r="BO10" s="561">
        <v>0</v>
      </c>
      <c r="BP10" s="561">
        <v>0</v>
      </c>
      <c r="BQ10" s="561">
        <v>0</v>
      </c>
      <c r="BR10" s="561">
        <v>0</v>
      </c>
      <c r="BS10" s="561">
        <v>0</v>
      </c>
      <c r="BT10" s="561">
        <v>0</v>
      </c>
      <c r="BU10" s="561">
        <v>0</v>
      </c>
      <c r="BV10" s="561">
        <v>0</v>
      </c>
      <c r="BW10" s="561">
        <v>0</v>
      </c>
      <c r="BX10" s="561">
        <v>0</v>
      </c>
      <c r="BY10" s="561">
        <v>0</v>
      </c>
      <c r="BZ10" s="561">
        <v>0</v>
      </c>
      <c r="CA10" s="561">
        <v>0</v>
      </c>
      <c r="CB10" s="561">
        <v>0</v>
      </c>
      <c r="CC10" s="561">
        <v>0</v>
      </c>
      <c r="CD10" s="561">
        <v>0</v>
      </c>
      <c r="CE10" s="561">
        <v>0</v>
      </c>
      <c r="CF10" s="561">
        <v>0</v>
      </c>
      <c r="CG10" s="561">
        <v>0</v>
      </c>
      <c r="CH10" s="561">
        <v>0</v>
      </c>
      <c r="CI10" s="561">
        <v>0</v>
      </c>
      <c r="CJ10" s="561">
        <v>0</v>
      </c>
      <c r="CK10" s="561">
        <v>0</v>
      </c>
      <c r="CL10" s="561">
        <v>0</v>
      </c>
      <c r="CM10" s="561">
        <v>0</v>
      </c>
      <c r="CN10" s="561">
        <v>0</v>
      </c>
      <c r="CO10" s="561">
        <v>0</v>
      </c>
      <c r="CP10" s="561">
        <v>0</v>
      </c>
      <c r="CQ10" s="561">
        <v>0</v>
      </c>
      <c r="CR10" s="561">
        <v>0</v>
      </c>
      <c r="CS10" s="561">
        <v>0</v>
      </c>
      <c r="CT10" s="561">
        <v>0</v>
      </c>
      <c r="CU10" s="561">
        <v>0</v>
      </c>
      <c r="CV10" s="561">
        <v>0</v>
      </c>
      <c r="CW10" s="561">
        <v>0</v>
      </c>
      <c r="CX10" s="561">
        <v>0</v>
      </c>
      <c r="CY10" s="561">
        <v>0</v>
      </c>
      <c r="CZ10" s="561">
        <v>0</v>
      </c>
      <c r="DA10" s="561">
        <v>0</v>
      </c>
      <c r="DB10" s="561">
        <v>0</v>
      </c>
      <c r="DC10" s="561">
        <v>0</v>
      </c>
      <c r="DD10" s="561">
        <v>0</v>
      </c>
      <c r="DE10" s="561">
        <v>0</v>
      </c>
      <c r="DF10" s="561">
        <v>0</v>
      </c>
      <c r="DG10" s="561">
        <v>0</v>
      </c>
      <c r="DH10" s="561">
        <v>78</v>
      </c>
      <c r="DI10" s="561">
        <v>0</v>
      </c>
      <c r="DJ10" s="561">
        <v>-355</v>
      </c>
      <c r="DK10" s="561">
        <v>0</v>
      </c>
      <c r="DL10" s="561">
        <v>0</v>
      </c>
      <c r="DM10" s="561">
        <v>4330</v>
      </c>
      <c r="DN10" s="561">
        <v>0</v>
      </c>
      <c r="DO10" s="561">
        <v>0</v>
      </c>
      <c r="DP10" s="561">
        <v>-44</v>
      </c>
      <c r="DQ10" s="561">
        <v>0</v>
      </c>
      <c r="DR10" s="561">
        <v>576</v>
      </c>
      <c r="DS10" s="561">
        <v>483</v>
      </c>
      <c r="DT10" s="561">
        <v>0</v>
      </c>
      <c r="DU10" s="561">
        <v>5345</v>
      </c>
      <c r="DV10" s="561">
        <v>192</v>
      </c>
      <c r="DW10" s="561">
        <v>0</v>
      </c>
      <c r="DX10" s="561">
        <v>0</v>
      </c>
      <c r="DY10" s="561">
        <v>935</v>
      </c>
      <c r="DZ10" s="561">
        <v>15</v>
      </c>
      <c r="EA10" s="561">
        <v>0</v>
      </c>
      <c r="EB10" s="561">
        <v>0</v>
      </c>
      <c r="EC10" s="561">
        <v>6210</v>
      </c>
      <c r="ED10" s="561">
        <v>0</v>
      </c>
      <c r="EE10" s="561">
        <v>19809</v>
      </c>
      <c r="EF10" s="561">
        <v>445</v>
      </c>
      <c r="EG10" s="561">
        <v>1324</v>
      </c>
      <c r="EH10" s="561">
        <v>857</v>
      </c>
      <c r="EI10" s="561">
        <v>0</v>
      </c>
      <c r="EJ10" s="561">
        <v>310</v>
      </c>
      <c r="EK10" s="561">
        <v>0</v>
      </c>
      <c r="EL10" s="561">
        <v>0</v>
      </c>
      <c r="EM10" s="561">
        <v>19.5</v>
      </c>
      <c r="EN10" s="561">
        <v>4818</v>
      </c>
      <c r="EO10" s="561">
        <v>7407</v>
      </c>
      <c r="EP10" s="561">
        <v>0</v>
      </c>
      <c r="EQ10" s="561">
        <v>197</v>
      </c>
      <c r="ER10" s="561">
        <v>0</v>
      </c>
      <c r="ES10" s="561" t="s">
        <v>4565</v>
      </c>
      <c r="ET10" s="561">
        <v>0</v>
      </c>
      <c r="EU10" s="561">
        <v>0</v>
      </c>
      <c r="EV10" s="561">
        <v>3017</v>
      </c>
      <c r="EW10" s="561">
        <v>0</v>
      </c>
      <c r="EX10" s="561">
        <v>6323</v>
      </c>
      <c r="EY10" s="561">
        <v>310</v>
      </c>
      <c r="EZ10" s="561">
        <v>692.5</v>
      </c>
      <c r="FA10" s="561">
        <v>479</v>
      </c>
      <c r="FB10" s="561">
        <v>0</v>
      </c>
      <c r="FC10" s="561">
        <v>0</v>
      </c>
      <c r="FD10" s="561">
        <v>1</v>
      </c>
      <c r="FE10" s="561">
        <v>0</v>
      </c>
      <c r="FF10" s="561">
        <v>20</v>
      </c>
      <c r="FG10" s="561">
        <v>158</v>
      </c>
      <c r="FH10" s="561">
        <v>186</v>
      </c>
      <c r="FI10" s="561">
        <v>0</v>
      </c>
      <c r="FJ10" s="561">
        <v>-612</v>
      </c>
      <c r="FK10" s="561">
        <v>2529</v>
      </c>
      <c r="FL10" s="561">
        <v>0</v>
      </c>
      <c r="FM10" s="561">
        <v>85</v>
      </c>
      <c r="FN10" s="561">
        <v>0</v>
      </c>
      <c r="FO10" s="561">
        <v>2367</v>
      </c>
      <c r="FP10" s="561">
        <v>0</v>
      </c>
      <c r="FQ10" s="561">
        <v>26</v>
      </c>
      <c r="FR10" s="561">
        <v>0</v>
      </c>
      <c r="FS10" s="561">
        <v>0</v>
      </c>
      <c r="FT10" s="561">
        <v>246</v>
      </c>
      <c r="FU10" s="561">
        <v>314</v>
      </c>
      <c r="FV10" s="561">
        <v>545.6</v>
      </c>
      <c r="FW10" s="561">
        <v>203</v>
      </c>
      <c r="FX10" s="561">
        <v>0</v>
      </c>
      <c r="FY10" s="561">
        <v>0</v>
      </c>
      <c r="FZ10" s="561">
        <v>13</v>
      </c>
      <c r="GA10" s="561">
        <v>473</v>
      </c>
      <c r="GB10" s="561">
        <v>75</v>
      </c>
      <c r="GC10" s="561">
        <v>140</v>
      </c>
      <c r="GD10" s="561">
        <v>918</v>
      </c>
      <c r="GE10" s="561">
        <v>144</v>
      </c>
      <c r="GF10" s="561">
        <v>-41</v>
      </c>
      <c r="GG10" s="561">
        <v>0</v>
      </c>
      <c r="GH10" s="561">
        <v>129</v>
      </c>
      <c r="GI10" s="561">
        <v>70</v>
      </c>
      <c r="GJ10" s="561">
        <v>171</v>
      </c>
      <c r="GK10" s="561">
        <v>0</v>
      </c>
      <c r="GL10" s="561">
        <v>2695</v>
      </c>
      <c r="GM10" s="561">
        <v>1640</v>
      </c>
      <c r="GN10" s="561">
        <v>0</v>
      </c>
      <c r="GO10" s="561">
        <v>0</v>
      </c>
      <c r="GP10" s="561">
        <v>1721</v>
      </c>
      <c r="GQ10" s="561">
        <v>0</v>
      </c>
      <c r="GR10" s="561">
        <v>0</v>
      </c>
      <c r="GS10" s="561">
        <v>9482.6</v>
      </c>
      <c r="GT10" s="561">
        <v>0</v>
      </c>
      <c r="GU10" s="561">
        <v>637.1</v>
      </c>
      <c r="GV10" s="561">
        <v>2218</v>
      </c>
      <c r="GW10" s="561">
        <v>0</v>
      </c>
      <c r="GX10" s="561">
        <v>0</v>
      </c>
      <c r="GY10" s="561">
        <v>0</v>
      </c>
      <c r="GZ10" s="561">
        <v>60</v>
      </c>
      <c r="HA10" s="561">
        <v>0</v>
      </c>
      <c r="HB10" s="561">
        <v>0</v>
      </c>
      <c r="HC10" s="561">
        <v>257</v>
      </c>
      <c r="HD10" s="561">
        <v>3172.1</v>
      </c>
      <c r="HE10" s="561">
        <v>0</v>
      </c>
      <c r="HF10" s="561">
        <v>15021.7</v>
      </c>
      <c r="HG10" s="561">
        <v>0</v>
      </c>
      <c r="HH10" s="561">
        <v>0</v>
      </c>
      <c r="HI10" s="561">
        <v>0</v>
      </c>
      <c r="HJ10" s="561">
        <v>0</v>
      </c>
      <c r="HK10" s="561">
        <v>0</v>
      </c>
      <c r="HL10" s="561">
        <v>0</v>
      </c>
      <c r="HM10" s="561">
        <v>0</v>
      </c>
      <c r="HN10" s="561">
        <v>0</v>
      </c>
      <c r="HO10" s="561">
        <v>1288</v>
      </c>
      <c r="HP10" s="561">
        <v>1696</v>
      </c>
      <c r="HQ10" s="561">
        <v>0</v>
      </c>
      <c r="HR10" s="561">
        <v>0</v>
      </c>
      <c r="HS10" s="561">
        <v>632</v>
      </c>
      <c r="HT10" s="561">
        <v>317</v>
      </c>
      <c r="HU10" s="561">
        <v>0</v>
      </c>
      <c r="HV10" s="561">
        <v>0</v>
      </c>
      <c r="HW10" s="561">
        <v>255</v>
      </c>
      <c r="HX10" s="561">
        <v>194</v>
      </c>
      <c r="HY10" s="561">
        <v>77</v>
      </c>
      <c r="HZ10" s="561">
        <v>-47</v>
      </c>
      <c r="IA10" s="561">
        <v>0</v>
      </c>
      <c r="IB10" s="561">
        <v>0</v>
      </c>
      <c r="IC10" s="561">
        <v>0</v>
      </c>
      <c r="ID10" s="561">
        <v>0</v>
      </c>
      <c r="IE10" s="561">
        <v>1320</v>
      </c>
      <c r="IF10" s="561">
        <v>0</v>
      </c>
      <c r="IG10" s="561">
        <v>0</v>
      </c>
      <c r="IH10" s="561">
        <v>1027</v>
      </c>
      <c r="II10" s="561">
        <v>6759</v>
      </c>
      <c r="IJ10" s="561">
        <v>0</v>
      </c>
      <c r="IK10" s="561">
        <v>8582</v>
      </c>
      <c r="IL10" s="561">
        <v>2071</v>
      </c>
      <c r="IM10" s="561">
        <v>0</v>
      </c>
      <c r="IN10" s="561">
        <v>0</v>
      </c>
      <c r="IO10" s="561">
        <v>845</v>
      </c>
      <c r="IP10" s="561">
        <v>0</v>
      </c>
      <c r="IQ10" s="561">
        <v>0</v>
      </c>
      <c r="IR10" s="561">
        <v>0</v>
      </c>
      <c r="IS10" s="561">
        <v>-1073.0999999999999</v>
      </c>
      <c r="IT10" s="561">
        <v>0</v>
      </c>
      <c r="IU10" s="561">
        <v>0</v>
      </c>
      <c r="IV10" s="561">
        <v>0</v>
      </c>
      <c r="IW10" s="561">
        <v>6210</v>
      </c>
      <c r="IX10" s="561">
        <v>2367</v>
      </c>
      <c r="IY10" s="561">
        <v>9482.6</v>
      </c>
      <c r="IZ10" s="561">
        <v>3172.1</v>
      </c>
      <c r="JA10" s="561">
        <v>0</v>
      </c>
      <c r="JB10" s="561">
        <v>0</v>
      </c>
      <c r="JC10" s="561">
        <v>6759</v>
      </c>
      <c r="JD10" s="561">
        <v>0</v>
      </c>
      <c r="JE10" s="561">
        <v>26917.599999999999</v>
      </c>
      <c r="JF10" s="561">
        <v>24827</v>
      </c>
      <c r="JG10" s="561">
        <v>1136</v>
      </c>
      <c r="JH10" s="561">
        <v>6522.6</v>
      </c>
      <c r="JI10" s="561">
        <v>0</v>
      </c>
      <c r="JJ10" s="561">
        <v>0</v>
      </c>
      <c r="JK10" s="561">
        <v>5530</v>
      </c>
      <c r="JL10" s="561">
        <v>0</v>
      </c>
      <c r="JM10" s="561">
        <v>0</v>
      </c>
      <c r="JN10" s="561">
        <v>0</v>
      </c>
      <c r="JO10" s="561">
        <v>265</v>
      </c>
      <c r="JP10" s="561">
        <v>0</v>
      </c>
      <c r="JQ10" s="561">
        <v>0</v>
      </c>
      <c r="JR10" s="561">
        <v>0</v>
      </c>
      <c r="JS10" s="561">
        <v>0</v>
      </c>
      <c r="JT10" s="561">
        <v>-57</v>
      </c>
      <c r="JU10" s="561">
        <v>0</v>
      </c>
      <c r="JV10" s="561">
        <v>65141.2</v>
      </c>
      <c r="JW10" s="561">
        <v>0</v>
      </c>
      <c r="JX10" s="561">
        <v>3772</v>
      </c>
      <c r="JY10" s="561">
        <v>0</v>
      </c>
      <c r="JZ10" s="561">
        <v>0</v>
      </c>
      <c r="KA10" s="561">
        <v>0</v>
      </c>
      <c r="KB10" s="561">
        <v>250.5</v>
      </c>
      <c r="KC10" s="561">
        <v>0</v>
      </c>
      <c r="KD10" s="561">
        <v>1594</v>
      </c>
      <c r="KE10" s="561">
        <v>1207</v>
      </c>
      <c r="KF10" s="561">
        <v>-962</v>
      </c>
      <c r="KG10" s="561">
        <v>71002.7</v>
      </c>
      <c r="KH10" s="561">
        <v>-2396</v>
      </c>
      <c r="KI10" s="561">
        <v>0</v>
      </c>
      <c r="KJ10" s="561">
        <v>0</v>
      </c>
      <c r="KK10" s="561">
        <v>0</v>
      </c>
      <c r="KL10" s="561">
        <v>-31701</v>
      </c>
      <c r="KM10" s="561">
        <v>0</v>
      </c>
      <c r="KN10" s="561">
        <v>-2509</v>
      </c>
      <c r="KO10" s="561">
        <v>0</v>
      </c>
      <c r="KP10" s="561">
        <v>0</v>
      </c>
      <c r="KQ10" s="561">
        <v>0</v>
      </c>
      <c r="KR10" s="561">
        <v>34396.699999999997</v>
      </c>
      <c r="KS10" s="561">
        <v>0</v>
      </c>
      <c r="KT10" s="561">
        <v>-4323</v>
      </c>
      <c r="KU10" s="561">
        <v>30073.7</v>
      </c>
      <c r="KV10" s="561">
        <v>0</v>
      </c>
      <c r="KW10" s="561">
        <v>0</v>
      </c>
      <c r="KX10" s="561">
        <v>0</v>
      </c>
      <c r="KY10" s="561">
        <v>0</v>
      </c>
      <c r="KZ10" s="561">
        <v>-454</v>
      </c>
      <c r="LA10" s="561">
        <v>0</v>
      </c>
      <c r="LB10" s="561">
        <v>-207</v>
      </c>
      <c r="LC10" s="561">
        <v>0</v>
      </c>
      <c r="LD10" s="561">
        <v>-9594</v>
      </c>
      <c r="LE10" s="561">
        <v>-148</v>
      </c>
      <c r="LF10" s="561">
        <v>-689</v>
      </c>
      <c r="LG10" s="561">
        <v>18982</v>
      </c>
      <c r="LH10" s="561">
        <v>0</v>
      </c>
      <c r="LI10" s="561">
        <v>0</v>
      </c>
      <c r="LJ10" s="561">
        <v>0</v>
      </c>
      <c r="LK10" s="561">
        <v>0</v>
      </c>
      <c r="LL10" s="561">
        <v>14677</v>
      </c>
      <c r="LM10" s="561">
        <v>5000</v>
      </c>
      <c r="LN10" s="561">
        <v>0</v>
      </c>
      <c r="LO10" s="561">
        <v>0</v>
      </c>
      <c r="LP10" s="561">
        <v>0</v>
      </c>
      <c r="LQ10" s="561">
        <v>0</v>
      </c>
      <c r="LR10" s="561">
        <v>14223</v>
      </c>
      <c r="LS10" s="561">
        <v>5000</v>
      </c>
      <c r="LT10" s="561">
        <v>0</v>
      </c>
      <c r="LU10" s="561">
        <v>3354</v>
      </c>
      <c r="LV10" s="561">
        <v>16</v>
      </c>
      <c r="LW10" s="561">
        <v>2246</v>
      </c>
      <c r="LX10" s="561">
        <v>12976</v>
      </c>
      <c r="LY10" s="561">
        <v>1930</v>
      </c>
      <c r="LZ10" s="561">
        <v>20522</v>
      </c>
      <c r="MA10" s="561">
        <v>0</v>
      </c>
      <c r="MB10" s="561">
        <v>0</v>
      </c>
      <c r="MC10" s="561">
        <v>22764.5</v>
      </c>
      <c r="MD10" s="561">
        <v>22072</v>
      </c>
      <c r="ME10" s="561">
        <v>692.5</v>
      </c>
      <c r="MF10" s="561">
        <v>479</v>
      </c>
      <c r="MG10" s="561">
        <v>1171.5</v>
      </c>
      <c r="MH10" s="561">
        <v>5835</v>
      </c>
      <c r="MI10" s="561">
        <v>4858</v>
      </c>
      <c r="MJ10" s="561">
        <v>10693</v>
      </c>
      <c r="MK10" s="561">
        <v>0</v>
      </c>
      <c r="ML10" s="561">
        <v>335</v>
      </c>
      <c r="MM10" s="561">
        <v>4849</v>
      </c>
      <c r="MN10" s="561">
        <v>8747</v>
      </c>
      <c r="MO10" s="561">
        <v>292</v>
      </c>
      <c r="MP10" s="561">
        <v>0</v>
      </c>
      <c r="MQ10" s="561">
        <v>0</v>
      </c>
      <c r="MR10" s="561">
        <v>-1073.0999999999999</v>
      </c>
      <c r="MS10" s="561">
        <v>0</v>
      </c>
      <c r="MT10" s="561">
        <v>0</v>
      </c>
      <c r="MU10" s="561">
        <v>0</v>
      </c>
      <c r="MV10" s="561">
        <v>6210</v>
      </c>
      <c r="MW10" s="561">
        <v>2367</v>
      </c>
      <c r="MX10" s="561">
        <v>9482.6</v>
      </c>
      <c r="MY10" s="561">
        <v>3172.1</v>
      </c>
      <c r="MZ10" s="561">
        <v>0</v>
      </c>
      <c r="NA10" s="561">
        <v>0</v>
      </c>
      <c r="NB10" s="561">
        <v>6759</v>
      </c>
      <c r="NC10" s="561">
        <v>0</v>
      </c>
      <c r="ND10" s="561">
        <v>26917.599999999999</v>
      </c>
      <c r="NE10" s="561">
        <v>0</v>
      </c>
      <c r="NF10" s="561">
        <v>0</v>
      </c>
      <c r="NG10" s="561">
        <v>0</v>
      </c>
      <c r="NH10" s="561">
        <v>0</v>
      </c>
      <c r="NI10" s="561">
        <v>0</v>
      </c>
      <c r="NJ10" s="561">
        <v>0</v>
      </c>
      <c r="NK10" s="561">
        <v>0</v>
      </c>
      <c r="NL10" s="561">
        <v>0</v>
      </c>
      <c r="NM10" s="561">
        <v>0</v>
      </c>
      <c r="NN10" s="561">
        <v>0</v>
      </c>
      <c r="NO10" s="561">
        <v>0</v>
      </c>
      <c r="NP10" s="561">
        <v>0</v>
      </c>
      <c r="NQ10" s="561">
        <v>0</v>
      </c>
      <c r="NR10" s="561">
        <v>0</v>
      </c>
      <c r="NS10" s="561">
        <v>0</v>
      </c>
      <c r="NT10" s="561">
        <v>0</v>
      </c>
      <c r="NU10" s="561">
        <v>0</v>
      </c>
      <c r="NV10" s="561">
        <v>0</v>
      </c>
      <c r="NW10" s="561">
        <v>0</v>
      </c>
      <c r="NX10" s="561">
        <v>0</v>
      </c>
      <c r="NY10" s="561">
        <v>0</v>
      </c>
      <c r="NZ10" s="561">
        <v>0</v>
      </c>
      <c r="OA10" s="561">
        <v>0</v>
      </c>
      <c r="OB10" s="561">
        <v>0</v>
      </c>
      <c r="OC10" s="561">
        <v>0</v>
      </c>
      <c r="OD10" s="561">
        <v>0</v>
      </c>
      <c r="OE10" s="561">
        <v>0</v>
      </c>
      <c r="OF10" s="561">
        <v>0</v>
      </c>
      <c r="OG10" s="561">
        <v>0</v>
      </c>
      <c r="OH10" s="561">
        <v>0</v>
      </c>
      <c r="OI10" s="561">
        <v>0</v>
      </c>
      <c r="OJ10" s="561">
        <v>0</v>
      </c>
      <c r="OK10" s="561">
        <v>0</v>
      </c>
      <c r="OL10" s="561">
        <v>0</v>
      </c>
      <c r="OM10" s="561">
        <v>0</v>
      </c>
      <c r="ON10" s="561">
        <v>0</v>
      </c>
      <c r="OO10" s="561">
        <v>0</v>
      </c>
      <c r="OP10" s="561">
        <v>0</v>
      </c>
      <c r="OQ10" s="561">
        <v>0</v>
      </c>
      <c r="OR10" s="561">
        <v>0</v>
      </c>
      <c r="OS10" s="561">
        <v>0</v>
      </c>
      <c r="OT10" s="561">
        <v>0</v>
      </c>
      <c r="OU10" s="561">
        <v>0</v>
      </c>
      <c r="OV10" s="561">
        <v>0</v>
      </c>
      <c r="OW10" s="561">
        <v>0</v>
      </c>
      <c r="OX10" s="561">
        <v>0</v>
      </c>
      <c r="OY10" s="561">
        <v>0</v>
      </c>
      <c r="OZ10" s="561">
        <v>0</v>
      </c>
      <c r="PA10" s="561">
        <v>0</v>
      </c>
      <c r="PB10" s="561">
        <v>0</v>
      </c>
      <c r="PC10" s="561">
        <v>0</v>
      </c>
      <c r="PD10" s="561">
        <v>0</v>
      </c>
      <c r="PE10" s="561">
        <v>0</v>
      </c>
      <c r="PF10" s="561">
        <v>0</v>
      </c>
      <c r="PG10" s="561">
        <v>0</v>
      </c>
      <c r="PH10" s="561">
        <v>0</v>
      </c>
      <c r="PI10" s="561">
        <v>0</v>
      </c>
      <c r="PJ10" s="561">
        <v>0</v>
      </c>
    </row>
    <row r="11" spans="1:434" ht="14" x14ac:dyDescent="0.3">
      <c r="A11" t="s">
        <v>2457</v>
      </c>
      <c r="B11" t="s">
        <v>2458</v>
      </c>
      <c r="C11" t="s">
        <v>2459</v>
      </c>
      <c r="E11" t="s">
        <v>384</v>
      </c>
      <c r="F11" s="561" t="s">
        <v>2453</v>
      </c>
      <c r="G11" s="561" t="s">
        <v>2453</v>
      </c>
      <c r="H11" s="561" t="s">
        <v>2453</v>
      </c>
      <c r="I11" s="561" t="s">
        <v>2453</v>
      </c>
      <c r="J11" s="561" t="s">
        <v>2453</v>
      </c>
      <c r="K11" s="561" t="s">
        <v>2453</v>
      </c>
      <c r="L11" s="561" t="s">
        <v>2453</v>
      </c>
      <c r="M11" s="561" t="s">
        <v>2453</v>
      </c>
      <c r="N11" s="561" t="s">
        <v>2453</v>
      </c>
      <c r="O11" s="561" t="s">
        <v>2453</v>
      </c>
      <c r="P11" s="561" t="s">
        <v>2453</v>
      </c>
      <c r="Q11" s="561" t="s">
        <v>2453</v>
      </c>
      <c r="R11" s="561" t="s">
        <v>2453</v>
      </c>
      <c r="S11" s="561" t="s">
        <v>2453</v>
      </c>
      <c r="T11" s="561" t="s">
        <v>2453</v>
      </c>
      <c r="U11" s="561" t="s">
        <v>2453</v>
      </c>
      <c r="V11" s="561" t="s">
        <v>2453</v>
      </c>
      <c r="W11" s="561" t="s">
        <v>2453</v>
      </c>
      <c r="X11" s="561" t="s">
        <v>2453</v>
      </c>
      <c r="Y11" s="561" t="s">
        <v>2453</v>
      </c>
      <c r="Z11" s="561" t="s">
        <v>2453</v>
      </c>
      <c r="AA11" s="561" t="s">
        <v>2453</v>
      </c>
      <c r="AB11" s="561" t="s">
        <v>2453</v>
      </c>
      <c r="AC11" s="561" t="s">
        <v>2453</v>
      </c>
      <c r="AD11" s="561" t="s">
        <v>2453</v>
      </c>
      <c r="AE11" s="561" t="s">
        <v>2453</v>
      </c>
      <c r="AF11" s="561" t="s">
        <v>2453</v>
      </c>
      <c r="AG11" s="561" t="s">
        <v>2453</v>
      </c>
      <c r="AH11" s="561" t="s">
        <v>2453</v>
      </c>
      <c r="AI11" s="561" t="s">
        <v>2453</v>
      </c>
      <c r="AJ11" s="561" t="s">
        <v>2453</v>
      </c>
      <c r="AK11" s="561" t="s">
        <v>2453</v>
      </c>
      <c r="AL11" s="561" t="s">
        <v>2453</v>
      </c>
      <c r="AM11" s="561" t="s">
        <v>2453</v>
      </c>
      <c r="AN11" s="561" t="s">
        <v>2453</v>
      </c>
      <c r="AO11" s="561" t="s">
        <v>2453</v>
      </c>
      <c r="AP11" s="561" t="s">
        <v>2453</v>
      </c>
      <c r="AQ11" s="561" t="s">
        <v>2453</v>
      </c>
      <c r="AR11" s="561" t="s">
        <v>2453</v>
      </c>
      <c r="AS11" s="561" t="s">
        <v>2453</v>
      </c>
      <c r="AT11" s="561" t="s">
        <v>2453</v>
      </c>
      <c r="AU11" s="561" t="s">
        <v>2453</v>
      </c>
      <c r="AV11" s="561" t="s">
        <v>2453</v>
      </c>
      <c r="AW11" s="561" t="s">
        <v>2453</v>
      </c>
      <c r="AX11" s="561" t="s">
        <v>2453</v>
      </c>
      <c r="AY11" s="561" t="s">
        <v>2453</v>
      </c>
      <c r="AZ11" s="561" t="s">
        <v>2453</v>
      </c>
      <c r="BA11" s="561" t="s">
        <v>2453</v>
      </c>
      <c r="BB11" s="561" t="s">
        <v>2453</v>
      </c>
      <c r="BC11" s="561" t="s">
        <v>2453</v>
      </c>
      <c r="BD11" s="561" t="s">
        <v>2453</v>
      </c>
      <c r="BE11" s="561" t="s">
        <v>2453</v>
      </c>
      <c r="BF11" s="561" t="s">
        <v>2453</v>
      </c>
      <c r="BG11" s="561" t="s">
        <v>2453</v>
      </c>
      <c r="BH11" s="561" t="s">
        <v>2453</v>
      </c>
      <c r="BI11" s="561" t="s">
        <v>2453</v>
      </c>
      <c r="BJ11" s="561" t="s">
        <v>2453</v>
      </c>
      <c r="BK11" s="561" t="s">
        <v>2453</v>
      </c>
      <c r="BL11" s="561" t="s">
        <v>2453</v>
      </c>
      <c r="BM11" s="561" t="s">
        <v>2453</v>
      </c>
      <c r="BN11" s="561" t="s">
        <v>2453</v>
      </c>
      <c r="BO11" s="561" t="s">
        <v>2453</v>
      </c>
      <c r="BP11" s="561" t="s">
        <v>2453</v>
      </c>
      <c r="BQ11" s="561" t="s">
        <v>2453</v>
      </c>
      <c r="BR11" s="561" t="s">
        <v>2453</v>
      </c>
      <c r="BS11" s="561" t="s">
        <v>2453</v>
      </c>
      <c r="BT11" s="561" t="s">
        <v>2453</v>
      </c>
      <c r="BU11" s="561" t="s">
        <v>2453</v>
      </c>
      <c r="BV11" s="561" t="s">
        <v>2453</v>
      </c>
      <c r="BW11" s="561" t="s">
        <v>2453</v>
      </c>
      <c r="BX11" s="561" t="s">
        <v>2453</v>
      </c>
      <c r="BY11" s="561" t="s">
        <v>2453</v>
      </c>
      <c r="BZ11" s="561" t="s">
        <v>2453</v>
      </c>
      <c r="CA11" s="561" t="s">
        <v>2453</v>
      </c>
      <c r="CB11" s="561" t="s">
        <v>2453</v>
      </c>
      <c r="CC11" s="561" t="s">
        <v>2453</v>
      </c>
      <c r="CD11" s="561" t="s">
        <v>2453</v>
      </c>
      <c r="CE11" s="561" t="s">
        <v>2453</v>
      </c>
      <c r="CF11" s="561" t="s">
        <v>2453</v>
      </c>
      <c r="CG11" s="561" t="s">
        <v>2453</v>
      </c>
      <c r="CH11" s="561" t="s">
        <v>2453</v>
      </c>
      <c r="CI11" s="561" t="s">
        <v>2453</v>
      </c>
      <c r="CJ11" s="561" t="s">
        <v>2453</v>
      </c>
      <c r="CK11" s="561" t="s">
        <v>2453</v>
      </c>
      <c r="CL11" s="561" t="s">
        <v>2453</v>
      </c>
      <c r="CM11" s="561" t="s">
        <v>2453</v>
      </c>
      <c r="CN11" s="561" t="s">
        <v>2453</v>
      </c>
      <c r="CO11" s="561" t="s">
        <v>2453</v>
      </c>
      <c r="CP11" s="561" t="s">
        <v>2453</v>
      </c>
      <c r="CQ11" s="561" t="s">
        <v>2453</v>
      </c>
      <c r="CR11" s="561" t="s">
        <v>2453</v>
      </c>
      <c r="CS11" s="561" t="s">
        <v>2453</v>
      </c>
      <c r="CT11" s="561" t="s">
        <v>2453</v>
      </c>
      <c r="CU11" s="561" t="s">
        <v>2453</v>
      </c>
      <c r="CV11" s="561" t="s">
        <v>2453</v>
      </c>
      <c r="CW11" s="561" t="s">
        <v>2453</v>
      </c>
      <c r="CX11" s="561" t="s">
        <v>2453</v>
      </c>
      <c r="CY11" s="561" t="s">
        <v>2453</v>
      </c>
      <c r="CZ11" s="561" t="s">
        <v>2453</v>
      </c>
      <c r="DA11" s="561" t="s">
        <v>2453</v>
      </c>
      <c r="DB11" s="561" t="s">
        <v>2453</v>
      </c>
      <c r="DC11" s="561" t="s">
        <v>2453</v>
      </c>
      <c r="DD11" s="561" t="s">
        <v>2453</v>
      </c>
      <c r="DE11" s="561" t="s">
        <v>2453</v>
      </c>
      <c r="DF11" s="561" t="s">
        <v>2453</v>
      </c>
      <c r="DG11" s="561" t="s">
        <v>2453</v>
      </c>
      <c r="DH11" s="561" t="s">
        <v>2453</v>
      </c>
      <c r="DI11" s="561" t="s">
        <v>2453</v>
      </c>
      <c r="DJ11" s="561" t="s">
        <v>2453</v>
      </c>
      <c r="DK11" s="561" t="s">
        <v>2453</v>
      </c>
      <c r="DL11" s="561" t="s">
        <v>2453</v>
      </c>
      <c r="DM11" s="561" t="s">
        <v>2453</v>
      </c>
      <c r="DN11" s="561" t="s">
        <v>2453</v>
      </c>
      <c r="DO11" s="561" t="s">
        <v>2453</v>
      </c>
      <c r="DP11" s="561" t="s">
        <v>2453</v>
      </c>
      <c r="DQ11" s="561" t="s">
        <v>2453</v>
      </c>
      <c r="DR11" s="561" t="s">
        <v>2453</v>
      </c>
      <c r="DS11" s="561" t="s">
        <v>2453</v>
      </c>
      <c r="DT11" s="561" t="s">
        <v>2453</v>
      </c>
      <c r="DU11" s="561" t="s">
        <v>2453</v>
      </c>
      <c r="DV11" s="561" t="s">
        <v>2453</v>
      </c>
      <c r="DW11" s="561" t="s">
        <v>2453</v>
      </c>
      <c r="DX11" s="561" t="s">
        <v>2453</v>
      </c>
      <c r="DY11" s="561" t="s">
        <v>2453</v>
      </c>
      <c r="DZ11" s="561" t="s">
        <v>2453</v>
      </c>
      <c r="EA11" s="561" t="s">
        <v>2453</v>
      </c>
      <c r="EB11" s="561" t="s">
        <v>2453</v>
      </c>
      <c r="EC11" s="561" t="s">
        <v>2453</v>
      </c>
      <c r="ED11" s="561" t="s">
        <v>2453</v>
      </c>
      <c r="EE11" s="561" t="s">
        <v>2453</v>
      </c>
      <c r="EF11" s="561" t="s">
        <v>2453</v>
      </c>
      <c r="EG11" s="561" t="s">
        <v>2453</v>
      </c>
      <c r="EH11" s="561" t="s">
        <v>2453</v>
      </c>
      <c r="EI11" s="561" t="s">
        <v>2453</v>
      </c>
      <c r="EJ11" s="561" t="s">
        <v>2453</v>
      </c>
      <c r="EK11" s="561" t="s">
        <v>2453</v>
      </c>
      <c r="EL11" s="561" t="s">
        <v>2453</v>
      </c>
      <c r="EM11" s="561" t="s">
        <v>2453</v>
      </c>
      <c r="EN11" s="561" t="s">
        <v>2453</v>
      </c>
      <c r="EO11" s="561" t="s">
        <v>2453</v>
      </c>
      <c r="EP11" s="561" t="s">
        <v>2453</v>
      </c>
      <c r="EQ11" s="561" t="s">
        <v>2453</v>
      </c>
      <c r="ER11" s="561" t="s">
        <v>2453</v>
      </c>
      <c r="ES11" s="561" t="s">
        <v>4565</v>
      </c>
      <c r="ET11" s="561" t="s">
        <v>2453</v>
      </c>
      <c r="EU11" s="561" t="s">
        <v>2453</v>
      </c>
      <c r="EV11" s="561" t="s">
        <v>2453</v>
      </c>
      <c r="EW11" s="561" t="s">
        <v>2453</v>
      </c>
      <c r="EX11" s="561" t="s">
        <v>2453</v>
      </c>
      <c r="EY11" s="561" t="s">
        <v>2453</v>
      </c>
      <c r="EZ11" s="561" t="s">
        <v>2453</v>
      </c>
      <c r="FA11" s="561" t="s">
        <v>2453</v>
      </c>
      <c r="FB11" s="561" t="s">
        <v>2453</v>
      </c>
      <c r="FC11" s="561" t="s">
        <v>2453</v>
      </c>
      <c r="FD11" s="561" t="s">
        <v>2453</v>
      </c>
      <c r="FE11" s="561" t="s">
        <v>2453</v>
      </c>
      <c r="FF11" s="561" t="s">
        <v>2453</v>
      </c>
      <c r="FG11" s="561" t="s">
        <v>2453</v>
      </c>
      <c r="FH11" s="561" t="s">
        <v>2453</v>
      </c>
      <c r="FI11" s="561" t="s">
        <v>2453</v>
      </c>
      <c r="FJ11" s="561" t="s">
        <v>2453</v>
      </c>
      <c r="FK11" s="561" t="s">
        <v>2453</v>
      </c>
      <c r="FL11" s="561" t="s">
        <v>2453</v>
      </c>
      <c r="FM11" s="561" t="s">
        <v>2453</v>
      </c>
      <c r="FN11" s="561" t="s">
        <v>2453</v>
      </c>
      <c r="FO11" s="561" t="s">
        <v>2453</v>
      </c>
      <c r="FP11" s="561" t="s">
        <v>2453</v>
      </c>
      <c r="FQ11" s="561" t="s">
        <v>2453</v>
      </c>
      <c r="FR11" s="561" t="s">
        <v>2453</v>
      </c>
      <c r="FS11" s="561" t="s">
        <v>2453</v>
      </c>
      <c r="FT11" s="561" t="s">
        <v>2453</v>
      </c>
      <c r="FU11" s="561" t="s">
        <v>2453</v>
      </c>
      <c r="FV11" s="561" t="s">
        <v>2453</v>
      </c>
      <c r="FW11" s="561" t="s">
        <v>2453</v>
      </c>
      <c r="FX11" s="561" t="s">
        <v>2453</v>
      </c>
      <c r="FY11" s="561" t="s">
        <v>2453</v>
      </c>
      <c r="FZ11" s="561" t="s">
        <v>2453</v>
      </c>
      <c r="GA11" s="561" t="s">
        <v>2453</v>
      </c>
      <c r="GB11" s="561" t="s">
        <v>2453</v>
      </c>
      <c r="GC11" s="561" t="s">
        <v>2453</v>
      </c>
      <c r="GD11" s="561" t="s">
        <v>2453</v>
      </c>
      <c r="GE11" s="561" t="s">
        <v>2453</v>
      </c>
      <c r="GF11" s="561" t="s">
        <v>2453</v>
      </c>
      <c r="GG11" s="561" t="s">
        <v>2453</v>
      </c>
      <c r="GH11" s="561" t="s">
        <v>2453</v>
      </c>
      <c r="GI11" s="561" t="s">
        <v>2453</v>
      </c>
      <c r="GJ11" s="561" t="s">
        <v>2453</v>
      </c>
      <c r="GK11" s="561" t="s">
        <v>2453</v>
      </c>
      <c r="GL11" s="561" t="s">
        <v>2453</v>
      </c>
      <c r="GM11" s="561" t="s">
        <v>2453</v>
      </c>
      <c r="GN11" s="561" t="s">
        <v>2453</v>
      </c>
      <c r="GO11" s="561" t="s">
        <v>2453</v>
      </c>
      <c r="GP11" s="561" t="s">
        <v>2453</v>
      </c>
      <c r="GQ11" s="561" t="s">
        <v>2453</v>
      </c>
      <c r="GR11" s="561" t="s">
        <v>2453</v>
      </c>
      <c r="GS11" s="561" t="s">
        <v>2453</v>
      </c>
      <c r="GT11" s="561" t="s">
        <v>2453</v>
      </c>
      <c r="GU11" s="561" t="s">
        <v>2453</v>
      </c>
      <c r="GV11" s="561" t="s">
        <v>2453</v>
      </c>
      <c r="GW11" s="561" t="s">
        <v>2453</v>
      </c>
      <c r="GX11" s="561" t="s">
        <v>2453</v>
      </c>
      <c r="GY11" s="561" t="s">
        <v>2453</v>
      </c>
      <c r="GZ11" s="561" t="s">
        <v>2453</v>
      </c>
      <c r="HA11" s="561" t="s">
        <v>2453</v>
      </c>
      <c r="HB11" s="561" t="s">
        <v>2453</v>
      </c>
      <c r="HC11" s="561" t="s">
        <v>2453</v>
      </c>
      <c r="HD11" s="561" t="s">
        <v>2453</v>
      </c>
      <c r="HE11" s="561" t="s">
        <v>2453</v>
      </c>
      <c r="HF11" s="561" t="s">
        <v>2453</v>
      </c>
      <c r="HG11" s="561" t="s">
        <v>2453</v>
      </c>
      <c r="HH11" s="561" t="s">
        <v>2453</v>
      </c>
      <c r="HI11" s="561" t="s">
        <v>2453</v>
      </c>
      <c r="HJ11" s="561" t="s">
        <v>2453</v>
      </c>
      <c r="HK11" s="561" t="s">
        <v>2453</v>
      </c>
      <c r="HL11" s="561" t="s">
        <v>2453</v>
      </c>
      <c r="HM11" s="561" t="s">
        <v>2453</v>
      </c>
      <c r="HN11" s="561" t="s">
        <v>2453</v>
      </c>
      <c r="HO11" s="561" t="s">
        <v>2453</v>
      </c>
      <c r="HP11" s="561" t="s">
        <v>2453</v>
      </c>
      <c r="HQ11" s="561" t="s">
        <v>2453</v>
      </c>
      <c r="HR11" s="561" t="s">
        <v>2453</v>
      </c>
      <c r="HS11" s="561" t="s">
        <v>2453</v>
      </c>
      <c r="HT11" s="561" t="s">
        <v>2453</v>
      </c>
      <c r="HU11" s="561" t="s">
        <v>2453</v>
      </c>
      <c r="HV11" s="561" t="s">
        <v>2453</v>
      </c>
      <c r="HW11" s="561" t="s">
        <v>2453</v>
      </c>
      <c r="HX11" s="561" t="s">
        <v>2453</v>
      </c>
      <c r="HY11" s="561" t="s">
        <v>2453</v>
      </c>
      <c r="HZ11" s="561" t="s">
        <v>2453</v>
      </c>
      <c r="IA11" s="561" t="s">
        <v>2453</v>
      </c>
      <c r="IB11" s="561" t="s">
        <v>2453</v>
      </c>
      <c r="IC11" s="561" t="s">
        <v>2453</v>
      </c>
      <c r="ID11" s="561" t="s">
        <v>2453</v>
      </c>
      <c r="IE11" s="561" t="s">
        <v>2453</v>
      </c>
      <c r="IF11" s="561" t="s">
        <v>2453</v>
      </c>
      <c r="IG11" s="561" t="s">
        <v>2453</v>
      </c>
      <c r="IH11" s="561" t="s">
        <v>2453</v>
      </c>
      <c r="II11" s="561" t="s">
        <v>2453</v>
      </c>
      <c r="IJ11" s="561" t="s">
        <v>2453</v>
      </c>
      <c r="IK11" s="561" t="s">
        <v>2453</v>
      </c>
      <c r="IL11" s="561" t="s">
        <v>2453</v>
      </c>
      <c r="IM11" s="561" t="s">
        <v>2453</v>
      </c>
      <c r="IN11" s="561" t="s">
        <v>2453</v>
      </c>
      <c r="IO11" s="561" t="s">
        <v>2453</v>
      </c>
      <c r="IP11" s="561" t="s">
        <v>2453</v>
      </c>
      <c r="IQ11" s="561" t="s">
        <v>2453</v>
      </c>
      <c r="IR11" s="561" t="s">
        <v>2453</v>
      </c>
      <c r="IS11" s="561" t="s">
        <v>2453</v>
      </c>
      <c r="IT11" s="561" t="s">
        <v>2453</v>
      </c>
      <c r="IU11" s="561" t="s">
        <v>2453</v>
      </c>
      <c r="IV11" s="561" t="s">
        <v>2453</v>
      </c>
      <c r="IW11" s="561" t="s">
        <v>2453</v>
      </c>
      <c r="IX11" s="561" t="s">
        <v>2453</v>
      </c>
      <c r="IY11" s="561" t="s">
        <v>2453</v>
      </c>
      <c r="IZ11" s="561" t="s">
        <v>2453</v>
      </c>
      <c r="JA11" s="561" t="s">
        <v>2453</v>
      </c>
      <c r="JB11" s="561" t="s">
        <v>2453</v>
      </c>
      <c r="JC11" s="561" t="s">
        <v>2453</v>
      </c>
      <c r="JD11" s="561" t="s">
        <v>2453</v>
      </c>
      <c r="JE11" s="561" t="s">
        <v>2453</v>
      </c>
      <c r="JF11" s="561" t="s">
        <v>2453</v>
      </c>
      <c r="JG11" s="561" t="s">
        <v>2453</v>
      </c>
      <c r="JH11" s="561" t="s">
        <v>2453</v>
      </c>
      <c r="JI11" s="561" t="s">
        <v>2453</v>
      </c>
      <c r="JJ11" s="561" t="s">
        <v>2453</v>
      </c>
      <c r="JK11" s="561" t="s">
        <v>2453</v>
      </c>
      <c r="JL11" s="561" t="s">
        <v>2453</v>
      </c>
      <c r="JM11" s="561" t="s">
        <v>2453</v>
      </c>
      <c r="JN11" s="561" t="s">
        <v>2453</v>
      </c>
      <c r="JO11" s="561" t="s">
        <v>2453</v>
      </c>
      <c r="JP11" s="561" t="s">
        <v>2453</v>
      </c>
      <c r="JQ11" s="561" t="s">
        <v>2453</v>
      </c>
      <c r="JR11" s="561" t="s">
        <v>2453</v>
      </c>
      <c r="JS11" s="561" t="s">
        <v>2453</v>
      </c>
      <c r="JT11" s="561" t="s">
        <v>2453</v>
      </c>
      <c r="JU11" s="561" t="s">
        <v>2453</v>
      </c>
      <c r="JV11" s="561" t="s">
        <v>2453</v>
      </c>
      <c r="JW11" s="561" t="s">
        <v>2453</v>
      </c>
      <c r="JX11" s="561" t="s">
        <v>2453</v>
      </c>
      <c r="JY11" s="561" t="s">
        <v>2453</v>
      </c>
      <c r="JZ11" s="561" t="s">
        <v>2453</v>
      </c>
      <c r="KA11" s="561" t="s">
        <v>2453</v>
      </c>
      <c r="KB11" s="561" t="s">
        <v>2453</v>
      </c>
      <c r="KC11" s="561" t="s">
        <v>2453</v>
      </c>
      <c r="KD11" s="561" t="s">
        <v>2453</v>
      </c>
      <c r="KE11" s="561" t="s">
        <v>2453</v>
      </c>
      <c r="KF11" s="561" t="s">
        <v>2453</v>
      </c>
      <c r="KG11" s="561" t="s">
        <v>2453</v>
      </c>
      <c r="KH11" s="561" t="s">
        <v>2453</v>
      </c>
      <c r="KI11" s="561" t="s">
        <v>2453</v>
      </c>
      <c r="KJ11" s="561" t="s">
        <v>2453</v>
      </c>
      <c r="KK11" s="561" t="s">
        <v>2453</v>
      </c>
      <c r="KL11" s="561" t="s">
        <v>2453</v>
      </c>
      <c r="KM11" s="561" t="s">
        <v>2453</v>
      </c>
      <c r="KN11" s="561" t="s">
        <v>2453</v>
      </c>
      <c r="KO11" s="561" t="s">
        <v>2453</v>
      </c>
      <c r="KP11" s="561" t="s">
        <v>2453</v>
      </c>
      <c r="KQ11" s="561" t="s">
        <v>2453</v>
      </c>
      <c r="KR11" s="561" t="s">
        <v>2453</v>
      </c>
      <c r="KS11" s="561" t="s">
        <v>2453</v>
      </c>
      <c r="KT11" s="561" t="s">
        <v>2453</v>
      </c>
      <c r="KU11" s="561" t="s">
        <v>2453</v>
      </c>
      <c r="KV11" s="561" t="s">
        <v>2453</v>
      </c>
      <c r="KW11" s="561" t="s">
        <v>2453</v>
      </c>
      <c r="KX11" s="561" t="s">
        <v>2453</v>
      </c>
      <c r="KY11" s="561" t="s">
        <v>2453</v>
      </c>
      <c r="KZ11" s="561" t="s">
        <v>2453</v>
      </c>
      <c r="LA11" s="561" t="s">
        <v>2453</v>
      </c>
      <c r="LB11" s="561" t="s">
        <v>2453</v>
      </c>
      <c r="LC11" s="561" t="s">
        <v>2453</v>
      </c>
      <c r="LD11" s="561" t="s">
        <v>2453</v>
      </c>
      <c r="LE11" s="561" t="s">
        <v>2453</v>
      </c>
      <c r="LF11" s="561" t="s">
        <v>2453</v>
      </c>
      <c r="LG11" s="561" t="s">
        <v>2453</v>
      </c>
      <c r="LH11" s="561" t="s">
        <v>2453</v>
      </c>
      <c r="LI11" s="561" t="s">
        <v>2453</v>
      </c>
      <c r="LJ11" s="561" t="s">
        <v>2453</v>
      </c>
      <c r="LK11" s="561" t="s">
        <v>2453</v>
      </c>
      <c r="LL11" s="561" t="s">
        <v>2453</v>
      </c>
      <c r="LM11" s="561" t="s">
        <v>2453</v>
      </c>
      <c r="LN11" s="561" t="s">
        <v>2453</v>
      </c>
      <c r="LO11" s="561" t="s">
        <v>2453</v>
      </c>
      <c r="LP11" s="561" t="s">
        <v>2453</v>
      </c>
      <c r="LQ11" s="561" t="s">
        <v>2453</v>
      </c>
      <c r="LR11" s="561" t="s">
        <v>2453</v>
      </c>
      <c r="LS11" s="561" t="s">
        <v>2453</v>
      </c>
      <c r="LT11" s="561" t="s">
        <v>2453</v>
      </c>
      <c r="LU11" s="561" t="s">
        <v>2453</v>
      </c>
      <c r="LV11" s="561" t="s">
        <v>2453</v>
      </c>
      <c r="LW11" s="561" t="s">
        <v>2453</v>
      </c>
      <c r="LX11" s="561" t="s">
        <v>2453</v>
      </c>
      <c r="LY11" s="561" t="s">
        <v>2453</v>
      </c>
      <c r="LZ11" s="561" t="s">
        <v>2453</v>
      </c>
      <c r="MA11" s="561" t="s">
        <v>2453</v>
      </c>
      <c r="MB11" s="561" t="s">
        <v>2453</v>
      </c>
      <c r="MC11" s="561" t="s">
        <v>2453</v>
      </c>
      <c r="MD11" s="561" t="s">
        <v>2453</v>
      </c>
      <c r="ME11" s="561" t="s">
        <v>2453</v>
      </c>
      <c r="MF11" s="561" t="s">
        <v>2453</v>
      </c>
      <c r="MG11" s="561" t="s">
        <v>2453</v>
      </c>
      <c r="MH11" s="561" t="s">
        <v>2453</v>
      </c>
      <c r="MI11" s="561" t="s">
        <v>2453</v>
      </c>
      <c r="MJ11" s="561" t="s">
        <v>2453</v>
      </c>
      <c r="MK11" s="561" t="s">
        <v>2453</v>
      </c>
      <c r="ML11" s="561" t="s">
        <v>2453</v>
      </c>
      <c r="MM11" s="561" t="s">
        <v>2453</v>
      </c>
      <c r="MN11" s="561" t="s">
        <v>2453</v>
      </c>
      <c r="MO11" s="561" t="s">
        <v>2453</v>
      </c>
      <c r="MP11" s="561" t="s">
        <v>2453</v>
      </c>
      <c r="MQ11" s="561" t="s">
        <v>2453</v>
      </c>
      <c r="MR11" s="561" t="s">
        <v>2453</v>
      </c>
      <c r="MS11" s="561" t="s">
        <v>2453</v>
      </c>
      <c r="MT11" s="561" t="s">
        <v>2453</v>
      </c>
      <c r="MU11" s="561" t="s">
        <v>2453</v>
      </c>
      <c r="MV11" s="561" t="s">
        <v>2453</v>
      </c>
      <c r="MW11" s="561" t="s">
        <v>2453</v>
      </c>
      <c r="MX11" s="561" t="s">
        <v>2453</v>
      </c>
      <c r="MY11" s="561" t="s">
        <v>2453</v>
      </c>
      <c r="MZ11" s="561" t="s">
        <v>2453</v>
      </c>
      <c r="NA11" s="561" t="s">
        <v>2453</v>
      </c>
      <c r="NB11" s="561" t="s">
        <v>2453</v>
      </c>
      <c r="NC11" s="561" t="s">
        <v>2453</v>
      </c>
      <c r="ND11" s="561" t="s">
        <v>2453</v>
      </c>
      <c r="NE11" s="561" t="s">
        <v>2453</v>
      </c>
      <c r="NF11" s="561" t="s">
        <v>2453</v>
      </c>
      <c r="NG11" s="561" t="s">
        <v>2453</v>
      </c>
      <c r="NH11" s="561" t="s">
        <v>2453</v>
      </c>
      <c r="NI11" s="561" t="s">
        <v>2453</v>
      </c>
      <c r="NJ11" s="561" t="s">
        <v>2453</v>
      </c>
      <c r="NK11" s="561" t="s">
        <v>2453</v>
      </c>
      <c r="NL11" s="561" t="s">
        <v>2453</v>
      </c>
      <c r="NM11" s="561" t="s">
        <v>2453</v>
      </c>
      <c r="NN11" s="561" t="s">
        <v>2453</v>
      </c>
      <c r="NO11" s="561" t="s">
        <v>2453</v>
      </c>
      <c r="NP11" s="561" t="s">
        <v>2453</v>
      </c>
      <c r="NQ11" s="561" t="s">
        <v>2453</v>
      </c>
      <c r="NR11" s="561" t="s">
        <v>2453</v>
      </c>
      <c r="NS11" s="561" t="s">
        <v>2453</v>
      </c>
      <c r="NT11" s="561" t="s">
        <v>2453</v>
      </c>
      <c r="NU11" s="561">
        <v>99</v>
      </c>
      <c r="NV11" s="561" t="s">
        <v>2453</v>
      </c>
      <c r="NW11" s="561" t="s">
        <v>2453</v>
      </c>
      <c r="NX11" s="561" t="s">
        <v>2453</v>
      </c>
      <c r="NY11" s="561" t="s">
        <v>2453</v>
      </c>
      <c r="NZ11" s="561" t="s">
        <v>2453</v>
      </c>
      <c r="OA11" s="561" t="s">
        <v>2453</v>
      </c>
      <c r="OB11" s="561" t="s">
        <v>2453</v>
      </c>
      <c r="OC11" s="561" t="s">
        <v>2453</v>
      </c>
      <c r="OD11" s="561" t="s">
        <v>2453</v>
      </c>
      <c r="OE11" s="561" t="s">
        <v>2453</v>
      </c>
      <c r="OF11" s="561" t="s">
        <v>2453</v>
      </c>
      <c r="OG11" s="561" t="s">
        <v>2453</v>
      </c>
      <c r="OH11" s="561" t="s">
        <v>2453</v>
      </c>
      <c r="OI11" s="561" t="s">
        <v>2453</v>
      </c>
      <c r="OJ11" s="561" t="s">
        <v>2453</v>
      </c>
      <c r="OK11" s="561" t="s">
        <v>2453</v>
      </c>
      <c r="OL11" s="561" t="s">
        <v>2453</v>
      </c>
      <c r="OM11" s="561" t="s">
        <v>2453</v>
      </c>
      <c r="ON11" s="561" t="s">
        <v>2453</v>
      </c>
      <c r="OO11" s="561" t="s">
        <v>2453</v>
      </c>
      <c r="OP11" s="561" t="s">
        <v>2453</v>
      </c>
      <c r="OQ11" s="561" t="s">
        <v>2453</v>
      </c>
      <c r="OR11" s="561" t="s">
        <v>2453</v>
      </c>
      <c r="OS11" s="561" t="s">
        <v>2453</v>
      </c>
      <c r="OT11" s="561" t="s">
        <v>2453</v>
      </c>
      <c r="OU11" s="561" t="s">
        <v>2453</v>
      </c>
      <c r="OV11" s="561">
        <v>-66</v>
      </c>
      <c r="OW11" s="561" t="s">
        <v>2453</v>
      </c>
      <c r="OX11" s="561" t="s">
        <v>2453</v>
      </c>
      <c r="OY11" s="561" t="s">
        <v>2453</v>
      </c>
      <c r="OZ11" s="561" t="s">
        <v>2453</v>
      </c>
      <c r="PA11" s="561" t="s">
        <v>2453</v>
      </c>
      <c r="PB11" s="561" t="s">
        <v>2453</v>
      </c>
      <c r="PC11" s="561" t="s">
        <v>2453</v>
      </c>
      <c r="PD11" s="561" t="s">
        <v>2453</v>
      </c>
      <c r="PE11" s="561" t="s">
        <v>2453</v>
      </c>
      <c r="PF11" s="561" t="s">
        <v>2453</v>
      </c>
      <c r="PG11" s="561" t="s">
        <v>2453</v>
      </c>
      <c r="PH11" s="561" t="s">
        <v>2453</v>
      </c>
      <c r="PI11" s="561" t="s">
        <v>2453</v>
      </c>
      <c r="PJ11" s="561" t="s">
        <v>2453</v>
      </c>
    </row>
    <row r="12" spans="1:434" ht="14" x14ac:dyDescent="0.3">
      <c r="A12" t="s">
        <v>2460</v>
      </c>
      <c r="B12" t="s">
        <v>2461</v>
      </c>
      <c r="C12" t="s">
        <v>2462</v>
      </c>
      <c r="E12" t="s">
        <v>384</v>
      </c>
      <c r="F12" s="561">
        <v>0</v>
      </c>
      <c r="G12" s="561">
        <v>0</v>
      </c>
      <c r="H12" s="561">
        <v>0</v>
      </c>
      <c r="I12" s="561">
        <v>0</v>
      </c>
      <c r="J12" s="561">
        <v>0</v>
      </c>
      <c r="K12" s="561">
        <v>0</v>
      </c>
      <c r="L12" s="561">
        <v>0</v>
      </c>
      <c r="M12" s="561">
        <v>0</v>
      </c>
      <c r="N12" s="561">
        <v>0</v>
      </c>
      <c r="O12" s="561">
        <v>0</v>
      </c>
      <c r="P12" s="561">
        <v>0</v>
      </c>
      <c r="Q12" s="561">
        <v>0</v>
      </c>
      <c r="R12" s="561">
        <v>0</v>
      </c>
      <c r="S12" s="561">
        <v>0</v>
      </c>
      <c r="T12" s="561">
        <v>5.09</v>
      </c>
      <c r="U12" s="561">
        <v>0</v>
      </c>
      <c r="V12" s="561">
        <v>152.72</v>
      </c>
      <c r="W12" s="561">
        <v>0</v>
      </c>
      <c r="X12" s="561">
        <v>0</v>
      </c>
      <c r="Y12" s="561">
        <v>0</v>
      </c>
      <c r="Z12" s="561">
        <v>0</v>
      </c>
      <c r="AA12" s="561">
        <v>185.71</v>
      </c>
      <c r="AB12" s="561">
        <v>-1333.25</v>
      </c>
      <c r="AC12" s="561">
        <v>0</v>
      </c>
      <c r="AD12" s="561">
        <v>0</v>
      </c>
      <c r="AE12" s="561">
        <v>0</v>
      </c>
      <c r="AF12" s="561">
        <v>0</v>
      </c>
      <c r="AG12" s="561">
        <v>0</v>
      </c>
      <c r="AH12" s="561">
        <v>0</v>
      </c>
      <c r="AI12" s="561">
        <v>0</v>
      </c>
      <c r="AJ12" s="561">
        <v>-989.73</v>
      </c>
      <c r="AK12" s="561">
        <v>0</v>
      </c>
      <c r="AL12" s="561">
        <v>0</v>
      </c>
      <c r="AM12" s="561">
        <v>0</v>
      </c>
      <c r="AN12" s="561">
        <v>0</v>
      </c>
      <c r="AO12" s="561">
        <v>0</v>
      </c>
      <c r="AP12" s="561">
        <v>0</v>
      </c>
      <c r="AQ12" s="561">
        <v>0</v>
      </c>
      <c r="AR12" s="561">
        <v>0</v>
      </c>
      <c r="AS12" s="561">
        <v>324</v>
      </c>
      <c r="AT12" s="561">
        <v>286</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v>0</v>
      </c>
      <c r="BL12" s="561">
        <v>0</v>
      </c>
      <c r="BM12" s="561">
        <v>0</v>
      </c>
      <c r="BN12" s="561">
        <v>0</v>
      </c>
      <c r="BO12" s="561">
        <v>0</v>
      </c>
      <c r="BP12" s="561">
        <v>0</v>
      </c>
      <c r="BQ12" s="561">
        <v>0</v>
      </c>
      <c r="BR12" s="561">
        <v>0</v>
      </c>
      <c r="BS12" s="561">
        <v>0</v>
      </c>
      <c r="BT12" s="561">
        <v>0</v>
      </c>
      <c r="BU12" s="561">
        <v>0</v>
      </c>
      <c r="BV12" s="561">
        <v>0</v>
      </c>
      <c r="BW12" s="561">
        <v>0</v>
      </c>
      <c r="BX12" s="561">
        <v>0</v>
      </c>
      <c r="BY12" s="561">
        <v>0</v>
      </c>
      <c r="BZ12" s="561">
        <v>0</v>
      </c>
      <c r="CA12" s="561">
        <v>0</v>
      </c>
      <c r="CB12" s="561">
        <v>0</v>
      </c>
      <c r="CC12" s="561">
        <v>0</v>
      </c>
      <c r="CD12" s="561">
        <v>0</v>
      </c>
      <c r="CE12" s="561">
        <v>0</v>
      </c>
      <c r="CF12" s="561">
        <v>0</v>
      </c>
      <c r="CG12" s="561">
        <v>0</v>
      </c>
      <c r="CH12" s="561">
        <v>0</v>
      </c>
      <c r="CI12" s="561">
        <v>0</v>
      </c>
      <c r="CJ12" s="561">
        <v>0</v>
      </c>
      <c r="CK12" s="561">
        <v>0</v>
      </c>
      <c r="CL12" s="561">
        <v>0</v>
      </c>
      <c r="CM12" s="561">
        <v>0</v>
      </c>
      <c r="CN12" s="561">
        <v>0</v>
      </c>
      <c r="CO12" s="561">
        <v>0</v>
      </c>
      <c r="CP12" s="561">
        <v>0</v>
      </c>
      <c r="CQ12" s="561">
        <v>0</v>
      </c>
      <c r="CR12" s="561">
        <v>0</v>
      </c>
      <c r="CS12" s="561">
        <v>0</v>
      </c>
      <c r="CT12" s="561">
        <v>0</v>
      </c>
      <c r="CU12" s="561">
        <v>0</v>
      </c>
      <c r="CV12" s="561">
        <v>0</v>
      </c>
      <c r="CW12" s="561">
        <v>32</v>
      </c>
      <c r="CX12" s="561">
        <v>0</v>
      </c>
      <c r="CY12" s="561">
        <v>0</v>
      </c>
      <c r="CZ12" s="561">
        <v>32</v>
      </c>
      <c r="DA12" s="561">
        <v>0</v>
      </c>
      <c r="DB12" s="561">
        <v>0</v>
      </c>
      <c r="DC12" s="561">
        <v>0</v>
      </c>
      <c r="DD12" s="561">
        <v>0</v>
      </c>
      <c r="DE12" s="561">
        <v>0</v>
      </c>
      <c r="DF12" s="561">
        <v>0</v>
      </c>
      <c r="DG12" s="561">
        <v>0</v>
      </c>
      <c r="DH12" s="561">
        <v>64</v>
      </c>
      <c r="DI12" s="561">
        <v>0</v>
      </c>
      <c r="DJ12" s="561">
        <v>0</v>
      </c>
      <c r="DK12" s="561">
        <v>147</v>
      </c>
      <c r="DL12" s="561">
        <v>1725</v>
      </c>
      <c r="DM12" s="561">
        <v>-21</v>
      </c>
      <c r="DN12" s="561">
        <v>160</v>
      </c>
      <c r="DO12" s="561">
        <v>810</v>
      </c>
      <c r="DP12" s="561">
        <v>-171</v>
      </c>
      <c r="DQ12" s="561">
        <v>2612</v>
      </c>
      <c r="DR12" s="561">
        <v>-310</v>
      </c>
      <c r="DS12" s="561">
        <v>465</v>
      </c>
      <c r="DT12" s="561">
        <v>0</v>
      </c>
      <c r="DU12" s="561">
        <v>5270</v>
      </c>
      <c r="DV12" s="561">
        <v>0</v>
      </c>
      <c r="DW12" s="561">
        <v>0</v>
      </c>
      <c r="DX12" s="561">
        <v>0</v>
      </c>
      <c r="DY12" s="561">
        <v>1263</v>
      </c>
      <c r="DZ12" s="561">
        <v>-1</v>
      </c>
      <c r="EA12" s="561">
        <v>0</v>
      </c>
      <c r="EB12" s="561">
        <v>0</v>
      </c>
      <c r="EC12" s="561">
        <v>6743</v>
      </c>
      <c r="ED12" s="561">
        <v>14</v>
      </c>
      <c r="EE12" s="561">
        <v>32154</v>
      </c>
      <c r="EF12" s="561">
        <v>7</v>
      </c>
      <c r="EG12" s="561">
        <v>1816</v>
      </c>
      <c r="EH12" s="561">
        <v>587</v>
      </c>
      <c r="EI12" s="561">
        <v>7141</v>
      </c>
      <c r="EJ12" s="561">
        <v>1000</v>
      </c>
      <c r="EK12" s="561">
        <v>0</v>
      </c>
      <c r="EL12" s="561">
        <v>0</v>
      </c>
      <c r="EM12" s="561">
        <v>0</v>
      </c>
      <c r="EN12" s="561">
        <v>10523</v>
      </c>
      <c r="EO12" s="561">
        <v>11810</v>
      </c>
      <c r="EP12" s="561">
        <v>0</v>
      </c>
      <c r="EQ12" s="561">
        <v>182</v>
      </c>
      <c r="ER12" s="561">
        <v>7101</v>
      </c>
      <c r="ES12" s="561" t="s">
        <v>4565</v>
      </c>
      <c r="ET12" s="561">
        <v>17632</v>
      </c>
      <c r="EU12" s="561">
        <v>0</v>
      </c>
      <c r="EV12" s="561">
        <v>133</v>
      </c>
      <c r="EW12" s="561">
        <v>0</v>
      </c>
      <c r="EX12" s="561">
        <v>0</v>
      </c>
      <c r="EY12" s="561">
        <v>-100</v>
      </c>
      <c r="EZ12" s="561">
        <v>-4576</v>
      </c>
      <c r="FA12" s="561">
        <v>7584</v>
      </c>
      <c r="FB12" s="561">
        <v>0</v>
      </c>
      <c r="FC12" s="561">
        <v>427</v>
      </c>
      <c r="FD12" s="561">
        <v>70</v>
      </c>
      <c r="FE12" s="561">
        <v>4</v>
      </c>
      <c r="FF12" s="561">
        <v>0</v>
      </c>
      <c r="FG12" s="561">
        <v>6</v>
      </c>
      <c r="FH12" s="561">
        <v>0</v>
      </c>
      <c r="FI12" s="561">
        <v>0</v>
      </c>
      <c r="FJ12" s="561">
        <v>840</v>
      </c>
      <c r="FK12" s="561">
        <v>1906</v>
      </c>
      <c r="FL12" s="561">
        <v>44</v>
      </c>
      <c r="FM12" s="561">
        <v>170</v>
      </c>
      <c r="FN12" s="561">
        <v>0</v>
      </c>
      <c r="FO12" s="561">
        <v>3467</v>
      </c>
      <c r="FP12" s="561">
        <v>24</v>
      </c>
      <c r="FQ12" s="561">
        <v>-76</v>
      </c>
      <c r="FR12" s="561">
        <v>0</v>
      </c>
      <c r="FS12" s="561">
        <v>0</v>
      </c>
      <c r="FT12" s="561">
        <v>184</v>
      </c>
      <c r="FU12" s="561">
        <v>326</v>
      </c>
      <c r="FV12" s="561">
        <v>0</v>
      </c>
      <c r="FW12" s="561">
        <v>59</v>
      </c>
      <c r="FX12" s="561">
        <v>-1003</v>
      </c>
      <c r="FY12" s="561">
        <v>0</v>
      </c>
      <c r="FZ12" s="561">
        <v>21</v>
      </c>
      <c r="GA12" s="561">
        <v>39</v>
      </c>
      <c r="GB12" s="561">
        <v>26</v>
      </c>
      <c r="GC12" s="561">
        <v>103</v>
      </c>
      <c r="GD12" s="561">
        <v>0</v>
      </c>
      <c r="GE12" s="561">
        <v>74</v>
      </c>
      <c r="GF12" s="561">
        <v>460</v>
      </c>
      <c r="GG12" s="561">
        <v>0</v>
      </c>
      <c r="GH12" s="561">
        <v>0</v>
      </c>
      <c r="GI12" s="561">
        <v>334</v>
      </c>
      <c r="GJ12" s="561">
        <v>0</v>
      </c>
      <c r="GK12" s="561">
        <v>0</v>
      </c>
      <c r="GL12" s="561">
        <v>2132</v>
      </c>
      <c r="GM12" s="561">
        <v>2991</v>
      </c>
      <c r="GN12" s="561">
        <v>0</v>
      </c>
      <c r="GO12" s="561">
        <v>0</v>
      </c>
      <c r="GP12" s="561">
        <v>0</v>
      </c>
      <c r="GQ12" s="561">
        <v>0</v>
      </c>
      <c r="GR12" s="561">
        <v>185</v>
      </c>
      <c r="GS12" s="561">
        <v>5855</v>
      </c>
      <c r="GT12" s="561">
        <v>588</v>
      </c>
      <c r="GU12" s="561">
        <v>175</v>
      </c>
      <c r="GV12" s="561">
        <v>1676</v>
      </c>
      <c r="GW12" s="561">
        <v>0</v>
      </c>
      <c r="GX12" s="561">
        <v>1610</v>
      </c>
      <c r="GY12" s="561">
        <v>0</v>
      </c>
      <c r="GZ12" s="561">
        <v>76</v>
      </c>
      <c r="HA12" s="561">
        <v>0</v>
      </c>
      <c r="HB12" s="561">
        <v>0</v>
      </c>
      <c r="HC12" s="561">
        <v>0</v>
      </c>
      <c r="HD12" s="561">
        <v>3537</v>
      </c>
      <c r="HE12" s="561">
        <v>154</v>
      </c>
      <c r="HF12" s="561">
        <v>12859</v>
      </c>
      <c r="HG12" s="561">
        <v>767</v>
      </c>
      <c r="HH12" s="561">
        <v>0</v>
      </c>
      <c r="HI12" s="561">
        <v>0</v>
      </c>
      <c r="HJ12" s="561">
        <v>0</v>
      </c>
      <c r="HK12" s="561">
        <v>0</v>
      </c>
      <c r="HL12" s="561">
        <v>0</v>
      </c>
      <c r="HM12" s="561">
        <v>0</v>
      </c>
      <c r="HN12" s="561">
        <v>0</v>
      </c>
      <c r="HO12" s="561">
        <v>2677</v>
      </c>
      <c r="HP12" s="561">
        <v>348</v>
      </c>
      <c r="HQ12" s="561">
        <v>0</v>
      </c>
      <c r="HR12" s="561">
        <v>0</v>
      </c>
      <c r="HS12" s="561">
        <v>837</v>
      </c>
      <c r="HT12" s="561">
        <v>-147</v>
      </c>
      <c r="HU12" s="561">
        <v>0</v>
      </c>
      <c r="HV12" s="561">
        <v>0</v>
      </c>
      <c r="HW12" s="561">
        <v>381</v>
      </c>
      <c r="HX12" s="561">
        <v>6</v>
      </c>
      <c r="HY12" s="561">
        <v>142</v>
      </c>
      <c r="HZ12" s="561">
        <v>-30</v>
      </c>
      <c r="IA12" s="561">
        <v>0</v>
      </c>
      <c r="IB12" s="561">
        <v>163</v>
      </c>
      <c r="IC12" s="561">
        <v>0</v>
      </c>
      <c r="ID12" s="561">
        <v>0</v>
      </c>
      <c r="IE12" s="561">
        <v>852</v>
      </c>
      <c r="IF12" s="561">
        <v>0</v>
      </c>
      <c r="IG12" s="561">
        <v>0</v>
      </c>
      <c r="IH12" s="561">
        <v>-131</v>
      </c>
      <c r="II12" s="561">
        <v>5098</v>
      </c>
      <c r="IJ12" s="561">
        <v>191</v>
      </c>
      <c r="IK12" s="561">
        <v>3865</v>
      </c>
      <c r="IL12" s="561">
        <v>5638</v>
      </c>
      <c r="IM12" s="561">
        <v>2353</v>
      </c>
      <c r="IN12" s="561">
        <v>0</v>
      </c>
      <c r="IO12" s="561">
        <v>0</v>
      </c>
      <c r="IP12" s="561">
        <v>0</v>
      </c>
      <c r="IQ12" s="561">
        <v>0</v>
      </c>
      <c r="IR12" s="561">
        <v>0</v>
      </c>
      <c r="IS12" s="561">
        <v>-989.73</v>
      </c>
      <c r="IT12" s="561">
        <v>0</v>
      </c>
      <c r="IU12" s="561">
        <v>0</v>
      </c>
      <c r="IV12" s="561">
        <v>32</v>
      </c>
      <c r="IW12" s="561">
        <v>6743</v>
      </c>
      <c r="IX12" s="561">
        <v>3467</v>
      </c>
      <c r="IY12" s="561">
        <v>5855</v>
      </c>
      <c r="IZ12" s="561">
        <v>3537</v>
      </c>
      <c r="JA12" s="561">
        <v>0</v>
      </c>
      <c r="JB12" s="561">
        <v>0</v>
      </c>
      <c r="JC12" s="561">
        <v>5098</v>
      </c>
      <c r="JD12" s="561">
        <v>0</v>
      </c>
      <c r="JE12" s="561">
        <v>23742.27</v>
      </c>
      <c r="JF12" s="561">
        <v>12908</v>
      </c>
      <c r="JG12" s="561">
        <v>0</v>
      </c>
      <c r="JH12" s="561">
        <v>10747</v>
      </c>
      <c r="JI12" s="561">
        <v>0</v>
      </c>
      <c r="JJ12" s="561">
        <v>0</v>
      </c>
      <c r="JK12" s="561">
        <v>2857</v>
      </c>
      <c r="JL12" s="561">
        <v>0</v>
      </c>
      <c r="JM12" s="561">
        <v>0</v>
      </c>
      <c r="JN12" s="561">
        <v>0</v>
      </c>
      <c r="JO12" s="561">
        <v>0</v>
      </c>
      <c r="JP12" s="561">
        <v>0</v>
      </c>
      <c r="JQ12" s="561">
        <v>0</v>
      </c>
      <c r="JR12" s="561">
        <v>0</v>
      </c>
      <c r="JS12" s="561">
        <v>0</v>
      </c>
      <c r="JT12" s="561">
        <v>0</v>
      </c>
      <c r="JU12" s="561">
        <v>0</v>
      </c>
      <c r="JV12" s="561">
        <v>50254.27</v>
      </c>
      <c r="JW12" s="561">
        <v>0</v>
      </c>
      <c r="JX12" s="561">
        <v>2328</v>
      </c>
      <c r="JY12" s="561">
        <v>0</v>
      </c>
      <c r="JZ12" s="561">
        <v>0</v>
      </c>
      <c r="KA12" s="561">
        <v>0</v>
      </c>
      <c r="KB12" s="561">
        <v>0</v>
      </c>
      <c r="KC12" s="561">
        <v>0</v>
      </c>
      <c r="KD12" s="561">
        <v>0</v>
      </c>
      <c r="KE12" s="561">
        <v>11554</v>
      </c>
      <c r="KF12" s="561">
        <v>0</v>
      </c>
      <c r="KG12" s="561">
        <v>64136.27</v>
      </c>
      <c r="KH12" s="561">
        <v>-11944</v>
      </c>
      <c r="KI12" s="561">
        <v>0</v>
      </c>
      <c r="KJ12" s="561">
        <v>0</v>
      </c>
      <c r="KK12" s="561">
        <v>0</v>
      </c>
      <c r="KL12" s="561">
        <v>-23772</v>
      </c>
      <c r="KM12" s="561">
        <v>0</v>
      </c>
      <c r="KN12" s="561">
        <v>0</v>
      </c>
      <c r="KO12" s="561">
        <v>0</v>
      </c>
      <c r="KP12" s="561">
        <v>0</v>
      </c>
      <c r="KQ12" s="561">
        <v>0</v>
      </c>
      <c r="KR12" s="561">
        <v>28420.27</v>
      </c>
      <c r="KS12" s="561">
        <v>0</v>
      </c>
      <c r="KT12" s="561">
        <v>-7071</v>
      </c>
      <c r="KU12" s="561">
        <v>21349.27</v>
      </c>
      <c r="KV12" s="561">
        <v>0</v>
      </c>
      <c r="KW12" s="561">
        <v>0</v>
      </c>
      <c r="KX12" s="561">
        <v>0</v>
      </c>
      <c r="KY12" s="561">
        <v>0</v>
      </c>
      <c r="KZ12" s="561">
        <v>1573</v>
      </c>
      <c r="LA12" s="561">
        <v>0</v>
      </c>
      <c r="LB12" s="561">
        <v>-289</v>
      </c>
      <c r="LC12" s="561">
        <v>0</v>
      </c>
      <c r="LD12" s="561">
        <v>-10394</v>
      </c>
      <c r="LE12" s="561">
        <v>-15</v>
      </c>
      <c r="LF12" s="561">
        <v>0</v>
      </c>
      <c r="LG12" s="561">
        <v>12224</v>
      </c>
      <c r="LH12" s="561">
        <v>0</v>
      </c>
      <c r="LI12" s="561">
        <v>0</v>
      </c>
      <c r="LJ12" s="561">
        <v>0</v>
      </c>
      <c r="LK12" s="561">
        <v>0</v>
      </c>
      <c r="LL12" s="561">
        <v>31678</v>
      </c>
      <c r="LM12" s="561">
        <v>3265</v>
      </c>
      <c r="LN12" s="561">
        <v>0</v>
      </c>
      <c r="LO12" s="561">
        <v>0</v>
      </c>
      <c r="LP12" s="561">
        <v>0</v>
      </c>
      <c r="LQ12" s="561">
        <v>0</v>
      </c>
      <c r="LR12" s="561">
        <v>33251</v>
      </c>
      <c r="LS12" s="561">
        <v>3265</v>
      </c>
      <c r="LT12" s="561">
        <v>0</v>
      </c>
      <c r="LU12" s="561">
        <v>4325</v>
      </c>
      <c r="LV12" s="561">
        <v>0</v>
      </c>
      <c r="LW12" s="561">
        <v>0</v>
      </c>
      <c r="LX12" s="561">
        <v>0</v>
      </c>
      <c r="LY12" s="561">
        <v>0</v>
      </c>
      <c r="LZ12" s="561">
        <v>4325</v>
      </c>
      <c r="MA12" s="561">
        <v>0</v>
      </c>
      <c r="MB12" s="561">
        <v>0</v>
      </c>
      <c r="MC12" s="561">
        <v>42705</v>
      </c>
      <c r="MD12" s="561">
        <v>47281</v>
      </c>
      <c r="ME12" s="561">
        <v>-4576</v>
      </c>
      <c r="MF12" s="561">
        <v>7584</v>
      </c>
      <c r="MG12" s="561">
        <v>3008</v>
      </c>
      <c r="MH12" s="561">
        <v>3736</v>
      </c>
      <c r="MI12" s="561">
        <v>6554</v>
      </c>
      <c r="MJ12" s="561">
        <v>10290</v>
      </c>
      <c r="MK12" s="561">
        <v>0</v>
      </c>
      <c r="ML12" s="561">
        <v>0</v>
      </c>
      <c r="MM12" s="561">
        <v>10082</v>
      </c>
      <c r="MN12" s="561">
        <v>4000</v>
      </c>
      <c r="MO12" s="561">
        <v>8332</v>
      </c>
      <c r="MP12" s="561">
        <v>10837</v>
      </c>
      <c r="MQ12" s="561">
        <v>0</v>
      </c>
      <c r="MR12" s="561">
        <v>-989.73</v>
      </c>
      <c r="MS12" s="561">
        <v>0</v>
      </c>
      <c r="MT12" s="561">
        <v>0</v>
      </c>
      <c r="MU12" s="561">
        <v>32</v>
      </c>
      <c r="MV12" s="561">
        <v>6743</v>
      </c>
      <c r="MW12" s="561">
        <v>3467</v>
      </c>
      <c r="MX12" s="561">
        <v>5855</v>
      </c>
      <c r="MY12" s="561">
        <v>3537</v>
      </c>
      <c r="MZ12" s="561">
        <v>0</v>
      </c>
      <c r="NA12" s="561">
        <v>0</v>
      </c>
      <c r="NB12" s="561">
        <v>5098</v>
      </c>
      <c r="NC12" s="561">
        <v>0</v>
      </c>
      <c r="ND12" s="561">
        <v>23742.27</v>
      </c>
      <c r="NE12" s="561">
        <v>0</v>
      </c>
      <c r="NF12" s="561">
        <v>0</v>
      </c>
      <c r="NG12" s="561">
        <v>0</v>
      </c>
      <c r="NH12" s="561">
        <v>0</v>
      </c>
      <c r="NI12" s="561">
        <v>0</v>
      </c>
      <c r="NJ12" s="561">
        <v>0</v>
      </c>
      <c r="NK12" s="561">
        <v>0</v>
      </c>
      <c r="NL12" s="561">
        <v>0</v>
      </c>
      <c r="NM12" s="561">
        <v>0</v>
      </c>
      <c r="NN12" s="561">
        <v>0</v>
      </c>
      <c r="NO12" s="561">
        <v>0</v>
      </c>
      <c r="NP12" s="561">
        <v>0</v>
      </c>
      <c r="NQ12" s="561">
        <v>0</v>
      </c>
      <c r="NR12" s="561">
        <v>0</v>
      </c>
      <c r="NS12" s="561">
        <v>0</v>
      </c>
      <c r="NT12" s="561">
        <v>0</v>
      </c>
      <c r="NU12" s="561">
        <v>0</v>
      </c>
      <c r="NV12" s="561">
        <v>0</v>
      </c>
      <c r="NW12" s="561">
        <v>0</v>
      </c>
      <c r="NX12" s="561">
        <v>0</v>
      </c>
      <c r="NY12" s="561">
        <v>0</v>
      </c>
      <c r="NZ12" s="561">
        <v>0</v>
      </c>
      <c r="OA12" s="561">
        <v>0</v>
      </c>
      <c r="OB12" s="561">
        <v>0</v>
      </c>
      <c r="OC12" s="561">
        <v>0</v>
      </c>
      <c r="OD12" s="561">
        <v>0</v>
      </c>
      <c r="OE12" s="561">
        <v>0</v>
      </c>
      <c r="OF12" s="561">
        <v>0</v>
      </c>
      <c r="OG12" s="561">
        <v>0</v>
      </c>
      <c r="OH12" s="561">
        <v>0</v>
      </c>
      <c r="OI12" s="561">
        <v>0</v>
      </c>
      <c r="OJ12" s="561">
        <v>0</v>
      </c>
      <c r="OK12" s="561">
        <v>0</v>
      </c>
      <c r="OL12" s="561">
        <v>0</v>
      </c>
      <c r="OM12" s="561">
        <v>0</v>
      </c>
      <c r="ON12" s="561">
        <v>0</v>
      </c>
      <c r="OO12" s="561">
        <v>0</v>
      </c>
      <c r="OP12" s="561">
        <v>0</v>
      </c>
      <c r="OQ12" s="561">
        <v>0</v>
      </c>
      <c r="OR12" s="561">
        <v>0</v>
      </c>
      <c r="OS12" s="561">
        <v>0</v>
      </c>
      <c r="OT12" s="561">
        <v>0</v>
      </c>
      <c r="OU12" s="561">
        <v>0</v>
      </c>
      <c r="OV12" s="561">
        <v>0</v>
      </c>
      <c r="OW12" s="561">
        <v>0</v>
      </c>
      <c r="OX12" s="561">
        <v>0</v>
      </c>
      <c r="OY12" s="561">
        <v>0</v>
      </c>
      <c r="OZ12" s="561">
        <v>0</v>
      </c>
      <c r="PA12" s="561">
        <v>0</v>
      </c>
      <c r="PB12" s="561">
        <v>0</v>
      </c>
      <c r="PC12" s="561">
        <v>0</v>
      </c>
      <c r="PD12" s="561">
        <v>0</v>
      </c>
      <c r="PE12" s="561">
        <v>0</v>
      </c>
      <c r="PF12" s="561">
        <v>0</v>
      </c>
      <c r="PG12" s="561">
        <v>0</v>
      </c>
      <c r="PH12" s="561">
        <v>0</v>
      </c>
      <c r="PI12" s="561">
        <v>0</v>
      </c>
      <c r="PJ12" s="561">
        <v>0</v>
      </c>
    </row>
    <row r="13" spans="1:434" ht="14" x14ac:dyDescent="0.3">
      <c r="A13" t="s">
        <v>2463</v>
      </c>
      <c r="B13" t="s">
        <v>2464</v>
      </c>
      <c r="C13" t="s">
        <v>2465</v>
      </c>
      <c r="E13" t="s">
        <v>2466</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0</v>
      </c>
      <c r="W13" s="561">
        <v>0</v>
      </c>
      <c r="X13" s="561">
        <v>0</v>
      </c>
      <c r="Y13" s="561">
        <v>0</v>
      </c>
      <c r="Z13" s="561">
        <v>0</v>
      </c>
      <c r="AA13" s="561">
        <v>0</v>
      </c>
      <c r="AB13" s="561">
        <v>0</v>
      </c>
      <c r="AC13" s="561">
        <v>0</v>
      </c>
      <c r="AD13" s="561">
        <v>0</v>
      </c>
      <c r="AE13" s="561">
        <v>0</v>
      </c>
      <c r="AF13" s="561">
        <v>0</v>
      </c>
      <c r="AG13" s="561">
        <v>0</v>
      </c>
      <c r="AH13" s="561">
        <v>0</v>
      </c>
      <c r="AI13" s="561">
        <v>0</v>
      </c>
      <c r="AJ13" s="561">
        <v>0</v>
      </c>
      <c r="AK13" s="561">
        <v>0</v>
      </c>
      <c r="AL13" s="561">
        <v>0</v>
      </c>
      <c r="AM13" s="561">
        <v>0</v>
      </c>
      <c r="AN13" s="561">
        <v>0</v>
      </c>
      <c r="AO13" s="561">
        <v>0</v>
      </c>
      <c r="AP13" s="561">
        <v>0</v>
      </c>
      <c r="AQ13" s="561">
        <v>0</v>
      </c>
      <c r="AR13" s="561">
        <v>0</v>
      </c>
      <c r="AS13" s="561">
        <v>0</v>
      </c>
      <c r="AT13" s="561">
        <v>0</v>
      </c>
      <c r="AU13" s="561">
        <v>0</v>
      </c>
      <c r="AV13" s="561">
        <v>0</v>
      </c>
      <c r="AW13" s="561">
        <v>0</v>
      </c>
      <c r="AX13" s="561">
        <v>0</v>
      </c>
      <c r="AY13" s="561">
        <v>0</v>
      </c>
      <c r="AZ13" s="561">
        <v>0</v>
      </c>
      <c r="BA13" s="561">
        <v>0</v>
      </c>
      <c r="BB13" s="561">
        <v>0</v>
      </c>
      <c r="BC13" s="561">
        <v>0</v>
      </c>
      <c r="BD13" s="561">
        <v>0</v>
      </c>
      <c r="BE13" s="561">
        <v>0</v>
      </c>
      <c r="BF13" s="561">
        <v>0</v>
      </c>
      <c r="BG13" s="561">
        <v>0</v>
      </c>
      <c r="BH13" s="561">
        <v>0</v>
      </c>
      <c r="BI13" s="561">
        <v>0</v>
      </c>
      <c r="BJ13" s="561">
        <v>0</v>
      </c>
      <c r="BK13" s="561">
        <v>0</v>
      </c>
      <c r="BL13" s="561">
        <v>0</v>
      </c>
      <c r="BM13" s="561">
        <v>0</v>
      </c>
      <c r="BN13" s="561">
        <v>0</v>
      </c>
      <c r="BO13" s="561">
        <v>0</v>
      </c>
      <c r="BP13" s="561">
        <v>0</v>
      </c>
      <c r="BQ13" s="561">
        <v>0</v>
      </c>
      <c r="BR13" s="561">
        <v>0</v>
      </c>
      <c r="BS13" s="561">
        <v>0</v>
      </c>
      <c r="BT13" s="561">
        <v>0</v>
      </c>
      <c r="BU13" s="561">
        <v>0</v>
      </c>
      <c r="BV13" s="561">
        <v>0</v>
      </c>
      <c r="BW13" s="561">
        <v>0</v>
      </c>
      <c r="BX13" s="561">
        <v>0</v>
      </c>
      <c r="BY13" s="561">
        <v>0</v>
      </c>
      <c r="BZ13" s="561">
        <v>0</v>
      </c>
      <c r="CA13" s="561">
        <v>0</v>
      </c>
      <c r="CB13" s="561">
        <v>0</v>
      </c>
      <c r="CC13" s="561">
        <v>0</v>
      </c>
      <c r="CD13" s="561">
        <v>0</v>
      </c>
      <c r="CE13" s="561">
        <v>0</v>
      </c>
      <c r="CF13" s="561">
        <v>0</v>
      </c>
      <c r="CG13" s="561">
        <v>0</v>
      </c>
      <c r="CH13" s="561">
        <v>0</v>
      </c>
      <c r="CI13" s="561">
        <v>0</v>
      </c>
      <c r="CJ13" s="561">
        <v>0</v>
      </c>
      <c r="CK13" s="561">
        <v>0</v>
      </c>
      <c r="CL13" s="561">
        <v>0</v>
      </c>
      <c r="CM13" s="561">
        <v>0</v>
      </c>
      <c r="CN13" s="561">
        <v>0</v>
      </c>
      <c r="CO13" s="561">
        <v>0</v>
      </c>
      <c r="CP13" s="561">
        <v>0</v>
      </c>
      <c r="CQ13" s="561">
        <v>0</v>
      </c>
      <c r="CR13" s="561">
        <v>0</v>
      </c>
      <c r="CS13" s="561">
        <v>0</v>
      </c>
      <c r="CT13" s="561">
        <v>0</v>
      </c>
      <c r="CU13" s="561">
        <v>0</v>
      </c>
      <c r="CV13" s="561">
        <v>0</v>
      </c>
      <c r="CW13" s="561">
        <v>0</v>
      </c>
      <c r="CX13" s="561">
        <v>0</v>
      </c>
      <c r="CY13" s="561">
        <v>0</v>
      </c>
      <c r="CZ13" s="561">
        <v>0</v>
      </c>
      <c r="DA13" s="561">
        <v>0</v>
      </c>
      <c r="DB13" s="561">
        <v>0</v>
      </c>
      <c r="DC13" s="561">
        <v>0</v>
      </c>
      <c r="DD13" s="561">
        <v>0</v>
      </c>
      <c r="DE13" s="561">
        <v>0</v>
      </c>
      <c r="DF13" s="561">
        <v>0</v>
      </c>
      <c r="DG13" s="561">
        <v>0</v>
      </c>
      <c r="DH13" s="561">
        <v>0</v>
      </c>
      <c r="DI13" s="561">
        <v>0</v>
      </c>
      <c r="DJ13" s="561">
        <v>0</v>
      </c>
      <c r="DK13" s="561">
        <v>0</v>
      </c>
      <c r="DL13" s="561">
        <v>0</v>
      </c>
      <c r="DM13" s="561">
        <v>0</v>
      </c>
      <c r="DN13" s="561">
        <v>0</v>
      </c>
      <c r="DO13" s="561">
        <v>0</v>
      </c>
      <c r="DP13" s="561">
        <v>0</v>
      </c>
      <c r="DQ13" s="561">
        <v>0</v>
      </c>
      <c r="DR13" s="561">
        <v>0</v>
      </c>
      <c r="DS13" s="561">
        <v>0</v>
      </c>
      <c r="DT13" s="561">
        <v>0</v>
      </c>
      <c r="DU13" s="561">
        <v>0</v>
      </c>
      <c r="DV13" s="561">
        <v>0</v>
      </c>
      <c r="DW13" s="561">
        <v>0</v>
      </c>
      <c r="DX13" s="561">
        <v>0</v>
      </c>
      <c r="DY13" s="561">
        <v>0</v>
      </c>
      <c r="DZ13" s="561">
        <v>0</v>
      </c>
      <c r="EA13" s="561">
        <v>0</v>
      </c>
      <c r="EB13" s="561">
        <v>0</v>
      </c>
      <c r="EC13" s="561">
        <v>0</v>
      </c>
      <c r="ED13" s="561">
        <v>0</v>
      </c>
      <c r="EE13" s="561">
        <v>0</v>
      </c>
      <c r="EF13" s="561">
        <v>0</v>
      </c>
      <c r="EG13" s="561">
        <v>0</v>
      </c>
      <c r="EH13" s="561">
        <v>0</v>
      </c>
      <c r="EI13" s="561">
        <v>0</v>
      </c>
      <c r="EJ13" s="561">
        <v>0</v>
      </c>
      <c r="EK13" s="561">
        <v>0</v>
      </c>
      <c r="EL13" s="561">
        <v>0</v>
      </c>
      <c r="EM13" s="561">
        <v>0</v>
      </c>
      <c r="EN13" s="561">
        <v>0</v>
      </c>
      <c r="EO13" s="561">
        <v>0</v>
      </c>
      <c r="EP13" s="561">
        <v>0</v>
      </c>
      <c r="EQ13" s="561">
        <v>0</v>
      </c>
      <c r="ER13" s="561">
        <v>0</v>
      </c>
      <c r="ES13" s="561" t="s">
        <v>4565</v>
      </c>
      <c r="ET13" s="561">
        <v>0</v>
      </c>
      <c r="EU13" s="561">
        <v>0</v>
      </c>
      <c r="EV13" s="561">
        <v>0</v>
      </c>
      <c r="EW13" s="561">
        <v>0</v>
      </c>
      <c r="EX13" s="561">
        <v>0</v>
      </c>
      <c r="EY13" s="561">
        <v>0</v>
      </c>
      <c r="EZ13" s="561">
        <v>0</v>
      </c>
      <c r="FA13" s="561">
        <v>0</v>
      </c>
      <c r="FB13" s="561">
        <v>0</v>
      </c>
      <c r="FC13" s="561">
        <v>0</v>
      </c>
      <c r="FD13" s="561">
        <v>0</v>
      </c>
      <c r="FE13" s="561">
        <v>0</v>
      </c>
      <c r="FF13" s="561">
        <v>0</v>
      </c>
      <c r="FG13" s="561">
        <v>0</v>
      </c>
      <c r="FH13" s="561">
        <v>0</v>
      </c>
      <c r="FI13" s="561">
        <v>0</v>
      </c>
      <c r="FJ13" s="561">
        <v>0</v>
      </c>
      <c r="FK13" s="561">
        <v>0</v>
      </c>
      <c r="FL13" s="561">
        <v>0</v>
      </c>
      <c r="FM13" s="561">
        <v>0</v>
      </c>
      <c r="FN13" s="561">
        <v>0</v>
      </c>
      <c r="FO13" s="561">
        <v>0</v>
      </c>
      <c r="FP13" s="561">
        <v>0</v>
      </c>
      <c r="FQ13" s="561">
        <v>0</v>
      </c>
      <c r="FR13" s="561">
        <v>0</v>
      </c>
      <c r="FS13" s="561">
        <v>0</v>
      </c>
      <c r="FT13" s="561">
        <v>0</v>
      </c>
      <c r="FU13" s="561">
        <v>0</v>
      </c>
      <c r="FV13" s="561">
        <v>0</v>
      </c>
      <c r="FW13" s="561">
        <v>0</v>
      </c>
      <c r="FX13" s="561">
        <v>0</v>
      </c>
      <c r="FY13" s="561">
        <v>0</v>
      </c>
      <c r="FZ13" s="561">
        <v>0</v>
      </c>
      <c r="GA13" s="561">
        <v>0</v>
      </c>
      <c r="GB13" s="561">
        <v>0</v>
      </c>
      <c r="GC13" s="561">
        <v>0</v>
      </c>
      <c r="GD13" s="561">
        <v>0</v>
      </c>
      <c r="GE13" s="561">
        <v>0</v>
      </c>
      <c r="GF13" s="561">
        <v>0</v>
      </c>
      <c r="GG13" s="561">
        <v>0</v>
      </c>
      <c r="GH13" s="561">
        <v>0</v>
      </c>
      <c r="GI13" s="561">
        <v>0</v>
      </c>
      <c r="GJ13" s="561">
        <v>0</v>
      </c>
      <c r="GK13" s="561">
        <v>0</v>
      </c>
      <c r="GL13" s="561">
        <v>0</v>
      </c>
      <c r="GM13" s="561">
        <v>0</v>
      </c>
      <c r="GN13" s="561">
        <v>0</v>
      </c>
      <c r="GO13" s="561">
        <v>0</v>
      </c>
      <c r="GP13" s="561">
        <v>0</v>
      </c>
      <c r="GQ13" s="561">
        <v>0</v>
      </c>
      <c r="GR13" s="561">
        <v>0</v>
      </c>
      <c r="GS13" s="561">
        <v>0</v>
      </c>
      <c r="GT13" s="561">
        <v>0</v>
      </c>
      <c r="GU13" s="561">
        <v>0</v>
      </c>
      <c r="GV13" s="561">
        <v>0</v>
      </c>
      <c r="GW13" s="561">
        <v>0</v>
      </c>
      <c r="GX13" s="561">
        <v>0</v>
      </c>
      <c r="GY13" s="561">
        <v>0</v>
      </c>
      <c r="GZ13" s="561">
        <v>0</v>
      </c>
      <c r="HA13" s="561">
        <v>0</v>
      </c>
      <c r="HB13" s="561">
        <v>0</v>
      </c>
      <c r="HC13" s="561">
        <v>0</v>
      </c>
      <c r="HD13" s="561">
        <v>0</v>
      </c>
      <c r="HE13" s="561">
        <v>0</v>
      </c>
      <c r="HF13" s="561">
        <v>0</v>
      </c>
      <c r="HG13" s="561">
        <v>0</v>
      </c>
      <c r="HH13" s="561">
        <v>441953</v>
      </c>
      <c r="HI13" s="561">
        <v>819</v>
      </c>
      <c r="HJ13" s="561">
        <v>0</v>
      </c>
      <c r="HK13" s="561">
        <v>0</v>
      </c>
      <c r="HL13" s="561">
        <v>0</v>
      </c>
      <c r="HM13" s="561">
        <v>0</v>
      </c>
      <c r="HN13" s="561">
        <v>0</v>
      </c>
      <c r="HO13" s="561">
        <v>2575</v>
      </c>
      <c r="HP13" s="561">
        <v>0</v>
      </c>
      <c r="HQ13" s="561">
        <v>0</v>
      </c>
      <c r="HR13" s="561">
        <v>0</v>
      </c>
      <c r="HS13" s="561">
        <v>0</v>
      </c>
      <c r="HT13" s="561">
        <v>0</v>
      </c>
      <c r="HU13" s="561">
        <v>0</v>
      </c>
      <c r="HV13" s="561">
        <v>0</v>
      </c>
      <c r="HW13" s="561">
        <v>0</v>
      </c>
      <c r="HX13" s="561">
        <v>0</v>
      </c>
      <c r="HY13" s="561">
        <v>0</v>
      </c>
      <c r="HZ13" s="561">
        <v>0</v>
      </c>
      <c r="IA13" s="561">
        <v>0</v>
      </c>
      <c r="IB13" s="561">
        <v>0</v>
      </c>
      <c r="IC13" s="561">
        <v>0</v>
      </c>
      <c r="ID13" s="561">
        <v>0</v>
      </c>
      <c r="IE13" s="561">
        <v>0</v>
      </c>
      <c r="IF13" s="561">
        <v>0</v>
      </c>
      <c r="IG13" s="561">
        <v>0</v>
      </c>
      <c r="IH13" s="561">
        <v>0</v>
      </c>
      <c r="II13" s="561">
        <v>2575</v>
      </c>
      <c r="IJ13" s="561">
        <v>0</v>
      </c>
      <c r="IK13" s="561">
        <v>0</v>
      </c>
      <c r="IL13" s="561">
        <v>0</v>
      </c>
      <c r="IM13" s="561">
        <v>0</v>
      </c>
      <c r="IN13" s="561">
        <v>0</v>
      </c>
      <c r="IO13" s="561">
        <v>0</v>
      </c>
      <c r="IP13" s="561">
        <v>0</v>
      </c>
      <c r="IQ13" s="561">
        <v>0</v>
      </c>
      <c r="IR13" s="561">
        <v>0</v>
      </c>
      <c r="IS13" s="561">
        <v>0</v>
      </c>
      <c r="IT13" s="561">
        <v>0</v>
      </c>
      <c r="IU13" s="561">
        <v>0</v>
      </c>
      <c r="IV13" s="561">
        <v>0</v>
      </c>
      <c r="IW13" s="561">
        <v>0</v>
      </c>
      <c r="IX13" s="561">
        <v>0</v>
      </c>
      <c r="IY13" s="561">
        <v>0</v>
      </c>
      <c r="IZ13" s="561">
        <v>0</v>
      </c>
      <c r="JA13" s="561">
        <v>441953</v>
      </c>
      <c r="JB13" s="561">
        <v>0</v>
      </c>
      <c r="JC13" s="561">
        <v>2575</v>
      </c>
      <c r="JD13" s="561">
        <v>0</v>
      </c>
      <c r="JE13" s="561">
        <v>444528</v>
      </c>
      <c r="JF13" s="561">
        <v>0</v>
      </c>
      <c r="JG13" s="561">
        <v>0</v>
      </c>
      <c r="JH13" s="561">
        <v>0</v>
      </c>
      <c r="JI13" s="561">
        <v>0</v>
      </c>
      <c r="JJ13" s="561">
        <v>0</v>
      </c>
      <c r="JK13" s="561">
        <v>0</v>
      </c>
      <c r="JL13" s="561">
        <v>0</v>
      </c>
      <c r="JM13" s="561">
        <v>0</v>
      </c>
      <c r="JN13" s="561">
        <v>0</v>
      </c>
      <c r="JO13" s="561">
        <v>0</v>
      </c>
      <c r="JP13" s="561">
        <v>0</v>
      </c>
      <c r="JQ13" s="561">
        <v>0</v>
      </c>
      <c r="JR13" s="561">
        <v>0</v>
      </c>
      <c r="JS13" s="561">
        <v>0</v>
      </c>
      <c r="JT13" s="561">
        <v>0</v>
      </c>
      <c r="JU13" s="561">
        <v>0</v>
      </c>
      <c r="JV13" s="561">
        <v>444528</v>
      </c>
      <c r="JW13" s="561">
        <v>0</v>
      </c>
      <c r="JX13" s="561">
        <v>7579</v>
      </c>
      <c r="JY13" s="561">
        <v>0</v>
      </c>
      <c r="JZ13" s="561">
        <v>0</v>
      </c>
      <c r="KA13" s="561">
        <v>0</v>
      </c>
      <c r="KB13" s="561">
        <v>-40</v>
      </c>
      <c r="KC13" s="561">
        <v>4820</v>
      </c>
      <c r="KD13" s="561">
        <v>0</v>
      </c>
      <c r="KE13" s="561">
        <v>5685</v>
      </c>
      <c r="KF13" s="561">
        <v>0</v>
      </c>
      <c r="KG13" s="561">
        <v>462572</v>
      </c>
      <c r="KH13" s="561">
        <v>-4631</v>
      </c>
      <c r="KI13" s="561">
        <v>0</v>
      </c>
      <c r="KJ13" s="561">
        <v>0</v>
      </c>
      <c r="KK13" s="561">
        <v>0</v>
      </c>
      <c r="KL13" s="561">
        <v>-612</v>
      </c>
      <c r="KM13" s="561">
        <v>0</v>
      </c>
      <c r="KN13" s="561">
        <v>0</v>
      </c>
      <c r="KO13" s="561">
        <v>0</v>
      </c>
      <c r="KP13" s="561">
        <v>0</v>
      </c>
      <c r="KQ13" s="561">
        <v>0</v>
      </c>
      <c r="KR13" s="561">
        <v>457329</v>
      </c>
      <c r="KS13" s="561">
        <v>0</v>
      </c>
      <c r="KT13" s="561">
        <v>-64431</v>
      </c>
      <c r="KU13" s="561">
        <v>392898</v>
      </c>
      <c r="KV13" s="561">
        <v>0</v>
      </c>
      <c r="KW13" s="561">
        <v>0</v>
      </c>
      <c r="KX13" s="561">
        <v>0</v>
      </c>
      <c r="KY13" s="561">
        <v>0</v>
      </c>
      <c r="KZ13" s="561">
        <v>-6006</v>
      </c>
      <c r="LA13" s="561">
        <v>0</v>
      </c>
      <c r="LB13" s="561">
        <v>0</v>
      </c>
      <c r="LC13" s="561">
        <v>-223855</v>
      </c>
      <c r="LD13" s="561">
        <v>0</v>
      </c>
      <c r="LE13" s="561">
        <v>-667</v>
      </c>
      <c r="LF13" s="561">
        <v>4212</v>
      </c>
      <c r="LG13" s="561">
        <v>166582</v>
      </c>
      <c r="LH13" s="561">
        <v>0</v>
      </c>
      <c r="LI13" s="561">
        <v>0</v>
      </c>
      <c r="LJ13" s="561">
        <v>0</v>
      </c>
      <c r="LK13" s="561">
        <v>0</v>
      </c>
      <c r="LL13" s="561">
        <v>35145</v>
      </c>
      <c r="LM13" s="561">
        <v>12000</v>
      </c>
      <c r="LN13" s="561">
        <v>0</v>
      </c>
      <c r="LO13" s="561">
        <v>0</v>
      </c>
      <c r="LP13" s="561">
        <v>0</v>
      </c>
      <c r="LQ13" s="561">
        <v>0</v>
      </c>
      <c r="LR13" s="561">
        <v>29139</v>
      </c>
      <c r="LS13" s="561">
        <v>12000</v>
      </c>
      <c r="LT13" s="561">
        <v>0</v>
      </c>
      <c r="LU13" s="561">
        <v>18892</v>
      </c>
      <c r="LV13" s="561">
        <v>0</v>
      </c>
      <c r="LW13" s="561">
        <v>2418</v>
      </c>
      <c r="LX13" s="561">
        <v>0</v>
      </c>
      <c r="LY13" s="561">
        <v>0</v>
      </c>
      <c r="LZ13" s="561">
        <v>21478</v>
      </c>
      <c r="MA13" s="561">
        <v>0</v>
      </c>
      <c r="MB13" s="561">
        <v>0</v>
      </c>
      <c r="MC13" s="561">
        <v>0</v>
      </c>
      <c r="MD13" s="561">
        <v>0</v>
      </c>
      <c r="ME13" s="561">
        <v>0</v>
      </c>
      <c r="MF13" s="561">
        <v>0</v>
      </c>
      <c r="MG13" s="561">
        <v>0</v>
      </c>
      <c r="MH13" s="561">
        <v>0</v>
      </c>
      <c r="MI13" s="561">
        <v>0</v>
      </c>
      <c r="MJ13" s="561">
        <v>0</v>
      </c>
      <c r="MK13" s="561">
        <v>0</v>
      </c>
      <c r="ML13" s="561">
        <v>5243</v>
      </c>
      <c r="MM13" s="561">
        <v>18371</v>
      </c>
      <c r="MN13" s="561">
        <v>0</v>
      </c>
      <c r="MO13" s="561">
        <v>4972</v>
      </c>
      <c r="MP13" s="561">
        <v>553</v>
      </c>
      <c r="MQ13" s="561">
        <v>0</v>
      </c>
      <c r="MR13" s="561">
        <v>0</v>
      </c>
      <c r="MS13" s="561">
        <v>0</v>
      </c>
      <c r="MT13" s="561">
        <v>0</v>
      </c>
      <c r="MU13" s="561">
        <v>0</v>
      </c>
      <c r="MV13" s="561">
        <v>0</v>
      </c>
      <c r="MW13" s="561">
        <v>0</v>
      </c>
      <c r="MX13" s="561">
        <v>0</v>
      </c>
      <c r="MY13" s="561">
        <v>0</v>
      </c>
      <c r="MZ13" s="561">
        <v>441953</v>
      </c>
      <c r="NA13" s="561">
        <v>0</v>
      </c>
      <c r="NB13" s="561">
        <v>2575</v>
      </c>
      <c r="NC13" s="561">
        <v>0</v>
      </c>
      <c r="ND13" s="561">
        <v>444528</v>
      </c>
      <c r="NE13" s="561">
        <v>0</v>
      </c>
      <c r="NF13" s="561">
        <v>0</v>
      </c>
      <c r="NG13" s="561">
        <v>0</v>
      </c>
      <c r="NH13" s="561">
        <v>0</v>
      </c>
      <c r="NI13" s="561">
        <v>0</v>
      </c>
      <c r="NJ13" s="561">
        <v>0</v>
      </c>
      <c r="NK13" s="561">
        <v>0</v>
      </c>
      <c r="NL13" s="561">
        <v>0</v>
      </c>
      <c r="NM13" s="561">
        <v>0</v>
      </c>
      <c r="NN13" s="561">
        <v>0</v>
      </c>
      <c r="NO13" s="561">
        <v>0</v>
      </c>
      <c r="NP13" s="561">
        <v>0</v>
      </c>
      <c r="NQ13" s="561">
        <v>0</v>
      </c>
      <c r="NR13" s="561">
        <v>0</v>
      </c>
      <c r="NS13" s="561">
        <v>0</v>
      </c>
      <c r="NT13" s="561">
        <v>0</v>
      </c>
      <c r="NU13" s="561">
        <v>0</v>
      </c>
      <c r="NV13" s="561">
        <v>0</v>
      </c>
      <c r="NW13" s="561">
        <v>0</v>
      </c>
      <c r="NX13" s="561">
        <v>0</v>
      </c>
      <c r="NY13" s="561">
        <v>0</v>
      </c>
      <c r="NZ13" s="561">
        <v>0</v>
      </c>
      <c r="OA13" s="561">
        <v>0</v>
      </c>
      <c r="OB13" s="561">
        <v>0</v>
      </c>
      <c r="OC13" s="561">
        <v>0</v>
      </c>
      <c r="OD13" s="561">
        <v>0</v>
      </c>
      <c r="OE13" s="561">
        <v>0</v>
      </c>
      <c r="OF13" s="561">
        <v>0</v>
      </c>
      <c r="OG13" s="561">
        <v>0</v>
      </c>
      <c r="OH13" s="561">
        <v>0</v>
      </c>
      <c r="OI13" s="561">
        <v>0</v>
      </c>
      <c r="OJ13" s="561">
        <v>0</v>
      </c>
      <c r="OK13" s="561">
        <v>0</v>
      </c>
      <c r="OL13" s="561">
        <v>0</v>
      </c>
      <c r="OM13" s="561">
        <v>0</v>
      </c>
      <c r="ON13" s="561">
        <v>0</v>
      </c>
      <c r="OO13" s="561">
        <v>0</v>
      </c>
      <c r="OP13" s="561">
        <v>0</v>
      </c>
      <c r="OQ13" s="561">
        <v>0</v>
      </c>
      <c r="OR13" s="561">
        <v>0</v>
      </c>
      <c r="OS13" s="561">
        <v>0</v>
      </c>
      <c r="OT13" s="561">
        <v>0</v>
      </c>
      <c r="OU13" s="561">
        <v>0</v>
      </c>
      <c r="OV13" s="561">
        <v>0</v>
      </c>
      <c r="OW13" s="561">
        <v>0</v>
      </c>
      <c r="OX13" s="561">
        <v>0</v>
      </c>
      <c r="OY13" s="561">
        <v>0</v>
      </c>
      <c r="OZ13" s="561">
        <v>0</v>
      </c>
      <c r="PA13" s="561">
        <v>0</v>
      </c>
      <c r="PB13" s="561">
        <v>0</v>
      </c>
      <c r="PC13" s="561">
        <v>0</v>
      </c>
      <c r="PD13" s="561">
        <v>0</v>
      </c>
      <c r="PE13" s="561">
        <v>0</v>
      </c>
      <c r="PF13" s="561">
        <v>0</v>
      </c>
      <c r="PG13" s="561">
        <v>0</v>
      </c>
      <c r="PH13" s="561">
        <v>0</v>
      </c>
      <c r="PI13" s="561">
        <v>0</v>
      </c>
      <c r="PJ13" s="561">
        <v>0</v>
      </c>
    </row>
    <row r="14" spans="1:434" ht="14" x14ac:dyDescent="0.3">
      <c r="A14" t="s">
        <v>2467</v>
      </c>
      <c r="B14" t="s">
        <v>2468</v>
      </c>
      <c r="C14" t="s">
        <v>2469</v>
      </c>
      <c r="E14" t="s">
        <v>2466</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0</v>
      </c>
      <c r="W14" s="561">
        <v>0</v>
      </c>
      <c r="X14" s="561">
        <v>0</v>
      </c>
      <c r="Y14" s="561">
        <v>0</v>
      </c>
      <c r="Z14" s="561">
        <v>0</v>
      </c>
      <c r="AA14" s="561">
        <v>0</v>
      </c>
      <c r="AB14" s="561">
        <v>0</v>
      </c>
      <c r="AC14" s="561">
        <v>0</v>
      </c>
      <c r="AD14" s="561">
        <v>0</v>
      </c>
      <c r="AE14" s="561">
        <v>0</v>
      </c>
      <c r="AF14" s="561">
        <v>0</v>
      </c>
      <c r="AG14" s="561">
        <v>0</v>
      </c>
      <c r="AH14" s="561">
        <v>0</v>
      </c>
      <c r="AI14" s="561">
        <v>0</v>
      </c>
      <c r="AJ14" s="561">
        <v>0</v>
      </c>
      <c r="AK14" s="561">
        <v>0</v>
      </c>
      <c r="AL14" s="561">
        <v>0</v>
      </c>
      <c r="AM14" s="561">
        <v>0</v>
      </c>
      <c r="AN14" s="561">
        <v>0</v>
      </c>
      <c r="AO14" s="561">
        <v>0</v>
      </c>
      <c r="AP14" s="561">
        <v>0</v>
      </c>
      <c r="AQ14" s="561">
        <v>0</v>
      </c>
      <c r="AR14" s="561">
        <v>0</v>
      </c>
      <c r="AS14" s="561">
        <v>0</v>
      </c>
      <c r="AT14" s="561">
        <v>0</v>
      </c>
      <c r="AU14" s="561">
        <v>0</v>
      </c>
      <c r="AV14" s="561">
        <v>0</v>
      </c>
      <c r="AW14" s="561">
        <v>0</v>
      </c>
      <c r="AX14" s="561">
        <v>0</v>
      </c>
      <c r="AY14" s="561">
        <v>0</v>
      </c>
      <c r="AZ14" s="561">
        <v>0</v>
      </c>
      <c r="BA14" s="561">
        <v>0</v>
      </c>
      <c r="BB14" s="561">
        <v>0</v>
      </c>
      <c r="BC14" s="561">
        <v>0</v>
      </c>
      <c r="BD14" s="561">
        <v>0</v>
      </c>
      <c r="BE14" s="561">
        <v>0</v>
      </c>
      <c r="BF14" s="561">
        <v>0</v>
      </c>
      <c r="BG14" s="561">
        <v>0</v>
      </c>
      <c r="BH14" s="561">
        <v>0</v>
      </c>
      <c r="BI14" s="561">
        <v>0</v>
      </c>
      <c r="BJ14" s="561">
        <v>0</v>
      </c>
      <c r="BK14" s="561">
        <v>0</v>
      </c>
      <c r="BL14" s="561">
        <v>0</v>
      </c>
      <c r="BM14" s="561">
        <v>0</v>
      </c>
      <c r="BN14" s="561">
        <v>0</v>
      </c>
      <c r="BO14" s="561">
        <v>0</v>
      </c>
      <c r="BP14" s="561">
        <v>0</v>
      </c>
      <c r="BQ14" s="561">
        <v>0</v>
      </c>
      <c r="BR14" s="561">
        <v>0</v>
      </c>
      <c r="BS14" s="561">
        <v>0</v>
      </c>
      <c r="BT14" s="561">
        <v>0</v>
      </c>
      <c r="BU14" s="561">
        <v>0</v>
      </c>
      <c r="BV14" s="561">
        <v>0</v>
      </c>
      <c r="BW14" s="561">
        <v>0</v>
      </c>
      <c r="BX14" s="561">
        <v>0</v>
      </c>
      <c r="BY14" s="561">
        <v>0</v>
      </c>
      <c r="BZ14" s="561">
        <v>0</v>
      </c>
      <c r="CA14" s="561">
        <v>0</v>
      </c>
      <c r="CB14" s="561">
        <v>0</v>
      </c>
      <c r="CC14" s="561">
        <v>0</v>
      </c>
      <c r="CD14" s="561">
        <v>0</v>
      </c>
      <c r="CE14" s="561">
        <v>0</v>
      </c>
      <c r="CF14" s="561">
        <v>0</v>
      </c>
      <c r="CG14" s="561">
        <v>0</v>
      </c>
      <c r="CH14" s="561">
        <v>0</v>
      </c>
      <c r="CI14" s="561">
        <v>0</v>
      </c>
      <c r="CJ14" s="561">
        <v>0</v>
      </c>
      <c r="CK14" s="561">
        <v>0</v>
      </c>
      <c r="CL14" s="561">
        <v>0</v>
      </c>
      <c r="CM14" s="561">
        <v>0</v>
      </c>
      <c r="CN14" s="561">
        <v>0</v>
      </c>
      <c r="CO14" s="561">
        <v>0</v>
      </c>
      <c r="CP14" s="561">
        <v>0</v>
      </c>
      <c r="CQ14" s="561">
        <v>0</v>
      </c>
      <c r="CR14" s="561">
        <v>0</v>
      </c>
      <c r="CS14" s="561">
        <v>0</v>
      </c>
      <c r="CT14" s="561">
        <v>0</v>
      </c>
      <c r="CU14" s="561">
        <v>0</v>
      </c>
      <c r="CV14" s="561">
        <v>0</v>
      </c>
      <c r="CW14" s="561">
        <v>0</v>
      </c>
      <c r="CX14" s="561">
        <v>0</v>
      </c>
      <c r="CY14" s="561">
        <v>0</v>
      </c>
      <c r="CZ14" s="561">
        <v>0</v>
      </c>
      <c r="DA14" s="561">
        <v>0</v>
      </c>
      <c r="DB14" s="561">
        <v>0</v>
      </c>
      <c r="DC14" s="561">
        <v>0</v>
      </c>
      <c r="DD14" s="561">
        <v>0</v>
      </c>
      <c r="DE14" s="561">
        <v>0</v>
      </c>
      <c r="DF14" s="561">
        <v>0</v>
      </c>
      <c r="DG14" s="561">
        <v>0</v>
      </c>
      <c r="DH14" s="561">
        <v>0</v>
      </c>
      <c r="DI14" s="561">
        <v>0</v>
      </c>
      <c r="DJ14" s="561">
        <v>0</v>
      </c>
      <c r="DK14" s="561">
        <v>0</v>
      </c>
      <c r="DL14" s="561">
        <v>0</v>
      </c>
      <c r="DM14" s="561">
        <v>0</v>
      </c>
      <c r="DN14" s="561">
        <v>0</v>
      </c>
      <c r="DO14" s="561">
        <v>0</v>
      </c>
      <c r="DP14" s="561">
        <v>0</v>
      </c>
      <c r="DQ14" s="561">
        <v>0</v>
      </c>
      <c r="DR14" s="561">
        <v>0</v>
      </c>
      <c r="DS14" s="561">
        <v>0</v>
      </c>
      <c r="DT14" s="561">
        <v>0</v>
      </c>
      <c r="DU14" s="561">
        <v>0</v>
      </c>
      <c r="DV14" s="561">
        <v>0</v>
      </c>
      <c r="DW14" s="561">
        <v>0</v>
      </c>
      <c r="DX14" s="561">
        <v>0</v>
      </c>
      <c r="DY14" s="561">
        <v>0</v>
      </c>
      <c r="DZ14" s="561">
        <v>0</v>
      </c>
      <c r="EA14" s="561">
        <v>0</v>
      </c>
      <c r="EB14" s="561">
        <v>0</v>
      </c>
      <c r="EC14" s="561">
        <v>0</v>
      </c>
      <c r="ED14" s="561">
        <v>0</v>
      </c>
      <c r="EE14" s="561">
        <v>0</v>
      </c>
      <c r="EF14" s="561">
        <v>0</v>
      </c>
      <c r="EG14" s="561">
        <v>0</v>
      </c>
      <c r="EH14" s="561">
        <v>0</v>
      </c>
      <c r="EI14" s="561">
        <v>0</v>
      </c>
      <c r="EJ14" s="561">
        <v>0</v>
      </c>
      <c r="EK14" s="561">
        <v>0</v>
      </c>
      <c r="EL14" s="561">
        <v>0</v>
      </c>
      <c r="EM14" s="561">
        <v>0</v>
      </c>
      <c r="EN14" s="561">
        <v>0</v>
      </c>
      <c r="EO14" s="561">
        <v>0</v>
      </c>
      <c r="EP14" s="561">
        <v>0</v>
      </c>
      <c r="EQ14" s="561">
        <v>0</v>
      </c>
      <c r="ER14" s="561">
        <v>0</v>
      </c>
      <c r="ES14" s="561" t="s">
        <v>4565</v>
      </c>
      <c r="ET14" s="561">
        <v>0</v>
      </c>
      <c r="EU14" s="561">
        <v>0</v>
      </c>
      <c r="EV14" s="561">
        <v>0</v>
      </c>
      <c r="EW14" s="561">
        <v>0</v>
      </c>
      <c r="EX14" s="561">
        <v>0</v>
      </c>
      <c r="EY14" s="561">
        <v>0</v>
      </c>
      <c r="EZ14" s="561">
        <v>0</v>
      </c>
      <c r="FA14" s="561">
        <v>0</v>
      </c>
      <c r="FB14" s="561">
        <v>0</v>
      </c>
      <c r="FC14" s="561">
        <v>0</v>
      </c>
      <c r="FD14" s="561">
        <v>0</v>
      </c>
      <c r="FE14" s="561">
        <v>0</v>
      </c>
      <c r="FF14" s="561">
        <v>0</v>
      </c>
      <c r="FG14" s="561">
        <v>0</v>
      </c>
      <c r="FH14" s="561">
        <v>0</v>
      </c>
      <c r="FI14" s="561">
        <v>0</v>
      </c>
      <c r="FJ14" s="561">
        <v>0</v>
      </c>
      <c r="FK14" s="561">
        <v>0</v>
      </c>
      <c r="FL14" s="561">
        <v>0</v>
      </c>
      <c r="FM14" s="561">
        <v>0</v>
      </c>
      <c r="FN14" s="561">
        <v>0</v>
      </c>
      <c r="FO14" s="561">
        <v>0</v>
      </c>
      <c r="FP14" s="561">
        <v>0</v>
      </c>
      <c r="FQ14" s="561">
        <v>0</v>
      </c>
      <c r="FR14" s="561">
        <v>0</v>
      </c>
      <c r="FS14" s="561">
        <v>0</v>
      </c>
      <c r="FT14" s="561">
        <v>0</v>
      </c>
      <c r="FU14" s="561">
        <v>0</v>
      </c>
      <c r="FV14" s="561">
        <v>0</v>
      </c>
      <c r="FW14" s="561">
        <v>0</v>
      </c>
      <c r="FX14" s="561">
        <v>0</v>
      </c>
      <c r="FY14" s="561">
        <v>0</v>
      </c>
      <c r="FZ14" s="561">
        <v>0</v>
      </c>
      <c r="GA14" s="561">
        <v>0</v>
      </c>
      <c r="GB14" s="561">
        <v>0</v>
      </c>
      <c r="GC14" s="561">
        <v>0</v>
      </c>
      <c r="GD14" s="561">
        <v>0</v>
      </c>
      <c r="GE14" s="561">
        <v>0</v>
      </c>
      <c r="GF14" s="561">
        <v>0</v>
      </c>
      <c r="GG14" s="561">
        <v>0</v>
      </c>
      <c r="GH14" s="561">
        <v>0</v>
      </c>
      <c r="GI14" s="561">
        <v>0</v>
      </c>
      <c r="GJ14" s="561">
        <v>0</v>
      </c>
      <c r="GK14" s="561">
        <v>0</v>
      </c>
      <c r="GL14" s="561">
        <v>0</v>
      </c>
      <c r="GM14" s="561">
        <v>0</v>
      </c>
      <c r="GN14" s="561">
        <v>0</v>
      </c>
      <c r="GO14" s="561">
        <v>0</v>
      </c>
      <c r="GP14" s="561">
        <v>0</v>
      </c>
      <c r="GQ14" s="561">
        <v>0</v>
      </c>
      <c r="GR14" s="561">
        <v>0</v>
      </c>
      <c r="GS14" s="561">
        <v>0</v>
      </c>
      <c r="GT14" s="561">
        <v>0</v>
      </c>
      <c r="GU14" s="561">
        <v>0</v>
      </c>
      <c r="GV14" s="561">
        <v>0</v>
      </c>
      <c r="GW14" s="561">
        <v>0</v>
      </c>
      <c r="GX14" s="561">
        <v>0</v>
      </c>
      <c r="GY14" s="561">
        <v>0</v>
      </c>
      <c r="GZ14" s="561">
        <v>0</v>
      </c>
      <c r="HA14" s="561">
        <v>0</v>
      </c>
      <c r="HB14" s="561">
        <v>0</v>
      </c>
      <c r="HC14" s="561">
        <v>0</v>
      </c>
      <c r="HD14" s="561">
        <v>0</v>
      </c>
      <c r="HE14" s="561">
        <v>0</v>
      </c>
      <c r="HF14" s="561">
        <v>0</v>
      </c>
      <c r="HG14" s="561">
        <v>0</v>
      </c>
      <c r="HH14" s="561">
        <v>0</v>
      </c>
      <c r="HI14" s="561">
        <v>0</v>
      </c>
      <c r="HJ14" s="561">
        <v>6702</v>
      </c>
      <c r="HK14" s="561">
        <v>52564</v>
      </c>
      <c r="HL14" s="561">
        <v>114</v>
      </c>
      <c r="HM14" s="561">
        <v>59380</v>
      </c>
      <c r="HN14" s="561">
        <v>16</v>
      </c>
      <c r="HO14" s="561">
        <v>1768</v>
      </c>
      <c r="HP14" s="561">
        <v>0</v>
      </c>
      <c r="HQ14" s="561">
        <v>0</v>
      </c>
      <c r="HR14" s="561">
        <v>0</v>
      </c>
      <c r="HS14" s="561">
        <v>0</v>
      </c>
      <c r="HT14" s="561">
        <v>0</v>
      </c>
      <c r="HU14" s="561">
        <v>0</v>
      </c>
      <c r="HV14" s="561">
        <v>0</v>
      </c>
      <c r="HW14" s="561">
        <v>0</v>
      </c>
      <c r="HX14" s="561">
        <v>0</v>
      </c>
      <c r="HY14" s="561">
        <v>0</v>
      </c>
      <c r="HZ14" s="561">
        <v>0</v>
      </c>
      <c r="IA14" s="561">
        <v>0</v>
      </c>
      <c r="IB14" s="561">
        <v>0</v>
      </c>
      <c r="IC14" s="561">
        <v>0</v>
      </c>
      <c r="ID14" s="561">
        <v>0</v>
      </c>
      <c r="IE14" s="561">
        <v>0</v>
      </c>
      <c r="IF14" s="561">
        <v>0</v>
      </c>
      <c r="IG14" s="561">
        <v>0</v>
      </c>
      <c r="IH14" s="561">
        <v>0</v>
      </c>
      <c r="II14" s="561">
        <v>1768</v>
      </c>
      <c r="IJ14" s="561">
        <v>0</v>
      </c>
      <c r="IK14" s="561">
        <v>0</v>
      </c>
      <c r="IL14" s="561">
        <v>0</v>
      </c>
      <c r="IM14" s="561">
        <v>0</v>
      </c>
      <c r="IN14" s="561">
        <v>0</v>
      </c>
      <c r="IO14" s="561">
        <v>0</v>
      </c>
      <c r="IP14" s="561">
        <v>0</v>
      </c>
      <c r="IQ14" s="561">
        <v>0</v>
      </c>
      <c r="IR14" s="561">
        <v>0</v>
      </c>
      <c r="IS14" s="561">
        <v>0</v>
      </c>
      <c r="IT14" s="561">
        <v>0</v>
      </c>
      <c r="IU14" s="561">
        <v>0</v>
      </c>
      <c r="IV14" s="561">
        <v>0</v>
      </c>
      <c r="IW14" s="561">
        <v>0</v>
      </c>
      <c r="IX14" s="561">
        <v>0</v>
      </c>
      <c r="IY14" s="561">
        <v>0</v>
      </c>
      <c r="IZ14" s="561">
        <v>0</v>
      </c>
      <c r="JA14" s="561">
        <v>0</v>
      </c>
      <c r="JB14" s="561">
        <v>59380</v>
      </c>
      <c r="JC14" s="561">
        <v>1768</v>
      </c>
      <c r="JD14" s="561">
        <v>0</v>
      </c>
      <c r="JE14" s="561">
        <v>61148</v>
      </c>
      <c r="JF14" s="561">
        <v>0</v>
      </c>
      <c r="JG14" s="561">
        <v>0</v>
      </c>
      <c r="JH14" s="561">
        <v>0</v>
      </c>
      <c r="JI14" s="561">
        <v>0</v>
      </c>
      <c r="JJ14" s="561">
        <v>0</v>
      </c>
      <c r="JK14" s="561">
        <v>0</v>
      </c>
      <c r="JL14" s="561">
        <v>0</v>
      </c>
      <c r="JM14" s="561">
        <v>0</v>
      </c>
      <c r="JN14" s="561">
        <v>0</v>
      </c>
      <c r="JO14" s="561">
        <v>0</v>
      </c>
      <c r="JP14" s="561">
        <v>0</v>
      </c>
      <c r="JQ14" s="561">
        <v>0</v>
      </c>
      <c r="JR14" s="561">
        <v>0</v>
      </c>
      <c r="JS14" s="561">
        <v>0</v>
      </c>
      <c r="JT14" s="561">
        <v>-4</v>
      </c>
      <c r="JU14" s="561">
        <v>0</v>
      </c>
      <c r="JV14" s="561">
        <v>61144</v>
      </c>
      <c r="JW14" s="561">
        <v>0</v>
      </c>
      <c r="JX14" s="561">
        <v>1878</v>
      </c>
      <c r="JY14" s="561">
        <v>0</v>
      </c>
      <c r="JZ14" s="561">
        <v>0</v>
      </c>
      <c r="KA14" s="561">
        <v>0</v>
      </c>
      <c r="KB14" s="561">
        <v>0</v>
      </c>
      <c r="KC14" s="561">
        <v>445</v>
      </c>
      <c r="KD14" s="561">
        <v>0</v>
      </c>
      <c r="KE14" s="561">
        <v>221</v>
      </c>
      <c r="KF14" s="561">
        <v>0</v>
      </c>
      <c r="KG14" s="561">
        <v>63688</v>
      </c>
      <c r="KH14" s="561">
        <v>-477</v>
      </c>
      <c r="KI14" s="561">
        <v>0</v>
      </c>
      <c r="KJ14" s="561">
        <v>0</v>
      </c>
      <c r="KK14" s="561">
        <v>0</v>
      </c>
      <c r="KL14" s="561">
        <v>0</v>
      </c>
      <c r="KM14" s="561">
        <v>0</v>
      </c>
      <c r="KN14" s="561">
        <v>0</v>
      </c>
      <c r="KO14" s="561">
        <v>0</v>
      </c>
      <c r="KP14" s="561">
        <v>0</v>
      </c>
      <c r="KQ14" s="561">
        <v>0</v>
      </c>
      <c r="KR14" s="561">
        <v>63211</v>
      </c>
      <c r="KS14" s="561">
        <v>0</v>
      </c>
      <c r="KT14" s="561">
        <v>-8343</v>
      </c>
      <c r="KU14" s="561">
        <v>54868</v>
      </c>
      <c r="KV14" s="561">
        <v>0</v>
      </c>
      <c r="KW14" s="561">
        <v>0</v>
      </c>
      <c r="KX14" s="561">
        <v>0</v>
      </c>
      <c r="KY14" s="561">
        <v>0</v>
      </c>
      <c r="KZ14" s="561">
        <v>-1489</v>
      </c>
      <c r="LA14" s="561">
        <v>0</v>
      </c>
      <c r="LB14" s="561">
        <v>-8633</v>
      </c>
      <c r="LC14" s="561">
        <v>0</v>
      </c>
      <c r="LD14" s="561">
        <v>-11661</v>
      </c>
      <c r="LE14" s="561">
        <v>48</v>
      </c>
      <c r="LF14" s="561">
        <v>0</v>
      </c>
      <c r="LG14" s="561">
        <v>33133</v>
      </c>
      <c r="LH14" s="561">
        <v>0</v>
      </c>
      <c r="LI14" s="561">
        <v>0</v>
      </c>
      <c r="LJ14" s="561">
        <v>0</v>
      </c>
      <c r="LK14" s="561">
        <v>0</v>
      </c>
      <c r="LL14" s="561">
        <v>9410</v>
      </c>
      <c r="LM14" s="561">
        <v>1500</v>
      </c>
      <c r="LN14" s="561">
        <v>0</v>
      </c>
      <c r="LO14" s="561">
        <v>0</v>
      </c>
      <c r="LP14" s="561">
        <v>0</v>
      </c>
      <c r="LQ14" s="561">
        <v>0</v>
      </c>
      <c r="LR14" s="561">
        <v>7921</v>
      </c>
      <c r="LS14" s="561">
        <v>1500</v>
      </c>
      <c r="LT14" s="561">
        <v>0</v>
      </c>
      <c r="LU14" s="561">
        <v>4615</v>
      </c>
      <c r="LV14" s="561">
        <v>0</v>
      </c>
      <c r="LW14" s="561">
        <v>-1864</v>
      </c>
      <c r="LX14" s="561">
        <v>0</v>
      </c>
      <c r="LY14" s="561">
        <v>0</v>
      </c>
      <c r="LZ14" s="561">
        <v>2751</v>
      </c>
      <c r="MA14" s="561">
        <v>0</v>
      </c>
      <c r="MB14" s="561">
        <v>0</v>
      </c>
      <c r="MC14" s="561">
        <v>0</v>
      </c>
      <c r="MD14" s="561">
        <v>0</v>
      </c>
      <c r="ME14" s="561">
        <v>0</v>
      </c>
      <c r="MF14" s="561">
        <v>0</v>
      </c>
      <c r="MG14" s="561">
        <v>0</v>
      </c>
      <c r="MH14" s="561">
        <v>0</v>
      </c>
      <c r="MI14" s="561">
        <v>0</v>
      </c>
      <c r="MJ14" s="561">
        <v>0</v>
      </c>
      <c r="MK14" s="561">
        <v>0</v>
      </c>
      <c r="ML14" s="561">
        <v>597</v>
      </c>
      <c r="MM14" s="561">
        <v>5973</v>
      </c>
      <c r="MN14" s="561">
        <v>628</v>
      </c>
      <c r="MO14" s="561">
        <v>723</v>
      </c>
      <c r="MP14" s="561">
        <v>0</v>
      </c>
      <c r="MQ14" s="561">
        <v>0</v>
      </c>
      <c r="MR14" s="561">
        <v>0</v>
      </c>
      <c r="MS14" s="561">
        <v>0</v>
      </c>
      <c r="MT14" s="561">
        <v>0</v>
      </c>
      <c r="MU14" s="561">
        <v>0</v>
      </c>
      <c r="MV14" s="561">
        <v>0</v>
      </c>
      <c r="MW14" s="561">
        <v>0</v>
      </c>
      <c r="MX14" s="561">
        <v>0</v>
      </c>
      <c r="MY14" s="561">
        <v>0</v>
      </c>
      <c r="MZ14" s="561">
        <v>0</v>
      </c>
      <c r="NA14" s="561">
        <v>59380</v>
      </c>
      <c r="NB14" s="561">
        <v>1768</v>
      </c>
      <c r="NC14" s="561">
        <v>0</v>
      </c>
      <c r="ND14" s="561">
        <v>61148</v>
      </c>
      <c r="NE14" s="561">
        <v>0</v>
      </c>
      <c r="NF14" s="561">
        <v>0</v>
      </c>
      <c r="NG14" s="561">
        <v>0</v>
      </c>
      <c r="NH14" s="561">
        <v>0</v>
      </c>
      <c r="NI14" s="561">
        <v>0</v>
      </c>
      <c r="NJ14" s="561">
        <v>0</v>
      </c>
      <c r="NK14" s="561">
        <v>0</v>
      </c>
      <c r="NL14" s="561">
        <v>0</v>
      </c>
      <c r="NM14" s="561">
        <v>0</v>
      </c>
      <c r="NN14" s="561">
        <v>0</v>
      </c>
      <c r="NO14" s="561">
        <v>0</v>
      </c>
      <c r="NP14" s="561">
        <v>0</v>
      </c>
      <c r="NQ14" s="561">
        <v>0</v>
      </c>
      <c r="NR14" s="561">
        <v>0</v>
      </c>
      <c r="NS14" s="561">
        <v>0</v>
      </c>
      <c r="NT14" s="561">
        <v>0</v>
      </c>
      <c r="NU14" s="561">
        <v>0</v>
      </c>
      <c r="NV14" s="561">
        <v>0</v>
      </c>
      <c r="NW14" s="561">
        <v>0</v>
      </c>
      <c r="NX14" s="561">
        <v>0</v>
      </c>
      <c r="NY14" s="561">
        <v>0</v>
      </c>
      <c r="NZ14" s="561">
        <v>0</v>
      </c>
      <c r="OA14" s="561">
        <v>0</v>
      </c>
      <c r="OB14" s="561">
        <v>0</v>
      </c>
      <c r="OC14" s="561">
        <v>0</v>
      </c>
      <c r="OD14" s="561">
        <v>0</v>
      </c>
      <c r="OE14" s="561">
        <v>0</v>
      </c>
      <c r="OF14" s="561">
        <v>0</v>
      </c>
      <c r="OG14" s="561">
        <v>0</v>
      </c>
      <c r="OH14" s="561">
        <v>0</v>
      </c>
      <c r="OI14" s="561">
        <v>0</v>
      </c>
      <c r="OJ14" s="561">
        <v>0</v>
      </c>
      <c r="OK14" s="561">
        <v>0</v>
      </c>
      <c r="OL14" s="561">
        <v>0</v>
      </c>
      <c r="OM14" s="561">
        <v>0</v>
      </c>
      <c r="ON14" s="561">
        <v>0</v>
      </c>
      <c r="OO14" s="561">
        <v>0</v>
      </c>
      <c r="OP14" s="561">
        <v>0</v>
      </c>
      <c r="OQ14" s="561">
        <v>0</v>
      </c>
      <c r="OR14" s="561">
        <v>0</v>
      </c>
      <c r="OS14" s="561">
        <v>0</v>
      </c>
      <c r="OT14" s="561">
        <v>0</v>
      </c>
      <c r="OU14" s="561">
        <v>0</v>
      </c>
      <c r="OV14" s="561">
        <v>0</v>
      </c>
      <c r="OW14" s="561">
        <v>0</v>
      </c>
      <c r="OX14" s="561">
        <v>0</v>
      </c>
      <c r="OY14" s="561">
        <v>0</v>
      </c>
      <c r="OZ14" s="561">
        <v>0</v>
      </c>
      <c r="PA14" s="561">
        <v>0</v>
      </c>
      <c r="PB14" s="561">
        <v>0</v>
      </c>
      <c r="PC14" s="561">
        <v>0</v>
      </c>
      <c r="PD14" s="561">
        <v>0</v>
      </c>
      <c r="PE14" s="561">
        <v>0</v>
      </c>
      <c r="PF14" s="561">
        <v>0</v>
      </c>
      <c r="PG14" s="561">
        <v>0</v>
      </c>
      <c r="PH14" s="561">
        <v>0</v>
      </c>
      <c r="PI14" s="561">
        <v>0</v>
      </c>
      <c r="PJ14" s="561">
        <v>0</v>
      </c>
    </row>
    <row r="15" spans="1:434" ht="14" x14ac:dyDescent="0.3">
      <c r="A15" t="s">
        <v>2470</v>
      </c>
      <c r="B15" t="s">
        <v>2471</v>
      </c>
      <c r="C15" t="s">
        <v>2472</v>
      </c>
      <c r="E15" t="s">
        <v>384</v>
      </c>
      <c r="F15" s="561">
        <v>0</v>
      </c>
      <c r="G15" s="561">
        <v>0</v>
      </c>
      <c r="H15" s="561">
        <v>0</v>
      </c>
      <c r="I15" s="561">
        <v>0</v>
      </c>
      <c r="J15" s="561">
        <v>0</v>
      </c>
      <c r="K15" s="561">
        <v>0</v>
      </c>
      <c r="L15" s="561">
        <v>0</v>
      </c>
      <c r="M15" s="561">
        <v>0</v>
      </c>
      <c r="N15" s="561">
        <v>0</v>
      </c>
      <c r="O15" s="561">
        <v>6</v>
      </c>
      <c r="P15" s="561">
        <v>0</v>
      </c>
      <c r="Q15" s="561">
        <v>0</v>
      </c>
      <c r="R15" s="561">
        <v>0</v>
      </c>
      <c r="S15" s="561">
        <v>0</v>
      </c>
      <c r="T15" s="561">
        <v>0</v>
      </c>
      <c r="U15" s="561">
        <v>0</v>
      </c>
      <c r="V15" s="561">
        <v>0</v>
      </c>
      <c r="W15" s="561">
        <v>0</v>
      </c>
      <c r="X15" s="561">
        <v>0</v>
      </c>
      <c r="Y15" s="561">
        <v>0</v>
      </c>
      <c r="Z15" s="561">
        <v>0</v>
      </c>
      <c r="AA15" s="561">
        <v>0</v>
      </c>
      <c r="AB15" s="561">
        <v>245</v>
      </c>
      <c r="AC15" s="561">
        <v>0</v>
      </c>
      <c r="AD15" s="561">
        <v>0</v>
      </c>
      <c r="AE15" s="561">
        <v>0</v>
      </c>
      <c r="AF15" s="561">
        <v>0</v>
      </c>
      <c r="AG15" s="561">
        <v>0</v>
      </c>
      <c r="AH15" s="561">
        <v>0</v>
      </c>
      <c r="AI15" s="561">
        <v>0</v>
      </c>
      <c r="AJ15" s="561">
        <v>251</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v>0</v>
      </c>
      <c r="BL15" s="561">
        <v>0</v>
      </c>
      <c r="BM15" s="561">
        <v>0</v>
      </c>
      <c r="BN15" s="561">
        <v>0</v>
      </c>
      <c r="BO15" s="561">
        <v>0</v>
      </c>
      <c r="BP15" s="561">
        <v>0</v>
      </c>
      <c r="BQ15" s="561">
        <v>0</v>
      </c>
      <c r="BR15" s="561">
        <v>0</v>
      </c>
      <c r="BS15" s="561">
        <v>0</v>
      </c>
      <c r="BT15" s="561">
        <v>0</v>
      </c>
      <c r="BU15" s="561">
        <v>0</v>
      </c>
      <c r="BV15" s="561">
        <v>0</v>
      </c>
      <c r="BW15" s="561">
        <v>0</v>
      </c>
      <c r="BX15" s="561">
        <v>0</v>
      </c>
      <c r="BY15" s="561">
        <v>0</v>
      </c>
      <c r="BZ15" s="561">
        <v>0</v>
      </c>
      <c r="CA15" s="561">
        <v>0</v>
      </c>
      <c r="CB15" s="561">
        <v>0</v>
      </c>
      <c r="CC15" s="561">
        <v>0</v>
      </c>
      <c r="CD15" s="561">
        <v>0</v>
      </c>
      <c r="CE15" s="561">
        <v>0</v>
      </c>
      <c r="CF15" s="561">
        <v>0</v>
      </c>
      <c r="CG15" s="561">
        <v>0</v>
      </c>
      <c r="CH15" s="561">
        <v>0</v>
      </c>
      <c r="CI15" s="561">
        <v>0</v>
      </c>
      <c r="CJ15" s="561">
        <v>0</v>
      </c>
      <c r="CK15" s="561">
        <v>0</v>
      </c>
      <c r="CL15" s="561">
        <v>0</v>
      </c>
      <c r="CM15" s="561">
        <v>0</v>
      </c>
      <c r="CN15" s="561">
        <v>0</v>
      </c>
      <c r="CO15" s="561">
        <v>0</v>
      </c>
      <c r="CP15" s="561">
        <v>0</v>
      </c>
      <c r="CQ15" s="561">
        <v>0</v>
      </c>
      <c r="CR15" s="561">
        <v>0</v>
      </c>
      <c r="CS15" s="561">
        <v>0</v>
      </c>
      <c r="CT15" s="561">
        <v>0</v>
      </c>
      <c r="CU15" s="561">
        <v>0</v>
      </c>
      <c r="CV15" s="561">
        <v>0</v>
      </c>
      <c r="CW15" s="561">
        <v>0</v>
      </c>
      <c r="CX15" s="561">
        <v>0</v>
      </c>
      <c r="CY15" s="561">
        <v>13</v>
      </c>
      <c r="CZ15" s="561">
        <v>13</v>
      </c>
      <c r="DA15" s="561">
        <v>0</v>
      </c>
      <c r="DB15" s="561">
        <v>0</v>
      </c>
      <c r="DC15" s="561">
        <v>0</v>
      </c>
      <c r="DD15" s="561">
        <v>0</v>
      </c>
      <c r="DE15" s="561">
        <v>0</v>
      </c>
      <c r="DF15" s="561">
        <v>0</v>
      </c>
      <c r="DG15" s="561">
        <v>0</v>
      </c>
      <c r="DH15" s="561">
        <v>448</v>
      </c>
      <c r="DI15" s="561">
        <v>0</v>
      </c>
      <c r="DJ15" s="561">
        <v>0</v>
      </c>
      <c r="DK15" s="561">
        <v>0</v>
      </c>
      <c r="DL15" s="561">
        <v>0</v>
      </c>
      <c r="DM15" s="561">
        <v>0</v>
      </c>
      <c r="DN15" s="561">
        <v>0</v>
      </c>
      <c r="DO15" s="561">
        <v>0</v>
      </c>
      <c r="DP15" s="561">
        <v>0</v>
      </c>
      <c r="DQ15" s="561">
        <v>0</v>
      </c>
      <c r="DR15" s="561">
        <v>162</v>
      </c>
      <c r="DS15" s="561">
        <v>638</v>
      </c>
      <c r="DT15" s="561">
        <v>143</v>
      </c>
      <c r="DU15" s="561">
        <v>943</v>
      </c>
      <c r="DV15" s="561">
        <v>0</v>
      </c>
      <c r="DW15" s="561">
        <v>0</v>
      </c>
      <c r="DX15" s="561">
        <v>0</v>
      </c>
      <c r="DY15" s="561">
        <v>0</v>
      </c>
      <c r="DZ15" s="561">
        <v>705</v>
      </c>
      <c r="EA15" s="561">
        <v>172</v>
      </c>
      <c r="EB15" s="561">
        <v>994</v>
      </c>
      <c r="EC15" s="561">
        <v>3262</v>
      </c>
      <c r="ED15" s="561">
        <v>0</v>
      </c>
      <c r="EE15" s="561">
        <v>21235</v>
      </c>
      <c r="EF15" s="561">
        <v>408</v>
      </c>
      <c r="EG15" s="561">
        <v>828</v>
      </c>
      <c r="EH15" s="561">
        <v>33</v>
      </c>
      <c r="EI15" s="561">
        <v>0</v>
      </c>
      <c r="EJ15" s="561">
        <v>909</v>
      </c>
      <c r="EK15" s="561">
        <v>0</v>
      </c>
      <c r="EL15" s="561">
        <v>0</v>
      </c>
      <c r="EM15" s="561">
        <v>0</v>
      </c>
      <c r="EN15" s="561">
        <v>5550</v>
      </c>
      <c r="EO15" s="561">
        <v>7326</v>
      </c>
      <c r="EP15" s="561">
        <v>0</v>
      </c>
      <c r="EQ15" s="561">
        <v>1337</v>
      </c>
      <c r="ER15" s="561">
        <v>8196</v>
      </c>
      <c r="ES15" s="561" t="s">
        <v>4565</v>
      </c>
      <c r="ET15" s="561">
        <v>1000</v>
      </c>
      <c r="EU15" s="561">
        <v>0</v>
      </c>
      <c r="EV15" s="561">
        <v>50</v>
      </c>
      <c r="EW15" s="561">
        <v>0</v>
      </c>
      <c r="EX15" s="561">
        <v>0</v>
      </c>
      <c r="EY15" s="561">
        <v>0</v>
      </c>
      <c r="EZ15" s="561">
        <v>-46</v>
      </c>
      <c r="FA15" s="561">
        <v>15685</v>
      </c>
      <c r="FB15" s="561">
        <v>0</v>
      </c>
      <c r="FC15" s="561">
        <v>0</v>
      </c>
      <c r="FD15" s="561">
        <v>207</v>
      </c>
      <c r="FE15" s="561">
        <v>0</v>
      </c>
      <c r="FF15" s="561">
        <v>0</v>
      </c>
      <c r="FG15" s="561">
        <v>0</v>
      </c>
      <c r="FH15" s="561">
        <v>0</v>
      </c>
      <c r="FI15" s="561">
        <v>4</v>
      </c>
      <c r="FJ15" s="561">
        <v>997</v>
      </c>
      <c r="FK15" s="561">
        <v>2228</v>
      </c>
      <c r="FL15" s="561">
        <v>0</v>
      </c>
      <c r="FM15" s="561">
        <v>10</v>
      </c>
      <c r="FN15" s="561">
        <v>0</v>
      </c>
      <c r="FO15" s="561">
        <v>3446</v>
      </c>
      <c r="FP15" s="561">
        <v>0</v>
      </c>
      <c r="FQ15" s="561">
        <v>0</v>
      </c>
      <c r="FR15" s="561">
        <v>0</v>
      </c>
      <c r="FS15" s="561">
        <v>0</v>
      </c>
      <c r="FT15" s="561">
        <v>526</v>
      </c>
      <c r="FU15" s="561">
        <v>583</v>
      </c>
      <c r="FV15" s="561">
        <v>0</v>
      </c>
      <c r="FW15" s="561">
        <v>0</v>
      </c>
      <c r="FX15" s="561">
        <v>0</v>
      </c>
      <c r="FY15" s="561">
        <v>0</v>
      </c>
      <c r="FZ15" s="561">
        <v>0</v>
      </c>
      <c r="GA15" s="561">
        <v>148</v>
      </c>
      <c r="GB15" s="561">
        <v>0</v>
      </c>
      <c r="GC15" s="561">
        <v>-57</v>
      </c>
      <c r="GD15" s="561">
        <v>0</v>
      </c>
      <c r="GE15" s="561">
        <v>0</v>
      </c>
      <c r="GF15" s="561">
        <v>85</v>
      </c>
      <c r="GG15" s="561">
        <v>0</v>
      </c>
      <c r="GH15" s="561">
        <v>0</v>
      </c>
      <c r="GI15" s="561">
        <v>0</v>
      </c>
      <c r="GJ15" s="561">
        <v>0</v>
      </c>
      <c r="GK15" s="561">
        <v>0</v>
      </c>
      <c r="GL15" s="561">
        <v>669</v>
      </c>
      <c r="GM15" s="561">
        <v>2895</v>
      </c>
      <c r="GN15" s="561">
        <v>6</v>
      </c>
      <c r="GO15" s="561">
        <v>-123</v>
      </c>
      <c r="GP15" s="561">
        <v>0</v>
      </c>
      <c r="GQ15" s="561">
        <v>0</v>
      </c>
      <c r="GR15" s="561">
        <v>321</v>
      </c>
      <c r="GS15" s="561">
        <v>5053</v>
      </c>
      <c r="GT15" s="561">
        <v>0</v>
      </c>
      <c r="GU15" s="561">
        <v>882</v>
      </c>
      <c r="GV15" s="561">
        <v>1065</v>
      </c>
      <c r="GW15" s="561">
        <v>0</v>
      </c>
      <c r="GX15" s="561">
        <v>912</v>
      </c>
      <c r="GY15" s="561">
        <v>0</v>
      </c>
      <c r="GZ15" s="561">
        <v>475</v>
      </c>
      <c r="HA15" s="561">
        <v>0</v>
      </c>
      <c r="HB15" s="561">
        <v>1048</v>
      </c>
      <c r="HC15" s="561">
        <v>1550</v>
      </c>
      <c r="HD15" s="561">
        <v>5932</v>
      </c>
      <c r="HE15" s="561">
        <v>0</v>
      </c>
      <c r="HF15" s="561">
        <v>14431</v>
      </c>
      <c r="HG15" s="561">
        <v>0</v>
      </c>
      <c r="HH15" s="561">
        <v>0</v>
      </c>
      <c r="HI15" s="561">
        <v>0</v>
      </c>
      <c r="HJ15" s="561">
        <v>0</v>
      </c>
      <c r="HK15" s="561">
        <v>0</v>
      </c>
      <c r="HL15" s="561">
        <v>0</v>
      </c>
      <c r="HM15" s="561">
        <v>0</v>
      </c>
      <c r="HN15" s="561">
        <v>0</v>
      </c>
      <c r="HO15" s="561">
        <v>2030</v>
      </c>
      <c r="HP15" s="561">
        <v>-471</v>
      </c>
      <c r="HQ15" s="561">
        <v>0</v>
      </c>
      <c r="HR15" s="561">
        <v>0</v>
      </c>
      <c r="HS15" s="561">
        <v>0</v>
      </c>
      <c r="HT15" s="561">
        <v>0</v>
      </c>
      <c r="HU15" s="561">
        <v>0</v>
      </c>
      <c r="HV15" s="561">
        <v>0</v>
      </c>
      <c r="HW15" s="561">
        <v>212</v>
      </c>
      <c r="HX15" s="561">
        <v>67</v>
      </c>
      <c r="HY15" s="561">
        <v>65</v>
      </c>
      <c r="HZ15" s="561">
        <v>74</v>
      </c>
      <c r="IA15" s="561">
        <v>0</v>
      </c>
      <c r="IB15" s="561">
        <v>0</v>
      </c>
      <c r="IC15" s="561">
        <v>0</v>
      </c>
      <c r="ID15" s="561">
        <v>0</v>
      </c>
      <c r="IE15" s="561">
        <v>0</v>
      </c>
      <c r="IF15" s="561">
        <v>0</v>
      </c>
      <c r="IG15" s="561">
        <v>0</v>
      </c>
      <c r="IH15" s="561">
        <v>0</v>
      </c>
      <c r="II15" s="561">
        <v>1977</v>
      </c>
      <c r="IJ15" s="561">
        <v>0</v>
      </c>
      <c r="IK15" s="561">
        <v>0</v>
      </c>
      <c r="IL15" s="561">
        <v>0</v>
      </c>
      <c r="IM15" s="561">
        <v>0</v>
      </c>
      <c r="IN15" s="561">
        <v>0</v>
      </c>
      <c r="IO15" s="561">
        <v>0</v>
      </c>
      <c r="IP15" s="561">
        <v>0</v>
      </c>
      <c r="IQ15" s="561">
        <v>0</v>
      </c>
      <c r="IR15" s="561">
        <v>0</v>
      </c>
      <c r="IS15" s="561">
        <v>251</v>
      </c>
      <c r="IT15" s="561">
        <v>0</v>
      </c>
      <c r="IU15" s="561">
        <v>0</v>
      </c>
      <c r="IV15" s="561">
        <v>13</v>
      </c>
      <c r="IW15" s="561">
        <v>3262</v>
      </c>
      <c r="IX15" s="561">
        <v>3446</v>
      </c>
      <c r="IY15" s="561">
        <v>5053</v>
      </c>
      <c r="IZ15" s="561">
        <v>5932</v>
      </c>
      <c r="JA15" s="561">
        <v>0</v>
      </c>
      <c r="JB15" s="561">
        <v>0</v>
      </c>
      <c r="JC15" s="561">
        <v>1977</v>
      </c>
      <c r="JD15" s="561">
        <v>0</v>
      </c>
      <c r="JE15" s="561">
        <v>19934</v>
      </c>
      <c r="JF15" s="561">
        <v>278</v>
      </c>
      <c r="JG15" s="561">
        <v>0</v>
      </c>
      <c r="JH15" s="561">
        <v>-138</v>
      </c>
      <c r="JI15" s="561">
        <v>0</v>
      </c>
      <c r="JJ15" s="561">
        <v>0</v>
      </c>
      <c r="JK15" s="561">
        <v>3500</v>
      </c>
      <c r="JL15" s="561">
        <v>0</v>
      </c>
      <c r="JM15" s="561">
        <v>0</v>
      </c>
      <c r="JN15" s="561">
        <v>0</v>
      </c>
      <c r="JO15" s="561">
        <v>0</v>
      </c>
      <c r="JP15" s="561">
        <v>0</v>
      </c>
      <c r="JQ15" s="561">
        <v>0</v>
      </c>
      <c r="JR15" s="561">
        <v>0</v>
      </c>
      <c r="JS15" s="561">
        <v>0</v>
      </c>
      <c r="JT15" s="561">
        <v>0</v>
      </c>
      <c r="JU15" s="561">
        <v>0</v>
      </c>
      <c r="JV15" s="561">
        <v>23574</v>
      </c>
      <c r="JW15" s="561">
        <v>0</v>
      </c>
      <c r="JX15" s="561">
        <v>1065</v>
      </c>
      <c r="JY15" s="561">
        <v>0</v>
      </c>
      <c r="JZ15" s="561">
        <v>-3703</v>
      </c>
      <c r="KA15" s="561">
        <v>0</v>
      </c>
      <c r="KB15" s="561">
        <v>0</v>
      </c>
      <c r="KC15" s="561">
        <v>1677</v>
      </c>
      <c r="KD15" s="561">
        <v>0</v>
      </c>
      <c r="KE15" s="561">
        <v>3089</v>
      </c>
      <c r="KF15" s="561">
        <v>231</v>
      </c>
      <c r="KG15" s="561">
        <v>25933</v>
      </c>
      <c r="KH15" s="561">
        <v>-3854</v>
      </c>
      <c r="KI15" s="561">
        <v>0</v>
      </c>
      <c r="KJ15" s="561">
        <v>0</v>
      </c>
      <c r="KK15" s="561">
        <v>0</v>
      </c>
      <c r="KL15" s="561">
        <v>-140</v>
      </c>
      <c r="KM15" s="561">
        <v>0</v>
      </c>
      <c r="KN15" s="561">
        <v>-2030</v>
      </c>
      <c r="KO15" s="561">
        <v>0</v>
      </c>
      <c r="KP15" s="561">
        <v>0</v>
      </c>
      <c r="KQ15" s="561">
        <v>0</v>
      </c>
      <c r="KR15" s="561">
        <v>19909</v>
      </c>
      <c r="KS15" s="561">
        <v>0</v>
      </c>
      <c r="KT15" s="561">
        <v>-2073</v>
      </c>
      <c r="KU15" s="561">
        <v>17836</v>
      </c>
      <c r="KV15" s="561">
        <v>0</v>
      </c>
      <c r="KW15" s="561">
        <v>0</v>
      </c>
      <c r="KX15" s="561">
        <v>0</v>
      </c>
      <c r="KY15" s="561">
        <v>0</v>
      </c>
      <c r="KZ15" s="561">
        <v>-961</v>
      </c>
      <c r="LA15" s="561">
        <v>0</v>
      </c>
      <c r="LB15" s="561">
        <v>-119</v>
      </c>
      <c r="LC15" s="561">
        <v>0</v>
      </c>
      <c r="LD15" s="561">
        <v>-6518</v>
      </c>
      <c r="LE15" s="561">
        <v>0</v>
      </c>
      <c r="LF15" s="561">
        <v>0</v>
      </c>
      <c r="LG15" s="561">
        <v>10240</v>
      </c>
      <c r="LH15" s="561">
        <v>0</v>
      </c>
      <c r="LI15" s="561">
        <v>0</v>
      </c>
      <c r="LJ15" s="561">
        <v>0</v>
      </c>
      <c r="LK15" s="561">
        <v>0</v>
      </c>
      <c r="LL15" s="561">
        <v>10882</v>
      </c>
      <c r="LM15" s="561">
        <v>0</v>
      </c>
      <c r="LN15" s="561">
        <v>0</v>
      </c>
      <c r="LO15" s="561">
        <v>0</v>
      </c>
      <c r="LP15" s="561">
        <v>0</v>
      </c>
      <c r="LQ15" s="561">
        <v>0</v>
      </c>
      <c r="LR15" s="561">
        <v>9921</v>
      </c>
      <c r="LS15" s="561">
        <v>0</v>
      </c>
      <c r="LT15" s="561">
        <v>0</v>
      </c>
      <c r="LU15" s="561">
        <v>0</v>
      </c>
      <c r="LV15" s="561">
        <v>0</v>
      </c>
      <c r="LW15" s="561">
        <v>0</v>
      </c>
      <c r="LX15" s="561">
        <v>-2638</v>
      </c>
      <c r="LY15" s="561">
        <v>0</v>
      </c>
      <c r="LZ15" s="561">
        <v>-2638</v>
      </c>
      <c r="MA15" s="561">
        <v>0</v>
      </c>
      <c r="MB15" s="561">
        <v>0</v>
      </c>
      <c r="MC15" s="561">
        <v>23413</v>
      </c>
      <c r="MD15" s="561">
        <v>23459</v>
      </c>
      <c r="ME15" s="561">
        <v>-46</v>
      </c>
      <c r="MF15" s="561">
        <v>15685</v>
      </c>
      <c r="MG15" s="561">
        <v>15639</v>
      </c>
      <c r="MH15" s="561" t="s">
        <v>4566</v>
      </c>
      <c r="MI15" s="561" t="s">
        <v>4566</v>
      </c>
      <c r="MJ15" s="561" t="s">
        <v>4566</v>
      </c>
      <c r="MK15" s="561">
        <v>0</v>
      </c>
      <c r="ML15" s="561">
        <v>0</v>
      </c>
      <c r="MM15" s="561">
        <v>4389</v>
      </c>
      <c r="MN15" s="561">
        <v>5532</v>
      </c>
      <c r="MO15" s="561">
        <v>0</v>
      </c>
      <c r="MP15" s="561">
        <v>0</v>
      </c>
      <c r="MQ15" s="561">
        <v>0</v>
      </c>
      <c r="MR15" s="561">
        <v>251</v>
      </c>
      <c r="MS15" s="561">
        <v>0</v>
      </c>
      <c r="MT15" s="561">
        <v>0</v>
      </c>
      <c r="MU15" s="561">
        <v>13</v>
      </c>
      <c r="MV15" s="561">
        <v>3262</v>
      </c>
      <c r="MW15" s="561">
        <v>3446</v>
      </c>
      <c r="MX15" s="561">
        <v>5053</v>
      </c>
      <c r="MY15" s="561">
        <v>5932</v>
      </c>
      <c r="MZ15" s="561">
        <v>0</v>
      </c>
      <c r="NA15" s="561">
        <v>0</v>
      </c>
      <c r="NB15" s="561">
        <v>1977</v>
      </c>
      <c r="NC15" s="561">
        <v>0</v>
      </c>
      <c r="ND15" s="561">
        <v>19934</v>
      </c>
      <c r="NE15" s="561">
        <v>0</v>
      </c>
      <c r="NF15" s="561">
        <v>0</v>
      </c>
      <c r="NG15" s="561">
        <v>0</v>
      </c>
      <c r="NH15" s="561">
        <v>0</v>
      </c>
      <c r="NI15" s="561">
        <v>0</v>
      </c>
      <c r="NJ15" s="561">
        <v>0</v>
      </c>
      <c r="NK15" s="561">
        <v>0</v>
      </c>
      <c r="NL15" s="561">
        <v>0</v>
      </c>
      <c r="NM15" s="561">
        <v>0</v>
      </c>
      <c r="NN15" s="561">
        <v>0</v>
      </c>
      <c r="NO15" s="561">
        <v>0</v>
      </c>
      <c r="NP15" s="561">
        <v>0</v>
      </c>
      <c r="NQ15" s="561">
        <v>0</v>
      </c>
      <c r="NR15" s="561">
        <v>0</v>
      </c>
      <c r="NS15" s="561">
        <v>0</v>
      </c>
      <c r="NT15" s="561">
        <v>0</v>
      </c>
      <c r="NU15" s="561">
        <v>0</v>
      </c>
      <c r="NV15" s="561">
        <v>0</v>
      </c>
      <c r="NW15" s="561">
        <v>0</v>
      </c>
      <c r="NX15" s="561">
        <v>0</v>
      </c>
      <c r="NY15" s="561">
        <v>0</v>
      </c>
      <c r="NZ15" s="561">
        <v>0</v>
      </c>
      <c r="OA15" s="561">
        <v>0</v>
      </c>
      <c r="OB15" s="561">
        <v>0</v>
      </c>
      <c r="OC15" s="561">
        <v>0</v>
      </c>
      <c r="OD15" s="561">
        <v>0</v>
      </c>
      <c r="OE15" s="561">
        <v>0</v>
      </c>
      <c r="OF15" s="561">
        <v>0</v>
      </c>
      <c r="OG15" s="561">
        <v>0</v>
      </c>
      <c r="OH15" s="561">
        <v>0</v>
      </c>
      <c r="OI15" s="561">
        <v>0</v>
      </c>
      <c r="OJ15" s="561">
        <v>0</v>
      </c>
      <c r="OK15" s="561">
        <v>0</v>
      </c>
      <c r="OL15" s="561">
        <v>0</v>
      </c>
      <c r="OM15" s="561">
        <v>0</v>
      </c>
      <c r="ON15" s="561">
        <v>0</v>
      </c>
      <c r="OO15" s="561">
        <v>0</v>
      </c>
      <c r="OP15" s="561">
        <v>0</v>
      </c>
      <c r="OQ15" s="561">
        <v>0</v>
      </c>
      <c r="OR15" s="561">
        <v>0</v>
      </c>
      <c r="OS15" s="561">
        <v>0</v>
      </c>
      <c r="OT15" s="561">
        <v>0</v>
      </c>
      <c r="OU15" s="561">
        <v>0</v>
      </c>
      <c r="OV15" s="561">
        <v>0</v>
      </c>
      <c r="OW15" s="561">
        <v>0</v>
      </c>
      <c r="OX15" s="561">
        <v>0</v>
      </c>
      <c r="OY15" s="561">
        <v>0</v>
      </c>
      <c r="OZ15" s="561">
        <v>0</v>
      </c>
      <c r="PA15" s="561">
        <v>0</v>
      </c>
      <c r="PB15" s="561">
        <v>0</v>
      </c>
      <c r="PC15" s="561">
        <v>0</v>
      </c>
      <c r="PD15" s="561">
        <v>0</v>
      </c>
      <c r="PE15" s="561">
        <v>0</v>
      </c>
      <c r="PF15" s="561">
        <v>0</v>
      </c>
      <c r="PG15" s="561">
        <v>0</v>
      </c>
      <c r="PH15" s="561">
        <v>0</v>
      </c>
      <c r="PI15" s="561">
        <v>0</v>
      </c>
      <c r="PJ15" s="561">
        <v>0</v>
      </c>
    </row>
    <row r="16" spans="1:434" ht="14" x14ac:dyDescent="0.3">
      <c r="A16" t="s">
        <v>2473</v>
      </c>
      <c r="B16" t="s">
        <v>2474</v>
      </c>
      <c r="C16" t="s">
        <v>2475</v>
      </c>
      <c r="E16" t="s">
        <v>2476</v>
      </c>
      <c r="F16" s="561">
        <v>30543</v>
      </c>
      <c r="G16" s="561">
        <v>148285</v>
      </c>
      <c r="H16" s="561">
        <v>102046</v>
      </c>
      <c r="I16" s="561">
        <v>57256</v>
      </c>
      <c r="J16" s="561">
        <v>4043</v>
      </c>
      <c r="K16" s="561">
        <v>20279</v>
      </c>
      <c r="L16" s="561">
        <v>362452</v>
      </c>
      <c r="M16" s="561">
        <v>10122</v>
      </c>
      <c r="N16" s="561">
        <v>563</v>
      </c>
      <c r="O16" s="561">
        <v>5309</v>
      </c>
      <c r="P16" s="561">
        <v>0</v>
      </c>
      <c r="Q16" s="561">
        <v>471</v>
      </c>
      <c r="R16" s="561">
        <v>0</v>
      </c>
      <c r="S16" s="561">
        <v>0</v>
      </c>
      <c r="T16" s="561">
        <v>0</v>
      </c>
      <c r="U16" s="561">
        <v>137</v>
      </c>
      <c r="V16" s="561">
        <v>1293</v>
      </c>
      <c r="W16" s="561">
        <v>0</v>
      </c>
      <c r="X16" s="561">
        <v>0</v>
      </c>
      <c r="Y16" s="561">
        <v>3</v>
      </c>
      <c r="Z16" s="561">
        <v>0</v>
      </c>
      <c r="AA16" s="561">
        <v>-9281</v>
      </c>
      <c r="AB16" s="561">
        <v>238</v>
      </c>
      <c r="AC16" s="561">
        <v>4853</v>
      </c>
      <c r="AD16" s="561">
        <v>0</v>
      </c>
      <c r="AE16" s="561">
        <v>0</v>
      </c>
      <c r="AF16" s="561">
        <v>0</v>
      </c>
      <c r="AG16" s="561">
        <v>0</v>
      </c>
      <c r="AH16" s="561">
        <v>0</v>
      </c>
      <c r="AI16" s="561">
        <v>0</v>
      </c>
      <c r="AJ16" s="561">
        <v>3586</v>
      </c>
      <c r="AK16" s="561">
        <v>1500</v>
      </c>
      <c r="AL16" s="561">
        <v>0</v>
      </c>
      <c r="AM16" s="561">
        <v>0</v>
      </c>
      <c r="AN16" s="561">
        <v>0</v>
      </c>
      <c r="AO16" s="561">
        <v>0</v>
      </c>
      <c r="AP16" s="561">
        <v>0</v>
      </c>
      <c r="AQ16" s="561">
        <v>0</v>
      </c>
      <c r="AR16" s="561">
        <v>0</v>
      </c>
      <c r="AS16" s="561">
        <v>81256</v>
      </c>
      <c r="AT16" s="561">
        <v>0</v>
      </c>
      <c r="AU16" s="561">
        <v>0</v>
      </c>
      <c r="AV16" s="561">
        <v>0</v>
      </c>
      <c r="AW16" s="561">
        <v>0</v>
      </c>
      <c r="AX16" s="561">
        <v>1889</v>
      </c>
      <c r="AY16" s="561">
        <v>37316.94</v>
      </c>
      <c r="AZ16" s="561">
        <v>887</v>
      </c>
      <c r="BA16" s="561">
        <v>13413</v>
      </c>
      <c r="BB16" s="561">
        <v>3192</v>
      </c>
      <c r="BC16" s="561">
        <v>23832</v>
      </c>
      <c r="BD16" s="561">
        <v>0</v>
      </c>
      <c r="BE16" s="561">
        <v>0</v>
      </c>
      <c r="BF16" s="561">
        <v>80529.94</v>
      </c>
      <c r="BG16" s="561">
        <v>5178</v>
      </c>
      <c r="BH16" s="561">
        <v>11194</v>
      </c>
      <c r="BI16" s="561">
        <v>8514.89</v>
      </c>
      <c r="BJ16" s="561">
        <v>115.4</v>
      </c>
      <c r="BK16" s="561">
        <v>60.48</v>
      </c>
      <c r="BL16" s="561">
        <v>659.19</v>
      </c>
      <c r="BM16" s="561">
        <v>7391.26</v>
      </c>
      <c r="BN16" s="561">
        <v>25025.61</v>
      </c>
      <c r="BO16" s="561">
        <v>2406</v>
      </c>
      <c r="BP16" s="561">
        <v>9909.76</v>
      </c>
      <c r="BQ16" s="561">
        <v>3387.99</v>
      </c>
      <c r="BR16" s="561">
        <v>474</v>
      </c>
      <c r="BS16" s="561">
        <v>3</v>
      </c>
      <c r="BT16" s="561">
        <v>338</v>
      </c>
      <c r="BU16" s="561">
        <v>0</v>
      </c>
      <c r="BV16" s="561">
        <v>1223</v>
      </c>
      <c r="BW16" s="561">
        <v>7300</v>
      </c>
      <c r="BX16" s="561">
        <v>1045</v>
      </c>
      <c r="BY16" s="561">
        <v>1358</v>
      </c>
      <c r="BZ16" s="561">
        <v>80405.58</v>
      </c>
      <c r="CA16" s="561">
        <v>1030</v>
      </c>
      <c r="CB16" s="561">
        <v>1168</v>
      </c>
      <c r="CC16" s="561">
        <v>601</v>
      </c>
      <c r="CD16" s="561">
        <v>289</v>
      </c>
      <c r="CE16" s="561">
        <v>412</v>
      </c>
      <c r="CF16" s="561">
        <v>593</v>
      </c>
      <c r="CG16" s="561">
        <v>120</v>
      </c>
      <c r="CH16" s="561">
        <v>1574</v>
      </c>
      <c r="CI16" s="561">
        <v>243</v>
      </c>
      <c r="CJ16" s="561">
        <v>252</v>
      </c>
      <c r="CK16" s="561">
        <v>253</v>
      </c>
      <c r="CL16" s="561">
        <v>291</v>
      </c>
      <c r="CM16" s="561">
        <v>620</v>
      </c>
      <c r="CN16" s="561">
        <v>613.52</v>
      </c>
      <c r="CO16" s="561">
        <v>177.84</v>
      </c>
      <c r="CP16" s="561">
        <v>278</v>
      </c>
      <c r="CQ16" s="561">
        <v>731</v>
      </c>
      <c r="CR16" s="561">
        <v>458</v>
      </c>
      <c r="CS16" s="561">
        <v>0</v>
      </c>
      <c r="CT16" s="561">
        <v>2312.6</v>
      </c>
      <c r="CU16" s="561">
        <v>4180</v>
      </c>
      <c r="CV16" s="561">
        <v>1001.7</v>
      </c>
      <c r="CW16" s="561">
        <v>223</v>
      </c>
      <c r="CX16" s="561">
        <v>145</v>
      </c>
      <c r="CY16" s="561">
        <v>1885</v>
      </c>
      <c r="CZ16" s="561">
        <v>18421.66</v>
      </c>
      <c r="DA16" s="561">
        <v>405</v>
      </c>
      <c r="DB16" s="561">
        <v>550</v>
      </c>
      <c r="DC16" s="561">
        <v>0</v>
      </c>
      <c r="DD16" s="561">
        <v>250</v>
      </c>
      <c r="DE16" s="561">
        <v>0</v>
      </c>
      <c r="DF16" s="561">
        <v>0</v>
      </c>
      <c r="DG16" s="561">
        <v>0</v>
      </c>
      <c r="DH16" s="561">
        <v>1380</v>
      </c>
      <c r="DI16" s="561">
        <v>0</v>
      </c>
      <c r="DJ16" s="561">
        <v>0</v>
      </c>
      <c r="DK16" s="561">
        <v>728</v>
      </c>
      <c r="DL16" s="561">
        <v>0</v>
      </c>
      <c r="DM16" s="561">
        <v>3359</v>
      </c>
      <c r="DN16" s="561">
        <v>-947</v>
      </c>
      <c r="DO16" s="561">
        <v>1540</v>
      </c>
      <c r="DP16" s="561">
        <v>-1348</v>
      </c>
      <c r="DQ16" s="561">
        <v>0</v>
      </c>
      <c r="DR16" s="561">
        <v>2856</v>
      </c>
      <c r="DS16" s="561">
        <v>3895</v>
      </c>
      <c r="DT16" s="561">
        <v>0</v>
      </c>
      <c r="DU16" s="561">
        <v>9355</v>
      </c>
      <c r="DV16" s="561">
        <v>728</v>
      </c>
      <c r="DW16" s="561">
        <v>0</v>
      </c>
      <c r="DX16" s="561">
        <v>0</v>
      </c>
      <c r="DY16" s="561">
        <v>1612</v>
      </c>
      <c r="DZ16" s="561">
        <v>55</v>
      </c>
      <c r="EA16" s="561">
        <v>1855.25</v>
      </c>
      <c r="EB16" s="561">
        <v>0</v>
      </c>
      <c r="EC16" s="561">
        <v>15713.25</v>
      </c>
      <c r="ED16" s="561">
        <v>2365</v>
      </c>
      <c r="EE16" s="561">
        <v>99876</v>
      </c>
      <c r="EF16" s="561">
        <v>1470</v>
      </c>
      <c r="EG16" s="561">
        <v>26636.47</v>
      </c>
      <c r="EH16" s="561">
        <v>0</v>
      </c>
      <c r="EI16" s="561">
        <v>0</v>
      </c>
      <c r="EJ16" s="561">
        <v>1619.39</v>
      </c>
      <c r="EK16" s="561">
        <v>0</v>
      </c>
      <c r="EL16" s="561">
        <v>0</v>
      </c>
      <c r="EM16" s="561">
        <v>-91</v>
      </c>
      <c r="EN16" s="561">
        <v>26153</v>
      </c>
      <c r="EO16" s="561">
        <v>53097</v>
      </c>
      <c r="EP16" s="561">
        <v>0</v>
      </c>
      <c r="EQ16" s="561">
        <v>38</v>
      </c>
      <c r="ER16" s="561">
        <v>11145.2</v>
      </c>
      <c r="ES16" s="561" t="s">
        <v>4565</v>
      </c>
      <c r="ET16" s="561">
        <v>19489.03</v>
      </c>
      <c r="EU16" s="561">
        <v>5199.41</v>
      </c>
      <c r="EV16" s="561">
        <v>0</v>
      </c>
      <c r="EW16" s="561">
        <v>0</v>
      </c>
      <c r="EX16" s="561">
        <v>0</v>
      </c>
      <c r="EY16" s="561">
        <v>1059.78</v>
      </c>
      <c r="EZ16" s="561">
        <v>13329.44</v>
      </c>
      <c r="FA16" s="561">
        <v>28570</v>
      </c>
      <c r="FB16" s="561">
        <v>339</v>
      </c>
      <c r="FC16" s="561">
        <v>423</v>
      </c>
      <c r="FD16" s="561">
        <v>1</v>
      </c>
      <c r="FE16" s="561">
        <v>789</v>
      </c>
      <c r="FF16" s="561">
        <v>235</v>
      </c>
      <c r="FG16" s="561">
        <v>219</v>
      </c>
      <c r="FH16" s="561">
        <v>0</v>
      </c>
      <c r="FI16" s="561">
        <v>-93</v>
      </c>
      <c r="FJ16" s="561">
        <v>0</v>
      </c>
      <c r="FK16" s="561">
        <v>1667</v>
      </c>
      <c r="FL16" s="561">
        <v>0</v>
      </c>
      <c r="FM16" s="561">
        <v>0</v>
      </c>
      <c r="FN16" s="561">
        <v>786</v>
      </c>
      <c r="FO16" s="561">
        <v>4366</v>
      </c>
      <c r="FP16" s="561">
        <v>4</v>
      </c>
      <c r="FQ16" s="561">
        <v>115</v>
      </c>
      <c r="FR16" s="561">
        <v>111</v>
      </c>
      <c r="FS16" s="561">
        <v>0</v>
      </c>
      <c r="FT16" s="561">
        <v>387</v>
      </c>
      <c r="FU16" s="561">
        <v>137</v>
      </c>
      <c r="FV16" s="561">
        <v>0</v>
      </c>
      <c r="FW16" s="561">
        <v>0</v>
      </c>
      <c r="FX16" s="561">
        <v>0</v>
      </c>
      <c r="FY16" s="561">
        <v>0</v>
      </c>
      <c r="FZ16" s="561">
        <v>-36</v>
      </c>
      <c r="GA16" s="561">
        <v>0</v>
      </c>
      <c r="GB16" s="561">
        <v>11</v>
      </c>
      <c r="GC16" s="561">
        <v>-12</v>
      </c>
      <c r="GD16" s="561">
        <v>0</v>
      </c>
      <c r="GE16" s="561">
        <v>1224</v>
      </c>
      <c r="GF16" s="561">
        <v>841</v>
      </c>
      <c r="GG16" s="561">
        <v>43</v>
      </c>
      <c r="GH16" s="561">
        <v>0</v>
      </c>
      <c r="GI16" s="561">
        <v>0</v>
      </c>
      <c r="GJ16" s="561">
        <v>0</v>
      </c>
      <c r="GK16" s="561">
        <v>0</v>
      </c>
      <c r="GL16" s="561">
        <v>4495</v>
      </c>
      <c r="GM16" s="561">
        <v>5540</v>
      </c>
      <c r="GN16" s="561">
        <v>135</v>
      </c>
      <c r="GO16" s="561">
        <v>-234</v>
      </c>
      <c r="GP16" s="561">
        <v>0</v>
      </c>
      <c r="GQ16" s="561">
        <v>428</v>
      </c>
      <c r="GR16" s="561">
        <v>0</v>
      </c>
      <c r="GS16" s="561">
        <v>13185</v>
      </c>
      <c r="GT16" s="561">
        <v>2542</v>
      </c>
      <c r="GU16" s="561">
        <v>0</v>
      </c>
      <c r="GV16" s="561">
        <v>900</v>
      </c>
      <c r="GW16" s="561">
        <v>1944</v>
      </c>
      <c r="GX16" s="561">
        <v>701</v>
      </c>
      <c r="GY16" s="561">
        <v>0</v>
      </c>
      <c r="GZ16" s="561">
        <v>1717</v>
      </c>
      <c r="HA16" s="561">
        <v>0</v>
      </c>
      <c r="HB16" s="561">
        <v>0</v>
      </c>
      <c r="HC16" s="561">
        <v>426</v>
      </c>
      <c r="HD16" s="561">
        <v>5688</v>
      </c>
      <c r="HE16" s="561">
        <v>30</v>
      </c>
      <c r="HF16" s="561">
        <v>23239</v>
      </c>
      <c r="HG16" s="561">
        <v>2576</v>
      </c>
      <c r="HH16" s="561">
        <v>0</v>
      </c>
      <c r="HI16" s="561">
        <v>0</v>
      </c>
      <c r="HJ16" s="561">
        <v>0</v>
      </c>
      <c r="HK16" s="561">
        <v>0</v>
      </c>
      <c r="HL16" s="561">
        <v>0</v>
      </c>
      <c r="HM16" s="561">
        <v>0</v>
      </c>
      <c r="HN16" s="561">
        <v>0</v>
      </c>
      <c r="HO16" s="561">
        <v>5732</v>
      </c>
      <c r="HP16" s="561">
        <v>1557</v>
      </c>
      <c r="HQ16" s="561">
        <v>0</v>
      </c>
      <c r="HR16" s="561">
        <v>0</v>
      </c>
      <c r="HS16" s="561">
        <v>0</v>
      </c>
      <c r="HT16" s="561">
        <v>552</v>
      </c>
      <c r="HU16" s="561">
        <v>0</v>
      </c>
      <c r="HV16" s="561">
        <v>-33.369999999999997</v>
      </c>
      <c r="HW16" s="561">
        <v>415.11</v>
      </c>
      <c r="HX16" s="561">
        <v>-27</v>
      </c>
      <c r="HY16" s="561">
        <v>286.72000000000003</v>
      </c>
      <c r="HZ16" s="561">
        <v>0</v>
      </c>
      <c r="IA16" s="561">
        <v>0</v>
      </c>
      <c r="IB16" s="561">
        <v>0</v>
      </c>
      <c r="IC16" s="561">
        <v>241</v>
      </c>
      <c r="ID16" s="561">
        <v>0</v>
      </c>
      <c r="IE16" s="561">
        <v>0</v>
      </c>
      <c r="IF16" s="561">
        <v>0</v>
      </c>
      <c r="IG16" s="561">
        <v>0</v>
      </c>
      <c r="IH16" s="561">
        <v>-8914</v>
      </c>
      <c r="II16" s="561">
        <v>-190.54</v>
      </c>
      <c r="IJ16" s="561">
        <v>7043</v>
      </c>
      <c r="IK16" s="561">
        <v>11937</v>
      </c>
      <c r="IL16" s="561">
        <v>0</v>
      </c>
      <c r="IM16" s="561">
        <v>0</v>
      </c>
      <c r="IN16" s="561">
        <v>0</v>
      </c>
      <c r="IO16" s="561">
        <v>958</v>
      </c>
      <c r="IP16" s="561">
        <v>0</v>
      </c>
      <c r="IQ16" s="561">
        <v>0</v>
      </c>
      <c r="IR16" s="561">
        <v>362452</v>
      </c>
      <c r="IS16" s="561">
        <v>3586</v>
      </c>
      <c r="IT16" s="561">
        <v>80529.94</v>
      </c>
      <c r="IU16" s="561">
        <v>80405.58</v>
      </c>
      <c r="IV16" s="561">
        <v>18421.66</v>
      </c>
      <c r="IW16" s="561">
        <v>15713.25</v>
      </c>
      <c r="IX16" s="561">
        <v>4366</v>
      </c>
      <c r="IY16" s="561">
        <v>13185</v>
      </c>
      <c r="IZ16" s="561">
        <v>5688</v>
      </c>
      <c r="JA16" s="561">
        <v>0</v>
      </c>
      <c r="JB16" s="561">
        <v>0</v>
      </c>
      <c r="JC16" s="561">
        <v>-190.54</v>
      </c>
      <c r="JD16" s="561">
        <v>0</v>
      </c>
      <c r="JE16" s="561">
        <v>584156.89</v>
      </c>
      <c r="JF16" s="561">
        <v>23755</v>
      </c>
      <c r="JG16" s="561">
        <v>9013</v>
      </c>
      <c r="JH16" s="561">
        <v>26124</v>
      </c>
      <c r="JI16" s="561">
        <v>0</v>
      </c>
      <c r="JJ16" s="561">
        <v>0</v>
      </c>
      <c r="JK16" s="561">
        <v>0</v>
      </c>
      <c r="JL16" s="561">
        <v>0</v>
      </c>
      <c r="JM16" s="561">
        <v>14238</v>
      </c>
      <c r="JN16" s="561">
        <v>175</v>
      </c>
      <c r="JO16" s="561">
        <v>142</v>
      </c>
      <c r="JP16" s="561">
        <v>-414</v>
      </c>
      <c r="JQ16" s="561">
        <v>0</v>
      </c>
      <c r="JR16" s="561">
        <v>0</v>
      </c>
      <c r="JS16" s="561">
        <v>0</v>
      </c>
      <c r="JT16" s="561">
        <v>1588</v>
      </c>
      <c r="JU16" s="561">
        <v>0</v>
      </c>
      <c r="JV16" s="561">
        <v>658777.89</v>
      </c>
      <c r="JW16" s="561">
        <v>131</v>
      </c>
      <c r="JX16" s="561">
        <v>3428</v>
      </c>
      <c r="JY16" s="561">
        <v>0</v>
      </c>
      <c r="JZ16" s="561">
        <v>0</v>
      </c>
      <c r="KA16" s="561">
        <v>0</v>
      </c>
      <c r="KB16" s="561">
        <v>0</v>
      </c>
      <c r="KC16" s="561">
        <v>28435</v>
      </c>
      <c r="KD16" s="561">
        <v>9451</v>
      </c>
      <c r="KE16" s="561">
        <v>42436</v>
      </c>
      <c r="KF16" s="561">
        <v>0</v>
      </c>
      <c r="KG16" s="561">
        <v>742658.89</v>
      </c>
      <c r="KH16" s="561">
        <v>-14919</v>
      </c>
      <c r="KI16" s="561">
        <v>-12602</v>
      </c>
      <c r="KJ16" s="561">
        <v>0</v>
      </c>
      <c r="KK16" s="561">
        <v>0</v>
      </c>
      <c r="KL16" s="561">
        <v>-88163</v>
      </c>
      <c r="KM16" s="561">
        <v>0</v>
      </c>
      <c r="KN16" s="561">
        <v>-1103</v>
      </c>
      <c r="KO16" s="561">
        <v>0</v>
      </c>
      <c r="KP16" s="561">
        <v>0</v>
      </c>
      <c r="KQ16" s="561">
        <v>0</v>
      </c>
      <c r="KR16" s="561">
        <v>625871.89</v>
      </c>
      <c r="KS16" s="561">
        <v>0</v>
      </c>
      <c r="KT16" s="561">
        <v>-405143</v>
      </c>
      <c r="KU16" s="561">
        <v>220728.89</v>
      </c>
      <c r="KV16" s="561">
        <v>0</v>
      </c>
      <c r="KW16" s="561">
        <v>-5512</v>
      </c>
      <c r="KX16" s="561">
        <v>-6690</v>
      </c>
      <c r="KY16" s="561">
        <v>1629</v>
      </c>
      <c r="KZ16" s="561">
        <v>1869</v>
      </c>
      <c r="LA16" s="561">
        <v>1016</v>
      </c>
      <c r="LB16" s="561">
        <v>-22258</v>
      </c>
      <c r="LC16" s="561">
        <v>0</v>
      </c>
      <c r="LD16" s="561">
        <v>-78138</v>
      </c>
      <c r="LE16" s="561">
        <v>-24809</v>
      </c>
      <c r="LF16" s="561">
        <v>0</v>
      </c>
      <c r="LG16" s="561">
        <v>84097</v>
      </c>
      <c r="LH16" s="561">
        <v>10720</v>
      </c>
      <c r="LI16" s="561">
        <v>0</v>
      </c>
      <c r="LJ16" s="561">
        <v>7955</v>
      </c>
      <c r="LK16" s="561">
        <v>1946</v>
      </c>
      <c r="LL16" s="561">
        <v>112809</v>
      </c>
      <c r="LM16" s="561">
        <v>13853</v>
      </c>
      <c r="LN16" s="561">
        <v>5208</v>
      </c>
      <c r="LO16" s="561">
        <v>0</v>
      </c>
      <c r="LP16" s="561">
        <v>1265</v>
      </c>
      <c r="LQ16" s="561">
        <v>3575</v>
      </c>
      <c r="LR16" s="561">
        <v>114678</v>
      </c>
      <c r="LS16" s="561">
        <v>14869</v>
      </c>
      <c r="LT16" s="561">
        <v>0</v>
      </c>
      <c r="LU16" s="561">
        <v>41048</v>
      </c>
      <c r="LV16" s="561">
        <v>0</v>
      </c>
      <c r="LW16" s="561">
        <v>23267</v>
      </c>
      <c r="LX16" s="561">
        <v>-22699</v>
      </c>
      <c r="LY16" s="561">
        <v>56350</v>
      </c>
      <c r="LZ16" s="561">
        <v>15837</v>
      </c>
      <c r="MA16" s="561">
        <v>0</v>
      </c>
      <c r="MB16" s="561">
        <v>0</v>
      </c>
      <c r="MC16" s="561">
        <v>129510.86</v>
      </c>
      <c r="MD16" s="561">
        <v>116181.42</v>
      </c>
      <c r="ME16" s="561">
        <v>13329.44</v>
      </c>
      <c r="MF16" s="561">
        <v>28570</v>
      </c>
      <c r="MG16" s="561">
        <v>41899.440000000002</v>
      </c>
      <c r="MH16" s="561" t="s">
        <v>4566</v>
      </c>
      <c r="MI16" s="561" t="s">
        <v>4566</v>
      </c>
      <c r="MJ16" s="561" t="s">
        <v>4566</v>
      </c>
      <c r="MK16" s="561">
        <v>0</v>
      </c>
      <c r="ML16" s="561">
        <v>43544</v>
      </c>
      <c r="MM16" s="561">
        <v>20033</v>
      </c>
      <c r="MN16" s="561">
        <v>19074</v>
      </c>
      <c r="MO16" s="561">
        <v>32027</v>
      </c>
      <c r="MP16" s="561">
        <v>0</v>
      </c>
      <c r="MQ16" s="561">
        <v>362452</v>
      </c>
      <c r="MR16" s="561">
        <v>3586</v>
      </c>
      <c r="MS16" s="561">
        <v>80529.94</v>
      </c>
      <c r="MT16" s="561">
        <v>80405.58</v>
      </c>
      <c r="MU16" s="561">
        <v>18421.66</v>
      </c>
      <c r="MV16" s="561">
        <v>15713.25</v>
      </c>
      <c r="MW16" s="561">
        <v>4366</v>
      </c>
      <c r="MX16" s="561">
        <v>13185</v>
      </c>
      <c r="MY16" s="561">
        <v>5688</v>
      </c>
      <c r="MZ16" s="561">
        <v>0</v>
      </c>
      <c r="NA16" s="561">
        <v>0</v>
      </c>
      <c r="NB16" s="561">
        <v>-190.54</v>
      </c>
      <c r="NC16" s="561">
        <v>0</v>
      </c>
      <c r="ND16" s="561">
        <v>584156.89</v>
      </c>
      <c r="NE16" s="561">
        <v>0</v>
      </c>
      <c r="NF16" s="561">
        <v>0</v>
      </c>
      <c r="NG16" s="561">
        <v>0</v>
      </c>
      <c r="NH16" s="561">
        <v>0</v>
      </c>
      <c r="NI16" s="561">
        <v>0</v>
      </c>
      <c r="NJ16" s="561">
        <v>0</v>
      </c>
      <c r="NK16" s="561">
        <v>0</v>
      </c>
      <c r="NL16" s="561">
        <v>0</v>
      </c>
      <c r="NM16" s="561">
        <v>0</v>
      </c>
      <c r="NN16" s="561">
        <v>0</v>
      </c>
      <c r="NO16" s="561">
        <v>0</v>
      </c>
      <c r="NP16" s="561">
        <v>0</v>
      </c>
      <c r="NQ16" s="561">
        <v>0</v>
      </c>
      <c r="NR16" s="561">
        <v>0</v>
      </c>
      <c r="NS16" s="561">
        <v>0</v>
      </c>
      <c r="NT16" s="561">
        <v>0</v>
      </c>
      <c r="NU16" s="561">
        <v>0</v>
      </c>
      <c r="NV16" s="561">
        <v>-415</v>
      </c>
      <c r="NW16" s="561">
        <v>-414</v>
      </c>
      <c r="NX16" s="561">
        <v>0</v>
      </c>
      <c r="NY16" s="561">
        <v>-414</v>
      </c>
      <c r="NZ16" s="561">
        <v>0</v>
      </c>
      <c r="OA16" s="561">
        <v>0</v>
      </c>
      <c r="OB16" s="561">
        <v>0</v>
      </c>
      <c r="OC16" s="561">
        <v>0</v>
      </c>
      <c r="OD16" s="561">
        <v>0</v>
      </c>
      <c r="OE16" s="561">
        <v>0</v>
      </c>
      <c r="OF16" s="561">
        <v>0</v>
      </c>
      <c r="OG16" s="561">
        <v>0</v>
      </c>
      <c r="OH16" s="561">
        <v>0</v>
      </c>
      <c r="OI16" s="561">
        <v>0</v>
      </c>
      <c r="OJ16" s="561">
        <v>0</v>
      </c>
      <c r="OK16" s="561">
        <v>0</v>
      </c>
      <c r="OL16" s="561">
        <v>0</v>
      </c>
      <c r="OM16" s="561">
        <v>0</v>
      </c>
      <c r="ON16" s="561">
        <v>0</v>
      </c>
      <c r="OO16" s="561">
        <v>0</v>
      </c>
      <c r="OP16" s="561">
        <v>0</v>
      </c>
      <c r="OQ16" s="561">
        <v>0</v>
      </c>
      <c r="OR16" s="561">
        <v>0</v>
      </c>
      <c r="OS16" s="561">
        <v>0</v>
      </c>
      <c r="OT16" s="561">
        <v>0</v>
      </c>
      <c r="OU16" s="561">
        <v>0</v>
      </c>
      <c r="OV16" s="561">
        <v>0</v>
      </c>
      <c r="OW16" s="561">
        <v>0</v>
      </c>
      <c r="OX16" s="561">
        <v>0</v>
      </c>
      <c r="OY16" s="561">
        <v>0</v>
      </c>
      <c r="OZ16" s="561">
        <v>0</v>
      </c>
      <c r="PA16" s="561">
        <v>0</v>
      </c>
      <c r="PB16" s="561">
        <v>0</v>
      </c>
      <c r="PC16" s="561">
        <v>0</v>
      </c>
      <c r="PD16" s="561">
        <v>0</v>
      </c>
      <c r="PE16" s="561">
        <v>0</v>
      </c>
      <c r="PF16" s="561">
        <v>0</v>
      </c>
      <c r="PG16" s="561">
        <v>0</v>
      </c>
      <c r="PH16" s="561">
        <v>0</v>
      </c>
      <c r="PI16" s="561">
        <v>0</v>
      </c>
      <c r="PJ16" s="561">
        <v>0</v>
      </c>
    </row>
    <row r="17" spans="1:426" ht="14" x14ac:dyDescent="0.3">
      <c r="A17" t="s">
        <v>2477</v>
      </c>
      <c r="B17" t="s">
        <v>2478</v>
      </c>
      <c r="C17" t="s">
        <v>2479</v>
      </c>
      <c r="E17" t="s">
        <v>2476</v>
      </c>
      <c r="F17" s="561">
        <v>34535.99</v>
      </c>
      <c r="G17" s="561">
        <v>179453.58</v>
      </c>
      <c r="H17" s="561">
        <v>65431.76</v>
      </c>
      <c r="I17" s="561">
        <v>30624.94</v>
      </c>
      <c r="J17" s="561">
        <v>5109.84</v>
      </c>
      <c r="K17" s="561">
        <v>28008.22</v>
      </c>
      <c r="L17" s="561">
        <v>343164.33</v>
      </c>
      <c r="M17" s="561">
        <v>5101.8900000000003</v>
      </c>
      <c r="N17" s="561">
        <v>709.63</v>
      </c>
      <c r="O17" s="561">
        <v>4145.72</v>
      </c>
      <c r="P17" s="561">
        <v>2005.45</v>
      </c>
      <c r="Q17" s="561">
        <v>0</v>
      </c>
      <c r="R17" s="561">
        <v>95.93</v>
      </c>
      <c r="S17" s="561">
        <v>-132.19999999999999</v>
      </c>
      <c r="T17" s="561">
        <v>1969.05</v>
      </c>
      <c r="U17" s="561">
        <v>3.94</v>
      </c>
      <c r="V17" s="561">
        <v>4618.76</v>
      </c>
      <c r="W17" s="561">
        <v>0</v>
      </c>
      <c r="X17" s="561">
        <v>0</v>
      </c>
      <c r="Y17" s="561">
        <v>63.59</v>
      </c>
      <c r="Z17" s="561">
        <v>0</v>
      </c>
      <c r="AA17" s="561">
        <v>-14696.89</v>
      </c>
      <c r="AB17" s="561">
        <v>-637.17999999999995</v>
      </c>
      <c r="AC17" s="561">
        <v>12526.25</v>
      </c>
      <c r="AD17" s="561">
        <v>0</v>
      </c>
      <c r="AE17" s="561">
        <v>0</v>
      </c>
      <c r="AF17" s="561">
        <v>0</v>
      </c>
      <c r="AG17" s="561">
        <v>0</v>
      </c>
      <c r="AH17" s="561">
        <v>0</v>
      </c>
      <c r="AI17" s="561">
        <v>0</v>
      </c>
      <c r="AJ17" s="561">
        <v>10672.05</v>
      </c>
      <c r="AK17" s="561">
        <v>592.91999999999996</v>
      </c>
      <c r="AL17" s="561">
        <v>0</v>
      </c>
      <c r="AM17" s="561">
        <v>0</v>
      </c>
      <c r="AN17" s="561">
        <v>0</v>
      </c>
      <c r="AO17" s="561">
        <v>0</v>
      </c>
      <c r="AP17" s="561">
        <v>0</v>
      </c>
      <c r="AQ17" s="561">
        <v>0</v>
      </c>
      <c r="AR17" s="561">
        <v>0</v>
      </c>
      <c r="AS17" s="561">
        <v>4570.25</v>
      </c>
      <c r="AT17" s="561">
        <v>10098.98</v>
      </c>
      <c r="AU17" s="561">
        <v>0</v>
      </c>
      <c r="AV17" s="561">
        <v>0</v>
      </c>
      <c r="AW17" s="561">
        <v>0</v>
      </c>
      <c r="AX17" s="561">
        <v>4245.05</v>
      </c>
      <c r="AY17" s="561">
        <v>44934.8</v>
      </c>
      <c r="AZ17" s="561">
        <v>2348.35</v>
      </c>
      <c r="BA17" s="561">
        <v>16382.74</v>
      </c>
      <c r="BB17" s="561">
        <v>1569.05</v>
      </c>
      <c r="BC17" s="561">
        <v>20807.169999999998</v>
      </c>
      <c r="BD17" s="561">
        <v>1171.3399999999999</v>
      </c>
      <c r="BE17" s="561">
        <v>9193.4500000000007</v>
      </c>
      <c r="BF17" s="561">
        <v>100651.95</v>
      </c>
      <c r="BG17" s="561">
        <v>6910.07</v>
      </c>
      <c r="BH17" s="561">
        <v>11807.64</v>
      </c>
      <c r="BI17" s="561">
        <v>32808.019999999997</v>
      </c>
      <c r="BJ17" s="561">
        <v>662.89</v>
      </c>
      <c r="BK17" s="561">
        <v>676.15</v>
      </c>
      <c r="BL17" s="561">
        <v>476.61</v>
      </c>
      <c r="BM17" s="561">
        <v>15862.8</v>
      </c>
      <c r="BN17" s="561">
        <v>51020.27</v>
      </c>
      <c r="BO17" s="561">
        <v>6395.06</v>
      </c>
      <c r="BP17" s="561">
        <v>15170.89</v>
      </c>
      <c r="BQ17" s="561">
        <v>5663.69</v>
      </c>
      <c r="BR17" s="561">
        <v>0</v>
      </c>
      <c r="BS17" s="561">
        <v>165.67</v>
      </c>
      <c r="BT17" s="561">
        <v>0</v>
      </c>
      <c r="BU17" s="561">
        <v>0</v>
      </c>
      <c r="BV17" s="561">
        <v>-421</v>
      </c>
      <c r="BW17" s="561">
        <v>13859.8</v>
      </c>
      <c r="BX17" s="561">
        <v>757.29</v>
      </c>
      <c r="BY17" s="561">
        <v>17235.46</v>
      </c>
      <c r="BZ17" s="561">
        <v>172141.24</v>
      </c>
      <c r="CA17" s="561">
        <v>3496.54</v>
      </c>
      <c r="CB17" s="561">
        <v>3854.46</v>
      </c>
      <c r="CC17" s="561">
        <v>244.69</v>
      </c>
      <c r="CD17" s="561">
        <v>519.96</v>
      </c>
      <c r="CE17" s="561">
        <v>279.39999999999998</v>
      </c>
      <c r="CF17" s="561">
        <v>125.9</v>
      </c>
      <c r="CG17" s="561">
        <v>160.61000000000001</v>
      </c>
      <c r="CH17" s="561">
        <v>137.32</v>
      </c>
      <c r="CI17" s="561">
        <v>89.89</v>
      </c>
      <c r="CJ17" s="561">
        <v>146.28</v>
      </c>
      <c r="CK17" s="561">
        <v>165.96</v>
      </c>
      <c r="CL17" s="561">
        <v>200.76</v>
      </c>
      <c r="CM17" s="561">
        <v>1373.38</v>
      </c>
      <c r="CN17" s="561">
        <v>553.04999999999995</v>
      </c>
      <c r="CO17" s="561">
        <v>829.58</v>
      </c>
      <c r="CP17" s="561">
        <v>553.04999999999995</v>
      </c>
      <c r="CQ17" s="561">
        <v>213.66</v>
      </c>
      <c r="CR17" s="561">
        <v>177.46</v>
      </c>
      <c r="CS17" s="561">
        <v>190.31</v>
      </c>
      <c r="CT17" s="561">
        <v>3072.25</v>
      </c>
      <c r="CU17" s="561">
        <v>5122.62</v>
      </c>
      <c r="CV17" s="561">
        <v>886.41</v>
      </c>
      <c r="CW17" s="561">
        <v>53.41</v>
      </c>
      <c r="CX17" s="561">
        <v>141.52000000000001</v>
      </c>
      <c r="CY17" s="561">
        <v>2726.2</v>
      </c>
      <c r="CZ17" s="561">
        <v>21818.13</v>
      </c>
      <c r="DA17" s="561">
        <v>0.03</v>
      </c>
      <c r="DB17" s="561">
        <v>230.7</v>
      </c>
      <c r="DC17" s="561">
        <v>0</v>
      </c>
      <c r="DD17" s="561">
        <v>0.56000000000000005</v>
      </c>
      <c r="DE17" s="561">
        <v>0</v>
      </c>
      <c r="DF17" s="561">
        <v>0</v>
      </c>
      <c r="DG17" s="561">
        <v>0</v>
      </c>
      <c r="DH17" s="561">
        <v>0.04</v>
      </c>
      <c r="DI17" s="561">
        <v>0</v>
      </c>
      <c r="DJ17" s="561">
        <v>0</v>
      </c>
      <c r="DK17" s="561">
        <v>3.63</v>
      </c>
      <c r="DL17" s="561">
        <v>7617.33</v>
      </c>
      <c r="DM17" s="561">
        <v>2659.7</v>
      </c>
      <c r="DN17" s="561">
        <v>0</v>
      </c>
      <c r="DO17" s="561">
        <v>0</v>
      </c>
      <c r="DP17" s="561">
        <v>-222.95</v>
      </c>
      <c r="DQ17" s="561">
        <v>1366.69</v>
      </c>
      <c r="DR17" s="561">
        <v>0</v>
      </c>
      <c r="DS17" s="561">
        <v>8845.25</v>
      </c>
      <c r="DT17" s="561">
        <v>0</v>
      </c>
      <c r="DU17" s="561">
        <v>20266.02</v>
      </c>
      <c r="DV17" s="561">
        <v>0</v>
      </c>
      <c r="DW17" s="561">
        <v>0</v>
      </c>
      <c r="DX17" s="561">
        <v>0</v>
      </c>
      <c r="DY17" s="561">
        <v>-358.2</v>
      </c>
      <c r="DZ17" s="561">
        <v>0</v>
      </c>
      <c r="EA17" s="561">
        <v>2.35</v>
      </c>
      <c r="EB17" s="561">
        <v>0</v>
      </c>
      <c r="EC17" s="561">
        <v>19913.84</v>
      </c>
      <c r="ED17" s="561">
        <v>22.32</v>
      </c>
      <c r="EE17" s="561">
        <v>64268.75</v>
      </c>
      <c r="EF17" s="561">
        <v>0</v>
      </c>
      <c r="EG17" s="561">
        <v>15099.49</v>
      </c>
      <c r="EH17" s="561">
        <v>0</v>
      </c>
      <c r="EI17" s="561">
        <v>0</v>
      </c>
      <c r="EJ17" s="561">
        <v>1592.89</v>
      </c>
      <c r="EK17" s="561">
        <v>0</v>
      </c>
      <c r="EL17" s="561">
        <v>0</v>
      </c>
      <c r="EM17" s="561">
        <v>0</v>
      </c>
      <c r="EN17" s="561">
        <v>15289.64</v>
      </c>
      <c r="EO17" s="561">
        <v>30797.54</v>
      </c>
      <c r="EP17" s="561">
        <v>0</v>
      </c>
      <c r="EQ17" s="561">
        <v>4471.72</v>
      </c>
      <c r="ER17" s="561">
        <v>15145.31</v>
      </c>
      <c r="ES17" s="561" t="s">
        <v>4565</v>
      </c>
      <c r="ET17" s="561">
        <v>0</v>
      </c>
      <c r="EU17" s="561">
        <v>0</v>
      </c>
      <c r="EV17" s="561">
        <v>0</v>
      </c>
      <c r="EW17" s="561">
        <v>0</v>
      </c>
      <c r="EX17" s="561">
        <v>13635</v>
      </c>
      <c r="EY17" s="561">
        <v>973.07</v>
      </c>
      <c r="EZ17" s="561">
        <v>648.85</v>
      </c>
      <c r="FA17" s="561">
        <v>10645</v>
      </c>
      <c r="FB17" s="561">
        <v>-95.81</v>
      </c>
      <c r="FC17" s="561">
        <v>479.25</v>
      </c>
      <c r="FD17" s="561">
        <v>0</v>
      </c>
      <c r="FE17" s="561">
        <v>0</v>
      </c>
      <c r="FF17" s="561">
        <v>0</v>
      </c>
      <c r="FG17" s="561">
        <v>0</v>
      </c>
      <c r="FH17" s="561">
        <v>0</v>
      </c>
      <c r="FI17" s="561">
        <v>2.99</v>
      </c>
      <c r="FJ17" s="561">
        <v>-980.93</v>
      </c>
      <c r="FK17" s="561">
        <v>4213.8500000000004</v>
      </c>
      <c r="FL17" s="561">
        <v>0.15</v>
      </c>
      <c r="FM17" s="561">
        <v>0</v>
      </c>
      <c r="FN17" s="561">
        <v>5501.3</v>
      </c>
      <c r="FO17" s="561">
        <v>9120.7999999999993</v>
      </c>
      <c r="FP17" s="561">
        <v>256.49</v>
      </c>
      <c r="FQ17" s="561">
        <v>-1016.49</v>
      </c>
      <c r="FR17" s="561">
        <v>260.44</v>
      </c>
      <c r="FS17" s="561">
        <v>0</v>
      </c>
      <c r="FT17" s="561">
        <v>395.56</v>
      </c>
      <c r="FU17" s="561">
        <v>1042.8499999999999</v>
      </c>
      <c r="FV17" s="561">
        <v>1027.32</v>
      </c>
      <c r="FW17" s="561">
        <v>0.01</v>
      </c>
      <c r="FX17" s="561">
        <v>0</v>
      </c>
      <c r="FY17" s="561">
        <v>0</v>
      </c>
      <c r="FZ17" s="561">
        <v>15.43</v>
      </c>
      <c r="GA17" s="561">
        <v>-0.02</v>
      </c>
      <c r="GB17" s="561">
        <v>1.71</v>
      </c>
      <c r="GC17" s="561">
        <v>14.01</v>
      </c>
      <c r="GD17" s="561">
        <v>-100.02</v>
      </c>
      <c r="GE17" s="561">
        <v>1253.3699999999999</v>
      </c>
      <c r="GF17" s="561">
        <v>982.73</v>
      </c>
      <c r="GG17" s="561">
        <v>0</v>
      </c>
      <c r="GH17" s="561">
        <v>768.6</v>
      </c>
      <c r="GI17" s="561">
        <v>0</v>
      </c>
      <c r="GJ17" s="561">
        <v>0</v>
      </c>
      <c r="GK17" s="561">
        <v>0</v>
      </c>
      <c r="GL17" s="561">
        <v>7393.56</v>
      </c>
      <c r="GM17" s="561">
        <v>10482.780000000001</v>
      </c>
      <c r="GN17" s="561">
        <v>-22.49</v>
      </c>
      <c r="GO17" s="561">
        <v>-2105.25</v>
      </c>
      <c r="GP17" s="561">
        <v>41.74</v>
      </c>
      <c r="GQ17" s="561">
        <v>0</v>
      </c>
      <c r="GR17" s="561">
        <v>779.76</v>
      </c>
      <c r="GS17" s="561">
        <v>21215.599999999999</v>
      </c>
      <c r="GT17" s="561">
        <v>3552.76</v>
      </c>
      <c r="GU17" s="561">
        <v>471.87</v>
      </c>
      <c r="GV17" s="561">
        <v>1032.3900000000001</v>
      </c>
      <c r="GW17" s="561">
        <v>0</v>
      </c>
      <c r="GX17" s="561">
        <v>10727.1</v>
      </c>
      <c r="GY17" s="561">
        <v>0</v>
      </c>
      <c r="GZ17" s="561">
        <v>260.23</v>
      </c>
      <c r="HA17" s="561">
        <v>0</v>
      </c>
      <c r="HB17" s="561">
        <v>0</v>
      </c>
      <c r="HC17" s="561">
        <v>-3049.25</v>
      </c>
      <c r="HD17" s="561">
        <v>9442.34</v>
      </c>
      <c r="HE17" s="561">
        <v>277.33</v>
      </c>
      <c r="HF17" s="561">
        <v>39778.74</v>
      </c>
      <c r="HG17" s="561">
        <v>0</v>
      </c>
      <c r="HH17" s="561">
        <v>0</v>
      </c>
      <c r="HI17" s="561">
        <v>0</v>
      </c>
      <c r="HJ17" s="561">
        <v>0</v>
      </c>
      <c r="HK17" s="561">
        <v>0</v>
      </c>
      <c r="HL17" s="561">
        <v>0</v>
      </c>
      <c r="HM17" s="561">
        <v>0</v>
      </c>
      <c r="HN17" s="561">
        <v>0</v>
      </c>
      <c r="HO17" s="561">
        <v>944.02</v>
      </c>
      <c r="HP17" s="561">
        <v>-1245.3599999999999</v>
      </c>
      <c r="HQ17" s="561">
        <v>0</v>
      </c>
      <c r="HR17" s="561">
        <v>0</v>
      </c>
      <c r="HS17" s="561">
        <v>0</v>
      </c>
      <c r="HT17" s="561">
        <v>309.77999999999997</v>
      </c>
      <c r="HU17" s="561">
        <v>0</v>
      </c>
      <c r="HV17" s="561">
        <v>-446.89</v>
      </c>
      <c r="HW17" s="561">
        <v>287.99</v>
      </c>
      <c r="HX17" s="561">
        <v>2891.17</v>
      </c>
      <c r="HY17" s="561">
        <v>362.7</v>
      </c>
      <c r="HZ17" s="561">
        <v>-769.62</v>
      </c>
      <c r="IA17" s="561">
        <v>410.6</v>
      </c>
      <c r="IB17" s="561">
        <v>-44.62</v>
      </c>
      <c r="IC17" s="561">
        <v>575.20000000000005</v>
      </c>
      <c r="ID17" s="561">
        <v>0</v>
      </c>
      <c r="IE17" s="561">
        <v>3006.01</v>
      </c>
      <c r="IF17" s="561">
        <v>0</v>
      </c>
      <c r="IG17" s="561">
        <v>0</v>
      </c>
      <c r="IH17" s="561">
        <v>24513.13</v>
      </c>
      <c r="II17" s="561">
        <v>30794.11</v>
      </c>
      <c r="IJ17" s="561">
        <v>2969.75</v>
      </c>
      <c r="IK17" s="561">
        <v>8093.02</v>
      </c>
      <c r="IL17" s="561">
        <v>20842.84</v>
      </c>
      <c r="IM17" s="561">
        <v>0</v>
      </c>
      <c r="IN17" s="561">
        <v>306.08999999999997</v>
      </c>
      <c r="IO17" s="561">
        <v>0</v>
      </c>
      <c r="IP17" s="561">
        <v>0</v>
      </c>
      <c r="IQ17" s="561">
        <v>0</v>
      </c>
      <c r="IR17" s="561">
        <v>343164.33</v>
      </c>
      <c r="IS17" s="561">
        <v>10672.05</v>
      </c>
      <c r="IT17" s="561">
        <v>100651.95</v>
      </c>
      <c r="IU17" s="561">
        <v>172141.24</v>
      </c>
      <c r="IV17" s="561">
        <v>21818.13</v>
      </c>
      <c r="IW17" s="561">
        <v>19913.84</v>
      </c>
      <c r="IX17" s="561">
        <v>9120.7999999999993</v>
      </c>
      <c r="IY17" s="561">
        <v>21215.599999999999</v>
      </c>
      <c r="IZ17" s="561">
        <v>9442.34</v>
      </c>
      <c r="JA17" s="561">
        <v>0</v>
      </c>
      <c r="JB17" s="561">
        <v>0</v>
      </c>
      <c r="JC17" s="561">
        <v>30794.11</v>
      </c>
      <c r="JD17" s="561">
        <v>0</v>
      </c>
      <c r="JE17" s="561">
        <v>738934.39</v>
      </c>
      <c r="JF17" s="561">
        <v>114821.22</v>
      </c>
      <c r="JG17" s="561">
        <v>28803.05</v>
      </c>
      <c r="JH17" s="561">
        <v>19834.96</v>
      </c>
      <c r="JI17" s="561">
        <v>0</v>
      </c>
      <c r="JJ17" s="561">
        <v>0</v>
      </c>
      <c r="JK17" s="561">
        <v>0</v>
      </c>
      <c r="JL17" s="561">
        <v>0</v>
      </c>
      <c r="JM17" s="561">
        <v>16495.45</v>
      </c>
      <c r="JN17" s="561">
        <v>506.34</v>
      </c>
      <c r="JO17" s="561">
        <v>1828.24</v>
      </c>
      <c r="JP17" s="561">
        <v>0</v>
      </c>
      <c r="JQ17" s="561">
        <v>3310.58</v>
      </c>
      <c r="JR17" s="561">
        <v>0</v>
      </c>
      <c r="JS17" s="561">
        <v>0</v>
      </c>
      <c r="JT17" s="561">
        <v>0</v>
      </c>
      <c r="JU17" s="561">
        <v>0</v>
      </c>
      <c r="JV17" s="561">
        <v>924534.23</v>
      </c>
      <c r="JW17" s="561">
        <v>371.09</v>
      </c>
      <c r="JX17" s="561">
        <v>16266.02</v>
      </c>
      <c r="JY17" s="561">
        <v>0</v>
      </c>
      <c r="JZ17" s="561">
        <v>0</v>
      </c>
      <c r="KA17" s="561">
        <v>0</v>
      </c>
      <c r="KB17" s="561">
        <v>0</v>
      </c>
      <c r="KC17" s="561">
        <v>7697.94</v>
      </c>
      <c r="KD17" s="561">
        <v>0</v>
      </c>
      <c r="KE17" s="561">
        <v>42218.16</v>
      </c>
      <c r="KF17" s="561">
        <v>-15145.31</v>
      </c>
      <c r="KG17" s="561">
        <v>975942.13</v>
      </c>
      <c r="KH17" s="561">
        <v>-17662.89</v>
      </c>
      <c r="KI17" s="561">
        <v>0</v>
      </c>
      <c r="KJ17" s="561">
        <v>0</v>
      </c>
      <c r="KK17" s="561">
        <v>0</v>
      </c>
      <c r="KL17" s="561">
        <v>-166471.04999999999</v>
      </c>
      <c r="KM17" s="561">
        <v>0</v>
      </c>
      <c r="KN17" s="561">
        <v>-22327.1</v>
      </c>
      <c r="KO17" s="561">
        <v>0</v>
      </c>
      <c r="KP17" s="561">
        <v>0</v>
      </c>
      <c r="KQ17" s="561">
        <v>0</v>
      </c>
      <c r="KR17" s="561">
        <v>769481.09</v>
      </c>
      <c r="KS17" s="561">
        <v>0</v>
      </c>
      <c r="KT17" s="561">
        <v>-426665.54</v>
      </c>
      <c r="KU17" s="561">
        <v>342815.55</v>
      </c>
      <c r="KV17" s="561">
        <v>0</v>
      </c>
      <c r="KW17" s="561">
        <v>3978.53</v>
      </c>
      <c r="KX17" s="561">
        <v>-2470.61</v>
      </c>
      <c r="KY17" s="561">
        <v>-478.17</v>
      </c>
      <c r="KZ17" s="561">
        <v>-24531.759999999998</v>
      </c>
      <c r="LA17" s="561">
        <v>0</v>
      </c>
      <c r="LB17" s="561">
        <v>-8272.92</v>
      </c>
      <c r="LC17" s="561">
        <v>0</v>
      </c>
      <c r="LD17" s="561">
        <v>-81685.81</v>
      </c>
      <c r="LE17" s="561">
        <v>0</v>
      </c>
      <c r="LF17" s="561">
        <v>0</v>
      </c>
      <c r="LG17" s="561">
        <v>229355</v>
      </c>
      <c r="LH17" s="561">
        <v>10580</v>
      </c>
      <c r="LI17" s="561">
        <v>0</v>
      </c>
      <c r="LJ17" s="561">
        <v>10775.41</v>
      </c>
      <c r="LK17" s="561">
        <v>817.93</v>
      </c>
      <c r="LL17" s="561">
        <v>71968.17</v>
      </c>
      <c r="LM17" s="561">
        <v>15081.13</v>
      </c>
      <c r="LN17" s="561">
        <v>14558.53</v>
      </c>
      <c r="LO17" s="561">
        <v>0</v>
      </c>
      <c r="LP17" s="561">
        <v>8304.7999999999993</v>
      </c>
      <c r="LQ17" s="561">
        <v>339.76</v>
      </c>
      <c r="LR17" s="561">
        <v>47436.41</v>
      </c>
      <c r="LS17" s="561">
        <v>15081.13</v>
      </c>
      <c r="LT17" s="561">
        <v>0</v>
      </c>
      <c r="LU17" s="561">
        <v>81768.53</v>
      </c>
      <c r="LV17" s="561">
        <v>0</v>
      </c>
      <c r="LW17" s="561">
        <v>-175033.54</v>
      </c>
      <c r="LX17" s="561">
        <v>-9762</v>
      </c>
      <c r="LY17" s="561">
        <v>49178</v>
      </c>
      <c r="LZ17" s="561">
        <v>-14433.01</v>
      </c>
      <c r="MA17" s="561">
        <v>0</v>
      </c>
      <c r="MB17" s="561">
        <v>0</v>
      </c>
      <c r="MC17" s="561">
        <v>80961.13</v>
      </c>
      <c r="MD17" s="561">
        <v>80312.28</v>
      </c>
      <c r="ME17" s="561">
        <v>648.85</v>
      </c>
      <c r="MF17" s="561">
        <v>10645</v>
      </c>
      <c r="MG17" s="561">
        <v>11293.85</v>
      </c>
      <c r="MH17" s="561">
        <v>11069.66</v>
      </c>
      <c r="MI17" s="561">
        <v>15793.6</v>
      </c>
      <c r="MJ17" s="561">
        <v>26863.26</v>
      </c>
      <c r="MK17" s="561">
        <v>0</v>
      </c>
      <c r="ML17" s="561">
        <v>0</v>
      </c>
      <c r="MM17" s="561">
        <v>15134.43</v>
      </c>
      <c r="MN17" s="561">
        <v>2423.13</v>
      </c>
      <c r="MO17" s="561">
        <v>13026</v>
      </c>
      <c r="MP17" s="561">
        <v>16852.849999999999</v>
      </c>
      <c r="MQ17" s="561">
        <v>343164.33</v>
      </c>
      <c r="MR17" s="561">
        <v>10672.05</v>
      </c>
      <c r="MS17" s="561">
        <v>100651.95</v>
      </c>
      <c r="MT17" s="561">
        <v>172141.24</v>
      </c>
      <c r="MU17" s="561">
        <v>21818.13</v>
      </c>
      <c r="MV17" s="561">
        <v>19913.84</v>
      </c>
      <c r="MW17" s="561">
        <v>9120.7999999999993</v>
      </c>
      <c r="MX17" s="561">
        <v>21215.599999999999</v>
      </c>
      <c r="MY17" s="561">
        <v>9442.34</v>
      </c>
      <c r="MZ17" s="561">
        <v>0</v>
      </c>
      <c r="NA17" s="561">
        <v>0</v>
      </c>
      <c r="NB17" s="561">
        <v>30794.11</v>
      </c>
      <c r="NC17" s="561">
        <v>0</v>
      </c>
      <c r="ND17" s="561">
        <v>738934.39</v>
      </c>
      <c r="NE17" s="561">
        <v>0</v>
      </c>
      <c r="NF17" s="561">
        <v>0</v>
      </c>
      <c r="NG17" s="561">
        <v>0</v>
      </c>
      <c r="NH17" s="561">
        <v>0</v>
      </c>
      <c r="NI17" s="561">
        <v>0</v>
      </c>
      <c r="NJ17" s="561">
        <v>0</v>
      </c>
      <c r="NK17" s="561">
        <v>0</v>
      </c>
      <c r="NL17" s="561">
        <v>0</v>
      </c>
      <c r="NM17" s="561">
        <v>0</v>
      </c>
      <c r="NN17" s="561">
        <v>0</v>
      </c>
      <c r="NO17" s="561">
        <v>0</v>
      </c>
      <c r="NP17" s="561">
        <v>0</v>
      </c>
      <c r="NQ17" s="561">
        <v>0</v>
      </c>
      <c r="NR17" s="561">
        <v>0</v>
      </c>
      <c r="NS17" s="561">
        <v>0</v>
      </c>
      <c r="NT17" s="561">
        <v>0</v>
      </c>
      <c r="NU17" s="561">
        <v>0</v>
      </c>
      <c r="NV17" s="561">
        <v>0</v>
      </c>
      <c r="NW17" s="561">
        <v>0</v>
      </c>
      <c r="NX17" s="561">
        <v>0</v>
      </c>
      <c r="NY17" s="561">
        <v>0</v>
      </c>
      <c r="NZ17" s="561">
        <v>0</v>
      </c>
      <c r="OA17" s="561">
        <v>0</v>
      </c>
      <c r="OB17" s="561">
        <v>0</v>
      </c>
      <c r="OC17" s="561">
        <v>0</v>
      </c>
      <c r="OD17" s="561">
        <v>0</v>
      </c>
      <c r="OE17" s="561">
        <v>0</v>
      </c>
      <c r="OF17" s="561">
        <v>0</v>
      </c>
      <c r="OG17" s="561">
        <v>0</v>
      </c>
      <c r="OH17" s="561">
        <v>0</v>
      </c>
      <c r="OI17" s="561">
        <v>0</v>
      </c>
      <c r="OJ17" s="561">
        <v>0</v>
      </c>
      <c r="OK17" s="561">
        <v>0</v>
      </c>
      <c r="OL17" s="561">
        <v>0</v>
      </c>
      <c r="OM17" s="561">
        <v>633.01</v>
      </c>
      <c r="ON17" s="561">
        <v>2677.57</v>
      </c>
      <c r="OO17" s="561">
        <v>0</v>
      </c>
      <c r="OP17" s="561">
        <v>0</v>
      </c>
      <c r="OQ17" s="561">
        <v>0</v>
      </c>
      <c r="OR17" s="561">
        <v>0</v>
      </c>
      <c r="OS17" s="561">
        <v>0</v>
      </c>
      <c r="OT17" s="561">
        <v>0</v>
      </c>
      <c r="OU17" s="561">
        <v>0</v>
      </c>
      <c r="OV17" s="561">
        <v>3167.28451</v>
      </c>
      <c r="OW17" s="561">
        <v>0</v>
      </c>
      <c r="OX17" s="561">
        <v>3310.58</v>
      </c>
      <c r="OY17" s="561">
        <v>0</v>
      </c>
      <c r="OZ17" s="561">
        <v>0</v>
      </c>
      <c r="PA17" s="561">
        <v>0</v>
      </c>
      <c r="PB17" s="561">
        <v>0</v>
      </c>
      <c r="PC17" s="561">
        <v>0</v>
      </c>
      <c r="PD17" s="561">
        <v>0</v>
      </c>
      <c r="PE17" s="561">
        <v>0</v>
      </c>
      <c r="PF17" s="561">
        <v>0</v>
      </c>
      <c r="PG17" s="561">
        <v>0</v>
      </c>
      <c r="PH17" s="561">
        <v>0</v>
      </c>
      <c r="PI17" s="561">
        <v>0</v>
      </c>
      <c r="PJ17" s="561">
        <v>0</v>
      </c>
    </row>
    <row r="18" spans="1:426" ht="14" x14ac:dyDescent="0.3">
      <c r="A18" t="s">
        <v>2480</v>
      </c>
      <c r="B18" t="s">
        <v>2481</v>
      </c>
      <c r="C18" t="s">
        <v>2482</v>
      </c>
      <c r="E18" t="s">
        <v>379</v>
      </c>
      <c r="F18" s="561">
        <v>20962</v>
      </c>
      <c r="G18" s="561">
        <v>52588</v>
      </c>
      <c r="H18" s="561">
        <v>18249</v>
      </c>
      <c r="I18" s="561">
        <v>8290</v>
      </c>
      <c r="J18" s="561">
        <v>4538</v>
      </c>
      <c r="K18" s="561">
        <v>39600</v>
      </c>
      <c r="L18" s="561">
        <v>144227</v>
      </c>
      <c r="M18" s="561">
        <v>0</v>
      </c>
      <c r="N18" s="561">
        <v>2971</v>
      </c>
      <c r="O18" s="561">
        <v>0</v>
      </c>
      <c r="P18" s="561">
        <v>90</v>
      </c>
      <c r="Q18" s="561">
        <v>731</v>
      </c>
      <c r="R18" s="561">
        <v>0</v>
      </c>
      <c r="S18" s="561">
        <v>-8</v>
      </c>
      <c r="T18" s="561">
        <v>-70</v>
      </c>
      <c r="U18" s="561">
        <v>1734</v>
      </c>
      <c r="V18" s="561">
        <v>1890</v>
      </c>
      <c r="W18" s="561">
        <v>0</v>
      </c>
      <c r="X18" s="561">
        <v>0</v>
      </c>
      <c r="Y18" s="561">
        <v>264</v>
      </c>
      <c r="Z18" s="561">
        <v>0</v>
      </c>
      <c r="AA18" s="561">
        <v>-329</v>
      </c>
      <c r="AB18" s="561">
        <v>-1077</v>
      </c>
      <c r="AC18" s="561">
        <v>0</v>
      </c>
      <c r="AD18" s="561">
        <v>0</v>
      </c>
      <c r="AE18" s="561">
        <v>0</v>
      </c>
      <c r="AF18" s="561">
        <v>0</v>
      </c>
      <c r="AG18" s="561">
        <v>0</v>
      </c>
      <c r="AH18" s="561">
        <v>0</v>
      </c>
      <c r="AI18" s="561">
        <v>0</v>
      </c>
      <c r="AJ18" s="561">
        <v>6196</v>
      </c>
      <c r="AK18" s="561">
        <v>0</v>
      </c>
      <c r="AL18" s="561">
        <v>0</v>
      </c>
      <c r="AM18" s="561">
        <v>0</v>
      </c>
      <c r="AN18" s="561">
        <v>0</v>
      </c>
      <c r="AO18" s="561">
        <v>0</v>
      </c>
      <c r="AP18" s="561">
        <v>0</v>
      </c>
      <c r="AQ18" s="561">
        <v>0</v>
      </c>
      <c r="AR18" s="561">
        <v>0</v>
      </c>
      <c r="AS18" s="561">
        <v>692</v>
      </c>
      <c r="AT18" s="561">
        <v>0</v>
      </c>
      <c r="AU18" s="561">
        <v>0</v>
      </c>
      <c r="AV18" s="561">
        <v>0</v>
      </c>
      <c r="AW18" s="561">
        <v>0</v>
      </c>
      <c r="AX18" s="561">
        <v>6749</v>
      </c>
      <c r="AY18" s="561">
        <v>45839</v>
      </c>
      <c r="AZ18" s="561">
        <v>194</v>
      </c>
      <c r="BA18" s="561">
        <v>7401</v>
      </c>
      <c r="BB18" s="561">
        <v>2544</v>
      </c>
      <c r="BC18" s="561">
        <v>16082</v>
      </c>
      <c r="BD18" s="561">
        <v>0</v>
      </c>
      <c r="BE18" s="561">
        <v>3363</v>
      </c>
      <c r="BF18" s="561">
        <v>82172</v>
      </c>
      <c r="BG18" s="561">
        <v>0</v>
      </c>
      <c r="BH18" s="561">
        <v>6209</v>
      </c>
      <c r="BI18" s="561">
        <v>17984</v>
      </c>
      <c r="BJ18" s="561">
        <v>163</v>
      </c>
      <c r="BK18" s="561">
        <v>43</v>
      </c>
      <c r="BL18" s="561">
        <v>1184</v>
      </c>
      <c r="BM18" s="561">
        <v>8767</v>
      </c>
      <c r="BN18" s="561">
        <v>24788</v>
      </c>
      <c r="BO18" s="561">
        <v>7538</v>
      </c>
      <c r="BP18" s="561">
        <v>3558</v>
      </c>
      <c r="BQ18" s="561">
        <v>1971</v>
      </c>
      <c r="BR18" s="561">
        <v>0</v>
      </c>
      <c r="BS18" s="561">
        <v>543</v>
      </c>
      <c r="BT18" s="561">
        <v>0</v>
      </c>
      <c r="BU18" s="561">
        <v>1216</v>
      </c>
      <c r="BV18" s="561">
        <v>64</v>
      </c>
      <c r="BW18" s="561">
        <v>11293</v>
      </c>
      <c r="BX18" s="561">
        <v>1463</v>
      </c>
      <c r="BY18" s="561">
        <v>1811</v>
      </c>
      <c r="BZ18" s="561">
        <v>88595</v>
      </c>
      <c r="CA18" s="561">
        <v>0</v>
      </c>
      <c r="CB18" s="561">
        <v>2009</v>
      </c>
      <c r="CC18" s="561">
        <v>277</v>
      </c>
      <c r="CD18" s="561">
        <v>305</v>
      </c>
      <c r="CE18" s="561">
        <v>181</v>
      </c>
      <c r="CF18" s="561">
        <v>228</v>
      </c>
      <c r="CG18" s="561">
        <v>475</v>
      </c>
      <c r="CH18" s="561">
        <v>241</v>
      </c>
      <c r="CI18" s="561">
        <v>671</v>
      </c>
      <c r="CJ18" s="561">
        <v>301</v>
      </c>
      <c r="CK18" s="561">
        <v>93</v>
      </c>
      <c r="CL18" s="561">
        <v>94</v>
      </c>
      <c r="CM18" s="561">
        <v>3234</v>
      </c>
      <c r="CN18" s="561">
        <v>1576</v>
      </c>
      <c r="CO18" s="561">
        <v>405</v>
      </c>
      <c r="CP18" s="561">
        <v>1191</v>
      </c>
      <c r="CQ18" s="561">
        <v>381</v>
      </c>
      <c r="CR18" s="561">
        <v>2005</v>
      </c>
      <c r="CS18" s="561">
        <v>117</v>
      </c>
      <c r="CT18" s="561">
        <v>3017</v>
      </c>
      <c r="CU18" s="561">
        <v>1790</v>
      </c>
      <c r="CV18" s="561">
        <v>2856</v>
      </c>
      <c r="CW18" s="561">
        <v>0</v>
      </c>
      <c r="CX18" s="561">
        <v>437</v>
      </c>
      <c r="CY18" s="561">
        <v>3960</v>
      </c>
      <c r="CZ18" s="561">
        <v>25844</v>
      </c>
      <c r="DA18" s="561">
        <v>0</v>
      </c>
      <c r="DB18" s="561">
        <v>0</v>
      </c>
      <c r="DC18" s="561">
        <v>0</v>
      </c>
      <c r="DD18" s="561">
        <v>0</v>
      </c>
      <c r="DE18" s="561">
        <v>0</v>
      </c>
      <c r="DF18" s="561">
        <v>0</v>
      </c>
      <c r="DG18" s="561">
        <v>0</v>
      </c>
      <c r="DH18" s="561">
        <v>317</v>
      </c>
      <c r="DI18" s="561">
        <v>0</v>
      </c>
      <c r="DJ18" s="561">
        <v>0</v>
      </c>
      <c r="DK18" s="561">
        <v>41</v>
      </c>
      <c r="DL18" s="561">
        <v>0</v>
      </c>
      <c r="DM18" s="561">
        <v>-58</v>
      </c>
      <c r="DN18" s="561">
        <v>312</v>
      </c>
      <c r="DO18" s="561">
        <v>426</v>
      </c>
      <c r="DP18" s="561">
        <v>0</v>
      </c>
      <c r="DQ18" s="561">
        <v>118</v>
      </c>
      <c r="DR18" s="561">
        <v>0</v>
      </c>
      <c r="DS18" s="561">
        <v>0</v>
      </c>
      <c r="DT18" s="561">
        <v>926</v>
      </c>
      <c r="DU18" s="561">
        <v>1724</v>
      </c>
      <c r="DV18" s="561">
        <v>212</v>
      </c>
      <c r="DW18" s="561">
        <v>187</v>
      </c>
      <c r="DX18" s="561">
        <v>4</v>
      </c>
      <c r="DY18" s="561">
        <v>1431</v>
      </c>
      <c r="DZ18" s="561">
        <v>-22</v>
      </c>
      <c r="EA18" s="561">
        <v>0</v>
      </c>
      <c r="EB18" s="561">
        <v>0</v>
      </c>
      <c r="EC18" s="561">
        <v>3894</v>
      </c>
      <c r="ED18" s="561">
        <v>0</v>
      </c>
      <c r="EE18" s="561">
        <v>83197</v>
      </c>
      <c r="EF18" s="561">
        <v>303</v>
      </c>
      <c r="EG18" s="561">
        <v>1175</v>
      </c>
      <c r="EH18" s="561">
        <v>900</v>
      </c>
      <c r="EI18" s="561">
        <v>0</v>
      </c>
      <c r="EJ18" s="561">
        <v>611</v>
      </c>
      <c r="EK18" s="561">
        <v>0</v>
      </c>
      <c r="EL18" s="561">
        <v>0</v>
      </c>
      <c r="EM18" s="561">
        <v>0</v>
      </c>
      <c r="EN18" s="561">
        <v>29295</v>
      </c>
      <c r="EO18" s="561">
        <v>14868</v>
      </c>
      <c r="EP18" s="561">
        <v>7684</v>
      </c>
      <c r="EQ18" s="561">
        <v>922</v>
      </c>
      <c r="ER18" s="561">
        <v>7417</v>
      </c>
      <c r="ES18" s="561" t="s">
        <v>4565</v>
      </c>
      <c r="ET18" s="561">
        <v>22276</v>
      </c>
      <c r="EU18" s="561">
        <v>2299</v>
      </c>
      <c r="EV18" s="561">
        <v>121</v>
      </c>
      <c r="EW18" s="561">
        <v>0</v>
      </c>
      <c r="EX18" s="561">
        <v>3574</v>
      </c>
      <c r="EY18" s="561">
        <v>29</v>
      </c>
      <c r="EZ18" s="561">
        <v>-2299</v>
      </c>
      <c r="FA18" s="561">
        <v>20127</v>
      </c>
      <c r="FB18" s="561">
        <v>245</v>
      </c>
      <c r="FC18" s="561">
        <v>89</v>
      </c>
      <c r="FD18" s="561">
        <v>729</v>
      </c>
      <c r="FE18" s="561">
        <v>2380</v>
      </c>
      <c r="FF18" s="561">
        <v>710</v>
      </c>
      <c r="FG18" s="561">
        <v>-1</v>
      </c>
      <c r="FH18" s="561">
        <v>0</v>
      </c>
      <c r="FI18" s="561">
        <v>202</v>
      </c>
      <c r="FJ18" s="561">
        <v>480</v>
      </c>
      <c r="FK18" s="561">
        <v>307</v>
      </c>
      <c r="FL18" s="561">
        <v>149</v>
      </c>
      <c r="FM18" s="561">
        <v>0</v>
      </c>
      <c r="FN18" s="561">
        <v>3774</v>
      </c>
      <c r="FO18" s="561">
        <v>9064</v>
      </c>
      <c r="FP18" s="561">
        <v>0</v>
      </c>
      <c r="FQ18" s="561">
        <v>-568</v>
      </c>
      <c r="FR18" s="561">
        <v>400</v>
      </c>
      <c r="FS18" s="561">
        <v>0</v>
      </c>
      <c r="FT18" s="561">
        <v>727</v>
      </c>
      <c r="FU18" s="561">
        <v>424</v>
      </c>
      <c r="FV18" s="561">
        <v>0</v>
      </c>
      <c r="FW18" s="561">
        <v>92</v>
      </c>
      <c r="FX18" s="561">
        <v>0</v>
      </c>
      <c r="FY18" s="561">
        <v>0</v>
      </c>
      <c r="FZ18" s="561">
        <v>6</v>
      </c>
      <c r="GA18" s="561">
        <v>3</v>
      </c>
      <c r="GB18" s="561">
        <v>211</v>
      </c>
      <c r="GC18" s="561">
        <v>-149</v>
      </c>
      <c r="GD18" s="561">
        <v>0</v>
      </c>
      <c r="GE18" s="561">
        <v>2750</v>
      </c>
      <c r="GF18" s="561">
        <v>0</v>
      </c>
      <c r="GG18" s="561">
        <v>0</v>
      </c>
      <c r="GH18" s="561">
        <v>1021</v>
      </c>
      <c r="GI18" s="561">
        <v>0</v>
      </c>
      <c r="GJ18" s="561">
        <v>0</v>
      </c>
      <c r="GK18" s="561">
        <v>0</v>
      </c>
      <c r="GL18" s="561">
        <v>3178</v>
      </c>
      <c r="GM18" s="561">
        <v>7307</v>
      </c>
      <c r="GN18" s="561">
        <v>11841</v>
      </c>
      <c r="GO18" s="561">
        <v>-715</v>
      </c>
      <c r="GP18" s="561">
        <v>-181</v>
      </c>
      <c r="GQ18" s="561">
        <v>0</v>
      </c>
      <c r="GR18" s="561">
        <v>0</v>
      </c>
      <c r="GS18" s="561">
        <v>26347</v>
      </c>
      <c r="GT18" s="561">
        <v>0</v>
      </c>
      <c r="GU18" s="561">
        <v>173</v>
      </c>
      <c r="GV18" s="561">
        <v>119</v>
      </c>
      <c r="GW18" s="561">
        <v>0</v>
      </c>
      <c r="GX18" s="561">
        <v>633</v>
      </c>
      <c r="GY18" s="561">
        <v>19</v>
      </c>
      <c r="GZ18" s="561">
        <v>-1296</v>
      </c>
      <c r="HA18" s="561">
        <v>0</v>
      </c>
      <c r="HB18" s="561">
        <v>892</v>
      </c>
      <c r="HC18" s="561">
        <v>4372</v>
      </c>
      <c r="HD18" s="561">
        <v>4912</v>
      </c>
      <c r="HE18" s="561">
        <v>0</v>
      </c>
      <c r="HF18" s="561">
        <v>40323</v>
      </c>
      <c r="HG18" s="561">
        <v>0</v>
      </c>
      <c r="HH18" s="561">
        <v>0</v>
      </c>
      <c r="HI18" s="561">
        <v>0</v>
      </c>
      <c r="HJ18" s="561">
        <v>0</v>
      </c>
      <c r="HK18" s="561">
        <v>0</v>
      </c>
      <c r="HL18" s="561">
        <v>0</v>
      </c>
      <c r="HM18" s="561">
        <v>0</v>
      </c>
      <c r="HN18" s="561">
        <v>0</v>
      </c>
      <c r="HO18" s="561">
        <v>6016</v>
      </c>
      <c r="HP18" s="561">
        <v>495</v>
      </c>
      <c r="HQ18" s="561">
        <v>0</v>
      </c>
      <c r="HR18" s="561">
        <v>0</v>
      </c>
      <c r="HS18" s="561">
        <v>5</v>
      </c>
      <c r="HT18" s="561">
        <v>0</v>
      </c>
      <c r="HU18" s="561">
        <v>0</v>
      </c>
      <c r="HV18" s="561">
        <v>-108</v>
      </c>
      <c r="HW18" s="561">
        <v>-7</v>
      </c>
      <c r="HX18" s="561">
        <v>1433</v>
      </c>
      <c r="HY18" s="561">
        <v>0</v>
      </c>
      <c r="HZ18" s="561">
        <v>76</v>
      </c>
      <c r="IA18" s="561">
        <v>4961</v>
      </c>
      <c r="IB18" s="561">
        <v>0</v>
      </c>
      <c r="IC18" s="561">
        <v>935</v>
      </c>
      <c r="ID18" s="561">
        <v>0</v>
      </c>
      <c r="IE18" s="561">
        <v>3625</v>
      </c>
      <c r="IF18" s="561">
        <v>0</v>
      </c>
      <c r="IG18" s="561">
        <v>0</v>
      </c>
      <c r="IH18" s="561">
        <v>5412</v>
      </c>
      <c r="II18" s="561">
        <v>22843</v>
      </c>
      <c r="IJ18" s="561">
        <v>0</v>
      </c>
      <c r="IK18" s="561">
        <v>0</v>
      </c>
      <c r="IL18" s="561">
        <v>229</v>
      </c>
      <c r="IM18" s="561">
        <v>0</v>
      </c>
      <c r="IN18" s="561">
        <v>0</v>
      </c>
      <c r="IO18" s="561">
        <v>0</v>
      </c>
      <c r="IP18" s="561">
        <v>0</v>
      </c>
      <c r="IQ18" s="561">
        <v>0</v>
      </c>
      <c r="IR18" s="561">
        <v>144227</v>
      </c>
      <c r="IS18" s="561">
        <v>6196</v>
      </c>
      <c r="IT18" s="561">
        <v>82172</v>
      </c>
      <c r="IU18" s="561">
        <v>88595</v>
      </c>
      <c r="IV18" s="561">
        <v>25844</v>
      </c>
      <c r="IW18" s="561">
        <v>3894</v>
      </c>
      <c r="IX18" s="561">
        <v>9064</v>
      </c>
      <c r="IY18" s="561">
        <v>26347</v>
      </c>
      <c r="IZ18" s="561">
        <v>4912</v>
      </c>
      <c r="JA18" s="561">
        <v>0</v>
      </c>
      <c r="JB18" s="561">
        <v>0</v>
      </c>
      <c r="JC18" s="561">
        <v>22843</v>
      </c>
      <c r="JD18" s="561">
        <v>0</v>
      </c>
      <c r="JE18" s="561">
        <v>414094</v>
      </c>
      <c r="JF18" s="561">
        <v>18065.669999999998</v>
      </c>
      <c r="JG18" s="561">
        <v>778.4</v>
      </c>
      <c r="JH18" s="561">
        <v>23371.25</v>
      </c>
      <c r="JI18" s="561">
        <v>0</v>
      </c>
      <c r="JJ18" s="561">
        <v>0</v>
      </c>
      <c r="JK18" s="561">
        <v>514</v>
      </c>
      <c r="JL18" s="561">
        <v>9915</v>
      </c>
      <c r="JM18" s="561">
        <v>0</v>
      </c>
      <c r="JN18" s="561">
        <v>0</v>
      </c>
      <c r="JO18" s="561">
        <v>738</v>
      </c>
      <c r="JP18" s="561">
        <v>0</v>
      </c>
      <c r="JQ18" s="561">
        <v>7220.62</v>
      </c>
      <c r="JR18" s="561">
        <v>0</v>
      </c>
      <c r="JS18" s="561">
        <v>0</v>
      </c>
      <c r="JT18" s="561">
        <v>0</v>
      </c>
      <c r="JU18" s="561">
        <v>0</v>
      </c>
      <c r="JV18" s="561">
        <v>474696.94</v>
      </c>
      <c r="JW18" s="561">
        <v>124</v>
      </c>
      <c r="JX18" s="561">
        <v>7262</v>
      </c>
      <c r="JY18" s="561">
        <v>0</v>
      </c>
      <c r="JZ18" s="561">
        <v>0</v>
      </c>
      <c r="KA18" s="561">
        <v>0</v>
      </c>
      <c r="KB18" s="561">
        <v>2292</v>
      </c>
      <c r="KC18" s="561">
        <v>11089</v>
      </c>
      <c r="KD18" s="561">
        <v>677</v>
      </c>
      <c r="KE18" s="561">
        <v>29056</v>
      </c>
      <c r="KF18" s="561">
        <v>0</v>
      </c>
      <c r="KG18" s="561">
        <v>525196.93999999994</v>
      </c>
      <c r="KH18" s="561">
        <v>-3591</v>
      </c>
      <c r="KI18" s="561">
        <v>0</v>
      </c>
      <c r="KJ18" s="561">
        <v>585</v>
      </c>
      <c r="KK18" s="561">
        <v>0</v>
      </c>
      <c r="KL18" s="561">
        <v>-52783.81</v>
      </c>
      <c r="KM18" s="561">
        <v>0</v>
      </c>
      <c r="KN18" s="561">
        <v>0</v>
      </c>
      <c r="KO18" s="561">
        <v>0</v>
      </c>
      <c r="KP18" s="561">
        <v>0</v>
      </c>
      <c r="KQ18" s="561">
        <v>0</v>
      </c>
      <c r="KR18" s="561">
        <v>469407.13</v>
      </c>
      <c r="KS18" s="561">
        <v>0</v>
      </c>
      <c r="KT18" s="561">
        <v>-247971.27</v>
      </c>
      <c r="KU18" s="561">
        <v>221435.86</v>
      </c>
      <c r="KV18" s="561">
        <v>0</v>
      </c>
      <c r="KW18" s="561">
        <v>-326</v>
      </c>
      <c r="KX18" s="561">
        <v>-1744</v>
      </c>
      <c r="KY18" s="561">
        <v>0</v>
      </c>
      <c r="KZ18" s="561">
        <v>6981</v>
      </c>
      <c r="LA18" s="561">
        <v>0</v>
      </c>
      <c r="LB18" s="561">
        <v>-16203</v>
      </c>
      <c r="LC18" s="561">
        <v>0</v>
      </c>
      <c r="LD18" s="561">
        <v>-86439.12</v>
      </c>
      <c r="LE18" s="561">
        <v>-3572</v>
      </c>
      <c r="LF18" s="561">
        <v>0</v>
      </c>
      <c r="LG18" s="561">
        <v>120133</v>
      </c>
      <c r="LH18" s="561">
        <v>3340</v>
      </c>
      <c r="LI18" s="561">
        <v>0</v>
      </c>
      <c r="LJ18" s="561">
        <v>5743</v>
      </c>
      <c r="LK18" s="561">
        <v>0</v>
      </c>
      <c r="LL18" s="561">
        <v>190287</v>
      </c>
      <c r="LM18" s="561">
        <v>20000</v>
      </c>
      <c r="LN18" s="561">
        <v>3014</v>
      </c>
      <c r="LO18" s="561">
        <v>0</v>
      </c>
      <c r="LP18" s="561">
        <v>3999</v>
      </c>
      <c r="LQ18" s="561">
        <v>0</v>
      </c>
      <c r="LR18" s="561">
        <v>197268</v>
      </c>
      <c r="LS18" s="561">
        <v>20000</v>
      </c>
      <c r="LT18" s="561">
        <v>0</v>
      </c>
      <c r="LU18" s="561">
        <v>47674</v>
      </c>
      <c r="LV18" s="561">
        <v>0</v>
      </c>
      <c r="LW18" s="561">
        <v>1602</v>
      </c>
      <c r="LX18" s="561">
        <v>-41818</v>
      </c>
      <c r="LY18" s="561">
        <v>32210</v>
      </c>
      <c r="LZ18" s="561">
        <v>39668</v>
      </c>
      <c r="MA18" s="561">
        <v>0</v>
      </c>
      <c r="MB18" s="561">
        <v>0</v>
      </c>
      <c r="MC18" s="561">
        <v>86186</v>
      </c>
      <c r="MD18" s="561">
        <v>88485</v>
      </c>
      <c r="ME18" s="561">
        <v>-2299</v>
      </c>
      <c r="MF18" s="561">
        <v>20127</v>
      </c>
      <c r="MG18" s="561">
        <v>17828</v>
      </c>
      <c r="MH18" s="561">
        <v>8645</v>
      </c>
      <c r="MI18" s="561">
        <v>15788</v>
      </c>
      <c r="MJ18" s="561">
        <v>24433</v>
      </c>
      <c r="MK18" s="561">
        <v>31</v>
      </c>
      <c r="ML18" s="561">
        <v>71588</v>
      </c>
      <c r="MM18" s="561">
        <v>71618</v>
      </c>
      <c r="MN18" s="561">
        <v>35293</v>
      </c>
      <c r="MO18" s="561">
        <v>18769</v>
      </c>
      <c r="MP18" s="561">
        <v>0</v>
      </c>
      <c r="MQ18" s="561">
        <v>144227</v>
      </c>
      <c r="MR18" s="561">
        <v>6196</v>
      </c>
      <c r="MS18" s="561">
        <v>82172</v>
      </c>
      <c r="MT18" s="561">
        <v>88595</v>
      </c>
      <c r="MU18" s="561">
        <v>25844</v>
      </c>
      <c r="MV18" s="561">
        <v>3894</v>
      </c>
      <c r="MW18" s="561">
        <v>9064</v>
      </c>
      <c r="MX18" s="561">
        <v>26347</v>
      </c>
      <c r="MY18" s="561">
        <v>4912</v>
      </c>
      <c r="MZ18" s="561">
        <v>0</v>
      </c>
      <c r="NA18" s="561">
        <v>0</v>
      </c>
      <c r="NB18" s="561">
        <v>22843</v>
      </c>
      <c r="NC18" s="561">
        <v>0</v>
      </c>
      <c r="ND18" s="561">
        <v>414094</v>
      </c>
      <c r="NE18" s="561">
        <v>0</v>
      </c>
      <c r="NF18" s="561">
        <v>0</v>
      </c>
      <c r="NG18" s="561">
        <v>0</v>
      </c>
      <c r="NH18" s="561">
        <v>0</v>
      </c>
      <c r="NI18" s="561">
        <v>0</v>
      </c>
      <c r="NJ18" s="561">
        <v>0</v>
      </c>
      <c r="NK18" s="561">
        <v>0</v>
      </c>
      <c r="NL18" s="561">
        <v>0</v>
      </c>
      <c r="NM18" s="561">
        <v>0</v>
      </c>
      <c r="NN18" s="561">
        <v>0</v>
      </c>
      <c r="NO18" s="561">
        <v>0</v>
      </c>
      <c r="NP18" s="561">
        <v>0</v>
      </c>
      <c r="NQ18" s="561">
        <v>0</v>
      </c>
      <c r="NR18" s="561">
        <v>0</v>
      </c>
      <c r="NS18" s="561">
        <v>0</v>
      </c>
      <c r="NT18" s="561">
        <v>0</v>
      </c>
      <c r="NU18" s="561">
        <v>1</v>
      </c>
      <c r="NV18" s="561">
        <v>0</v>
      </c>
      <c r="NW18" s="561">
        <v>0</v>
      </c>
      <c r="NX18" s="561">
        <v>0</v>
      </c>
      <c r="NY18" s="561">
        <v>0</v>
      </c>
      <c r="NZ18" s="561">
        <v>0</v>
      </c>
      <c r="OA18" s="561">
        <v>0</v>
      </c>
      <c r="OB18" s="561">
        <v>-2899</v>
      </c>
      <c r="OC18" s="561">
        <v>0</v>
      </c>
      <c r="OD18" s="561">
        <v>0</v>
      </c>
      <c r="OE18" s="561">
        <v>0</v>
      </c>
      <c r="OF18" s="561">
        <v>0</v>
      </c>
      <c r="OG18" s="561">
        <v>0</v>
      </c>
      <c r="OH18" s="561">
        <v>0</v>
      </c>
      <c r="OI18" s="561">
        <v>7589</v>
      </c>
      <c r="OJ18" s="561">
        <v>17</v>
      </c>
      <c r="OK18" s="561">
        <v>0</v>
      </c>
      <c r="OL18" s="561">
        <v>0</v>
      </c>
      <c r="OM18" s="561">
        <v>0</v>
      </c>
      <c r="ON18" s="561">
        <v>383</v>
      </c>
      <c r="OO18" s="561">
        <v>0</v>
      </c>
      <c r="OP18" s="561">
        <v>527.62</v>
      </c>
      <c r="OQ18" s="561">
        <v>927</v>
      </c>
      <c r="OR18" s="561">
        <v>0</v>
      </c>
      <c r="OS18" s="561">
        <v>0</v>
      </c>
      <c r="OT18" s="561">
        <v>0</v>
      </c>
      <c r="OU18" s="561">
        <v>0</v>
      </c>
      <c r="OV18" s="561">
        <v>11332.91439</v>
      </c>
      <c r="OW18" s="561">
        <v>0</v>
      </c>
      <c r="OX18" s="561">
        <v>7220.62</v>
      </c>
      <c r="OY18" s="561">
        <v>0</v>
      </c>
      <c r="OZ18" s="561">
        <v>0</v>
      </c>
      <c r="PA18" s="561">
        <v>0</v>
      </c>
      <c r="PB18" s="561">
        <v>0</v>
      </c>
      <c r="PC18" s="561">
        <v>0</v>
      </c>
      <c r="PD18" s="561">
        <v>0</v>
      </c>
      <c r="PE18" s="561">
        <v>0</v>
      </c>
      <c r="PF18" s="561">
        <v>0</v>
      </c>
      <c r="PG18" s="561">
        <v>0</v>
      </c>
      <c r="PH18" s="561">
        <v>0</v>
      </c>
      <c r="PI18" s="561">
        <v>0</v>
      </c>
      <c r="PJ18" s="561">
        <v>0</v>
      </c>
    </row>
    <row r="19" spans="1:426" ht="14" x14ac:dyDescent="0.3">
      <c r="A19" t="s">
        <v>2483</v>
      </c>
      <c r="B19" t="s">
        <v>2484</v>
      </c>
      <c r="C19" t="s">
        <v>2485</v>
      </c>
      <c r="E19" t="s">
        <v>384</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0</v>
      </c>
      <c r="W19" s="561">
        <v>0</v>
      </c>
      <c r="X19" s="561">
        <v>0</v>
      </c>
      <c r="Y19" s="561">
        <v>0</v>
      </c>
      <c r="Z19" s="561">
        <v>0</v>
      </c>
      <c r="AA19" s="561">
        <v>0</v>
      </c>
      <c r="AB19" s="561">
        <v>-231</v>
      </c>
      <c r="AC19" s="561">
        <v>0</v>
      </c>
      <c r="AD19" s="561">
        <v>0</v>
      </c>
      <c r="AE19" s="561">
        <v>0</v>
      </c>
      <c r="AF19" s="561">
        <v>0</v>
      </c>
      <c r="AG19" s="561">
        <v>0</v>
      </c>
      <c r="AH19" s="561">
        <v>0</v>
      </c>
      <c r="AI19" s="561">
        <v>0</v>
      </c>
      <c r="AJ19" s="561">
        <v>-231</v>
      </c>
      <c r="AK19" s="561">
        <v>0</v>
      </c>
      <c r="AL19" s="561">
        <v>0</v>
      </c>
      <c r="AM19" s="561">
        <v>0</v>
      </c>
      <c r="AN19" s="561">
        <v>0</v>
      </c>
      <c r="AO19" s="561">
        <v>0</v>
      </c>
      <c r="AP19" s="561">
        <v>0</v>
      </c>
      <c r="AQ19" s="561">
        <v>0</v>
      </c>
      <c r="AR19" s="561">
        <v>0</v>
      </c>
      <c r="AS19" s="561">
        <v>0</v>
      </c>
      <c r="AT19" s="561">
        <v>0</v>
      </c>
      <c r="AU19" s="561">
        <v>0</v>
      </c>
      <c r="AV19" s="561">
        <v>0</v>
      </c>
      <c r="AW19" s="561">
        <v>0</v>
      </c>
      <c r="AX19" s="561">
        <v>0</v>
      </c>
      <c r="AY19" s="561">
        <v>0</v>
      </c>
      <c r="AZ19" s="561">
        <v>0</v>
      </c>
      <c r="BA19" s="561">
        <v>0</v>
      </c>
      <c r="BB19" s="561">
        <v>0</v>
      </c>
      <c r="BC19" s="561">
        <v>0</v>
      </c>
      <c r="BD19" s="561">
        <v>0</v>
      </c>
      <c r="BE19" s="561">
        <v>0</v>
      </c>
      <c r="BF19" s="561">
        <v>0</v>
      </c>
      <c r="BG19" s="561">
        <v>0</v>
      </c>
      <c r="BH19" s="561">
        <v>0</v>
      </c>
      <c r="BI19" s="561">
        <v>0</v>
      </c>
      <c r="BJ19" s="561">
        <v>0</v>
      </c>
      <c r="BK19" s="561">
        <v>0</v>
      </c>
      <c r="BL19" s="561">
        <v>0</v>
      </c>
      <c r="BM19" s="561">
        <v>0</v>
      </c>
      <c r="BN19" s="561">
        <v>0</v>
      </c>
      <c r="BO19" s="561">
        <v>0</v>
      </c>
      <c r="BP19" s="561">
        <v>0</v>
      </c>
      <c r="BQ19" s="561">
        <v>0</v>
      </c>
      <c r="BR19" s="561">
        <v>0</v>
      </c>
      <c r="BS19" s="561">
        <v>0</v>
      </c>
      <c r="BT19" s="561">
        <v>0</v>
      </c>
      <c r="BU19" s="561">
        <v>0</v>
      </c>
      <c r="BV19" s="561">
        <v>0</v>
      </c>
      <c r="BW19" s="561">
        <v>0</v>
      </c>
      <c r="BX19" s="561">
        <v>0</v>
      </c>
      <c r="BY19" s="561">
        <v>0</v>
      </c>
      <c r="BZ19" s="561">
        <v>0</v>
      </c>
      <c r="CA19" s="561">
        <v>0</v>
      </c>
      <c r="CB19" s="561">
        <v>0</v>
      </c>
      <c r="CC19" s="561">
        <v>0</v>
      </c>
      <c r="CD19" s="561">
        <v>0</v>
      </c>
      <c r="CE19" s="561">
        <v>0</v>
      </c>
      <c r="CF19" s="561">
        <v>0</v>
      </c>
      <c r="CG19" s="561">
        <v>0</v>
      </c>
      <c r="CH19" s="561">
        <v>0</v>
      </c>
      <c r="CI19" s="561">
        <v>0</v>
      </c>
      <c r="CJ19" s="561">
        <v>0</v>
      </c>
      <c r="CK19" s="561">
        <v>0</v>
      </c>
      <c r="CL19" s="561">
        <v>0</v>
      </c>
      <c r="CM19" s="561">
        <v>0</v>
      </c>
      <c r="CN19" s="561">
        <v>0</v>
      </c>
      <c r="CO19" s="561">
        <v>0</v>
      </c>
      <c r="CP19" s="561">
        <v>0</v>
      </c>
      <c r="CQ19" s="561">
        <v>0</v>
      </c>
      <c r="CR19" s="561">
        <v>0</v>
      </c>
      <c r="CS19" s="561">
        <v>0</v>
      </c>
      <c r="CT19" s="561">
        <v>0</v>
      </c>
      <c r="CU19" s="561">
        <v>0</v>
      </c>
      <c r="CV19" s="561">
        <v>0</v>
      </c>
      <c r="CW19" s="561">
        <v>0</v>
      </c>
      <c r="CX19" s="561">
        <v>0</v>
      </c>
      <c r="CY19" s="561">
        <v>0</v>
      </c>
      <c r="CZ19" s="561">
        <v>0</v>
      </c>
      <c r="DA19" s="561">
        <v>0</v>
      </c>
      <c r="DB19" s="561">
        <v>0</v>
      </c>
      <c r="DC19" s="561">
        <v>0</v>
      </c>
      <c r="DD19" s="561">
        <v>0</v>
      </c>
      <c r="DE19" s="561">
        <v>0</v>
      </c>
      <c r="DF19" s="561">
        <v>0</v>
      </c>
      <c r="DG19" s="561">
        <v>0</v>
      </c>
      <c r="DH19" s="561">
        <v>1711</v>
      </c>
      <c r="DI19" s="561">
        <v>0</v>
      </c>
      <c r="DJ19" s="561">
        <v>0</v>
      </c>
      <c r="DK19" s="561">
        <v>-44</v>
      </c>
      <c r="DL19" s="561">
        <v>0</v>
      </c>
      <c r="DM19" s="561">
        <v>0</v>
      </c>
      <c r="DN19" s="561">
        <v>0</v>
      </c>
      <c r="DO19" s="561">
        <v>869</v>
      </c>
      <c r="DP19" s="561">
        <v>0</v>
      </c>
      <c r="DQ19" s="561">
        <v>0</v>
      </c>
      <c r="DR19" s="561">
        <v>320</v>
      </c>
      <c r="DS19" s="561">
        <v>259</v>
      </c>
      <c r="DT19" s="561">
        <v>22</v>
      </c>
      <c r="DU19" s="561">
        <v>1470</v>
      </c>
      <c r="DV19" s="561">
        <v>0</v>
      </c>
      <c r="DW19" s="561">
        <v>0</v>
      </c>
      <c r="DX19" s="561">
        <v>0</v>
      </c>
      <c r="DY19" s="561">
        <v>1290</v>
      </c>
      <c r="DZ19" s="561">
        <v>33</v>
      </c>
      <c r="EA19" s="561">
        <v>0</v>
      </c>
      <c r="EB19" s="561">
        <v>0</v>
      </c>
      <c r="EC19" s="561">
        <v>4460</v>
      </c>
      <c r="ED19" s="561">
        <v>72</v>
      </c>
      <c r="EE19" s="561">
        <v>58724</v>
      </c>
      <c r="EF19" s="561">
        <v>14</v>
      </c>
      <c r="EG19" s="561">
        <v>7966</v>
      </c>
      <c r="EH19" s="561">
        <v>515</v>
      </c>
      <c r="EI19" s="561">
        <v>0</v>
      </c>
      <c r="EJ19" s="561">
        <v>0</v>
      </c>
      <c r="EK19" s="561">
        <v>0</v>
      </c>
      <c r="EL19" s="561">
        <v>0</v>
      </c>
      <c r="EM19" s="561">
        <v>5</v>
      </c>
      <c r="EN19" s="561">
        <v>12651</v>
      </c>
      <c r="EO19" s="561">
        <v>23172</v>
      </c>
      <c r="EP19" s="561">
        <v>0</v>
      </c>
      <c r="EQ19" s="561">
        <v>151</v>
      </c>
      <c r="ER19" s="561">
        <v>9524</v>
      </c>
      <c r="ES19" s="561" t="s">
        <v>4565</v>
      </c>
      <c r="ET19" s="561">
        <v>68</v>
      </c>
      <c r="EU19" s="561">
        <v>1000</v>
      </c>
      <c r="EV19" s="561">
        <v>0</v>
      </c>
      <c r="EW19" s="561">
        <v>0</v>
      </c>
      <c r="EX19" s="561">
        <v>16311</v>
      </c>
      <c r="EY19" s="561">
        <v>823</v>
      </c>
      <c r="EZ19" s="561">
        <v>3524</v>
      </c>
      <c r="FA19" s="561">
        <v>6365</v>
      </c>
      <c r="FB19" s="561">
        <v>0</v>
      </c>
      <c r="FC19" s="561">
        <v>0</v>
      </c>
      <c r="FD19" s="561">
        <v>0</v>
      </c>
      <c r="FE19" s="561">
        <v>0</v>
      </c>
      <c r="FF19" s="561">
        <v>471</v>
      </c>
      <c r="FG19" s="561">
        <v>927</v>
      </c>
      <c r="FH19" s="561">
        <v>0</v>
      </c>
      <c r="FI19" s="561">
        <v>180</v>
      </c>
      <c r="FJ19" s="561">
        <v>1776</v>
      </c>
      <c r="FK19" s="561">
        <v>4377</v>
      </c>
      <c r="FL19" s="561">
        <v>11</v>
      </c>
      <c r="FM19" s="561">
        <v>0</v>
      </c>
      <c r="FN19" s="561">
        <v>0</v>
      </c>
      <c r="FO19" s="561">
        <v>7742</v>
      </c>
      <c r="FP19" s="561">
        <v>101</v>
      </c>
      <c r="FQ19" s="561">
        <v>61</v>
      </c>
      <c r="FR19" s="561">
        <v>0</v>
      </c>
      <c r="FS19" s="561">
        <v>0</v>
      </c>
      <c r="FT19" s="561">
        <v>195</v>
      </c>
      <c r="FU19" s="561">
        <v>732</v>
      </c>
      <c r="FV19" s="561">
        <v>-47</v>
      </c>
      <c r="FW19" s="561">
        <v>315</v>
      </c>
      <c r="FX19" s="561">
        <v>0</v>
      </c>
      <c r="FY19" s="561">
        <v>0</v>
      </c>
      <c r="FZ19" s="561">
        <v>0</v>
      </c>
      <c r="GA19" s="561">
        <v>34</v>
      </c>
      <c r="GB19" s="561">
        <v>205</v>
      </c>
      <c r="GC19" s="561">
        <v>394</v>
      </c>
      <c r="GD19" s="561">
        <v>479</v>
      </c>
      <c r="GE19" s="561">
        <v>0</v>
      </c>
      <c r="GF19" s="561">
        <v>64</v>
      </c>
      <c r="GG19" s="561">
        <v>0</v>
      </c>
      <c r="GH19" s="561">
        <v>0</v>
      </c>
      <c r="GI19" s="561">
        <v>0</v>
      </c>
      <c r="GJ19" s="561">
        <v>0</v>
      </c>
      <c r="GK19" s="561">
        <v>0</v>
      </c>
      <c r="GL19" s="561">
        <v>4083</v>
      </c>
      <c r="GM19" s="561">
        <v>5187</v>
      </c>
      <c r="GN19" s="561">
        <v>0</v>
      </c>
      <c r="GO19" s="561">
        <v>-75</v>
      </c>
      <c r="GP19" s="561">
        <v>821</v>
      </c>
      <c r="GQ19" s="561">
        <v>0</v>
      </c>
      <c r="GR19" s="561">
        <v>0</v>
      </c>
      <c r="GS19" s="561">
        <v>12448</v>
      </c>
      <c r="GT19" s="561">
        <v>2738</v>
      </c>
      <c r="GU19" s="561">
        <v>186</v>
      </c>
      <c r="GV19" s="561">
        <v>788</v>
      </c>
      <c r="GW19" s="561">
        <v>0</v>
      </c>
      <c r="GX19" s="561">
        <v>352</v>
      </c>
      <c r="GY19" s="561">
        <v>0</v>
      </c>
      <c r="GZ19" s="561">
        <v>375</v>
      </c>
      <c r="HA19" s="561">
        <v>0</v>
      </c>
      <c r="HB19" s="561">
        <v>1604</v>
      </c>
      <c r="HC19" s="561">
        <v>343</v>
      </c>
      <c r="HD19" s="561">
        <v>3648</v>
      </c>
      <c r="HE19" s="561">
        <v>386</v>
      </c>
      <c r="HF19" s="561">
        <v>23838</v>
      </c>
      <c r="HG19" s="561">
        <v>3225</v>
      </c>
      <c r="HH19" s="561">
        <v>0</v>
      </c>
      <c r="HI19" s="561">
        <v>0</v>
      </c>
      <c r="HJ19" s="561">
        <v>0</v>
      </c>
      <c r="HK19" s="561">
        <v>0</v>
      </c>
      <c r="HL19" s="561">
        <v>0</v>
      </c>
      <c r="HM19" s="561">
        <v>0</v>
      </c>
      <c r="HN19" s="561">
        <v>0</v>
      </c>
      <c r="HO19" s="561">
        <v>4303</v>
      </c>
      <c r="HP19" s="561">
        <v>148</v>
      </c>
      <c r="HQ19" s="561">
        <v>0</v>
      </c>
      <c r="HR19" s="561">
        <v>0</v>
      </c>
      <c r="HS19" s="561">
        <v>953</v>
      </c>
      <c r="HT19" s="561">
        <v>127</v>
      </c>
      <c r="HU19" s="561">
        <v>0</v>
      </c>
      <c r="HV19" s="561">
        <v>0</v>
      </c>
      <c r="HW19" s="561">
        <v>224</v>
      </c>
      <c r="HX19" s="561">
        <v>160</v>
      </c>
      <c r="HY19" s="561">
        <v>34</v>
      </c>
      <c r="HZ19" s="561">
        <v>-185</v>
      </c>
      <c r="IA19" s="561">
        <v>0</v>
      </c>
      <c r="IB19" s="561">
        <v>405</v>
      </c>
      <c r="IC19" s="561">
        <v>0</v>
      </c>
      <c r="ID19" s="561">
        <v>0</v>
      </c>
      <c r="IE19" s="561">
        <v>271</v>
      </c>
      <c r="IF19" s="561">
        <v>330</v>
      </c>
      <c r="IG19" s="561">
        <v>0</v>
      </c>
      <c r="IH19" s="561">
        <v>0</v>
      </c>
      <c r="II19" s="561">
        <v>6770</v>
      </c>
      <c r="IJ19" s="561">
        <v>916</v>
      </c>
      <c r="IK19" s="561">
        <v>0</v>
      </c>
      <c r="IL19" s="561">
        <v>18298</v>
      </c>
      <c r="IM19" s="561">
        <v>0</v>
      </c>
      <c r="IN19" s="561">
        <v>0</v>
      </c>
      <c r="IO19" s="561">
        <v>42</v>
      </c>
      <c r="IP19" s="561">
        <v>0</v>
      </c>
      <c r="IQ19" s="561">
        <v>0</v>
      </c>
      <c r="IR19" s="561">
        <v>0</v>
      </c>
      <c r="IS19" s="561">
        <v>-231</v>
      </c>
      <c r="IT19" s="561">
        <v>0</v>
      </c>
      <c r="IU19" s="561">
        <v>0</v>
      </c>
      <c r="IV19" s="561">
        <v>0</v>
      </c>
      <c r="IW19" s="561">
        <v>4460</v>
      </c>
      <c r="IX19" s="561">
        <v>7742</v>
      </c>
      <c r="IY19" s="561">
        <v>12448</v>
      </c>
      <c r="IZ19" s="561">
        <v>3648</v>
      </c>
      <c r="JA19" s="561">
        <v>0</v>
      </c>
      <c r="JB19" s="561">
        <v>0</v>
      </c>
      <c r="JC19" s="561">
        <v>6770</v>
      </c>
      <c r="JD19" s="561">
        <v>0</v>
      </c>
      <c r="JE19" s="561">
        <v>34837</v>
      </c>
      <c r="JF19" s="561">
        <v>15977</v>
      </c>
      <c r="JG19" s="561">
        <v>5913</v>
      </c>
      <c r="JH19" s="561">
        <v>16439</v>
      </c>
      <c r="JI19" s="561">
        <v>0</v>
      </c>
      <c r="JJ19" s="561">
        <v>395</v>
      </c>
      <c r="JK19" s="561">
        <v>745</v>
      </c>
      <c r="JL19" s="561">
        <v>0</v>
      </c>
      <c r="JM19" s="561">
        <v>0</v>
      </c>
      <c r="JN19" s="561">
        <v>0</v>
      </c>
      <c r="JO19" s="561">
        <v>102</v>
      </c>
      <c r="JP19" s="561">
        <v>-4716</v>
      </c>
      <c r="JQ19" s="561">
        <v>13</v>
      </c>
      <c r="JR19" s="561">
        <v>0</v>
      </c>
      <c r="JS19" s="561">
        <v>0</v>
      </c>
      <c r="JT19" s="561">
        <v>0</v>
      </c>
      <c r="JU19" s="561">
        <v>0</v>
      </c>
      <c r="JV19" s="561">
        <v>69705</v>
      </c>
      <c r="JW19" s="561">
        <v>0</v>
      </c>
      <c r="JX19" s="561">
        <v>670</v>
      </c>
      <c r="JY19" s="561">
        <v>0</v>
      </c>
      <c r="JZ19" s="561">
        <v>0</v>
      </c>
      <c r="KA19" s="561">
        <v>0</v>
      </c>
      <c r="KB19" s="561">
        <v>0</v>
      </c>
      <c r="KC19" s="561">
        <v>7184</v>
      </c>
      <c r="KD19" s="561">
        <v>0</v>
      </c>
      <c r="KE19" s="561">
        <v>20237</v>
      </c>
      <c r="KF19" s="561">
        <v>-9505</v>
      </c>
      <c r="KG19" s="561">
        <v>88291</v>
      </c>
      <c r="KH19" s="561">
        <v>-16631</v>
      </c>
      <c r="KI19" s="561">
        <v>0</v>
      </c>
      <c r="KJ19" s="561">
        <v>18</v>
      </c>
      <c r="KK19" s="561">
        <v>0</v>
      </c>
      <c r="KL19" s="561">
        <v>-35427</v>
      </c>
      <c r="KM19" s="561">
        <v>0</v>
      </c>
      <c r="KN19" s="561">
        <v>0</v>
      </c>
      <c r="KO19" s="561">
        <v>0</v>
      </c>
      <c r="KP19" s="561">
        <v>0</v>
      </c>
      <c r="KQ19" s="561">
        <v>0</v>
      </c>
      <c r="KR19" s="561">
        <v>36251</v>
      </c>
      <c r="KS19" s="561">
        <v>0</v>
      </c>
      <c r="KT19" s="561">
        <v>-4433</v>
      </c>
      <c r="KU19" s="561">
        <v>31818</v>
      </c>
      <c r="KV19" s="561">
        <v>0</v>
      </c>
      <c r="KW19" s="561">
        <v>0</v>
      </c>
      <c r="KX19" s="561">
        <v>0</v>
      </c>
      <c r="KY19" s="561">
        <v>0</v>
      </c>
      <c r="KZ19" s="561">
        <v>-579</v>
      </c>
      <c r="LA19" s="561">
        <v>482</v>
      </c>
      <c r="LB19" s="561">
        <v>-284</v>
      </c>
      <c r="LC19" s="561">
        <v>0</v>
      </c>
      <c r="LD19" s="561">
        <v>-12644</v>
      </c>
      <c r="LE19" s="561">
        <v>124</v>
      </c>
      <c r="LF19" s="561">
        <v>0</v>
      </c>
      <c r="LG19" s="561">
        <v>18917</v>
      </c>
      <c r="LH19" s="561">
        <v>0</v>
      </c>
      <c r="LI19" s="561">
        <v>0</v>
      </c>
      <c r="LJ19" s="561">
        <v>0</v>
      </c>
      <c r="LK19" s="561">
        <v>0</v>
      </c>
      <c r="LL19" s="561">
        <v>39237</v>
      </c>
      <c r="LM19" s="561">
        <v>5825</v>
      </c>
      <c r="LN19" s="561">
        <v>0</v>
      </c>
      <c r="LO19" s="561">
        <v>0</v>
      </c>
      <c r="LP19" s="561">
        <v>0</v>
      </c>
      <c r="LQ19" s="561">
        <v>0</v>
      </c>
      <c r="LR19" s="561">
        <v>38658</v>
      </c>
      <c r="LS19" s="561">
        <v>6307</v>
      </c>
      <c r="LT19" s="561">
        <v>0</v>
      </c>
      <c r="LU19" s="561">
        <v>12732</v>
      </c>
      <c r="LV19" s="561">
        <v>0</v>
      </c>
      <c r="LW19" s="561">
        <v>-805</v>
      </c>
      <c r="LX19" s="561">
        <v>-7189</v>
      </c>
      <c r="LY19" s="561">
        <v>4876</v>
      </c>
      <c r="LZ19" s="561">
        <v>13798</v>
      </c>
      <c r="MA19" s="561">
        <v>0</v>
      </c>
      <c r="MB19" s="561">
        <v>0</v>
      </c>
      <c r="MC19" s="561">
        <v>67224</v>
      </c>
      <c r="MD19" s="561">
        <v>63700</v>
      </c>
      <c r="ME19" s="561">
        <v>3524</v>
      </c>
      <c r="MF19" s="561">
        <v>6365</v>
      </c>
      <c r="MG19" s="561">
        <v>9889</v>
      </c>
      <c r="MH19" s="561">
        <v>5646</v>
      </c>
      <c r="MI19" s="561">
        <v>7977</v>
      </c>
      <c r="MJ19" s="561">
        <v>13623</v>
      </c>
      <c r="MK19" s="561">
        <v>0</v>
      </c>
      <c r="ML19" s="561">
        <v>0</v>
      </c>
      <c r="MM19" s="561">
        <v>11744</v>
      </c>
      <c r="MN19" s="561">
        <v>16289</v>
      </c>
      <c r="MO19" s="561">
        <v>10625</v>
      </c>
      <c r="MP19" s="561">
        <v>0</v>
      </c>
      <c r="MQ19" s="561">
        <v>0</v>
      </c>
      <c r="MR19" s="561">
        <v>-231</v>
      </c>
      <c r="MS19" s="561">
        <v>0</v>
      </c>
      <c r="MT19" s="561">
        <v>0</v>
      </c>
      <c r="MU19" s="561">
        <v>0</v>
      </c>
      <c r="MV19" s="561">
        <v>4460</v>
      </c>
      <c r="MW19" s="561">
        <v>7742</v>
      </c>
      <c r="MX19" s="561">
        <v>12448</v>
      </c>
      <c r="MY19" s="561">
        <v>3648</v>
      </c>
      <c r="MZ19" s="561">
        <v>0</v>
      </c>
      <c r="NA19" s="561">
        <v>0</v>
      </c>
      <c r="NB19" s="561">
        <v>6770</v>
      </c>
      <c r="NC19" s="561">
        <v>0</v>
      </c>
      <c r="ND19" s="561">
        <v>34837</v>
      </c>
      <c r="NE19" s="561">
        <v>0</v>
      </c>
      <c r="NF19" s="561">
        <v>0</v>
      </c>
      <c r="NG19" s="561">
        <v>0</v>
      </c>
      <c r="NH19" s="561">
        <v>0</v>
      </c>
      <c r="NI19" s="561">
        <v>0</v>
      </c>
      <c r="NJ19" s="561">
        <v>0</v>
      </c>
      <c r="NK19" s="561">
        <v>0</v>
      </c>
      <c r="NL19" s="561">
        <v>0</v>
      </c>
      <c r="NM19" s="561">
        <v>0</v>
      </c>
      <c r="NN19" s="561">
        <v>0</v>
      </c>
      <c r="NO19" s="561">
        <v>0</v>
      </c>
      <c r="NP19" s="561">
        <v>0</v>
      </c>
      <c r="NQ19" s="561">
        <v>0</v>
      </c>
      <c r="NR19" s="561">
        <v>0</v>
      </c>
      <c r="NS19" s="561">
        <v>0</v>
      </c>
      <c r="NT19" s="561">
        <v>-4716</v>
      </c>
      <c r="NU19" s="561">
        <v>0</v>
      </c>
      <c r="NV19" s="561">
        <v>0</v>
      </c>
      <c r="NW19" s="561">
        <v>-4716</v>
      </c>
      <c r="NX19" s="561">
        <v>0</v>
      </c>
      <c r="NY19" s="561">
        <v>-4716</v>
      </c>
      <c r="NZ19" s="561">
        <v>0</v>
      </c>
      <c r="OA19" s="561">
        <v>0</v>
      </c>
      <c r="OB19" s="561">
        <v>0</v>
      </c>
      <c r="OC19" s="561">
        <v>0</v>
      </c>
      <c r="OD19" s="561">
        <v>0</v>
      </c>
      <c r="OE19" s="561">
        <v>0</v>
      </c>
      <c r="OF19" s="561">
        <v>0</v>
      </c>
      <c r="OG19" s="561">
        <v>0</v>
      </c>
      <c r="OH19" s="561">
        <v>0</v>
      </c>
      <c r="OI19" s="561">
        <v>0</v>
      </c>
      <c r="OJ19" s="561">
        <v>0</v>
      </c>
      <c r="OK19" s="561">
        <v>0</v>
      </c>
      <c r="OL19" s="561">
        <v>0</v>
      </c>
      <c r="OM19" s="561">
        <v>0</v>
      </c>
      <c r="ON19" s="561">
        <v>59</v>
      </c>
      <c r="OO19" s="561">
        <v>0</v>
      </c>
      <c r="OP19" s="561">
        <v>0</v>
      </c>
      <c r="OQ19" s="561">
        <v>0</v>
      </c>
      <c r="OR19" s="561">
        <v>0</v>
      </c>
      <c r="OS19" s="561">
        <v>0</v>
      </c>
      <c r="OT19" s="561">
        <v>0</v>
      </c>
      <c r="OU19" s="561">
        <v>0</v>
      </c>
      <c r="OV19" s="561">
        <v>-179</v>
      </c>
      <c r="OW19" s="561">
        <v>0</v>
      </c>
      <c r="OX19" s="561">
        <v>13</v>
      </c>
      <c r="OY19" s="561">
        <v>0</v>
      </c>
      <c r="OZ19" s="561">
        <v>0</v>
      </c>
      <c r="PA19" s="561">
        <v>0</v>
      </c>
      <c r="PB19" s="561">
        <v>0</v>
      </c>
      <c r="PC19" s="561">
        <v>0</v>
      </c>
      <c r="PD19" s="561">
        <v>0</v>
      </c>
      <c r="PE19" s="561">
        <v>0</v>
      </c>
      <c r="PF19" s="561">
        <v>0</v>
      </c>
      <c r="PG19" s="561">
        <v>0</v>
      </c>
      <c r="PH19" s="561">
        <v>0</v>
      </c>
      <c r="PI19" s="561">
        <v>0</v>
      </c>
      <c r="PJ19" s="561">
        <v>0</v>
      </c>
    </row>
    <row r="20" spans="1:426" ht="14" x14ac:dyDescent="0.3">
      <c r="A20" t="s">
        <v>2486</v>
      </c>
      <c r="B20" t="s">
        <v>2487</v>
      </c>
      <c r="C20" t="s">
        <v>2488</v>
      </c>
      <c r="E20" t="s">
        <v>384</v>
      </c>
      <c r="F20" s="561">
        <v>0</v>
      </c>
      <c r="G20" s="561">
        <v>0</v>
      </c>
      <c r="H20" s="561">
        <v>0</v>
      </c>
      <c r="I20" s="561">
        <v>0</v>
      </c>
      <c r="J20" s="561">
        <v>0</v>
      </c>
      <c r="K20" s="561">
        <v>0</v>
      </c>
      <c r="L20" s="561">
        <v>0</v>
      </c>
      <c r="M20" s="561">
        <v>0</v>
      </c>
      <c r="N20" s="561">
        <v>-7</v>
      </c>
      <c r="O20" s="561">
        <v>173</v>
      </c>
      <c r="P20" s="561">
        <v>0</v>
      </c>
      <c r="Q20" s="561">
        <v>0</v>
      </c>
      <c r="R20" s="561">
        <v>0</v>
      </c>
      <c r="S20" s="561">
        <v>0</v>
      </c>
      <c r="T20" s="561">
        <v>730</v>
      </c>
      <c r="U20" s="561">
        <v>0</v>
      </c>
      <c r="V20" s="561">
        <v>0</v>
      </c>
      <c r="W20" s="561">
        <v>0</v>
      </c>
      <c r="X20" s="561">
        <v>0</v>
      </c>
      <c r="Y20" s="561">
        <v>0</v>
      </c>
      <c r="Z20" s="561">
        <v>-4</v>
      </c>
      <c r="AA20" s="561">
        <v>0</v>
      </c>
      <c r="AB20" s="561">
        <v>-1180</v>
      </c>
      <c r="AC20" s="561">
        <v>0</v>
      </c>
      <c r="AD20" s="561">
        <v>0</v>
      </c>
      <c r="AE20" s="561">
        <v>422</v>
      </c>
      <c r="AF20" s="561">
        <v>0</v>
      </c>
      <c r="AG20" s="561">
        <v>0</v>
      </c>
      <c r="AH20" s="561">
        <v>17</v>
      </c>
      <c r="AI20" s="561">
        <v>0</v>
      </c>
      <c r="AJ20" s="561">
        <v>151</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61">
        <v>0</v>
      </c>
      <c r="DD20" s="561">
        <v>0</v>
      </c>
      <c r="DE20" s="561">
        <v>0</v>
      </c>
      <c r="DF20" s="561">
        <v>0</v>
      </c>
      <c r="DG20" s="561">
        <v>0</v>
      </c>
      <c r="DH20" s="561">
        <v>500</v>
      </c>
      <c r="DI20" s="561">
        <v>0</v>
      </c>
      <c r="DJ20" s="561">
        <v>158</v>
      </c>
      <c r="DK20" s="561">
        <v>0</v>
      </c>
      <c r="DL20" s="561">
        <v>0</v>
      </c>
      <c r="DM20" s="561">
        <v>0</v>
      </c>
      <c r="DN20" s="561">
        <v>816</v>
      </c>
      <c r="DO20" s="561">
        <v>42</v>
      </c>
      <c r="DP20" s="561">
        <v>17</v>
      </c>
      <c r="DQ20" s="561">
        <v>-272</v>
      </c>
      <c r="DR20" s="561">
        <v>0</v>
      </c>
      <c r="DS20" s="561">
        <v>2019</v>
      </c>
      <c r="DT20" s="561">
        <v>-134</v>
      </c>
      <c r="DU20" s="561">
        <v>2488</v>
      </c>
      <c r="DV20" s="561">
        <v>0</v>
      </c>
      <c r="DW20" s="561">
        <v>0</v>
      </c>
      <c r="DX20" s="561">
        <v>0</v>
      </c>
      <c r="DY20" s="561">
        <v>1281</v>
      </c>
      <c r="DZ20" s="561">
        <v>-25</v>
      </c>
      <c r="EA20" s="561">
        <v>0</v>
      </c>
      <c r="EB20" s="561">
        <v>0</v>
      </c>
      <c r="EC20" s="561">
        <v>4402</v>
      </c>
      <c r="ED20" s="561">
        <v>0</v>
      </c>
      <c r="EE20" s="561">
        <v>0</v>
      </c>
      <c r="EF20" s="561">
        <v>0</v>
      </c>
      <c r="EG20" s="561">
        <v>0</v>
      </c>
      <c r="EH20" s="561">
        <v>0</v>
      </c>
      <c r="EI20" s="561">
        <v>0</v>
      </c>
      <c r="EJ20" s="561">
        <v>0</v>
      </c>
      <c r="EK20" s="561">
        <v>0</v>
      </c>
      <c r="EL20" s="561">
        <v>0</v>
      </c>
      <c r="EM20" s="561">
        <v>0</v>
      </c>
      <c r="EN20" s="561">
        <v>0</v>
      </c>
      <c r="EO20" s="561">
        <v>0</v>
      </c>
      <c r="EP20" s="561">
        <v>0</v>
      </c>
      <c r="EQ20" s="561">
        <v>0</v>
      </c>
      <c r="ER20" s="561">
        <v>0</v>
      </c>
      <c r="ES20" s="561" t="s">
        <v>4565</v>
      </c>
      <c r="ET20" s="561">
        <v>0</v>
      </c>
      <c r="EU20" s="561">
        <v>0</v>
      </c>
      <c r="EV20" s="561">
        <v>0</v>
      </c>
      <c r="EW20" s="561">
        <v>0</v>
      </c>
      <c r="EX20" s="561">
        <v>0</v>
      </c>
      <c r="EY20" s="561">
        <v>0</v>
      </c>
      <c r="EZ20" s="561">
        <v>0</v>
      </c>
      <c r="FA20" s="561">
        <v>0</v>
      </c>
      <c r="FB20" s="561">
        <v>0</v>
      </c>
      <c r="FC20" s="561">
        <v>746</v>
      </c>
      <c r="FD20" s="561">
        <v>0</v>
      </c>
      <c r="FE20" s="561">
        <v>28</v>
      </c>
      <c r="FF20" s="561">
        <v>397</v>
      </c>
      <c r="FG20" s="561">
        <v>918</v>
      </c>
      <c r="FH20" s="561">
        <v>0</v>
      </c>
      <c r="FI20" s="561">
        <v>449</v>
      </c>
      <c r="FJ20" s="561">
        <v>812</v>
      </c>
      <c r="FK20" s="561">
        <v>5758</v>
      </c>
      <c r="FL20" s="561">
        <v>233</v>
      </c>
      <c r="FM20" s="561">
        <v>24</v>
      </c>
      <c r="FN20" s="561">
        <v>0</v>
      </c>
      <c r="FO20" s="561">
        <v>9365</v>
      </c>
      <c r="FP20" s="561">
        <v>0</v>
      </c>
      <c r="FQ20" s="561">
        <v>368</v>
      </c>
      <c r="FR20" s="561">
        <v>0</v>
      </c>
      <c r="FS20" s="561">
        <v>0</v>
      </c>
      <c r="FT20" s="561">
        <v>413</v>
      </c>
      <c r="FU20" s="561">
        <v>523</v>
      </c>
      <c r="FV20" s="561">
        <v>168</v>
      </c>
      <c r="FW20" s="561">
        <v>0</v>
      </c>
      <c r="FX20" s="561">
        <v>0</v>
      </c>
      <c r="FY20" s="561">
        <v>0</v>
      </c>
      <c r="FZ20" s="561">
        <v>61</v>
      </c>
      <c r="GA20" s="561">
        <v>227</v>
      </c>
      <c r="GB20" s="561">
        <v>339</v>
      </c>
      <c r="GC20" s="561">
        <v>454</v>
      </c>
      <c r="GD20" s="561">
        <v>-1</v>
      </c>
      <c r="GE20" s="561">
        <v>813</v>
      </c>
      <c r="GF20" s="561">
        <v>28</v>
      </c>
      <c r="GG20" s="561">
        <v>81</v>
      </c>
      <c r="GH20" s="561">
        <v>0</v>
      </c>
      <c r="GI20" s="561">
        <v>0</v>
      </c>
      <c r="GJ20" s="561">
        <v>0</v>
      </c>
      <c r="GK20" s="561">
        <v>0</v>
      </c>
      <c r="GL20" s="561">
        <v>4902</v>
      </c>
      <c r="GM20" s="561">
        <v>3539</v>
      </c>
      <c r="GN20" s="561">
        <v>0</v>
      </c>
      <c r="GO20" s="561">
        <v>0</v>
      </c>
      <c r="GP20" s="561">
        <v>2245</v>
      </c>
      <c r="GQ20" s="561">
        <v>0</v>
      </c>
      <c r="GR20" s="561">
        <v>529</v>
      </c>
      <c r="GS20" s="561">
        <v>14689</v>
      </c>
      <c r="GT20" s="561">
        <v>0</v>
      </c>
      <c r="GU20" s="561">
        <v>241</v>
      </c>
      <c r="GV20" s="561">
        <v>2283</v>
      </c>
      <c r="GW20" s="561">
        <v>47</v>
      </c>
      <c r="GX20" s="561">
        <v>2475</v>
      </c>
      <c r="GY20" s="561">
        <v>179</v>
      </c>
      <c r="GZ20" s="561">
        <v>151</v>
      </c>
      <c r="HA20" s="561">
        <v>0</v>
      </c>
      <c r="HB20" s="561">
        <v>-6</v>
      </c>
      <c r="HC20" s="561">
        <v>822</v>
      </c>
      <c r="HD20" s="561">
        <v>6192</v>
      </c>
      <c r="HE20" s="561">
        <v>0</v>
      </c>
      <c r="HF20" s="561">
        <v>30246</v>
      </c>
      <c r="HG20" s="561">
        <v>0</v>
      </c>
      <c r="HH20" s="561">
        <v>0</v>
      </c>
      <c r="HI20" s="561">
        <v>0</v>
      </c>
      <c r="HJ20" s="561">
        <v>0</v>
      </c>
      <c r="HK20" s="561">
        <v>0</v>
      </c>
      <c r="HL20" s="561">
        <v>0</v>
      </c>
      <c r="HM20" s="561">
        <v>0</v>
      </c>
      <c r="HN20" s="561">
        <v>0</v>
      </c>
      <c r="HO20" s="561">
        <v>4399</v>
      </c>
      <c r="HP20" s="561">
        <v>1510</v>
      </c>
      <c r="HQ20" s="561">
        <v>0</v>
      </c>
      <c r="HR20" s="561">
        <v>0</v>
      </c>
      <c r="HS20" s="561">
        <v>316</v>
      </c>
      <c r="HT20" s="561">
        <v>262</v>
      </c>
      <c r="HU20" s="561">
        <v>0</v>
      </c>
      <c r="HV20" s="561">
        <v>0</v>
      </c>
      <c r="HW20" s="561">
        <v>465</v>
      </c>
      <c r="HX20" s="561">
        <v>482</v>
      </c>
      <c r="HY20" s="561">
        <v>142</v>
      </c>
      <c r="HZ20" s="561">
        <v>161</v>
      </c>
      <c r="IA20" s="561">
        <v>0</v>
      </c>
      <c r="IB20" s="561">
        <v>26</v>
      </c>
      <c r="IC20" s="561">
        <v>0</v>
      </c>
      <c r="ID20" s="561">
        <v>0</v>
      </c>
      <c r="IE20" s="561">
        <v>438</v>
      </c>
      <c r="IF20" s="561">
        <v>0</v>
      </c>
      <c r="IG20" s="561">
        <v>0</v>
      </c>
      <c r="IH20" s="561">
        <v>-6838</v>
      </c>
      <c r="II20" s="561">
        <v>1363</v>
      </c>
      <c r="IJ20" s="561">
        <v>1174</v>
      </c>
      <c r="IK20" s="561">
        <v>0</v>
      </c>
      <c r="IL20" s="561">
        <v>52784</v>
      </c>
      <c r="IM20" s="561">
        <v>0</v>
      </c>
      <c r="IN20" s="561">
        <v>1821</v>
      </c>
      <c r="IO20" s="561">
        <v>166</v>
      </c>
      <c r="IP20" s="561">
        <v>0</v>
      </c>
      <c r="IQ20" s="561">
        <v>0</v>
      </c>
      <c r="IR20" s="561">
        <v>0</v>
      </c>
      <c r="IS20" s="561">
        <v>151</v>
      </c>
      <c r="IT20" s="561">
        <v>0</v>
      </c>
      <c r="IU20" s="561">
        <v>0</v>
      </c>
      <c r="IV20" s="561">
        <v>0</v>
      </c>
      <c r="IW20" s="561">
        <v>4402</v>
      </c>
      <c r="IX20" s="561">
        <v>9365</v>
      </c>
      <c r="IY20" s="561">
        <v>14689</v>
      </c>
      <c r="IZ20" s="561">
        <v>6192</v>
      </c>
      <c r="JA20" s="561">
        <v>0</v>
      </c>
      <c r="JB20" s="561">
        <v>0</v>
      </c>
      <c r="JC20" s="561">
        <v>1363</v>
      </c>
      <c r="JD20" s="561">
        <v>0</v>
      </c>
      <c r="JE20" s="561">
        <v>36162</v>
      </c>
      <c r="JF20" s="561">
        <v>27735</v>
      </c>
      <c r="JG20" s="561">
        <v>147</v>
      </c>
      <c r="JH20" s="561">
        <v>0</v>
      </c>
      <c r="JI20" s="561">
        <v>0</v>
      </c>
      <c r="JJ20" s="561">
        <v>0</v>
      </c>
      <c r="JK20" s="561">
        <v>1880</v>
      </c>
      <c r="JL20" s="561">
        <v>0</v>
      </c>
      <c r="JM20" s="561">
        <v>0</v>
      </c>
      <c r="JN20" s="561">
        <v>0</v>
      </c>
      <c r="JO20" s="561">
        <v>0</v>
      </c>
      <c r="JP20" s="561">
        <v>0</v>
      </c>
      <c r="JQ20" s="561">
        <v>0</v>
      </c>
      <c r="JR20" s="561">
        <v>0</v>
      </c>
      <c r="JS20" s="561">
        <v>0</v>
      </c>
      <c r="JT20" s="561">
        <v>-2</v>
      </c>
      <c r="JU20" s="561">
        <v>0</v>
      </c>
      <c r="JV20" s="561">
        <v>65922</v>
      </c>
      <c r="JW20" s="561">
        <v>0</v>
      </c>
      <c r="JX20" s="561">
        <v>1686</v>
      </c>
      <c r="JY20" s="561">
        <v>0</v>
      </c>
      <c r="JZ20" s="561">
        <v>0</v>
      </c>
      <c r="KA20" s="561">
        <v>0</v>
      </c>
      <c r="KB20" s="561">
        <v>0</v>
      </c>
      <c r="KC20" s="561">
        <v>0</v>
      </c>
      <c r="KD20" s="561">
        <v>0</v>
      </c>
      <c r="KE20" s="561">
        <v>86</v>
      </c>
      <c r="KF20" s="561">
        <v>0</v>
      </c>
      <c r="KG20" s="561">
        <v>67694</v>
      </c>
      <c r="KH20" s="561">
        <v>-21084</v>
      </c>
      <c r="KI20" s="561">
        <v>0</v>
      </c>
      <c r="KJ20" s="561">
        <v>-1027</v>
      </c>
      <c r="KK20" s="561">
        <v>0</v>
      </c>
      <c r="KL20" s="561">
        <v>-27825</v>
      </c>
      <c r="KM20" s="561">
        <v>0</v>
      </c>
      <c r="KN20" s="561">
        <v>-7048</v>
      </c>
      <c r="KO20" s="561">
        <v>0</v>
      </c>
      <c r="KP20" s="561">
        <v>0</v>
      </c>
      <c r="KQ20" s="561">
        <v>0</v>
      </c>
      <c r="KR20" s="561">
        <v>10710</v>
      </c>
      <c r="KS20" s="561">
        <v>0</v>
      </c>
      <c r="KT20" s="561">
        <v>-6012</v>
      </c>
      <c r="KU20" s="561">
        <v>4698</v>
      </c>
      <c r="KV20" s="561">
        <v>0</v>
      </c>
      <c r="KW20" s="561">
        <v>0</v>
      </c>
      <c r="KX20" s="561">
        <v>0</v>
      </c>
      <c r="KY20" s="561">
        <v>0</v>
      </c>
      <c r="KZ20" s="561">
        <v>4330</v>
      </c>
      <c r="LA20" s="561">
        <v>0</v>
      </c>
      <c r="LB20" s="561">
        <v>-181</v>
      </c>
      <c r="LC20" s="561">
        <v>0</v>
      </c>
      <c r="LD20" s="561">
        <v>-4092</v>
      </c>
      <c r="LE20" s="561">
        <v>-51</v>
      </c>
      <c r="LF20" s="561">
        <v>7048</v>
      </c>
      <c r="LG20" s="561">
        <v>11752</v>
      </c>
      <c r="LH20" s="561">
        <v>0</v>
      </c>
      <c r="LI20" s="561">
        <v>0</v>
      </c>
      <c r="LJ20" s="561">
        <v>0</v>
      </c>
      <c r="LK20" s="561">
        <v>0</v>
      </c>
      <c r="LL20" s="561">
        <v>42324</v>
      </c>
      <c r="LM20" s="561">
        <v>1500</v>
      </c>
      <c r="LN20" s="561">
        <v>0</v>
      </c>
      <c r="LO20" s="561">
        <v>0</v>
      </c>
      <c r="LP20" s="561">
        <v>0</v>
      </c>
      <c r="LQ20" s="561">
        <v>0</v>
      </c>
      <c r="LR20" s="561">
        <v>46654</v>
      </c>
      <c r="LS20" s="561">
        <v>1500</v>
      </c>
      <c r="LT20" s="561">
        <v>0</v>
      </c>
      <c r="LU20" s="561">
        <v>4122</v>
      </c>
      <c r="LV20" s="561">
        <v>1761</v>
      </c>
      <c r="LW20" s="561">
        <v>0</v>
      </c>
      <c r="LX20" s="561">
        <v>-8243</v>
      </c>
      <c r="LY20" s="561">
        <v>3926</v>
      </c>
      <c r="LZ20" s="561">
        <v>1566</v>
      </c>
      <c r="MA20" s="561">
        <v>0</v>
      </c>
      <c r="MB20" s="561">
        <v>0</v>
      </c>
      <c r="MC20" s="561">
        <v>0</v>
      </c>
      <c r="MD20" s="561">
        <v>0</v>
      </c>
      <c r="ME20" s="561">
        <v>0</v>
      </c>
      <c r="MF20" s="561">
        <v>0</v>
      </c>
      <c r="MG20" s="561">
        <v>0</v>
      </c>
      <c r="MH20" s="561">
        <v>3199</v>
      </c>
      <c r="MI20" s="561">
        <v>6550</v>
      </c>
      <c r="MJ20" s="561">
        <v>9749</v>
      </c>
      <c r="MK20" s="561">
        <v>0</v>
      </c>
      <c r="ML20" s="561">
        <v>0</v>
      </c>
      <c r="MM20" s="561">
        <v>21661</v>
      </c>
      <c r="MN20" s="561">
        <v>18738</v>
      </c>
      <c r="MO20" s="561">
        <v>0</v>
      </c>
      <c r="MP20" s="561">
        <v>6255</v>
      </c>
      <c r="MQ20" s="561">
        <v>0</v>
      </c>
      <c r="MR20" s="561">
        <v>151</v>
      </c>
      <c r="MS20" s="561">
        <v>0</v>
      </c>
      <c r="MT20" s="561">
        <v>0</v>
      </c>
      <c r="MU20" s="561">
        <v>0</v>
      </c>
      <c r="MV20" s="561">
        <v>4402</v>
      </c>
      <c r="MW20" s="561">
        <v>9365</v>
      </c>
      <c r="MX20" s="561">
        <v>14689</v>
      </c>
      <c r="MY20" s="561">
        <v>6192</v>
      </c>
      <c r="MZ20" s="561">
        <v>0</v>
      </c>
      <c r="NA20" s="561">
        <v>0</v>
      </c>
      <c r="NB20" s="561">
        <v>1363</v>
      </c>
      <c r="NC20" s="561">
        <v>0</v>
      </c>
      <c r="ND20" s="561">
        <v>36162</v>
      </c>
      <c r="NE20" s="561">
        <v>0</v>
      </c>
      <c r="NF20" s="561">
        <v>0</v>
      </c>
      <c r="NG20" s="561">
        <v>0</v>
      </c>
      <c r="NH20" s="561">
        <v>0</v>
      </c>
      <c r="NI20" s="561">
        <v>0</v>
      </c>
      <c r="NJ20" s="561">
        <v>0</v>
      </c>
      <c r="NK20" s="561">
        <v>0</v>
      </c>
      <c r="NL20" s="561">
        <v>0</v>
      </c>
      <c r="NM20" s="561">
        <v>0</v>
      </c>
      <c r="NN20" s="561">
        <v>0</v>
      </c>
      <c r="NO20" s="561">
        <v>0</v>
      </c>
      <c r="NP20" s="561">
        <v>0</v>
      </c>
      <c r="NQ20" s="561">
        <v>0</v>
      </c>
      <c r="NR20" s="561">
        <v>0</v>
      </c>
      <c r="NS20" s="561">
        <v>0</v>
      </c>
      <c r="NT20" s="561">
        <v>0</v>
      </c>
      <c r="NU20" s="561">
        <v>-13346</v>
      </c>
      <c r="NV20" s="561">
        <v>0</v>
      </c>
      <c r="NW20" s="561">
        <v>0</v>
      </c>
      <c r="NX20" s="561">
        <v>0</v>
      </c>
      <c r="NY20" s="561">
        <v>0</v>
      </c>
      <c r="NZ20" s="561">
        <v>0</v>
      </c>
      <c r="OA20" s="561">
        <v>0</v>
      </c>
      <c r="OB20" s="561">
        <v>0</v>
      </c>
      <c r="OC20" s="561">
        <v>0</v>
      </c>
      <c r="OD20" s="561">
        <v>0</v>
      </c>
      <c r="OE20" s="561">
        <v>0</v>
      </c>
      <c r="OF20" s="561">
        <v>0</v>
      </c>
      <c r="OG20" s="561">
        <v>0</v>
      </c>
      <c r="OH20" s="561">
        <v>0</v>
      </c>
      <c r="OI20" s="561">
        <v>0</v>
      </c>
      <c r="OJ20" s="561">
        <v>0</v>
      </c>
      <c r="OK20" s="561">
        <v>0</v>
      </c>
      <c r="OL20" s="561">
        <v>0</v>
      </c>
      <c r="OM20" s="561">
        <v>0</v>
      </c>
      <c r="ON20" s="561">
        <v>0</v>
      </c>
      <c r="OO20" s="561">
        <v>0</v>
      </c>
      <c r="OP20" s="561">
        <v>0</v>
      </c>
      <c r="OQ20" s="561">
        <v>0</v>
      </c>
      <c r="OR20" s="561">
        <v>0</v>
      </c>
      <c r="OS20" s="561">
        <v>0</v>
      </c>
      <c r="OT20" s="561">
        <v>0</v>
      </c>
      <c r="OU20" s="561">
        <v>0</v>
      </c>
      <c r="OV20" s="561">
        <v>0</v>
      </c>
      <c r="OW20" s="561">
        <v>0</v>
      </c>
      <c r="OX20" s="561">
        <v>0</v>
      </c>
      <c r="OY20" s="561">
        <v>0</v>
      </c>
      <c r="OZ20" s="561">
        <v>0</v>
      </c>
      <c r="PA20" s="561">
        <v>0</v>
      </c>
      <c r="PB20" s="561">
        <v>0</v>
      </c>
      <c r="PC20" s="561">
        <v>0</v>
      </c>
      <c r="PD20" s="561">
        <v>0</v>
      </c>
      <c r="PE20" s="561">
        <v>0</v>
      </c>
      <c r="PF20" s="561">
        <v>0</v>
      </c>
      <c r="PG20" s="561">
        <v>0</v>
      </c>
      <c r="PH20" s="561">
        <v>0</v>
      </c>
      <c r="PI20" s="561">
        <v>0</v>
      </c>
      <c r="PJ20" s="561">
        <v>0</v>
      </c>
    </row>
    <row r="21" spans="1:426" ht="14" x14ac:dyDescent="0.3">
      <c r="A21" t="s">
        <v>2489</v>
      </c>
      <c r="B21" t="s">
        <v>2490</v>
      </c>
      <c r="C21" t="s">
        <v>2491</v>
      </c>
      <c r="E21" t="s">
        <v>384</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62</v>
      </c>
      <c r="W21" s="561">
        <v>0</v>
      </c>
      <c r="X21" s="561">
        <v>0</v>
      </c>
      <c r="Y21" s="561">
        <v>0</v>
      </c>
      <c r="Z21" s="561">
        <v>0</v>
      </c>
      <c r="AA21" s="561">
        <v>0</v>
      </c>
      <c r="AB21" s="561">
        <v>-293</v>
      </c>
      <c r="AC21" s="561">
        <v>0</v>
      </c>
      <c r="AD21" s="561">
        <v>0</v>
      </c>
      <c r="AE21" s="561">
        <v>0</v>
      </c>
      <c r="AF21" s="561">
        <v>0</v>
      </c>
      <c r="AG21" s="561">
        <v>0</v>
      </c>
      <c r="AH21" s="561">
        <v>0</v>
      </c>
      <c r="AI21" s="561">
        <v>0</v>
      </c>
      <c r="AJ21" s="561">
        <v>-231</v>
      </c>
      <c r="AK21" s="561">
        <v>0</v>
      </c>
      <c r="AL21" s="561">
        <v>0</v>
      </c>
      <c r="AM21" s="561">
        <v>0</v>
      </c>
      <c r="AN21" s="561">
        <v>0</v>
      </c>
      <c r="AO21" s="561">
        <v>0</v>
      </c>
      <c r="AP21" s="561">
        <v>0</v>
      </c>
      <c r="AQ21" s="561">
        <v>0</v>
      </c>
      <c r="AR21" s="561">
        <v>0</v>
      </c>
      <c r="AS21" s="561">
        <v>0</v>
      </c>
      <c r="AT21" s="561">
        <v>0</v>
      </c>
      <c r="AU21" s="561">
        <v>0</v>
      </c>
      <c r="AV21" s="561">
        <v>0</v>
      </c>
      <c r="AW21" s="561">
        <v>0</v>
      </c>
      <c r="AX21" s="561">
        <v>0</v>
      </c>
      <c r="AY21" s="561">
        <v>0</v>
      </c>
      <c r="AZ21" s="561">
        <v>0</v>
      </c>
      <c r="BA21" s="561">
        <v>0</v>
      </c>
      <c r="BB21" s="561">
        <v>0</v>
      </c>
      <c r="BC21" s="561">
        <v>0</v>
      </c>
      <c r="BD21" s="561">
        <v>0</v>
      </c>
      <c r="BE21" s="561">
        <v>0</v>
      </c>
      <c r="BF21" s="561">
        <v>0</v>
      </c>
      <c r="BG21" s="561">
        <v>0</v>
      </c>
      <c r="BH21" s="561">
        <v>0</v>
      </c>
      <c r="BI21" s="561">
        <v>0</v>
      </c>
      <c r="BJ21" s="561">
        <v>0</v>
      </c>
      <c r="BK21" s="561">
        <v>0</v>
      </c>
      <c r="BL21" s="561">
        <v>0</v>
      </c>
      <c r="BM21" s="561">
        <v>0</v>
      </c>
      <c r="BN21" s="561">
        <v>0</v>
      </c>
      <c r="BO21" s="561">
        <v>0</v>
      </c>
      <c r="BP21" s="561">
        <v>0</v>
      </c>
      <c r="BQ21" s="561">
        <v>0</v>
      </c>
      <c r="BR21" s="561">
        <v>0</v>
      </c>
      <c r="BS21" s="561">
        <v>0</v>
      </c>
      <c r="BT21" s="561">
        <v>0</v>
      </c>
      <c r="BU21" s="561">
        <v>0</v>
      </c>
      <c r="BV21" s="561">
        <v>0</v>
      </c>
      <c r="BW21" s="561">
        <v>0</v>
      </c>
      <c r="BX21" s="561">
        <v>0</v>
      </c>
      <c r="BY21" s="561">
        <v>0</v>
      </c>
      <c r="BZ21" s="561">
        <v>0</v>
      </c>
      <c r="CA21" s="561">
        <v>0</v>
      </c>
      <c r="CB21" s="561">
        <v>0</v>
      </c>
      <c r="CC21" s="561">
        <v>0</v>
      </c>
      <c r="CD21" s="561">
        <v>0</v>
      </c>
      <c r="CE21" s="561">
        <v>0</v>
      </c>
      <c r="CF21" s="561">
        <v>0</v>
      </c>
      <c r="CG21" s="561">
        <v>0</v>
      </c>
      <c r="CH21" s="561">
        <v>0</v>
      </c>
      <c r="CI21" s="561">
        <v>0</v>
      </c>
      <c r="CJ21" s="561">
        <v>0</v>
      </c>
      <c r="CK21" s="561">
        <v>0</v>
      </c>
      <c r="CL21" s="561">
        <v>0</v>
      </c>
      <c r="CM21" s="561">
        <v>0</v>
      </c>
      <c r="CN21" s="561">
        <v>0</v>
      </c>
      <c r="CO21" s="561">
        <v>0</v>
      </c>
      <c r="CP21" s="561">
        <v>0</v>
      </c>
      <c r="CQ21" s="561">
        <v>0</v>
      </c>
      <c r="CR21" s="561">
        <v>0</v>
      </c>
      <c r="CS21" s="561">
        <v>0</v>
      </c>
      <c r="CT21" s="561">
        <v>0</v>
      </c>
      <c r="CU21" s="561">
        <v>0</v>
      </c>
      <c r="CV21" s="561">
        <v>0</v>
      </c>
      <c r="CW21" s="561">
        <v>0</v>
      </c>
      <c r="CX21" s="561">
        <v>0</v>
      </c>
      <c r="CY21" s="561">
        <v>0</v>
      </c>
      <c r="CZ21" s="561">
        <v>0</v>
      </c>
      <c r="DA21" s="561">
        <v>0</v>
      </c>
      <c r="DB21" s="561">
        <v>0</v>
      </c>
      <c r="DC21" s="561">
        <v>0</v>
      </c>
      <c r="DD21" s="561">
        <v>0</v>
      </c>
      <c r="DE21" s="561">
        <v>0</v>
      </c>
      <c r="DF21" s="561">
        <v>0</v>
      </c>
      <c r="DG21" s="561">
        <v>0</v>
      </c>
      <c r="DH21" s="561">
        <v>323</v>
      </c>
      <c r="DI21" s="561">
        <v>0</v>
      </c>
      <c r="DJ21" s="561">
        <v>84</v>
      </c>
      <c r="DK21" s="561">
        <v>0</v>
      </c>
      <c r="DL21" s="561">
        <v>0</v>
      </c>
      <c r="DM21" s="561">
        <v>0</v>
      </c>
      <c r="DN21" s="561">
        <v>0</v>
      </c>
      <c r="DO21" s="561">
        <v>117</v>
      </c>
      <c r="DP21" s="561">
        <v>387</v>
      </c>
      <c r="DQ21" s="561">
        <v>109</v>
      </c>
      <c r="DR21" s="561">
        <v>0</v>
      </c>
      <c r="DS21" s="561">
        <v>0</v>
      </c>
      <c r="DT21" s="561">
        <v>277</v>
      </c>
      <c r="DU21" s="561">
        <v>890</v>
      </c>
      <c r="DV21" s="561">
        <v>113</v>
      </c>
      <c r="DW21" s="561">
        <v>0</v>
      </c>
      <c r="DX21" s="561">
        <v>-4</v>
      </c>
      <c r="DY21" s="561">
        <v>1368</v>
      </c>
      <c r="DZ21" s="561">
        <v>-67</v>
      </c>
      <c r="EA21" s="561">
        <v>-26</v>
      </c>
      <c r="EB21" s="561">
        <v>0</v>
      </c>
      <c r="EC21" s="561">
        <v>2681</v>
      </c>
      <c r="ED21" s="561">
        <v>68</v>
      </c>
      <c r="EE21" s="561">
        <v>30434</v>
      </c>
      <c r="EF21" s="561">
        <v>290</v>
      </c>
      <c r="EG21" s="561">
        <v>1927</v>
      </c>
      <c r="EH21" s="561">
        <v>0</v>
      </c>
      <c r="EI21" s="561">
        <v>0</v>
      </c>
      <c r="EJ21" s="561">
        <v>0</v>
      </c>
      <c r="EK21" s="561">
        <v>0</v>
      </c>
      <c r="EL21" s="561">
        <v>0</v>
      </c>
      <c r="EM21" s="561">
        <v>0</v>
      </c>
      <c r="EN21" s="561">
        <v>10337</v>
      </c>
      <c r="EO21" s="561">
        <v>8425</v>
      </c>
      <c r="EP21" s="561">
        <v>1900</v>
      </c>
      <c r="EQ21" s="561">
        <v>569</v>
      </c>
      <c r="ER21" s="561">
        <v>16162</v>
      </c>
      <c r="ES21" s="561" t="s">
        <v>4565</v>
      </c>
      <c r="ET21" s="561">
        <v>0</v>
      </c>
      <c r="EU21" s="561">
        <v>0</v>
      </c>
      <c r="EV21" s="561">
        <v>4220</v>
      </c>
      <c r="EW21" s="561">
        <v>-10752</v>
      </c>
      <c r="EX21" s="561">
        <v>0</v>
      </c>
      <c r="EY21" s="561">
        <v>146</v>
      </c>
      <c r="EZ21" s="561">
        <v>1644</v>
      </c>
      <c r="FA21" s="561">
        <v>1905</v>
      </c>
      <c r="FB21" s="561">
        <v>0</v>
      </c>
      <c r="FC21" s="561">
        <v>2</v>
      </c>
      <c r="FD21" s="561">
        <v>0</v>
      </c>
      <c r="FE21" s="561">
        <v>249</v>
      </c>
      <c r="FF21" s="561">
        <v>-8</v>
      </c>
      <c r="FG21" s="561">
        <v>0</v>
      </c>
      <c r="FH21" s="561">
        <v>0</v>
      </c>
      <c r="FI21" s="561">
        <v>142</v>
      </c>
      <c r="FJ21" s="561">
        <v>1352</v>
      </c>
      <c r="FK21" s="561">
        <v>1625</v>
      </c>
      <c r="FL21" s="561">
        <v>15</v>
      </c>
      <c r="FM21" s="561">
        <v>52</v>
      </c>
      <c r="FN21" s="561">
        <v>0</v>
      </c>
      <c r="FO21" s="561">
        <v>3429</v>
      </c>
      <c r="FP21" s="561">
        <v>7</v>
      </c>
      <c r="FQ21" s="561">
        <v>70</v>
      </c>
      <c r="FR21" s="561">
        <v>0</v>
      </c>
      <c r="FS21" s="561">
        <v>32</v>
      </c>
      <c r="FT21" s="561">
        <v>227</v>
      </c>
      <c r="FU21" s="561">
        <v>459</v>
      </c>
      <c r="FV21" s="561">
        <v>192</v>
      </c>
      <c r="FW21" s="561">
        <v>105</v>
      </c>
      <c r="FX21" s="561">
        <v>0</v>
      </c>
      <c r="FY21" s="561">
        <v>0</v>
      </c>
      <c r="FZ21" s="561">
        <v>0</v>
      </c>
      <c r="GA21" s="561">
        <v>205</v>
      </c>
      <c r="GB21" s="561">
        <v>264</v>
      </c>
      <c r="GC21" s="561">
        <v>46</v>
      </c>
      <c r="GD21" s="561">
        <v>453</v>
      </c>
      <c r="GE21" s="561">
        <v>0</v>
      </c>
      <c r="GF21" s="561">
        <v>639</v>
      </c>
      <c r="GG21" s="561">
        <v>0</v>
      </c>
      <c r="GH21" s="561">
        <v>75</v>
      </c>
      <c r="GI21" s="561">
        <v>893</v>
      </c>
      <c r="GJ21" s="561">
        <v>0</v>
      </c>
      <c r="GK21" s="561">
        <v>0</v>
      </c>
      <c r="GL21" s="561">
        <v>1105</v>
      </c>
      <c r="GM21" s="561">
        <v>2664</v>
      </c>
      <c r="GN21" s="561">
        <v>28</v>
      </c>
      <c r="GO21" s="561">
        <v>0</v>
      </c>
      <c r="GP21" s="561">
        <v>55</v>
      </c>
      <c r="GQ21" s="561">
        <v>0</v>
      </c>
      <c r="GR21" s="561">
        <v>372</v>
      </c>
      <c r="GS21" s="561">
        <v>7884</v>
      </c>
      <c r="GT21" s="561">
        <v>605</v>
      </c>
      <c r="GU21" s="561">
        <v>523</v>
      </c>
      <c r="GV21" s="561">
        <v>-196</v>
      </c>
      <c r="GW21" s="561">
        <v>253</v>
      </c>
      <c r="GX21" s="561">
        <v>694</v>
      </c>
      <c r="GY21" s="561">
        <v>0</v>
      </c>
      <c r="GZ21" s="561">
        <v>1922</v>
      </c>
      <c r="HA21" s="561">
        <v>0</v>
      </c>
      <c r="HB21" s="561">
        <v>656</v>
      </c>
      <c r="HC21" s="561">
        <v>3658</v>
      </c>
      <c r="HD21" s="561">
        <v>7510</v>
      </c>
      <c r="HE21" s="561">
        <v>1034</v>
      </c>
      <c r="HF21" s="561">
        <v>18823</v>
      </c>
      <c r="HG21" s="561">
        <v>0</v>
      </c>
      <c r="HH21" s="561">
        <v>0</v>
      </c>
      <c r="HI21" s="561">
        <v>0</v>
      </c>
      <c r="HJ21" s="561">
        <v>0</v>
      </c>
      <c r="HK21" s="561">
        <v>0</v>
      </c>
      <c r="HL21" s="561">
        <v>0</v>
      </c>
      <c r="HM21" s="561">
        <v>0</v>
      </c>
      <c r="HN21" s="561">
        <v>0</v>
      </c>
      <c r="HO21" s="561">
        <v>1867</v>
      </c>
      <c r="HP21" s="561">
        <v>480</v>
      </c>
      <c r="HQ21" s="561">
        <v>0</v>
      </c>
      <c r="HR21" s="561">
        <v>0</v>
      </c>
      <c r="HS21" s="561">
        <v>0</v>
      </c>
      <c r="HT21" s="561">
        <v>90</v>
      </c>
      <c r="HU21" s="561">
        <v>-19</v>
      </c>
      <c r="HV21" s="561">
        <v>0</v>
      </c>
      <c r="HW21" s="561">
        <v>288</v>
      </c>
      <c r="HX21" s="561">
        <v>257</v>
      </c>
      <c r="HY21" s="561">
        <v>75</v>
      </c>
      <c r="HZ21" s="561">
        <v>-49</v>
      </c>
      <c r="IA21" s="561">
        <v>6</v>
      </c>
      <c r="IB21" s="561">
        <v>313</v>
      </c>
      <c r="IC21" s="561">
        <v>0</v>
      </c>
      <c r="ID21" s="561">
        <v>0</v>
      </c>
      <c r="IE21" s="561">
        <v>98</v>
      </c>
      <c r="IF21" s="561">
        <v>66</v>
      </c>
      <c r="IG21" s="561">
        <v>0</v>
      </c>
      <c r="IH21" s="561">
        <v>0</v>
      </c>
      <c r="II21" s="561">
        <v>3472</v>
      </c>
      <c r="IJ21" s="561">
        <v>0</v>
      </c>
      <c r="IK21" s="561">
        <v>0</v>
      </c>
      <c r="IL21" s="561">
        <v>0</v>
      </c>
      <c r="IM21" s="561">
        <v>0</v>
      </c>
      <c r="IN21" s="561">
        <v>0</v>
      </c>
      <c r="IO21" s="561">
        <v>0</v>
      </c>
      <c r="IP21" s="561">
        <v>0</v>
      </c>
      <c r="IQ21" s="561">
        <v>0</v>
      </c>
      <c r="IR21" s="561">
        <v>0</v>
      </c>
      <c r="IS21" s="561">
        <v>-231</v>
      </c>
      <c r="IT21" s="561">
        <v>0</v>
      </c>
      <c r="IU21" s="561">
        <v>0</v>
      </c>
      <c r="IV21" s="561">
        <v>0</v>
      </c>
      <c r="IW21" s="561">
        <v>2681</v>
      </c>
      <c r="IX21" s="561">
        <v>3429</v>
      </c>
      <c r="IY21" s="561">
        <v>7884</v>
      </c>
      <c r="IZ21" s="561">
        <v>7510</v>
      </c>
      <c r="JA21" s="561">
        <v>0</v>
      </c>
      <c r="JB21" s="561">
        <v>0</v>
      </c>
      <c r="JC21" s="561">
        <v>3472</v>
      </c>
      <c r="JD21" s="561">
        <v>0</v>
      </c>
      <c r="JE21" s="561">
        <v>24745</v>
      </c>
      <c r="JF21" s="561">
        <v>9472</v>
      </c>
      <c r="JG21" s="561">
        <v>89</v>
      </c>
      <c r="JH21" s="561">
        <v>9261</v>
      </c>
      <c r="JI21" s="561">
        <v>0</v>
      </c>
      <c r="JJ21" s="561">
        <v>0</v>
      </c>
      <c r="JK21" s="561">
        <v>1602</v>
      </c>
      <c r="JL21" s="561">
        <v>0</v>
      </c>
      <c r="JM21" s="561">
        <v>0</v>
      </c>
      <c r="JN21" s="561">
        <v>0</v>
      </c>
      <c r="JO21" s="561">
        <v>0</v>
      </c>
      <c r="JP21" s="561">
        <v>348</v>
      </c>
      <c r="JQ21" s="561">
        <v>0</v>
      </c>
      <c r="JR21" s="561">
        <v>0</v>
      </c>
      <c r="JS21" s="561">
        <v>0</v>
      </c>
      <c r="JT21" s="561">
        <v>-38</v>
      </c>
      <c r="JU21" s="561">
        <v>0</v>
      </c>
      <c r="JV21" s="561">
        <v>45479</v>
      </c>
      <c r="JW21" s="561">
        <v>0</v>
      </c>
      <c r="JX21" s="561">
        <v>834</v>
      </c>
      <c r="JY21" s="561">
        <v>0</v>
      </c>
      <c r="JZ21" s="561">
        <v>0</v>
      </c>
      <c r="KA21" s="561">
        <v>0</v>
      </c>
      <c r="KB21" s="561">
        <v>50</v>
      </c>
      <c r="KC21" s="561">
        <v>303</v>
      </c>
      <c r="KD21" s="561">
        <v>0</v>
      </c>
      <c r="KE21" s="561">
        <v>3630</v>
      </c>
      <c r="KF21" s="561">
        <v>-3294</v>
      </c>
      <c r="KG21" s="561">
        <v>47002</v>
      </c>
      <c r="KH21" s="561">
        <v>-1938</v>
      </c>
      <c r="KI21" s="561">
        <v>0</v>
      </c>
      <c r="KJ21" s="561">
        <v>162</v>
      </c>
      <c r="KK21" s="561">
        <v>0</v>
      </c>
      <c r="KL21" s="561">
        <v>-18416</v>
      </c>
      <c r="KM21" s="561">
        <v>0</v>
      </c>
      <c r="KN21" s="561">
        <v>-3007</v>
      </c>
      <c r="KO21" s="561">
        <v>0</v>
      </c>
      <c r="KP21" s="561">
        <v>0</v>
      </c>
      <c r="KQ21" s="561">
        <v>0</v>
      </c>
      <c r="KR21" s="561">
        <v>23803</v>
      </c>
      <c r="KS21" s="561">
        <v>0</v>
      </c>
      <c r="KT21" s="561">
        <v>-10148</v>
      </c>
      <c r="KU21" s="561">
        <v>13655</v>
      </c>
      <c r="KV21" s="561">
        <v>0</v>
      </c>
      <c r="KW21" s="561">
        <v>0</v>
      </c>
      <c r="KX21" s="561">
        <v>0</v>
      </c>
      <c r="KY21" s="561">
        <v>0</v>
      </c>
      <c r="KZ21" s="561">
        <v>731</v>
      </c>
      <c r="LA21" s="561">
        <v>1052</v>
      </c>
      <c r="LB21" s="561">
        <v>-448</v>
      </c>
      <c r="LC21" s="561">
        <v>0</v>
      </c>
      <c r="LD21" s="561">
        <v>-5632</v>
      </c>
      <c r="LE21" s="561">
        <v>-198</v>
      </c>
      <c r="LF21" s="561">
        <v>0</v>
      </c>
      <c r="LG21" s="561">
        <v>9160</v>
      </c>
      <c r="LH21" s="561">
        <v>0</v>
      </c>
      <c r="LI21" s="561">
        <v>0</v>
      </c>
      <c r="LJ21" s="561">
        <v>0</v>
      </c>
      <c r="LK21" s="561">
        <v>0</v>
      </c>
      <c r="LL21" s="561">
        <v>9612</v>
      </c>
      <c r="LM21" s="561">
        <v>3703</v>
      </c>
      <c r="LN21" s="561">
        <v>0</v>
      </c>
      <c r="LO21" s="561">
        <v>0</v>
      </c>
      <c r="LP21" s="561">
        <v>0</v>
      </c>
      <c r="LQ21" s="561">
        <v>0</v>
      </c>
      <c r="LR21" s="561">
        <v>10343</v>
      </c>
      <c r="LS21" s="561">
        <v>4755</v>
      </c>
      <c r="LT21" s="561">
        <v>0</v>
      </c>
      <c r="LU21" s="561">
        <v>1747</v>
      </c>
      <c r="LV21" s="561">
        <v>0</v>
      </c>
      <c r="LW21" s="561">
        <v>4514</v>
      </c>
      <c r="LX21" s="561">
        <v>0</v>
      </c>
      <c r="LY21" s="561">
        <v>4298</v>
      </c>
      <c r="LZ21" s="561">
        <v>10559</v>
      </c>
      <c r="MA21" s="561">
        <v>0</v>
      </c>
      <c r="MB21" s="561">
        <v>0</v>
      </c>
      <c r="MC21" s="561">
        <v>32651</v>
      </c>
      <c r="MD21" s="561">
        <v>31007</v>
      </c>
      <c r="ME21" s="561">
        <v>1644</v>
      </c>
      <c r="MF21" s="561">
        <v>1905</v>
      </c>
      <c r="MG21" s="561">
        <v>3549</v>
      </c>
      <c r="MH21" s="561">
        <v>4099</v>
      </c>
      <c r="MI21" s="561">
        <v>4887</v>
      </c>
      <c r="MJ21" s="561">
        <v>8986</v>
      </c>
      <c r="MK21" s="561">
        <v>0</v>
      </c>
      <c r="ML21" s="561">
        <v>0</v>
      </c>
      <c r="MM21" s="561">
        <v>5391</v>
      </c>
      <c r="MN21" s="561">
        <v>1270</v>
      </c>
      <c r="MO21" s="561">
        <v>3682</v>
      </c>
      <c r="MP21" s="561">
        <v>0</v>
      </c>
      <c r="MQ21" s="561">
        <v>0</v>
      </c>
      <c r="MR21" s="561">
        <v>-231</v>
      </c>
      <c r="MS21" s="561">
        <v>0</v>
      </c>
      <c r="MT21" s="561">
        <v>0</v>
      </c>
      <c r="MU21" s="561">
        <v>0</v>
      </c>
      <c r="MV21" s="561">
        <v>2681</v>
      </c>
      <c r="MW21" s="561">
        <v>3429</v>
      </c>
      <c r="MX21" s="561">
        <v>7884</v>
      </c>
      <c r="MY21" s="561">
        <v>7510</v>
      </c>
      <c r="MZ21" s="561">
        <v>0</v>
      </c>
      <c r="NA21" s="561">
        <v>0</v>
      </c>
      <c r="NB21" s="561">
        <v>3472</v>
      </c>
      <c r="NC21" s="561">
        <v>0</v>
      </c>
      <c r="ND21" s="561">
        <v>24745</v>
      </c>
      <c r="NE21" s="561">
        <v>0</v>
      </c>
      <c r="NF21" s="561">
        <v>0</v>
      </c>
      <c r="NG21" s="561">
        <v>0</v>
      </c>
      <c r="NH21" s="561">
        <v>0</v>
      </c>
      <c r="NI21" s="561">
        <v>0</v>
      </c>
      <c r="NJ21" s="561">
        <v>0</v>
      </c>
      <c r="NK21" s="561">
        <v>0</v>
      </c>
      <c r="NL21" s="561">
        <v>0</v>
      </c>
      <c r="NM21" s="561">
        <v>0</v>
      </c>
      <c r="NN21" s="561">
        <v>0</v>
      </c>
      <c r="NO21" s="561">
        <v>0</v>
      </c>
      <c r="NP21" s="561">
        <v>0</v>
      </c>
      <c r="NQ21" s="561">
        <v>-22</v>
      </c>
      <c r="NR21" s="561">
        <v>0</v>
      </c>
      <c r="NS21" s="561">
        <v>0</v>
      </c>
      <c r="NT21" s="561">
        <v>279</v>
      </c>
      <c r="NU21" s="561">
        <v>0</v>
      </c>
      <c r="NV21" s="561">
        <v>331</v>
      </c>
      <c r="NW21" s="561">
        <v>348</v>
      </c>
      <c r="NX21" s="561">
        <v>0</v>
      </c>
      <c r="NY21" s="561">
        <v>348</v>
      </c>
      <c r="NZ21" s="561">
        <v>0</v>
      </c>
      <c r="OA21" s="561">
        <v>0</v>
      </c>
      <c r="OB21" s="561">
        <v>0</v>
      </c>
      <c r="OC21" s="561">
        <v>0</v>
      </c>
      <c r="OD21" s="561">
        <v>0</v>
      </c>
      <c r="OE21" s="561">
        <v>0</v>
      </c>
      <c r="OF21" s="561">
        <v>0</v>
      </c>
      <c r="OG21" s="561">
        <v>0</v>
      </c>
      <c r="OH21" s="561">
        <v>0</v>
      </c>
      <c r="OI21" s="561">
        <v>0</v>
      </c>
      <c r="OJ21" s="561">
        <v>0</v>
      </c>
      <c r="OK21" s="561">
        <v>0</v>
      </c>
      <c r="OL21" s="561">
        <v>0</v>
      </c>
      <c r="OM21" s="561">
        <v>0</v>
      </c>
      <c r="ON21" s="561">
        <v>0</v>
      </c>
      <c r="OO21" s="561">
        <v>0</v>
      </c>
      <c r="OP21" s="561">
        <v>0</v>
      </c>
      <c r="OQ21" s="561">
        <v>0</v>
      </c>
      <c r="OR21" s="561">
        <v>0</v>
      </c>
      <c r="OS21" s="561">
        <v>0</v>
      </c>
      <c r="OT21" s="561">
        <v>0</v>
      </c>
      <c r="OU21" s="561">
        <v>0</v>
      </c>
      <c r="OV21" s="561">
        <v>15</v>
      </c>
      <c r="OW21" s="561">
        <v>0</v>
      </c>
      <c r="OX21" s="561">
        <v>0</v>
      </c>
      <c r="OY21" s="561">
        <v>0</v>
      </c>
      <c r="OZ21" s="561">
        <v>0</v>
      </c>
      <c r="PA21" s="561">
        <v>0</v>
      </c>
      <c r="PB21" s="561">
        <v>0</v>
      </c>
      <c r="PC21" s="561">
        <v>0</v>
      </c>
      <c r="PD21" s="561">
        <v>0</v>
      </c>
      <c r="PE21" s="561">
        <v>0</v>
      </c>
      <c r="PF21" s="561">
        <v>0</v>
      </c>
      <c r="PG21" s="561">
        <v>0</v>
      </c>
      <c r="PH21" s="561">
        <v>0</v>
      </c>
      <c r="PI21" s="561">
        <v>0</v>
      </c>
      <c r="PJ21" s="561">
        <v>0</v>
      </c>
    </row>
    <row r="22" spans="1:426" ht="14" x14ac:dyDescent="0.3">
      <c r="A22" t="s">
        <v>2492</v>
      </c>
      <c r="B22" t="s">
        <v>2493</v>
      </c>
      <c r="C22" t="s">
        <v>4567</v>
      </c>
      <c r="E22" t="s">
        <v>385</v>
      </c>
      <c r="F22" s="561">
        <v>20398</v>
      </c>
      <c r="G22" s="561">
        <v>13912</v>
      </c>
      <c r="H22" s="561">
        <v>18246</v>
      </c>
      <c r="I22" s="561">
        <v>29325</v>
      </c>
      <c r="J22" s="561">
        <v>4709</v>
      </c>
      <c r="K22" s="561">
        <v>10191</v>
      </c>
      <c r="L22" s="561">
        <v>96781</v>
      </c>
      <c r="M22" s="561">
        <v>0</v>
      </c>
      <c r="N22" s="561">
        <v>338</v>
      </c>
      <c r="O22" s="561">
        <v>2679</v>
      </c>
      <c r="P22" s="561">
        <v>2624</v>
      </c>
      <c r="Q22" s="561">
        <v>1231</v>
      </c>
      <c r="R22" s="561">
        <v>205</v>
      </c>
      <c r="S22" s="561">
        <v>393</v>
      </c>
      <c r="T22" s="561">
        <v>0</v>
      </c>
      <c r="U22" s="561">
        <v>559</v>
      </c>
      <c r="V22" s="561">
        <v>1869</v>
      </c>
      <c r="W22" s="561">
        <v>0</v>
      </c>
      <c r="X22" s="561">
        <v>-370</v>
      </c>
      <c r="Y22" s="561">
        <v>468</v>
      </c>
      <c r="Z22" s="561">
        <v>222</v>
      </c>
      <c r="AA22" s="561">
        <v>-2568</v>
      </c>
      <c r="AB22" s="561">
        <v>-6674</v>
      </c>
      <c r="AC22" s="561">
        <v>-27</v>
      </c>
      <c r="AD22" s="561">
        <v>-3</v>
      </c>
      <c r="AE22" s="561">
        <v>62</v>
      </c>
      <c r="AF22" s="561">
        <v>0</v>
      </c>
      <c r="AG22" s="561">
        <v>0</v>
      </c>
      <c r="AH22" s="561">
        <v>21</v>
      </c>
      <c r="AI22" s="561">
        <v>0</v>
      </c>
      <c r="AJ22" s="561">
        <v>1029</v>
      </c>
      <c r="AK22" s="561">
        <v>0</v>
      </c>
      <c r="AL22" s="561">
        <v>0</v>
      </c>
      <c r="AM22" s="561">
        <v>0</v>
      </c>
      <c r="AN22" s="561">
        <v>0</v>
      </c>
      <c r="AO22" s="561">
        <v>0</v>
      </c>
      <c r="AP22" s="561">
        <v>0</v>
      </c>
      <c r="AQ22" s="561">
        <v>0</v>
      </c>
      <c r="AR22" s="561">
        <v>0</v>
      </c>
      <c r="AS22" s="561">
        <v>1115</v>
      </c>
      <c r="AT22" s="561">
        <v>3237</v>
      </c>
      <c r="AU22" s="561">
        <v>0</v>
      </c>
      <c r="AV22" s="561">
        <v>0</v>
      </c>
      <c r="AW22" s="561">
        <v>0</v>
      </c>
      <c r="AX22" s="561">
        <v>1671</v>
      </c>
      <c r="AY22" s="561">
        <v>26767</v>
      </c>
      <c r="AZ22" s="561">
        <v>2597</v>
      </c>
      <c r="BA22" s="561">
        <v>1558</v>
      </c>
      <c r="BB22" s="561">
        <v>942</v>
      </c>
      <c r="BC22" s="561">
        <v>11590</v>
      </c>
      <c r="BD22" s="561">
        <v>2188</v>
      </c>
      <c r="BE22" s="561">
        <v>116</v>
      </c>
      <c r="BF22" s="561">
        <v>47429</v>
      </c>
      <c r="BG22" s="561">
        <v>0</v>
      </c>
      <c r="BH22" s="561">
        <v>3207</v>
      </c>
      <c r="BI22" s="561">
        <v>16216</v>
      </c>
      <c r="BJ22" s="561">
        <v>1168</v>
      </c>
      <c r="BK22" s="561">
        <v>406</v>
      </c>
      <c r="BL22" s="561">
        <v>310</v>
      </c>
      <c r="BM22" s="561">
        <v>4642</v>
      </c>
      <c r="BN22" s="561">
        <v>20273</v>
      </c>
      <c r="BO22" s="561">
        <v>2852</v>
      </c>
      <c r="BP22" s="561">
        <v>2954</v>
      </c>
      <c r="BQ22" s="561">
        <v>4950</v>
      </c>
      <c r="BR22" s="561">
        <v>1409</v>
      </c>
      <c r="BS22" s="561">
        <v>0</v>
      </c>
      <c r="BT22" s="561">
        <v>1262</v>
      </c>
      <c r="BU22" s="561">
        <v>261</v>
      </c>
      <c r="BV22" s="561">
        <v>399</v>
      </c>
      <c r="BW22" s="561">
        <v>11651</v>
      </c>
      <c r="BX22" s="561">
        <v>286</v>
      </c>
      <c r="BY22" s="561">
        <v>6558</v>
      </c>
      <c r="BZ22" s="561">
        <v>78804</v>
      </c>
      <c r="CA22" s="561">
        <v>0</v>
      </c>
      <c r="CB22" s="561">
        <v>1076</v>
      </c>
      <c r="CC22" s="561">
        <v>320</v>
      </c>
      <c r="CD22" s="561">
        <v>126</v>
      </c>
      <c r="CE22" s="561">
        <v>222</v>
      </c>
      <c r="CF22" s="561">
        <v>89</v>
      </c>
      <c r="CG22" s="561">
        <v>79</v>
      </c>
      <c r="CH22" s="561">
        <v>81</v>
      </c>
      <c r="CI22" s="561">
        <v>425</v>
      </c>
      <c r="CJ22" s="561">
        <v>261</v>
      </c>
      <c r="CK22" s="561">
        <v>215</v>
      </c>
      <c r="CL22" s="561">
        <v>195</v>
      </c>
      <c r="CM22" s="561">
        <v>1306</v>
      </c>
      <c r="CN22" s="561">
        <v>855</v>
      </c>
      <c r="CO22" s="561">
        <v>70</v>
      </c>
      <c r="CP22" s="561">
        <v>70</v>
      </c>
      <c r="CQ22" s="561">
        <v>70</v>
      </c>
      <c r="CR22" s="561">
        <v>102</v>
      </c>
      <c r="CS22" s="561">
        <v>268</v>
      </c>
      <c r="CT22" s="561">
        <v>930</v>
      </c>
      <c r="CU22" s="561">
        <v>3111</v>
      </c>
      <c r="CV22" s="561">
        <v>69</v>
      </c>
      <c r="CW22" s="561">
        <v>25</v>
      </c>
      <c r="CX22" s="561">
        <v>67</v>
      </c>
      <c r="CY22" s="561">
        <v>1079</v>
      </c>
      <c r="CZ22" s="561">
        <v>11111</v>
      </c>
      <c r="DA22" s="561">
        <v>0</v>
      </c>
      <c r="DB22" s="561">
        <v>342</v>
      </c>
      <c r="DC22" s="561">
        <v>0</v>
      </c>
      <c r="DD22" s="561">
        <v>40</v>
      </c>
      <c r="DE22" s="561">
        <v>0</v>
      </c>
      <c r="DF22" s="561">
        <v>0</v>
      </c>
      <c r="DG22" s="561">
        <v>0</v>
      </c>
      <c r="DH22" s="561">
        <v>294</v>
      </c>
      <c r="DI22" s="561">
        <v>0</v>
      </c>
      <c r="DJ22" s="561">
        <v>0</v>
      </c>
      <c r="DK22" s="561">
        <v>297</v>
      </c>
      <c r="DL22" s="561">
        <v>0</v>
      </c>
      <c r="DM22" s="561">
        <v>0</v>
      </c>
      <c r="DN22" s="561">
        <v>0</v>
      </c>
      <c r="DO22" s="561">
        <v>69</v>
      </c>
      <c r="DP22" s="561">
        <v>34</v>
      </c>
      <c r="DQ22" s="561">
        <v>0</v>
      </c>
      <c r="DR22" s="561">
        <v>0</v>
      </c>
      <c r="DS22" s="561">
        <v>0</v>
      </c>
      <c r="DT22" s="561">
        <v>2413</v>
      </c>
      <c r="DU22" s="561">
        <v>2516</v>
      </c>
      <c r="DV22" s="561">
        <v>193</v>
      </c>
      <c r="DW22" s="561">
        <v>0</v>
      </c>
      <c r="DX22" s="561">
        <v>0</v>
      </c>
      <c r="DY22" s="561">
        <v>2261</v>
      </c>
      <c r="DZ22" s="561">
        <v>0</v>
      </c>
      <c r="EA22" s="561">
        <v>2510</v>
      </c>
      <c r="EB22" s="561">
        <v>0</v>
      </c>
      <c r="EC22" s="561">
        <v>8071</v>
      </c>
      <c r="ED22" s="561">
        <v>0</v>
      </c>
      <c r="EE22" s="561">
        <v>0</v>
      </c>
      <c r="EF22" s="561">
        <v>0</v>
      </c>
      <c r="EG22" s="561">
        <v>0</v>
      </c>
      <c r="EH22" s="561">
        <v>0</v>
      </c>
      <c r="EI22" s="561">
        <v>0</v>
      </c>
      <c r="EJ22" s="561">
        <v>0</v>
      </c>
      <c r="EK22" s="561">
        <v>0</v>
      </c>
      <c r="EL22" s="561">
        <v>0</v>
      </c>
      <c r="EM22" s="561">
        <v>0</v>
      </c>
      <c r="EN22" s="561">
        <v>0</v>
      </c>
      <c r="EO22" s="561">
        <v>0</v>
      </c>
      <c r="EP22" s="561">
        <v>0</v>
      </c>
      <c r="EQ22" s="561">
        <v>0</v>
      </c>
      <c r="ER22" s="561">
        <v>0</v>
      </c>
      <c r="ES22" s="561" t="s">
        <v>4565</v>
      </c>
      <c r="ET22" s="561">
        <v>0</v>
      </c>
      <c r="EU22" s="561">
        <v>0</v>
      </c>
      <c r="EV22" s="561">
        <v>0</v>
      </c>
      <c r="EW22" s="561">
        <v>0</v>
      </c>
      <c r="EX22" s="561">
        <v>0</v>
      </c>
      <c r="EY22" s="561">
        <v>0</v>
      </c>
      <c r="EZ22" s="561">
        <v>0</v>
      </c>
      <c r="FA22" s="561">
        <v>0</v>
      </c>
      <c r="FB22" s="561">
        <v>410</v>
      </c>
      <c r="FC22" s="561">
        <v>0</v>
      </c>
      <c r="FD22" s="561">
        <v>-12551</v>
      </c>
      <c r="FE22" s="561">
        <v>331</v>
      </c>
      <c r="FF22" s="561">
        <v>0</v>
      </c>
      <c r="FG22" s="561">
        <v>0</v>
      </c>
      <c r="FH22" s="561">
        <v>0</v>
      </c>
      <c r="FI22" s="561">
        <v>0</v>
      </c>
      <c r="FJ22" s="561">
        <v>-1965</v>
      </c>
      <c r="FK22" s="561">
        <v>3411</v>
      </c>
      <c r="FL22" s="561">
        <v>-50</v>
      </c>
      <c r="FM22" s="561">
        <v>521</v>
      </c>
      <c r="FN22" s="561">
        <v>2831</v>
      </c>
      <c r="FO22" s="561">
        <v>-7062</v>
      </c>
      <c r="FP22" s="561">
        <v>0</v>
      </c>
      <c r="FQ22" s="561">
        <v>-378</v>
      </c>
      <c r="FR22" s="561">
        <v>467</v>
      </c>
      <c r="FS22" s="561">
        <v>16</v>
      </c>
      <c r="FT22" s="561">
        <v>652</v>
      </c>
      <c r="FU22" s="561">
        <v>-122</v>
      </c>
      <c r="FV22" s="561">
        <v>321</v>
      </c>
      <c r="FW22" s="561">
        <v>0</v>
      </c>
      <c r="FX22" s="561">
        <v>0</v>
      </c>
      <c r="FY22" s="561">
        <v>0</v>
      </c>
      <c r="FZ22" s="561">
        <v>23</v>
      </c>
      <c r="GA22" s="561">
        <v>209</v>
      </c>
      <c r="GB22" s="561">
        <v>30</v>
      </c>
      <c r="GC22" s="561">
        <v>52</v>
      </c>
      <c r="GD22" s="561">
        <v>507</v>
      </c>
      <c r="GE22" s="561">
        <v>0</v>
      </c>
      <c r="GF22" s="561">
        <v>646</v>
      </c>
      <c r="GG22" s="561">
        <v>247</v>
      </c>
      <c r="GH22" s="561">
        <v>147</v>
      </c>
      <c r="GI22" s="561">
        <v>0</v>
      </c>
      <c r="GJ22" s="561">
        <v>0</v>
      </c>
      <c r="GK22" s="561">
        <v>0</v>
      </c>
      <c r="GL22" s="561">
        <v>4674</v>
      </c>
      <c r="GM22" s="561">
        <v>3663</v>
      </c>
      <c r="GN22" s="561">
        <v>7963</v>
      </c>
      <c r="GO22" s="561">
        <v>-112</v>
      </c>
      <c r="GP22" s="561">
        <v>4810</v>
      </c>
      <c r="GQ22" s="561">
        <v>14</v>
      </c>
      <c r="GR22" s="561">
        <v>0</v>
      </c>
      <c r="GS22" s="561">
        <v>23829</v>
      </c>
      <c r="GT22" s="561">
        <v>0</v>
      </c>
      <c r="GU22" s="561">
        <v>456</v>
      </c>
      <c r="GV22" s="561">
        <v>1078</v>
      </c>
      <c r="GW22" s="561">
        <v>0</v>
      </c>
      <c r="GX22" s="561">
        <v>1146</v>
      </c>
      <c r="GY22" s="561">
        <v>2060</v>
      </c>
      <c r="GZ22" s="561">
        <v>565</v>
      </c>
      <c r="HA22" s="561">
        <v>565</v>
      </c>
      <c r="HB22" s="561">
        <v>2657</v>
      </c>
      <c r="HC22" s="561">
        <v>2370</v>
      </c>
      <c r="HD22" s="561">
        <v>10897</v>
      </c>
      <c r="HE22" s="561">
        <v>0</v>
      </c>
      <c r="HF22" s="561">
        <v>27664</v>
      </c>
      <c r="HG22" s="561">
        <v>0</v>
      </c>
      <c r="HH22" s="561">
        <v>0</v>
      </c>
      <c r="HI22" s="561">
        <v>0</v>
      </c>
      <c r="HJ22" s="561">
        <v>0</v>
      </c>
      <c r="HK22" s="561">
        <v>0</v>
      </c>
      <c r="HL22" s="561">
        <v>0</v>
      </c>
      <c r="HM22" s="561">
        <v>0</v>
      </c>
      <c r="HN22" s="561">
        <v>0</v>
      </c>
      <c r="HO22" s="561">
        <v>4119</v>
      </c>
      <c r="HP22" s="561">
        <v>1060</v>
      </c>
      <c r="HQ22" s="561">
        <v>0</v>
      </c>
      <c r="HR22" s="561">
        <v>0</v>
      </c>
      <c r="HS22" s="561">
        <v>1136</v>
      </c>
      <c r="HT22" s="561">
        <v>-167</v>
      </c>
      <c r="HU22" s="561">
        <v>0</v>
      </c>
      <c r="HV22" s="561">
        <v>-44</v>
      </c>
      <c r="HW22" s="561">
        <v>157</v>
      </c>
      <c r="HX22" s="561">
        <v>640</v>
      </c>
      <c r="HY22" s="561">
        <v>239</v>
      </c>
      <c r="HZ22" s="561">
        <v>-159</v>
      </c>
      <c r="IA22" s="561">
        <v>0</v>
      </c>
      <c r="IB22" s="561">
        <v>0</v>
      </c>
      <c r="IC22" s="561">
        <v>547</v>
      </c>
      <c r="ID22" s="561">
        <v>6</v>
      </c>
      <c r="IE22" s="561">
        <v>1451</v>
      </c>
      <c r="IF22" s="561">
        <v>0</v>
      </c>
      <c r="IG22" s="561">
        <v>0</v>
      </c>
      <c r="IH22" s="561">
        <v>1229</v>
      </c>
      <c r="II22" s="561">
        <v>10214</v>
      </c>
      <c r="IJ22" s="561">
        <v>0</v>
      </c>
      <c r="IK22" s="561">
        <v>0</v>
      </c>
      <c r="IL22" s="561">
        <v>28806</v>
      </c>
      <c r="IM22" s="561">
        <v>0</v>
      </c>
      <c r="IN22" s="561">
        <v>0</v>
      </c>
      <c r="IO22" s="561">
        <v>0</v>
      </c>
      <c r="IP22" s="561">
        <v>0</v>
      </c>
      <c r="IQ22" s="561">
        <v>0</v>
      </c>
      <c r="IR22" s="561">
        <v>96781</v>
      </c>
      <c r="IS22" s="561">
        <v>1029</v>
      </c>
      <c r="IT22" s="561">
        <v>47429</v>
      </c>
      <c r="IU22" s="561">
        <v>78804</v>
      </c>
      <c r="IV22" s="561">
        <v>11111</v>
      </c>
      <c r="IW22" s="561">
        <v>8071</v>
      </c>
      <c r="IX22" s="561">
        <v>-7062</v>
      </c>
      <c r="IY22" s="561">
        <v>23829</v>
      </c>
      <c r="IZ22" s="561">
        <v>10897</v>
      </c>
      <c r="JA22" s="561">
        <v>0</v>
      </c>
      <c r="JB22" s="561">
        <v>0</v>
      </c>
      <c r="JC22" s="561">
        <v>10214</v>
      </c>
      <c r="JD22" s="561">
        <v>0</v>
      </c>
      <c r="JE22" s="561">
        <v>281103</v>
      </c>
      <c r="JF22" s="561">
        <v>28395</v>
      </c>
      <c r="JG22" s="561">
        <v>553</v>
      </c>
      <c r="JH22" s="561">
        <v>0</v>
      </c>
      <c r="JI22" s="561">
        <v>0</v>
      </c>
      <c r="JJ22" s="561">
        <v>0</v>
      </c>
      <c r="JK22" s="561">
        <v>3763</v>
      </c>
      <c r="JL22" s="561">
        <v>5194</v>
      </c>
      <c r="JM22" s="561">
        <v>0</v>
      </c>
      <c r="JN22" s="561">
        <v>0</v>
      </c>
      <c r="JO22" s="561">
        <v>460</v>
      </c>
      <c r="JP22" s="561">
        <v>0</v>
      </c>
      <c r="JQ22" s="561">
        <v>1196</v>
      </c>
      <c r="JR22" s="561">
        <v>0</v>
      </c>
      <c r="JS22" s="561">
        <v>0</v>
      </c>
      <c r="JT22" s="561">
        <v>0</v>
      </c>
      <c r="JU22" s="561">
        <v>0</v>
      </c>
      <c r="JV22" s="561">
        <v>320664</v>
      </c>
      <c r="JW22" s="561">
        <v>262</v>
      </c>
      <c r="JX22" s="561">
        <v>1388</v>
      </c>
      <c r="JY22" s="561">
        <v>0</v>
      </c>
      <c r="JZ22" s="561">
        <v>-1383</v>
      </c>
      <c r="KA22" s="561">
        <v>0</v>
      </c>
      <c r="KB22" s="561">
        <v>-5</v>
      </c>
      <c r="KC22" s="561">
        <v>11563</v>
      </c>
      <c r="KD22" s="561">
        <v>422</v>
      </c>
      <c r="KE22" s="561">
        <v>10202</v>
      </c>
      <c r="KF22" s="561">
        <v>0</v>
      </c>
      <c r="KG22" s="561">
        <v>343113</v>
      </c>
      <c r="KH22" s="561">
        <v>-18570</v>
      </c>
      <c r="KI22" s="561">
        <v>0</v>
      </c>
      <c r="KJ22" s="561">
        <v>309</v>
      </c>
      <c r="KK22" s="561">
        <v>0</v>
      </c>
      <c r="KL22" s="561">
        <v>-30632</v>
      </c>
      <c r="KM22" s="561">
        <v>0</v>
      </c>
      <c r="KN22" s="561">
        <v>-204</v>
      </c>
      <c r="KO22" s="561">
        <v>0</v>
      </c>
      <c r="KP22" s="561">
        <v>0</v>
      </c>
      <c r="KQ22" s="561">
        <v>-10532</v>
      </c>
      <c r="KR22" s="561">
        <v>283484</v>
      </c>
      <c r="KS22" s="561">
        <v>0</v>
      </c>
      <c r="KT22" s="561">
        <v>-122316</v>
      </c>
      <c r="KU22" s="561">
        <v>161168</v>
      </c>
      <c r="KV22" s="561">
        <v>0</v>
      </c>
      <c r="KW22" s="561">
        <v>685</v>
      </c>
      <c r="KX22" s="561">
        <v>0</v>
      </c>
      <c r="KY22" s="561">
        <v>-79</v>
      </c>
      <c r="KZ22" s="561">
        <v>4939</v>
      </c>
      <c r="LA22" s="561">
        <v>-205</v>
      </c>
      <c r="LB22" s="561">
        <v>0</v>
      </c>
      <c r="LC22" s="561">
        <v>0</v>
      </c>
      <c r="LD22" s="561">
        <v>-42794</v>
      </c>
      <c r="LE22" s="561">
        <v>306</v>
      </c>
      <c r="LF22" s="561">
        <v>0</v>
      </c>
      <c r="LG22" s="561">
        <v>124020</v>
      </c>
      <c r="LH22" s="561">
        <v>1191</v>
      </c>
      <c r="LI22" s="561">
        <v>-22264</v>
      </c>
      <c r="LJ22" s="561">
        <v>0</v>
      </c>
      <c r="LK22" s="561">
        <v>608</v>
      </c>
      <c r="LL22" s="561">
        <v>71853</v>
      </c>
      <c r="LM22" s="561">
        <v>12789</v>
      </c>
      <c r="LN22" s="561">
        <v>1876</v>
      </c>
      <c r="LO22" s="561">
        <v>-32796</v>
      </c>
      <c r="LP22" s="561">
        <v>0</v>
      </c>
      <c r="LQ22" s="561">
        <v>529</v>
      </c>
      <c r="LR22" s="561">
        <v>76792</v>
      </c>
      <c r="LS22" s="561">
        <v>12584</v>
      </c>
      <c r="LT22" s="561">
        <v>0</v>
      </c>
      <c r="LU22" s="561">
        <v>17366</v>
      </c>
      <c r="LV22" s="561">
        <v>0</v>
      </c>
      <c r="LW22" s="561">
        <v>-843</v>
      </c>
      <c r="LX22" s="561">
        <v>-7881</v>
      </c>
      <c r="LY22" s="561">
        <v>9596</v>
      </c>
      <c r="LZ22" s="561">
        <v>27010</v>
      </c>
      <c r="MA22" s="561">
        <v>0</v>
      </c>
      <c r="MB22" s="561">
        <v>0</v>
      </c>
      <c r="MC22" s="561">
        <v>0</v>
      </c>
      <c r="MD22" s="561">
        <v>0</v>
      </c>
      <c r="ME22" s="561">
        <v>0</v>
      </c>
      <c r="MF22" s="561">
        <v>0</v>
      </c>
      <c r="MG22" s="561">
        <v>0</v>
      </c>
      <c r="MH22" s="561">
        <v>4194</v>
      </c>
      <c r="MI22" s="561">
        <v>6291</v>
      </c>
      <c r="MJ22" s="561">
        <v>10485</v>
      </c>
      <c r="MK22" s="561">
        <v>0</v>
      </c>
      <c r="ML22" s="561">
        <v>0</v>
      </c>
      <c r="MM22" s="561">
        <v>26653</v>
      </c>
      <c r="MN22" s="561">
        <v>38960</v>
      </c>
      <c r="MO22" s="561">
        <v>11179</v>
      </c>
      <c r="MP22" s="561">
        <v>0</v>
      </c>
      <c r="MQ22" s="561">
        <v>96781</v>
      </c>
      <c r="MR22" s="561">
        <v>1029</v>
      </c>
      <c r="MS22" s="561">
        <v>47429</v>
      </c>
      <c r="MT22" s="561">
        <v>78804</v>
      </c>
      <c r="MU22" s="561">
        <v>11111</v>
      </c>
      <c r="MV22" s="561">
        <v>8071</v>
      </c>
      <c r="MW22" s="561">
        <v>-7062</v>
      </c>
      <c r="MX22" s="561">
        <v>23829</v>
      </c>
      <c r="MY22" s="561">
        <v>10897</v>
      </c>
      <c r="MZ22" s="561">
        <v>0</v>
      </c>
      <c r="NA22" s="561">
        <v>0</v>
      </c>
      <c r="NB22" s="561">
        <v>10214</v>
      </c>
      <c r="NC22" s="561">
        <v>0</v>
      </c>
      <c r="ND22" s="561">
        <v>281103</v>
      </c>
      <c r="NE22" s="561">
        <v>0</v>
      </c>
      <c r="NF22" s="561">
        <v>0</v>
      </c>
      <c r="NG22" s="561">
        <v>0</v>
      </c>
      <c r="NH22" s="561">
        <v>0</v>
      </c>
      <c r="NI22" s="561">
        <v>0</v>
      </c>
      <c r="NJ22" s="561">
        <v>0</v>
      </c>
      <c r="NK22" s="561">
        <v>0</v>
      </c>
      <c r="NL22" s="561">
        <v>0</v>
      </c>
      <c r="NM22" s="561">
        <v>0</v>
      </c>
      <c r="NN22" s="561">
        <v>0</v>
      </c>
      <c r="NO22" s="561">
        <v>0</v>
      </c>
      <c r="NP22" s="561">
        <v>0</v>
      </c>
      <c r="NQ22" s="561">
        <v>0</v>
      </c>
      <c r="NR22" s="561">
        <v>0</v>
      </c>
      <c r="NS22" s="561">
        <v>0</v>
      </c>
      <c r="NT22" s="561">
        <v>0</v>
      </c>
      <c r="NU22" s="561">
        <v>-14840</v>
      </c>
      <c r="NV22" s="561">
        <v>0</v>
      </c>
      <c r="NW22" s="561">
        <v>0</v>
      </c>
      <c r="NX22" s="561">
        <v>0</v>
      </c>
      <c r="NY22" s="561">
        <v>0</v>
      </c>
      <c r="NZ22" s="561">
        <v>0</v>
      </c>
      <c r="OA22" s="561">
        <v>0</v>
      </c>
      <c r="OB22" s="561">
        <v>0</v>
      </c>
      <c r="OC22" s="561">
        <v>0</v>
      </c>
      <c r="OD22" s="561">
        <v>0</v>
      </c>
      <c r="OE22" s="561">
        <v>0</v>
      </c>
      <c r="OF22" s="561">
        <v>0</v>
      </c>
      <c r="OG22" s="561">
        <v>0</v>
      </c>
      <c r="OH22" s="561">
        <v>0</v>
      </c>
      <c r="OI22" s="561">
        <v>0</v>
      </c>
      <c r="OJ22" s="561">
        <v>199</v>
      </c>
      <c r="OK22" s="561">
        <v>0</v>
      </c>
      <c r="OL22" s="561">
        <v>0</v>
      </c>
      <c r="OM22" s="561">
        <v>0</v>
      </c>
      <c r="ON22" s="561">
        <v>997</v>
      </c>
      <c r="OO22" s="561">
        <v>0</v>
      </c>
      <c r="OP22" s="561">
        <v>0</v>
      </c>
      <c r="OQ22" s="561">
        <v>0</v>
      </c>
      <c r="OR22" s="561">
        <v>0</v>
      </c>
      <c r="OS22" s="561">
        <v>0</v>
      </c>
      <c r="OT22" s="561">
        <v>0</v>
      </c>
      <c r="OU22" s="561">
        <v>0</v>
      </c>
      <c r="OV22" s="561">
        <v>899</v>
      </c>
      <c r="OW22" s="561">
        <v>0</v>
      </c>
      <c r="OX22" s="561">
        <v>1196</v>
      </c>
      <c r="OY22" s="561">
        <v>0</v>
      </c>
      <c r="OZ22" s="561">
        <v>0</v>
      </c>
      <c r="PA22" s="561">
        <v>0</v>
      </c>
      <c r="PB22" s="561">
        <v>0</v>
      </c>
      <c r="PC22" s="561">
        <v>0</v>
      </c>
      <c r="PD22" s="561">
        <v>0</v>
      </c>
      <c r="PE22" s="561">
        <v>0</v>
      </c>
      <c r="PF22" s="561">
        <v>0</v>
      </c>
      <c r="PG22" s="561">
        <v>0</v>
      </c>
      <c r="PH22" s="561">
        <v>0</v>
      </c>
      <c r="PI22" s="561">
        <v>0</v>
      </c>
      <c r="PJ22" s="561">
        <v>0</v>
      </c>
    </row>
    <row r="23" spans="1:426" ht="14" x14ac:dyDescent="0.3">
      <c r="A23" t="s">
        <v>2495</v>
      </c>
      <c r="B23" t="s">
        <v>2496</v>
      </c>
      <c r="C23" t="s">
        <v>4568</v>
      </c>
      <c r="E23" t="s">
        <v>385</v>
      </c>
      <c r="F23" s="561">
        <v>25097</v>
      </c>
      <c r="G23" s="561">
        <v>59938</v>
      </c>
      <c r="H23" s="561">
        <v>20828</v>
      </c>
      <c r="I23" s="561">
        <v>14385</v>
      </c>
      <c r="J23" s="561">
        <v>4784</v>
      </c>
      <c r="K23" s="561">
        <v>11478</v>
      </c>
      <c r="L23" s="561">
        <v>136510</v>
      </c>
      <c r="M23" s="561">
        <v>2031</v>
      </c>
      <c r="N23" s="561">
        <v>520</v>
      </c>
      <c r="O23" s="561">
        <v>1157</v>
      </c>
      <c r="P23" s="561">
        <v>94</v>
      </c>
      <c r="Q23" s="561">
        <v>60</v>
      </c>
      <c r="R23" s="561">
        <v>0</v>
      </c>
      <c r="S23" s="561">
        <v>1480</v>
      </c>
      <c r="T23" s="561">
        <v>1199</v>
      </c>
      <c r="U23" s="561">
        <v>698</v>
      </c>
      <c r="V23" s="561">
        <v>391</v>
      </c>
      <c r="W23" s="561">
        <v>0</v>
      </c>
      <c r="X23" s="561">
        <v>0</v>
      </c>
      <c r="Y23" s="561">
        <v>175</v>
      </c>
      <c r="Z23" s="561">
        <v>2</v>
      </c>
      <c r="AA23" s="561">
        <v>-49</v>
      </c>
      <c r="AB23" s="561">
        <v>-614</v>
      </c>
      <c r="AC23" s="561">
        <v>2465</v>
      </c>
      <c r="AD23" s="561">
        <v>0</v>
      </c>
      <c r="AE23" s="561">
        <v>1542</v>
      </c>
      <c r="AF23" s="561">
        <v>0</v>
      </c>
      <c r="AG23" s="561">
        <v>0</v>
      </c>
      <c r="AH23" s="561">
        <v>975</v>
      </c>
      <c r="AI23" s="561">
        <v>0</v>
      </c>
      <c r="AJ23" s="561">
        <v>10095</v>
      </c>
      <c r="AK23" s="561">
        <v>1044</v>
      </c>
      <c r="AL23" s="561">
        <v>0</v>
      </c>
      <c r="AM23" s="561">
        <v>0</v>
      </c>
      <c r="AN23" s="561">
        <v>0</v>
      </c>
      <c r="AO23" s="561">
        <v>0</v>
      </c>
      <c r="AP23" s="561">
        <v>0</v>
      </c>
      <c r="AQ23" s="561">
        <v>0</v>
      </c>
      <c r="AR23" s="561">
        <v>0</v>
      </c>
      <c r="AS23" s="561">
        <v>1213</v>
      </c>
      <c r="AT23" s="561">
        <v>1164</v>
      </c>
      <c r="AU23" s="561">
        <v>0</v>
      </c>
      <c r="AV23" s="561">
        <v>0</v>
      </c>
      <c r="AW23" s="561">
        <v>0</v>
      </c>
      <c r="AX23" s="561">
        <v>565</v>
      </c>
      <c r="AY23" s="561">
        <v>27800</v>
      </c>
      <c r="AZ23" s="561">
        <v>2022</v>
      </c>
      <c r="BA23" s="561">
        <v>9431</v>
      </c>
      <c r="BB23" s="561">
        <v>1535</v>
      </c>
      <c r="BC23" s="561">
        <v>9430</v>
      </c>
      <c r="BD23" s="561">
        <v>2040</v>
      </c>
      <c r="BE23" s="561">
        <v>266</v>
      </c>
      <c r="BF23" s="561">
        <v>53089</v>
      </c>
      <c r="BG23" s="561">
        <v>2970</v>
      </c>
      <c r="BH23" s="561">
        <v>13399</v>
      </c>
      <c r="BI23" s="561">
        <v>20685</v>
      </c>
      <c r="BJ23" s="561">
        <v>293</v>
      </c>
      <c r="BK23" s="561">
        <v>740</v>
      </c>
      <c r="BL23" s="561">
        <v>6</v>
      </c>
      <c r="BM23" s="561">
        <v>3469</v>
      </c>
      <c r="BN23" s="561">
        <v>19834</v>
      </c>
      <c r="BO23" s="561">
        <v>1688</v>
      </c>
      <c r="BP23" s="561">
        <v>7413</v>
      </c>
      <c r="BQ23" s="561">
        <v>2845</v>
      </c>
      <c r="BR23" s="561">
        <v>81</v>
      </c>
      <c r="BS23" s="561">
        <v>239</v>
      </c>
      <c r="BT23" s="561">
        <v>373</v>
      </c>
      <c r="BU23" s="561">
        <v>708</v>
      </c>
      <c r="BV23" s="561">
        <v>1294</v>
      </c>
      <c r="BW23" s="561">
        <v>5740</v>
      </c>
      <c r="BX23" s="561">
        <v>646</v>
      </c>
      <c r="BY23" s="561">
        <v>7756</v>
      </c>
      <c r="BZ23" s="561">
        <v>87209</v>
      </c>
      <c r="CA23" s="561">
        <v>3501</v>
      </c>
      <c r="CB23" s="561">
        <v>1426</v>
      </c>
      <c r="CC23" s="561">
        <v>401</v>
      </c>
      <c r="CD23" s="561">
        <v>202</v>
      </c>
      <c r="CE23" s="561">
        <v>121</v>
      </c>
      <c r="CF23" s="561">
        <v>16</v>
      </c>
      <c r="CG23" s="561">
        <v>8</v>
      </c>
      <c r="CH23" s="561">
        <v>563</v>
      </c>
      <c r="CI23" s="561">
        <v>176</v>
      </c>
      <c r="CJ23" s="561">
        <v>176</v>
      </c>
      <c r="CK23" s="561">
        <v>66</v>
      </c>
      <c r="CL23" s="561">
        <v>66</v>
      </c>
      <c r="CM23" s="561">
        <v>2126</v>
      </c>
      <c r="CN23" s="561">
        <v>403</v>
      </c>
      <c r="CO23" s="561">
        <v>137</v>
      </c>
      <c r="CP23" s="561">
        <v>129</v>
      </c>
      <c r="CQ23" s="561">
        <v>121</v>
      </c>
      <c r="CR23" s="561">
        <v>441</v>
      </c>
      <c r="CS23" s="561">
        <v>26</v>
      </c>
      <c r="CT23" s="561">
        <v>812</v>
      </c>
      <c r="CU23" s="561">
        <v>2972</v>
      </c>
      <c r="CV23" s="561">
        <v>219</v>
      </c>
      <c r="CW23" s="561">
        <v>25</v>
      </c>
      <c r="CX23" s="561">
        <v>25</v>
      </c>
      <c r="CY23" s="561">
        <v>914</v>
      </c>
      <c r="CZ23" s="561">
        <v>11571</v>
      </c>
      <c r="DA23" s="561">
        <v>58</v>
      </c>
      <c r="DB23" s="561">
        <v>0</v>
      </c>
      <c r="DC23" s="561">
        <v>0</v>
      </c>
      <c r="DD23" s="561">
        <v>0</v>
      </c>
      <c r="DE23" s="561">
        <v>0</v>
      </c>
      <c r="DF23" s="561">
        <v>0</v>
      </c>
      <c r="DG23" s="561">
        <v>0</v>
      </c>
      <c r="DH23" s="561">
        <v>259</v>
      </c>
      <c r="DI23" s="561">
        <v>0</v>
      </c>
      <c r="DJ23" s="561">
        <v>0</v>
      </c>
      <c r="DK23" s="561">
        <v>4</v>
      </c>
      <c r="DL23" s="561">
        <v>10371</v>
      </c>
      <c r="DM23" s="561">
        <v>411</v>
      </c>
      <c r="DN23" s="561">
        <v>0</v>
      </c>
      <c r="DO23" s="561">
        <v>2694</v>
      </c>
      <c r="DP23" s="561">
        <v>318</v>
      </c>
      <c r="DQ23" s="561">
        <v>0</v>
      </c>
      <c r="DR23" s="561">
        <v>2512</v>
      </c>
      <c r="DS23" s="561">
        <v>313</v>
      </c>
      <c r="DT23" s="561">
        <v>1002</v>
      </c>
      <c r="DU23" s="561">
        <v>17621</v>
      </c>
      <c r="DV23" s="561">
        <v>0</v>
      </c>
      <c r="DW23" s="561">
        <v>0</v>
      </c>
      <c r="DX23" s="561">
        <v>0</v>
      </c>
      <c r="DY23" s="561">
        <v>1208</v>
      </c>
      <c r="DZ23" s="561">
        <v>157</v>
      </c>
      <c r="EA23" s="561">
        <v>1028</v>
      </c>
      <c r="EB23" s="561">
        <v>0</v>
      </c>
      <c r="EC23" s="561">
        <v>20277</v>
      </c>
      <c r="ED23" s="561">
        <v>737</v>
      </c>
      <c r="EE23" s="561">
        <v>0</v>
      </c>
      <c r="EF23" s="561">
        <v>0</v>
      </c>
      <c r="EG23" s="561">
        <v>0</v>
      </c>
      <c r="EH23" s="561">
        <v>0</v>
      </c>
      <c r="EI23" s="561">
        <v>0</v>
      </c>
      <c r="EJ23" s="561">
        <v>0</v>
      </c>
      <c r="EK23" s="561">
        <v>0</v>
      </c>
      <c r="EL23" s="561">
        <v>0</v>
      </c>
      <c r="EM23" s="561">
        <v>0</v>
      </c>
      <c r="EN23" s="561">
        <v>0</v>
      </c>
      <c r="EO23" s="561">
        <v>0</v>
      </c>
      <c r="EP23" s="561">
        <v>0</v>
      </c>
      <c r="EQ23" s="561">
        <v>0</v>
      </c>
      <c r="ER23" s="561">
        <v>0</v>
      </c>
      <c r="ES23" s="561" t="s">
        <v>4565</v>
      </c>
      <c r="ET23" s="561">
        <v>0</v>
      </c>
      <c r="EU23" s="561">
        <v>0</v>
      </c>
      <c r="EV23" s="561">
        <v>0</v>
      </c>
      <c r="EW23" s="561">
        <v>0</v>
      </c>
      <c r="EX23" s="561">
        <v>0</v>
      </c>
      <c r="EY23" s="561">
        <v>0</v>
      </c>
      <c r="EZ23" s="561">
        <v>0</v>
      </c>
      <c r="FA23" s="561">
        <v>0</v>
      </c>
      <c r="FB23" s="561">
        <v>70</v>
      </c>
      <c r="FC23" s="561">
        <v>0</v>
      </c>
      <c r="FD23" s="561">
        <v>1121</v>
      </c>
      <c r="FE23" s="561">
        <v>499</v>
      </c>
      <c r="FF23" s="561">
        <v>264</v>
      </c>
      <c r="FG23" s="561">
        <v>15</v>
      </c>
      <c r="FH23" s="561">
        <v>0</v>
      </c>
      <c r="FI23" s="561">
        <v>38</v>
      </c>
      <c r="FJ23" s="561">
        <v>2868</v>
      </c>
      <c r="FK23" s="561">
        <v>3342</v>
      </c>
      <c r="FL23" s="561">
        <v>-8</v>
      </c>
      <c r="FM23" s="561">
        <v>189</v>
      </c>
      <c r="FN23" s="561">
        <v>1725</v>
      </c>
      <c r="FO23" s="561">
        <v>10123</v>
      </c>
      <c r="FP23" s="561">
        <v>356</v>
      </c>
      <c r="FQ23" s="561">
        <v>-1093</v>
      </c>
      <c r="FR23" s="561">
        <v>340</v>
      </c>
      <c r="FS23" s="561">
        <v>0</v>
      </c>
      <c r="FT23" s="561">
        <v>353</v>
      </c>
      <c r="FU23" s="561">
        <v>559</v>
      </c>
      <c r="FV23" s="561">
        <v>18</v>
      </c>
      <c r="FW23" s="561">
        <v>146</v>
      </c>
      <c r="FX23" s="561">
        <v>0</v>
      </c>
      <c r="FY23" s="561">
        <v>0</v>
      </c>
      <c r="FZ23" s="561">
        <v>49</v>
      </c>
      <c r="GA23" s="561">
        <v>33</v>
      </c>
      <c r="GB23" s="561">
        <v>30</v>
      </c>
      <c r="GC23" s="561">
        <v>-25</v>
      </c>
      <c r="GD23" s="561">
        <v>335</v>
      </c>
      <c r="GE23" s="561">
        <v>0</v>
      </c>
      <c r="GF23" s="561">
        <v>274</v>
      </c>
      <c r="GG23" s="561">
        <v>239</v>
      </c>
      <c r="GH23" s="561">
        <v>15</v>
      </c>
      <c r="GI23" s="561">
        <v>0</v>
      </c>
      <c r="GJ23" s="561">
        <v>0</v>
      </c>
      <c r="GK23" s="561">
        <v>0</v>
      </c>
      <c r="GL23" s="561">
        <v>2229</v>
      </c>
      <c r="GM23" s="561">
        <v>2991</v>
      </c>
      <c r="GN23" s="561">
        <v>7276</v>
      </c>
      <c r="GO23" s="561">
        <v>-1173</v>
      </c>
      <c r="GP23" s="561">
        <v>2617</v>
      </c>
      <c r="GQ23" s="561">
        <v>-171</v>
      </c>
      <c r="GR23" s="561">
        <v>0</v>
      </c>
      <c r="GS23" s="561">
        <v>15042</v>
      </c>
      <c r="GT23" s="561">
        <v>124</v>
      </c>
      <c r="GU23" s="561">
        <v>236</v>
      </c>
      <c r="GV23" s="561">
        <v>1076</v>
      </c>
      <c r="GW23" s="561">
        <v>462</v>
      </c>
      <c r="GX23" s="561">
        <v>824</v>
      </c>
      <c r="GY23" s="561">
        <v>136</v>
      </c>
      <c r="GZ23" s="561">
        <v>-108</v>
      </c>
      <c r="HA23" s="561">
        <v>13</v>
      </c>
      <c r="HB23" s="561">
        <v>268</v>
      </c>
      <c r="HC23" s="561">
        <v>0</v>
      </c>
      <c r="HD23" s="561">
        <v>2907</v>
      </c>
      <c r="HE23" s="561">
        <v>966</v>
      </c>
      <c r="HF23" s="561">
        <v>28072</v>
      </c>
      <c r="HG23" s="561">
        <v>1446</v>
      </c>
      <c r="HH23" s="561">
        <v>0</v>
      </c>
      <c r="HI23" s="561">
        <v>0</v>
      </c>
      <c r="HJ23" s="561">
        <v>0</v>
      </c>
      <c r="HK23" s="561">
        <v>0</v>
      </c>
      <c r="HL23" s="561">
        <v>0</v>
      </c>
      <c r="HM23" s="561">
        <v>0</v>
      </c>
      <c r="HN23" s="561">
        <v>0</v>
      </c>
      <c r="HO23" s="561">
        <v>2890</v>
      </c>
      <c r="HP23" s="561">
        <v>-181</v>
      </c>
      <c r="HQ23" s="561">
        <v>0</v>
      </c>
      <c r="HR23" s="561">
        <v>0</v>
      </c>
      <c r="HS23" s="561">
        <v>335</v>
      </c>
      <c r="HT23" s="561">
        <v>-120</v>
      </c>
      <c r="HU23" s="561">
        <v>0</v>
      </c>
      <c r="HV23" s="561">
        <v>-79</v>
      </c>
      <c r="HW23" s="561">
        <v>232</v>
      </c>
      <c r="HX23" s="561">
        <v>200</v>
      </c>
      <c r="HY23" s="561">
        <v>1401</v>
      </c>
      <c r="HZ23" s="561">
        <v>-62</v>
      </c>
      <c r="IA23" s="561">
        <v>54</v>
      </c>
      <c r="IB23" s="561">
        <v>265</v>
      </c>
      <c r="IC23" s="561">
        <v>494</v>
      </c>
      <c r="ID23" s="561">
        <v>0</v>
      </c>
      <c r="IE23" s="561">
        <v>1536</v>
      </c>
      <c r="IF23" s="561">
        <v>0</v>
      </c>
      <c r="IG23" s="561">
        <v>782</v>
      </c>
      <c r="IH23" s="561">
        <v>0</v>
      </c>
      <c r="II23" s="561">
        <v>7747</v>
      </c>
      <c r="IJ23" s="561">
        <v>418</v>
      </c>
      <c r="IK23" s="561">
        <v>0</v>
      </c>
      <c r="IL23" s="561">
        <v>21749</v>
      </c>
      <c r="IM23" s="561">
        <v>0</v>
      </c>
      <c r="IN23" s="561">
        <v>0</v>
      </c>
      <c r="IO23" s="561">
        <v>1189</v>
      </c>
      <c r="IP23" s="561">
        <v>2394</v>
      </c>
      <c r="IQ23" s="561">
        <v>0</v>
      </c>
      <c r="IR23" s="561">
        <v>136510</v>
      </c>
      <c r="IS23" s="561">
        <v>10095</v>
      </c>
      <c r="IT23" s="561">
        <v>53089</v>
      </c>
      <c r="IU23" s="561">
        <v>87209</v>
      </c>
      <c r="IV23" s="561">
        <v>11571</v>
      </c>
      <c r="IW23" s="561">
        <v>20277</v>
      </c>
      <c r="IX23" s="561">
        <v>10123</v>
      </c>
      <c r="IY23" s="561">
        <v>15042</v>
      </c>
      <c r="IZ23" s="561">
        <v>2907</v>
      </c>
      <c r="JA23" s="561">
        <v>0</v>
      </c>
      <c r="JB23" s="561">
        <v>0</v>
      </c>
      <c r="JC23" s="561">
        <v>7747</v>
      </c>
      <c r="JD23" s="561">
        <v>2394</v>
      </c>
      <c r="JE23" s="561">
        <v>356964</v>
      </c>
      <c r="JF23" s="561">
        <v>39880</v>
      </c>
      <c r="JG23" s="561">
        <v>4870</v>
      </c>
      <c r="JH23" s="561">
        <v>0</v>
      </c>
      <c r="JI23" s="561">
        <v>0</v>
      </c>
      <c r="JJ23" s="561">
        <v>0</v>
      </c>
      <c r="JK23" s="561">
        <v>2218</v>
      </c>
      <c r="JL23" s="561">
        <v>0</v>
      </c>
      <c r="JM23" s="561">
        <v>0</v>
      </c>
      <c r="JN23" s="561">
        <v>0</v>
      </c>
      <c r="JO23" s="561">
        <v>0</v>
      </c>
      <c r="JP23" s="561">
        <v>0</v>
      </c>
      <c r="JQ23" s="561">
        <v>0</v>
      </c>
      <c r="JR23" s="561">
        <v>0</v>
      </c>
      <c r="JS23" s="561">
        <v>0</v>
      </c>
      <c r="JT23" s="561">
        <v>-288</v>
      </c>
      <c r="JU23" s="561">
        <v>0</v>
      </c>
      <c r="JV23" s="561">
        <v>403644</v>
      </c>
      <c r="JW23" s="561">
        <v>115</v>
      </c>
      <c r="JX23" s="561">
        <v>2386</v>
      </c>
      <c r="JY23" s="561">
        <v>0</v>
      </c>
      <c r="JZ23" s="561">
        <v>0</v>
      </c>
      <c r="KA23" s="561">
        <v>0</v>
      </c>
      <c r="KB23" s="561">
        <v>696</v>
      </c>
      <c r="KC23" s="561">
        <v>4211</v>
      </c>
      <c r="KD23" s="561">
        <v>18</v>
      </c>
      <c r="KE23" s="561">
        <v>4143</v>
      </c>
      <c r="KF23" s="561">
        <v>0</v>
      </c>
      <c r="KG23" s="561">
        <v>415213</v>
      </c>
      <c r="KH23" s="561">
        <v>-8497</v>
      </c>
      <c r="KI23" s="561">
        <v>0</v>
      </c>
      <c r="KJ23" s="561">
        <v>890</v>
      </c>
      <c r="KK23" s="561">
        <v>0</v>
      </c>
      <c r="KL23" s="561">
        <v>-43449</v>
      </c>
      <c r="KM23" s="561">
        <v>0</v>
      </c>
      <c r="KN23" s="561">
        <v>-325</v>
      </c>
      <c r="KO23" s="561">
        <v>0</v>
      </c>
      <c r="KP23" s="561">
        <v>0</v>
      </c>
      <c r="KQ23" s="561">
        <v>-327</v>
      </c>
      <c r="KR23" s="561">
        <v>363505</v>
      </c>
      <c r="KS23" s="561">
        <v>-269</v>
      </c>
      <c r="KT23" s="561">
        <v>-165975</v>
      </c>
      <c r="KU23" s="561">
        <v>197261</v>
      </c>
      <c r="KV23" s="561">
        <v>0</v>
      </c>
      <c r="KW23" s="561">
        <v>-975</v>
      </c>
      <c r="KX23" s="561">
        <v>-1206</v>
      </c>
      <c r="KY23" s="561">
        <v>-436</v>
      </c>
      <c r="KZ23" s="561">
        <v>-5797</v>
      </c>
      <c r="LA23" s="561">
        <v>-1562</v>
      </c>
      <c r="LB23" s="561">
        <v>-7396</v>
      </c>
      <c r="LC23" s="561">
        <v>0</v>
      </c>
      <c r="LD23" s="561">
        <v>-59031</v>
      </c>
      <c r="LE23" s="561">
        <v>-2029</v>
      </c>
      <c r="LF23" s="561">
        <v>-360</v>
      </c>
      <c r="LG23" s="561">
        <v>118469</v>
      </c>
      <c r="LH23" s="561">
        <v>4216</v>
      </c>
      <c r="LI23" s="561">
        <v>0</v>
      </c>
      <c r="LJ23" s="561">
        <v>1206</v>
      </c>
      <c r="LK23" s="561">
        <v>2295</v>
      </c>
      <c r="LL23" s="561">
        <v>19686</v>
      </c>
      <c r="LM23" s="561">
        <v>11183</v>
      </c>
      <c r="LN23" s="561">
        <v>3241</v>
      </c>
      <c r="LO23" s="561">
        <v>-327</v>
      </c>
      <c r="LP23" s="561">
        <v>0</v>
      </c>
      <c r="LQ23" s="561">
        <v>1859</v>
      </c>
      <c r="LR23" s="561">
        <v>13889</v>
      </c>
      <c r="LS23" s="561">
        <v>9621</v>
      </c>
      <c r="LT23" s="561">
        <v>0</v>
      </c>
      <c r="LU23" s="561">
        <v>26412</v>
      </c>
      <c r="LV23" s="561">
        <v>0</v>
      </c>
      <c r="LW23" s="561">
        <v>-4547</v>
      </c>
      <c r="LX23" s="561">
        <v>0</v>
      </c>
      <c r="LY23" s="561">
        <v>0</v>
      </c>
      <c r="LZ23" s="561">
        <v>20229</v>
      </c>
      <c r="MA23" s="561">
        <v>0</v>
      </c>
      <c r="MB23" s="561">
        <v>0</v>
      </c>
      <c r="MC23" s="561">
        <v>0</v>
      </c>
      <c r="MD23" s="561">
        <v>0</v>
      </c>
      <c r="ME23" s="561">
        <v>0</v>
      </c>
      <c r="MF23" s="561">
        <v>0</v>
      </c>
      <c r="MG23" s="561">
        <v>0</v>
      </c>
      <c r="MH23" s="561">
        <v>4209</v>
      </c>
      <c r="MI23" s="561">
        <v>8933</v>
      </c>
      <c r="MJ23" s="561">
        <v>13142</v>
      </c>
      <c r="MK23" s="561">
        <v>0</v>
      </c>
      <c r="ML23" s="561">
        <v>0</v>
      </c>
      <c r="MM23" s="561">
        <v>10229</v>
      </c>
      <c r="MN23" s="561">
        <v>3537</v>
      </c>
      <c r="MO23" s="561">
        <v>123</v>
      </c>
      <c r="MP23" s="561">
        <v>0</v>
      </c>
      <c r="MQ23" s="561">
        <v>136510</v>
      </c>
      <c r="MR23" s="561">
        <v>10095</v>
      </c>
      <c r="MS23" s="561">
        <v>53089</v>
      </c>
      <c r="MT23" s="561">
        <v>87209</v>
      </c>
      <c r="MU23" s="561">
        <v>11571</v>
      </c>
      <c r="MV23" s="561">
        <v>20277</v>
      </c>
      <c r="MW23" s="561">
        <v>10123</v>
      </c>
      <c r="MX23" s="561">
        <v>15042</v>
      </c>
      <c r="MY23" s="561">
        <v>2907</v>
      </c>
      <c r="MZ23" s="561">
        <v>0</v>
      </c>
      <c r="NA23" s="561">
        <v>0</v>
      </c>
      <c r="NB23" s="561">
        <v>7747</v>
      </c>
      <c r="NC23" s="561">
        <v>2394</v>
      </c>
      <c r="ND23" s="561">
        <v>356964</v>
      </c>
      <c r="NE23" s="561">
        <v>0</v>
      </c>
      <c r="NF23" s="561">
        <v>0</v>
      </c>
      <c r="NG23" s="561">
        <v>0</v>
      </c>
      <c r="NH23" s="561">
        <v>0</v>
      </c>
      <c r="NI23" s="561">
        <v>0</v>
      </c>
      <c r="NJ23" s="561">
        <v>0</v>
      </c>
      <c r="NK23" s="561">
        <v>0</v>
      </c>
      <c r="NL23" s="561">
        <v>0</v>
      </c>
      <c r="NM23" s="561">
        <v>0</v>
      </c>
      <c r="NN23" s="561">
        <v>0</v>
      </c>
      <c r="NO23" s="561">
        <v>0</v>
      </c>
      <c r="NP23" s="561">
        <v>0</v>
      </c>
      <c r="NQ23" s="561">
        <v>0</v>
      </c>
      <c r="NR23" s="561">
        <v>0</v>
      </c>
      <c r="NS23" s="561">
        <v>0</v>
      </c>
      <c r="NT23" s="561">
        <v>0</v>
      </c>
      <c r="NU23" s="561">
        <v>0</v>
      </c>
      <c r="NV23" s="561">
        <v>0</v>
      </c>
      <c r="NW23" s="561">
        <v>0</v>
      </c>
      <c r="NX23" s="561">
        <v>0</v>
      </c>
      <c r="NY23" s="561">
        <v>0</v>
      </c>
      <c r="NZ23" s="561">
        <v>0</v>
      </c>
      <c r="OA23" s="561">
        <v>0</v>
      </c>
      <c r="OB23" s="561">
        <v>0</v>
      </c>
      <c r="OC23" s="561">
        <v>0</v>
      </c>
      <c r="OD23" s="561">
        <v>0</v>
      </c>
      <c r="OE23" s="561">
        <v>0</v>
      </c>
      <c r="OF23" s="561">
        <v>0</v>
      </c>
      <c r="OG23" s="561">
        <v>0</v>
      </c>
      <c r="OH23" s="561">
        <v>0</v>
      </c>
      <c r="OI23" s="561">
        <v>0</v>
      </c>
      <c r="OJ23" s="561">
        <v>0</v>
      </c>
      <c r="OK23" s="561">
        <v>0</v>
      </c>
      <c r="OL23" s="561">
        <v>0</v>
      </c>
      <c r="OM23" s="561">
        <v>0</v>
      </c>
      <c r="ON23" s="561">
        <v>0</v>
      </c>
      <c r="OO23" s="561">
        <v>0</v>
      </c>
      <c r="OP23" s="561">
        <v>0</v>
      </c>
      <c r="OQ23" s="561">
        <v>0</v>
      </c>
      <c r="OR23" s="561">
        <v>0</v>
      </c>
      <c r="OS23" s="561">
        <v>0</v>
      </c>
      <c r="OT23" s="561">
        <v>0</v>
      </c>
      <c r="OU23" s="561">
        <v>0</v>
      </c>
      <c r="OV23" s="561">
        <v>0</v>
      </c>
      <c r="OW23" s="561">
        <v>0</v>
      </c>
      <c r="OX23" s="561">
        <v>0</v>
      </c>
      <c r="OY23" s="561">
        <v>0</v>
      </c>
      <c r="OZ23" s="561">
        <v>0</v>
      </c>
      <c r="PA23" s="561">
        <v>0</v>
      </c>
      <c r="PB23" s="561">
        <v>0</v>
      </c>
      <c r="PC23" s="561">
        <v>0</v>
      </c>
      <c r="PD23" s="561">
        <v>0</v>
      </c>
      <c r="PE23" s="561">
        <v>0</v>
      </c>
      <c r="PF23" s="561">
        <v>0</v>
      </c>
      <c r="PG23" s="561">
        <v>0</v>
      </c>
      <c r="PH23" s="561">
        <v>0</v>
      </c>
      <c r="PI23" s="561">
        <v>0</v>
      </c>
      <c r="PJ23" s="561">
        <v>0</v>
      </c>
    </row>
    <row r="24" spans="1:426" ht="14" x14ac:dyDescent="0.3">
      <c r="A24" t="s">
        <v>2498</v>
      </c>
      <c r="B24" t="s">
        <v>2499</v>
      </c>
      <c r="C24" t="s">
        <v>4569</v>
      </c>
      <c r="E24" t="s">
        <v>2466</v>
      </c>
      <c r="F24" s="561">
        <v>0</v>
      </c>
      <c r="G24" s="561">
        <v>0</v>
      </c>
      <c r="H24" s="561">
        <v>0</v>
      </c>
      <c r="I24" s="561">
        <v>0</v>
      </c>
      <c r="J24" s="561">
        <v>0</v>
      </c>
      <c r="K24" s="561">
        <v>0</v>
      </c>
      <c r="L24" s="561">
        <v>0</v>
      </c>
      <c r="M24" s="561">
        <v>0</v>
      </c>
      <c r="N24" s="561">
        <v>0</v>
      </c>
      <c r="O24" s="561">
        <v>0</v>
      </c>
      <c r="P24" s="561">
        <v>0</v>
      </c>
      <c r="Q24" s="561">
        <v>0</v>
      </c>
      <c r="R24" s="561">
        <v>0</v>
      </c>
      <c r="S24" s="561">
        <v>0</v>
      </c>
      <c r="T24" s="561">
        <v>0</v>
      </c>
      <c r="U24" s="561">
        <v>0</v>
      </c>
      <c r="V24" s="561">
        <v>0</v>
      </c>
      <c r="W24" s="561">
        <v>0</v>
      </c>
      <c r="X24" s="561">
        <v>0</v>
      </c>
      <c r="Y24" s="561">
        <v>0</v>
      </c>
      <c r="Z24" s="561">
        <v>0</v>
      </c>
      <c r="AA24" s="561">
        <v>0</v>
      </c>
      <c r="AB24" s="561">
        <v>0</v>
      </c>
      <c r="AC24" s="561">
        <v>0</v>
      </c>
      <c r="AD24" s="561">
        <v>0</v>
      </c>
      <c r="AE24" s="561">
        <v>0</v>
      </c>
      <c r="AF24" s="561">
        <v>0</v>
      </c>
      <c r="AG24" s="561">
        <v>0</v>
      </c>
      <c r="AH24" s="561">
        <v>0</v>
      </c>
      <c r="AI24" s="561">
        <v>0</v>
      </c>
      <c r="AJ24" s="561">
        <v>0</v>
      </c>
      <c r="AK24" s="561">
        <v>0</v>
      </c>
      <c r="AL24" s="561">
        <v>0</v>
      </c>
      <c r="AM24" s="561">
        <v>0</v>
      </c>
      <c r="AN24" s="561">
        <v>0</v>
      </c>
      <c r="AO24" s="561">
        <v>0</v>
      </c>
      <c r="AP24" s="561">
        <v>0</v>
      </c>
      <c r="AQ24" s="561">
        <v>0</v>
      </c>
      <c r="AR24" s="561">
        <v>0</v>
      </c>
      <c r="AS24" s="561">
        <v>0</v>
      </c>
      <c r="AT24" s="561">
        <v>0</v>
      </c>
      <c r="AU24" s="561">
        <v>0</v>
      </c>
      <c r="AV24" s="561">
        <v>0</v>
      </c>
      <c r="AW24" s="561">
        <v>0</v>
      </c>
      <c r="AX24" s="561">
        <v>0</v>
      </c>
      <c r="AY24" s="561">
        <v>0</v>
      </c>
      <c r="AZ24" s="561">
        <v>0</v>
      </c>
      <c r="BA24" s="561">
        <v>0</v>
      </c>
      <c r="BB24" s="561">
        <v>0</v>
      </c>
      <c r="BC24" s="561">
        <v>0</v>
      </c>
      <c r="BD24" s="561">
        <v>0</v>
      </c>
      <c r="BE24" s="561">
        <v>0</v>
      </c>
      <c r="BF24" s="561">
        <v>0</v>
      </c>
      <c r="BG24" s="561">
        <v>0</v>
      </c>
      <c r="BH24" s="561">
        <v>0</v>
      </c>
      <c r="BI24" s="561">
        <v>0</v>
      </c>
      <c r="BJ24" s="561">
        <v>0</v>
      </c>
      <c r="BK24" s="561">
        <v>0</v>
      </c>
      <c r="BL24" s="561">
        <v>0</v>
      </c>
      <c r="BM24" s="561">
        <v>0</v>
      </c>
      <c r="BN24" s="561">
        <v>0</v>
      </c>
      <c r="BO24" s="561">
        <v>0</v>
      </c>
      <c r="BP24" s="561">
        <v>0</v>
      </c>
      <c r="BQ24" s="561">
        <v>0</v>
      </c>
      <c r="BR24" s="561">
        <v>0</v>
      </c>
      <c r="BS24" s="561">
        <v>0</v>
      </c>
      <c r="BT24" s="561">
        <v>0</v>
      </c>
      <c r="BU24" s="561">
        <v>0</v>
      </c>
      <c r="BV24" s="561">
        <v>0</v>
      </c>
      <c r="BW24" s="561">
        <v>0</v>
      </c>
      <c r="BX24" s="561">
        <v>0</v>
      </c>
      <c r="BY24" s="561">
        <v>0</v>
      </c>
      <c r="BZ24" s="561">
        <v>0</v>
      </c>
      <c r="CA24" s="561">
        <v>0</v>
      </c>
      <c r="CB24" s="561">
        <v>0</v>
      </c>
      <c r="CC24" s="561">
        <v>0</v>
      </c>
      <c r="CD24" s="561">
        <v>0</v>
      </c>
      <c r="CE24" s="561">
        <v>0</v>
      </c>
      <c r="CF24" s="561">
        <v>0</v>
      </c>
      <c r="CG24" s="561">
        <v>0</v>
      </c>
      <c r="CH24" s="561">
        <v>0</v>
      </c>
      <c r="CI24" s="561">
        <v>0</v>
      </c>
      <c r="CJ24" s="561">
        <v>0</v>
      </c>
      <c r="CK24" s="561">
        <v>0</v>
      </c>
      <c r="CL24" s="561">
        <v>0</v>
      </c>
      <c r="CM24" s="561">
        <v>0</v>
      </c>
      <c r="CN24" s="561">
        <v>0</v>
      </c>
      <c r="CO24" s="561">
        <v>0</v>
      </c>
      <c r="CP24" s="561">
        <v>0</v>
      </c>
      <c r="CQ24" s="561">
        <v>0</v>
      </c>
      <c r="CR24" s="561">
        <v>0</v>
      </c>
      <c r="CS24" s="561">
        <v>0</v>
      </c>
      <c r="CT24" s="561">
        <v>0</v>
      </c>
      <c r="CU24" s="561">
        <v>0</v>
      </c>
      <c r="CV24" s="561">
        <v>0</v>
      </c>
      <c r="CW24" s="561">
        <v>0</v>
      </c>
      <c r="CX24" s="561">
        <v>0</v>
      </c>
      <c r="CY24" s="561">
        <v>0</v>
      </c>
      <c r="CZ24" s="561">
        <v>0</v>
      </c>
      <c r="DA24" s="561">
        <v>0</v>
      </c>
      <c r="DB24" s="561">
        <v>0</v>
      </c>
      <c r="DC24" s="561">
        <v>0</v>
      </c>
      <c r="DD24" s="561">
        <v>0</v>
      </c>
      <c r="DE24" s="561">
        <v>0</v>
      </c>
      <c r="DF24" s="561">
        <v>0</v>
      </c>
      <c r="DG24" s="561">
        <v>0</v>
      </c>
      <c r="DH24" s="561">
        <v>0</v>
      </c>
      <c r="DI24" s="561">
        <v>0</v>
      </c>
      <c r="DJ24" s="561">
        <v>0</v>
      </c>
      <c r="DK24" s="561">
        <v>0</v>
      </c>
      <c r="DL24" s="561">
        <v>0</v>
      </c>
      <c r="DM24" s="561">
        <v>0</v>
      </c>
      <c r="DN24" s="561">
        <v>0</v>
      </c>
      <c r="DO24" s="561">
        <v>0</v>
      </c>
      <c r="DP24" s="561">
        <v>0</v>
      </c>
      <c r="DQ24" s="561">
        <v>0</v>
      </c>
      <c r="DR24" s="561">
        <v>0</v>
      </c>
      <c r="DS24" s="561">
        <v>0</v>
      </c>
      <c r="DT24" s="561">
        <v>0</v>
      </c>
      <c r="DU24" s="561">
        <v>0</v>
      </c>
      <c r="DV24" s="561">
        <v>0</v>
      </c>
      <c r="DW24" s="561">
        <v>0</v>
      </c>
      <c r="DX24" s="561">
        <v>0</v>
      </c>
      <c r="DY24" s="561">
        <v>0</v>
      </c>
      <c r="DZ24" s="561">
        <v>0</v>
      </c>
      <c r="EA24" s="561">
        <v>0</v>
      </c>
      <c r="EB24" s="561">
        <v>0</v>
      </c>
      <c r="EC24" s="561">
        <v>0</v>
      </c>
      <c r="ED24" s="561">
        <v>0</v>
      </c>
      <c r="EE24" s="561">
        <v>0</v>
      </c>
      <c r="EF24" s="561">
        <v>0</v>
      </c>
      <c r="EG24" s="561">
        <v>0</v>
      </c>
      <c r="EH24" s="561">
        <v>0</v>
      </c>
      <c r="EI24" s="561">
        <v>0</v>
      </c>
      <c r="EJ24" s="561">
        <v>0</v>
      </c>
      <c r="EK24" s="561">
        <v>0</v>
      </c>
      <c r="EL24" s="561">
        <v>0</v>
      </c>
      <c r="EM24" s="561">
        <v>0</v>
      </c>
      <c r="EN24" s="561">
        <v>0</v>
      </c>
      <c r="EO24" s="561">
        <v>0</v>
      </c>
      <c r="EP24" s="561">
        <v>0</v>
      </c>
      <c r="EQ24" s="561">
        <v>0</v>
      </c>
      <c r="ER24" s="561">
        <v>0</v>
      </c>
      <c r="ES24" s="561" t="s">
        <v>4565</v>
      </c>
      <c r="ET24" s="561">
        <v>0</v>
      </c>
      <c r="EU24" s="561">
        <v>0</v>
      </c>
      <c r="EV24" s="561">
        <v>0</v>
      </c>
      <c r="EW24" s="561">
        <v>0</v>
      </c>
      <c r="EX24" s="561">
        <v>0</v>
      </c>
      <c r="EY24" s="561">
        <v>0</v>
      </c>
      <c r="EZ24" s="561">
        <v>0</v>
      </c>
      <c r="FA24" s="561">
        <v>0</v>
      </c>
      <c r="FB24" s="561">
        <v>0</v>
      </c>
      <c r="FC24" s="561">
        <v>0</v>
      </c>
      <c r="FD24" s="561">
        <v>0</v>
      </c>
      <c r="FE24" s="561">
        <v>0</v>
      </c>
      <c r="FF24" s="561">
        <v>0</v>
      </c>
      <c r="FG24" s="561">
        <v>0</v>
      </c>
      <c r="FH24" s="561">
        <v>0</v>
      </c>
      <c r="FI24" s="561">
        <v>0</v>
      </c>
      <c r="FJ24" s="561">
        <v>0</v>
      </c>
      <c r="FK24" s="561">
        <v>0</v>
      </c>
      <c r="FL24" s="561">
        <v>0</v>
      </c>
      <c r="FM24" s="561">
        <v>0</v>
      </c>
      <c r="FN24" s="561">
        <v>0</v>
      </c>
      <c r="FO24" s="561">
        <v>0</v>
      </c>
      <c r="FP24" s="561">
        <v>0</v>
      </c>
      <c r="FQ24" s="561">
        <v>0</v>
      </c>
      <c r="FR24" s="561">
        <v>0</v>
      </c>
      <c r="FS24" s="561">
        <v>0</v>
      </c>
      <c r="FT24" s="561">
        <v>0</v>
      </c>
      <c r="FU24" s="561">
        <v>0</v>
      </c>
      <c r="FV24" s="561">
        <v>0</v>
      </c>
      <c r="FW24" s="561">
        <v>0</v>
      </c>
      <c r="FX24" s="561">
        <v>0</v>
      </c>
      <c r="FY24" s="561">
        <v>0</v>
      </c>
      <c r="FZ24" s="561">
        <v>0</v>
      </c>
      <c r="GA24" s="561">
        <v>0</v>
      </c>
      <c r="GB24" s="561">
        <v>0</v>
      </c>
      <c r="GC24" s="561">
        <v>0</v>
      </c>
      <c r="GD24" s="561">
        <v>0</v>
      </c>
      <c r="GE24" s="561">
        <v>0</v>
      </c>
      <c r="GF24" s="561">
        <v>0</v>
      </c>
      <c r="GG24" s="561">
        <v>0</v>
      </c>
      <c r="GH24" s="561">
        <v>0</v>
      </c>
      <c r="GI24" s="561">
        <v>0</v>
      </c>
      <c r="GJ24" s="561">
        <v>0</v>
      </c>
      <c r="GK24" s="561">
        <v>0</v>
      </c>
      <c r="GL24" s="561">
        <v>0</v>
      </c>
      <c r="GM24" s="561">
        <v>0</v>
      </c>
      <c r="GN24" s="561">
        <v>0</v>
      </c>
      <c r="GO24" s="561">
        <v>0</v>
      </c>
      <c r="GP24" s="561">
        <v>0</v>
      </c>
      <c r="GQ24" s="561">
        <v>0</v>
      </c>
      <c r="GR24" s="561">
        <v>0</v>
      </c>
      <c r="GS24" s="561">
        <v>0</v>
      </c>
      <c r="GT24" s="561">
        <v>0</v>
      </c>
      <c r="GU24" s="561">
        <v>0</v>
      </c>
      <c r="GV24" s="561">
        <v>0</v>
      </c>
      <c r="GW24" s="561">
        <v>0</v>
      </c>
      <c r="GX24" s="561">
        <v>0</v>
      </c>
      <c r="GY24" s="561">
        <v>0</v>
      </c>
      <c r="GZ24" s="561">
        <v>0</v>
      </c>
      <c r="HA24" s="561">
        <v>0</v>
      </c>
      <c r="HB24" s="561">
        <v>0</v>
      </c>
      <c r="HC24" s="561">
        <v>0</v>
      </c>
      <c r="HD24" s="561">
        <v>0</v>
      </c>
      <c r="HE24" s="561">
        <v>0</v>
      </c>
      <c r="HF24" s="561">
        <v>0</v>
      </c>
      <c r="HG24" s="561">
        <v>0</v>
      </c>
      <c r="HH24" s="561">
        <v>0</v>
      </c>
      <c r="HI24" s="561">
        <v>0</v>
      </c>
      <c r="HJ24" s="561">
        <v>3742</v>
      </c>
      <c r="HK24" s="561">
        <v>32245</v>
      </c>
      <c r="HL24" s="561">
        <v>487</v>
      </c>
      <c r="HM24" s="561">
        <v>36474</v>
      </c>
      <c r="HN24" s="561">
        <v>474</v>
      </c>
      <c r="HO24" s="561">
        <v>1577</v>
      </c>
      <c r="HP24" s="561">
        <v>0</v>
      </c>
      <c r="HQ24" s="561">
        <v>0</v>
      </c>
      <c r="HR24" s="561">
        <v>0</v>
      </c>
      <c r="HS24" s="561">
        <v>0</v>
      </c>
      <c r="HT24" s="561">
        <v>0</v>
      </c>
      <c r="HU24" s="561">
        <v>0</v>
      </c>
      <c r="HV24" s="561">
        <v>0</v>
      </c>
      <c r="HW24" s="561">
        <v>0</v>
      </c>
      <c r="HX24" s="561">
        <v>0</v>
      </c>
      <c r="HY24" s="561">
        <v>0</v>
      </c>
      <c r="HZ24" s="561">
        <v>0</v>
      </c>
      <c r="IA24" s="561">
        <v>0</v>
      </c>
      <c r="IB24" s="561">
        <v>0</v>
      </c>
      <c r="IC24" s="561">
        <v>0</v>
      </c>
      <c r="ID24" s="561">
        <v>0</v>
      </c>
      <c r="IE24" s="561">
        <v>1042</v>
      </c>
      <c r="IF24" s="561">
        <v>0</v>
      </c>
      <c r="IG24" s="561">
        <v>0</v>
      </c>
      <c r="IH24" s="561">
        <v>0</v>
      </c>
      <c r="II24" s="561">
        <v>2619</v>
      </c>
      <c r="IJ24" s="561">
        <v>0</v>
      </c>
      <c r="IK24" s="561">
        <v>0</v>
      </c>
      <c r="IL24" s="561">
        <v>0</v>
      </c>
      <c r="IM24" s="561">
        <v>0</v>
      </c>
      <c r="IN24" s="561">
        <v>0</v>
      </c>
      <c r="IO24" s="561">
        <v>0</v>
      </c>
      <c r="IP24" s="561">
        <v>0</v>
      </c>
      <c r="IQ24" s="561">
        <v>0</v>
      </c>
      <c r="IR24" s="561">
        <v>0</v>
      </c>
      <c r="IS24" s="561">
        <v>0</v>
      </c>
      <c r="IT24" s="561">
        <v>0</v>
      </c>
      <c r="IU24" s="561">
        <v>0</v>
      </c>
      <c r="IV24" s="561">
        <v>0</v>
      </c>
      <c r="IW24" s="561">
        <v>0</v>
      </c>
      <c r="IX24" s="561">
        <v>0</v>
      </c>
      <c r="IY24" s="561">
        <v>0</v>
      </c>
      <c r="IZ24" s="561">
        <v>0</v>
      </c>
      <c r="JA24" s="561">
        <v>0</v>
      </c>
      <c r="JB24" s="561">
        <v>36474</v>
      </c>
      <c r="JC24" s="561">
        <v>2619</v>
      </c>
      <c r="JD24" s="561">
        <v>0</v>
      </c>
      <c r="JE24" s="561">
        <v>39093</v>
      </c>
      <c r="JF24" s="561">
        <v>0</v>
      </c>
      <c r="JG24" s="561">
        <v>0</v>
      </c>
      <c r="JH24" s="561">
        <v>0</v>
      </c>
      <c r="JI24" s="561">
        <v>0</v>
      </c>
      <c r="JJ24" s="561">
        <v>0</v>
      </c>
      <c r="JK24" s="561">
        <v>0</v>
      </c>
      <c r="JL24" s="561">
        <v>0</v>
      </c>
      <c r="JM24" s="561">
        <v>0</v>
      </c>
      <c r="JN24" s="561">
        <v>0</v>
      </c>
      <c r="JO24" s="561">
        <v>0</v>
      </c>
      <c r="JP24" s="561">
        <v>0</v>
      </c>
      <c r="JQ24" s="561">
        <v>0</v>
      </c>
      <c r="JR24" s="561">
        <v>0</v>
      </c>
      <c r="JS24" s="561">
        <v>0</v>
      </c>
      <c r="JT24" s="561">
        <v>47</v>
      </c>
      <c r="JU24" s="561">
        <v>0</v>
      </c>
      <c r="JV24" s="561">
        <v>39140</v>
      </c>
      <c r="JW24" s="561">
        <v>0</v>
      </c>
      <c r="JX24" s="561">
        <v>974</v>
      </c>
      <c r="JY24" s="561">
        <v>0</v>
      </c>
      <c r="JZ24" s="561">
        <v>0</v>
      </c>
      <c r="KA24" s="561">
        <v>0</v>
      </c>
      <c r="KB24" s="561">
        <v>0</v>
      </c>
      <c r="KC24" s="561">
        <v>225</v>
      </c>
      <c r="KD24" s="561">
        <v>166</v>
      </c>
      <c r="KE24" s="561">
        <v>632</v>
      </c>
      <c r="KF24" s="561">
        <v>0</v>
      </c>
      <c r="KG24" s="561">
        <v>41137</v>
      </c>
      <c r="KH24" s="561">
        <v>-956</v>
      </c>
      <c r="KI24" s="561">
        <v>0</v>
      </c>
      <c r="KJ24" s="561">
        <v>0</v>
      </c>
      <c r="KK24" s="561">
        <v>0</v>
      </c>
      <c r="KL24" s="561">
        <v>0</v>
      </c>
      <c r="KM24" s="561">
        <v>0</v>
      </c>
      <c r="KN24" s="561">
        <v>0</v>
      </c>
      <c r="KO24" s="561">
        <v>0</v>
      </c>
      <c r="KP24" s="561">
        <v>0</v>
      </c>
      <c r="KQ24" s="561">
        <v>0</v>
      </c>
      <c r="KR24" s="561">
        <v>40181</v>
      </c>
      <c r="KS24" s="561">
        <v>0</v>
      </c>
      <c r="KT24" s="561">
        <v>-1014</v>
      </c>
      <c r="KU24" s="561">
        <v>39167</v>
      </c>
      <c r="KV24" s="561">
        <v>0</v>
      </c>
      <c r="KW24" s="561">
        <v>0</v>
      </c>
      <c r="KX24" s="561">
        <v>0</v>
      </c>
      <c r="KY24" s="561">
        <v>0</v>
      </c>
      <c r="KZ24" s="561">
        <v>708</v>
      </c>
      <c r="LA24" s="561">
        <v>0</v>
      </c>
      <c r="LB24" s="561">
        <v>-4549</v>
      </c>
      <c r="LC24" s="561">
        <v>0</v>
      </c>
      <c r="LD24" s="561">
        <v>-9315</v>
      </c>
      <c r="LE24" s="561">
        <v>301</v>
      </c>
      <c r="LF24" s="561">
        <v>0</v>
      </c>
      <c r="LG24" s="561">
        <v>26312</v>
      </c>
      <c r="LH24" s="561">
        <v>0</v>
      </c>
      <c r="LI24" s="561">
        <v>0</v>
      </c>
      <c r="LJ24" s="561">
        <v>0</v>
      </c>
      <c r="LK24" s="561">
        <v>0</v>
      </c>
      <c r="LL24" s="561">
        <v>11040</v>
      </c>
      <c r="LM24" s="561">
        <v>2400</v>
      </c>
      <c r="LN24" s="561">
        <v>0</v>
      </c>
      <c r="LO24" s="561">
        <v>0</v>
      </c>
      <c r="LP24" s="561">
        <v>0</v>
      </c>
      <c r="LQ24" s="561">
        <v>0</v>
      </c>
      <c r="LR24" s="561">
        <v>11748</v>
      </c>
      <c r="LS24" s="561">
        <v>2400</v>
      </c>
      <c r="LT24" s="561">
        <v>0</v>
      </c>
      <c r="LU24" s="561">
        <v>2252</v>
      </c>
      <c r="LV24" s="561">
        <v>0</v>
      </c>
      <c r="LW24" s="561">
        <v>0</v>
      </c>
      <c r="LX24" s="561">
        <v>0</v>
      </c>
      <c r="LY24" s="561">
        <v>0</v>
      </c>
      <c r="LZ24" s="561">
        <v>2252</v>
      </c>
      <c r="MA24" s="561">
        <v>0</v>
      </c>
      <c r="MB24" s="561">
        <v>0</v>
      </c>
      <c r="MC24" s="561">
        <v>0</v>
      </c>
      <c r="MD24" s="561">
        <v>0</v>
      </c>
      <c r="ME24" s="561">
        <v>0</v>
      </c>
      <c r="MF24" s="561">
        <v>0</v>
      </c>
      <c r="MG24" s="561">
        <v>0</v>
      </c>
      <c r="MH24" s="561">
        <v>0</v>
      </c>
      <c r="MI24" s="561">
        <v>0</v>
      </c>
      <c r="MJ24" s="561">
        <v>0</v>
      </c>
      <c r="MK24" s="561">
        <v>0</v>
      </c>
      <c r="ML24" s="561">
        <v>0</v>
      </c>
      <c r="MM24" s="561">
        <v>4084</v>
      </c>
      <c r="MN24" s="561">
        <v>7253</v>
      </c>
      <c r="MO24" s="561">
        <v>411</v>
      </c>
      <c r="MP24" s="561">
        <v>0</v>
      </c>
      <c r="MQ24" s="561">
        <v>0</v>
      </c>
      <c r="MR24" s="561">
        <v>0</v>
      </c>
      <c r="MS24" s="561">
        <v>0</v>
      </c>
      <c r="MT24" s="561">
        <v>0</v>
      </c>
      <c r="MU24" s="561">
        <v>0</v>
      </c>
      <c r="MV24" s="561">
        <v>0</v>
      </c>
      <c r="MW24" s="561">
        <v>0</v>
      </c>
      <c r="MX24" s="561">
        <v>0</v>
      </c>
      <c r="MY24" s="561">
        <v>0</v>
      </c>
      <c r="MZ24" s="561">
        <v>0</v>
      </c>
      <c r="NA24" s="561">
        <v>36474</v>
      </c>
      <c r="NB24" s="561">
        <v>2619</v>
      </c>
      <c r="NC24" s="561">
        <v>0</v>
      </c>
      <c r="ND24" s="561">
        <v>39093</v>
      </c>
      <c r="NE24" s="561">
        <v>0</v>
      </c>
      <c r="NF24" s="561">
        <v>0</v>
      </c>
      <c r="NG24" s="561">
        <v>0</v>
      </c>
      <c r="NH24" s="561">
        <v>0</v>
      </c>
      <c r="NI24" s="561">
        <v>0</v>
      </c>
      <c r="NJ24" s="561">
        <v>0</v>
      </c>
      <c r="NK24" s="561">
        <v>0</v>
      </c>
      <c r="NL24" s="561">
        <v>0</v>
      </c>
      <c r="NM24" s="561">
        <v>0</v>
      </c>
      <c r="NN24" s="561">
        <v>0</v>
      </c>
      <c r="NO24" s="561">
        <v>0</v>
      </c>
      <c r="NP24" s="561">
        <v>0</v>
      </c>
      <c r="NQ24" s="561">
        <v>0</v>
      </c>
      <c r="NR24" s="561">
        <v>0</v>
      </c>
      <c r="NS24" s="561">
        <v>0</v>
      </c>
      <c r="NT24" s="561">
        <v>0</v>
      </c>
      <c r="NU24" s="561">
        <v>0</v>
      </c>
      <c r="NV24" s="561">
        <v>0</v>
      </c>
      <c r="NW24" s="561">
        <v>0</v>
      </c>
      <c r="NX24" s="561">
        <v>0</v>
      </c>
      <c r="NY24" s="561">
        <v>0</v>
      </c>
      <c r="NZ24" s="561">
        <v>0</v>
      </c>
      <c r="OA24" s="561">
        <v>0</v>
      </c>
      <c r="OB24" s="561">
        <v>0</v>
      </c>
      <c r="OC24" s="561">
        <v>0</v>
      </c>
      <c r="OD24" s="561">
        <v>0</v>
      </c>
      <c r="OE24" s="561">
        <v>0</v>
      </c>
      <c r="OF24" s="561">
        <v>0</v>
      </c>
      <c r="OG24" s="561">
        <v>0</v>
      </c>
      <c r="OH24" s="561">
        <v>0</v>
      </c>
      <c r="OI24" s="561">
        <v>0</v>
      </c>
      <c r="OJ24" s="561">
        <v>0</v>
      </c>
      <c r="OK24" s="561">
        <v>0</v>
      </c>
      <c r="OL24" s="561">
        <v>0</v>
      </c>
      <c r="OM24" s="561">
        <v>0</v>
      </c>
      <c r="ON24" s="561">
        <v>0</v>
      </c>
      <c r="OO24" s="561">
        <v>0</v>
      </c>
      <c r="OP24" s="561">
        <v>0</v>
      </c>
      <c r="OQ24" s="561">
        <v>0</v>
      </c>
      <c r="OR24" s="561">
        <v>0</v>
      </c>
      <c r="OS24" s="561">
        <v>0</v>
      </c>
      <c r="OT24" s="561">
        <v>0</v>
      </c>
      <c r="OU24" s="561">
        <v>0</v>
      </c>
      <c r="OV24" s="561">
        <v>0</v>
      </c>
      <c r="OW24" s="561">
        <v>0</v>
      </c>
      <c r="OX24" s="561">
        <v>0</v>
      </c>
      <c r="OY24" s="561">
        <v>0</v>
      </c>
      <c r="OZ24" s="561">
        <v>0</v>
      </c>
      <c r="PA24" s="561">
        <v>0</v>
      </c>
      <c r="PB24" s="561">
        <v>0</v>
      </c>
      <c r="PC24" s="561">
        <v>0</v>
      </c>
      <c r="PD24" s="561">
        <v>0</v>
      </c>
      <c r="PE24" s="561">
        <v>0</v>
      </c>
      <c r="PF24" s="561">
        <v>0</v>
      </c>
      <c r="PG24" s="561">
        <v>0</v>
      </c>
      <c r="PH24" s="561">
        <v>0</v>
      </c>
      <c r="PI24" s="561">
        <v>0</v>
      </c>
      <c r="PJ24" s="561">
        <v>0</v>
      </c>
    </row>
    <row r="25" spans="1:426" ht="14" x14ac:dyDescent="0.3">
      <c r="A25" t="s">
        <v>2501</v>
      </c>
      <c r="B25" t="s">
        <v>2502</v>
      </c>
      <c r="C25" t="s">
        <v>2503</v>
      </c>
      <c r="E25" t="s">
        <v>2466</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0</v>
      </c>
      <c r="W25" s="561">
        <v>0</v>
      </c>
      <c r="X25" s="561">
        <v>0</v>
      </c>
      <c r="Y25" s="561">
        <v>0</v>
      </c>
      <c r="Z25" s="561">
        <v>0</v>
      </c>
      <c r="AA25" s="561">
        <v>0</v>
      </c>
      <c r="AB25" s="561">
        <v>0</v>
      </c>
      <c r="AC25" s="561">
        <v>0</v>
      </c>
      <c r="AD25" s="561">
        <v>0</v>
      </c>
      <c r="AE25" s="561">
        <v>0</v>
      </c>
      <c r="AF25" s="561">
        <v>0</v>
      </c>
      <c r="AG25" s="561">
        <v>0</v>
      </c>
      <c r="AH25" s="561">
        <v>0</v>
      </c>
      <c r="AI25" s="561">
        <v>0</v>
      </c>
      <c r="AJ25" s="561">
        <v>0</v>
      </c>
      <c r="AK25" s="561">
        <v>0</v>
      </c>
      <c r="AL25" s="561">
        <v>0</v>
      </c>
      <c r="AM25" s="561">
        <v>0</v>
      </c>
      <c r="AN25" s="561">
        <v>0</v>
      </c>
      <c r="AO25" s="561">
        <v>0</v>
      </c>
      <c r="AP25" s="561">
        <v>0</v>
      </c>
      <c r="AQ25" s="561">
        <v>0</v>
      </c>
      <c r="AR25" s="561">
        <v>0</v>
      </c>
      <c r="AS25" s="561">
        <v>0</v>
      </c>
      <c r="AT25" s="561">
        <v>0</v>
      </c>
      <c r="AU25" s="561">
        <v>0</v>
      </c>
      <c r="AV25" s="561">
        <v>0</v>
      </c>
      <c r="AW25" s="561">
        <v>0</v>
      </c>
      <c r="AX25" s="561">
        <v>0</v>
      </c>
      <c r="AY25" s="561">
        <v>0</v>
      </c>
      <c r="AZ25" s="561">
        <v>0</v>
      </c>
      <c r="BA25" s="561">
        <v>0</v>
      </c>
      <c r="BB25" s="561">
        <v>0</v>
      </c>
      <c r="BC25" s="561">
        <v>0</v>
      </c>
      <c r="BD25" s="561">
        <v>0</v>
      </c>
      <c r="BE25" s="561">
        <v>0</v>
      </c>
      <c r="BF25" s="561">
        <v>0</v>
      </c>
      <c r="BG25" s="561">
        <v>0</v>
      </c>
      <c r="BH25" s="561">
        <v>0</v>
      </c>
      <c r="BI25" s="561">
        <v>0</v>
      </c>
      <c r="BJ25" s="561">
        <v>0</v>
      </c>
      <c r="BK25" s="561">
        <v>0</v>
      </c>
      <c r="BL25" s="561">
        <v>0</v>
      </c>
      <c r="BM25" s="561">
        <v>0</v>
      </c>
      <c r="BN25" s="561">
        <v>0</v>
      </c>
      <c r="BO25" s="561">
        <v>0</v>
      </c>
      <c r="BP25" s="561">
        <v>0</v>
      </c>
      <c r="BQ25" s="561">
        <v>0</v>
      </c>
      <c r="BR25" s="561">
        <v>0</v>
      </c>
      <c r="BS25" s="561">
        <v>0</v>
      </c>
      <c r="BT25" s="561">
        <v>0</v>
      </c>
      <c r="BU25" s="561">
        <v>0</v>
      </c>
      <c r="BV25" s="561">
        <v>0</v>
      </c>
      <c r="BW25" s="561">
        <v>0</v>
      </c>
      <c r="BX25" s="561">
        <v>0</v>
      </c>
      <c r="BY25" s="561">
        <v>0</v>
      </c>
      <c r="BZ25" s="561">
        <v>0</v>
      </c>
      <c r="CA25" s="561">
        <v>0</v>
      </c>
      <c r="CB25" s="561">
        <v>0</v>
      </c>
      <c r="CC25" s="561">
        <v>0</v>
      </c>
      <c r="CD25" s="561">
        <v>0</v>
      </c>
      <c r="CE25" s="561">
        <v>0</v>
      </c>
      <c r="CF25" s="561">
        <v>0</v>
      </c>
      <c r="CG25" s="561">
        <v>0</v>
      </c>
      <c r="CH25" s="561">
        <v>0</v>
      </c>
      <c r="CI25" s="561">
        <v>0</v>
      </c>
      <c r="CJ25" s="561">
        <v>0</v>
      </c>
      <c r="CK25" s="561">
        <v>0</v>
      </c>
      <c r="CL25" s="561">
        <v>0</v>
      </c>
      <c r="CM25" s="561">
        <v>0</v>
      </c>
      <c r="CN25" s="561">
        <v>0</v>
      </c>
      <c r="CO25" s="561">
        <v>0</v>
      </c>
      <c r="CP25" s="561">
        <v>0</v>
      </c>
      <c r="CQ25" s="561">
        <v>0</v>
      </c>
      <c r="CR25" s="561">
        <v>0</v>
      </c>
      <c r="CS25" s="561">
        <v>0</v>
      </c>
      <c r="CT25" s="561">
        <v>0</v>
      </c>
      <c r="CU25" s="561">
        <v>0</v>
      </c>
      <c r="CV25" s="561">
        <v>0</v>
      </c>
      <c r="CW25" s="561">
        <v>0</v>
      </c>
      <c r="CX25" s="561">
        <v>0</v>
      </c>
      <c r="CY25" s="561">
        <v>0</v>
      </c>
      <c r="CZ25" s="561">
        <v>0</v>
      </c>
      <c r="DA25" s="561">
        <v>0</v>
      </c>
      <c r="DB25" s="561">
        <v>0</v>
      </c>
      <c r="DC25" s="561">
        <v>0</v>
      </c>
      <c r="DD25" s="561">
        <v>0</v>
      </c>
      <c r="DE25" s="561">
        <v>0</v>
      </c>
      <c r="DF25" s="561">
        <v>0</v>
      </c>
      <c r="DG25" s="561">
        <v>0</v>
      </c>
      <c r="DH25" s="561">
        <v>0</v>
      </c>
      <c r="DI25" s="561">
        <v>0</v>
      </c>
      <c r="DJ25" s="561">
        <v>0</v>
      </c>
      <c r="DK25" s="561">
        <v>0</v>
      </c>
      <c r="DL25" s="561">
        <v>0</v>
      </c>
      <c r="DM25" s="561">
        <v>0</v>
      </c>
      <c r="DN25" s="561">
        <v>0</v>
      </c>
      <c r="DO25" s="561">
        <v>0</v>
      </c>
      <c r="DP25" s="561">
        <v>0</v>
      </c>
      <c r="DQ25" s="561">
        <v>0</v>
      </c>
      <c r="DR25" s="561">
        <v>0</v>
      </c>
      <c r="DS25" s="561">
        <v>0</v>
      </c>
      <c r="DT25" s="561">
        <v>0</v>
      </c>
      <c r="DU25" s="561">
        <v>0</v>
      </c>
      <c r="DV25" s="561">
        <v>0</v>
      </c>
      <c r="DW25" s="561">
        <v>0</v>
      </c>
      <c r="DX25" s="561">
        <v>0</v>
      </c>
      <c r="DY25" s="561">
        <v>0</v>
      </c>
      <c r="DZ25" s="561">
        <v>0</v>
      </c>
      <c r="EA25" s="561">
        <v>0</v>
      </c>
      <c r="EB25" s="561">
        <v>0</v>
      </c>
      <c r="EC25" s="561">
        <v>0</v>
      </c>
      <c r="ED25" s="561">
        <v>0</v>
      </c>
      <c r="EE25" s="561">
        <v>0</v>
      </c>
      <c r="EF25" s="561">
        <v>0</v>
      </c>
      <c r="EG25" s="561">
        <v>0</v>
      </c>
      <c r="EH25" s="561">
        <v>0</v>
      </c>
      <c r="EI25" s="561">
        <v>0</v>
      </c>
      <c r="EJ25" s="561">
        <v>0</v>
      </c>
      <c r="EK25" s="561">
        <v>0</v>
      </c>
      <c r="EL25" s="561">
        <v>0</v>
      </c>
      <c r="EM25" s="561">
        <v>0</v>
      </c>
      <c r="EN25" s="561">
        <v>0</v>
      </c>
      <c r="EO25" s="561">
        <v>0</v>
      </c>
      <c r="EP25" s="561">
        <v>0</v>
      </c>
      <c r="EQ25" s="561">
        <v>0</v>
      </c>
      <c r="ER25" s="561">
        <v>0</v>
      </c>
      <c r="ES25" s="561" t="s">
        <v>4565</v>
      </c>
      <c r="ET25" s="561">
        <v>0</v>
      </c>
      <c r="EU25" s="561">
        <v>0</v>
      </c>
      <c r="EV25" s="561">
        <v>0</v>
      </c>
      <c r="EW25" s="561">
        <v>0</v>
      </c>
      <c r="EX25" s="561">
        <v>0</v>
      </c>
      <c r="EY25" s="561">
        <v>0</v>
      </c>
      <c r="EZ25" s="561">
        <v>0</v>
      </c>
      <c r="FA25" s="561">
        <v>0</v>
      </c>
      <c r="FB25" s="561">
        <v>0</v>
      </c>
      <c r="FC25" s="561">
        <v>0</v>
      </c>
      <c r="FD25" s="561">
        <v>0</v>
      </c>
      <c r="FE25" s="561">
        <v>0</v>
      </c>
      <c r="FF25" s="561">
        <v>0</v>
      </c>
      <c r="FG25" s="561">
        <v>0</v>
      </c>
      <c r="FH25" s="561">
        <v>0</v>
      </c>
      <c r="FI25" s="561">
        <v>0</v>
      </c>
      <c r="FJ25" s="561">
        <v>0</v>
      </c>
      <c r="FK25" s="561">
        <v>0</v>
      </c>
      <c r="FL25" s="561">
        <v>0</v>
      </c>
      <c r="FM25" s="561">
        <v>0</v>
      </c>
      <c r="FN25" s="561">
        <v>0</v>
      </c>
      <c r="FO25" s="561">
        <v>0</v>
      </c>
      <c r="FP25" s="561">
        <v>0</v>
      </c>
      <c r="FQ25" s="561">
        <v>0</v>
      </c>
      <c r="FR25" s="561">
        <v>0</v>
      </c>
      <c r="FS25" s="561">
        <v>0</v>
      </c>
      <c r="FT25" s="561">
        <v>0</v>
      </c>
      <c r="FU25" s="561">
        <v>0</v>
      </c>
      <c r="FV25" s="561">
        <v>0</v>
      </c>
      <c r="FW25" s="561">
        <v>0</v>
      </c>
      <c r="FX25" s="561">
        <v>0</v>
      </c>
      <c r="FY25" s="561">
        <v>0</v>
      </c>
      <c r="FZ25" s="561">
        <v>0</v>
      </c>
      <c r="GA25" s="561">
        <v>0</v>
      </c>
      <c r="GB25" s="561">
        <v>0</v>
      </c>
      <c r="GC25" s="561">
        <v>0</v>
      </c>
      <c r="GD25" s="561">
        <v>0</v>
      </c>
      <c r="GE25" s="561">
        <v>0</v>
      </c>
      <c r="GF25" s="561">
        <v>0</v>
      </c>
      <c r="GG25" s="561">
        <v>0</v>
      </c>
      <c r="GH25" s="561">
        <v>0</v>
      </c>
      <c r="GI25" s="561">
        <v>0</v>
      </c>
      <c r="GJ25" s="561">
        <v>0</v>
      </c>
      <c r="GK25" s="561">
        <v>0</v>
      </c>
      <c r="GL25" s="561">
        <v>0</v>
      </c>
      <c r="GM25" s="561">
        <v>0</v>
      </c>
      <c r="GN25" s="561">
        <v>0</v>
      </c>
      <c r="GO25" s="561">
        <v>0</v>
      </c>
      <c r="GP25" s="561">
        <v>0</v>
      </c>
      <c r="GQ25" s="561">
        <v>0</v>
      </c>
      <c r="GR25" s="561">
        <v>0</v>
      </c>
      <c r="GS25" s="561">
        <v>0</v>
      </c>
      <c r="GT25" s="561">
        <v>0</v>
      </c>
      <c r="GU25" s="561">
        <v>0</v>
      </c>
      <c r="GV25" s="561">
        <v>0</v>
      </c>
      <c r="GW25" s="561">
        <v>0</v>
      </c>
      <c r="GX25" s="561">
        <v>0</v>
      </c>
      <c r="GY25" s="561">
        <v>0</v>
      </c>
      <c r="GZ25" s="561">
        <v>0</v>
      </c>
      <c r="HA25" s="561">
        <v>0</v>
      </c>
      <c r="HB25" s="561">
        <v>0</v>
      </c>
      <c r="HC25" s="561">
        <v>0</v>
      </c>
      <c r="HD25" s="561">
        <v>0</v>
      </c>
      <c r="HE25" s="561">
        <v>0</v>
      </c>
      <c r="HF25" s="561">
        <v>0</v>
      </c>
      <c r="HG25" s="561">
        <v>0</v>
      </c>
      <c r="HH25" s="561">
        <v>194322</v>
      </c>
      <c r="HI25" s="561">
        <v>10747</v>
      </c>
      <c r="HJ25" s="561">
        <v>0</v>
      </c>
      <c r="HK25" s="561">
        <v>0</v>
      </c>
      <c r="HL25" s="561">
        <v>0</v>
      </c>
      <c r="HM25" s="561">
        <v>0</v>
      </c>
      <c r="HN25" s="561">
        <v>0</v>
      </c>
      <c r="HO25" s="561">
        <v>3015</v>
      </c>
      <c r="HP25" s="561">
        <v>0</v>
      </c>
      <c r="HQ25" s="561">
        <v>0</v>
      </c>
      <c r="HR25" s="561">
        <v>0</v>
      </c>
      <c r="HS25" s="561">
        <v>0</v>
      </c>
      <c r="HT25" s="561">
        <v>0</v>
      </c>
      <c r="HU25" s="561">
        <v>0</v>
      </c>
      <c r="HV25" s="561">
        <v>0</v>
      </c>
      <c r="HW25" s="561">
        <v>0</v>
      </c>
      <c r="HX25" s="561">
        <v>0</v>
      </c>
      <c r="HY25" s="561">
        <v>0</v>
      </c>
      <c r="HZ25" s="561">
        <v>0</v>
      </c>
      <c r="IA25" s="561">
        <v>0</v>
      </c>
      <c r="IB25" s="561">
        <v>0</v>
      </c>
      <c r="IC25" s="561">
        <v>0</v>
      </c>
      <c r="ID25" s="561">
        <v>0</v>
      </c>
      <c r="IE25" s="561">
        <v>0</v>
      </c>
      <c r="IF25" s="561">
        <v>0</v>
      </c>
      <c r="IG25" s="561">
        <v>0</v>
      </c>
      <c r="IH25" s="561">
        <v>0</v>
      </c>
      <c r="II25" s="561">
        <v>3015</v>
      </c>
      <c r="IJ25" s="561">
        <v>0</v>
      </c>
      <c r="IK25" s="561">
        <v>0</v>
      </c>
      <c r="IL25" s="561">
        <v>0</v>
      </c>
      <c r="IM25" s="561">
        <v>0</v>
      </c>
      <c r="IN25" s="561">
        <v>0</v>
      </c>
      <c r="IO25" s="561">
        <v>0</v>
      </c>
      <c r="IP25" s="561">
        <v>0</v>
      </c>
      <c r="IQ25" s="561">
        <v>0</v>
      </c>
      <c r="IR25" s="561">
        <v>0</v>
      </c>
      <c r="IS25" s="561">
        <v>0</v>
      </c>
      <c r="IT25" s="561">
        <v>0</v>
      </c>
      <c r="IU25" s="561">
        <v>0</v>
      </c>
      <c r="IV25" s="561">
        <v>0</v>
      </c>
      <c r="IW25" s="561">
        <v>0</v>
      </c>
      <c r="IX25" s="561">
        <v>0</v>
      </c>
      <c r="IY25" s="561">
        <v>0</v>
      </c>
      <c r="IZ25" s="561">
        <v>0</v>
      </c>
      <c r="JA25" s="561">
        <v>194322</v>
      </c>
      <c r="JB25" s="561">
        <v>0</v>
      </c>
      <c r="JC25" s="561">
        <v>3015</v>
      </c>
      <c r="JD25" s="561">
        <v>0</v>
      </c>
      <c r="JE25" s="561">
        <v>197337</v>
      </c>
      <c r="JF25" s="561">
        <v>0</v>
      </c>
      <c r="JG25" s="561">
        <v>0</v>
      </c>
      <c r="JH25" s="561">
        <v>0</v>
      </c>
      <c r="JI25" s="561">
        <v>0</v>
      </c>
      <c r="JJ25" s="561">
        <v>0</v>
      </c>
      <c r="JK25" s="561">
        <v>0</v>
      </c>
      <c r="JL25" s="561">
        <v>0</v>
      </c>
      <c r="JM25" s="561">
        <v>0</v>
      </c>
      <c r="JN25" s="561">
        <v>0</v>
      </c>
      <c r="JO25" s="561">
        <v>0</v>
      </c>
      <c r="JP25" s="561">
        <v>0</v>
      </c>
      <c r="JQ25" s="561">
        <v>0</v>
      </c>
      <c r="JR25" s="561">
        <v>0</v>
      </c>
      <c r="JS25" s="561">
        <v>0</v>
      </c>
      <c r="JT25" s="561">
        <v>0</v>
      </c>
      <c r="JU25" s="561">
        <v>0</v>
      </c>
      <c r="JV25" s="561">
        <v>197337</v>
      </c>
      <c r="JW25" s="561">
        <v>0</v>
      </c>
      <c r="JX25" s="561">
        <v>92</v>
      </c>
      <c r="JY25" s="561">
        <v>0</v>
      </c>
      <c r="JZ25" s="561">
        <v>0</v>
      </c>
      <c r="KA25" s="561">
        <v>0</v>
      </c>
      <c r="KB25" s="561">
        <v>0</v>
      </c>
      <c r="KC25" s="561">
        <v>1661</v>
      </c>
      <c r="KD25" s="561">
        <v>0</v>
      </c>
      <c r="KE25" s="561">
        <v>1193</v>
      </c>
      <c r="KF25" s="561">
        <v>0</v>
      </c>
      <c r="KG25" s="561">
        <v>200283</v>
      </c>
      <c r="KH25" s="561">
        <v>-1015</v>
      </c>
      <c r="KI25" s="561">
        <v>0</v>
      </c>
      <c r="KJ25" s="561">
        <v>0</v>
      </c>
      <c r="KK25" s="561">
        <v>0</v>
      </c>
      <c r="KL25" s="561">
        <v>0</v>
      </c>
      <c r="KM25" s="561">
        <v>0</v>
      </c>
      <c r="KN25" s="561">
        <v>0</v>
      </c>
      <c r="KO25" s="561">
        <v>0</v>
      </c>
      <c r="KP25" s="561">
        <v>0</v>
      </c>
      <c r="KQ25" s="561">
        <v>0</v>
      </c>
      <c r="KR25" s="561">
        <v>199268</v>
      </c>
      <c r="KS25" s="561">
        <v>0</v>
      </c>
      <c r="KT25" s="561">
        <v>-45802</v>
      </c>
      <c r="KU25" s="561">
        <v>153466</v>
      </c>
      <c r="KV25" s="561">
        <v>0</v>
      </c>
      <c r="KW25" s="561">
        <v>0</v>
      </c>
      <c r="KX25" s="561">
        <v>0</v>
      </c>
      <c r="KY25" s="561">
        <v>0</v>
      </c>
      <c r="KZ25" s="561">
        <v>-3208</v>
      </c>
      <c r="LA25" s="561">
        <v>-1091</v>
      </c>
      <c r="LB25" s="561">
        <v>0</v>
      </c>
      <c r="LC25" s="561">
        <v>-86740</v>
      </c>
      <c r="LD25" s="561">
        <v>0</v>
      </c>
      <c r="LE25" s="561">
        <v>-548</v>
      </c>
      <c r="LF25" s="561">
        <v>0</v>
      </c>
      <c r="LG25" s="561">
        <v>61879</v>
      </c>
      <c r="LH25" s="561">
        <v>0</v>
      </c>
      <c r="LI25" s="561">
        <v>0</v>
      </c>
      <c r="LJ25" s="561">
        <v>0</v>
      </c>
      <c r="LK25" s="561">
        <v>0</v>
      </c>
      <c r="LL25" s="561">
        <v>6625</v>
      </c>
      <c r="LM25" s="561">
        <v>4475</v>
      </c>
      <c r="LN25" s="561">
        <v>0</v>
      </c>
      <c r="LO25" s="561">
        <v>0</v>
      </c>
      <c r="LP25" s="561">
        <v>0</v>
      </c>
      <c r="LQ25" s="561">
        <v>0</v>
      </c>
      <c r="LR25" s="561">
        <v>3417</v>
      </c>
      <c r="LS25" s="561">
        <v>3384</v>
      </c>
      <c r="LT25" s="561">
        <v>0</v>
      </c>
      <c r="LU25" s="561">
        <v>6696</v>
      </c>
      <c r="LV25" s="561">
        <v>0</v>
      </c>
      <c r="LW25" s="561">
        <v>12</v>
      </c>
      <c r="LX25" s="561">
        <v>-706</v>
      </c>
      <c r="LY25" s="561">
        <v>0</v>
      </c>
      <c r="LZ25" s="561">
        <v>6002</v>
      </c>
      <c r="MA25" s="561">
        <v>0</v>
      </c>
      <c r="MB25" s="561">
        <v>0</v>
      </c>
      <c r="MC25" s="561">
        <v>0</v>
      </c>
      <c r="MD25" s="561">
        <v>0</v>
      </c>
      <c r="ME25" s="561">
        <v>0</v>
      </c>
      <c r="MF25" s="561">
        <v>0</v>
      </c>
      <c r="MG25" s="561">
        <v>0</v>
      </c>
      <c r="MH25" s="561">
        <v>0</v>
      </c>
      <c r="MI25" s="561">
        <v>0</v>
      </c>
      <c r="MJ25" s="561">
        <v>0</v>
      </c>
      <c r="MK25" s="561">
        <v>0</v>
      </c>
      <c r="ML25" s="561">
        <v>0</v>
      </c>
      <c r="MM25" s="561">
        <v>1782</v>
      </c>
      <c r="MN25" s="561">
        <v>878</v>
      </c>
      <c r="MO25" s="561">
        <v>757</v>
      </c>
      <c r="MP25" s="561">
        <v>0</v>
      </c>
      <c r="MQ25" s="561">
        <v>0</v>
      </c>
      <c r="MR25" s="561">
        <v>0</v>
      </c>
      <c r="MS25" s="561">
        <v>0</v>
      </c>
      <c r="MT25" s="561">
        <v>0</v>
      </c>
      <c r="MU25" s="561">
        <v>0</v>
      </c>
      <c r="MV25" s="561">
        <v>0</v>
      </c>
      <c r="MW25" s="561">
        <v>0</v>
      </c>
      <c r="MX25" s="561">
        <v>0</v>
      </c>
      <c r="MY25" s="561">
        <v>0</v>
      </c>
      <c r="MZ25" s="561">
        <v>194322</v>
      </c>
      <c r="NA25" s="561">
        <v>0</v>
      </c>
      <c r="NB25" s="561">
        <v>3015</v>
      </c>
      <c r="NC25" s="561">
        <v>0</v>
      </c>
      <c r="ND25" s="561">
        <v>197337</v>
      </c>
      <c r="NE25" s="561">
        <v>0</v>
      </c>
      <c r="NF25" s="561">
        <v>0</v>
      </c>
      <c r="NG25" s="561">
        <v>0</v>
      </c>
      <c r="NH25" s="561">
        <v>0</v>
      </c>
      <c r="NI25" s="561">
        <v>0</v>
      </c>
      <c r="NJ25" s="561">
        <v>0</v>
      </c>
      <c r="NK25" s="561">
        <v>0</v>
      </c>
      <c r="NL25" s="561">
        <v>0</v>
      </c>
      <c r="NM25" s="561">
        <v>0</v>
      </c>
      <c r="NN25" s="561">
        <v>0</v>
      </c>
      <c r="NO25" s="561">
        <v>0</v>
      </c>
      <c r="NP25" s="561">
        <v>0</v>
      </c>
      <c r="NQ25" s="561">
        <v>0</v>
      </c>
      <c r="NR25" s="561">
        <v>0</v>
      </c>
      <c r="NS25" s="561">
        <v>0</v>
      </c>
      <c r="NT25" s="561">
        <v>0</v>
      </c>
      <c r="NU25" s="561">
        <v>0</v>
      </c>
      <c r="NV25" s="561">
        <v>0</v>
      </c>
      <c r="NW25" s="561">
        <v>0</v>
      </c>
      <c r="NX25" s="561">
        <v>0</v>
      </c>
      <c r="NY25" s="561">
        <v>0</v>
      </c>
      <c r="NZ25" s="561">
        <v>0</v>
      </c>
      <c r="OA25" s="561">
        <v>0</v>
      </c>
      <c r="OB25" s="561">
        <v>0</v>
      </c>
      <c r="OC25" s="561">
        <v>0</v>
      </c>
      <c r="OD25" s="561">
        <v>0</v>
      </c>
      <c r="OE25" s="561">
        <v>0</v>
      </c>
      <c r="OF25" s="561">
        <v>0</v>
      </c>
      <c r="OG25" s="561">
        <v>0</v>
      </c>
      <c r="OH25" s="561">
        <v>0</v>
      </c>
      <c r="OI25" s="561">
        <v>0</v>
      </c>
      <c r="OJ25" s="561">
        <v>0</v>
      </c>
      <c r="OK25" s="561">
        <v>0</v>
      </c>
      <c r="OL25" s="561">
        <v>0</v>
      </c>
      <c r="OM25" s="561">
        <v>0</v>
      </c>
      <c r="ON25" s="561">
        <v>0</v>
      </c>
      <c r="OO25" s="561">
        <v>0</v>
      </c>
      <c r="OP25" s="561">
        <v>0</v>
      </c>
      <c r="OQ25" s="561">
        <v>0</v>
      </c>
      <c r="OR25" s="561">
        <v>0</v>
      </c>
      <c r="OS25" s="561">
        <v>0</v>
      </c>
      <c r="OT25" s="561">
        <v>0</v>
      </c>
      <c r="OU25" s="561">
        <v>0</v>
      </c>
      <c r="OV25" s="561">
        <v>0</v>
      </c>
      <c r="OW25" s="561">
        <v>0</v>
      </c>
      <c r="OX25" s="561">
        <v>0</v>
      </c>
      <c r="OY25" s="561">
        <v>0</v>
      </c>
      <c r="OZ25" s="561">
        <v>0</v>
      </c>
      <c r="PA25" s="561">
        <v>0</v>
      </c>
      <c r="PB25" s="561">
        <v>0</v>
      </c>
      <c r="PC25" s="561">
        <v>0</v>
      </c>
      <c r="PD25" s="561">
        <v>0</v>
      </c>
      <c r="PE25" s="561">
        <v>0</v>
      </c>
      <c r="PF25" s="561">
        <v>0</v>
      </c>
      <c r="PG25" s="561">
        <v>0</v>
      </c>
      <c r="PH25" s="561">
        <v>0</v>
      </c>
      <c r="PI25" s="561">
        <v>0</v>
      </c>
      <c r="PJ25" s="561">
        <v>0</v>
      </c>
    </row>
    <row r="26" spans="1:426" ht="14" x14ac:dyDescent="0.3">
      <c r="A26" t="s">
        <v>2504</v>
      </c>
      <c r="B26" t="s">
        <v>2505</v>
      </c>
      <c r="C26" t="s">
        <v>4570</v>
      </c>
      <c r="E26" t="s">
        <v>2466</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0</v>
      </c>
      <c r="W26" s="561">
        <v>0</v>
      </c>
      <c r="X26" s="561">
        <v>0</v>
      </c>
      <c r="Y26" s="561">
        <v>0</v>
      </c>
      <c r="Z26" s="561">
        <v>0</v>
      </c>
      <c r="AA26" s="561">
        <v>0</v>
      </c>
      <c r="AB26" s="561">
        <v>0</v>
      </c>
      <c r="AC26" s="561">
        <v>0</v>
      </c>
      <c r="AD26" s="561">
        <v>0</v>
      </c>
      <c r="AE26" s="561">
        <v>0</v>
      </c>
      <c r="AF26" s="561">
        <v>0</v>
      </c>
      <c r="AG26" s="561">
        <v>0</v>
      </c>
      <c r="AH26" s="561">
        <v>0</v>
      </c>
      <c r="AI26" s="561">
        <v>0</v>
      </c>
      <c r="AJ26" s="561">
        <v>0</v>
      </c>
      <c r="AK26" s="561">
        <v>0</v>
      </c>
      <c r="AL26" s="561">
        <v>0</v>
      </c>
      <c r="AM26" s="561">
        <v>0</v>
      </c>
      <c r="AN26" s="561">
        <v>0</v>
      </c>
      <c r="AO26" s="561">
        <v>0</v>
      </c>
      <c r="AP26" s="561">
        <v>0</v>
      </c>
      <c r="AQ26" s="561">
        <v>0</v>
      </c>
      <c r="AR26" s="561">
        <v>0</v>
      </c>
      <c r="AS26" s="561">
        <v>0</v>
      </c>
      <c r="AT26" s="561">
        <v>0</v>
      </c>
      <c r="AU26" s="561">
        <v>0</v>
      </c>
      <c r="AV26" s="561">
        <v>0</v>
      </c>
      <c r="AW26" s="561">
        <v>0</v>
      </c>
      <c r="AX26" s="561">
        <v>0</v>
      </c>
      <c r="AY26" s="561">
        <v>0</v>
      </c>
      <c r="AZ26" s="561">
        <v>0</v>
      </c>
      <c r="BA26" s="561">
        <v>0</v>
      </c>
      <c r="BB26" s="561">
        <v>0</v>
      </c>
      <c r="BC26" s="561">
        <v>0</v>
      </c>
      <c r="BD26" s="561">
        <v>0</v>
      </c>
      <c r="BE26" s="561">
        <v>0</v>
      </c>
      <c r="BF26" s="561">
        <v>0</v>
      </c>
      <c r="BG26" s="561">
        <v>0</v>
      </c>
      <c r="BH26" s="561">
        <v>0</v>
      </c>
      <c r="BI26" s="561">
        <v>0</v>
      </c>
      <c r="BJ26" s="561">
        <v>0</v>
      </c>
      <c r="BK26" s="561">
        <v>0</v>
      </c>
      <c r="BL26" s="561">
        <v>0</v>
      </c>
      <c r="BM26" s="561">
        <v>0</v>
      </c>
      <c r="BN26" s="561">
        <v>0</v>
      </c>
      <c r="BO26" s="561">
        <v>0</v>
      </c>
      <c r="BP26" s="561">
        <v>0</v>
      </c>
      <c r="BQ26" s="561">
        <v>0</v>
      </c>
      <c r="BR26" s="561">
        <v>0</v>
      </c>
      <c r="BS26" s="561">
        <v>0</v>
      </c>
      <c r="BT26" s="561">
        <v>0</v>
      </c>
      <c r="BU26" s="561">
        <v>0</v>
      </c>
      <c r="BV26" s="561">
        <v>0</v>
      </c>
      <c r="BW26" s="561">
        <v>0</v>
      </c>
      <c r="BX26" s="561">
        <v>0</v>
      </c>
      <c r="BY26" s="561">
        <v>0</v>
      </c>
      <c r="BZ26" s="561">
        <v>0</v>
      </c>
      <c r="CA26" s="561">
        <v>0</v>
      </c>
      <c r="CB26" s="561">
        <v>0</v>
      </c>
      <c r="CC26" s="561">
        <v>0</v>
      </c>
      <c r="CD26" s="561">
        <v>0</v>
      </c>
      <c r="CE26" s="561">
        <v>0</v>
      </c>
      <c r="CF26" s="561">
        <v>0</v>
      </c>
      <c r="CG26" s="561">
        <v>0</v>
      </c>
      <c r="CH26" s="561">
        <v>0</v>
      </c>
      <c r="CI26" s="561">
        <v>0</v>
      </c>
      <c r="CJ26" s="561">
        <v>0</v>
      </c>
      <c r="CK26" s="561">
        <v>0</v>
      </c>
      <c r="CL26" s="561">
        <v>0</v>
      </c>
      <c r="CM26" s="561">
        <v>0</v>
      </c>
      <c r="CN26" s="561">
        <v>0</v>
      </c>
      <c r="CO26" s="561">
        <v>0</v>
      </c>
      <c r="CP26" s="561">
        <v>0</v>
      </c>
      <c r="CQ26" s="561">
        <v>0</v>
      </c>
      <c r="CR26" s="561">
        <v>0</v>
      </c>
      <c r="CS26" s="561">
        <v>0</v>
      </c>
      <c r="CT26" s="561">
        <v>0</v>
      </c>
      <c r="CU26" s="561">
        <v>0</v>
      </c>
      <c r="CV26" s="561">
        <v>0</v>
      </c>
      <c r="CW26" s="561">
        <v>0</v>
      </c>
      <c r="CX26" s="561">
        <v>0</v>
      </c>
      <c r="CY26" s="561">
        <v>0</v>
      </c>
      <c r="CZ26" s="561">
        <v>0</v>
      </c>
      <c r="DA26" s="561">
        <v>0</v>
      </c>
      <c r="DB26" s="561">
        <v>0</v>
      </c>
      <c r="DC26" s="561">
        <v>0</v>
      </c>
      <c r="DD26" s="561">
        <v>0</v>
      </c>
      <c r="DE26" s="561">
        <v>0</v>
      </c>
      <c r="DF26" s="561">
        <v>0</v>
      </c>
      <c r="DG26" s="561">
        <v>0</v>
      </c>
      <c r="DH26" s="561">
        <v>0</v>
      </c>
      <c r="DI26" s="561">
        <v>0</v>
      </c>
      <c r="DJ26" s="561">
        <v>0</v>
      </c>
      <c r="DK26" s="561">
        <v>0</v>
      </c>
      <c r="DL26" s="561">
        <v>0</v>
      </c>
      <c r="DM26" s="561">
        <v>0</v>
      </c>
      <c r="DN26" s="561">
        <v>0</v>
      </c>
      <c r="DO26" s="561">
        <v>0</v>
      </c>
      <c r="DP26" s="561">
        <v>0</v>
      </c>
      <c r="DQ26" s="561">
        <v>0</v>
      </c>
      <c r="DR26" s="561">
        <v>0</v>
      </c>
      <c r="DS26" s="561">
        <v>0</v>
      </c>
      <c r="DT26" s="561">
        <v>0</v>
      </c>
      <c r="DU26" s="561">
        <v>0</v>
      </c>
      <c r="DV26" s="561">
        <v>0</v>
      </c>
      <c r="DW26" s="561">
        <v>0</v>
      </c>
      <c r="DX26" s="561">
        <v>0</v>
      </c>
      <c r="DY26" s="561">
        <v>0</v>
      </c>
      <c r="DZ26" s="561">
        <v>0</v>
      </c>
      <c r="EA26" s="561">
        <v>0</v>
      </c>
      <c r="EB26" s="561">
        <v>0</v>
      </c>
      <c r="EC26" s="561">
        <v>0</v>
      </c>
      <c r="ED26" s="561">
        <v>0</v>
      </c>
      <c r="EE26" s="561">
        <v>0</v>
      </c>
      <c r="EF26" s="561">
        <v>0</v>
      </c>
      <c r="EG26" s="561">
        <v>0</v>
      </c>
      <c r="EH26" s="561">
        <v>0</v>
      </c>
      <c r="EI26" s="561">
        <v>0</v>
      </c>
      <c r="EJ26" s="561">
        <v>0</v>
      </c>
      <c r="EK26" s="561">
        <v>0</v>
      </c>
      <c r="EL26" s="561">
        <v>0</v>
      </c>
      <c r="EM26" s="561">
        <v>0</v>
      </c>
      <c r="EN26" s="561">
        <v>0</v>
      </c>
      <c r="EO26" s="561">
        <v>0</v>
      </c>
      <c r="EP26" s="561">
        <v>0</v>
      </c>
      <c r="EQ26" s="561">
        <v>0</v>
      </c>
      <c r="ER26" s="561">
        <v>0</v>
      </c>
      <c r="ES26" s="561" t="s">
        <v>4565</v>
      </c>
      <c r="ET26" s="561">
        <v>0</v>
      </c>
      <c r="EU26" s="561">
        <v>0</v>
      </c>
      <c r="EV26" s="561">
        <v>0</v>
      </c>
      <c r="EW26" s="561">
        <v>0</v>
      </c>
      <c r="EX26" s="561">
        <v>0</v>
      </c>
      <c r="EY26" s="561">
        <v>0</v>
      </c>
      <c r="EZ26" s="561">
        <v>0</v>
      </c>
      <c r="FA26" s="561">
        <v>0</v>
      </c>
      <c r="FB26" s="561">
        <v>0</v>
      </c>
      <c r="FC26" s="561">
        <v>0</v>
      </c>
      <c r="FD26" s="561">
        <v>0</v>
      </c>
      <c r="FE26" s="561">
        <v>0</v>
      </c>
      <c r="FF26" s="561">
        <v>0</v>
      </c>
      <c r="FG26" s="561">
        <v>0</v>
      </c>
      <c r="FH26" s="561">
        <v>0</v>
      </c>
      <c r="FI26" s="561">
        <v>0</v>
      </c>
      <c r="FJ26" s="561">
        <v>0</v>
      </c>
      <c r="FK26" s="561">
        <v>0</v>
      </c>
      <c r="FL26" s="561">
        <v>0</v>
      </c>
      <c r="FM26" s="561">
        <v>0</v>
      </c>
      <c r="FN26" s="561">
        <v>0</v>
      </c>
      <c r="FO26" s="561">
        <v>0</v>
      </c>
      <c r="FP26" s="561">
        <v>0</v>
      </c>
      <c r="FQ26" s="561">
        <v>0</v>
      </c>
      <c r="FR26" s="561">
        <v>0</v>
      </c>
      <c r="FS26" s="561">
        <v>0</v>
      </c>
      <c r="FT26" s="561">
        <v>0</v>
      </c>
      <c r="FU26" s="561">
        <v>0</v>
      </c>
      <c r="FV26" s="561">
        <v>0</v>
      </c>
      <c r="FW26" s="561">
        <v>0</v>
      </c>
      <c r="FX26" s="561">
        <v>0</v>
      </c>
      <c r="FY26" s="561">
        <v>0</v>
      </c>
      <c r="FZ26" s="561">
        <v>0</v>
      </c>
      <c r="GA26" s="561">
        <v>0</v>
      </c>
      <c r="GB26" s="561">
        <v>0</v>
      </c>
      <c r="GC26" s="561">
        <v>0</v>
      </c>
      <c r="GD26" s="561">
        <v>0</v>
      </c>
      <c r="GE26" s="561">
        <v>0</v>
      </c>
      <c r="GF26" s="561">
        <v>0</v>
      </c>
      <c r="GG26" s="561">
        <v>0</v>
      </c>
      <c r="GH26" s="561">
        <v>0</v>
      </c>
      <c r="GI26" s="561">
        <v>0</v>
      </c>
      <c r="GJ26" s="561">
        <v>0</v>
      </c>
      <c r="GK26" s="561">
        <v>0</v>
      </c>
      <c r="GL26" s="561">
        <v>0</v>
      </c>
      <c r="GM26" s="561">
        <v>0</v>
      </c>
      <c r="GN26" s="561">
        <v>0</v>
      </c>
      <c r="GO26" s="561">
        <v>0</v>
      </c>
      <c r="GP26" s="561">
        <v>0</v>
      </c>
      <c r="GQ26" s="561">
        <v>0</v>
      </c>
      <c r="GR26" s="561">
        <v>0</v>
      </c>
      <c r="GS26" s="561">
        <v>0</v>
      </c>
      <c r="GT26" s="561">
        <v>0</v>
      </c>
      <c r="GU26" s="561">
        <v>0</v>
      </c>
      <c r="GV26" s="561">
        <v>0</v>
      </c>
      <c r="GW26" s="561">
        <v>0</v>
      </c>
      <c r="GX26" s="561">
        <v>0</v>
      </c>
      <c r="GY26" s="561">
        <v>0</v>
      </c>
      <c r="GZ26" s="561">
        <v>0</v>
      </c>
      <c r="HA26" s="561">
        <v>0</v>
      </c>
      <c r="HB26" s="561">
        <v>0</v>
      </c>
      <c r="HC26" s="561">
        <v>0</v>
      </c>
      <c r="HD26" s="561">
        <v>0</v>
      </c>
      <c r="HE26" s="561">
        <v>0</v>
      </c>
      <c r="HF26" s="561">
        <v>0</v>
      </c>
      <c r="HG26" s="561">
        <v>0</v>
      </c>
      <c r="HH26" s="561">
        <v>0</v>
      </c>
      <c r="HI26" s="561">
        <v>0</v>
      </c>
      <c r="HJ26" s="561">
        <v>14967</v>
      </c>
      <c r="HK26" s="561">
        <v>29282</v>
      </c>
      <c r="HL26" s="561">
        <v>246</v>
      </c>
      <c r="HM26" s="561">
        <v>44495</v>
      </c>
      <c r="HN26" s="561">
        <v>209</v>
      </c>
      <c r="HO26" s="561">
        <v>1469</v>
      </c>
      <c r="HP26" s="561">
        <v>0</v>
      </c>
      <c r="HQ26" s="561">
        <v>0</v>
      </c>
      <c r="HR26" s="561">
        <v>0</v>
      </c>
      <c r="HS26" s="561">
        <v>0</v>
      </c>
      <c r="HT26" s="561">
        <v>0</v>
      </c>
      <c r="HU26" s="561">
        <v>0</v>
      </c>
      <c r="HV26" s="561">
        <v>0</v>
      </c>
      <c r="HW26" s="561">
        <v>0</v>
      </c>
      <c r="HX26" s="561">
        <v>0</v>
      </c>
      <c r="HY26" s="561">
        <v>0</v>
      </c>
      <c r="HZ26" s="561">
        <v>0</v>
      </c>
      <c r="IA26" s="561">
        <v>0</v>
      </c>
      <c r="IB26" s="561">
        <v>0</v>
      </c>
      <c r="IC26" s="561">
        <v>0</v>
      </c>
      <c r="ID26" s="561">
        <v>0</v>
      </c>
      <c r="IE26" s="561">
        <v>0</v>
      </c>
      <c r="IF26" s="561">
        <v>0</v>
      </c>
      <c r="IG26" s="561">
        <v>0</v>
      </c>
      <c r="IH26" s="561">
        <v>0</v>
      </c>
      <c r="II26" s="561">
        <v>1469</v>
      </c>
      <c r="IJ26" s="561">
        <v>0</v>
      </c>
      <c r="IK26" s="561">
        <v>0</v>
      </c>
      <c r="IL26" s="561">
        <v>0</v>
      </c>
      <c r="IM26" s="561">
        <v>0</v>
      </c>
      <c r="IN26" s="561">
        <v>0</v>
      </c>
      <c r="IO26" s="561">
        <v>0</v>
      </c>
      <c r="IP26" s="561">
        <v>0</v>
      </c>
      <c r="IQ26" s="561">
        <v>0</v>
      </c>
      <c r="IR26" s="561">
        <v>0</v>
      </c>
      <c r="IS26" s="561">
        <v>0</v>
      </c>
      <c r="IT26" s="561">
        <v>0</v>
      </c>
      <c r="IU26" s="561">
        <v>0</v>
      </c>
      <c r="IV26" s="561">
        <v>0</v>
      </c>
      <c r="IW26" s="561">
        <v>0</v>
      </c>
      <c r="IX26" s="561">
        <v>0</v>
      </c>
      <c r="IY26" s="561">
        <v>0</v>
      </c>
      <c r="IZ26" s="561">
        <v>0</v>
      </c>
      <c r="JA26" s="561">
        <v>0</v>
      </c>
      <c r="JB26" s="561">
        <v>44495</v>
      </c>
      <c r="JC26" s="561">
        <v>1469</v>
      </c>
      <c r="JD26" s="561">
        <v>0</v>
      </c>
      <c r="JE26" s="561">
        <v>45964</v>
      </c>
      <c r="JF26" s="561">
        <v>0</v>
      </c>
      <c r="JG26" s="561">
        <v>0</v>
      </c>
      <c r="JH26" s="561">
        <v>0</v>
      </c>
      <c r="JI26" s="561">
        <v>0</v>
      </c>
      <c r="JJ26" s="561">
        <v>0</v>
      </c>
      <c r="JK26" s="561">
        <v>0</v>
      </c>
      <c r="JL26" s="561">
        <v>0</v>
      </c>
      <c r="JM26" s="561">
        <v>0</v>
      </c>
      <c r="JN26" s="561">
        <v>0</v>
      </c>
      <c r="JO26" s="561">
        <v>0</v>
      </c>
      <c r="JP26" s="561">
        <v>0</v>
      </c>
      <c r="JQ26" s="561">
        <v>0</v>
      </c>
      <c r="JR26" s="561">
        <v>0</v>
      </c>
      <c r="JS26" s="561">
        <v>0</v>
      </c>
      <c r="JT26" s="561">
        <v>-13</v>
      </c>
      <c r="JU26" s="561">
        <v>0</v>
      </c>
      <c r="JV26" s="561">
        <v>45951</v>
      </c>
      <c r="JW26" s="561">
        <v>0</v>
      </c>
      <c r="JX26" s="561">
        <v>1793</v>
      </c>
      <c r="JY26" s="561">
        <v>0</v>
      </c>
      <c r="JZ26" s="561">
        <v>0</v>
      </c>
      <c r="KA26" s="561">
        <v>0</v>
      </c>
      <c r="KB26" s="561">
        <v>0</v>
      </c>
      <c r="KC26" s="561">
        <v>550</v>
      </c>
      <c r="KD26" s="561">
        <v>0</v>
      </c>
      <c r="KE26" s="561">
        <v>333</v>
      </c>
      <c r="KF26" s="561">
        <v>0</v>
      </c>
      <c r="KG26" s="561">
        <v>48627</v>
      </c>
      <c r="KH26" s="561">
        <v>-883</v>
      </c>
      <c r="KI26" s="561">
        <v>0</v>
      </c>
      <c r="KJ26" s="561">
        <v>0</v>
      </c>
      <c r="KK26" s="561">
        <v>0</v>
      </c>
      <c r="KL26" s="561">
        <v>0</v>
      </c>
      <c r="KM26" s="561">
        <v>0</v>
      </c>
      <c r="KN26" s="561">
        <v>0</v>
      </c>
      <c r="KO26" s="561">
        <v>0</v>
      </c>
      <c r="KP26" s="561">
        <v>0</v>
      </c>
      <c r="KQ26" s="561">
        <v>0</v>
      </c>
      <c r="KR26" s="561">
        <v>47744</v>
      </c>
      <c r="KS26" s="561">
        <v>0</v>
      </c>
      <c r="KT26" s="561">
        <v>-1227</v>
      </c>
      <c r="KU26" s="561">
        <v>46517</v>
      </c>
      <c r="KV26" s="561">
        <v>0</v>
      </c>
      <c r="KW26" s="561">
        <v>0</v>
      </c>
      <c r="KX26" s="561">
        <v>0</v>
      </c>
      <c r="KY26" s="561">
        <v>0</v>
      </c>
      <c r="KZ26" s="561">
        <v>-627</v>
      </c>
      <c r="LA26" s="561">
        <v>137</v>
      </c>
      <c r="LB26" s="561">
        <v>-5645</v>
      </c>
      <c r="LC26" s="561">
        <v>0</v>
      </c>
      <c r="LD26" s="561">
        <v>-10552</v>
      </c>
      <c r="LE26" s="561">
        <v>62</v>
      </c>
      <c r="LF26" s="561">
        <v>0</v>
      </c>
      <c r="LG26" s="561">
        <v>29891</v>
      </c>
      <c r="LH26" s="561">
        <v>0</v>
      </c>
      <c r="LI26" s="561">
        <v>0</v>
      </c>
      <c r="LJ26" s="561">
        <v>0</v>
      </c>
      <c r="LK26" s="561">
        <v>0</v>
      </c>
      <c r="LL26" s="561">
        <v>7715</v>
      </c>
      <c r="LM26" s="561">
        <v>2267</v>
      </c>
      <c r="LN26" s="561">
        <v>0</v>
      </c>
      <c r="LO26" s="561">
        <v>0</v>
      </c>
      <c r="LP26" s="561">
        <v>0</v>
      </c>
      <c r="LQ26" s="561">
        <v>0</v>
      </c>
      <c r="LR26" s="561">
        <v>7088</v>
      </c>
      <c r="LS26" s="561">
        <v>2404</v>
      </c>
      <c r="LT26" s="561">
        <v>0</v>
      </c>
      <c r="LU26" s="561">
        <v>1860</v>
      </c>
      <c r="LV26" s="561">
        <v>54</v>
      </c>
      <c r="LW26" s="561">
        <v>165</v>
      </c>
      <c r="LX26" s="561">
        <v>0</v>
      </c>
      <c r="LY26" s="561">
        <v>0</v>
      </c>
      <c r="LZ26" s="561">
        <v>2039</v>
      </c>
      <c r="MA26" s="561">
        <v>0</v>
      </c>
      <c r="MB26" s="561">
        <v>0</v>
      </c>
      <c r="MC26" s="561">
        <v>0</v>
      </c>
      <c r="MD26" s="561">
        <v>0</v>
      </c>
      <c r="ME26" s="561">
        <v>0</v>
      </c>
      <c r="MF26" s="561">
        <v>0</v>
      </c>
      <c r="MG26" s="561">
        <v>0</v>
      </c>
      <c r="MH26" s="561">
        <v>0</v>
      </c>
      <c r="MI26" s="561">
        <v>0</v>
      </c>
      <c r="MJ26" s="561">
        <v>0</v>
      </c>
      <c r="MK26" s="561">
        <v>0</v>
      </c>
      <c r="ML26" s="561">
        <v>0</v>
      </c>
      <c r="MM26" s="561">
        <v>2401</v>
      </c>
      <c r="MN26" s="561">
        <v>2898</v>
      </c>
      <c r="MO26" s="561">
        <v>1789</v>
      </c>
      <c r="MP26" s="561">
        <v>0</v>
      </c>
      <c r="MQ26" s="561">
        <v>0</v>
      </c>
      <c r="MR26" s="561">
        <v>0</v>
      </c>
      <c r="MS26" s="561">
        <v>0</v>
      </c>
      <c r="MT26" s="561">
        <v>0</v>
      </c>
      <c r="MU26" s="561">
        <v>0</v>
      </c>
      <c r="MV26" s="561">
        <v>0</v>
      </c>
      <c r="MW26" s="561">
        <v>0</v>
      </c>
      <c r="MX26" s="561">
        <v>0</v>
      </c>
      <c r="MY26" s="561">
        <v>0</v>
      </c>
      <c r="MZ26" s="561">
        <v>0</v>
      </c>
      <c r="NA26" s="561">
        <v>44495</v>
      </c>
      <c r="NB26" s="561">
        <v>1469</v>
      </c>
      <c r="NC26" s="561">
        <v>0</v>
      </c>
      <c r="ND26" s="561">
        <v>45964</v>
      </c>
      <c r="NE26" s="561">
        <v>0</v>
      </c>
      <c r="NF26" s="561">
        <v>0</v>
      </c>
      <c r="NG26" s="561">
        <v>0</v>
      </c>
      <c r="NH26" s="561">
        <v>0</v>
      </c>
      <c r="NI26" s="561">
        <v>0</v>
      </c>
      <c r="NJ26" s="561">
        <v>0</v>
      </c>
      <c r="NK26" s="561">
        <v>0</v>
      </c>
      <c r="NL26" s="561">
        <v>0</v>
      </c>
      <c r="NM26" s="561">
        <v>0</v>
      </c>
      <c r="NN26" s="561">
        <v>0</v>
      </c>
      <c r="NO26" s="561">
        <v>0</v>
      </c>
      <c r="NP26" s="561">
        <v>0</v>
      </c>
      <c r="NQ26" s="561">
        <v>0</v>
      </c>
      <c r="NR26" s="561">
        <v>0</v>
      </c>
      <c r="NS26" s="561">
        <v>0</v>
      </c>
      <c r="NT26" s="561">
        <v>0</v>
      </c>
      <c r="NU26" s="561">
        <v>0</v>
      </c>
      <c r="NV26" s="561">
        <v>0</v>
      </c>
      <c r="NW26" s="561">
        <v>0</v>
      </c>
      <c r="NX26" s="561">
        <v>0</v>
      </c>
      <c r="NY26" s="561">
        <v>0</v>
      </c>
      <c r="NZ26" s="561">
        <v>0</v>
      </c>
      <c r="OA26" s="561">
        <v>0</v>
      </c>
      <c r="OB26" s="561">
        <v>0</v>
      </c>
      <c r="OC26" s="561">
        <v>0</v>
      </c>
      <c r="OD26" s="561">
        <v>0</v>
      </c>
      <c r="OE26" s="561">
        <v>0</v>
      </c>
      <c r="OF26" s="561">
        <v>0</v>
      </c>
      <c r="OG26" s="561">
        <v>0</v>
      </c>
      <c r="OH26" s="561">
        <v>0</v>
      </c>
      <c r="OI26" s="561">
        <v>0</v>
      </c>
      <c r="OJ26" s="561">
        <v>0</v>
      </c>
      <c r="OK26" s="561">
        <v>0</v>
      </c>
      <c r="OL26" s="561">
        <v>0</v>
      </c>
      <c r="OM26" s="561">
        <v>0</v>
      </c>
      <c r="ON26" s="561">
        <v>0</v>
      </c>
      <c r="OO26" s="561">
        <v>0</v>
      </c>
      <c r="OP26" s="561">
        <v>0</v>
      </c>
      <c r="OQ26" s="561">
        <v>0</v>
      </c>
      <c r="OR26" s="561">
        <v>0</v>
      </c>
      <c r="OS26" s="561">
        <v>0</v>
      </c>
      <c r="OT26" s="561">
        <v>0</v>
      </c>
      <c r="OU26" s="561">
        <v>0</v>
      </c>
      <c r="OV26" s="561">
        <v>0</v>
      </c>
      <c r="OW26" s="561">
        <v>0</v>
      </c>
      <c r="OX26" s="561">
        <v>0</v>
      </c>
      <c r="OY26" s="561">
        <v>0</v>
      </c>
      <c r="OZ26" s="561">
        <v>0</v>
      </c>
      <c r="PA26" s="561">
        <v>0</v>
      </c>
      <c r="PB26" s="561">
        <v>0</v>
      </c>
      <c r="PC26" s="561">
        <v>0</v>
      </c>
      <c r="PD26" s="561">
        <v>0</v>
      </c>
      <c r="PE26" s="561">
        <v>0</v>
      </c>
      <c r="PF26" s="561">
        <v>0</v>
      </c>
      <c r="PG26" s="561">
        <v>0</v>
      </c>
      <c r="PH26" s="561">
        <v>0</v>
      </c>
      <c r="PI26" s="561">
        <v>0</v>
      </c>
      <c r="PJ26" s="561">
        <v>0</v>
      </c>
    </row>
    <row r="27" spans="1:426" ht="14" x14ac:dyDescent="0.3">
      <c r="A27" t="s">
        <v>2507</v>
      </c>
      <c r="B27" t="s">
        <v>2508</v>
      </c>
      <c r="C27" t="s">
        <v>2509</v>
      </c>
      <c r="E27" t="s">
        <v>2476</v>
      </c>
      <c r="F27" s="561">
        <v>34317</v>
      </c>
      <c r="G27" s="561">
        <v>46142</v>
      </c>
      <c r="H27" s="561">
        <v>6531</v>
      </c>
      <c r="I27" s="561">
        <v>32148</v>
      </c>
      <c r="J27" s="561">
        <v>2465</v>
      </c>
      <c r="K27" s="561">
        <v>22406</v>
      </c>
      <c r="L27" s="561">
        <v>144009</v>
      </c>
      <c r="M27" s="561">
        <v>487</v>
      </c>
      <c r="N27" s="561">
        <v>704</v>
      </c>
      <c r="O27" s="561">
        <v>0</v>
      </c>
      <c r="P27" s="561">
        <v>188</v>
      </c>
      <c r="Q27" s="561">
        <v>1562</v>
      </c>
      <c r="R27" s="561">
        <v>0</v>
      </c>
      <c r="S27" s="561">
        <v>-1220</v>
      </c>
      <c r="T27" s="561">
        <v>2601</v>
      </c>
      <c r="U27" s="561">
        <v>591</v>
      </c>
      <c r="V27" s="561">
        <v>1590</v>
      </c>
      <c r="W27" s="561">
        <v>0</v>
      </c>
      <c r="X27" s="561">
        <v>0</v>
      </c>
      <c r="Y27" s="561">
        <v>42</v>
      </c>
      <c r="Z27" s="561">
        <v>-70</v>
      </c>
      <c r="AA27" s="561">
        <v>-3440</v>
      </c>
      <c r="AB27" s="561">
        <v>-1455</v>
      </c>
      <c r="AC27" s="561">
        <v>5386</v>
      </c>
      <c r="AD27" s="561">
        <v>7</v>
      </c>
      <c r="AE27" s="561">
        <v>0</v>
      </c>
      <c r="AF27" s="561">
        <v>0</v>
      </c>
      <c r="AG27" s="561">
        <v>0</v>
      </c>
      <c r="AH27" s="561">
        <v>0</v>
      </c>
      <c r="AI27" s="561">
        <v>0</v>
      </c>
      <c r="AJ27" s="561">
        <v>6486</v>
      </c>
      <c r="AK27" s="561">
        <v>183</v>
      </c>
      <c r="AL27" s="561">
        <v>0</v>
      </c>
      <c r="AM27" s="561">
        <v>0</v>
      </c>
      <c r="AN27" s="561">
        <v>0</v>
      </c>
      <c r="AO27" s="561">
        <v>0</v>
      </c>
      <c r="AP27" s="561">
        <v>0</v>
      </c>
      <c r="AQ27" s="561">
        <v>0</v>
      </c>
      <c r="AR27" s="561">
        <v>0</v>
      </c>
      <c r="AS27" s="561">
        <v>7797</v>
      </c>
      <c r="AT27" s="561">
        <v>1224</v>
      </c>
      <c r="AU27" s="561">
        <v>0</v>
      </c>
      <c r="AV27" s="561">
        <v>0</v>
      </c>
      <c r="AW27" s="561">
        <v>0</v>
      </c>
      <c r="AX27" s="561">
        <v>73</v>
      </c>
      <c r="AY27" s="561">
        <v>41825</v>
      </c>
      <c r="AZ27" s="561">
        <v>1475</v>
      </c>
      <c r="BA27" s="561">
        <v>5766</v>
      </c>
      <c r="BB27" s="561">
        <v>1011</v>
      </c>
      <c r="BC27" s="561">
        <v>12342</v>
      </c>
      <c r="BD27" s="561">
        <v>225</v>
      </c>
      <c r="BE27" s="561">
        <v>892</v>
      </c>
      <c r="BF27" s="561">
        <v>63609</v>
      </c>
      <c r="BG27" s="561">
        <v>1897</v>
      </c>
      <c r="BH27" s="561">
        <v>9080</v>
      </c>
      <c r="BI27" s="561">
        <v>22849</v>
      </c>
      <c r="BJ27" s="561">
        <v>244</v>
      </c>
      <c r="BK27" s="561">
        <v>56</v>
      </c>
      <c r="BL27" s="561">
        <v>772</v>
      </c>
      <c r="BM27" s="561">
        <v>7873</v>
      </c>
      <c r="BN27" s="561">
        <v>24074</v>
      </c>
      <c r="BO27" s="561">
        <v>3788</v>
      </c>
      <c r="BP27" s="561">
        <v>4453</v>
      </c>
      <c r="BQ27" s="561">
        <v>1214</v>
      </c>
      <c r="BR27" s="561">
        <v>0</v>
      </c>
      <c r="BS27" s="561">
        <v>0</v>
      </c>
      <c r="BT27" s="561">
        <v>36</v>
      </c>
      <c r="BU27" s="561">
        <v>137</v>
      </c>
      <c r="BV27" s="561">
        <v>1124</v>
      </c>
      <c r="BW27" s="561">
        <v>7871</v>
      </c>
      <c r="BX27" s="561">
        <v>310</v>
      </c>
      <c r="BY27" s="561">
        <v>722</v>
      </c>
      <c r="BZ27" s="561">
        <v>84603</v>
      </c>
      <c r="CA27" s="561">
        <v>2818</v>
      </c>
      <c r="CB27" s="561">
        <v>1704</v>
      </c>
      <c r="CC27" s="561">
        <v>143</v>
      </c>
      <c r="CD27" s="561">
        <v>50</v>
      </c>
      <c r="CE27" s="561">
        <v>363</v>
      </c>
      <c r="CF27" s="561">
        <v>125</v>
      </c>
      <c r="CG27" s="561">
        <v>274</v>
      </c>
      <c r="CH27" s="561">
        <v>116</v>
      </c>
      <c r="CI27" s="561">
        <v>245</v>
      </c>
      <c r="CJ27" s="561">
        <v>148</v>
      </c>
      <c r="CK27" s="561">
        <v>291</v>
      </c>
      <c r="CL27" s="561">
        <v>117</v>
      </c>
      <c r="CM27" s="561">
        <v>1776</v>
      </c>
      <c r="CN27" s="561">
        <v>801</v>
      </c>
      <c r="CO27" s="561">
        <v>78</v>
      </c>
      <c r="CP27" s="561">
        <v>78</v>
      </c>
      <c r="CQ27" s="561">
        <v>129</v>
      </c>
      <c r="CR27" s="561">
        <v>589</v>
      </c>
      <c r="CS27" s="561">
        <v>0</v>
      </c>
      <c r="CT27" s="561">
        <v>719</v>
      </c>
      <c r="CU27" s="561">
        <v>3965</v>
      </c>
      <c r="CV27" s="561">
        <v>40</v>
      </c>
      <c r="CW27" s="561">
        <v>0</v>
      </c>
      <c r="CX27" s="561">
        <v>174</v>
      </c>
      <c r="CY27" s="561">
        <v>0</v>
      </c>
      <c r="CZ27" s="561">
        <v>11925</v>
      </c>
      <c r="DA27" s="561">
        <v>172</v>
      </c>
      <c r="DB27" s="561">
        <v>0</v>
      </c>
      <c r="DC27" s="561">
        <v>0</v>
      </c>
      <c r="DD27" s="561">
        <v>0</v>
      </c>
      <c r="DE27" s="561">
        <v>0</v>
      </c>
      <c r="DF27" s="561">
        <v>0</v>
      </c>
      <c r="DG27" s="561">
        <v>0</v>
      </c>
      <c r="DH27" s="561">
        <v>4109</v>
      </c>
      <c r="DI27" s="561">
        <v>0</v>
      </c>
      <c r="DJ27" s="561">
        <v>-8</v>
      </c>
      <c r="DK27" s="561">
        <v>0</v>
      </c>
      <c r="DL27" s="561">
        <v>1233</v>
      </c>
      <c r="DM27" s="561">
        <v>4213</v>
      </c>
      <c r="DN27" s="561">
        <v>687</v>
      </c>
      <c r="DO27" s="561">
        <v>0</v>
      </c>
      <c r="DP27" s="561">
        <v>-685</v>
      </c>
      <c r="DQ27" s="561">
        <v>0</v>
      </c>
      <c r="DR27" s="561">
        <v>68</v>
      </c>
      <c r="DS27" s="561">
        <v>41</v>
      </c>
      <c r="DT27" s="561">
        <v>2665</v>
      </c>
      <c r="DU27" s="561">
        <v>8222</v>
      </c>
      <c r="DV27" s="561">
        <v>384</v>
      </c>
      <c r="DW27" s="561">
        <v>0</v>
      </c>
      <c r="DX27" s="561">
        <v>0</v>
      </c>
      <c r="DY27" s="561">
        <v>2774</v>
      </c>
      <c r="DZ27" s="561">
        <v>51</v>
      </c>
      <c r="EA27" s="561">
        <v>449</v>
      </c>
      <c r="EB27" s="561">
        <v>0</v>
      </c>
      <c r="EC27" s="561">
        <v>15981</v>
      </c>
      <c r="ED27" s="561">
        <v>1201</v>
      </c>
      <c r="EE27" s="561">
        <v>0</v>
      </c>
      <c r="EF27" s="561">
        <v>0</v>
      </c>
      <c r="EG27" s="561">
        <v>0</v>
      </c>
      <c r="EH27" s="561">
        <v>0</v>
      </c>
      <c r="EI27" s="561">
        <v>0</v>
      </c>
      <c r="EJ27" s="561">
        <v>0</v>
      </c>
      <c r="EK27" s="561">
        <v>0</v>
      </c>
      <c r="EL27" s="561">
        <v>0</v>
      </c>
      <c r="EM27" s="561">
        <v>0</v>
      </c>
      <c r="EN27" s="561">
        <v>0</v>
      </c>
      <c r="EO27" s="561">
        <v>0</v>
      </c>
      <c r="EP27" s="561">
        <v>0</v>
      </c>
      <c r="EQ27" s="561">
        <v>0</v>
      </c>
      <c r="ER27" s="561">
        <v>0</v>
      </c>
      <c r="ES27" s="561" t="s">
        <v>4565</v>
      </c>
      <c r="ET27" s="561">
        <v>0</v>
      </c>
      <c r="EU27" s="561">
        <v>0</v>
      </c>
      <c r="EV27" s="561">
        <v>0</v>
      </c>
      <c r="EW27" s="561">
        <v>0</v>
      </c>
      <c r="EX27" s="561">
        <v>0</v>
      </c>
      <c r="EY27" s="561">
        <v>0</v>
      </c>
      <c r="EZ27" s="561">
        <v>0</v>
      </c>
      <c r="FA27" s="561">
        <v>0</v>
      </c>
      <c r="FB27" s="561">
        <v>0</v>
      </c>
      <c r="FC27" s="561">
        <v>0</v>
      </c>
      <c r="FD27" s="561">
        <v>69</v>
      </c>
      <c r="FE27" s="561">
        <v>0</v>
      </c>
      <c r="FF27" s="561">
        <v>0</v>
      </c>
      <c r="FG27" s="561">
        <v>0</v>
      </c>
      <c r="FH27" s="561">
        <v>0</v>
      </c>
      <c r="FI27" s="561">
        <v>-8</v>
      </c>
      <c r="FJ27" s="561">
        <v>1804</v>
      </c>
      <c r="FK27" s="561">
        <v>5010</v>
      </c>
      <c r="FL27" s="561">
        <v>-105</v>
      </c>
      <c r="FM27" s="561">
        <v>0</v>
      </c>
      <c r="FN27" s="561">
        <v>2797</v>
      </c>
      <c r="FO27" s="561">
        <v>9567</v>
      </c>
      <c r="FP27" s="561">
        <v>46</v>
      </c>
      <c r="FQ27" s="561">
        <v>451</v>
      </c>
      <c r="FR27" s="561">
        <v>596</v>
      </c>
      <c r="FS27" s="561">
        <v>12</v>
      </c>
      <c r="FT27" s="561">
        <v>0</v>
      </c>
      <c r="FU27" s="561">
        <v>522</v>
      </c>
      <c r="FV27" s="561">
        <v>633</v>
      </c>
      <c r="FW27" s="561">
        <v>0</v>
      </c>
      <c r="FX27" s="561">
        <v>0</v>
      </c>
      <c r="FY27" s="561">
        <v>0</v>
      </c>
      <c r="FZ27" s="561">
        <v>0</v>
      </c>
      <c r="GA27" s="561">
        <v>128</v>
      </c>
      <c r="GB27" s="561">
        <v>0</v>
      </c>
      <c r="GC27" s="561">
        <v>-7</v>
      </c>
      <c r="GD27" s="561">
        <v>0</v>
      </c>
      <c r="GE27" s="561">
        <v>1312</v>
      </c>
      <c r="GF27" s="561">
        <v>668</v>
      </c>
      <c r="GG27" s="561">
        <v>0</v>
      </c>
      <c r="GH27" s="561">
        <v>0</v>
      </c>
      <c r="GI27" s="561">
        <v>0</v>
      </c>
      <c r="GJ27" s="561">
        <v>0</v>
      </c>
      <c r="GK27" s="561">
        <v>0</v>
      </c>
      <c r="GL27" s="561">
        <v>4528</v>
      </c>
      <c r="GM27" s="561">
        <v>12027</v>
      </c>
      <c r="GN27" s="561">
        <v>9649</v>
      </c>
      <c r="GO27" s="561">
        <v>-959</v>
      </c>
      <c r="GP27" s="561">
        <v>-576</v>
      </c>
      <c r="GQ27" s="561">
        <v>227</v>
      </c>
      <c r="GR27" s="561">
        <v>0</v>
      </c>
      <c r="GS27" s="561">
        <v>29211</v>
      </c>
      <c r="GT27" s="561">
        <v>73</v>
      </c>
      <c r="GU27" s="561">
        <v>237</v>
      </c>
      <c r="GV27" s="561">
        <v>200</v>
      </c>
      <c r="GW27" s="561">
        <v>0</v>
      </c>
      <c r="GX27" s="561">
        <v>653</v>
      </c>
      <c r="GY27" s="561">
        <v>3</v>
      </c>
      <c r="GZ27" s="561">
        <v>736</v>
      </c>
      <c r="HA27" s="561">
        <v>0</v>
      </c>
      <c r="HB27" s="561">
        <v>282</v>
      </c>
      <c r="HC27" s="561">
        <v>0</v>
      </c>
      <c r="HD27" s="561">
        <v>2111</v>
      </c>
      <c r="HE27" s="561">
        <v>665</v>
      </c>
      <c r="HF27" s="561">
        <v>40889</v>
      </c>
      <c r="HG27" s="561">
        <v>73</v>
      </c>
      <c r="HH27" s="561">
        <v>0</v>
      </c>
      <c r="HI27" s="561">
        <v>0</v>
      </c>
      <c r="HJ27" s="561">
        <v>0</v>
      </c>
      <c r="HK27" s="561">
        <v>0</v>
      </c>
      <c r="HL27" s="561">
        <v>0</v>
      </c>
      <c r="HM27" s="561">
        <v>0</v>
      </c>
      <c r="HN27" s="561">
        <v>0</v>
      </c>
      <c r="HO27" s="561">
        <v>4903</v>
      </c>
      <c r="HP27" s="561">
        <v>2272</v>
      </c>
      <c r="HQ27" s="561">
        <v>-1180</v>
      </c>
      <c r="HR27" s="561">
        <v>0</v>
      </c>
      <c r="HS27" s="561">
        <v>0</v>
      </c>
      <c r="HT27" s="561">
        <v>0</v>
      </c>
      <c r="HU27" s="561">
        <v>0</v>
      </c>
      <c r="HV27" s="561">
        <v>-56</v>
      </c>
      <c r="HW27" s="561">
        <v>397</v>
      </c>
      <c r="HX27" s="561">
        <v>772</v>
      </c>
      <c r="HY27" s="561">
        <v>175</v>
      </c>
      <c r="HZ27" s="561">
        <v>-140</v>
      </c>
      <c r="IA27" s="561">
        <v>0</v>
      </c>
      <c r="IB27" s="561">
        <v>0</v>
      </c>
      <c r="IC27" s="561">
        <v>863</v>
      </c>
      <c r="ID27" s="561">
        <v>0</v>
      </c>
      <c r="IE27" s="561">
        <v>770</v>
      </c>
      <c r="IF27" s="561">
        <v>0</v>
      </c>
      <c r="IG27" s="561">
        <v>0</v>
      </c>
      <c r="IH27" s="561">
        <v>0</v>
      </c>
      <c r="II27" s="561">
        <v>8776</v>
      </c>
      <c r="IJ27" s="561">
        <v>965</v>
      </c>
      <c r="IK27" s="561">
        <v>0</v>
      </c>
      <c r="IL27" s="561">
        <v>0</v>
      </c>
      <c r="IM27" s="561">
        <v>0</v>
      </c>
      <c r="IN27" s="561">
        <v>0</v>
      </c>
      <c r="IO27" s="561">
        <v>0</v>
      </c>
      <c r="IP27" s="561">
        <v>0</v>
      </c>
      <c r="IQ27" s="561">
        <v>0</v>
      </c>
      <c r="IR27" s="561">
        <v>144009</v>
      </c>
      <c r="IS27" s="561">
        <v>6486</v>
      </c>
      <c r="IT27" s="561">
        <v>63609</v>
      </c>
      <c r="IU27" s="561">
        <v>84603</v>
      </c>
      <c r="IV27" s="561">
        <v>11925</v>
      </c>
      <c r="IW27" s="561">
        <v>15981</v>
      </c>
      <c r="IX27" s="561">
        <v>9567</v>
      </c>
      <c r="IY27" s="561">
        <v>29211</v>
      </c>
      <c r="IZ27" s="561">
        <v>2111</v>
      </c>
      <c r="JA27" s="561">
        <v>0</v>
      </c>
      <c r="JB27" s="561">
        <v>0</v>
      </c>
      <c r="JC27" s="561">
        <v>8776</v>
      </c>
      <c r="JD27" s="561">
        <v>0</v>
      </c>
      <c r="JE27" s="561">
        <v>376278</v>
      </c>
      <c r="JF27" s="561">
        <v>44761</v>
      </c>
      <c r="JG27" s="561">
        <v>0</v>
      </c>
      <c r="JH27" s="561">
        <v>0</v>
      </c>
      <c r="JI27" s="561">
        <v>0</v>
      </c>
      <c r="JJ27" s="561">
        <v>0</v>
      </c>
      <c r="JK27" s="561">
        <v>0</v>
      </c>
      <c r="JL27" s="561">
        <v>0</v>
      </c>
      <c r="JM27" s="561">
        <v>0</v>
      </c>
      <c r="JN27" s="561">
        <v>275</v>
      </c>
      <c r="JO27" s="561">
        <v>403</v>
      </c>
      <c r="JP27" s="561">
        <v>0</v>
      </c>
      <c r="JQ27" s="561">
        <v>0</v>
      </c>
      <c r="JR27" s="561">
        <v>0</v>
      </c>
      <c r="JS27" s="561">
        <v>0</v>
      </c>
      <c r="JT27" s="561">
        <v>0</v>
      </c>
      <c r="JU27" s="561">
        <v>0</v>
      </c>
      <c r="JV27" s="561">
        <v>421717</v>
      </c>
      <c r="JW27" s="561">
        <v>126</v>
      </c>
      <c r="JX27" s="561">
        <v>0</v>
      </c>
      <c r="JY27" s="561">
        <v>0</v>
      </c>
      <c r="JZ27" s="561">
        <v>-738</v>
      </c>
      <c r="KA27" s="561">
        <v>0</v>
      </c>
      <c r="KB27" s="561">
        <v>1058</v>
      </c>
      <c r="KC27" s="561">
        <v>-1859</v>
      </c>
      <c r="KD27" s="561">
        <v>0</v>
      </c>
      <c r="KE27" s="561">
        <v>7635</v>
      </c>
      <c r="KF27" s="561">
        <v>0</v>
      </c>
      <c r="KG27" s="561">
        <v>427939</v>
      </c>
      <c r="KH27" s="561">
        <v>-3784</v>
      </c>
      <c r="KI27" s="561">
        <v>0</v>
      </c>
      <c r="KJ27" s="561">
        <v>0</v>
      </c>
      <c r="KK27" s="561">
        <v>0</v>
      </c>
      <c r="KL27" s="561">
        <v>-50180</v>
      </c>
      <c r="KM27" s="561">
        <v>0</v>
      </c>
      <c r="KN27" s="561">
        <v>-155</v>
      </c>
      <c r="KO27" s="561">
        <v>0</v>
      </c>
      <c r="KP27" s="561">
        <v>0</v>
      </c>
      <c r="KQ27" s="561">
        <v>0</v>
      </c>
      <c r="KR27" s="561">
        <v>373820</v>
      </c>
      <c r="KS27" s="561">
        <v>0</v>
      </c>
      <c r="KT27" s="561">
        <v>-173346</v>
      </c>
      <c r="KU27" s="561">
        <v>200474</v>
      </c>
      <c r="KV27" s="561">
        <v>0</v>
      </c>
      <c r="KW27" s="561">
        <v>-346</v>
      </c>
      <c r="KX27" s="561">
        <v>-8550</v>
      </c>
      <c r="KY27" s="561">
        <v>-173</v>
      </c>
      <c r="KZ27" s="561">
        <v>10563</v>
      </c>
      <c r="LA27" s="561">
        <v>0</v>
      </c>
      <c r="LB27" s="561">
        <v>-4304</v>
      </c>
      <c r="LC27" s="561">
        <v>0</v>
      </c>
      <c r="LD27" s="561">
        <v>-52986</v>
      </c>
      <c r="LE27" s="561">
        <v>-3266</v>
      </c>
      <c r="LF27" s="561">
        <v>0</v>
      </c>
      <c r="LG27" s="561">
        <v>141412</v>
      </c>
      <c r="LH27" s="561">
        <v>2486</v>
      </c>
      <c r="LI27" s="561">
        <v>-16335</v>
      </c>
      <c r="LJ27" s="561">
        <v>11894</v>
      </c>
      <c r="LK27" s="561">
        <v>858</v>
      </c>
      <c r="LL27" s="561">
        <v>31574</v>
      </c>
      <c r="LM27" s="561">
        <v>14360</v>
      </c>
      <c r="LN27" s="561">
        <v>2140</v>
      </c>
      <c r="LO27" s="561">
        <v>-16335</v>
      </c>
      <c r="LP27" s="561">
        <v>3344</v>
      </c>
      <c r="LQ27" s="561">
        <v>685</v>
      </c>
      <c r="LR27" s="561">
        <v>42137</v>
      </c>
      <c r="LS27" s="561">
        <v>14360</v>
      </c>
      <c r="LT27" s="561">
        <v>0</v>
      </c>
      <c r="LU27" s="561">
        <v>45928</v>
      </c>
      <c r="LV27" s="561">
        <v>0</v>
      </c>
      <c r="LW27" s="561">
        <v>2683</v>
      </c>
      <c r="LX27" s="561">
        <v>-12204</v>
      </c>
      <c r="LY27" s="561">
        <v>6040</v>
      </c>
      <c r="LZ27" s="561">
        <v>43184</v>
      </c>
      <c r="MA27" s="561">
        <v>0</v>
      </c>
      <c r="MB27" s="561">
        <v>0</v>
      </c>
      <c r="MC27" s="561">
        <v>0</v>
      </c>
      <c r="MD27" s="561">
        <v>0</v>
      </c>
      <c r="ME27" s="561">
        <v>0</v>
      </c>
      <c r="MF27" s="561">
        <v>0</v>
      </c>
      <c r="MG27" s="561">
        <v>0</v>
      </c>
      <c r="MH27" s="561">
        <v>5930</v>
      </c>
      <c r="MI27" s="561">
        <v>8868</v>
      </c>
      <c r="MJ27" s="561">
        <v>14798</v>
      </c>
      <c r="MK27" s="561">
        <v>0</v>
      </c>
      <c r="ML27" s="561">
        <v>0</v>
      </c>
      <c r="MM27" s="561">
        <v>12389</v>
      </c>
      <c r="MN27" s="561">
        <v>2951</v>
      </c>
      <c r="MO27" s="561">
        <v>26797</v>
      </c>
      <c r="MP27" s="561">
        <v>0</v>
      </c>
      <c r="MQ27" s="561">
        <v>144009</v>
      </c>
      <c r="MR27" s="561">
        <v>6486</v>
      </c>
      <c r="MS27" s="561">
        <v>63609</v>
      </c>
      <c r="MT27" s="561">
        <v>84603</v>
      </c>
      <c r="MU27" s="561">
        <v>11925</v>
      </c>
      <c r="MV27" s="561">
        <v>15981</v>
      </c>
      <c r="MW27" s="561">
        <v>9567</v>
      </c>
      <c r="MX27" s="561">
        <v>29211</v>
      </c>
      <c r="MY27" s="561">
        <v>2111</v>
      </c>
      <c r="MZ27" s="561">
        <v>0</v>
      </c>
      <c r="NA27" s="561">
        <v>0</v>
      </c>
      <c r="NB27" s="561">
        <v>8776</v>
      </c>
      <c r="NC27" s="561">
        <v>0</v>
      </c>
      <c r="ND27" s="561">
        <v>376278</v>
      </c>
      <c r="NE27" s="561">
        <v>0</v>
      </c>
      <c r="NF27" s="561">
        <v>0</v>
      </c>
      <c r="NG27" s="561">
        <v>0</v>
      </c>
      <c r="NH27" s="561">
        <v>0</v>
      </c>
      <c r="NI27" s="561">
        <v>0</v>
      </c>
      <c r="NJ27" s="561">
        <v>0</v>
      </c>
      <c r="NK27" s="561">
        <v>0</v>
      </c>
      <c r="NL27" s="561">
        <v>0</v>
      </c>
      <c r="NM27" s="561">
        <v>0</v>
      </c>
      <c r="NN27" s="561">
        <v>0</v>
      </c>
      <c r="NO27" s="561">
        <v>0</v>
      </c>
      <c r="NP27" s="561">
        <v>0</v>
      </c>
      <c r="NQ27" s="561">
        <v>0</v>
      </c>
      <c r="NR27" s="561">
        <v>0</v>
      </c>
      <c r="NS27" s="561">
        <v>0</v>
      </c>
      <c r="NT27" s="561">
        <v>0</v>
      </c>
      <c r="NU27" s="561">
        <v>0</v>
      </c>
      <c r="NV27" s="561">
        <v>0</v>
      </c>
      <c r="NW27" s="561">
        <v>0</v>
      </c>
      <c r="NX27" s="561">
        <v>0</v>
      </c>
      <c r="NY27" s="561">
        <v>0</v>
      </c>
      <c r="NZ27" s="561">
        <v>0</v>
      </c>
      <c r="OA27" s="561">
        <v>0</v>
      </c>
      <c r="OB27" s="561">
        <v>0</v>
      </c>
      <c r="OC27" s="561">
        <v>0</v>
      </c>
      <c r="OD27" s="561">
        <v>0</v>
      </c>
      <c r="OE27" s="561">
        <v>0</v>
      </c>
      <c r="OF27" s="561">
        <v>0</v>
      </c>
      <c r="OG27" s="561">
        <v>0</v>
      </c>
      <c r="OH27" s="561">
        <v>0</v>
      </c>
      <c r="OI27" s="561">
        <v>0</v>
      </c>
      <c r="OJ27" s="561">
        <v>0</v>
      </c>
      <c r="OK27" s="561">
        <v>0</v>
      </c>
      <c r="OL27" s="561">
        <v>0</v>
      </c>
      <c r="OM27" s="561">
        <v>0</v>
      </c>
      <c r="ON27" s="561">
        <v>0</v>
      </c>
      <c r="OO27" s="561">
        <v>0</v>
      </c>
      <c r="OP27" s="561">
        <v>0</v>
      </c>
      <c r="OQ27" s="561">
        <v>0</v>
      </c>
      <c r="OR27" s="561">
        <v>0</v>
      </c>
      <c r="OS27" s="561">
        <v>0</v>
      </c>
      <c r="OT27" s="561">
        <v>0</v>
      </c>
      <c r="OU27" s="561">
        <v>0</v>
      </c>
      <c r="OV27" s="561">
        <v>0</v>
      </c>
      <c r="OW27" s="561">
        <v>0</v>
      </c>
      <c r="OX27" s="561">
        <v>0</v>
      </c>
      <c r="OY27" s="561">
        <v>0</v>
      </c>
      <c r="OZ27" s="561">
        <v>0</v>
      </c>
      <c r="PA27" s="561">
        <v>0</v>
      </c>
      <c r="PB27" s="561">
        <v>0</v>
      </c>
      <c r="PC27" s="561">
        <v>0</v>
      </c>
      <c r="PD27" s="561">
        <v>0</v>
      </c>
      <c r="PE27" s="561">
        <v>0</v>
      </c>
      <c r="PF27" s="561">
        <v>0</v>
      </c>
      <c r="PG27" s="561">
        <v>0</v>
      </c>
      <c r="PH27" s="561">
        <v>0</v>
      </c>
      <c r="PI27" s="561">
        <v>0</v>
      </c>
      <c r="PJ27" s="561">
        <v>0</v>
      </c>
    </row>
    <row r="28" spans="1:426" ht="14" x14ac:dyDescent="0.3">
      <c r="A28" t="s">
        <v>2510</v>
      </c>
      <c r="B28" t="s">
        <v>2511</v>
      </c>
      <c r="C28" t="s">
        <v>2512</v>
      </c>
      <c r="E28" t="s">
        <v>379</v>
      </c>
      <c r="F28" s="561" t="s">
        <v>2453</v>
      </c>
      <c r="G28" s="561" t="s">
        <v>2453</v>
      </c>
      <c r="H28" s="561" t="s">
        <v>2453</v>
      </c>
      <c r="I28" s="561" t="s">
        <v>2453</v>
      </c>
      <c r="J28" s="561" t="s">
        <v>2453</v>
      </c>
      <c r="K28" s="561" t="s">
        <v>2453</v>
      </c>
      <c r="L28" s="561" t="s">
        <v>2453</v>
      </c>
      <c r="M28" s="561" t="s">
        <v>2453</v>
      </c>
      <c r="N28" s="561" t="s">
        <v>2453</v>
      </c>
      <c r="O28" s="561" t="s">
        <v>2453</v>
      </c>
      <c r="P28" s="561" t="s">
        <v>2453</v>
      </c>
      <c r="Q28" s="561" t="s">
        <v>2453</v>
      </c>
      <c r="R28" s="561" t="s">
        <v>2453</v>
      </c>
      <c r="S28" s="561" t="s">
        <v>2453</v>
      </c>
      <c r="T28" s="561" t="s">
        <v>2453</v>
      </c>
      <c r="U28" s="561" t="s">
        <v>2453</v>
      </c>
      <c r="V28" s="561" t="s">
        <v>2453</v>
      </c>
      <c r="W28" s="561" t="s">
        <v>2453</v>
      </c>
      <c r="X28" s="561" t="s">
        <v>2453</v>
      </c>
      <c r="Y28" s="561" t="s">
        <v>2453</v>
      </c>
      <c r="Z28" s="561" t="s">
        <v>2453</v>
      </c>
      <c r="AA28" s="561" t="s">
        <v>2453</v>
      </c>
      <c r="AB28" s="561" t="s">
        <v>2453</v>
      </c>
      <c r="AC28" s="561" t="s">
        <v>2453</v>
      </c>
      <c r="AD28" s="561" t="s">
        <v>2453</v>
      </c>
      <c r="AE28" s="561" t="s">
        <v>2453</v>
      </c>
      <c r="AF28" s="561" t="s">
        <v>2453</v>
      </c>
      <c r="AG28" s="561" t="s">
        <v>2453</v>
      </c>
      <c r="AH28" s="561" t="s">
        <v>2453</v>
      </c>
      <c r="AI28" s="561" t="s">
        <v>2453</v>
      </c>
      <c r="AJ28" s="561" t="s">
        <v>2453</v>
      </c>
      <c r="AK28" s="561" t="s">
        <v>2453</v>
      </c>
      <c r="AL28" s="561" t="s">
        <v>2453</v>
      </c>
      <c r="AM28" s="561" t="s">
        <v>2453</v>
      </c>
      <c r="AN28" s="561" t="s">
        <v>2453</v>
      </c>
      <c r="AO28" s="561" t="s">
        <v>2453</v>
      </c>
      <c r="AP28" s="561" t="s">
        <v>2453</v>
      </c>
      <c r="AQ28" s="561" t="s">
        <v>2453</v>
      </c>
      <c r="AR28" s="561" t="s">
        <v>2453</v>
      </c>
      <c r="AS28" s="561" t="s">
        <v>2453</v>
      </c>
      <c r="AT28" s="561" t="s">
        <v>2453</v>
      </c>
      <c r="AU28" s="561" t="s">
        <v>2453</v>
      </c>
      <c r="AV28" s="561" t="s">
        <v>2453</v>
      </c>
      <c r="AW28" s="561" t="s">
        <v>2453</v>
      </c>
      <c r="AX28" s="561" t="s">
        <v>2453</v>
      </c>
      <c r="AY28" s="561" t="s">
        <v>2453</v>
      </c>
      <c r="AZ28" s="561" t="s">
        <v>2453</v>
      </c>
      <c r="BA28" s="561" t="s">
        <v>2453</v>
      </c>
      <c r="BB28" s="561" t="s">
        <v>2453</v>
      </c>
      <c r="BC28" s="561" t="s">
        <v>2453</v>
      </c>
      <c r="BD28" s="561" t="s">
        <v>2453</v>
      </c>
      <c r="BE28" s="561" t="s">
        <v>2453</v>
      </c>
      <c r="BF28" s="561" t="s">
        <v>2453</v>
      </c>
      <c r="BG28" s="561" t="s">
        <v>2453</v>
      </c>
      <c r="BH28" s="561" t="s">
        <v>2453</v>
      </c>
      <c r="BI28" s="561" t="s">
        <v>2453</v>
      </c>
      <c r="BJ28" s="561" t="s">
        <v>2453</v>
      </c>
      <c r="BK28" s="561" t="s">
        <v>2453</v>
      </c>
      <c r="BL28" s="561" t="s">
        <v>2453</v>
      </c>
      <c r="BM28" s="561" t="s">
        <v>2453</v>
      </c>
      <c r="BN28" s="561" t="s">
        <v>2453</v>
      </c>
      <c r="BO28" s="561" t="s">
        <v>2453</v>
      </c>
      <c r="BP28" s="561" t="s">
        <v>2453</v>
      </c>
      <c r="BQ28" s="561" t="s">
        <v>2453</v>
      </c>
      <c r="BR28" s="561" t="s">
        <v>2453</v>
      </c>
      <c r="BS28" s="561" t="s">
        <v>2453</v>
      </c>
      <c r="BT28" s="561" t="s">
        <v>2453</v>
      </c>
      <c r="BU28" s="561" t="s">
        <v>2453</v>
      </c>
      <c r="BV28" s="561" t="s">
        <v>2453</v>
      </c>
      <c r="BW28" s="561" t="s">
        <v>2453</v>
      </c>
      <c r="BX28" s="561" t="s">
        <v>2453</v>
      </c>
      <c r="BY28" s="561" t="s">
        <v>2453</v>
      </c>
      <c r="BZ28" s="561" t="s">
        <v>2453</v>
      </c>
      <c r="CA28" s="561" t="s">
        <v>2453</v>
      </c>
      <c r="CB28" s="561" t="s">
        <v>2453</v>
      </c>
      <c r="CC28" s="561" t="s">
        <v>2453</v>
      </c>
      <c r="CD28" s="561" t="s">
        <v>2453</v>
      </c>
      <c r="CE28" s="561" t="s">
        <v>2453</v>
      </c>
      <c r="CF28" s="561" t="s">
        <v>2453</v>
      </c>
      <c r="CG28" s="561" t="s">
        <v>2453</v>
      </c>
      <c r="CH28" s="561" t="s">
        <v>2453</v>
      </c>
      <c r="CI28" s="561" t="s">
        <v>2453</v>
      </c>
      <c r="CJ28" s="561" t="s">
        <v>2453</v>
      </c>
      <c r="CK28" s="561" t="s">
        <v>2453</v>
      </c>
      <c r="CL28" s="561" t="s">
        <v>2453</v>
      </c>
      <c r="CM28" s="561" t="s">
        <v>2453</v>
      </c>
      <c r="CN28" s="561" t="s">
        <v>2453</v>
      </c>
      <c r="CO28" s="561" t="s">
        <v>2453</v>
      </c>
      <c r="CP28" s="561" t="s">
        <v>2453</v>
      </c>
      <c r="CQ28" s="561" t="s">
        <v>2453</v>
      </c>
      <c r="CR28" s="561" t="s">
        <v>2453</v>
      </c>
      <c r="CS28" s="561" t="s">
        <v>2453</v>
      </c>
      <c r="CT28" s="561" t="s">
        <v>2453</v>
      </c>
      <c r="CU28" s="561" t="s">
        <v>2453</v>
      </c>
      <c r="CV28" s="561" t="s">
        <v>2453</v>
      </c>
      <c r="CW28" s="561" t="s">
        <v>2453</v>
      </c>
      <c r="CX28" s="561" t="s">
        <v>2453</v>
      </c>
      <c r="CY28" s="561" t="s">
        <v>2453</v>
      </c>
      <c r="CZ28" s="561" t="s">
        <v>2453</v>
      </c>
      <c r="DA28" s="561" t="s">
        <v>2453</v>
      </c>
      <c r="DB28" s="561" t="s">
        <v>2453</v>
      </c>
      <c r="DC28" s="561" t="s">
        <v>2453</v>
      </c>
      <c r="DD28" s="561" t="s">
        <v>2453</v>
      </c>
      <c r="DE28" s="561" t="s">
        <v>2453</v>
      </c>
      <c r="DF28" s="561" t="s">
        <v>2453</v>
      </c>
      <c r="DG28" s="561" t="s">
        <v>2453</v>
      </c>
      <c r="DH28" s="561" t="s">
        <v>2453</v>
      </c>
      <c r="DI28" s="561" t="s">
        <v>2453</v>
      </c>
      <c r="DJ28" s="561" t="s">
        <v>2453</v>
      </c>
      <c r="DK28" s="561" t="s">
        <v>2453</v>
      </c>
      <c r="DL28" s="561" t="s">
        <v>2453</v>
      </c>
      <c r="DM28" s="561" t="s">
        <v>2453</v>
      </c>
      <c r="DN28" s="561" t="s">
        <v>2453</v>
      </c>
      <c r="DO28" s="561" t="s">
        <v>2453</v>
      </c>
      <c r="DP28" s="561" t="s">
        <v>2453</v>
      </c>
      <c r="DQ28" s="561" t="s">
        <v>2453</v>
      </c>
      <c r="DR28" s="561" t="s">
        <v>2453</v>
      </c>
      <c r="DS28" s="561" t="s">
        <v>2453</v>
      </c>
      <c r="DT28" s="561" t="s">
        <v>2453</v>
      </c>
      <c r="DU28" s="561" t="s">
        <v>2453</v>
      </c>
      <c r="DV28" s="561" t="s">
        <v>2453</v>
      </c>
      <c r="DW28" s="561" t="s">
        <v>2453</v>
      </c>
      <c r="DX28" s="561" t="s">
        <v>2453</v>
      </c>
      <c r="DY28" s="561" t="s">
        <v>2453</v>
      </c>
      <c r="DZ28" s="561" t="s">
        <v>2453</v>
      </c>
      <c r="EA28" s="561" t="s">
        <v>2453</v>
      </c>
      <c r="EB28" s="561" t="s">
        <v>2453</v>
      </c>
      <c r="EC28" s="561" t="s">
        <v>2453</v>
      </c>
      <c r="ED28" s="561" t="s">
        <v>2453</v>
      </c>
      <c r="EE28" s="561" t="s">
        <v>2453</v>
      </c>
      <c r="EF28" s="561" t="s">
        <v>2453</v>
      </c>
      <c r="EG28" s="561" t="s">
        <v>2453</v>
      </c>
      <c r="EH28" s="561" t="s">
        <v>2453</v>
      </c>
      <c r="EI28" s="561" t="s">
        <v>2453</v>
      </c>
      <c r="EJ28" s="561" t="s">
        <v>2453</v>
      </c>
      <c r="EK28" s="561" t="s">
        <v>2453</v>
      </c>
      <c r="EL28" s="561" t="s">
        <v>2453</v>
      </c>
      <c r="EM28" s="561" t="s">
        <v>2453</v>
      </c>
      <c r="EN28" s="561" t="s">
        <v>2453</v>
      </c>
      <c r="EO28" s="561" t="s">
        <v>2453</v>
      </c>
      <c r="EP28" s="561" t="s">
        <v>2453</v>
      </c>
      <c r="EQ28" s="561" t="s">
        <v>2453</v>
      </c>
      <c r="ER28" s="561" t="s">
        <v>2453</v>
      </c>
      <c r="ES28" s="561" t="s">
        <v>4565</v>
      </c>
      <c r="ET28" s="561" t="s">
        <v>2453</v>
      </c>
      <c r="EU28" s="561" t="s">
        <v>2453</v>
      </c>
      <c r="EV28" s="561" t="s">
        <v>2453</v>
      </c>
      <c r="EW28" s="561" t="s">
        <v>2453</v>
      </c>
      <c r="EX28" s="561" t="s">
        <v>2453</v>
      </c>
      <c r="EY28" s="561" t="s">
        <v>2453</v>
      </c>
      <c r="EZ28" s="561" t="s">
        <v>2453</v>
      </c>
      <c r="FA28" s="561" t="s">
        <v>2453</v>
      </c>
      <c r="FB28" s="561" t="s">
        <v>2453</v>
      </c>
      <c r="FC28" s="561" t="s">
        <v>2453</v>
      </c>
      <c r="FD28" s="561" t="s">
        <v>2453</v>
      </c>
      <c r="FE28" s="561" t="s">
        <v>2453</v>
      </c>
      <c r="FF28" s="561" t="s">
        <v>2453</v>
      </c>
      <c r="FG28" s="561" t="s">
        <v>2453</v>
      </c>
      <c r="FH28" s="561" t="s">
        <v>2453</v>
      </c>
      <c r="FI28" s="561" t="s">
        <v>2453</v>
      </c>
      <c r="FJ28" s="561" t="s">
        <v>2453</v>
      </c>
      <c r="FK28" s="561" t="s">
        <v>2453</v>
      </c>
      <c r="FL28" s="561" t="s">
        <v>2453</v>
      </c>
      <c r="FM28" s="561" t="s">
        <v>2453</v>
      </c>
      <c r="FN28" s="561" t="s">
        <v>2453</v>
      </c>
      <c r="FO28" s="561" t="s">
        <v>2453</v>
      </c>
      <c r="FP28" s="561" t="s">
        <v>2453</v>
      </c>
      <c r="FQ28" s="561" t="s">
        <v>2453</v>
      </c>
      <c r="FR28" s="561" t="s">
        <v>2453</v>
      </c>
      <c r="FS28" s="561" t="s">
        <v>2453</v>
      </c>
      <c r="FT28" s="561" t="s">
        <v>2453</v>
      </c>
      <c r="FU28" s="561" t="s">
        <v>2453</v>
      </c>
      <c r="FV28" s="561" t="s">
        <v>2453</v>
      </c>
      <c r="FW28" s="561" t="s">
        <v>2453</v>
      </c>
      <c r="FX28" s="561" t="s">
        <v>2453</v>
      </c>
      <c r="FY28" s="561" t="s">
        <v>2453</v>
      </c>
      <c r="FZ28" s="561" t="s">
        <v>2453</v>
      </c>
      <c r="GA28" s="561" t="s">
        <v>2453</v>
      </c>
      <c r="GB28" s="561" t="s">
        <v>2453</v>
      </c>
      <c r="GC28" s="561" t="s">
        <v>2453</v>
      </c>
      <c r="GD28" s="561" t="s">
        <v>2453</v>
      </c>
      <c r="GE28" s="561" t="s">
        <v>2453</v>
      </c>
      <c r="GF28" s="561" t="s">
        <v>2453</v>
      </c>
      <c r="GG28" s="561" t="s">
        <v>2453</v>
      </c>
      <c r="GH28" s="561" t="s">
        <v>2453</v>
      </c>
      <c r="GI28" s="561" t="s">
        <v>2453</v>
      </c>
      <c r="GJ28" s="561" t="s">
        <v>2453</v>
      </c>
      <c r="GK28" s="561" t="s">
        <v>2453</v>
      </c>
      <c r="GL28" s="561" t="s">
        <v>2453</v>
      </c>
      <c r="GM28" s="561" t="s">
        <v>2453</v>
      </c>
      <c r="GN28" s="561" t="s">
        <v>2453</v>
      </c>
      <c r="GO28" s="561" t="s">
        <v>2453</v>
      </c>
      <c r="GP28" s="561" t="s">
        <v>2453</v>
      </c>
      <c r="GQ28" s="561" t="s">
        <v>2453</v>
      </c>
      <c r="GR28" s="561" t="s">
        <v>2453</v>
      </c>
      <c r="GS28" s="561" t="s">
        <v>2453</v>
      </c>
      <c r="GT28" s="561" t="s">
        <v>2453</v>
      </c>
      <c r="GU28" s="561" t="s">
        <v>2453</v>
      </c>
      <c r="GV28" s="561" t="s">
        <v>2453</v>
      </c>
      <c r="GW28" s="561" t="s">
        <v>2453</v>
      </c>
      <c r="GX28" s="561" t="s">
        <v>2453</v>
      </c>
      <c r="GY28" s="561" t="s">
        <v>2453</v>
      </c>
      <c r="GZ28" s="561" t="s">
        <v>2453</v>
      </c>
      <c r="HA28" s="561" t="s">
        <v>2453</v>
      </c>
      <c r="HB28" s="561" t="s">
        <v>2453</v>
      </c>
      <c r="HC28" s="561" t="s">
        <v>2453</v>
      </c>
      <c r="HD28" s="561" t="s">
        <v>2453</v>
      </c>
      <c r="HE28" s="561" t="s">
        <v>2453</v>
      </c>
      <c r="HF28" s="561" t="s">
        <v>2453</v>
      </c>
      <c r="HG28" s="561" t="s">
        <v>2453</v>
      </c>
      <c r="HH28" s="561" t="s">
        <v>2453</v>
      </c>
      <c r="HI28" s="561" t="s">
        <v>2453</v>
      </c>
      <c r="HJ28" s="561" t="s">
        <v>2453</v>
      </c>
      <c r="HK28" s="561" t="s">
        <v>2453</v>
      </c>
      <c r="HL28" s="561" t="s">
        <v>2453</v>
      </c>
      <c r="HM28" s="561" t="s">
        <v>2453</v>
      </c>
      <c r="HN28" s="561" t="s">
        <v>2453</v>
      </c>
      <c r="HO28" s="561" t="s">
        <v>2453</v>
      </c>
      <c r="HP28" s="561" t="s">
        <v>2453</v>
      </c>
      <c r="HQ28" s="561" t="s">
        <v>2453</v>
      </c>
      <c r="HR28" s="561" t="s">
        <v>2453</v>
      </c>
      <c r="HS28" s="561" t="s">
        <v>2453</v>
      </c>
      <c r="HT28" s="561" t="s">
        <v>2453</v>
      </c>
      <c r="HU28" s="561" t="s">
        <v>2453</v>
      </c>
      <c r="HV28" s="561" t="s">
        <v>2453</v>
      </c>
      <c r="HW28" s="561" t="s">
        <v>2453</v>
      </c>
      <c r="HX28" s="561" t="s">
        <v>2453</v>
      </c>
      <c r="HY28" s="561" t="s">
        <v>2453</v>
      </c>
      <c r="HZ28" s="561" t="s">
        <v>2453</v>
      </c>
      <c r="IA28" s="561" t="s">
        <v>2453</v>
      </c>
      <c r="IB28" s="561" t="s">
        <v>2453</v>
      </c>
      <c r="IC28" s="561" t="s">
        <v>2453</v>
      </c>
      <c r="ID28" s="561" t="s">
        <v>2453</v>
      </c>
      <c r="IE28" s="561" t="s">
        <v>2453</v>
      </c>
      <c r="IF28" s="561" t="s">
        <v>2453</v>
      </c>
      <c r="IG28" s="561" t="s">
        <v>2453</v>
      </c>
      <c r="IH28" s="561" t="s">
        <v>2453</v>
      </c>
      <c r="II28" s="561" t="s">
        <v>2453</v>
      </c>
      <c r="IJ28" s="561" t="s">
        <v>2453</v>
      </c>
      <c r="IK28" s="561" t="s">
        <v>2453</v>
      </c>
      <c r="IL28" s="561" t="s">
        <v>2453</v>
      </c>
      <c r="IM28" s="561" t="s">
        <v>2453</v>
      </c>
      <c r="IN28" s="561" t="s">
        <v>2453</v>
      </c>
      <c r="IO28" s="561" t="s">
        <v>2453</v>
      </c>
      <c r="IP28" s="561" t="s">
        <v>2453</v>
      </c>
      <c r="IQ28" s="561" t="s">
        <v>2453</v>
      </c>
      <c r="IR28" s="561" t="s">
        <v>2453</v>
      </c>
      <c r="IS28" s="561" t="s">
        <v>2453</v>
      </c>
      <c r="IT28" s="561" t="s">
        <v>2453</v>
      </c>
      <c r="IU28" s="561" t="s">
        <v>2453</v>
      </c>
      <c r="IV28" s="561" t="s">
        <v>2453</v>
      </c>
      <c r="IW28" s="561" t="s">
        <v>2453</v>
      </c>
      <c r="IX28" s="561" t="s">
        <v>2453</v>
      </c>
      <c r="IY28" s="561" t="s">
        <v>2453</v>
      </c>
      <c r="IZ28" s="561" t="s">
        <v>2453</v>
      </c>
      <c r="JA28" s="561" t="s">
        <v>2453</v>
      </c>
      <c r="JB28" s="561" t="s">
        <v>2453</v>
      </c>
      <c r="JC28" s="561" t="s">
        <v>2453</v>
      </c>
      <c r="JD28" s="561" t="s">
        <v>2453</v>
      </c>
      <c r="JE28" s="561" t="s">
        <v>2453</v>
      </c>
      <c r="JF28" s="561" t="s">
        <v>2453</v>
      </c>
      <c r="JG28" s="561" t="s">
        <v>2453</v>
      </c>
      <c r="JH28" s="561" t="s">
        <v>2453</v>
      </c>
      <c r="JI28" s="561" t="s">
        <v>2453</v>
      </c>
      <c r="JJ28" s="561" t="s">
        <v>2453</v>
      </c>
      <c r="JK28" s="561" t="s">
        <v>2453</v>
      </c>
      <c r="JL28" s="561" t="s">
        <v>2453</v>
      </c>
      <c r="JM28" s="561" t="s">
        <v>2453</v>
      </c>
      <c r="JN28" s="561" t="s">
        <v>2453</v>
      </c>
      <c r="JO28" s="561" t="s">
        <v>2453</v>
      </c>
      <c r="JP28" s="561" t="s">
        <v>2453</v>
      </c>
      <c r="JQ28" s="561" t="s">
        <v>2453</v>
      </c>
      <c r="JR28" s="561" t="s">
        <v>2453</v>
      </c>
      <c r="JS28" s="561" t="s">
        <v>2453</v>
      </c>
      <c r="JT28" s="561" t="s">
        <v>2453</v>
      </c>
      <c r="JU28" s="561" t="s">
        <v>2453</v>
      </c>
      <c r="JV28" s="561" t="s">
        <v>2453</v>
      </c>
      <c r="JW28" s="561" t="s">
        <v>2453</v>
      </c>
      <c r="JX28" s="561" t="s">
        <v>2453</v>
      </c>
      <c r="JY28" s="561" t="s">
        <v>2453</v>
      </c>
      <c r="JZ28" s="561" t="s">
        <v>2453</v>
      </c>
      <c r="KA28" s="561" t="s">
        <v>2453</v>
      </c>
      <c r="KB28" s="561" t="s">
        <v>2453</v>
      </c>
      <c r="KC28" s="561" t="s">
        <v>2453</v>
      </c>
      <c r="KD28" s="561" t="s">
        <v>2453</v>
      </c>
      <c r="KE28" s="561" t="s">
        <v>2453</v>
      </c>
      <c r="KF28" s="561" t="s">
        <v>2453</v>
      </c>
      <c r="KG28" s="561" t="s">
        <v>2453</v>
      </c>
      <c r="KH28" s="561" t="s">
        <v>2453</v>
      </c>
      <c r="KI28" s="561" t="s">
        <v>2453</v>
      </c>
      <c r="KJ28" s="561" t="s">
        <v>2453</v>
      </c>
      <c r="KK28" s="561" t="s">
        <v>2453</v>
      </c>
      <c r="KL28" s="561" t="s">
        <v>2453</v>
      </c>
      <c r="KM28" s="561" t="s">
        <v>2453</v>
      </c>
      <c r="KN28" s="561" t="s">
        <v>2453</v>
      </c>
      <c r="KO28" s="561" t="s">
        <v>2453</v>
      </c>
      <c r="KP28" s="561" t="s">
        <v>2453</v>
      </c>
      <c r="KQ28" s="561" t="s">
        <v>2453</v>
      </c>
      <c r="KR28" s="561" t="s">
        <v>2453</v>
      </c>
      <c r="KS28" s="561" t="s">
        <v>2453</v>
      </c>
      <c r="KT28" s="561" t="s">
        <v>2453</v>
      </c>
      <c r="KU28" s="561" t="s">
        <v>2453</v>
      </c>
      <c r="KV28" s="561" t="s">
        <v>2453</v>
      </c>
      <c r="KW28" s="561" t="s">
        <v>2453</v>
      </c>
      <c r="KX28" s="561" t="s">
        <v>2453</v>
      </c>
      <c r="KY28" s="561" t="s">
        <v>2453</v>
      </c>
      <c r="KZ28" s="561" t="s">
        <v>2453</v>
      </c>
      <c r="LA28" s="561" t="s">
        <v>2453</v>
      </c>
      <c r="LB28" s="561" t="s">
        <v>2453</v>
      </c>
      <c r="LC28" s="561" t="s">
        <v>2453</v>
      </c>
      <c r="LD28" s="561" t="s">
        <v>2453</v>
      </c>
      <c r="LE28" s="561" t="s">
        <v>2453</v>
      </c>
      <c r="LF28" s="561" t="s">
        <v>2453</v>
      </c>
      <c r="LG28" s="561" t="s">
        <v>2453</v>
      </c>
      <c r="LH28" s="561" t="s">
        <v>2453</v>
      </c>
      <c r="LI28" s="561" t="s">
        <v>2453</v>
      </c>
      <c r="LJ28" s="561" t="s">
        <v>2453</v>
      </c>
      <c r="LK28" s="561" t="s">
        <v>2453</v>
      </c>
      <c r="LL28" s="561" t="s">
        <v>2453</v>
      </c>
      <c r="LM28" s="561" t="s">
        <v>2453</v>
      </c>
      <c r="LN28" s="561" t="s">
        <v>2453</v>
      </c>
      <c r="LO28" s="561" t="s">
        <v>2453</v>
      </c>
      <c r="LP28" s="561" t="s">
        <v>2453</v>
      </c>
      <c r="LQ28" s="561" t="s">
        <v>2453</v>
      </c>
      <c r="LR28" s="561" t="s">
        <v>2453</v>
      </c>
      <c r="LS28" s="561" t="s">
        <v>2453</v>
      </c>
      <c r="LT28" s="561" t="s">
        <v>2453</v>
      </c>
      <c r="LU28" s="561" t="s">
        <v>2453</v>
      </c>
      <c r="LV28" s="561" t="s">
        <v>2453</v>
      </c>
      <c r="LW28" s="561" t="s">
        <v>2453</v>
      </c>
      <c r="LX28" s="561" t="s">
        <v>2453</v>
      </c>
      <c r="LY28" s="561" t="s">
        <v>2453</v>
      </c>
      <c r="LZ28" s="561" t="s">
        <v>2453</v>
      </c>
      <c r="MA28" s="561" t="s">
        <v>2453</v>
      </c>
      <c r="MB28" s="561" t="s">
        <v>2453</v>
      </c>
      <c r="MC28" s="561" t="s">
        <v>2453</v>
      </c>
      <c r="MD28" s="561" t="s">
        <v>2453</v>
      </c>
      <c r="ME28" s="561" t="s">
        <v>2453</v>
      </c>
      <c r="MF28" s="561" t="s">
        <v>2453</v>
      </c>
      <c r="MG28" s="561" t="s">
        <v>2453</v>
      </c>
      <c r="MH28" s="561" t="s">
        <v>2453</v>
      </c>
      <c r="MI28" s="561" t="s">
        <v>2453</v>
      </c>
      <c r="MJ28" s="561" t="s">
        <v>2453</v>
      </c>
      <c r="MK28" s="561" t="s">
        <v>2453</v>
      </c>
      <c r="ML28" s="561" t="s">
        <v>2453</v>
      </c>
      <c r="MM28" s="561" t="s">
        <v>2453</v>
      </c>
      <c r="MN28" s="561" t="s">
        <v>2453</v>
      </c>
      <c r="MO28" s="561" t="s">
        <v>2453</v>
      </c>
      <c r="MP28" s="561" t="s">
        <v>2453</v>
      </c>
      <c r="MQ28" s="561" t="s">
        <v>2453</v>
      </c>
      <c r="MR28" s="561" t="s">
        <v>2453</v>
      </c>
      <c r="MS28" s="561" t="s">
        <v>2453</v>
      </c>
      <c r="MT28" s="561" t="s">
        <v>2453</v>
      </c>
      <c r="MU28" s="561" t="s">
        <v>2453</v>
      </c>
      <c r="MV28" s="561" t="s">
        <v>2453</v>
      </c>
      <c r="MW28" s="561" t="s">
        <v>2453</v>
      </c>
      <c r="MX28" s="561" t="s">
        <v>2453</v>
      </c>
      <c r="MY28" s="561" t="s">
        <v>2453</v>
      </c>
      <c r="MZ28" s="561" t="s">
        <v>2453</v>
      </c>
      <c r="NA28" s="561" t="s">
        <v>2453</v>
      </c>
      <c r="NB28" s="561" t="s">
        <v>2453</v>
      </c>
      <c r="NC28" s="561" t="s">
        <v>2453</v>
      </c>
      <c r="ND28" s="561" t="s">
        <v>2453</v>
      </c>
      <c r="NE28" s="561" t="s">
        <v>2453</v>
      </c>
      <c r="NF28" s="561" t="s">
        <v>2453</v>
      </c>
      <c r="NG28" s="561" t="s">
        <v>2453</v>
      </c>
      <c r="NH28" s="561" t="s">
        <v>2453</v>
      </c>
      <c r="NI28" s="561" t="s">
        <v>2453</v>
      </c>
      <c r="NJ28" s="561" t="s">
        <v>2453</v>
      </c>
      <c r="NK28" s="561" t="s">
        <v>2453</v>
      </c>
      <c r="NL28" s="561" t="s">
        <v>2453</v>
      </c>
      <c r="NM28" s="561" t="s">
        <v>2453</v>
      </c>
      <c r="NN28" s="561" t="s">
        <v>2453</v>
      </c>
      <c r="NO28" s="561" t="s">
        <v>2453</v>
      </c>
      <c r="NP28" s="561" t="s">
        <v>2453</v>
      </c>
      <c r="NQ28" s="561" t="s">
        <v>2453</v>
      </c>
      <c r="NR28" s="561" t="s">
        <v>2453</v>
      </c>
      <c r="NS28" s="561" t="s">
        <v>2453</v>
      </c>
      <c r="NT28" s="561" t="s">
        <v>2453</v>
      </c>
      <c r="NU28" s="561">
        <v>0</v>
      </c>
      <c r="NV28" s="561" t="s">
        <v>2453</v>
      </c>
      <c r="NW28" s="561" t="s">
        <v>2453</v>
      </c>
      <c r="NX28" s="561" t="s">
        <v>2453</v>
      </c>
      <c r="NY28" s="561" t="s">
        <v>2453</v>
      </c>
      <c r="NZ28" s="561" t="s">
        <v>2453</v>
      </c>
      <c r="OA28" s="561" t="s">
        <v>2453</v>
      </c>
      <c r="OB28" s="561" t="s">
        <v>2453</v>
      </c>
      <c r="OC28" s="561" t="s">
        <v>2453</v>
      </c>
      <c r="OD28" s="561" t="s">
        <v>2453</v>
      </c>
      <c r="OE28" s="561" t="s">
        <v>2453</v>
      </c>
      <c r="OF28" s="561" t="s">
        <v>2453</v>
      </c>
      <c r="OG28" s="561" t="s">
        <v>2453</v>
      </c>
      <c r="OH28" s="561" t="s">
        <v>2453</v>
      </c>
      <c r="OI28" s="561" t="s">
        <v>2453</v>
      </c>
      <c r="OJ28" s="561" t="s">
        <v>2453</v>
      </c>
      <c r="OK28" s="561" t="s">
        <v>2453</v>
      </c>
      <c r="OL28" s="561" t="s">
        <v>2453</v>
      </c>
      <c r="OM28" s="561" t="s">
        <v>2453</v>
      </c>
      <c r="ON28" s="561" t="s">
        <v>2453</v>
      </c>
      <c r="OO28" s="561" t="s">
        <v>2453</v>
      </c>
      <c r="OP28" s="561" t="s">
        <v>2453</v>
      </c>
      <c r="OQ28" s="561" t="s">
        <v>2453</v>
      </c>
      <c r="OR28" s="561" t="s">
        <v>2453</v>
      </c>
      <c r="OS28" s="561" t="s">
        <v>2453</v>
      </c>
      <c r="OT28" s="561" t="s">
        <v>2453</v>
      </c>
      <c r="OU28" s="561" t="s">
        <v>2453</v>
      </c>
      <c r="OV28" s="561">
        <v>0</v>
      </c>
      <c r="OW28" s="561" t="s">
        <v>2453</v>
      </c>
      <c r="OX28" s="561" t="s">
        <v>2453</v>
      </c>
      <c r="OY28" s="561" t="s">
        <v>2453</v>
      </c>
      <c r="OZ28" s="561" t="s">
        <v>2453</v>
      </c>
      <c r="PA28" s="561" t="s">
        <v>2453</v>
      </c>
      <c r="PB28" s="561" t="s">
        <v>2453</v>
      </c>
      <c r="PC28" s="561" t="s">
        <v>2453</v>
      </c>
      <c r="PD28" s="561" t="s">
        <v>2453</v>
      </c>
      <c r="PE28" s="561" t="s">
        <v>2453</v>
      </c>
      <c r="PF28" s="561" t="s">
        <v>2453</v>
      </c>
      <c r="PG28" s="561" t="s">
        <v>2453</v>
      </c>
      <c r="PH28" s="561" t="s">
        <v>2453</v>
      </c>
      <c r="PI28" s="561" t="s">
        <v>2453</v>
      </c>
      <c r="PJ28" s="561" t="s">
        <v>2453</v>
      </c>
    </row>
    <row r="29" spans="1:426" ht="14" x14ac:dyDescent="0.3">
      <c r="A29" t="s">
        <v>2513</v>
      </c>
      <c r="B29" t="s">
        <v>2514</v>
      </c>
      <c r="C29" t="s">
        <v>2515</v>
      </c>
      <c r="E29" t="s">
        <v>384</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-26</v>
      </c>
      <c r="AC29" s="561">
        <v>0</v>
      </c>
      <c r="AD29" s="561">
        <v>0</v>
      </c>
      <c r="AE29" s="561">
        <v>0</v>
      </c>
      <c r="AF29" s="561">
        <v>0</v>
      </c>
      <c r="AG29" s="561">
        <v>0</v>
      </c>
      <c r="AH29" s="561">
        <v>8</v>
      </c>
      <c r="AI29" s="561">
        <v>0</v>
      </c>
      <c r="AJ29" s="561">
        <v>-18</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49</v>
      </c>
      <c r="BB29" s="561">
        <v>0</v>
      </c>
      <c r="BC29" s="561">
        <v>0</v>
      </c>
      <c r="BD29" s="561">
        <v>0</v>
      </c>
      <c r="BE29" s="561">
        <v>146</v>
      </c>
      <c r="BF29" s="561">
        <v>195</v>
      </c>
      <c r="BG29" s="561">
        <v>0</v>
      </c>
      <c r="BH29" s="561">
        <v>0</v>
      </c>
      <c r="BI29" s="561">
        <v>0</v>
      </c>
      <c r="BJ29" s="561">
        <v>0</v>
      </c>
      <c r="BK29" s="561">
        <v>0</v>
      </c>
      <c r="BL29" s="561">
        <v>0</v>
      </c>
      <c r="BM29" s="561">
        <v>0</v>
      </c>
      <c r="BN29" s="561">
        <v>0</v>
      </c>
      <c r="BO29" s="561">
        <v>0</v>
      </c>
      <c r="BP29" s="561">
        <v>33</v>
      </c>
      <c r="BQ29" s="561">
        <v>0</v>
      </c>
      <c r="BR29" s="561">
        <v>0</v>
      </c>
      <c r="BS29" s="561">
        <v>-173</v>
      </c>
      <c r="BT29" s="561">
        <v>0</v>
      </c>
      <c r="BU29" s="561">
        <v>0</v>
      </c>
      <c r="BV29" s="561">
        <v>0</v>
      </c>
      <c r="BW29" s="561">
        <v>0</v>
      </c>
      <c r="BX29" s="561">
        <v>0</v>
      </c>
      <c r="BY29" s="561">
        <v>0</v>
      </c>
      <c r="BZ29" s="561">
        <v>-140</v>
      </c>
      <c r="CA29" s="561">
        <v>40</v>
      </c>
      <c r="CB29" s="561">
        <v>0</v>
      </c>
      <c r="CC29" s="561">
        <v>0</v>
      </c>
      <c r="CD29" s="561">
        <v>0</v>
      </c>
      <c r="CE29" s="561">
        <v>0</v>
      </c>
      <c r="CF29" s="561">
        <v>138</v>
      </c>
      <c r="CG29" s="561">
        <v>0</v>
      </c>
      <c r="CH29" s="561">
        <v>0</v>
      </c>
      <c r="CI29" s="561">
        <v>0</v>
      </c>
      <c r="CJ29" s="561">
        <v>0</v>
      </c>
      <c r="CK29" s="561">
        <v>37</v>
      </c>
      <c r="CL29" s="561">
        <v>-28</v>
      </c>
      <c r="CM29" s="561">
        <v>0</v>
      </c>
      <c r="CN29" s="561">
        <v>0</v>
      </c>
      <c r="CO29" s="561">
        <v>0</v>
      </c>
      <c r="CP29" s="561">
        <v>0</v>
      </c>
      <c r="CQ29" s="561">
        <v>0</v>
      </c>
      <c r="CR29" s="561">
        <v>0</v>
      </c>
      <c r="CS29" s="561">
        <v>0</v>
      </c>
      <c r="CT29" s="561">
        <v>0</v>
      </c>
      <c r="CU29" s="561">
        <v>0</v>
      </c>
      <c r="CV29" s="561">
        <v>0</v>
      </c>
      <c r="CW29" s="561">
        <v>0</v>
      </c>
      <c r="CX29" s="561">
        <v>0</v>
      </c>
      <c r="CY29" s="561">
        <v>-30</v>
      </c>
      <c r="CZ29" s="561">
        <v>117</v>
      </c>
      <c r="DA29" s="561">
        <v>13</v>
      </c>
      <c r="DB29" s="561">
        <v>0</v>
      </c>
      <c r="DC29" s="561">
        <v>0</v>
      </c>
      <c r="DD29" s="561">
        <v>0</v>
      </c>
      <c r="DE29" s="561">
        <v>0</v>
      </c>
      <c r="DF29" s="561">
        <v>0</v>
      </c>
      <c r="DG29" s="561">
        <v>0</v>
      </c>
      <c r="DH29" s="561">
        <v>461</v>
      </c>
      <c r="DI29" s="561">
        <v>0</v>
      </c>
      <c r="DJ29" s="561">
        <v>-292</v>
      </c>
      <c r="DK29" s="561">
        <v>0</v>
      </c>
      <c r="DL29" s="561">
        <v>0</v>
      </c>
      <c r="DM29" s="561">
        <v>-19</v>
      </c>
      <c r="DN29" s="561">
        <v>0</v>
      </c>
      <c r="DO29" s="561">
        <v>1</v>
      </c>
      <c r="DP29" s="561">
        <v>0</v>
      </c>
      <c r="DQ29" s="561">
        <v>0</v>
      </c>
      <c r="DR29" s="561">
        <v>0</v>
      </c>
      <c r="DS29" s="561">
        <v>0</v>
      </c>
      <c r="DT29" s="561">
        <v>0</v>
      </c>
      <c r="DU29" s="561">
        <v>-18</v>
      </c>
      <c r="DV29" s="561">
        <v>0</v>
      </c>
      <c r="DW29" s="561">
        <v>0</v>
      </c>
      <c r="DX29" s="561">
        <v>0</v>
      </c>
      <c r="DY29" s="561">
        <v>776</v>
      </c>
      <c r="DZ29" s="561">
        <v>197</v>
      </c>
      <c r="EA29" s="561">
        <v>899</v>
      </c>
      <c r="EB29" s="561">
        <v>0</v>
      </c>
      <c r="EC29" s="561">
        <v>2023</v>
      </c>
      <c r="ED29" s="561">
        <v>92</v>
      </c>
      <c r="EE29" s="561">
        <v>0</v>
      </c>
      <c r="EF29" s="561">
        <v>0</v>
      </c>
      <c r="EG29" s="561">
        <v>0</v>
      </c>
      <c r="EH29" s="561">
        <v>0</v>
      </c>
      <c r="EI29" s="561">
        <v>0</v>
      </c>
      <c r="EJ29" s="561">
        <v>0</v>
      </c>
      <c r="EK29" s="561">
        <v>0</v>
      </c>
      <c r="EL29" s="561">
        <v>0</v>
      </c>
      <c r="EM29" s="561">
        <v>0</v>
      </c>
      <c r="EN29" s="561">
        <v>0</v>
      </c>
      <c r="EO29" s="561">
        <v>0</v>
      </c>
      <c r="EP29" s="561">
        <v>0</v>
      </c>
      <c r="EQ29" s="561">
        <v>0</v>
      </c>
      <c r="ER29" s="561">
        <v>0</v>
      </c>
      <c r="ES29" s="561" t="s">
        <v>4565</v>
      </c>
      <c r="ET29" s="561">
        <v>0</v>
      </c>
      <c r="EU29" s="561">
        <v>0</v>
      </c>
      <c r="EV29" s="561">
        <v>0</v>
      </c>
      <c r="EW29" s="561">
        <v>0</v>
      </c>
      <c r="EX29" s="561">
        <v>0</v>
      </c>
      <c r="EY29" s="561">
        <v>0</v>
      </c>
      <c r="EZ29" s="561">
        <v>0</v>
      </c>
      <c r="FA29" s="561">
        <v>0</v>
      </c>
      <c r="FB29" s="561">
        <v>0</v>
      </c>
      <c r="FC29" s="561">
        <v>23</v>
      </c>
      <c r="FD29" s="561">
        <v>0</v>
      </c>
      <c r="FE29" s="561">
        <v>0</v>
      </c>
      <c r="FF29" s="561">
        <v>0</v>
      </c>
      <c r="FG29" s="561">
        <v>0</v>
      </c>
      <c r="FH29" s="561">
        <v>0</v>
      </c>
      <c r="FI29" s="561">
        <v>0</v>
      </c>
      <c r="FJ29" s="561">
        <v>-611</v>
      </c>
      <c r="FK29" s="561">
        <v>757</v>
      </c>
      <c r="FL29" s="561">
        <v>0</v>
      </c>
      <c r="FM29" s="561">
        <v>150</v>
      </c>
      <c r="FN29" s="561">
        <v>0</v>
      </c>
      <c r="FO29" s="561">
        <v>319</v>
      </c>
      <c r="FP29" s="561">
        <v>0</v>
      </c>
      <c r="FQ29" s="561">
        <v>0</v>
      </c>
      <c r="FR29" s="561">
        <v>0</v>
      </c>
      <c r="FS29" s="561">
        <v>0</v>
      </c>
      <c r="FT29" s="561">
        <v>119</v>
      </c>
      <c r="FU29" s="561">
        <v>443</v>
      </c>
      <c r="FV29" s="561">
        <v>180</v>
      </c>
      <c r="FW29" s="561">
        <v>33</v>
      </c>
      <c r="FX29" s="561">
        <v>0</v>
      </c>
      <c r="FY29" s="561">
        <v>0</v>
      </c>
      <c r="FZ29" s="561">
        <v>2</v>
      </c>
      <c r="GA29" s="561">
        <v>101</v>
      </c>
      <c r="GB29" s="561">
        <v>336</v>
      </c>
      <c r="GC29" s="561">
        <v>77</v>
      </c>
      <c r="GD29" s="561">
        <v>191</v>
      </c>
      <c r="GE29" s="561">
        <v>168</v>
      </c>
      <c r="GF29" s="561">
        <v>0</v>
      </c>
      <c r="GG29" s="561">
        <v>36</v>
      </c>
      <c r="GH29" s="561">
        <v>1</v>
      </c>
      <c r="GI29" s="561">
        <v>0</v>
      </c>
      <c r="GJ29" s="561">
        <v>0</v>
      </c>
      <c r="GK29" s="561">
        <v>0</v>
      </c>
      <c r="GL29" s="561">
        <v>664</v>
      </c>
      <c r="GM29" s="561">
        <v>1506</v>
      </c>
      <c r="GN29" s="561">
        <v>0</v>
      </c>
      <c r="GO29" s="561">
        <v>416</v>
      </c>
      <c r="GP29" s="561">
        <v>0</v>
      </c>
      <c r="GQ29" s="561">
        <v>0</v>
      </c>
      <c r="GR29" s="561">
        <v>68</v>
      </c>
      <c r="GS29" s="561">
        <v>4341</v>
      </c>
      <c r="GT29" s="561">
        <v>206</v>
      </c>
      <c r="GU29" s="561">
        <v>598</v>
      </c>
      <c r="GV29" s="561">
        <v>1240</v>
      </c>
      <c r="GW29" s="561">
        <v>3</v>
      </c>
      <c r="GX29" s="561">
        <v>693</v>
      </c>
      <c r="GY29" s="561">
        <v>0</v>
      </c>
      <c r="GZ29" s="561">
        <v>339</v>
      </c>
      <c r="HA29" s="561">
        <v>0</v>
      </c>
      <c r="HB29" s="561">
        <v>0</v>
      </c>
      <c r="HC29" s="561">
        <v>160</v>
      </c>
      <c r="HD29" s="561">
        <v>3033</v>
      </c>
      <c r="HE29" s="561">
        <v>152</v>
      </c>
      <c r="HF29" s="561">
        <v>7693</v>
      </c>
      <c r="HG29" s="561">
        <v>0</v>
      </c>
      <c r="HH29" s="561">
        <v>0</v>
      </c>
      <c r="HI29" s="561">
        <v>0</v>
      </c>
      <c r="HJ29" s="561">
        <v>0</v>
      </c>
      <c r="HK29" s="561">
        <v>0</v>
      </c>
      <c r="HL29" s="561">
        <v>0</v>
      </c>
      <c r="HM29" s="561">
        <v>0</v>
      </c>
      <c r="HN29" s="561">
        <v>0</v>
      </c>
      <c r="HO29" s="561">
        <v>2035</v>
      </c>
      <c r="HP29" s="561">
        <v>1025</v>
      </c>
      <c r="HQ29" s="561">
        <v>0</v>
      </c>
      <c r="HR29" s="561">
        <v>0</v>
      </c>
      <c r="HS29" s="561">
        <v>83</v>
      </c>
      <c r="HT29" s="561">
        <v>135</v>
      </c>
      <c r="HU29" s="561">
        <v>0</v>
      </c>
      <c r="HV29" s="561">
        <v>0</v>
      </c>
      <c r="HW29" s="561">
        <v>281</v>
      </c>
      <c r="HX29" s="561">
        <v>11</v>
      </c>
      <c r="HY29" s="561">
        <v>30</v>
      </c>
      <c r="HZ29" s="561">
        <v>99</v>
      </c>
      <c r="IA29" s="561">
        <v>0</v>
      </c>
      <c r="IB29" s="561">
        <v>68</v>
      </c>
      <c r="IC29" s="561">
        <v>0</v>
      </c>
      <c r="ID29" s="561">
        <v>0</v>
      </c>
      <c r="IE29" s="561">
        <v>153</v>
      </c>
      <c r="IF29" s="561">
        <v>0</v>
      </c>
      <c r="IG29" s="561">
        <v>0</v>
      </c>
      <c r="IH29" s="561">
        <v>584</v>
      </c>
      <c r="II29" s="561">
        <v>4504</v>
      </c>
      <c r="IJ29" s="561">
        <v>231</v>
      </c>
      <c r="IK29" s="561">
        <v>0</v>
      </c>
      <c r="IL29" s="561">
        <v>6355</v>
      </c>
      <c r="IM29" s="561">
        <v>0</v>
      </c>
      <c r="IN29" s="561">
        <v>0</v>
      </c>
      <c r="IO29" s="561">
        <v>0</v>
      </c>
      <c r="IP29" s="561">
        <v>0</v>
      </c>
      <c r="IQ29" s="561">
        <v>0</v>
      </c>
      <c r="IR29" s="561">
        <v>0</v>
      </c>
      <c r="IS29" s="561">
        <v>-18</v>
      </c>
      <c r="IT29" s="561">
        <v>195</v>
      </c>
      <c r="IU29" s="561">
        <v>-140</v>
      </c>
      <c r="IV29" s="561">
        <v>117</v>
      </c>
      <c r="IW29" s="561">
        <v>2023</v>
      </c>
      <c r="IX29" s="561">
        <v>319</v>
      </c>
      <c r="IY29" s="561">
        <v>4341</v>
      </c>
      <c r="IZ29" s="561">
        <v>3033</v>
      </c>
      <c r="JA29" s="561">
        <v>0</v>
      </c>
      <c r="JB29" s="561">
        <v>0</v>
      </c>
      <c r="JC29" s="561">
        <v>4504</v>
      </c>
      <c r="JD29" s="561">
        <v>0</v>
      </c>
      <c r="JE29" s="561">
        <v>14374</v>
      </c>
      <c r="JF29" s="561">
        <v>9080</v>
      </c>
      <c r="JG29" s="561">
        <v>1081</v>
      </c>
      <c r="JH29" s="561">
        <v>0</v>
      </c>
      <c r="JI29" s="561">
        <v>0</v>
      </c>
      <c r="JJ29" s="561">
        <v>0</v>
      </c>
      <c r="JK29" s="561">
        <v>4621</v>
      </c>
      <c r="JL29" s="561">
        <v>0</v>
      </c>
      <c r="JM29" s="561">
        <v>0</v>
      </c>
      <c r="JN29" s="561">
        <v>0</v>
      </c>
      <c r="JO29" s="561">
        <v>0</v>
      </c>
      <c r="JP29" s="561">
        <v>-154</v>
      </c>
      <c r="JQ29" s="561">
        <v>0</v>
      </c>
      <c r="JR29" s="561">
        <v>-171</v>
      </c>
      <c r="JS29" s="561">
        <v>0</v>
      </c>
      <c r="JT29" s="561">
        <v>6</v>
      </c>
      <c r="JU29" s="561">
        <v>0</v>
      </c>
      <c r="JV29" s="561">
        <v>28837</v>
      </c>
      <c r="JW29" s="561">
        <v>0</v>
      </c>
      <c r="JX29" s="561">
        <v>89</v>
      </c>
      <c r="JY29" s="561">
        <v>0</v>
      </c>
      <c r="JZ29" s="561">
        <v>0</v>
      </c>
      <c r="KA29" s="561">
        <v>0</v>
      </c>
      <c r="KB29" s="561">
        <v>177</v>
      </c>
      <c r="KC29" s="561">
        <v>2591</v>
      </c>
      <c r="KD29" s="561">
        <v>22</v>
      </c>
      <c r="KE29" s="561">
        <v>442</v>
      </c>
      <c r="KF29" s="561">
        <v>0</v>
      </c>
      <c r="KG29" s="561">
        <v>32158</v>
      </c>
      <c r="KH29" s="561">
        <v>-1586</v>
      </c>
      <c r="KI29" s="561">
        <v>0</v>
      </c>
      <c r="KJ29" s="561">
        <v>0</v>
      </c>
      <c r="KK29" s="561">
        <v>0</v>
      </c>
      <c r="KL29" s="561">
        <v>-11096</v>
      </c>
      <c r="KM29" s="561">
        <v>0</v>
      </c>
      <c r="KN29" s="561">
        <v>0</v>
      </c>
      <c r="KO29" s="561">
        <v>0</v>
      </c>
      <c r="KP29" s="561">
        <v>0</v>
      </c>
      <c r="KQ29" s="561">
        <v>0</v>
      </c>
      <c r="KR29" s="561">
        <v>19476</v>
      </c>
      <c r="KS29" s="561">
        <v>0</v>
      </c>
      <c r="KT29" s="561">
        <v>-2816</v>
      </c>
      <c r="KU29" s="561">
        <v>16660</v>
      </c>
      <c r="KV29" s="561">
        <v>0</v>
      </c>
      <c r="KW29" s="561">
        <v>0</v>
      </c>
      <c r="KX29" s="561">
        <v>0</v>
      </c>
      <c r="KY29" s="561">
        <v>0</v>
      </c>
      <c r="KZ29" s="561">
        <v>1893</v>
      </c>
      <c r="LA29" s="561">
        <v>656</v>
      </c>
      <c r="LB29" s="561">
        <v>-80</v>
      </c>
      <c r="LC29" s="561">
        <v>0</v>
      </c>
      <c r="LD29" s="561">
        <v>-8377</v>
      </c>
      <c r="LE29" s="561">
        <v>395</v>
      </c>
      <c r="LF29" s="561">
        <v>0</v>
      </c>
      <c r="LG29" s="561">
        <v>11147</v>
      </c>
      <c r="LH29" s="561">
        <v>0</v>
      </c>
      <c r="LI29" s="561">
        <v>0</v>
      </c>
      <c r="LJ29" s="561">
        <v>0</v>
      </c>
      <c r="LK29" s="561">
        <v>0</v>
      </c>
      <c r="LL29" s="561">
        <v>9692</v>
      </c>
      <c r="LM29" s="561">
        <v>6590</v>
      </c>
      <c r="LN29" s="561">
        <v>0</v>
      </c>
      <c r="LO29" s="561">
        <v>0</v>
      </c>
      <c r="LP29" s="561">
        <v>0</v>
      </c>
      <c r="LQ29" s="561">
        <v>0</v>
      </c>
      <c r="LR29" s="561">
        <v>11585</v>
      </c>
      <c r="LS29" s="561">
        <v>7246</v>
      </c>
      <c r="LT29" s="561">
        <v>0</v>
      </c>
      <c r="LU29" s="561">
        <v>2576</v>
      </c>
      <c r="LV29" s="561">
        <v>619</v>
      </c>
      <c r="LW29" s="561">
        <v>-12</v>
      </c>
      <c r="LX29" s="561">
        <v>-1681</v>
      </c>
      <c r="LY29" s="561">
        <v>1129</v>
      </c>
      <c r="LZ29" s="561">
        <v>2597</v>
      </c>
      <c r="MA29" s="561">
        <v>0</v>
      </c>
      <c r="MB29" s="561">
        <v>0</v>
      </c>
      <c r="MC29" s="561">
        <v>0</v>
      </c>
      <c r="MD29" s="561">
        <v>0</v>
      </c>
      <c r="ME29" s="561">
        <v>0</v>
      </c>
      <c r="MF29" s="561">
        <v>0</v>
      </c>
      <c r="MG29" s="561">
        <v>0</v>
      </c>
      <c r="MH29" s="561">
        <v>2334</v>
      </c>
      <c r="MI29" s="561">
        <v>2161</v>
      </c>
      <c r="MJ29" s="561">
        <v>4495</v>
      </c>
      <c r="MK29" s="561">
        <v>0</v>
      </c>
      <c r="ML29" s="561">
        <v>0</v>
      </c>
      <c r="MM29" s="561">
        <v>3578</v>
      </c>
      <c r="MN29" s="561">
        <v>1612</v>
      </c>
      <c r="MO29" s="561">
        <v>6395</v>
      </c>
      <c r="MP29" s="561">
        <v>0</v>
      </c>
      <c r="MQ29" s="561">
        <v>0</v>
      </c>
      <c r="MR29" s="561">
        <v>-18</v>
      </c>
      <c r="MS29" s="561">
        <v>195</v>
      </c>
      <c r="MT29" s="561">
        <v>-140</v>
      </c>
      <c r="MU29" s="561">
        <v>117</v>
      </c>
      <c r="MV29" s="561">
        <v>2023</v>
      </c>
      <c r="MW29" s="561">
        <v>319</v>
      </c>
      <c r="MX29" s="561">
        <v>4341</v>
      </c>
      <c r="MY29" s="561">
        <v>3033</v>
      </c>
      <c r="MZ29" s="561">
        <v>0</v>
      </c>
      <c r="NA29" s="561">
        <v>0</v>
      </c>
      <c r="NB29" s="561">
        <v>4504</v>
      </c>
      <c r="NC29" s="561">
        <v>0</v>
      </c>
      <c r="ND29" s="561">
        <v>14374</v>
      </c>
      <c r="NE29" s="561">
        <v>0</v>
      </c>
      <c r="NF29" s="561">
        <v>0</v>
      </c>
      <c r="NG29" s="561">
        <v>0</v>
      </c>
      <c r="NH29" s="561">
        <v>0</v>
      </c>
      <c r="NI29" s="561">
        <v>0</v>
      </c>
      <c r="NJ29" s="561">
        <v>0</v>
      </c>
      <c r="NK29" s="561">
        <v>0</v>
      </c>
      <c r="NL29" s="561">
        <v>0</v>
      </c>
      <c r="NM29" s="561">
        <v>0</v>
      </c>
      <c r="NN29" s="561">
        <v>0</v>
      </c>
      <c r="NO29" s="561">
        <v>0</v>
      </c>
      <c r="NP29" s="561">
        <v>0</v>
      </c>
      <c r="NQ29" s="561">
        <v>0</v>
      </c>
      <c r="NR29" s="561">
        <v>0</v>
      </c>
      <c r="NS29" s="561">
        <v>0</v>
      </c>
      <c r="NT29" s="561">
        <v>-325</v>
      </c>
      <c r="NU29" s="561">
        <v>0</v>
      </c>
      <c r="NV29" s="561">
        <v>0</v>
      </c>
      <c r="NW29" s="561">
        <v>-325</v>
      </c>
      <c r="NX29" s="561">
        <v>171</v>
      </c>
      <c r="NY29" s="561">
        <v>-154</v>
      </c>
      <c r="NZ29" s="561">
        <v>0</v>
      </c>
      <c r="OA29" s="561">
        <v>0</v>
      </c>
      <c r="OB29" s="561">
        <v>0</v>
      </c>
      <c r="OC29" s="561">
        <v>0</v>
      </c>
      <c r="OD29" s="561">
        <v>0</v>
      </c>
      <c r="OE29" s="561">
        <v>0</v>
      </c>
      <c r="OF29" s="561">
        <v>0</v>
      </c>
      <c r="OG29" s="561">
        <v>0</v>
      </c>
      <c r="OH29" s="561">
        <v>0</v>
      </c>
      <c r="OI29" s="561">
        <v>0</v>
      </c>
      <c r="OJ29" s="561">
        <v>0</v>
      </c>
      <c r="OK29" s="561">
        <v>0</v>
      </c>
      <c r="OL29" s="561">
        <v>0</v>
      </c>
      <c r="OM29" s="561">
        <v>0</v>
      </c>
      <c r="ON29" s="561">
        <v>0</v>
      </c>
      <c r="OO29" s="561">
        <v>0</v>
      </c>
      <c r="OP29" s="561">
        <v>0</v>
      </c>
      <c r="OQ29" s="561">
        <v>0</v>
      </c>
      <c r="OR29" s="561">
        <v>0</v>
      </c>
      <c r="OS29" s="561">
        <v>0</v>
      </c>
      <c r="OT29" s="561">
        <v>0</v>
      </c>
      <c r="OU29" s="561">
        <v>0</v>
      </c>
      <c r="OV29" s="561">
        <v>0</v>
      </c>
      <c r="OW29" s="561">
        <v>0</v>
      </c>
      <c r="OX29" s="561">
        <v>0</v>
      </c>
      <c r="OY29" s="561">
        <v>0</v>
      </c>
      <c r="OZ29" s="561">
        <v>0</v>
      </c>
      <c r="PA29" s="561">
        <v>0</v>
      </c>
      <c r="PB29" s="561">
        <v>0</v>
      </c>
      <c r="PC29" s="561">
        <v>171</v>
      </c>
      <c r="PD29" s="561">
        <v>171</v>
      </c>
      <c r="PE29" s="561">
        <v>0</v>
      </c>
      <c r="PF29" s="561">
        <v>0</v>
      </c>
      <c r="PG29" s="561">
        <v>0</v>
      </c>
      <c r="PH29" s="561">
        <v>0</v>
      </c>
      <c r="PI29" s="561">
        <v>0</v>
      </c>
      <c r="PJ29" s="561">
        <v>0</v>
      </c>
    </row>
    <row r="30" spans="1:426" ht="14" x14ac:dyDescent="0.3">
      <c r="A30" t="s">
        <v>2516</v>
      </c>
      <c r="B30" t="s">
        <v>2517</v>
      </c>
      <c r="C30" t="s">
        <v>4571</v>
      </c>
      <c r="E30" t="s">
        <v>385</v>
      </c>
      <c r="F30" s="561">
        <v>17676</v>
      </c>
      <c r="G30" s="561">
        <v>85554</v>
      </c>
      <c r="H30" s="561">
        <v>12047</v>
      </c>
      <c r="I30" s="561">
        <v>16254</v>
      </c>
      <c r="J30" s="561">
        <v>1716</v>
      </c>
      <c r="K30" s="561">
        <v>18239</v>
      </c>
      <c r="L30" s="561">
        <v>151486</v>
      </c>
      <c r="M30" s="561">
        <v>1009</v>
      </c>
      <c r="N30" s="561">
        <v>-495</v>
      </c>
      <c r="O30" s="561">
        <v>0</v>
      </c>
      <c r="P30" s="561">
        <v>-2105</v>
      </c>
      <c r="Q30" s="561">
        <v>0</v>
      </c>
      <c r="R30" s="561">
        <v>0</v>
      </c>
      <c r="S30" s="561">
        <v>1361</v>
      </c>
      <c r="T30" s="561">
        <v>-2</v>
      </c>
      <c r="U30" s="561">
        <v>652</v>
      </c>
      <c r="V30" s="561">
        <v>1450</v>
      </c>
      <c r="W30" s="561">
        <v>0</v>
      </c>
      <c r="X30" s="561">
        <v>-291</v>
      </c>
      <c r="Y30" s="561">
        <v>10</v>
      </c>
      <c r="Z30" s="561">
        <v>718</v>
      </c>
      <c r="AA30" s="561">
        <v>-486</v>
      </c>
      <c r="AB30" s="561">
        <v>-15</v>
      </c>
      <c r="AC30" s="561">
        <v>2014</v>
      </c>
      <c r="AD30" s="561">
        <v>0</v>
      </c>
      <c r="AE30" s="561">
        <v>377</v>
      </c>
      <c r="AF30" s="561">
        <v>0</v>
      </c>
      <c r="AG30" s="561">
        <v>0</v>
      </c>
      <c r="AH30" s="561">
        <v>272</v>
      </c>
      <c r="AI30" s="561">
        <v>0</v>
      </c>
      <c r="AJ30" s="561">
        <v>3460</v>
      </c>
      <c r="AK30" s="561">
        <v>34</v>
      </c>
      <c r="AL30" s="561">
        <v>0</v>
      </c>
      <c r="AM30" s="561">
        <v>0</v>
      </c>
      <c r="AN30" s="561">
        <v>0</v>
      </c>
      <c r="AO30" s="561">
        <v>0</v>
      </c>
      <c r="AP30" s="561">
        <v>0</v>
      </c>
      <c r="AQ30" s="561">
        <v>0</v>
      </c>
      <c r="AR30" s="561">
        <v>0</v>
      </c>
      <c r="AS30" s="561">
        <v>764</v>
      </c>
      <c r="AT30" s="561">
        <v>0</v>
      </c>
      <c r="AU30" s="561">
        <v>0</v>
      </c>
      <c r="AV30" s="561">
        <v>0</v>
      </c>
      <c r="AW30" s="561">
        <v>0</v>
      </c>
      <c r="AX30" s="561">
        <v>2544</v>
      </c>
      <c r="AY30" s="561">
        <v>32752</v>
      </c>
      <c r="AZ30" s="561">
        <v>0</v>
      </c>
      <c r="BA30" s="561">
        <v>7722</v>
      </c>
      <c r="BB30" s="561">
        <v>939</v>
      </c>
      <c r="BC30" s="561">
        <v>8920</v>
      </c>
      <c r="BD30" s="561">
        <v>0</v>
      </c>
      <c r="BE30" s="561">
        <v>1471</v>
      </c>
      <c r="BF30" s="561">
        <v>54348</v>
      </c>
      <c r="BG30" s="561">
        <v>0</v>
      </c>
      <c r="BH30" s="561">
        <v>4212</v>
      </c>
      <c r="BI30" s="561">
        <v>15425</v>
      </c>
      <c r="BJ30" s="561">
        <v>528</v>
      </c>
      <c r="BK30" s="561">
        <v>1294</v>
      </c>
      <c r="BL30" s="561">
        <v>161</v>
      </c>
      <c r="BM30" s="561">
        <v>2486</v>
      </c>
      <c r="BN30" s="561">
        <v>16301</v>
      </c>
      <c r="BO30" s="561">
        <v>2926</v>
      </c>
      <c r="BP30" s="561">
        <v>7493</v>
      </c>
      <c r="BQ30" s="561">
        <v>3436</v>
      </c>
      <c r="BR30" s="561">
        <v>476</v>
      </c>
      <c r="BS30" s="561">
        <v>0</v>
      </c>
      <c r="BT30" s="561">
        <v>4398</v>
      </c>
      <c r="BU30" s="561">
        <v>39.200000000000003</v>
      </c>
      <c r="BV30" s="561">
        <v>1591.9</v>
      </c>
      <c r="BW30" s="561">
        <v>6497.2</v>
      </c>
      <c r="BX30" s="561">
        <v>481.3</v>
      </c>
      <c r="BY30" s="561">
        <v>4933.7</v>
      </c>
      <c r="BZ30" s="561">
        <v>72679.3</v>
      </c>
      <c r="CA30" s="561">
        <v>219</v>
      </c>
      <c r="CB30" s="561">
        <v>365</v>
      </c>
      <c r="CC30" s="561">
        <v>447</v>
      </c>
      <c r="CD30" s="561">
        <v>365</v>
      </c>
      <c r="CE30" s="561">
        <v>243</v>
      </c>
      <c r="CF30" s="561">
        <v>309</v>
      </c>
      <c r="CG30" s="561">
        <v>81</v>
      </c>
      <c r="CH30" s="561">
        <v>549</v>
      </c>
      <c r="CI30" s="561">
        <v>144</v>
      </c>
      <c r="CJ30" s="561">
        <v>16</v>
      </c>
      <c r="CK30" s="561">
        <v>1122</v>
      </c>
      <c r="CL30" s="561">
        <v>125</v>
      </c>
      <c r="CM30" s="561">
        <v>1958</v>
      </c>
      <c r="CN30" s="561">
        <v>1019</v>
      </c>
      <c r="CO30" s="561">
        <v>319</v>
      </c>
      <c r="CP30" s="561">
        <v>1159</v>
      </c>
      <c r="CQ30" s="561">
        <v>890</v>
      </c>
      <c r="CR30" s="561">
        <v>298</v>
      </c>
      <c r="CS30" s="561">
        <v>33</v>
      </c>
      <c r="CT30" s="561">
        <v>1670</v>
      </c>
      <c r="CU30" s="561">
        <v>3341</v>
      </c>
      <c r="CV30" s="561">
        <v>749</v>
      </c>
      <c r="CW30" s="561">
        <v>0</v>
      </c>
      <c r="CX30" s="561">
        <v>331</v>
      </c>
      <c r="CY30" s="561">
        <v>3097</v>
      </c>
      <c r="CZ30" s="561">
        <v>18630</v>
      </c>
      <c r="DA30" s="561">
        <v>0</v>
      </c>
      <c r="DB30" s="561">
        <v>0</v>
      </c>
      <c r="DC30" s="561">
        <v>0</v>
      </c>
      <c r="DD30" s="561">
        <v>0</v>
      </c>
      <c r="DE30" s="561">
        <v>0</v>
      </c>
      <c r="DF30" s="561">
        <v>0</v>
      </c>
      <c r="DG30" s="561">
        <v>0</v>
      </c>
      <c r="DH30" s="561">
        <v>336</v>
      </c>
      <c r="DI30" s="561">
        <v>0</v>
      </c>
      <c r="DJ30" s="561">
        <v>0</v>
      </c>
      <c r="DK30" s="561">
        <v>160</v>
      </c>
      <c r="DL30" s="561">
        <v>0</v>
      </c>
      <c r="DM30" s="561">
        <v>0</v>
      </c>
      <c r="DN30" s="561">
        <v>0</v>
      </c>
      <c r="DO30" s="561">
        <v>0</v>
      </c>
      <c r="DP30" s="561">
        <v>0</v>
      </c>
      <c r="DQ30" s="561">
        <v>0</v>
      </c>
      <c r="DR30" s="561">
        <v>19</v>
      </c>
      <c r="DS30" s="561">
        <v>385</v>
      </c>
      <c r="DT30" s="561">
        <v>1485</v>
      </c>
      <c r="DU30" s="561">
        <v>1889</v>
      </c>
      <c r="DV30" s="561">
        <v>0</v>
      </c>
      <c r="DW30" s="561">
        <v>0</v>
      </c>
      <c r="DX30" s="561">
        <v>0</v>
      </c>
      <c r="DY30" s="561">
        <v>988</v>
      </c>
      <c r="DZ30" s="561">
        <v>30</v>
      </c>
      <c r="EA30" s="561">
        <v>1265</v>
      </c>
      <c r="EB30" s="561">
        <v>0</v>
      </c>
      <c r="EC30" s="561">
        <v>4668</v>
      </c>
      <c r="ED30" s="561">
        <v>0</v>
      </c>
      <c r="EE30" s="561">
        <v>0</v>
      </c>
      <c r="EF30" s="561">
        <v>0</v>
      </c>
      <c r="EG30" s="561">
        <v>0</v>
      </c>
      <c r="EH30" s="561">
        <v>0</v>
      </c>
      <c r="EI30" s="561">
        <v>0</v>
      </c>
      <c r="EJ30" s="561">
        <v>0</v>
      </c>
      <c r="EK30" s="561">
        <v>0</v>
      </c>
      <c r="EL30" s="561">
        <v>0</v>
      </c>
      <c r="EM30" s="561">
        <v>0</v>
      </c>
      <c r="EN30" s="561">
        <v>0</v>
      </c>
      <c r="EO30" s="561">
        <v>0</v>
      </c>
      <c r="EP30" s="561">
        <v>0</v>
      </c>
      <c r="EQ30" s="561">
        <v>0</v>
      </c>
      <c r="ER30" s="561">
        <v>0</v>
      </c>
      <c r="ES30" s="561" t="s">
        <v>4565</v>
      </c>
      <c r="ET30" s="561">
        <v>0</v>
      </c>
      <c r="EU30" s="561">
        <v>0</v>
      </c>
      <c r="EV30" s="561">
        <v>0</v>
      </c>
      <c r="EW30" s="561">
        <v>0</v>
      </c>
      <c r="EX30" s="561">
        <v>0</v>
      </c>
      <c r="EY30" s="561">
        <v>0</v>
      </c>
      <c r="EZ30" s="561">
        <v>0</v>
      </c>
      <c r="FA30" s="561">
        <v>0</v>
      </c>
      <c r="FB30" s="561">
        <v>13</v>
      </c>
      <c r="FC30" s="561">
        <v>38</v>
      </c>
      <c r="FD30" s="561">
        <v>0</v>
      </c>
      <c r="FE30" s="561">
        <v>490</v>
      </c>
      <c r="FF30" s="561">
        <v>621</v>
      </c>
      <c r="FG30" s="561">
        <v>41</v>
      </c>
      <c r="FH30" s="561">
        <v>0</v>
      </c>
      <c r="FI30" s="561">
        <v>951</v>
      </c>
      <c r="FJ30" s="561">
        <v>1836</v>
      </c>
      <c r="FK30" s="561">
        <v>2082</v>
      </c>
      <c r="FL30" s="561">
        <v>0</v>
      </c>
      <c r="FM30" s="561">
        <v>2692</v>
      </c>
      <c r="FN30" s="561">
        <v>1887</v>
      </c>
      <c r="FO30" s="561">
        <v>10651</v>
      </c>
      <c r="FP30" s="561">
        <v>9</v>
      </c>
      <c r="FQ30" s="561">
        <v>-1132</v>
      </c>
      <c r="FR30" s="561">
        <v>286</v>
      </c>
      <c r="FS30" s="561">
        <v>0</v>
      </c>
      <c r="FT30" s="561">
        <v>254</v>
      </c>
      <c r="FU30" s="561">
        <v>761</v>
      </c>
      <c r="FV30" s="561">
        <v>136</v>
      </c>
      <c r="FW30" s="561">
        <v>0</v>
      </c>
      <c r="FX30" s="561">
        <v>0</v>
      </c>
      <c r="FY30" s="561">
        <v>0</v>
      </c>
      <c r="FZ30" s="561">
        <v>103</v>
      </c>
      <c r="GA30" s="561">
        <v>0</v>
      </c>
      <c r="GB30" s="561">
        <v>90</v>
      </c>
      <c r="GC30" s="561">
        <v>-98</v>
      </c>
      <c r="GD30" s="561">
        <v>2070</v>
      </c>
      <c r="GE30" s="561">
        <v>0</v>
      </c>
      <c r="GF30" s="561">
        <v>137</v>
      </c>
      <c r="GG30" s="561">
        <v>0</v>
      </c>
      <c r="GH30" s="561">
        <v>0</v>
      </c>
      <c r="GI30" s="561">
        <v>0</v>
      </c>
      <c r="GJ30" s="561">
        <v>0</v>
      </c>
      <c r="GK30" s="561">
        <v>0</v>
      </c>
      <c r="GL30" s="561">
        <v>2552</v>
      </c>
      <c r="GM30" s="561">
        <v>1832</v>
      </c>
      <c r="GN30" s="561">
        <v>7876</v>
      </c>
      <c r="GO30" s="561">
        <v>-839</v>
      </c>
      <c r="GP30" s="561">
        <v>1516</v>
      </c>
      <c r="GQ30" s="561">
        <v>0</v>
      </c>
      <c r="GR30" s="561">
        <v>0</v>
      </c>
      <c r="GS30" s="561">
        <v>15544</v>
      </c>
      <c r="GT30" s="561">
        <v>0</v>
      </c>
      <c r="GU30" s="561">
        <v>651</v>
      </c>
      <c r="GV30" s="561">
        <v>1076</v>
      </c>
      <c r="GW30" s="561">
        <v>0</v>
      </c>
      <c r="GX30" s="561">
        <v>1635</v>
      </c>
      <c r="GY30" s="561">
        <v>0</v>
      </c>
      <c r="GZ30" s="561">
        <v>2862</v>
      </c>
      <c r="HA30" s="561">
        <v>0</v>
      </c>
      <c r="HB30" s="561">
        <v>-1891</v>
      </c>
      <c r="HC30" s="561">
        <v>525</v>
      </c>
      <c r="HD30" s="561">
        <v>4858</v>
      </c>
      <c r="HE30" s="561">
        <v>0</v>
      </c>
      <c r="HF30" s="561">
        <v>31053</v>
      </c>
      <c r="HG30" s="561">
        <v>9</v>
      </c>
      <c r="HH30" s="561">
        <v>0</v>
      </c>
      <c r="HI30" s="561">
        <v>0</v>
      </c>
      <c r="HJ30" s="561">
        <v>0</v>
      </c>
      <c r="HK30" s="561">
        <v>0</v>
      </c>
      <c r="HL30" s="561">
        <v>0</v>
      </c>
      <c r="HM30" s="561">
        <v>0</v>
      </c>
      <c r="HN30" s="561">
        <v>0</v>
      </c>
      <c r="HO30" s="561">
        <v>4974</v>
      </c>
      <c r="HP30" s="561">
        <v>741</v>
      </c>
      <c r="HQ30" s="561">
        <v>741</v>
      </c>
      <c r="HR30" s="561">
        <v>0</v>
      </c>
      <c r="HS30" s="561">
        <v>0</v>
      </c>
      <c r="HT30" s="561">
        <v>0</v>
      </c>
      <c r="HU30" s="561">
        <v>0</v>
      </c>
      <c r="HV30" s="561">
        <v>55</v>
      </c>
      <c r="HW30" s="561">
        <v>219</v>
      </c>
      <c r="HX30" s="561">
        <v>495</v>
      </c>
      <c r="HY30" s="561">
        <v>371</v>
      </c>
      <c r="HZ30" s="561">
        <v>-64</v>
      </c>
      <c r="IA30" s="561">
        <v>0</v>
      </c>
      <c r="IB30" s="561">
        <v>0</v>
      </c>
      <c r="IC30" s="561">
        <v>0</v>
      </c>
      <c r="ID30" s="561">
        <v>0</v>
      </c>
      <c r="IE30" s="561">
        <v>359</v>
      </c>
      <c r="IF30" s="561">
        <v>0</v>
      </c>
      <c r="IG30" s="561">
        <v>0</v>
      </c>
      <c r="IH30" s="561">
        <v>4000</v>
      </c>
      <c r="II30" s="561">
        <v>11891</v>
      </c>
      <c r="IJ30" s="561">
        <v>0</v>
      </c>
      <c r="IK30" s="561">
        <v>17333</v>
      </c>
      <c r="IL30" s="561">
        <v>27111</v>
      </c>
      <c r="IM30" s="561">
        <v>200</v>
      </c>
      <c r="IN30" s="561">
        <v>0</v>
      </c>
      <c r="IO30" s="561">
        <v>0</v>
      </c>
      <c r="IP30" s="561">
        <v>0</v>
      </c>
      <c r="IQ30" s="561">
        <v>0</v>
      </c>
      <c r="IR30" s="561">
        <v>151486</v>
      </c>
      <c r="IS30" s="561">
        <v>3460</v>
      </c>
      <c r="IT30" s="561">
        <v>54348</v>
      </c>
      <c r="IU30" s="561">
        <v>72679.3</v>
      </c>
      <c r="IV30" s="561">
        <v>18630</v>
      </c>
      <c r="IW30" s="561">
        <v>4668</v>
      </c>
      <c r="IX30" s="561">
        <v>10651</v>
      </c>
      <c r="IY30" s="561">
        <v>15544</v>
      </c>
      <c r="IZ30" s="561">
        <v>4858</v>
      </c>
      <c r="JA30" s="561">
        <v>0</v>
      </c>
      <c r="JB30" s="561">
        <v>0</v>
      </c>
      <c r="JC30" s="561">
        <v>11891</v>
      </c>
      <c r="JD30" s="561">
        <v>0</v>
      </c>
      <c r="JE30" s="561">
        <v>348215.3</v>
      </c>
      <c r="JF30" s="561">
        <v>32589</v>
      </c>
      <c r="JG30" s="561">
        <v>0</v>
      </c>
      <c r="JH30" s="561">
        <v>0</v>
      </c>
      <c r="JI30" s="561">
        <v>0</v>
      </c>
      <c r="JJ30" s="561">
        <v>0</v>
      </c>
      <c r="JK30" s="561">
        <v>186</v>
      </c>
      <c r="JL30" s="561">
        <v>0</v>
      </c>
      <c r="JM30" s="561">
        <v>0</v>
      </c>
      <c r="JN30" s="561">
        <v>0</v>
      </c>
      <c r="JO30" s="561">
        <v>0</v>
      </c>
      <c r="JP30" s="561">
        <v>0</v>
      </c>
      <c r="JQ30" s="561">
        <v>738</v>
      </c>
      <c r="JR30" s="561">
        <v>0</v>
      </c>
      <c r="JS30" s="561">
        <v>-369</v>
      </c>
      <c r="JT30" s="561">
        <v>0</v>
      </c>
      <c r="JU30" s="561">
        <v>0</v>
      </c>
      <c r="JV30" s="561">
        <v>381359.3</v>
      </c>
      <c r="JW30" s="561">
        <v>74</v>
      </c>
      <c r="JX30" s="561">
        <v>3271</v>
      </c>
      <c r="JY30" s="561">
        <v>0</v>
      </c>
      <c r="JZ30" s="561">
        <v>0</v>
      </c>
      <c r="KA30" s="561">
        <v>0</v>
      </c>
      <c r="KB30" s="561">
        <v>0</v>
      </c>
      <c r="KC30" s="561">
        <v>7848</v>
      </c>
      <c r="KD30" s="561">
        <v>0</v>
      </c>
      <c r="KE30" s="561">
        <v>10797</v>
      </c>
      <c r="KF30" s="561">
        <v>0</v>
      </c>
      <c r="KG30" s="561">
        <v>403349.3</v>
      </c>
      <c r="KH30" s="561">
        <v>-4820</v>
      </c>
      <c r="KI30" s="561">
        <v>0</v>
      </c>
      <c r="KJ30" s="561">
        <v>0</v>
      </c>
      <c r="KK30" s="561">
        <v>0</v>
      </c>
      <c r="KL30" s="561">
        <v>-33593</v>
      </c>
      <c r="KM30" s="561">
        <v>0</v>
      </c>
      <c r="KN30" s="561">
        <v>0</v>
      </c>
      <c r="KO30" s="561">
        <v>0</v>
      </c>
      <c r="KP30" s="561">
        <v>0</v>
      </c>
      <c r="KQ30" s="561">
        <v>0</v>
      </c>
      <c r="KR30" s="561">
        <v>364936.3</v>
      </c>
      <c r="KS30" s="561">
        <v>0</v>
      </c>
      <c r="KT30" s="561">
        <v>-222664</v>
      </c>
      <c r="KU30" s="561">
        <v>142272.29999999999</v>
      </c>
      <c r="KV30" s="561">
        <v>0</v>
      </c>
      <c r="KW30" s="561">
        <v>696</v>
      </c>
      <c r="KX30" s="561">
        <v>-2694</v>
      </c>
      <c r="KY30" s="561">
        <v>512</v>
      </c>
      <c r="KZ30" s="561">
        <v>10745</v>
      </c>
      <c r="LA30" s="561">
        <v>2000</v>
      </c>
      <c r="LB30" s="561">
        <v>-16734</v>
      </c>
      <c r="LC30" s="561">
        <v>0</v>
      </c>
      <c r="LD30" s="561">
        <v>-66161</v>
      </c>
      <c r="LE30" s="561">
        <v>-1073</v>
      </c>
      <c r="LF30" s="561">
        <v>0</v>
      </c>
      <c r="LG30" s="561">
        <v>69563</v>
      </c>
      <c r="LH30" s="561">
        <v>7162</v>
      </c>
      <c r="LI30" s="561">
        <v>0</v>
      </c>
      <c r="LJ30" s="561">
        <v>4381</v>
      </c>
      <c r="LK30" s="561">
        <v>1644</v>
      </c>
      <c r="LL30" s="561">
        <v>59892</v>
      </c>
      <c r="LM30" s="561">
        <v>7000</v>
      </c>
      <c r="LN30" s="561">
        <v>7858</v>
      </c>
      <c r="LO30" s="561">
        <v>0</v>
      </c>
      <c r="LP30" s="561">
        <v>1687</v>
      </c>
      <c r="LQ30" s="561">
        <v>2156</v>
      </c>
      <c r="LR30" s="561">
        <v>70637</v>
      </c>
      <c r="LS30" s="561">
        <v>9000</v>
      </c>
      <c r="LT30" s="561">
        <v>0</v>
      </c>
      <c r="LU30" s="561">
        <v>17340</v>
      </c>
      <c r="LV30" s="561">
        <v>0</v>
      </c>
      <c r="LW30" s="561">
        <v>828</v>
      </c>
      <c r="LX30" s="561">
        <v>0</v>
      </c>
      <c r="LY30" s="561">
        <v>7980</v>
      </c>
      <c r="LZ30" s="561">
        <v>26148</v>
      </c>
      <c r="MA30" s="561">
        <v>0</v>
      </c>
      <c r="MB30" s="561">
        <v>0</v>
      </c>
      <c r="MC30" s="561">
        <v>0</v>
      </c>
      <c r="MD30" s="561">
        <v>0</v>
      </c>
      <c r="ME30" s="561">
        <v>0</v>
      </c>
      <c r="MF30" s="561">
        <v>0</v>
      </c>
      <c r="MG30" s="561">
        <v>0</v>
      </c>
      <c r="MH30" s="561">
        <v>5778</v>
      </c>
      <c r="MI30" s="561">
        <v>8015</v>
      </c>
      <c r="MJ30" s="561">
        <v>13793</v>
      </c>
      <c r="MK30" s="561">
        <v>27</v>
      </c>
      <c r="ML30" s="561">
        <v>4093</v>
      </c>
      <c r="MM30" s="561">
        <v>21331</v>
      </c>
      <c r="MN30" s="561">
        <v>650</v>
      </c>
      <c r="MO30" s="561">
        <v>44113</v>
      </c>
      <c r="MP30" s="561">
        <v>450</v>
      </c>
      <c r="MQ30" s="561">
        <v>151486</v>
      </c>
      <c r="MR30" s="561">
        <v>3460</v>
      </c>
      <c r="MS30" s="561">
        <v>54348</v>
      </c>
      <c r="MT30" s="561">
        <v>72679.3</v>
      </c>
      <c r="MU30" s="561">
        <v>18630</v>
      </c>
      <c r="MV30" s="561">
        <v>4668</v>
      </c>
      <c r="MW30" s="561">
        <v>10651</v>
      </c>
      <c r="MX30" s="561">
        <v>15544</v>
      </c>
      <c r="MY30" s="561">
        <v>4858</v>
      </c>
      <c r="MZ30" s="561">
        <v>0</v>
      </c>
      <c r="NA30" s="561">
        <v>0</v>
      </c>
      <c r="NB30" s="561">
        <v>11891</v>
      </c>
      <c r="NC30" s="561">
        <v>0</v>
      </c>
      <c r="ND30" s="561">
        <v>348215.3</v>
      </c>
      <c r="NE30" s="561">
        <v>0</v>
      </c>
      <c r="NF30" s="561">
        <v>0</v>
      </c>
      <c r="NG30" s="561">
        <v>0</v>
      </c>
      <c r="NH30" s="561">
        <v>0</v>
      </c>
      <c r="NI30" s="561">
        <v>0</v>
      </c>
      <c r="NJ30" s="561">
        <v>0</v>
      </c>
      <c r="NK30" s="561">
        <v>0</v>
      </c>
      <c r="NL30" s="561">
        <v>0</v>
      </c>
      <c r="NM30" s="561">
        <v>0</v>
      </c>
      <c r="NN30" s="561">
        <v>0</v>
      </c>
      <c r="NO30" s="561">
        <v>0</v>
      </c>
      <c r="NP30" s="561">
        <v>0</v>
      </c>
      <c r="NQ30" s="561">
        <v>0</v>
      </c>
      <c r="NR30" s="561">
        <v>0</v>
      </c>
      <c r="NS30" s="561">
        <v>0</v>
      </c>
      <c r="NT30" s="561">
        <v>0</v>
      </c>
      <c r="NU30" s="561">
        <v>0</v>
      </c>
      <c r="NV30" s="561">
        <v>0</v>
      </c>
      <c r="NW30" s="561">
        <v>0</v>
      </c>
      <c r="NX30" s="561">
        <v>0</v>
      </c>
      <c r="NY30" s="561">
        <v>0</v>
      </c>
      <c r="NZ30" s="561">
        <v>0</v>
      </c>
      <c r="OA30" s="561">
        <v>0</v>
      </c>
      <c r="OB30" s="561">
        <v>0</v>
      </c>
      <c r="OC30" s="561">
        <v>0</v>
      </c>
      <c r="OD30" s="561">
        <v>0</v>
      </c>
      <c r="OE30" s="561">
        <v>0</v>
      </c>
      <c r="OF30" s="561">
        <v>0</v>
      </c>
      <c r="OG30" s="561">
        <v>0</v>
      </c>
      <c r="OH30" s="561">
        <v>0</v>
      </c>
      <c r="OI30" s="561">
        <v>0</v>
      </c>
      <c r="OJ30" s="561">
        <v>-1</v>
      </c>
      <c r="OK30" s="561">
        <v>458</v>
      </c>
      <c r="OL30" s="561">
        <v>-88</v>
      </c>
      <c r="OM30" s="561">
        <v>0</v>
      </c>
      <c r="ON30" s="561">
        <v>0</v>
      </c>
      <c r="OO30" s="561">
        <v>0</v>
      </c>
      <c r="OP30" s="561">
        <v>0</v>
      </c>
      <c r="OQ30" s="561">
        <v>0</v>
      </c>
      <c r="OR30" s="561">
        <v>0</v>
      </c>
      <c r="OS30" s="561">
        <v>0</v>
      </c>
      <c r="OT30" s="561">
        <v>0</v>
      </c>
      <c r="OU30" s="561">
        <v>0</v>
      </c>
      <c r="OV30" s="561">
        <v>418</v>
      </c>
      <c r="OW30" s="561">
        <v>369</v>
      </c>
      <c r="OX30" s="561">
        <v>738</v>
      </c>
      <c r="OY30" s="561">
        <v>0</v>
      </c>
      <c r="OZ30" s="561">
        <v>0</v>
      </c>
      <c r="PA30" s="561">
        <v>0</v>
      </c>
      <c r="PB30" s="561">
        <v>0</v>
      </c>
      <c r="PC30" s="561">
        <v>0</v>
      </c>
      <c r="PD30" s="561">
        <v>0</v>
      </c>
      <c r="PE30" s="561">
        <v>369</v>
      </c>
      <c r="PF30" s="561">
        <v>0</v>
      </c>
      <c r="PG30" s="561">
        <v>0</v>
      </c>
      <c r="PH30" s="561">
        <v>0</v>
      </c>
      <c r="PI30" s="561">
        <v>0</v>
      </c>
      <c r="PJ30" s="561">
        <v>369</v>
      </c>
    </row>
    <row r="31" spans="1:426" ht="14" x14ac:dyDescent="0.3">
      <c r="A31" t="s">
        <v>2519</v>
      </c>
      <c r="B31" t="s">
        <v>2520</v>
      </c>
      <c r="C31" t="s">
        <v>4572</v>
      </c>
      <c r="E31" t="s">
        <v>385</v>
      </c>
      <c r="F31" s="561">
        <v>14266</v>
      </c>
      <c r="G31" s="561">
        <v>12106</v>
      </c>
      <c r="H31" s="561">
        <v>672</v>
      </c>
      <c r="I31" s="561">
        <v>21348</v>
      </c>
      <c r="J31" s="561">
        <v>1992</v>
      </c>
      <c r="K31" s="561">
        <v>14915</v>
      </c>
      <c r="L31" s="561">
        <v>65299</v>
      </c>
      <c r="M31" s="561">
        <v>414</v>
      </c>
      <c r="N31" s="561">
        <v>658</v>
      </c>
      <c r="O31" s="561">
        <v>86</v>
      </c>
      <c r="P31" s="561">
        <v>890</v>
      </c>
      <c r="Q31" s="561">
        <v>-263</v>
      </c>
      <c r="R31" s="561">
        <v>0</v>
      </c>
      <c r="S31" s="561">
        <v>923</v>
      </c>
      <c r="T31" s="561">
        <v>0</v>
      </c>
      <c r="U31" s="561">
        <v>0</v>
      </c>
      <c r="V31" s="561">
        <v>5747</v>
      </c>
      <c r="W31" s="561">
        <v>0</v>
      </c>
      <c r="X31" s="561">
        <v>0</v>
      </c>
      <c r="Y31" s="561">
        <v>154</v>
      </c>
      <c r="Z31" s="561">
        <v>-321</v>
      </c>
      <c r="AA31" s="561">
        <v>-681</v>
      </c>
      <c r="AB31" s="561">
        <v>-4662</v>
      </c>
      <c r="AC31" s="561">
        <v>3445</v>
      </c>
      <c r="AD31" s="561">
        <v>805</v>
      </c>
      <c r="AE31" s="561">
        <v>586</v>
      </c>
      <c r="AF31" s="561">
        <v>0</v>
      </c>
      <c r="AG31" s="561">
        <v>0</v>
      </c>
      <c r="AH31" s="561">
        <v>332</v>
      </c>
      <c r="AI31" s="561">
        <v>7</v>
      </c>
      <c r="AJ31" s="561">
        <v>7706</v>
      </c>
      <c r="AK31" s="561">
        <v>0</v>
      </c>
      <c r="AL31" s="561">
        <v>0</v>
      </c>
      <c r="AM31" s="561">
        <v>0</v>
      </c>
      <c r="AN31" s="561">
        <v>0</v>
      </c>
      <c r="AO31" s="561">
        <v>0</v>
      </c>
      <c r="AP31" s="561">
        <v>0</v>
      </c>
      <c r="AQ31" s="561">
        <v>0</v>
      </c>
      <c r="AR31" s="561">
        <v>0</v>
      </c>
      <c r="AS31" s="561">
        <v>926</v>
      </c>
      <c r="AT31" s="561">
        <v>1011</v>
      </c>
      <c r="AU31" s="561">
        <v>0</v>
      </c>
      <c r="AV31" s="561">
        <v>0</v>
      </c>
      <c r="AW31" s="561">
        <v>0</v>
      </c>
      <c r="AX31" s="561">
        <v>-173</v>
      </c>
      <c r="AY31" s="561">
        <v>53422</v>
      </c>
      <c r="AZ31" s="561">
        <v>75</v>
      </c>
      <c r="BA31" s="561">
        <v>11930</v>
      </c>
      <c r="BB31" s="561">
        <v>908</v>
      </c>
      <c r="BC31" s="561">
        <v>15877</v>
      </c>
      <c r="BD31" s="561">
        <v>0</v>
      </c>
      <c r="BE31" s="561">
        <v>3793</v>
      </c>
      <c r="BF31" s="561">
        <v>85832</v>
      </c>
      <c r="BG31" s="561">
        <v>1240</v>
      </c>
      <c r="BH31" s="561">
        <v>6295</v>
      </c>
      <c r="BI31" s="561">
        <v>19044</v>
      </c>
      <c r="BJ31" s="561">
        <v>281</v>
      </c>
      <c r="BK31" s="561">
        <v>281</v>
      </c>
      <c r="BL31" s="561">
        <v>511</v>
      </c>
      <c r="BM31" s="561">
        <v>4617</v>
      </c>
      <c r="BN31" s="561">
        <v>18095</v>
      </c>
      <c r="BO31" s="561">
        <v>4300</v>
      </c>
      <c r="BP31" s="561">
        <v>7858</v>
      </c>
      <c r="BQ31" s="561">
        <v>3367</v>
      </c>
      <c r="BR31" s="561">
        <v>-39</v>
      </c>
      <c r="BS31" s="561">
        <v>0</v>
      </c>
      <c r="BT31" s="561">
        <v>898</v>
      </c>
      <c r="BU31" s="561">
        <v>342</v>
      </c>
      <c r="BV31" s="561">
        <v>456</v>
      </c>
      <c r="BW31" s="561">
        <v>9658</v>
      </c>
      <c r="BX31" s="561">
        <v>385</v>
      </c>
      <c r="BY31" s="561">
        <v>301</v>
      </c>
      <c r="BZ31" s="561">
        <v>76650</v>
      </c>
      <c r="CA31" s="561">
        <v>207</v>
      </c>
      <c r="CB31" s="561">
        <v>997</v>
      </c>
      <c r="CC31" s="561">
        <v>987</v>
      </c>
      <c r="CD31" s="561">
        <v>644</v>
      </c>
      <c r="CE31" s="561">
        <v>131</v>
      </c>
      <c r="CF31" s="561">
        <v>1570</v>
      </c>
      <c r="CG31" s="561">
        <v>478</v>
      </c>
      <c r="CH31" s="561">
        <v>76</v>
      </c>
      <c r="CI31" s="561">
        <v>35</v>
      </c>
      <c r="CJ31" s="561">
        <v>1210</v>
      </c>
      <c r="CK31" s="561">
        <v>126</v>
      </c>
      <c r="CL31" s="561">
        <v>239</v>
      </c>
      <c r="CM31" s="561">
        <v>1241</v>
      </c>
      <c r="CN31" s="561">
        <v>834</v>
      </c>
      <c r="CO31" s="561">
        <v>1342</v>
      </c>
      <c r="CP31" s="561">
        <v>934</v>
      </c>
      <c r="CQ31" s="561">
        <v>133</v>
      </c>
      <c r="CR31" s="561">
        <v>719</v>
      </c>
      <c r="CS31" s="561">
        <v>15</v>
      </c>
      <c r="CT31" s="561">
        <v>474</v>
      </c>
      <c r="CU31" s="561">
        <v>1350</v>
      </c>
      <c r="CV31" s="561">
        <v>1289</v>
      </c>
      <c r="CW31" s="561">
        <v>0</v>
      </c>
      <c r="CX31" s="561">
        <v>654</v>
      </c>
      <c r="CY31" s="561">
        <v>4921</v>
      </c>
      <c r="CZ31" s="561">
        <v>20399</v>
      </c>
      <c r="DA31" s="561">
        <v>0</v>
      </c>
      <c r="DB31" s="561">
        <v>133</v>
      </c>
      <c r="DC31" s="561">
        <v>0</v>
      </c>
      <c r="DD31" s="561">
        <v>0</v>
      </c>
      <c r="DE31" s="561">
        <v>0</v>
      </c>
      <c r="DF31" s="561">
        <v>0</v>
      </c>
      <c r="DG31" s="561">
        <v>0</v>
      </c>
      <c r="DH31" s="561">
        <v>515</v>
      </c>
      <c r="DI31" s="561">
        <v>0</v>
      </c>
      <c r="DJ31" s="561">
        <v>165</v>
      </c>
      <c r="DK31" s="561">
        <v>275</v>
      </c>
      <c r="DL31" s="561">
        <v>0</v>
      </c>
      <c r="DM31" s="561">
        <v>0</v>
      </c>
      <c r="DN31" s="561">
        <v>95</v>
      </c>
      <c r="DO31" s="561">
        <v>614</v>
      </c>
      <c r="DP31" s="561">
        <v>0</v>
      </c>
      <c r="DQ31" s="561">
        <v>0</v>
      </c>
      <c r="DR31" s="561">
        <v>10</v>
      </c>
      <c r="DS31" s="561">
        <v>572</v>
      </c>
      <c r="DT31" s="561">
        <v>731</v>
      </c>
      <c r="DU31" s="561">
        <v>2022</v>
      </c>
      <c r="DV31" s="561">
        <v>127</v>
      </c>
      <c r="DW31" s="561">
        <v>0</v>
      </c>
      <c r="DX31" s="561">
        <v>0</v>
      </c>
      <c r="DY31" s="561">
        <v>2087</v>
      </c>
      <c r="DZ31" s="561">
        <v>-94</v>
      </c>
      <c r="EA31" s="561">
        <v>58</v>
      </c>
      <c r="EB31" s="561">
        <v>0</v>
      </c>
      <c r="EC31" s="561">
        <v>5155</v>
      </c>
      <c r="ED31" s="561">
        <v>0</v>
      </c>
      <c r="EE31" s="561">
        <v>22332</v>
      </c>
      <c r="EF31" s="561">
        <v>98</v>
      </c>
      <c r="EG31" s="561">
        <v>3836</v>
      </c>
      <c r="EH31" s="561">
        <v>938</v>
      </c>
      <c r="EI31" s="561">
        <v>0</v>
      </c>
      <c r="EJ31" s="561">
        <v>180</v>
      </c>
      <c r="EK31" s="561">
        <v>0</v>
      </c>
      <c r="EL31" s="561">
        <v>0</v>
      </c>
      <c r="EM31" s="561">
        <v>0</v>
      </c>
      <c r="EN31" s="561">
        <v>4547</v>
      </c>
      <c r="EO31" s="561">
        <v>10978</v>
      </c>
      <c r="EP31" s="561">
        <v>0</v>
      </c>
      <c r="EQ31" s="561">
        <v>187</v>
      </c>
      <c r="ER31" s="561">
        <v>1400</v>
      </c>
      <c r="ES31" s="561" t="s">
        <v>4565</v>
      </c>
      <c r="ET31" s="561">
        <v>0</v>
      </c>
      <c r="EU31" s="561">
        <v>9475</v>
      </c>
      <c r="EV31" s="561">
        <v>32</v>
      </c>
      <c r="EW31" s="561">
        <v>0</v>
      </c>
      <c r="EX31" s="561">
        <v>0</v>
      </c>
      <c r="EY31" s="561">
        <v>459</v>
      </c>
      <c r="EZ31" s="561">
        <v>306</v>
      </c>
      <c r="FA31" s="561">
        <v>1534</v>
      </c>
      <c r="FB31" s="561">
        <v>0</v>
      </c>
      <c r="FC31" s="561">
        <v>-539</v>
      </c>
      <c r="FD31" s="561">
        <v>381</v>
      </c>
      <c r="FE31" s="561">
        <v>-80</v>
      </c>
      <c r="FF31" s="561">
        <v>-681</v>
      </c>
      <c r="FG31" s="561">
        <v>0</v>
      </c>
      <c r="FH31" s="561">
        <v>298</v>
      </c>
      <c r="FI31" s="561">
        <v>744</v>
      </c>
      <c r="FJ31" s="561">
        <v>3656</v>
      </c>
      <c r="FK31" s="561">
        <v>730</v>
      </c>
      <c r="FL31" s="561">
        <v>0</v>
      </c>
      <c r="FM31" s="561">
        <v>3777</v>
      </c>
      <c r="FN31" s="561">
        <v>-204</v>
      </c>
      <c r="FO31" s="561">
        <v>8082</v>
      </c>
      <c r="FP31" s="561">
        <v>0</v>
      </c>
      <c r="FQ31" s="561">
        <v>-784</v>
      </c>
      <c r="FR31" s="561">
        <v>476</v>
      </c>
      <c r="FS31" s="561">
        <v>0</v>
      </c>
      <c r="FT31" s="561">
        <v>336</v>
      </c>
      <c r="FU31" s="561">
        <v>525</v>
      </c>
      <c r="FV31" s="561">
        <v>-218</v>
      </c>
      <c r="FW31" s="561">
        <v>0</v>
      </c>
      <c r="FX31" s="561">
        <v>0</v>
      </c>
      <c r="FY31" s="561">
        <v>0</v>
      </c>
      <c r="FZ31" s="561">
        <v>0</v>
      </c>
      <c r="GA31" s="561">
        <v>795</v>
      </c>
      <c r="GB31" s="561">
        <v>263</v>
      </c>
      <c r="GC31" s="561">
        <v>204</v>
      </c>
      <c r="GD31" s="561">
        <v>173</v>
      </c>
      <c r="GE31" s="561">
        <v>-9</v>
      </c>
      <c r="GF31" s="561">
        <v>-111</v>
      </c>
      <c r="GG31" s="561">
        <v>234</v>
      </c>
      <c r="GH31" s="561">
        <v>10</v>
      </c>
      <c r="GI31" s="561">
        <v>0</v>
      </c>
      <c r="GJ31" s="561">
        <v>367</v>
      </c>
      <c r="GK31" s="561">
        <v>0</v>
      </c>
      <c r="GL31" s="561">
        <v>5939</v>
      </c>
      <c r="GM31" s="561">
        <v>2896</v>
      </c>
      <c r="GN31" s="561">
        <v>10365</v>
      </c>
      <c r="GO31" s="561">
        <v>-317</v>
      </c>
      <c r="GP31" s="561">
        <v>-284</v>
      </c>
      <c r="GQ31" s="561">
        <v>97</v>
      </c>
      <c r="GR31" s="561">
        <v>144</v>
      </c>
      <c r="GS31" s="561">
        <v>21101</v>
      </c>
      <c r="GT31" s="561">
        <v>0</v>
      </c>
      <c r="GU31" s="561">
        <v>137</v>
      </c>
      <c r="GV31" s="561">
        <v>594</v>
      </c>
      <c r="GW31" s="561">
        <v>15</v>
      </c>
      <c r="GX31" s="561">
        <v>302</v>
      </c>
      <c r="GY31" s="561">
        <v>14</v>
      </c>
      <c r="GZ31" s="561">
        <v>5183</v>
      </c>
      <c r="HA31" s="561">
        <v>0</v>
      </c>
      <c r="HB31" s="561">
        <v>-3735</v>
      </c>
      <c r="HC31" s="561">
        <v>0</v>
      </c>
      <c r="HD31" s="561">
        <v>2510</v>
      </c>
      <c r="HE31" s="561">
        <v>77</v>
      </c>
      <c r="HF31" s="561">
        <v>31693</v>
      </c>
      <c r="HG31" s="561">
        <v>0</v>
      </c>
      <c r="HH31" s="561">
        <v>0</v>
      </c>
      <c r="HI31" s="561">
        <v>0</v>
      </c>
      <c r="HJ31" s="561">
        <v>0</v>
      </c>
      <c r="HK31" s="561">
        <v>0</v>
      </c>
      <c r="HL31" s="561">
        <v>0</v>
      </c>
      <c r="HM31" s="561">
        <v>0</v>
      </c>
      <c r="HN31" s="561">
        <v>0</v>
      </c>
      <c r="HO31" s="561">
        <v>3864</v>
      </c>
      <c r="HP31" s="561">
        <v>773</v>
      </c>
      <c r="HQ31" s="561">
        <v>0</v>
      </c>
      <c r="HR31" s="561">
        <v>0</v>
      </c>
      <c r="HS31" s="561">
        <v>350</v>
      </c>
      <c r="HT31" s="561">
        <v>6</v>
      </c>
      <c r="HU31" s="561">
        <v>20</v>
      </c>
      <c r="HV31" s="561">
        <v>35</v>
      </c>
      <c r="HW31" s="561">
        <v>230</v>
      </c>
      <c r="HX31" s="561">
        <v>26</v>
      </c>
      <c r="HY31" s="561">
        <v>7</v>
      </c>
      <c r="HZ31" s="561">
        <v>-17</v>
      </c>
      <c r="IA31" s="561">
        <v>0</v>
      </c>
      <c r="IB31" s="561">
        <v>0</v>
      </c>
      <c r="IC31" s="561">
        <v>450</v>
      </c>
      <c r="ID31" s="561">
        <v>0</v>
      </c>
      <c r="IE31" s="561">
        <v>0</v>
      </c>
      <c r="IF31" s="561">
        <v>0</v>
      </c>
      <c r="IG31" s="561">
        <v>0</v>
      </c>
      <c r="IH31" s="561">
        <v>-6039</v>
      </c>
      <c r="II31" s="561">
        <v>-295</v>
      </c>
      <c r="IJ31" s="561">
        <v>340</v>
      </c>
      <c r="IK31" s="561">
        <v>24459</v>
      </c>
      <c r="IL31" s="561">
        <v>10904</v>
      </c>
      <c r="IM31" s="561">
        <v>0</v>
      </c>
      <c r="IN31" s="561">
        <v>0</v>
      </c>
      <c r="IO31" s="561">
        <v>4581</v>
      </c>
      <c r="IP31" s="561">
        <v>-1347</v>
      </c>
      <c r="IQ31" s="561">
        <v>0</v>
      </c>
      <c r="IR31" s="561">
        <v>65299</v>
      </c>
      <c r="IS31" s="561">
        <v>7706</v>
      </c>
      <c r="IT31" s="561">
        <v>85832</v>
      </c>
      <c r="IU31" s="561">
        <v>76650</v>
      </c>
      <c r="IV31" s="561">
        <v>20399</v>
      </c>
      <c r="IW31" s="561">
        <v>5155</v>
      </c>
      <c r="IX31" s="561">
        <v>8082</v>
      </c>
      <c r="IY31" s="561">
        <v>21101</v>
      </c>
      <c r="IZ31" s="561">
        <v>2510</v>
      </c>
      <c r="JA31" s="561">
        <v>0</v>
      </c>
      <c r="JB31" s="561">
        <v>0</v>
      </c>
      <c r="JC31" s="561">
        <v>-295</v>
      </c>
      <c r="JD31" s="561">
        <v>-1347</v>
      </c>
      <c r="JE31" s="561">
        <v>291092</v>
      </c>
      <c r="JF31" s="561">
        <v>30516</v>
      </c>
      <c r="JG31" s="561">
        <v>99</v>
      </c>
      <c r="JH31" s="561">
        <v>10911</v>
      </c>
      <c r="JI31" s="561">
        <v>0</v>
      </c>
      <c r="JJ31" s="561">
        <v>0</v>
      </c>
      <c r="JK31" s="561">
        <v>0</v>
      </c>
      <c r="JL31" s="561">
        <v>0</v>
      </c>
      <c r="JM31" s="561">
        <v>0</v>
      </c>
      <c r="JN31" s="561">
        <v>0</v>
      </c>
      <c r="JO31" s="561">
        <v>426</v>
      </c>
      <c r="JP31" s="561">
        <v>0</v>
      </c>
      <c r="JQ31" s="561">
        <v>456</v>
      </c>
      <c r="JR31" s="561">
        <v>0</v>
      </c>
      <c r="JS31" s="561">
        <v>0</v>
      </c>
      <c r="JT31" s="561">
        <v>0</v>
      </c>
      <c r="JU31" s="561">
        <v>0</v>
      </c>
      <c r="JV31" s="561">
        <v>333500</v>
      </c>
      <c r="JW31" s="561">
        <v>77</v>
      </c>
      <c r="JX31" s="561">
        <v>1903</v>
      </c>
      <c r="JY31" s="561">
        <v>0</v>
      </c>
      <c r="JZ31" s="561">
        <v>0</v>
      </c>
      <c r="KA31" s="561">
        <v>0</v>
      </c>
      <c r="KB31" s="561">
        <v>-1520</v>
      </c>
      <c r="KC31" s="561">
        <v>9307</v>
      </c>
      <c r="KD31" s="561">
        <v>1403</v>
      </c>
      <c r="KE31" s="561">
        <v>26426</v>
      </c>
      <c r="KF31" s="561">
        <v>0</v>
      </c>
      <c r="KG31" s="561">
        <v>371096</v>
      </c>
      <c r="KH31" s="561">
        <v>-16068</v>
      </c>
      <c r="KI31" s="561">
        <v>0</v>
      </c>
      <c r="KJ31" s="561">
        <v>61</v>
      </c>
      <c r="KK31" s="561">
        <v>0</v>
      </c>
      <c r="KL31" s="561">
        <v>-43499</v>
      </c>
      <c r="KM31" s="561">
        <v>0</v>
      </c>
      <c r="KN31" s="561">
        <v>0</v>
      </c>
      <c r="KO31" s="561">
        <v>0</v>
      </c>
      <c r="KP31" s="561">
        <v>0</v>
      </c>
      <c r="KQ31" s="561">
        <v>0</v>
      </c>
      <c r="KR31" s="561">
        <v>311590</v>
      </c>
      <c r="KS31" s="561">
        <v>0</v>
      </c>
      <c r="KT31" s="561">
        <v>-142730</v>
      </c>
      <c r="KU31" s="561">
        <v>168860</v>
      </c>
      <c r="KV31" s="561">
        <v>0</v>
      </c>
      <c r="KW31" s="561">
        <v>-1487</v>
      </c>
      <c r="KX31" s="561">
        <v>-721</v>
      </c>
      <c r="KY31" s="561">
        <v>0</v>
      </c>
      <c r="KZ31" s="561">
        <v>2564</v>
      </c>
      <c r="LA31" s="561">
        <v>-6595</v>
      </c>
      <c r="LB31" s="561">
        <v>-18668</v>
      </c>
      <c r="LC31" s="561">
        <v>0</v>
      </c>
      <c r="LD31" s="561">
        <v>-66089</v>
      </c>
      <c r="LE31" s="561">
        <v>-3109</v>
      </c>
      <c r="LF31" s="561">
        <v>0</v>
      </c>
      <c r="LG31" s="561">
        <v>74755</v>
      </c>
      <c r="LH31" s="561">
        <v>3416</v>
      </c>
      <c r="LI31" s="561">
        <v>-5782</v>
      </c>
      <c r="LJ31" s="561">
        <v>3908</v>
      </c>
      <c r="LK31" s="561">
        <v>0</v>
      </c>
      <c r="LL31" s="561">
        <v>31642</v>
      </c>
      <c r="LM31" s="561">
        <v>7104</v>
      </c>
      <c r="LN31" s="561">
        <v>1929</v>
      </c>
      <c r="LO31" s="561">
        <v>-5782</v>
      </c>
      <c r="LP31" s="561">
        <v>3187</v>
      </c>
      <c r="LQ31" s="561">
        <v>0</v>
      </c>
      <c r="LR31" s="561">
        <v>34206</v>
      </c>
      <c r="LS31" s="561">
        <v>509</v>
      </c>
      <c r="LT31" s="561">
        <v>0</v>
      </c>
      <c r="LU31" s="561">
        <v>27886</v>
      </c>
      <c r="LV31" s="561">
        <v>56183</v>
      </c>
      <c r="LW31" s="561">
        <v>-37415</v>
      </c>
      <c r="LX31" s="561">
        <v>-56778</v>
      </c>
      <c r="LY31" s="561">
        <v>9324</v>
      </c>
      <c r="LZ31" s="561">
        <v>6395</v>
      </c>
      <c r="MA31" s="561">
        <v>0</v>
      </c>
      <c r="MB31" s="561">
        <v>0</v>
      </c>
      <c r="MC31" s="561">
        <v>27384</v>
      </c>
      <c r="MD31" s="561">
        <v>27078</v>
      </c>
      <c r="ME31" s="561">
        <v>306</v>
      </c>
      <c r="MF31" s="561">
        <v>1534</v>
      </c>
      <c r="MG31" s="561">
        <v>1840</v>
      </c>
      <c r="MH31" s="561">
        <v>6359</v>
      </c>
      <c r="MI31" s="561">
        <v>10037</v>
      </c>
      <c r="MJ31" s="561">
        <v>16396</v>
      </c>
      <c r="MK31" s="561">
        <v>0</v>
      </c>
      <c r="ML31" s="561">
        <v>5061</v>
      </c>
      <c r="MM31" s="561">
        <v>9722</v>
      </c>
      <c r="MN31" s="561">
        <v>11065</v>
      </c>
      <c r="MO31" s="561">
        <v>8358</v>
      </c>
      <c r="MP31" s="561">
        <v>0</v>
      </c>
      <c r="MQ31" s="561">
        <v>65299</v>
      </c>
      <c r="MR31" s="561">
        <v>7706</v>
      </c>
      <c r="MS31" s="561">
        <v>85832</v>
      </c>
      <c r="MT31" s="561">
        <v>76650</v>
      </c>
      <c r="MU31" s="561">
        <v>20399</v>
      </c>
      <c r="MV31" s="561">
        <v>5155</v>
      </c>
      <c r="MW31" s="561">
        <v>8082</v>
      </c>
      <c r="MX31" s="561">
        <v>21101</v>
      </c>
      <c r="MY31" s="561">
        <v>2510</v>
      </c>
      <c r="MZ31" s="561">
        <v>0</v>
      </c>
      <c r="NA31" s="561">
        <v>0</v>
      </c>
      <c r="NB31" s="561">
        <v>-295</v>
      </c>
      <c r="NC31" s="561">
        <v>-1347</v>
      </c>
      <c r="ND31" s="561">
        <v>291092</v>
      </c>
      <c r="NE31" s="561">
        <v>0</v>
      </c>
      <c r="NF31" s="561">
        <v>0</v>
      </c>
      <c r="NG31" s="561">
        <v>0</v>
      </c>
      <c r="NH31" s="561">
        <v>0</v>
      </c>
      <c r="NI31" s="561">
        <v>0</v>
      </c>
      <c r="NJ31" s="561">
        <v>0</v>
      </c>
      <c r="NK31" s="561">
        <v>0</v>
      </c>
      <c r="NL31" s="561">
        <v>0</v>
      </c>
      <c r="NM31" s="561">
        <v>0</v>
      </c>
      <c r="NN31" s="561">
        <v>0</v>
      </c>
      <c r="NO31" s="561">
        <v>0</v>
      </c>
      <c r="NP31" s="561">
        <v>0</v>
      </c>
      <c r="NQ31" s="561">
        <v>0</v>
      </c>
      <c r="NR31" s="561">
        <v>0</v>
      </c>
      <c r="NS31" s="561">
        <v>0</v>
      </c>
      <c r="NT31" s="561">
        <v>0</v>
      </c>
      <c r="NU31" s="561">
        <v>-3609</v>
      </c>
      <c r="NV31" s="561">
        <v>0</v>
      </c>
      <c r="NW31" s="561">
        <v>0</v>
      </c>
      <c r="NX31" s="561">
        <v>0</v>
      </c>
      <c r="NY31" s="561">
        <v>0</v>
      </c>
      <c r="NZ31" s="561">
        <v>0</v>
      </c>
      <c r="OA31" s="561">
        <v>0</v>
      </c>
      <c r="OB31" s="561">
        <v>0</v>
      </c>
      <c r="OC31" s="561">
        <v>0</v>
      </c>
      <c r="OD31" s="561">
        <v>0</v>
      </c>
      <c r="OE31" s="561">
        <v>0</v>
      </c>
      <c r="OF31" s="561">
        <v>0</v>
      </c>
      <c r="OG31" s="561">
        <v>0</v>
      </c>
      <c r="OH31" s="561">
        <v>0</v>
      </c>
      <c r="OI31" s="561">
        <v>0</v>
      </c>
      <c r="OJ31" s="561">
        <v>0</v>
      </c>
      <c r="OK31" s="561">
        <v>0</v>
      </c>
      <c r="OL31" s="561">
        <v>0</v>
      </c>
      <c r="OM31" s="561">
        <v>436</v>
      </c>
      <c r="ON31" s="561">
        <v>0</v>
      </c>
      <c r="OO31" s="561">
        <v>0</v>
      </c>
      <c r="OP31" s="561">
        <v>0</v>
      </c>
      <c r="OQ31" s="561">
        <v>20</v>
      </c>
      <c r="OR31" s="561">
        <v>0</v>
      </c>
      <c r="OS31" s="561">
        <v>0</v>
      </c>
      <c r="OT31" s="561">
        <v>0</v>
      </c>
      <c r="OU31" s="561">
        <v>0</v>
      </c>
      <c r="OV31" s="561">
        <v>167</v>
      </c>
      <c r="OW31" s="561">
        <v>0</v>
      </c>
      <c r="OX31" s="561">
        <v>456</v>
      </c>
      <c r="OY31" s="561">
        <v>0</v>
      </c>
      <c r="OZ31" s="561">
        <v>0</v>
      </c>
      <c r="PA31" s="561">
        <v>0</v>
      </c>
      <c r="PB31" s="561">
        <v>0</v>
      </c>
      <c r="PC31" s="561">
        <v>0</v>
      </c>
      <c r="PD31" s="561">
        <v>0</v>
      </c>
      <c r="PE31" s="561">
        <v>0</v>
      </c>
      <c r="PF31" s="561">
        <v>0</v>
      </c>
      <c r="PG31" s="561">
        <v>0</v>
      </c>
      <c r="PH31" s="561">
        <v>0</v>
      </c>
      <c r="PI31" s="561">
        <v>0</v>
      </c>
      <c r="PJ31" s="561">
        <v>0</v>
      </c>
    </row>
    <row r="32" spans="1:426" ht="14" x14ac:dyDescent="0.3">
      <c r="A32" t="s">
        <v>2522</v>
      </c>
      <c r="B32" t="s">
        <v>2523</v>
      </c>
      <c r="C32" t="s">
        <v>2524</v>
      </c>
      <c r="E32" t="s">
        <v>384</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64</v>
      </c>
      <c r="W32" s="561">
        <v>0</v>
      </c>
      <c r="X32" s="561">
        <v>0</v>
      </c>
      <c r="Y32" s="561">
        <v>0</v>
      </c>
      <c r="Z32" s="561">
        <v>0</v>
      </c>
      <c r="AA32" s="561">
        <v>0</v>
      </c>
      <c r="AB32" s="561">
        <v>278</v>
      </c>
      <c r="AC32" s="561">
        <v>-13</v>
      </c>
      <c r="AD32" s="561">
        <v>0</v>
      </c>
      <c r="AE32" s="561">
        <v>0</v>
      </c>
      <c r="AF32" s="561">
        <v>0</v>
      </c>
      <c r="AG32" s="561">
        <v>0</v>
      </c>
      <c r="AH32" s="561">
        <v>0</v>
      </c>
      <c r="AI32" s="561">
        <v>0</v>
      </c>
      <c r="AJ32" s="561">
        <v>329</v>
      </c>
      <c r="AK32" s="561">
        <v>0</v>
      </c>
      <c r="AL32" s="561">
        <v>0</v>
      </c>
      <c r="AM32" s="561">
        <v>0</v>
      </c>
      <c r="AN32" s="561">
        <v>0</v>
      </c>
      <c r="AO32" s="561">
        <v>0</v>
      </c>
      <c r="AP32" s="561">
        <v>0</v>
      </c>
      <c r="AQ32" s="561">
        <v>0</v>
      </c>
      <c r="AR32" s="561">
        <v>0</v>
      </c>
      <c r="AS32" s="561">
        <v>0</v>
      </c>
      <c r="AT32" s="561">
        <v>0</v>
      </c>
      <c r="AU32" s="561">
        <v>0</v>
      </c>
      <c r="AV32" s="561">
        <v>0</v>
      </c>
      <c r="AW32" s="561">
        <v>0</v>
      </c>
      <c r="AX32" s="561">
        <v>0</v>
      </c>
      <c r="AY32" s="561">
        <v>0</v>
      </c>
      <c r="AZ32" s="561">
        <v>0</v>
      </c>
      <c r="BA32" s="561">
        <v>0</v>
      </c>
      <c r="BB32" s="561">
        <v>0</v>
      </c>
      <c r="BC32" s="561">
        <v>0</v>
      </c>
      <c r="BD32" s="561">
        <v>0</v>
      </c>
      <c r="BE32" s="561">
        <v>0</v>
      </c>
      <c r="BF32" s="561">
        <v>0</v>
      </c>
      <c r="BG32" s="561">
        <v>0</v>
      </c>
      <c r="BH32" s="561">
        <v>0</v>
      </c>
      <c r="BI32" s="561">
        <v>0</v>
      </c>
      <c r="BJ32" s="561">
        <v>0</v>
      </c>
      <c r="BK32" s="561">
        <v>0</v>
      </c>
      <c r="BL32" s="561">
        <v>0</v>
      </c>
      <c r="BM32" s="561">
        <v>0</v>
      </c>
      <c r="BN32" s="561">
        <v>0</v>
      </c>
      <c r="BO32" s="561">
        <v>0</v>
      </c>
      <c r="BP32" s="561">
        <v>0</v>
      </c>
      <c r="BQ32" s="561">
        <v>0</v>
      </c>
      <c r="BR32" s="561">
        <v>0</v>
      </c>
      <c r="BS32" s="561">
        <v>1</v>
      </c>
      <c r="BT32" s="561">
        <v>0</v>
      </c>
      <c r="BU32" s="561">
        <v>0</v>
      </c>
      <c r="BV32" s="561">
        <v>0</v>
      </c>
      <c r="BW32" s="561">
        <v>0</v>
      </c>
      <c r="BX32" s="561">
        <v>0</v>
      </c>
      <c r="BY32" s="561">
        <v>0</v>
      </c>
      <c r="BZ32" s="561">
        <v>1</v>
      </c>
      <c r="CA32" s="561">
        <v>0</v>
      </c>
      <c r="CB32" s="561">
        <v>0</v>
      </c>
      <c r="CC32" s="561">
        <v>0</v>
      </c>
      <c r="CD32" s="561">
        <v>0</v>
      </c>
      <c r="CE32" s="561">
        <v>0</v>
      </c>
      <c r="CF32" s="561">
        <v>0</v>
      </c>
      <c r="CG32" s="561">
        <v>0</v>
      </c>
      <c r="CH32" s="561">
        <v>0</v>
      </c>
      <c r="CI32" s="561">
        <v>0</v>
      </c>
      <c r="CJ32" s="561">
        <v>0</v>
      </c>
      <c r="CK32" s="561">
        <v>0</v>
      </c>
      <c r="CL32" s="561">
        <v>0</v>
      </c>
      <c r="CM32" s="561">
        <v>0</v>
      </c>
      <c r="CN32" s="561">
        <v>0</v>
      </c>
      <c r="CO32" s="561">
        <v>0</v>
      </c>
      <c r="CP32" s="561">
        <v>0</v>
      </c>
      <c r="CQ32" s="561">
        <v>0</v>
      </c>
      <c r="CR32" s="561">
        <v>0</v>
      </c>
      <c r="CS32" s="561">
        <v>0</v>
      </c>
      <c r="CT32" s="561">
        <v>0</v>
      </c>
      <c r="CU32" s="561">
        <v>0</v>
      </c>
      <c r="CV32" s="561">
        <v>0</v>
      </c>
      <c r="CW32" s="561">
        <v>0</v>
      </c>
      <c r="CX32" s="561">
        <v>0</v>
      </c>
      <c r="CY32" s="561">
        <v>32</v>
      </c>
      <c r="CZ32" s="561">
        <v>32</v>
      </c>
      <c r="DA32" s="561">
        <v>0</v>
      </c>
      <c r="DB32" s="561">
        <v>0</v>
      </c>
      <c r="DC32" s="561">
        <v>0</v>
      </c>
      <c r="DD32" s="561">
        <v>0</v>
      </c>
      <c r="DE32" s="561">
        <v>0</v>
      </c>
      <c r="DF32" s="561">
        <v>0</v>
      </c>
      <c r="DG32" s="561">
        <v>0</v>
      </c>
      <c r="DH32" s="561">
        <v>139</v>
      </c>
      <c r="DI32" s="561">
        <v>0</v>
      </c>
      <c r="DJ32" s="561">
        <v>0</v>
      </c>
      <c r="DK32" s="561">
        <v>-22</v>
      </c>
      <c r="DL32" s="561">
        <v>0</v>
      </c>
      <c r="DM32" s="561">
        <v>0</v>
      </c>
      <c r="DN32" s="561">
        <v>0</v>
      </c>
      <c r="DO32" s="561">
        <v>52</v>
      </c>
      <c r="DP32" s="561">
        <v>6</v>
      </c>
      <c r="DQ32" s="561">
        <v>0</v>
      </c>
      <c r="DR32" s="561">
        <v>45</v>
      </c>
      <c r="DS32" s="561">
        <v>465</v>
      </c>
      <c r="DT32" s="561">
        <v>0</v>
      </c>
      <c r="DU32" s="561">
        <v>568</v>
      </c>
      <c r="DV32" s="561">
        <v>56</v>
      </c>
      <c r="DW32" s="561">
        <v>35</v>
      </c>
      <c r="DX32" s="561">
        <v>0</v>
      </c>
      <c r="DY32" s="561">
        <v>650</v>
      </c>
      <c r="DZ32" s="561">
        <v>0</v>
      </c>
      <c r="EA32" s="561">
        <v>0</v>
      </c>
      <c r="EB32" s="561">
        <v>0</v>
      </c>
      <c r="EC32" s="561">
        <v>1426</v>
      </c>
      <c r="ED32" s="561">
        <v>0</v>
      </c>
      <c r="EE32" s="561">
        <v>25027</v>
      </c>
      <c r="EF32" s="561">
        <v>91</v>
      </c>
      <c r="EG32" s="561">
        <v>1455</v>
      </c>
      <c r="EH32" s="561">
        <v>4</v>
      </c>
      <c r="EI32" s="561">
        <v>18</v>
      </c>
      <c r="EJ32" s="561">
        <v>579</v>
      </c>
      <c r="EK32" s="561">
        <v>36</v>
      </c>
      <c r="EL32" s="561">
        <v>1388</v>
      </c>
      <c r="EM32" s="561">
        <v>8</v>
      </c>
      <c r="EN32" s="561">
        <v>7742</v>
      </c>
      <c r="EO32" s="561">
        <v>6339</v>
      </c>
      <c r="EP32" s="561">
        <v>1829</v>
      </c>
      <c r="EQ32" s="561">
        <v>437</v>
      </c>
      <c r="ER32" s="561">
        <v>2767</v>
      </c>
      <c r="ES32" s="561" t="s">
        <v>4565</v>
      </c>
      <c r="ET32" s="561">
        <v>7514</v>
      </c>
      <c r="EU32" s="561">
        <v>11</v>
      </c>
      <c r="EV32" s="561">
        <v>10</v>
      </c>
      <c r="EW32" s="561">
        <v>630</v>
      </c>
      <c r="EX32" s="561">
        <v>854</v>
      </c>
      <c r="EY32" s="561">
        <v>109</v>
      </c>
      <c r="EZ32" s="561">
        <v>364</v>
      </c>
      <c r="FA32" s="561">
        <v>1643</v>
      </c>
      <c r="FB32" s="561">
        <v>0</v>
      </c>
      <c r="FC32" s="561">
        <v>0</v>
      </c>
      <c r="FD32" s="561">
        <v>-23</v>
      </c>
      <c r="FE32" s="561">
        <v>0</v>
      </c>
      <c r="FF32" s="561">
        <v>0</v>
      </c>
      <c r="FG32" s="561">
        <v>0</v>
      </c>
      <c r="FH32" s="561">
        <v>0</v>
      </c>
      <c r="FI32" s="561">
        <v>789</v>
      </c>
      <c r="FJ32" s="561">
        <v>554</v>
      </c>
      <c r="FK32" s="561">
        <v>354</v>
      </c>
      <c r="FL32" s="561">
        <v>0</v>
      </c>
      <c r="FM32" s="561">
        <v>66</v>
      </c>
      <c r="FN32" s="561">
        <v>0</v>
      </c>
      <c r="FO32" s="561">
        <v>1740</v>
      </c>
      <c r="FP32" s="561">
        <v>0</v>
      </c>
      <c r="FQ32" s="561">
        <v>10</v>
      </c>
      <c r="FR32" s="561">
        <v>0</v>
      </c>
      <c r="FS32" s="561">
        <v>0</v>
      </c>
      <c r="FT32" s="561">
        <v>147</v>
      </c>
      <c r="FU32" s="561">
        <v>0</v>
      </c>
      <c r="FV32" s="561">
        <v>-1</v>
      </c>
      <c r="FW32" s="561">
        <v>0</v>
      </c>
      <c r="FX32" s="561">
        <v>0</v>
      </c>
      <c r="FY32" s="561">
        <v>0</v>
      </c>
      <c r="FZ32" s="561">
        <v>83</v>
      </c>
      <c r="GA32" s="561">
        <v>0</v>
      </c>
      <c r="GB32" s="561">
        <v>729</v>
      </c>
      <c r="GC32" s="561">
        <v>164</v>
      </c>
      <c r="GD32" s="561">
        <v>247</v>
      </c>
      <c r="GE32" s="561">
        <v>426</v>
      </c>
      <c r="GF32" s="561">
        <v>1</v>
      </c>
      <c r="GG32" s="561">
        <v>0</v>
      </c>
      <c r="GH32" s="561">
        <v>0</v>
      </c>
      <c r="GI32" s="561">
        <v>0</v>
      </c>
      <c r="GJ32" s="561">
        <v>0</v>
      </c>
      <c r="GK32" s="561">
        <v>0</v>
      </c>
      <c r="GL32" s="561">
        <v>604</v>
      </c>
      <c r="GM32" s="561">
        <v>1331</v>
      </c>
      <c r="GN32" s="561">
        <v>3</v>
      </c>
      <c r="GO32" s="561">
        <v>32</v>
      </c>
      <c r="GP32" s="561">
        <v>893</v>
      </c>
      <c r="GQ32" s="561">
        <v>0</v>
      </c>
      <c r="GR32" s="561">
        <v>0</v>
      </c>
      <c r="GS32" s="561">
        <v>4669</v>
      </c>
      <c r="GT32" s="561">
        <v>86</v>
      </c>
      <c r="GU32" s="561">
        <v>55</v>
      </c>
      <c r="GV32" s="561">
        <v>485</v>
      </c>
      <c r="GW32" s="561">
        <v>83</v>
      </c>
      <c r="GX32" s="561">
        <v>559</v>
      </c>
      <c r="GY32" s="561">
        <v>-11</v>
      </c>
      <c r="GZ32" s="561">
        <v>1582</v>
      </c>
      <c r="HA32" s="561">
        <v>0</v>
      </c>
      <c r="HB32" s="561">
        <v>0</v>
      </c>
      <c r="HC32" s="561">
        <v>0</v>
      </c>
      <c r="HD32" s="561">
        <v>2753</v>
      </c>
      <c r="HE32" s="561">
        <v>0</v>
      </c>
      <c r="HF32" s="561">
        <v>9162</v>
      </c>
      <c r="HG32" s="561">
        <v>0</v>
      </c>
      <c r="HH32" s="561">
        <v>0</v>
      </c>
      <c r="HI32" s="561">
        <v>0</v>
      </c>
      <c r="HJ32" s="561">
        <v>0</v>
      </c>
      <c r="HK32" s="561">
        <v>0</v>
      </c>
      <c r="HL32" s="561">
        <v>0</v>
      </c>
      <c r="HM32" s="561">
        <v>0</v>
      </c>
      <c r="HN32" s="561">
        <v>0</v>
      </c>
      <c r="HO32" s="561">
        <v>1637</v>
      </c>
      <c r="HP32" s="561">
        <v>780</v>
      </c>
      <c r="HQ32" s="561">
        <v>0</v>
      </c>
      <c r="HR32" s="561">
        <v>0</v>
      </c>
      <c r="HS32" s="561">
        <v>398</v>
      </c>
      <c r="HT32" s="561">
        <v>137</v>
      </c>
      <c r="HU32" s="561">
        <v>0</v>
      </c>
      <c r="HV32" s="561">
        <v>0</v>
      </c>
      <c r="HW32" s="561">
        <v>318</v>
      </c>
      <c r="HX32" s="561">
        <v>0</v>
      </c>
      <c r="HY32" s="561">
        <v>23</v>
      </c>
      <c r="HZ32" s="561">
        <v>48</v>
      </c>
      <c r="IA32" s="561">
        <v>0</v>
      </c>
      <c r="IB32" s="561">
        <v>0</v>
      </c>
      <c r="IC32" s="561">
        <v>0</v>
      </c>
      <c r="ID32" s="561">
        <v>0</v>
      </c>
      <c r="IE32" s="561">
        <v>287</v>
      </c>
      <c r="IF32" s="561">
        <v>0</v>
      </c>
      <c r="IG32" s="561">
        <v>0</v>
      </c>
      <c r="IH32" s="561">
        <v>234</v>
      </c>
      <c r="II32" s="561">
        <v>3862</v>
      </c>
      <c r="IJ32" s="561">
        <v>82</v>
      </c>
      <c r="IK32" s="561">
        <v>20130</v>
      </c>
      <c r="IL32" s="561">
        <v>0</v>
      </c>
      <c r="IM32" s="561">
        <v>0</v>
      </c>
      <c r="IN32" s="561">
        <v>0</v>
      </c>
      <c r="IO32" s="561">
        <v>0</v>
      </c>
      <c r="IP32" s="561">
        <v>693</v>
      </c>
      <c r="IQ32" s="561">
        <v>0</v>
      </c>
      <c r="IR32" s="561">
        <v>0</v>
      </c>
      <c r="IS32" s="561">
        <v>329</v>
      </c>
      <c r="IT32" s="561">
        <v>0</v>
      </c>
      <c r="IU32" s="561">
        <v>1</v>
      </c>
      <c r="IV32" s="561">
        <v>32</v>
      </c>
      <c r="IW32" s="561">
        <v>1426</v>
      </c>
      <c r="IX32" s="561">
        <v>1740</v>
      </c>
      <c r="IY32" s="561">
        <v>4669</v>
      </c>
      <c r="IZ32" s="561">
        <v>2753</v>
      </c>
      <c r="JA32" s="561">
        <v>0</v>
      </c>
      <c r="JB32" s="561">
        <v>0</v>
      </c>
      <c r="JC32" s="561">
        <v>3862</v>
      </c>
      <c r="JD32" s="561">
        <v>693</v>
      </c>
      <c r="JE32" s="561">
        <v>15505</v>
      </c>
      <c r="JF32" s="561">
        <v>6408</v>
      </c>
      <c r="JG32" s="561">
        <v>155</v>
      </c>
      <c r="JH32" s="561">
        <v>7588</v>
      </c>
      <c r="JI32" s="561">
        <v>0</v>
      </c>
      <c r="JJ32" s="561">
        <v>0</v>
      </c>
      <c r="JK32" s="561">
        <v>4583</v>
      </c>
      <c r="JL32" s="561">
        <v>0</v>
      </c>
      <c r="JM32" s="561">
        <v>0</v>
      </c>
      <c r="JN32" s="561">
        <v>0</v>
      </c>
      <c r="JO32" s="561">
        <v>0</v>
      </c>
      <c r="JP32" s="561">
        <v>-77</v>
      </c>
      <c r="JQ32" s="561">
        <v>0</v>
      </c>
      <c r="JR32" s="561">
        <v>-25</v>
      </c>
      <c r="JS32" s="561">
        <v>0</v>
      </c>
      <c r="JT32" s="561">
        <v>-17</v>
      </c>
      <c r="JU32" s="561">
        <v>0</v>
      </c>
      <c r="JV32" s="561">
        <v>34120</v>
      </c>
      <c r="JW32" s="561">
        <v>0</v>
      </c>
      <c r="JX32" s="561">
        <v>1996</v>
      </c>
      <c r="JY32" s="561">
        <v>0</v>
      </c>
      <c r="JZ32" s="561">
        <v>0</v>
      </c>
      <c r="KA32" s="561">
        <v>0</v>
      </c>
      <c r="KB32" s="561">
        <v>-87</v>
      </c>
      <c r="KC32" s="561">
        <v>278</v>
      </c>
      <c r="KD32" s="561">
        <v>0</v>
      </c>
      <c r="KE32" s="561">
        <v>5588</v>
      </c>
      <c r="KF32" s="561">
        <v>-2767</v>
      </c>
      <c r="KG32" s="561">
        <v>39128</v>
      </c>
      <c r="KH32" s="561">
        <v>-5160</v>
      </c>
      <c r="KI32" s="561">
        <v>0</v>
      </c>
      <c r="KJ32" s="561">
        <v>0</v>
      </c>
      <c r="KK32" s="561">
        <v>0</v>
      </c>
      <c r="KL32" s="561">
        <v>-14058</v>
      </c>
      <c r="KM32" s="561">
        <v>0</v>
      </c>
      <c r="KN32" s="561">
        <v>0</v>
      </c>
      <c r="KO32" s="561">
        <v>0</v>
      </c>
      <c r="KP32" s="561">
        <v>0</v>
      </c>
      <c r="KQ32" s="561">
        <v>0</v>
      </c>
      <c r="KR32" s="561">
        <v>19910</v>
      </c>
      <c r="KS32" s="561">
        <v>0</v>
      </c>
      <c r="KT32" s="561">
        <v>-3301</v>
      </c>
      <c r="KU32" s="561">
        <v>16609</v>
      </c>
      <c r="KV32" s="561">
        <v>0</v>
      </c>
      <c r="KW32" s="561">
        <v>0</v>
      </c>
      <c r="KX32" s="561">
        <v>0</v>
      </c>
      <c r="KY32" s="561">
        <v>0</v>
      </c>
      <c r="KZ32" s="561">
        <v>1659</v>
      </c>
      <c r="LA32" s="561">
        <v>0</v>
      </c>
      <c r="LB32" s="561">
        <v>-1571</v>
      </c>
      <c r="LC32" s="561">
        <v>0</v>
      </c>
      <c r="LD32" s="561">
        <v>-7387</v>
      </c>
      <c r="LE32" s="561">
        <v>-12</v>
      </c>
      <c r="LF32" s="561">
        <v>-25</v>
      </c>
      <c r="LG32" s="561">
        <v>9275</v>
      </c>
      <c r="LH32" s="561">
        <v>0</v>
      </c>
      <c r="LI32" s="561">
        <v>0</v>
      </c>
      <c r="LJ32" s="561">
        <v>0</v>
      </c>
      <c r="LK32" s="561">
        <v>0</v>
      </c>
      <c r="LL32" s="561">
        <v>23014</v>
      </c>
      <c r="LM32" s="561">
        <v>2001</v>
      </c>
      <c r="LN32" s="561">
        <v>0</v>
      </c>
      <c r="LO32" s="561">
        <v>0</v>
      </c>
      <c r="LP32" s="561">
        <v>0</v>
      </c>
      <c r="LQ32" s="561">
        <v>0</v>
      </c>
      <c r="LR32" s="561">
        <v>24673</v>
      </c>
      <c r="LS32" s="561">
        <v>2001</v>
      </c>
      <c r="LT32" s="561">
        <v>0</v>
      </c>
      <c r="LU32" s="561">
        <v>1419</v>
      </c>
      <c r="LV32" s="561">
        <v>0</v>
      </c>
      <c r="LW32" s="561">
        <v>0</v>
      </c>
      <c r="LX32" s="561">
        <v>0</v>
      </c>
      <c r="LY32" s="561">
        <v>0</v>
      </c>
      <c r="LZ32" s="561">
        <v>1419</v>
      </c>
      <c r="MA32" s="561">
        <v>0</v>
      </c>
      <c r="MB32" s="561">
        <v>0</v>
      </c>
      <c r="MC32" s="561">
        <v>28606</v>
      </c>
      <c r="MD32" s="561">
        <v>28242</v>
      </c>
      <c r="ME32" s="561">
        <v>364</v>
      </c>
      <c r="MF32" s="561">
        <v>1643</v>
      </c>
      <c r="MG32" s="561">
        <v>2007</v>
      </c>
      <c r="MH32" s="561">
        <v>2952</v>
      </c>
      <c r="MI32" s="561">
        <v>4067</v>
      </c>
      <c r="MJ32" s="561">
        <v>7019</v>
      </c>
      <c r="MK32" s="561">
        <v>0</v>
      </c>
      <c r="ML32" s="561">
        <v>0</v>
      </c>
      <c r="MM32" s="561">
        <v>24673</v>
      </c>
      <c r="MN32" s="561">
        <v>0</v>
      </c>
      <c r="MO32" s="561">
        <v>0</v>
      </c>
      <c r="MP32" s="561">
        <v>0</v>
      </c>
      <c r="MQ32" s="561">
        <v>0</v>
      </c>
      <c r="MR32" s="561">
        <v>329</v>
      </c>
      <c r="MS32" s="561">
        <v>0</v>
      </c>
      <c r="MT32" s="561">
        <v>1</v>
      </c>
      <c r="MU32" s="561">
        <v>32</v>
      </c>
      <c r="MV32" s="561">
        <v>1426</v>
      </c>
      <c r="MW32" s="561">
        <v>1740</v>
      </c>
      <c r="MX32" s="561">
        <v>4669</v>
      </c>
      <c r="MY32" s="561">
        <v>2753</v>
      </c>
      <c r="MZ32" s="561">
        <v>0</v>
      </c>
      <c r="NA32" s="561">
        <v>0</v>
      </c>
      <c r="NB32" s="561">
        <v>3862</v>
      </c>
      <c r="NC32" s="561">
        <v>693</v>
      </c>
      <c r="ND32" s="561">
        <v>15505</v>
      </c>
      <c r="NE32" s="561">
        <v>0</v>
      </c>
      <c r="NF32" s="561">
        <v>0</v>
      </c>
      <c r="NG32" s="561">
        <v>0</v>
      </c>
      <c r="NH32" s="561">
        <v>0</v>
      </c>
      <c r="NI32" s="561">
        <v>0</v>
      </c>
      <c r="NJ32" s="561">
        <v>0</v>
      </c>
      <c r="NK32" s="561">
        <v>0</v>
      </c>
      <c r="NL32" s="561">
        <v>0</v>
      </c>
      <c r="NM32" s="561">
        <v>0</v>
      </c>
      <c r="NN32" s="561">
        <v>0</v>
      </c>
      <c r="NO32" s="561">
        <v>0</v>
      </c>
      <c r="NP32" s="561">
        <v>0</v>
      </c>
      <c r="NQ32" s="561">
        <v>0</v>
      </c>
      <c r="NR32" s="561">
        <v>0</v>
      </c>
      <c r="NS32" s="561">
        <v>0</v>
      </c>
      <c r="NT32" s="561">
        <v>-102</v>
      </c>
      <c r="NU32" s="561">
        <v>0</v>
      </c>
      <c r="NV32" s="561">
        <v>0</v>
      </c>
      <c r="NW32" s="561">
        <v>-102</v>
      </c>
      <c r="NX32" s="561">
        <v>25</v>
      </c>
      <c r="NY32" s="561">
        <v>-77</v>
      </c>
      <c r="NZ32" s="561">
        <v>0</v>
      </c>
      <c r="OA32" s="561">
        <v>0</v>
      </c>
      <c r="OB32" s="561">
        <v>0</v>
      </c>
      <c r="OC32" s="561">
        <v>0</v>
      </c>
      <c r="OD32" s="561">
        <v>0</v>
      </c>
      <c r="OE32" s="561">
        <v>0</v>
      </c>
      <c r="OF32" s="561">
        <v>0</v>
      </c>
      <c r="OG32" s="561">
        <v>0</v>
      </c>
      <c r="OH32" s="561">
        <v>0</v>
      </c>
      <c r="OI32" s="561">
        <v>0</v>
      </c>
      <c r="OJ32" s="561">
        <v>0</v>
      </c>
      <c r="OK32" s="561">
        <v>0</v>
      </c>
      <c r="OL32" s="561">
        <v>0</v>
      </c>
      <c r="OM32" s="561">
        <v>0</v>
      </c>
      <c r="ON32" s="561">
        <v>0</v>
      </c>
      <c r="OO32" s="561">
        <v>0</v>
      </c>
      <c r="OP32" s="561">
        <v>0</v>
      </c>
      <c r="OQ32" s="561">
        <v>0</v>
      </c>
      <c r="OR32" s="561">
        <v>0</v>
      </c>
      <c r="OS32" s="561">
        <v>0</v>
      </c>
      <c r="OT32" s="561">
        <v>0</v>
      </c>
      <c r="OU32" s="561">
        <v>0</v>
      </c>
      <c r="OV32" s="561">
        <v>0</v>
      </c>
      <c r="OW32" s="561">
        <v>0</v>
      </c>
      <c r="OX32" s="561">
        <v>0</v>
      </c>
      <c r="OY32" s="561">
        <v>6</v>
      </c>
      <c r="OZ32" s="561">
        <v>0</v>
      </c>
      <c r="PA32" s="561">
        <v>0</v>
      </c>
      <c r="PB32" s="561">
        <v>0</v>
      </c>
      <c r="PC32" s="561">
        <v>19</v>
      </c>
      <c r="PD32" s="561">
        <v>25</v>
      </c>
      <c r="PE32" s="561">
        <v>0</v>
      </c>
      <c r="PF32" s="561">
        <v>0</v>
      </c>
      <c r="PG32" s="561">
        <v>0</v>
      </c>
      <c r="PH32" s="561">
        <v>0</v>
      </c>
      <c r="PI32" s="561">
        <v>0</v>
      </c>
      <c r="PJ32" s="561">
        <v>0</v>
      </c>
    </row>
    <row r="33" spans="1:426" ht="14" x14ac:dyDescent="0.3">
      <c r="A33" t="s">
        <v>2525</v>
      </c>
      <c r="B33" t="s">
        <v>2526</v>
      </c>
      <c r="C33" t="s">
        <v>2527</v>
      </c>
      <c r="E33" t="s">
        <v>379</v>
      </c>
      <c r="F33" s="561">
        <v>37986</v>
      </c>
      <c r="G33" s="561">
        <v>136804</v>
      </c>
      <c r="H33" s="561">
        <v>58243</v>
      </c>
      <c r="I33" s="561">
        <v>37541</v>
      </c>
      <c r="J33" s="561">
        <v>7354</v>
      </c>
      <c r="K33" s="561">
        <v>13451</v>
      </c>
      <c r="L33" s="561">
        <v>291379</v>
      </c>
      <c r="M33" s="561">
        <v>4283</v>
      </c>
      <c r="N33" s="561">
        <v>814</v>
      </c>
      <c r="O33" s="561">
        <v>0</v>
      </c>
      <c r="P33" s="561">
        <v>665</v>
      </c>
      <c r="Q33" s="561">
        <v>78</v>
      </c>
      <c r="R33" s="561">
        <v>-682</v>
      </c>
      <c r="S33" s="561">
        <v>694</v>
      </c>
      <c r="T33" s="561">
        <v>694</v>
      </c>
      <c r="U33" s="561">
        <v>811</v>
      </c>
      <c r="V33" s="561">
        <v>3361</v>
      </c>
      <c r="W33" s="561">
        <v>0</v>
      </c>
      <c r="X33" s="561">
        <v>15</v>
      </c>
      <c r="Y33" s="561">
        <v>-32</v>
      </c>
      <c r="Z33" s="561">
        <v>24</v>
      </c>
      <c r="AA33" s="561">
        <v>-136</v>
      </c>
      <c r="AB33" s="561">
        <v>-225</v>
      </c>
      <c r="AC33" s="561">
        <v>0</v>
      </c>
      <c r="AD33" s="561">
        <v>0</v>
      </c>
      <c r="AE33" s="561">
        <v>0</v>
      </c>
      <c r="AF33" s="561">
        <v>0</v>
      </c>
      <c r="AG33" s="561">
        <v>0</v>
      </c>
      <c r="AH33" s="561">
        <v>0</v>
      </c>
      <c r="AI33" s="561">
        <v>0</v>
      </c>
      <c r="AJ33" s="561">
        <v>6081</v>
      </c>
      <c r="AK33" s="561">
        <v>189</v>
      </c>
      <c r="AL33" s="561">
        <v>0</v>
      </c>
      <c r="AM33" s="561">
        <v>0</v>
      </c>
      <c r="AN33" s="561">
        <v>0</v>
      </c>
      <c r="AO33" s="561">
        <v>0</v>
      </c>
      <c r="AP33" s="561">
        <v>0</v>
      </c>
      <c r="AQ33" s="561">
        <v>0</v>
      </c>
      <c r="AR33" s="561">
        <v>0</v>
      </c>
      <c r="AS33" s="561">
        <v>1038</v>
      </c>
      <c r="AT33" s="561">
        <v>210</v>
      </c>
      <c r="AU33" s="561">
        <v>0</v>
      </c>
      <c r="AV33" s="561">
        <v>0</v>
      </c>
      <c r="AW33" s="561">
        <v>0</v>
      </c>
      <c r="AX33" s="561">
        <v>3930</v>
      </c>
      <c r="AY33" s="561">
        <v>64118</v>
      </c>
      <c r="AZ33" s="561">
        <v>18</v>
      </c>
      <c r="BA33" s="561">
        <v>9955</v>
      </c>
      <c r="BB33" s="561">
        <v>1305</v>
      </c>
      <c r="BC33" s="561">
        <v>11820</v>
      </c>
      <c r="BD33" s="561">
        <v>0</v>
      </c>
      <c r="BE33" s="561">
        <v>1354</v>
      </c>
      <c r="BF33" s="561">
        <v>92500</v>
      </c>
      <c r="BG33" s="561">
        <v>0</v>
      </c>
      <c r="BH33" s="561">
        <v>8086</v>
      </c>
      <c r="BI33" s="561">
        <v>28658</v>
      </c>
      <c r="BJ33" s="561">
        <v>384</v>
      </c>
      <c r="BK33" s="561">
        <v>395</v>
      </c>
      <c r="BL33" s="561">
        <v>475</v>
      </c>
      <c r="BM33" s="561">
        <v>6203</v>
      </c>
      <c r="BN33" s="561">
        <v>31838</v>
      </c>
      <c r="BO33" s="561">
        <v>3471</v>
      </c>
      <c r="BP33" s="561">
        <v>10110</v>
      </c>
      <c r="BQ33" s="561">
        <v>6494</v>
      </c>
      <c r="BR33" s="561">
        <v>399</v>
      </c>
      <c r="BS33" s="561">
        <v>0</v>
      </c>
      <c r="BT33" s="561">
        <v>3393</v>
      </c>
      <c r="BU33" s="561">
        <v>743</v>
      </c>
      <c r="BV33" s="561">
        <v>843</v>
      </c>
      <c r="BW33" s="561">
        <v>13570</v>
      </c>
      <c r="BX33" s="561">
        <v>79</v>
      </c>
      <c r="BY33" s="561">
        <v>9258</v>
      </c>
      <c r="BZ33" s="561">
        <v>124399</v>
      </c>
      <c r="CA33" s="561">
        <v>2372</v>
      </c>
      <c r="CB33" s="561">
        <v>1475.33</v>
      </c>
      <c r="CC33" s="561">
        <v>506.3</v>
      </c>
      <c r="CD33" s="561">
        <v>245.87</v>
      </c>
      <c r="CE33" s="561">
        <v>220.47</v>
      </c>
      <c r="CF33" s="561">
        <v>378.31</v>
      </c>
      <c r="CG33" s="561">
        <v>546.94000000000005</v>
      </c>
      <c r="CH33" s="561">
        <v>36.979999999999997</v>
      </c>
      <c r="CI33" s="561">
        <v>315.11</v>
      </c>
      <c r="CJ33" s="561">
        <v>930.63</v>
      </c>
      <c r="CK33" s="561">
        <v>76.36</v>
      </c>
      <c r="CL33" s="561">
        <v>101.4</v>
      </c>
      <c r="CM33" s="561">
        <v>3922.73</v>
      </c>
      <c r="CN33" s="561">
        <v>1060.53</v>
      </c>
      <c r="CO33" s="561">
        <v>825.71</v>
      </c>
      <c r="CP33" s="561">
        <v>428.19</v>
      </c>
      <c r="CQ33" s="561">
        <v>548.49</v>
      </c>
      <c r="CR33" s="561">
        <v>1061.08</v>
      </c>
      <c r="CS33" s="561">
        <v>2.73</v>
      </c>
      <c r="CT33" s="561">
        <v>2627.5</v>
      </c>
      <c r="CU33" s="561">
        <v>5354.93</v>
      </c>
      <c r="CV33" s="561">
        <v>101.16</v>
      </c>
      <c r="CW33" s="561">
        <v>2.73</v>
      </c>
      <c r="CX33" s="561">
        <v>188.08</v>
      </c>
      <c r="CY33" s="561">
        <v>786.57</v>
      </c>
      <c r="CZ33" s="561">
        <v>21744.13</v>
      </c>
      <c r="DA33" s="561">
        <v>191</v>
      </c>
      <c r="DB33" s="561">
        <v>60</v>
      </c>
      <c r="DC33" s="561">
        <v>0</v>
      </c>
      <c r="DD33" s="561">
        <v>97</v>
      </c>
      <c r="DE33" s="561">
        <v>0</v>
      </c>
      <c r="DF33" s="561">
        <v>0</v>
      </c>
      <c r="DG33" s="561">
        <v>0</v>
      </c>
      <c r="DH33" s="561">
        <v>562.23</v>
      </c>
      <c r="DI33" s="561">
        <v>0</v>
      </c>
      <c r="DJ33" s="561">
        <v>0</v>
      </c>
      <c r="DK33" s="561">
        <v>0</v>
      </c>
      <c r="DL33" s="561">
        <v>42</v>
      </c>
      <c r="DM33" s="561">
        <v>549</v>
      </c>
      <c r="DN33" s="561">
        <v>385</v>
      </c>
      <c r="DO33" s="561">
        <v>1310</v>
      </c>
      <c r="DP33" s="561">
        <v>-961</v>
      </c>
      <c r="DQ33" s="561">
        <v>194</v>
      </c>
      <c r="DR33" s="561">
        <v>226</v>
      </c>
      <c r="DS33" s="561">
        <v>3164</v>
      </c>
      <c r="DT33" s="561">
        <v>417</v>
      </c>
      <c r="DU33" s="561">
        <v>5326</v>
      </c>
      <c r="DV33" s="561">
        <v>418</v>
      </c>
      <c r="DW33" s="561">
        <v>0</v>
      </c>
      <c r="DX33" s="561">
        <v>0</v>
      </c>
      <c r="DY33" s="561">
        <v>1150</v>
      </c>
      <c r="DZ33" s="561">
        <v>498.5</v>
      </c>
      <c r="EA33" s="561">
        <v>1411</v>
      </c>
      <c r="EB33" s="561">
        <v>411</v>
      </c>
      <c r="EC33" s="561">
        <v>9776.73</v>
      </c>
      <c r="ED33" s="561">
        <v>128</v>
      </c>
      <c r="EE33" s="561">
        <v>0</v>
      </c>
      <c r="EF33" s="561">
        <v>0</v>
      </c>
      <c r="EG33" s="561">
        <v>0</v>
      </c>
      <c r="EH33" s="561">
        <v>0</v>
      </c>
      <c r="EI33" s="561">
        <v>0</v>
      </c>
      <c r="EJ33" s="561">
        <v>0</v>
      </c>
      <c r="EK33" s="561">
        <v>0</v>
      </c>
      <c r="EL33" s="561">
        <v>0</v>
      </c>
      <c r="EM33" s="561">
        <v>0</v>
      </c>
      <c r="EN33" s="561">
        <v>0</v>
      </c>
      <c r="EO33" s="561">
        <v>0</v>
      </c>
      <c r="EP33" s="561">
        <v>0</v>
      </c>
      <c r="EQ33" s="561">
        <v>0</v>
      </c>
      <c r="ER33" s="561">
        <v>0</v>
      </c>
      <c r="ES33" s="561" t="s">
        <v>4565</v>
      </c>
      <c r="ET33" s="561">
        <v>0</v>
      </c>
      <c r="EU33" s="561">
        <v>0</v>
      </c>
      <c r="EV33" s="561">
        <v>0</v>
      </c>
      <c r="EW33" s="561">
        <v>0</v>
      </c>
      <c r="EX33" s="561">
        <v>0</v>
      </c>
      <c r="EY33" s="561">
        <v>0</v>
      </c>
      <c r="EZ33" s="561">
        <v>0</v>
      </c>
      <c r="FA33" s="561">
        <v>0</v>
      </c>
      <c r="FB33" s="561">
        <v>18</v>
      </c>
      <c r="FC33" s="561">
        <v>0</v>
      </c>
      <c r="FD33" s="561">
        <v>0</v>
      </c>
      <c r="FE33" s="561">
        <v>1809</v>
      </c>
      <c r="FF33" s="561">
        <v>203</v>
      </c>
      <c r="FG33" s="561">
        <v>54</v>
      </c>
      <c r="FH33" s="561">
        <v>0</v>
      </c>
      <c r="FI33" s="561">
        <v>0</v>
      </c>
      <c r="FJ33" s="561">
        <v>2155</v>
      </c>
      <c r="FK33" s="561">
        <v>2806</v>
      </c>
      <c r="FL33" s="561">
        <v>1</v>
      </c>
      <c r="FM33" s="561">
        <v>0</v>
      </c>
      <c r="FN33" s="561">
        <v>3836</v>
      </c>
      <c r="FO33" s="561">
        <v>10882</v>
      </c>
      <c r="FP33" s="561">
        <v>379</v>
      </c>
      <c r="FQ33" s="561">
        <v>-155</v>
      </c>
      <c r="FR33" s="561">
        <v>277</v>
      </c>
      <c r="FS33" s="561">
        <v>0</v>
      </c>
      <c r="FT33" s="561">
        <v>555</v>
      </c>
      <c r="FU33" s="561">
        <v>794</v>
      </c>
      <c r="FV33" s="561">
        <v>656</v>
      </c>
      <c r="FW33" s="561">
        <v>59</v>
      </c>
      <c r="FX33" s="561">
        <v>0</v>
      </c>
      <c r="FY33" s="561">
        <v>0</v>
      </c>
      <c r="FZ33" s="561">
        <v>114</v>
      </c>
      <c r="GA33" s="561">
        <v>0</v>
      </c>
      <c r="GB33" s="561">
        <v>0</v>
      </c>
      <c r="GC33" s="561">
        <v>-30</v>
      </c>
      <c r="GD33" s="561">
        <v>2118</v>
      </c>
      <c r="GE33" s="561">
        <v>0</v>
      </c>
      <c r="GF33" s="561">
        <v>1</v>
      </c>
      <c r="GG33" s="561">
        <v>0</v>
      </c>
      <c r="GH33" s="561">
        <v>0</v>
      </c>
      <c r="GI33" s="561">
        <v>0</v>
      </c>
      <c r="GJ33" s="561">
        <v>0</v>
      </c>
      <c r="GK33" s="561">
        <v>0</v>
      </c>
      <c r="GL33" s="561">
        <v>2942</v>
      </c>
      <c r="GM33" s="561">
        <v>10512</v>
      </c>
      <c r="GN33" s="561">
        <v>0</v>
      </c>
      <c r="GO33" s="561">
        <v>-134</v>
      </c>
      <c r="GP33" s="561">
        <v>0</v>
      </c>
      <c r="GQ33" s="561">
        <v>0</v>
      </c>
      <c r="GR33" s="561">
        <v>0</v>
      </c>
      <c r="GS33" s="561">
        <v>17709</v>
      </c>
      <c r="GT33" s="561">
        <v>1326</v>
      </c>
      <c r="GU33" s="561">
        <v>132</v>
      </c>
      <c r="GV33" s="561">
        <v>1156</v>
      </c>
      <c r="GW33" s="561">
        <v>0</v>
      </c>
      <c r="GX33" s="561">
        <v>318</v>
      </c>
      <c r="GY33" s="561">
        <v>0</v>
      </c>
      <c r="GZ33" s="561">
        <v>3481</v>
      </c>
      <c r="HA33" s="561">
        <v>0</v>
      </c>
      <c r="HB33" s="561">
        <v>-637</v>
      </c>
      <c r="HC33" s="561">
        <v>1624</v>
      </c>
      <c r="HD33" s="561">
        <v>6074</v>
      </c>
      <c r="HE33" s="561">
        <v>832</v>
      </c>
      <c r="HF33" s="561">
        <v>34665</v>
      </c>
      <c r="HG33" s="561">
        <v>0</v>
      </c>
      <c r="HH33" s="561">
        <v>0</v>
      </c>
      <c r="HI33" s="561">
        <v>0</v>
      </c>
      <c r="HJ33" s="561">
        <v>0</v>
      </c>
      <c r="HK33" s="561">
        <v>0</v>
      </c>
      <c r="HL33" s="561">
        <v>0</v>
      </c>
      <c r="HM33" s="561">
        <v>0</v>
      </c>
      <c r="HN33" s="561">
        <v>0</v>
      </c>
      <c r="HO33" s="561">
        <v>4461</v>
      </c>
      <c r="HP33" s="561">
        <v>1982</v>
      </c>
      <c r="HQ33" s="561">
        <v>0</v>
      </c>
      <c r="HR33" s="561">
        <v>0</v>
      </c>
      <c r="HS33" s="561">
        <v>0</v>
      </c>
      <c r="HT33" s="561">
        <v>-82</v>
      </c>
      <c r="HU33" s="561">
        <v>0</v>
      </c>
      <c r="HV33" s="561">
        <v>-50</v>
      </c>
      <c r="HW33" s="561">
        <v>1022</v>
      </c>
      <c r="HX33" s="561">
        <v>1022</v>
      </c>
      <c r="HY33" s="561">
        <v>336</v>
      </c>
      <c r="HZ33" s="561">
        <v>-69</v>
      </c>
      <c r="IA33" s="561">
        <v>5866</v>
      </c>
      <c r="IB33" s="561">
        <v>1178</v>
      </c>
      <c r="IC33" s="561">
        <v>926</v>
      </c>
      <c r="ID33" s="561">
        <v>0</v>
      </c>
      <c r="IE33" s="561">
        <v>1151</v>
      </c>
      <c r="IF33" s="561">
        <v>0</v>
      </c>
      <c r="IG33" s="561">
        <v>0</v>
      </c>
      <c r="IH33" s="561">
        <v>14710</v>
      </c>
      <c r="II33" s="561">
        <v>32453</v>
      </c>
      <c r="IJ33" s="561">
        <v>2348</v>
      </c>
      <c r="IK33" s="561">
        <v>8499</v>
      </c>
      <c r="IL33" s="561">
        <v>20649</v>
      </c>
      <c r="IM33" s="561">
        <v>0</v>
      </c>
      <c r="IN33" s="561">
        <v>96</v>
      </c>
      <c r="IO33" s="561">
        <v>433</v>
      </c>
      <c r="IP33" s="561">
        <v>-7974</v>
      </c>
      <c r="IQ33" s="561">
        <v>0</v>
      </c>
      <c r="IR33" s="561">
        <v>291379</v>
      </c>
      <c r="IS33" s="561">
        <v>6081</v>
      </c>
      <c r="IT33" s="561">
        <v>92500</v>
      </c>
      <c r="IU33" s="561">
        <v>124399</v>
      </c>
      <c r="IV33" s="561">
        <v>21744.13</v>
      </c>
      <c r="IW33" s="561">
        <v>9776.73</v>
      </c>
      <c r="IX33" s="561">
        <v>10882</v>
      </c>
      <c r="IY33" s="561">
        <v>17709</v>
      </c>
      <c r="IZ33" s="561">
        <v>6074</v>
      </c>
      <c r="JA33" s="561">
        <v>0</v>
      </c>
      <c r="JB33" s="561">
        <v>0</v>
      </c>
      <c r="JC33" s="561">
        <v>32453</v>
      </c>
      <c r="JD33" s="561">
        <v>-7974</v>
      </c>
      <c r="JE33" s="561">
        <v>605023.86</v>
      </c>
      <c r="JF33" s="561">
        <v>63809</v>
      </c>
      <c r="JG33" s="561">
        <v>3059</v>
      </c>
      <c r="JH33" s="561">
        <v>0</v>
      </c>
      <c r="JI33" s="561">
        <v>0</v>
      </c>
      <c r="JJ33" s="561">
        <v>0</v>
      </c>
      <c r="JK33" s="561">
        <v>510</v>
      </c>
      <c r="JL33" s="561">
        <v>21164</v>
      </c>
      <c r="JM33" s="561">
        <v>18902</v>
      </c>
      <c r="JN33" s="561">
        <v>0</v>
      </c>
      <c r="JO33" s="561">
        <v>3215</v>
      </c>
      <c r="JP33" s="561">
        <v>-659</v>
      </c>
      <c r="JQ33" s="561">
        <v>1214</v>
      </c>
      <c r="JR33" s="561">
        <v>1373</v>
      </c>
      <c r="JS33" s="561">
        <v>-811</v>
      </c>
      <c r="JT33" s="561">
        <v>-560.5</v>
      </c>
      <c r="JU33" s="561">
        <v>0</v>
      </c>
      <c r="JV33" s="561">
        <v>716239.35999999999</v>
      </c>
      <c r="JW33" s="561">
        <v>160</v>
      </c>
      <c r="JX33" s="561">
        <v>4707</v>
      </c>
      <c r="JY33" s="561">
        <v>0</v>
      </c>
      <c r="JZ33" s="561">
        <v>-3761</v>
      </c>
      <c r="KA33" s="561">
        <v>0</v>
      </c>
      <c r="KB33" s="561">
        <v>3467.9</v>
      </c>
      <c r="KC33" s="561">
        <v>9928</v>
      </c>
      <c r="KD33" s="561">
        <v>211</v>
      </c>
      <c r="KE33" s="561">
        <v>6973.7</v>
      </c>
      <c r="KF33" s="561">
        <v>0</v>
      </c>
      <c r="KG33" s="561">
        <v>737925.96</v>
      </c>
      <c r="KH33" s="561">
        <v>-15342</v>
      </c>
      <c r="KI33" s="561">
        <v>0</v>
      </c>
      <c r="KJ33" s="561">
        <v>303</v>
      </c>
      <c r="KK33" s="561">
        <v>0</v>
      </c>
      <c r="KL33" s="561">
        <v>-74200.81</v>
      </c>
      <c r="KM33" s="561">
        <v>0</v>
      </c>
      <c r="KN33" s="561">
        <v>0</v>
      </c>
      <c r="KO33" s="561">
        <v>0</v>
      </c>
      <c r="KP33" s="561">
        <v>0</v>
      </c>
      <c r="KQ33" s="561">
        <v>-1434</v>
      </c>
      <c r="KR33" s="561">
        <v>647252.15</v>
      </c>
      <c r="KS33" s="561">
        <v>0</v>
      </c>
      <c r="KT33" s="561">
        <v>-353133</v>
      </c>
      <c r="KU33" s="561">
        <v>294119.15000000002</v>
      </c>
      <c r="KV33" s="561">
        <v>0</v>
      </c>
      <c r="KW33" s="561">
        <v>2490</v>
      </c>
      <c r="KX33" s="561">
        <v>0</v>
      </c>
      <c r="KY33" s="561">
        <v>0</v>
      </c>
      <c r="KZ33" s="561">
        <v>1388</v>
      </c>
      <c r="LA33" s="561">
        <v>3500</v>
      </c>
      <c r="LB33" s="561">
        <v>0</v>
      </c>
      <c r="LC33" s="561">
        <v>0</v>
      </c>
      <c r="LD33" s="561">
        <v>-158402</v>
      </c>
      <c r="LE33" s="561">
        <v>-835</v>
      </c>
      <c r="LF33" s="561">
        <v>0</v>
      </c>
      <c r="LG33" s="561">
        <v>142260</v>
      </c>
      <c r="LH33" s="561">
        <v>19051</v>
      </c>
      <c r="LI33" s="561">
        <v>-13698</v>
      </c>
      <c r="LJ33" s="561">
        <v>0</v>
      </c>
      <c r="LK33" s="561">
        <v>0</v>
      </c>
      <c r="LL33" s="561">
        <v>147678</v>
      </c>
      <c r="LM33" s="561">
        <v>10660</v>
      </c>
      <c r="LN33" s="561">
        <v>21541</v>
      </c>
      <c r="LO33" s="561">
        <v>-15132</v>
      </c>
      <c r="LP33" s="561">
        <v>0</v>
      </c>
      <c r="LQ33" s="561">
        <v>0</v>
      </c>
      <c r="LR33" s="561">
        <v>149066</v>
      </c>
      <c r="LS33" s="561">
        <v>14160</v>
      </c>
      <c r="LT33" s="561">
        <v>0</v>
      </c>
      <c r="LU33" s="561">
        <v>28964.3</v>
      </c>
      <c r="LV33" s="561">
        <v>0</v>
      </c>
      <c r="LW33" s="561">
        <v>14289.4</v>
      </c>
      <c r="LX33" s="561">
        <v>-17938</v>
      </c>
      <c r="LY33" s="561">
        <v>13165</v>
      </c>
      <c r="LZ33" s="561">
        <v>37378.699999999997</v>
      </c>
      <c r="MA33" s="561">
        <v>0</v>
      </c>
      <c r="MB33" s="561">
        <v>0</v>
      </c>
      <c r="MC33" s="561">
        <v>0</v>
      </c>
      <c r="MD33" s="561">
        <v>0</v>
      </c>
      <c r="ME33" s="561">
        <v>0</v>
      </c>
      <c r="MF33" s="561">
        <v>0</v>
      </c>
      <c r="MG33" s="561">
        <v>0</v>
      </c>
      <c r="MH33" s="561">
        <v>8936</v>
      </c>
      <c r="MI33" s="561">
        <v>13329</v>
      </c>
      <c r="MJ33" s="561">
        <v>22265</v>
      </c>
      <c r="MK33" s="561">
        <v>0</v>
      </c>
      <c r="ML33" s="561">
        <v>42807</v>
      </c>
      <c r="MM33" s="561">
        <v>82982</v>
      </c>
      <c r="MN33" s="561">
        <v>20830</v>
      </c>
      <c r="MO33" s="561">
        <v>2447</v>
      </c>
      <c r="MP33" s="561">
        <v>0</v>
      </c>
      <c r="MQ33" s="561">
        <v>291379</v>
      </c>
      <c r="MR33" s="561">
        <v>6081</v>
      </c>
      <c r="MS33" s="561">
        <v>92500</v>
      </c>
      <c r="MT33" s="561">
        <v>124399</v>
      </c>
      <c r="MU33" s="561">
        <v>21744.13</v>
      </c>
      <c r="MV33" s="561">
        <v>9776.73</v>
      </c>
      <c r="MW33" s="561">
        <v>10882</v>
      </c>
      <c r="MX33" s="561">
        <v>17709</v>
      </c>
      <c r="MY33" s="561">
        <v>6074</v>
      </c>
      <c r="MZ33" s="561">
        <v>0</v>
      </c>
      <c r="NA33" s="561">
        <v>0</v>
      </c>
      <c r="NB33" s="561">
        <v>32453</v>
      </c>
      <c r="NC33" s="561">
        <v>-7974</v>
      </c>
      <c r="ND33" s="561">
        <v>605023.86</v>
      </c>
      <c r="NE33" s="561">
        <v>0</v>
      </c>
      <c r="NF33" s="561">
        <v>0</v>
      </c>
      <c r="NG33" s="561">
        <v>0</v>
      </c>
      <c r="NH33" s="561">
        <v>0</v>
      </c>
      <c r="NI33" s="561">
        <v>0</v>
      </c>
      <c r="NJ33" s="561">
        <v>0</v>
      </c>
      <c r="NK33" s="561">
        <v>0</v>
      </c>
      <c r="NL33" s="561">
        <v>0</v>
      </c>
      <c r="NM33" s="561">
        <v>0</v>
      </c>
      <c r="NN33" s="561">
        <v>0</v>
      </c>
      <c r="NO33" s="561">
        <v>0</v>
      </c>
      <c r="NP33" s="561">
        <v>0</v>
      </c>
      <c r="NQ33" s="561">
        <v>0</v>
      </c>
      <c r="NR33" s="561">
        <v>310</v>
      </c>
      <c r="NS33" s="561">
        <v>0</v>
      </c>
      <c r="NT33" s="561">
        <v>0</v>
      </c>
      <c r="NU33" s="561">
        <v>0</v>
      </c>
      <c r="NV33" s="561">
        <v>404</v>
      </c>
      <c r="NW33" s="561">
        <v>714</v>
      </c>
      <c r="NX33" s="561">
        <v>-1373</v>
      </c>
      <c r="NY33" s="561">
        <v>-659</v>
      </c>
      <c r="NZ33" s="561">
        <v>0</v>
      </c>
      <c r="OA33" s="561">
        <v>0</v>
      </c>
      <c r="OB33" s="561">
        <v>0</v>
      </c>
      <c r="OC33" s="561">
        <v>0</v>
      </c>
      <c r="OD33" s="561">
        <v>0</v>
      </c>
      <c r="OE33" s="561">
        <v>0</v>
      </c>
      <c r="OF33" s="561">
        <v>0</v>
      </c>
      <c r="OG33" s="561">
        <v>0</v>
      </c>
      <c r="OH33" s="561">
        <v>0</v>
      </c>
      <c r="OI33" s="561">
        <v>0</v>
      </c>
      <c r="OJ33" s="561">
        <v>747</v>
      </c>
      <c r="OK33" s="561">
        <v>0</v>
      </c>
      <c r="OL33" s="561">
        <v>0</v>
      </c>
      <c r="OM33" s="561">
        <v>0</v>
      </c>
      <c r="ON33" s="561">
        <v>-1576</v>
      </c>
      <c r="OO33" s="561">
        <v>0</v>
      </c>
      <c r="OP33" s="561">
        <v>983</v>
      </c>
      <c r="OQ33" s="561">
        <v>249</v>
      </c>
      <c r="OR33" s="561">
        <v>0</v>
      </c>
      <c r="OS33" s="561">
        <v>0</v>
      </c>
      <c r="OT33" s="561">
        <v>0</v>
      </c>
      <c r="OU33" s="561">
        <v>0</v>
      </c>
      <c r="OV33" s="561">
        <v>229</v>
      </c>
      <c r="OW33" s="561">
        <v>811</v>
      </c>
      <c r="OX33" s="561">
        <v>1214</v>
      </c>
      <c r="OY33" s="561">
        <v>267</v>
      </c>
      <c r="OZ33" s="561">
        <v>0</v>
      </c>
      <c r="PA33" s="561">
        <v>-1640</v>
      </c>
      <c r="PB33" s="561">
        <v>0</v>
      </c>
      <c r="PC33" s="561">
        <v>0</v>
      </c>
      <c r="PD33" s="561">
        <v>-1373</v>
      </c>
      <c r="PE33" s="561">
        <v>811</v>
      </c>
      <c r="PF33" s="561">
        <v>0</v>
      </c>
      <c r="PG33" s="561">
        <v>0</v>
      </c>
      <c r="PH33" s="561">
        <v>0</v>
      </c>
      <c r="PI33" s="561">
        <v>0</v>
      </c>
      <c r="PJ33" s="561">
        <v>811</v>
      </c>
    </row>
    <row r="34" spans="1:426" ht="14" x14ac:dyDescent="0.3">
      <c r="A34" t="s">
        <v>2528</v>
      </c>
      <c r="B34" t="s">
        <v>2529</v>
      </c>
      <c r="C34" t="s">
        <v>4573</v>
      </c>
      <c r="E34" t="s">
        <v>384</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24</v>
      </c>
      <c r="W34" s="561">
        <v>0</v>
      </c>
      <c r="X34" s="561">
        <v>0</v>
      </c>
      <c r="Y34" s="561">
        <v>0</v>
      </c>
      <c r="Z34" s="561">
        <v>0</v>
      </c>
      <c r="AA34" s="561">
        <v>-90</v>
      </c>
      <c r="AB34" s="561">
        <v>-379</v>
      </c>
      <c r="AC34" s="561">
        <v>0</v>
      </c>
      <c r="AD34" s="561">
        <v>0</v>
      </c>
      <c r="AE34" s="561">
        <v>23</v>
      </c>
      <c r="AF34" s="561">
        <v>0</v>
      </c>
      <c r="AG34" s="561">
        <v>0</v>
      </c>
      <c r="AH34" s="561">
        <v>0</v>
      </c>
      <c r="AI34" s="561">
        <v>0</v>
      </c>
      <c r="AJ34" s="561">
        <v>-422</v>
      </c>
      <c r="AK34" s="561">
        <v>0</v>
      </c>
      <c r="AL34" s="561">
        <v>0</v>
      </c>
      <c r="AM34" s="561">
        <v>0</v>
      </c>
      <c r="AN34" s="561">
        <v>0</v>
      </c>
      <c r="AO34" s="561">
        <v>0</v>
      </c>
      <c r="AP34" s="561">
        <v>0</v>
      </c>
      <c r="AQ34" s="561">
        <v>0</v>
      </c>
      <c r="AR34" s="561">
        <v>0</v>
      </c>
      <c r="AS34" s="561">
        <v>8</v>
      </c>
      <c r="AT34" s="561">
        <v>174</v>
      </c>
      <c r="AU34" s="561">
        <v>0</v>
      </c>
      <c r="AV34" s="561">
        <v>0</v>
      </c>
      <c r="AW34" s="561">
        <v>0</v>
      </c>
      <c r="AX34" s="561">
        <v>0</v>
      </c>
      <c r="AY34" s="561">
        <v>0</v>
      </c>
      <c r="AZ34" s="561">
        <v>0</v>
      </c>
      <c r="BA34" s="561">
        <v>0</v>
      </c>
      <c r="BB34" s="561">
        <v>0</v>
      </c>
      <c r="BC34" s="561">
        <v>0</v>
      </c>
      <c r="BD34" s="561">
        <v>0</v>
      </c>
      <c r="BE34" s="561">
        <v>0</v>
      </c>
      <c r="BF34" s="561">
        <v>0</v>
      </c>
      <c r="BG34" s="561">
        <v>0</v>
      </c>
      <c r="BH34" s="561">
        <v>0</v>
      </c>
      <c r="BI34" s="561">
        <v>0</v>
      </c>
      <c r="BJ34" s="561">
        <v>0</v>
      </c>
      <c r="BK34" s="561">
        <v>0</v>
      </c>
      <c r="BL34" s="561">
        <v>0</v>
      </c>
      <c r="BM34" s="561">
        <v>0</v>
      </c>
      <c r="BN34" s="561">
        <v>0</v>
      </c>
      <c r="BO34" s="561">
        <v>0</v>
      </c>
      <c r="BP34" s="561">
        <v>0</v>
      </c>
      <c r="BQ34" s="561">
        <v>0</v>
      </c>
      <c r="BR34" s="561">
        <v>0</v>
      </c>
      <c r="BS34" s="561">
        <v>0</v>
      </c>
      <c r="BT34" s="561">
        <v>0</v>
      </c>
      <c r="BU34" s="561">
        <v>0</v>
      </c>
      <c r="BV34" s="561">
        <v>0</v>
      </c>
      <c r="BW34" s="561">
        <v>0</v>
      </c>
      <c r="BX34" s="561">
        <v>0</v>
      </c>
      <c r="BY34" s="561">
        <v>0</v>
      </c>
      <c r="BZ34" s="561">
        <v>0</v>
      </c>
      <c r="CA34" s="561">
        <v>0</v>
      </c>
      <c r="CB34" s="561">
        <v>0</v>
      </c>
      <c r="CC34" s="561">
        <v>0</v>
      </c>
      <c r="CD34" s="561">
        <v>0</v>
      </c>
      <c r="CE34" s="561">
        <v>0</v>
      </c>
      <c r="CF34" s="561">
        <v>0</v>
      </c>
      <c r="CG34" s="561">
        <v>0</v>
      </c>
      <c r="CH34" s="561">
        <v>0</v>
      </c>
      <c r="CI34" s="561">
        <v>0</v>
      </c>
      <c r="CJ34" s="561">
        <v>0</v>
      </c>
      <c r="CK34" s="561">
        <v>0</v>
      </c>
      <c r="CL34" s="561">
        <v>0</v>
      </c>
      <c r="CM34" s="561">
        <v>0</v>
      </c>
      <c r="CN34" s="561">
        <v>0</v>
      </c>
      <c r="CO34" s="561">
        <v>0</v>
      </c>
      <c r="CP34" s="561">
        <v>0</v>
      </c>
      <c r="CQ34" s="561">
        <v>0</v>
      </c>
      <c r="CR34" s="561">
        <v>0</v>
      </c>
      <c r="CS34" s="561">
        <v>0</v>
      </c>
      <c r="CT34" s="561">
        <v>0</v>
      </c>
      <c r="CU34" s="561">
        <v>0</v>
      </c>
      <c r="CV34" s="561">
        <v>0</v>
      </c>
      <c r="CW34" s="561">
        <v>0</v>
      </c>
      <c r="CX34" s="561">
        <v>0</v>
      </c>
      <c r="CY34" s="561">
        <v>176</v>
      </c>
      <c r="CZ34" s="561">
        <v>176</v>
      </c>
      <c r="DA34" s="561">
        <v>0</v>
      </c>
      <c r="DB34" s="561">
        <v>0</v>
      </c>
      <c r="DC34" s="561">
        <v>0</v>
      </c>
      <c r="DD34" s="561">
        <v>0</v>
      </c>
      <c r="DE34" s="561">
        <v>0</v>
      </c>
      <c r="DF34" s="561">
        <v>0</v>
      </c>
      <c r="DG34" s="561">
        <v>0</v>
      </c>
      <c r="DH34" s="561">
        <v>324</v>
      </c>
      <c r="DI34" s="561">
        <v>0</v>
      </c>
      <c r="DJ34" s="561">
        <v>43</v>
      </c>
      <c r="DK34" s="561">
        <v>58</v>
      </c>
      <c r="DL34" s="561">
        <v>0</v>
      </c>
      <c r="DM34" s="561">
        <v>0</v>
      </c>
      <c r="DN34" s="561">
        <v>0</v>
      </c>
      <c r="DO34" s="561">
        <v>50</v>
      </c>
      <c r="DP34" s="561">
        <v>-54</v>
      </c>
      <c r="DQ34" s="561">
        <v>105</v>
      </c>
      <c r="DR34" s="561">
        <v>0</v>
      </c>
      <c r="DS34" s="561">
        <v>707</v>
      </c>
      <c r="DT34" s="561">
        <v>50</v>
      </c>
      <c r="DU34" s="561">
        <v>858</v>
      </c>
      <c r="DV34" s="561">
        <v>0</v>
      </c>
      <c r="DW34" s="561">
        <v>0</v>
      </c>
      <c r="DX34" s="561">
        <v>0</v>
      </c>
      <c r="DY34" s="561">
        <v>198</v>
      </c>
      <c r="DZ34" s="561">
        <v>21</v>
      </c>
      <c r="EA34" s="561">
        <v>0</v>
      </c>
      <c r="EB34" s="561">
        <v>0</v>
      </c>
      <c r="EC34" s="561">
        <v>1502</v>
      </c>
      <c r="ED34" s="561">
        <v>0</v>
      </c>
      <c r="EE34" s="561">
        <v>0</v>
      </c>
      <c r="EF34" s="561">
        <v>0</v>
      </c>
      <c r="EG34" s="561">
        <v>0</v>
      </c>
      <c r="EH34" s="561">
        <v>0</v>
      </c>
      <c r="EI34" s="561">
        <v>0</v>
      </c>
      <c r="EJ34" s="561">
        <v>0</v>
      </c>
      <c r="EK34" s="561">
        <v>0</v>
      </c>
      <c r="EL34" s="561">
        <v>0</v>
      </c>
      <c r="EM34" s="561">
        <v>0</v>
      </c>
      <c r="EN34" s="561">
        <v>0</v>
      </c>
      <c r="EO34" s="561">
        <v>0</v>
      </c>
      <c r="EP34" s="561">
        <v>0</v>
      </c>
      <c r="EQ34" s="561">
        <v>0</v>
      </c>
      <c r="ER34" s="561">
        <v>0</v>
      </c>
      <c r="ES34" s="561" t="s">
        <v>4565</v>
      </c>
      <c r="ET34" s="561">
        <v>0</v>
      </c>
      <c r="EU34" s="561">
        <v>0</v>
      </c>
      <c r="EV34" s="561">
        <v>0</v>
      </c>
      <c r="EW34" s="561">
        <v>0</v>
      </c>
      <c r="EX34" s="561">
        <v>0</v>
      </c>
      <c r="EY34" s="561">
        <v>0</v>
      </c>
      <c r="EZ34" s="561">
        <v>0</v>
      </c>
      <c r="FA34" s="561">
        <v>0</v>
      </c>
      <c r="FB34" s="561">
        <v>0</v>
      </c>
      <c r="FC34" s="561">
        <v>8</v>
      </c>
      <c r="FD34" s="561">
        <v>68</v>
      </c>
      <c r="FE34" s="561">
        <v>161</v>
      </c>
      <c r="FF34" s="561">
        <v>231</v>
      </c>
      <c r="FG34" s="561">
        <v>18</v>
      </c>
      <c r="FH34" s="561">
        <v>0</v>
      </c>
      <c r="FI34" s="561">
        <v>60</v>
      </c>
      <c r="FJ34" s="561">
        <v>487</v>
      </c>
      <c r="FK34" s="561">
        <v>502</v>
      </c>
      <c r="FL34" s="561">
        <v>-1</v>
      </c>
      <c r="FM34" s="561">
        <v>85</v>
      </c>
      <c r="FN34" s="561">
        <v>0</v>
      </c>
      <c r="FO34" s="561">
        <v>1619</v>
      </c>
      <c r="FP34" s="561">
        <v>0</v>
      </c>
      <c r="FQ34" s="561">
        <v>-187</v>
      </c>
      <c r="FR34" s="561">
        <v>0</v>
      </c>
      <c r="FS34" s="561">
        <v>0</v>
      </c>
      <c r="FT34" s="561">
        <v>345</v>
      </c>
      <c r="FU34" s="561">
        <v>322</v>
      </c>
      <c r="FV34" s="561">
        <v>204</v>
      </c>
      <c r="FW34" s="561">
        <v>0</v>
      </c>
      <c r="FX34" s="561">
        <v>0</v>
      </c>
      <c r="FY34" s="561">
        <v>0</v>
      </c>
      <c r="FZ34" s="561">
        <v>0</v>
      </c>
      <c r="GA34" s="561">
        <v>151</v>
      </c>
      <c r="GB34" s="561">
        <v>16</v>
      </c>
      <c r="GC34" s="561">
        <v>67</v>
      </c>
      <c r="GD34" s="561">
        <v>0</v>
      </c>
      <c r="GE34" s="561">
        <v>0</v>
      </c>
      <c r="GF34" s="561">
        <v>316</v>
      </c>
      <c r="GG34" s="561">
        <v>0</v>
      </c>
      <c r="GH34" s="561">
        <v>0</v>
      </c>
      <c r="GI34" s="561">
        <v>2825</v>
      </c>
      <c r="GJ34" s="561">
        <v>0</v>
      </c>
      <c r="GK34" s="561">
        <v>0</v>
      </c>
      <c r="GL34" s="561">
        <v>703</v>
      </c>
      <c r="GM34" s="561">
        <v>1166</v>
      </c>
      <c r="GN34" s="561">
        <v>0</v>
      </c>
      <c r="GO34" s="561">
        <v>0</v>
      </c>
      <c r="GP34" s="561">
        <v>976</v>
      </c>
      <c r="GQ34" s="561">
        <v>0</v>
      </c>
      <c r="GR34" s="561">
        <v>0</v>
      </c>
      <c r="GS34" s="561">
        <v>6904</v>
      </c>
      <c r="GT34" s="561">
        <v>0</v>
      </c>
      <c r="GU34" s="561">
        <v>233</v>
      </c>
      <c r="GV34" s="561">
        <v>330</v>
      </c>
      <c r="GW34" s="561">
        <v>0</v>
      </c>
      <c r="GX34" s="561">
        <v>-1043</v>
      </c>
      <c r="GY34" s="561">
        <v>-26</v>
      </c>
      <c r="GZ34" s="561">
        <v>256</v>
      </c>
      <c r="HA34" s="561">
        <v>0</v>
      </c>
      <c r="HB34" s="561">
        <v>503</v>
      </c>
      <c r="HC34" s="561">
        <v>228</v>
      </c>
      <c r="HD34" s="561">
        <v>481</v>
      </c>
      <c r="HE34" s="561">
        <v>0</v>
      </c>
      <c r="HF34" s="561">
        <v>9004</v>
      </c>
      <c r="HG34" s="561">
        <v>0</v>
      </c>
      <c r="HH34" s="561">
        <v>0</v>
      </c>
      <c r="HI34" s="561">
        <v>0</v>
      </c>
      <c r="HJ34" s="561">
        <v>0</v>
      </c>
      <c r="HK34" s="561">
        <v>0</v>
      </c>
      <c r="HL34" s="561">
        <v>0</v>
      </c>
      <c r="HM34" s="561">
        <v>0</v>
      </c>
      <c r="HN34" s="561">
        <v>0</v>
      </c>
      <c r="HO34" s="561">
        <v>1400</v>
      </c>
      <c r="HP34" s="561">
        <v>851</v>
      </c>
      <c r="HQ34" s="561">
        <v>0</v>
      </c>
      <c r="HR34" s="561">
        <v>0</v>
      </c>
      <c r="HS34" s="561">
        <v>61</v>
      </c>
      <c r="HT34" s="561">
        <v>36</v>
      </c>
      <c r="HU34" s="561">
        <v>0</v>
      </c>
      <c r="HV34" s="561">
        <v>0</v>
      </c>
      <c r="HW34" s="561">
        <v>81</v>
      </c>
      <c r="HX34" s="561">
        <v>418</v>
      </c>
      <c r="HY34" s="561">
        <v>57</v>
      </c>
      <c r="HZ34" s="561">
        <v>94</v>
      </c>
      <c r="IA34" s="561">
        <v>-14</v>
      </c>
      <c r="IB34" s="561">
        <v>75</v>
      </c>
      <c r="IC34" s="561">
        <v>0</v>
      </c>
      <c r="ID34" s="561">
        <v>0</v>
      </c>
      <c r="IE34" s="561">
        <v>863</v>
      </c>
      <c r="IF34" s="561">
        <v>0</v>
      </c>
      <c r="IG34" s="561">
        <v>0</v>
      </c>
      <c r="IH34" s="561">
        <v>135</v>
      </c>
      <c r="II34" s="561">
        <v>4057</v>
      </c>
      <c r="IJ34" s="561">
        <v>0</v>
      </c>
      <c r="IK34" s="561">
        <v>3099</v>
      </c>
      <c r="IL34" s="561">
        <v>1356</v>
      </c>
      <c r="IM34" s="561">
        <v>0</v>
      </c>
      <c r="IN34" s="561">
        <v>0</v>
      </c>
      <c r="IO34" s="561">
        <v>387</v>
      </c>
      <c r="IP34" s="561">
        <v>0</v>
      </c>
      <c r="IQ34" s="561">
        <v>0</v>
      </c>
      <c r="IR34" s="561">
        <v>0</v>
      </c>
      <c r="IS34" s="561">
        <v>-422</v>
      </c>
      <c r="IT34" s="561">
        <v>0</v>
      </c>
      <c r="IU34" s="561">
        <v>0</v>
      </c>
      <c r="IV34" s="561">
        <v>176</v>
      </c>
      <c r="IW34" s="561">
        <v>1502</v>
      </c>
      <c r="IX34" s="561">
        <v>1619</v>
      </c>
      <c r="IY34" s="561">
        <v>6904</v>
      </c>
      <c r="IZ34" s="561">
        <v>481</v>
      </c>
      <c r="JA34" s="561">
        <v>0</v>
      </c>
      <c r="JB34" s="561">
        <v>0</v>
      </c>
      <c r="JC34" s="561">
        <v>4057</v>
      </c>
      <c r="JD34" s="561">
        <v>0</v>
      </c>
      <c r="JE34" s="561">
        <v>14317</v>
      </c>
      <c r="JF34" s="561">
        <v>11689</v>
      </c>
      <c r="JG34" s="561">
        <v>73</v>
      </c>
      <c r="JH34" s="561">
        <v>0</v>
      </c>
      <c r="JI34" s="561">
        <v>0</v>
      </c>
      <c r="JJ34" s="561">
        <v>0</v>
      </c>
      <c r="JK34" s="561">
        <v>579</v>
      </c>
      <c r="JL34" s="561">
        <v>0</v>
      </c>
      <c r="JM34" s="561">
        <v>0</v>
      </c>
      <c r="JN34" s="561">
        <v>0</v>
      </c>
      <c r="JO34" s="561">
        <v>0</v>
      </c>
      <c r="JP34" s="561">
        <v>130</v>
      </c>
      <c r="JQ34" s="561">
        <v>0</v>
      </c>
      <c r="JR34" s="561">
        <v>0</v>
      </c>
      <c r="JS34" s="561">
        <v>0</v>
      </c>
      <c r="JT34" s="561">
        <v>-19</v>
      </c>
      <c r="JU34" s="561">
        <v>0</v>
      </c>
      <c r="JV34" s="561">
        <v>26769</v>
      </c>
      <c r="JW34" s="561">
        <v>0</v>
      </c>
      <c r="JX34" s="561">
        <v>195</v>
      </c>
      <c r="JY34" s="561">
        <v>0</v>
      </c>
      <c r="JZ34" s="561">
        <v>-5</v>
      </c>
      <c r="KA34" s="561">
        <v>0</v>
      </c>
      <c r="KB34" s="561">
        <v>-108</v>
      </c>
      <c r="KC34" s="561">
        <v>232</v>
      </c>
      <c r="KD34" s="561">
        <v>0</v>
      </c>
      <c r="KE34" s="561">
        <v>111</v>
      </c>
      <c r="KF34" s="561">
        <v>0</v>
      </c>
      <c r="KG34" s="561">
        <v>27194</v>
      </c>
      <c r="KH34" s="561">
        <v>-3376</v>
      </c>
      <c r="KI34" s="561">
        <v>0</v>
      </c>
      <c r="KJ34" s="561">
        <v>0</v>
      </c>
      <c r="KK34" s="561">
        <v>0</v>
      </c>
      <c r="KL34" s="561">
        <v>-11488</v>
      </c>
      <c r="KM34" s="561">
        <v>0</v>
      </c>
      <c r="KN34" s="561">
        <v>0</v>
      </c>
      <c r="KO34" s="561">
        <v>0</v>
      </c>
      <c r="KP34" s="561">
        <v>0</v>
      </c>
      <c r="KQ34" s="561">
        <v>0</v>
      </c>
      <c r="KR34" s="561">
        <v>12330</v>
      </c>
      <c r="KS34" s="561">
        <v>0</v>
      </c>
      <c r="KT34" s="561">
        <v>-3917</v>
      </c>
      <c r="KU34" s="561">
        <v>8413</v>
      </c>
      <c r="KV34" s="561">
        <v>0</v>
      </c>
      <c r="KW34" s="561">
        <v>0</v>
      </c>
      <c r="KX34" s="561">
        <v>0</v>
      </c>
      <c r="KY34" s="561">
        <v>0</v>
      </c>
      <c r="KZ34" s="561">
        <v>3342</v>
      </c>
      <c r="LA34" s="561">
        <v>0</v>
      </c>
      <c r="LB34" s="561">
        <v>-461</v>
      </c>
      <c r="LC34" s="561">
        <v>0</v>
      </c>
      <c r="LD34" s="561">
        <v>-5612</v>
      </c>
      <c r="LE34" s="561">
        <v>53</v>
      </c>
      <c r="LF34" s="561">
        <v>0</v>
      </c>
      <c r="LG34" s="561">
        <v>5735</v>
      </c>
      <c r="LH34" s="561">
        <v>0</v>
      </c>
      <c r="LI34" s="561">
        <v>0</v>
      </c>
      <c r="LJ34" s="561">
        <v>0</v>
      </c>
      <c r="LK34" s="561">
        <v>0</v>
      </c>
      <c r="LL34" s="561">
        <v>14002</v>
      </c>
      <c r="LM34" s="561">
        <v>2000</v>
      </c>
      <c r="LN34" s="561">
        <v>0</v>
      </c>
      <c r="LO34" s="561">
        <v>0</v>
      </c>
      <c r="LP34" s="561">
        <v>0</v>
      </c>
      <c r="LQ34" s="561">
        <v>0</v>
      </c>
      <c r="LR34" s="561">
        <v>17344</v>
      </c>
      <c r="LS34" s="561">
        <v>2000</v>
      </c>
      <c r="LT34" s="561">
        <v>0</v>
      </c>
      <c r="LU34" s="561">
        <v>2627</v>
      </c>
      <c r="LV34" s="561">
        <v>533</v>
      </c>
      <c r="LW34" s="561">
        <v>0</v>
      </c>
      <c r="LX34" s="561">
        <v>-45265</v>
      </c>
      <c r="LY34" s="561">
        <v>19852</v>
      </c>
      <c r="LZ34" s="561">
        <v>-21261</v>
      </c>
      <c r="MA34" s="561">
        <v>0</v>
      </c>
      <c r="MB34" s="561">
        <v>0</v>
      </c>
      <c r="MC34" s="561">
        <v>0</v>
      </c>
      <c r="MD34" s="561">
        <v>0</v>
      </c>
      <c r="ME34" s="561">
        <v>0</v>
      </c>
      <c r="MF34" s="561">
        <v>0</v>
      </c>
      <c r="MG34" s="561">
        <v>0</v>
      </c>
      <c r="MH34" s="561">
        <v>2231</v>
      </c>
      <c r="MI34" s="561">
        <v>2147</v>
      </c>
      <c r="MJ34" s="561">
        <v>4378</v>
      </c>
      <c r="MK34" s="561">
        <v>0</v>
      </c>
      <c r="ML34" s="561">
        <v>0</v>
      </c>
      <c r="MM34" s="561">
        <v>12160</v>
      </c>
      <c r="MN34" s="561">
        <v>409</v>
      </c>
      <c r="MO34" s="561">
        <v>4467</v>
      </c>
      <c r="MP34" s="561">
        <v>308</v>
      </c>
      <c r="MQ34" s="561">
        <v>0</v>
      </c>
      <c r="MR34" s="561">
        <v>-422</v>
      </c>
      <c r="MS34" s="561">
        <v>0</v>
      </c>
      <c r="MT34" s="561">
        <v>0</v>
      </c>
      <c r="MU34" s="561">
        <v>176</v>
      </c>
      <c r="MV34" s="561">
        <v>1502</v>
      </c>
      <c r="MW34" s="561">
        <v>1619</v>
      </c>
      <c r="MX34" s="561">
        <v>6904</v>
      </c>
      <c r="MY34" s="561">
        <v>481</v>
      </c>
      <c r="MZ34" s="561">
        <v>0</v>
      </c>
      <c r="NA34" s="561">
        <v>0</v>
      </c>
      <c r="NB34" s="561">
        <v>4057</v>
      </c>
      <c r="NC34" s="561">
        <v>0</v>
      </c>
      <c r="ND34" s="561">
        <v>14317</v>
      </c>
      <c r="NE34" s="561">
        <v>0</v>
      </c>
      <c r="NF34" s="561">
        <v>0</v>
      </c>
      <c r="NG34" s="561">
        <v>0</v>
      </c>
      <c r="NH34" s="561">
        <v>0</v>
      </c>
      <c r="NI34" s="561">
        <v>0</v>
      </c>
      <c r="NJ34" s="561">
        <v>0</v>
      </c>
      <c r="NK34" s="561">
        <v>0</v>
      </c>
      <c r="NL34" s="561">
        <v>0</v>
      </c>
      <c r="NM34" s="561">
        <v>0</v>
      </c>
      <c r="NN34" s="561">
        <v>0</v>
      </c>
      <c r="NO34" s="561">
        <v>0</v>
      </c>
      <c r="NP34" s="561">
        <v>0</v>
      </c>
      <c r="NQ34" s="561">
        <v>-26</v>
      </c>
      <c r="NR34" s="561">
        <v>0</v>
      </c>
      <c r="NS34" s="561">
        <v>0</v>
      </c>
      <c r="NT34" s="561">
        <v>0</v>
      </c>
      <c r="NU34" s="561">
        <v>-304</v>
      </c>
      <c r="NV34" s="561">
        <v>156</v>
      </c>
      <c r="NW34" s="561">
        <v>130</v>
      </c>
      <c r="NX34" s="561">
        <v>0</v>
      </c>
      <c r="NY34" s="561">
        <v>130</v>
      </c>
      <c r="NZ34" s="561">
        <v>0</v>
      </c>
      <c r="OA34" s="561">
        <v>0</v>
      </c>
      <c r="OB34" s="561">
        <v>0</v>
      </c>
      <c r="OC34" s="561">
        <v>0</v>
      </c>
      <c r="OD34" s="561">
        <v>0</v>
      </c>
      <c r="OE34" s="561">
        <v>0</v>
      </c>
      <c r="OF34" s="561">
        <v>0</v>
      </c>
      <c r="OG34" s="561">
        <v>0</v>
      </c>
      <c r="OH34" s="561">
        <v>0</v>
      </c>
      <c r="OI34" s="561">
        <v>0</v>
      </c>
      <c r="OJ34" s="561">
        <v>0</v>
      </c>
      <c r="OK34" s="561">
        <v>0</v>
      </c>
      <c r="OL34" s="561">
        <v>0</v>
      </c>
      <c r="OM34" s="561">
        <v>0</v>
      </c>
      <c r="ON34" s="561">
        <v>0</v>
      </c>
      <c r="OO34" s="561">
        <v>0</v>
      </c>
      <c r="OP34" s="561">
        <v>0</v>
      </c>
      <c r="OQ34" s="561">
        <v>0</v>
      </c>
      <c r="OR34" s="561">
        <v>0</v>
      </c>
      <c r="OS34" s="561">
        <v>0</v>
      </c>
      <c r="OT34" s="561">
        <v>0</v>
      </c>
      <c r="OU34" s="561">
        <v>0</v>
      </c>
      <c r="OV34" s="561">
        <v>0</v>
      </c>
      <c r="OW34" s="561">
        <v>0</v>
      </c>
      <c r="OX34" s="561">
        <v>0</v>
      </c>
      <c r="OY34" s="561">
        <v>0</v>
      </c>
      <c r="OZ34" s="561">
        <v>0</v>
      </c>
      <c r="PA34" s="561">
        <v>0</v>
      </c>
      <c r="PB34" s="561">
        <v>0</v>
      </c>
      <c r="PC34" s="561">
        <v>0</v>
      </c>
      <c r="PD34" s="561">
        <v>0</v>
      </c>
      <c r="PE34" s="561">
        <v>0</v>
      </c>
      <c r="PF34" s="561">
        <v>0</v>
      </c>
      <c r="PG34" s="561">
        <v>0</v>
      </c>
      <c r="PH34" s="561">
        <v>0</v>
      </c>
      <c r="PI34" s="561">
        <v>0</v>
      </c>
      <c r="PJ34" s="561">
        <v>0</v>
      </c>
    </row>
    <row r="35" spans="1:426" ht="14" x14ac:dyDescent="0.3">
      <c r="A35" t="s">
        <v>2531</v>
      </c>
      <c r="B35" t="s">
        <v>2532</v>
      </c>
      <c r="C35" t="s">
        <v>4574</v>
      </c>
      <c r="E35" t="s">
        <v>385</v>
      </c>
      <c r="F35" s="561">
        <v>37383</v>
      </c>
      <c r="G35" s="561">
        <v>26050</v>
      </c>
      <c r="H35" s="561">
        <v>21081</v>
      </c>
      <c r="I35" s="561">
        <v>83809</v>
      </c>
      <c r="J35" s="561">
        <v>7366</v>
      </c>
      <c r="K35" s="561">
        <v>34154</v>
      </c>
      <c r="L35" s="561">
        <v>209843</v>
      </c>
      <c r="M35" s="561">
        <v>2230</v>
      </c>
      <c r="N35" s="561">
        <v>1061</v>
      </c>
      <c r="O35" s="561">
        <v>1540</v>
      </c>
      <c r="P35" s="561">
        <v>0</v>
      </c>
      <c r="Q35" s="561">
        <v>2880</v>
      </c>
      <c r="R35" s="561">
        <v>410</v>
      </c>
      <c r="S35" s="561">
        <v>0</v>
      </c>
      <c r="T35" s="561">
        <v>1663</v>
      </c>
      <c r="U35" s="561">
        <v>138</v>
      </c>
      <c r="V35" s="561">
        <v>3747</v>
      </c>
      <c r="W35" s="561">
        <v>0</v>
      </c>
      <c r="X35" s="561">
        <v>0</v>
      </c>
      <c r="Y35" s="561">
        <v>1242</v>
      </c>
      <c r="Z35" s="561">
        <v>1349</v>
      </c>
      <c r="AA35" s="561">
        <v>-1674</v>
      </c>
      <c r="AB35" s="561">
        <v>-15469</v>
      </c>
      <c r="AC35" s="561">
        <v>7494</v>
      </c>
      <c r="AD35" s="561">
        <v>0</v>
      </c>
      <c r="AE35" s="561">
        <v>27</v>
      </c>
      <c r="AF35" s="561">
        <v>0</v>
      </c>
      <c r="AG35" s="561">
        <v>2646</v>
      </c>
      <c r="AH35" s="561">
        <v>1897</v>
      </c>
      <c r="AI35" s="561">
        <v>-215</v>
      </c>
      <c r="AJ35" s="561">
        <v>8736</v>
      </c>
      <c r="AK35" s="561">
        <v>238</v>
      </c>
      <c r="AL35" s="561">
        <v>0</v>
      </c>
      <c r="AM35" s="561">
        <v>0</v>
      </c>
      <c r="AN35" s="561">
        <v>0</v>
      </c>
      <c r="AO35" s="561">
        <v>0</v>
      </c>
      <c r="AP35" s="561">
        <v>0</v>
      </c>
      <c r="AQ35" s="561">
        <v>0</v>
      </c>
      <c r="AR35" s="561">
        <v>0</v>
      </c>
      <c r="AS35" s="561">
        <v>2473</v>
      </c>
      <c r="AT35" s="561">
        <v>1667</v>
      </c>
      <c r="AU35" s="561">
        <v>0</v>
      </c>
      <c r="AV35" s="561">
        <v>0</v>
      </c>
      <c r="AW35" s="561">
        <v>0</v>
      </c>
      <c r="AX35" s="561">
        <v>521</v>
      </c>
      <c r="AY35" s="561">
        <v>63507</v>
      </c>
      <c r="AZ35" s="561">
        <v>1732</v>
      </c>
      <c r="BA35" s="561">
        <v>9828</v>
      </c>
      <c r="BB35" s="561">
        <v>2272</v>
      </c>
      <c r="BC35" s="561">
        <v>24214</v>
      </c>
      <c r="BD35" s="561">
        <v>2231</v>
      </c>
      <c r="BE35" s="561">
        <v>4886</v>
      </c>
      <c r="BF35" s="561">
        <v>109191</v>
      </c>
      <c r="BG35" s="561">
        <v>12181</v>
      </c>
      <c r="BH35" s="561">
        <v>10147</v>
      </c>
      <c r="BI35" s="561">
        <v>27157</v>
      </c>
      <c r="BJ35" s="561">
        <v>138</v>
      </c>
      <c r="BK35" s="561">
        <v>248</v>
      </c>
      <c r="BL35" s="561">
        <v>1434</v>
      </c>
      <c r="BM35" s="561">
        <v>33399</v>
      </c>
      <c r="BN35" s="561">
        <v>49814</v>
      </c>
      <c r="BO35" s="561">
        <v>5780</v>
      </c>
      <c r="BP35" s="561">
        <v>7608</v>
      </c>
      <c r="BQ35" s="561">
        <v>4213</v>
      </c>
      <c r="BR35" s="561">
        <v>2821</v>
      </c>
      <c r="BS35" s="561">
        <v>0</v>
      </c>
      <c r="BT35" s="561">
        <v>34</v>
      </c>
      <c r="BU35" s="561">
        <v>1456</v>
      </c>
      <c r="BV35" s="561">
        <v>699</v>
      </c>
      <c r="BW35" s="561">
        <v>23738</v>
      </c>
      <c r="BX35" s="561">
        <v>1562</v>
      </c>
      <c r="BY35" s="561">
        <v>6607</v>
      </c>
      <c r="BZ35" s="561">
        <v>176855</v>
      </c>
      <c r="CA35" s="561">
        <v>1861</v>
      </c>
      <c r="CB35" s="561">
        <v>1975</v>
      </c>
      <c r="CC35" s="561">
        <v>944</v>
      </c>
      <c r="CD35" s="561">
        <v>453</v>
      </c>
      <c r="CE35" s="561">
        <v>277</v>
      </c>
      <c r="CF35" s="561">
        <v>394</v>
      </c>
      <c r="CG35" s="561">
        <v>50</v>
      </c>
      <c r="CH35" s="561">
        <v>768</v>
      </c>
      <c r="CI35" s="561">
        <v>379</v>
      </c>
      <c r="CJ35" s="561">
        <v>26</v>
      </c>
      <c r="CK35" s="561">
        <v>359</v>
      </c>
      <c r="CL35" s="561">
        <v>29</v>
      </c>
      <c r="CM35" s="561">
        <v>3539</v>
      </c>
      <c r="CN35" s="561">
        <v>1527</v>
      </c>
      <c r="CO35" s="561">
        <v>0</v>
      </c>
      <c r="CP35" s="561">
        <v>0</v>
      </c>
      <c r="CQ35" s="561">
        <v>437</v>
      </c>
      <c r="CR35" s="561">
        <v>967</v>
      </c>
      <c r="CS35" s="561">
        <v>73</v>
      </c>
      <c r="CT35" s="561">
        <v>739</v>
      </c>
      <c r="CU35" s="561">
        <v>2919</v>
      </c>
      <c r="CV35" s="561">
        <v>6171</v>
      </c>
      <c r="CW35" s="561">
        <v>36</v>
      </c>
      <c r="CX35" s="561">
        <v>286</v>
      </c>
      <c r="CY35" s="561">
        <v>158</v>
      </c>
      <c r="CZ35" s="561">
        <v>22506</v>
      </c>
      <c r="DA35" s="561">
        <v>0</v>
      </c>
      <c r="DB35" s="561">
        <v>0</v>
      </c>
      <c r="DC35" s="561">
        <v>0</v>
      </c>
      <c r="DD35" s="561">
        <v>0</v>
      </c>
      <c r="DE35" s="561">
        <v>0</v>
      </c>
      <c r="DF35" s="561">
        <v>0</v>
      </c>
      <c r="DG35" s="561">
        <v>0</v>
      </c>
      <c r="DH35" s="561">
        <v>318</v>
      </c>
      <c r="DI35" s="561">
        <v>0</v>
      </c>
      <c r="DJ35" s="561">
        <v>0</v>
      </c>
      <c r="DK35" s="561">
        <v>391</v>
      </c>
      <c r="DL35" s="561">
        <v>0</v>
      </c>
      <c r="DM35" s="561">
        <v>133</v>
      </c>
      <c r="DN35" s="561">
        <v>-623</v>
      </c>
      <c r="DO35" s="561">
        <v>3256</v>
      </c>
      <c r="DP35" s="561">
        <v>-1741</v>
      </c>
      <c r="DQ35" s="561">
        <v>0</v>
      </c>
      <c r="DR35" s="561">
        <v>5</v>
      </c>
      <c r="DS35" s="561">
        <v>4528</v>
      </c>
      <c r="DT35" s="561">
        <v>8780</v>
      </c>
      <c r="DU35" s="561">
        <v>14338</v>
      </c>
      <c r="DV35" s="561">
        <v>11</v>
      </c>
      <c r="DW35" s="561">
        <v>-14</v>
      </c>
      <c r="DX35" s="561">
        <v>0</v>
      </c>
      <c r="DY35" s="561">
        <v>1634</v>
      </c>
      <c r="DZ35" s="561">
        <v>-3079</v>
      </c>
      <c r="EA35" s="561">
        <v>4386</v>
      </c>
      <c r="EB35" s="561">
        <v>0</v>
      </c>
      <c r="EC35" s="561">
        <v>17985</v>
      </c>
      <c r="ED35" s="561">
        <v>296</v>
      </c>
      <c r="EE35" s="561">
        <v>53782</v>
      </c>
      <c r="EF35" s="561">
        <v>328</v>
      </c>
      <c r="EG35" s="561">
        <v>3322</v>
      </c>
      <c r="EH35" s="561">
        <v>556</v>
      </c>
      <c r="EI35" s="561">
        <v>30</v>
      </c>
      <c r="EJ35" s="561">
        <v>0</v>
      </c>
      <c r="EK35" s="561">
        <v>974</v>
      </c>
      <c r="EL35" s="561">
        <v>0</v>
      </c>
      <c r="EM35" s="561">
        <v>0</v>
      </c>
      <c r="EN35" s="561">
        <v>13141</v>
      </c>
      <c r="EO35" s="561">
        <v>12272</v>
      </c>
      <c r="EP35" s="561">
        <v>3524</v>
      </c>
      <c r="EQ35" s="561">
        <v>604</v>
      </c>
      <c r="ER35" s="561">
        <v>4973</v>
      </c>
      <c r="ES35" s="561" t="s">
        <v>4565</v>
      </c>
      <c r="ET35" s="561">
        <v>15141</v>
      </c>
      <c r="EU35" s="561">
        <v>3122</v>
      </c>
      <c r="EV35" s="561">
        <v>368</v>
      </c>
      <c r="EW35" s="561">
        <v>379</v>
      </c>
      <c r="EX35" s="561">
        <v>0</v>
      </c>
      <c r="EY35" s="561">
        <v>526</v>
      </c>
      <c r="EZ35" s="561">
        <v>4942</v>
      </c>
      <c r="FA35" s="561">
        <v>5504</v>
      </c>
      <c r="FB35" s="561">
        <v>310</v>
      </c>
      <c r="FC35" s="561">
        <v>1243</v>
      </c>
      <c r="FD35" s="561">
        <v>884</v>
      </c>
      <c r="FE35" s="561">
        <v>1490</v>
      </c>
      <c r="FF35" s="561">
        <v>-47</v>
      </c>
      <c r="FG35" s="561">
        <v>28</v>
      </c>
      <c r="FH35" s="561">
        <v>-4183</v>
      </c>
      <c r="FI35" s="561">
        <v>1066</v>
      </c>
      <c r="FJ35" s="561">
        <v>-119</v>
      </c>
      <c r="FK35" s="561">
        <v>9247</v>
      </c>
      <c r="FL35" s="561">
        <v>0</v>
      </c>
      <c r="FM35" s="561">
        <v>1253</v>
      </c>
      <c r="FN35" s="561">
        <v>6152</v>
      </c>
      <c r="FO35" s="561">
        <v>17324</v>
      </c>
      <c r="FP35" s="561">
        <v>226</v>
      </c>
      <c r="FQ35" s="561">
        <v>-156</v>
      </c>
      <c r="FR35" s="561">
        <v>427</v>
      </c>
      <c r="FS35" s="561">
        <v>0</v>
      </c>
      <c r="FT35" s="561">
        <v>369</v>
      </c>
      <c r="FU35" s="561">
        <v>947</v>
      </c>
      <c r="FV35" s="561">
        <v>120</v>
      </c>
      <c r="FW35" s="561">
        <v>175</v>
      </c>
      <c r="FX35" s="561">
        <v>323</v>
      </c>
      <c r="FY35" s="561">
        <v>0</v>
      </c>
      <c r="FZ35" s="561">
        <v>70</v>
      </c>
      <c r="GA35" s="561">
        <v>1099</v>
      </c>
      <c r="GB35" s="561">
        <v>221</v>
      </c>
      <c r="GC35" s="561">
        <v>146</v>
      </c>
      <c r="GD35" s="561">
        <v>0</v>
      </c>
      <c r="GE35" s="561">
        <v>2551</v>
      </c>
      <c r="GF35" s="561">
        <v>440</v>
      </c>
      <c r="GG35" s="561">
        <v>0</v>
      </c>
      <c r="GH35" s="561">
        <v>1</v>
      </c>
      <c r="GI35" s="561">
        <v>0</v>
      </c>
      <c r="GJ35" s="561">
        <v>1230</v>
      </c>
      <c r="GK35" s="561">
        <v>0</v>
      </c>
      <c r="GL35" s="561">
        <v>7308</v>
      </c>
      <c r="GM35" s="561">
        <v>4146</v>
      </c>
      <c r="GN35" s="561">
        <v>18702</v>
      </c>
      <c r="GO35" s="561">
        <v>-662</v>
      </c>
      <c r="GP35" s="561">
        <v>3565</v>
      </c>
      <c r="GQ35" s="561">
        <v>331</v>
      </c>
      <c r="GR35" s="561">
        <v>0</v>
      </c>
      <c r="GS35" s="561">
        <v>41353</v>
      </c>
      <c r="GT35" s="561">
        <v>1807</v>
      </c>
      <c r="GU35" s="561">
        <v>801</v>
      </c>
      <c r="GV35" s="561">
        <v>2850</v>
      </c>
      <c r="GW35" s="561">
        <v>466</v>
      </c>
      <c r="GX35" s="561">
        <v>849</v>
      </c>
      <c r="GY35" s="561">
        <v>0</v>
      </c>
      <c r="GZ35" s="561">
        <v>2397</v>
      </c>
      <c r="HA35" s="561">
        <v>0</v>
      </c>
      <c r="HB35" s="561">
        <v>0</v>
      </c>
      <c r="HC35" s="561">
        <v>7398</v>
      </c>
      <c r="HD35" s="561">
        <v>14761</v>
      </c>
      <c r="HE35" s="561">
        <v>846</v>
      </c>
      <c r="HF35" s="561">
        <v>73438</v>
      </c>
      <c r="HG35" s="561">
        <v>2879</v>
      </c>
      <c r="HH35" s="561">
        <v>0</v>
      </c>
      <c r="HI35" s="561">
        <v>0</v>
      </c>
      <c r="HJ35" s="561">
        <v>0</v>
      </c>
      <c r="HK35" s="561">
        <v>0</v>
      </c>
      <c r="HL35" s="561">
        <v>0</v>
      </c>
      <c r="HM35" s="561">
        <v>0</v>
      </c>
      <c r="HN35" s="561">
        <v>0</v>
      </c>
      <c r="HO35" s="561">
        <v>16834</v>
      </c>
      <c r="HP35" s="561">
        <v>-209</v>
      </c>
      <c r="HQ35" s="561">
        <v>0</v>
      </c>
      <c r="HR35" s="561">
        <v>0</v>
      </c>
      <c r="HS35" s="561">
        <v>3064</v>
      </c>
      <c r="HT35" s="561">
        <v>863</v>
      </c>
      <c r="HU35" s="561">
        <v>0</v>
      </c>
      <c r="HV35" s="561">
        <v>-113</v>
      </c>
      <c r="HW35" s="561">
        <v>629</v>
      </c>
      <c r="HX35" s="561">
        <v>1330</v>
      </c>
      <c r="HY35" s="561">
        <v>367</v>
      </c>
      <c r="HZ35" s="561">
        <v>-398</v>
      </c>
      <c r="IA35" s="561">
        <v>0</v>
      </c>
      <c r="IB35" s="561">
        <v>0</v>
      </c>
      <c r="IC35" s="561">
        <v>837</v>
      </c>
      <c r="ID35" s="561">
        <v>0</v>
      </c>
      <c r="IE35" s="561">
        <v>3812</v>
      </c>
      <c r="IF35" s="561">
        <v>0</v>
      </c>
      <c r="IG35" s="561">
        <v>0</v>
      </c>
      <c r="IH35" s="561">
        <v>24</v>
      </c>
      <c r="II35" s="561">
        <v>27040</v>
      </c>
      <c r="IJ35" s="561">
        <v>0</v>
      </c>
      <c r="IK35" s="561">
        <v>0</v>
      </c>
      <c r="IL35" s="561">
        <v>40094</v>
      </c>
      <c r="IM35" s="561">
        <v>0</v>
      </c>
      <c r="IN35" s="561">
        <v>0</v>
      </c>
      <c r="IO35" s="561">
        <v>3079</v>
      </c>
      <c r="IP35" s="561">
        <v>0</v>
      </c>
      <c r="IQ35" s="561">
        <v>1824</v>
      </c>
      <c r="IR35" s="561">
        <v>209843</v>
      </c>
      <c r="IS35" s="561">
        <v>8736</v>
      </c>
      <c r="IT35" s="561">
        <v>109191</v>
      </c>
      <c r="IU35" s="561">
        <v>176855</v>
      </c>
      <c r="IV35" s="561">
        <v>22506</v>
      </c>
      <c r="IW35" s="561">
        <v>17985</v>
      </c>
      <c r="IX35" s="561">
        <v>17324</v>
      </c>
      <c r="IY35" s="561">
        <v>41353</v>
      </c>
      <c r="IZ35" s="561">
        <v>14761</v>
      </c>
      <c r="JA35" s="561">
        <v>0</v>
      </c>
      <c r="JB35" s="561">
        <v>0</v>
      </c>
      <c r="JC35" s="561">
        <v>27040</v>
      </c>
      <c r="JD35" s="561">
        <v>0</v>
      </c>
      <c r="JE35" s="561">
        <v>645594</v>
      </c>
      <c r="JF35" s="561">
        <v>72419</v>
      </c>
      <c r="JG35" s="561">
        <v>0</v>
      </c>
      <c r="JH35" s="561">
        <v>21725</v>
      </c>
      <c r="JI35" s="561">
        <v>0</v>
      </c>
      <c r="JJ35" s="561">
        <v>0</v>
      </c>
      <c r="JK35" s="561">
        <v>1384</v>
      </c>
      <c r="JL35" s="561">
        <v>0</v>
      </c>
      <c r="JM35" s="561">
        <v>0</v>
      </c>
      <c r="JN35" s="561">
        <v>0</v>
      </c>
      <c r="JO35" s="561">
        <v>898</v>
      </c>
      <c r="JP35" s="561">
        <v>-5657</v>
      </c>
      <c r="JQ35" s="561">
        <v>-1771</v>
      </c>
      <c r="JR35" s="561">
        <v>0</v>
      </c>
      <c r="JS35" s="561">
        <v>0</v>
      </c>
      <c r="JT35" s="561">
        <v>0</v>
      </c>
      <c r="JU35" s="561">
        <v>0</v>
      </c>
      <c r="JV35" s="561">
        <v>734592</v>
      </c>
      <c r="JW35" s="561">
        <v>554</v>
      </c>
      <c r="JX35" s="561">
        <v>799</v>
      </c>
      <c r="JY35" s="561">
        <v>0</v>
      </c>
      <c r="JZ35" s="561">
        <v>-5169</v>
      </c>
      <c r="KA35" s="561">
        <v>0</v>
      </c>
      <c r="KB35" s="561">
        <v>1705</v>
      </c>
      <c r="KC35" s="561">
        <v>10607</v>
      </c>
      <c r="KD35" s="561">
        <v>0</v>
      </c>
      <c r="KE35" s="561">
        <v>6570</v>
      </c>
      <c r="KF35" s="561">
        <v>0</v>
      </c>
      <c r="KG35" s="561">
        <v>749658</v>
      </c>
      <c r="KH35" s="561">
        <v>-3955</v>
      </c>
      <c r="KI35" s="561">
        <v>0</v>
      </c>
      <c r="KJ35" s="561">
        <v>0</v>
      </c>
      <c r="KK35" s="561">
        <v>0</v>
      </c>
      <c r="KL35" s="561">
        <v>-98597</v>
      </c>
      <c r="KM35" s="561">
        <v>0</v>
      </c>
      <c r="KN35" s="561">
        <v>-853</v>
      </c>
      <c r="KO35" s="561">
        <v>0</v>
      </c>
      <c r="KP35" s="561">
        <v>0</v>
      </c>
      <c r="KQ35" s="561">
        <v>-49745</v>
      </c>
      <c r="KR35" s="561">
        <v>596508</v>
      </c>
      <c r="KS35" s="561">
        <v>0</v>
      </c>
      <c r="KT35" s="561">
        <v>-250863.28</v>
      </c>
      <c r="KU35" s="561">
        <v>345644.72</v>
      </c>
      <c r="KV35" s="561">
        <v>0</v>
      </c>
      <c r="KW35" s="561">
        <v>-3725</v>
      </c>
      <c r="KX35" s="561">
        <v>0</v>
      </c>
      <c r="KY35" s="561">
        <v>160</v>
      </c>
      <c r="KZ35" s="561">
        <v>18090</v>
      </c>
      <c r="LA35" s="561">
        <v>1212</v>
      </c>
      <c r="LB35" s="561">
        <v>-4198</v>
      </c>
      <c r="LC35" s="561">
        <v>0</v>
      </c>
      <c r="LD35" s="561">
        <v>-94171</v>
      </c>
      <c r="LE35" s="561">
        <v>-3002</v>
      </c>
      <c r="LF35" s="561">
        <v>-10</v>
      </c>
      <c r="LG35" s="561">
        <v>260001</v>
      </c>
      <c r="LH35" s="561">
        <v>4913</v>
      </c>
      <c r="LI35" s="561">
        <v>-63512</v>
      </c>
      <c r="LJ35" s="561">
        <v>0</v>
      </c>
      <c r="LK35" s="561">
        <v>480</v>
      </c>
      <c r="LL35" s="561">
        <v>40010</v>
      </c>
      <c r="LM35" s="561">
        <v>26114</v>
      </c>
      <c r="LN35" s="561">
        <v>1188</v>
      </c>
      <c r="LO35" s="561">
        <v>-113257</v>
      </c>
      <c r="LP35" s="561">
        <v>0</v>
      </c>
      <c r="LQ35" s="561">
        <v>640</v>
      </c>
      <c r="LR35" s="561">
        <v>58100</v>
      </c>
      <c r="LS35" s="561">
        <v>27326</v>
      </c>
      <c r="LT35" s="561">
        <v>0</v>
      </c>
      <c r="LU35" s="561">
        <v>63433</v>
      </c>
      <c r="LV35" s="561">
        <v>0</v>
      </c>
      <c r="LW35" s="561">
        <v>1459</v>
      </c>
      <c r="LX35" s="561">
        <v>-8790</v>
      </c>
      <c r="LY35" s="561">
        <v>9347</v>
      </c>
      <c r="LZ35" s="561">
        <v>63888</v>
      </c>
      <c r="MA35" s="561">
        <v>0</v>
      </c>
      <c r="MB35" s="561">
        <v>0</v>
      </c>
      <c r="MC35" s="561">
        <v>58992</v>
      </c>
      <c r="MD35" s="561">
        <v>54050</v>
      </c>
      <c r="ME35" s="561">
        <v>4942</v>
      </c>
      <c r="MF35" s="561">
        <v>5504</v>
      </c>
      <c r="MG35" s="561">
        <v>10446</v>
      </c>
      <c r="MH35" s="561">
        <v>12778</v>
      </c>
      <c r="MI35" s="561">
        <v>15319</v>
      </c>
      <c r="MJ35" s="561">
        <v>28097</v>
      </c>
      <c r="MK35" s="561">
        <v>0</v>
      </c>
      <c r="ML35" s="561">
        <v>7493</v>
      </c>
      <c r="MM35" s="561">
        <v>42463</v>
      </c>
      <c r="MN35" s="561">
        <v>5018</v>
      </c>
      <c r="MO35" s="561">
        <v>3126</v>
      </c>
      <c r="MP35" s="561">
        <v>0</v>
      </c>
      <c r="MQ35" s="561">
        <v>209843</v>
      </c>
      <c r="MR35" s="561">
        <v>8736</v>
      </c>
      <c r="MS35" s="561">
        <v>109191</v>
      </c>
      <c r="MT35" s="561">
        <v>176855</v>
      </c>
      <c r="MU35" s="561">
        <v>22506</v>
      </c>
      <c r="MV35" s="561">
        <v>17985</v>
      </c>
      <c r="MW35" s="561">
        <v>17324</v>
      </c>
      <c r="MX35" s="561">
        <v>41353</v>
      </c>
      <c r="MY35" s="561">
        <v>14761</v>
      </c>
      <c r="MZ35" s="561">
        <v>0</v>
      </c>
      <c r="NA35" s="561">
        <v>0</v>
      </c>
      <c r="NB35" s="561">
        <v>27040</v>
      </c>
      <c r="NC35" s="561">
        <v>0</v>
      </c>
      <c r="ND35" s="561">
        <v>645594</v>
      </c>
      <c r="NE35" s="561">
        <v>0</v>
      </c>
      <c r="NF35" s="561">
        <v>0</v>
      </c>
      <c r="NG35" s="561">
        <v>0</v>
      </c>
      <c r="NH35" s="561">
        <v>0</v>
      </c>
      <c r="NI35" s="561">
        <v>0</v>
      </c>
      <c r="NJ35" s="561">
        <v>-29</v>
      </c>
      <c r="NK35" s="561">
        <v>0</v>
      </c>
      <c r="NL35" s="561">
        <v>0</v>
      </c>
      <c r="NM35" s="561">
        <v>0</v>
      </c>
      <c r="NN35" s="561">
        <v>0</v>
      </c>
      <c r="NO35" s="561">
        <v>0</v>
      </c>
      <c r="NP35" s="561">
        <v>0</v>
      </c>
      <c r="NQ35" s="561">
        <v>0</v>
      </c>
      <c r="NR35" s="561">
        <v>0</v>
      </c>
      <c r="NS35" s="561">
        <v>0</v>
      </c>
      <c r="NT35" s="561">
        <v>0</v>
      </c>
      <c r="NU35" s="561">
        <v>-5604</v>
      </c>
      <c r="NV35" s="561">
        <v>0</v>
      </c>
      <c r="NW35" s="561">
        <v>-5657</v>
      </c>
      <c r="NX35" s="561">
        <v>0</v>
      </c>
      <c r="NY35" s="561">
        <v>-5657</v>
      </c>
      <c r="NZ35" s="561">
        <v>0</v>
      </c>
      <c r="OA35" s="561">
        <v>0</v>
      </c>
      <c r="OB35" s="561">
        <v>0</v>
      </c>
      <c r="OC35" s="561">
        <v>0</v>
      </c>
      <c r="OD35" s="561">
        <v>0</v>
      </c>
      <c r="OE35" s="561">
        <v>0</v>
      </c>
      <c r="OF35" s="561">
        <v>-1771</v>
      </c>
      <c r="OG35" s="561">
        <v>0</v>
      </c>
      <c r="OH35" s="561">
        <v>0</v>
      </c>
      <c r="OI35" s="561">
        <v>0</v>
      </c>
      <c r="OJ35" s="561">
        <v>0</v>
      </c>
      <c r="OK35" s="561">
        <v>0</v>
      </c>
      <c r="OL35" s="561">
        <v>0</v>
      </c>
      <c r="OM35" s="561">
        <v>0</v>
      </c>
      <c r="ON35" s="561">
        <v>0</v>
      </c>
      <c r="OO35" s="561">
        <v>0</v>
      </c>
      <c r="OP35" s="561">
        <v>0</v>
      </c>
      <c r="OQ35" s="561">
        <v>0</v>
      </c>
      <c r="OR35" s="561">
        <v>0</v>
      </c>
      <c r="OS35" s="561">
        <v>0</v>
      </c>
      <c r="OT35" s="561">
        <v>0</v>
      </c>
      <c r="OU35" s="561">
        <v>0</v>
      </c>
      <c r="OV35" s="561">
        <v>-1243.0754999999999</v>
      </c>
      <c r="OW35" s="561">
        <v>0</v>
      </c>
      <c r="OX35" s="561">
        <v>-1771</v>
      </c>
      <c r="OY35" s="561">
        <v>0</v>
      </c>
      <c r="OZ35" s="561">
        <v>0</v>
      </c>
      <c r="PA35" s="561">
        <v>0</v>
      </c>
      <c r="PB35" s="561">
        <v>0</v>
      </c>
      <c r="PC35" s="561">
        <v>0</v>
      </c>
      <c r="PD35" s="561">
        <v>0</v>
      </c>
      <c r="PE35" s="561">
        <v>0</v>
      </c>
      <c r="PF35" s="561">
        <v>0</v>
      </c>
      <c r="PG35" s="561">
        <v>0</v>
      </c>
      <c r="PH35" s="561">
        <v>0</v>
      </c>
      <c r="PI35" s="561">
        <v>0</v>
      </c>
      <c r="PJ35" s="561">
        <v>0</v>
      </c>
    </row>
    <row r="36" spans="1:426" ht="14" x14ac:dyDescent="0.3">
      <c r="A36" t="s">
        <v>2535</v>
      </c>
      <c r="B36" t="s">
        <v>2536</v>
      </c>
      <c r="C36" t="s">
        <v>4575</v>
      </c>
      <c r="E36" t="s">
        <v>385</v>
      </c>
      <c r="F36" s="561">
        <v>14706</v>
      </c>
      <c r="G36" s="561">
        <v>43477</v>
      </c>
      <c r="H36" s="561">
        <v>16328</v>
      </c>
      <c r="I36" s="561">
        <v>22790</v>
      </c>
      <c r="J36" s="561">
        <v>3211</v>
      </c>
      <c r="K36" s="561">
        <v>8138</v>
      </c>
      <c r="L36" s="561">
        <v>108650</v>
      </c>
      <c r="M36" s="561">
        <v>1578</v>
      </c>
      <c r="N36" s="561">
        <v>-44</v>
      </c>
      <c r="O36" s="561">
        <v>561</v>
      </c>
      <c r="P36" s="561">
        <v>21</v>
      </c>
      <c r="Q36" s="561">
        <v>465</v>
      </c>
      <c r="R36" s="561">
        <v>220</v>
      </c>
      <c r="S36" s="561">
        <v>857</v>
      </c>
      <c r="T36" s="561">
        <v>833</v>
      </c>
      <c r="U36" s="561">
        <v>374</v>
      </c>
      <c r="V36" s="561">
        <v>1240</v>
      </c>
      <c r="W36" s="561">
        <v>0</v>
      </c>
      <c r="X36" s="561">
        <v>0</v>
      </c>
      <c r="Y36" s="561">
        <v>38</v>
      </c>
      <c r="Z36" s="561">
        <v>924</v>
      </c>
      <c r="AA36" s="561">
        <v>233</v>
      </c>
      <c r="AB36" s="561">
        <v>-1694</v>
      </c>
      <c r="AC36" s="561">
        <v>747</v>
      </c>
      <c r="AD36" s="561">
        <v>0</v>
      </c>
      <c r="AE36" s="561">
        <v>1092</v>
      </c>
      <c r="AF36" s="561">
        <v>0</v>
      </c>
      <c r="AG36" s="561">
        <v>46</v>
      </c>
      <c r="AH36" s="561">
        <v>242</v>
      </c>
      <c r="AI36" s="561">
        <v>0</v>
      </c>
      <c r="AJ36" s="561">
        <v>6155</v>
      </c>
      <c r="AK36" s="561">
        <v>118</v>
      </c>
      <c r="AL36" s="561">
        <v>0</v>
      </c>
      <c r="AM36" s="561">
        <v>0</v>
      </c>
      <c r="AN36" s="561">
        <v>0</v>
      </c>
      <c r="AO36" s="561">
        <v>0</v>
      </c>
      <c r="AP36" s="561">
        <v>0</v>
      </c>
      <c r="AQ36" s="561">
        <v>0</v>
      </c>
      <c r="AR36" s="561">
        <v>0</v>
      </c>
      <c r="AS36" s="561">
        <v>147</v>
      </c>
      <c r="AT36" s="561">
        <v>30</v>
      </c>
      <c r="AU36" s="561">
        <v>0</v>
      </c>
      <c r="AV36" s="561">
        <v>0</v>
      </c>
      <c r="AW36" s="561">
        <v>0</v>
      </c>
      <c r="AX36" s="561">
        <v>3623</v>
      </c>
      <c r="AY36" s="561">
        <v>16434</v>
      </c>
      <c r="AZ36" s="561">
        <v>88</v>
      </c>
      <c r="BA36" s="561">
        <v>2923</v>
      </c>
      <c r="BB36" s="561">
        <v>300</v>
      </c>
      <c r="BC36" s="561">
        <v>9433</v>
      </c>
      <c r="BD36" s="561">
        <v>945</v>
      </c>
      <c r="BE36" s="561">
        <v>932</v>
      </c>
      <c r="BF36" s="561">
        <v>34678</v>
      </c>
      <c r="BG36" s="561">
        <v>1082</v>
      </c>
      <c r="BH36" s="561">
        <v>2636</v>
      </c>
      <c r="BI36" s="561">
        <v>6600</v>
      </c>
      <c r="BJ36" s="561">
        <v>141</v>
      </c>
      <c r="BK36" s="561">
        <v>108</v>
      </c>
      <c r="BL36" s="561">
        <v>245</v>
      </c>
      <c r="BM36" s="561">
        <v>8598</v>
      </c>
      <c r="BN36" s="561">
        <v>14712</v>
      </c>
      <c r="BO36" s="561">
        <v>2591</v>
      </c>
      <c r="BP36" s="561">
        <v>2094</v>
      </c>
      <c r="BQ36" s="561">
        <v>637</v>
      </c>
      <c r="BR36" s="561">
        <v>0</v>
      </c>
      <c r="BS36" s="561">
        <v>0</v>
      </c>
      <c r="BT36" s="561">
        <v>31</v>
      </c>
      <c r="BU36" s="561">
        <v>1377</v>
      </c>
      <c r="BV36" s="561">
        <v>241</v>
      </c>
      <c r="BW36" s="561">
        <v>9547</v>
      </c>
      <c r="BX36" s="561">
        <v>957</v>
      </c>
      <c r="BY36" s="561">
        <v>2946</v>
      </c>
      <c r="BZ36" s="561">
        <v>53461</v>
      </c>
      <c r="CA36" s="561">
        <v>2664</v>
      </c>
      <c r="CB36" s="561">
        <v>816</v>
      </c>
      <c r="CC36" s="561">
        <v>85</v>
      </c>
      <c r="CD36" s="561">
        <v>64</v>
      </c>
      <c r="CE36" s="561">
        <v>159</v>
      </c>
      <c r="CF36" s="561">
        <v>125</v>
      </c>
      <c r="CG36" s="561">
        <v>106</v>
      </c>
      <c r="CH36" s="561">
        <v>163</v>
      </c>
      <c r="CI36" s="561">
        <v>107</v>
      </c>
      <c r="CJ36" s="561">
        <v>84</v>
      </c>
      <c r="CK36" s="561">
        <v>216</v>
      </c>
      <c r="CL36" s="561">
        <v>49</v>
      </c>
      <c r="CM36" s="561">
        <v>261</v>
      </c>
      <c r="CN36" s="561">
        <v>261</v>
      </c>
      <c r="CO36" s="561">
        <v>261</v>
      </c>
      <c r="CP36" s="561">
        <v>261</v>
      </c>
      <c r="CQ36" s="561">
        <v>104</v>
      </c>
      <c r="CR36" s="561">
        <v>295</v>
      </c>
      <c r="CS36" s="561">
        <v>58</v>
      </c>
      <c r="CT36" s="561">
        <v>279</v>
      </c>
      <c r="CU36" s="561">
        <v>1368</v>
      </c>
      <c r="CV36" s="561">
        <v>22</v>
      </c>
      <c r="CW36" s="561">
        <v>67</v>
      </c>
      <c r="CX36" s="561">
        <v>156</v>
      </c>
      <c r="CY36" s="561">
        <v>1289</v>
      </c>
      <c r="CZ36" s="561">
        <v>6656</v>
      </c>
      <c r="DA36" s="561">
        <v>312</v>
      </c>
      <c r="DB36" s="561">
        <v>183</v>
      </c>
      <c r="DC36" s="561">
        <v>0</v>
      </c>
      <c r="DD36" s="561">
        <v>0</v>
      </c>
      <c r="DE36" s="561">
        <v>0</v>
      </c>
      <c r="DF36" s="561">
        <v>0</v>
      </c>
      <c r="DG36" s="561">
        <v>0</v>
      </c>
      <c r="DH36" s="561">
        <v>378</v>
      </c>
      <c r="DI36" s="561">
        <v>0</v>
      </c>
      <c r="DJ36" s="561">
        <v>6</v>
      </c>
      <c r="DK36" s="561">
        <v>0</v>
      </c>
      <c r="DL36" s="561">
        <v>220</v>
      </c>
      <c r="DM36" s="561">
        <v>80</v>
      </c>
      <c r="DN36" s="561">
        <v>0</v>
      </c>
      <c r="DO36" s="561">
        <v>47</v>
      </c>
      <c r="DP36" s="561">
        <v>-412</v>
      </c>
      <c r="DQ36" s="561">
        <v>0</v>
      </c>
      <c r="DR36" s="561">
        <v>1076</v>
      </c>
      <c r="DS36" s="561">
        <v>290</v>
      </c>
      <c r="DT36" s="561">
        <v>245</v>
      </c>
      <c r="DU36" s="561">
        <v>1546</v>
      </c>
      <c r="DV36" s="561">
        <v>143</v>
      </c>
      <c r="DW36" s="561">
        <v>0</v>
      </c>
      <c r="DX36" s="561">
        <v>0</v>
      </c>
      <c r="DY36" s="561">
        <v>671</v>
      </c>
      <c r="DZ36" s="561">
        <v>-134</v>
      </c>
      <c r="EA36" s="561">
        <v>586</v>
      </c>
      <c r="EB36" s="561">
        <v>1124</v>
      </c>
      <c r="EC36" s="561">
        <v>4320</v>
      </c>
      <c r="ED36" s="561">
        <v>318</v>
      </c>
      <c r="EE36" s="561">
        <v>0</v>
      </c>
      <c r="EF36" s="561">
        <v>0</v>
      </c>
      <c r="EG36" s="561">
        <v>0</v>
      </c>
      <c r="EH36" s="561">
        <v>0</v>
      </c>
      <c r="EI36" s="561">
        <v>0</v>
      </c>
      <c r="EJ36" s="561">
        <v>0</v>
      </c>
      <c r="EK36" s="561">
        <v>0</v>
      </c>
      <c r="EL36" s="561">
        <v>0</v>
      </c>
      <c r="EM36" s="561">
        <v>0</v>
      </c>
      <c r="EN36" s="561">
        <v>0</v>
      </c>
      <c r="EO36" s="561">
        <v>0</v>
      </c>
      <c r="EP36" s="561">
        <v>0</v>
      </c>
      <c r="EQ36" s="561">
        <v>0</v>
      </c>
      <c r="ER36" s="561">
        <v>0</v>
      </c>
      <c r="ES36" s="561" t="s">
        <v>4565</v>
      </c>
      <c r="ET36" s="561">
        <v>0</v>
      </c>
      <c r="EU36" s="561">
        <v>0</v>
      </c>
      <c r="EV36" s="561">
        <v>0</v>
      </c>
      <c r="EW36" s="561">
        <v>0</v>
      </c>
      <c r="EX36" s="561">
        <v>0</v>
      </c>
      <c r="EY36" s="561">
        <v>0</v>
      </c>
      <c r="EZ36" s="561">
        <v>0</v>
      </c>
      <c r="FA36" s="561">
        <v>0</v>
      </c>
      <c r="FB36" s="561">
        <v>164</v>
      </c>
      <c r="FC36" s="561">
        <v>219</v>
      </c>
      <c r="FD36" s="561">
        <v>0</v>
      </c>
      <c r="FE36" s="561">
        <v>34</v>
      </c>
      <c r="FF36" s="561">
        <v>41</v>
      </c>
      <c r="FG36" s="561">
        <v>265</v>
      </c>
      <c r="FH36" s="561">
        <v>0</v>
      </c>
      <c r="FI36" s="561">
        <v>222</v>
      </c>
      <c r="FJ36" s="561">
        <v>-959</v>
      </c>
      <c r="FK36" s="561">
        <v>2497</v>
      </c>
      <c r="FL36" s="561">
        <v>0</v>
      </c>
      <c r="FM36" s="561">
        <v>0</v>
      </c>
      <c r="FN36" s="561">
        <v>2057</v>
      </c>
      <c r="FO36" s="561">
        <v>4540</v>
      </c>
      <c r="FP36" s="561">
        <v>5</v>
      </c>
      <c r="FQ36" s="561">
        <v>-1412</v>
      </c>
      <c r="FR36" s="561">
        <v>488</v>
      </c>
      <c r="FS36" s="561">
        <v>0</v>
      </c>
      <c r="FT36" s="561">
        <v>265</v>
      </c>
      <c r="FU36" s="561">
        <v>462</v>
      </c>
      <c r="FV36" s="561">
        <v>151</v>
      </c>
      <c r="FW36" s="561">
        <v>108</v>
      </c>
      <c r="FX36" s="561">
        <v>0</v>
      </c>
      <c r="FY36" s="561">
        <v>0</v>
      </c>
      <c r="FZ36" s="561">
        <v>8</v>
      </c>
      <c r="GA36" s="561">
        <v>63</v>
      </c>
      <c r="GB36" s="561">
        <v>58</v>
      </c>
      <c r="GC36" s="561">
        <v>73</v>
      </c>
      <c r="GD36" s="561">
        <v>594</v>
      </c>
      <c r="GE36" s="561">
        <v>0</v>
      </c>
      <c r="GF36" s="561">
        <v>0</v>
      </c>
      <c r="GG36" s="561">
        <v>0</v>
      </c>
      <c r="GH36" s="561">
        <v>63</v>
      </c>
      <c r="GI36" s="561">
        <v>0</v>
      </c>
      <c r="GJ36" s="561">
        <v>0</v>
      </c>
      <c r="GK36" s="561">
        <v>0</v>
      </c>
      <c r="GL36" s="561">
        <v>1356</v>
      </c>
      <c r="GM36" s="561">
        <v>1658</v>
      </c>
      <c r="GN36" s="561">
        <v>8220</v>
      </c>
      <c r="GO36" s="561">
        <v>0</v>
      </c>
      <c r="GP36" s="561">
        <v>1838</v>
      </c>
      <c r="GQ36" s="561">
        <v>0</v>
      </c>
      <c r="GR36" s="561">
        <v>145</v>
      </c>
      <c r="GS36" s="561">
        <v>14138</v>
      </c>
      <c r="GT36" s="561">
        <v>0</v>
      </c>
      <c r="GU36" s="561">
        <v>254</v>
      </c>
      <c r="GV36" s="561">
        <v>640</v>
      </c>
      <c r="GW36" s="561">
        <v>0</v>
      </c>
      <c r="GX36" s="561">
        <v>1706</v>
      </c>
      <c r="GY36" s="561">
        <v>-104</v>
      </c>
      <c r="GZ36" s="561">
        <v>181</v>
      </c>
      <c r="HA36" s="561">
        <v>0</v>
      </c>
      <c r="HB36" s="561">
        <v>193</v>
      </c>
      <c r="HC36" s="561">
        <v>656</v>
      </c>
      <c r="HD36" s="561">
        <v>3526</v>
      </c>
      <c r="HE36" s="561">
        <v>0</v>
      </c>
      <c r="HF36" s="561">
        <v>22204</v>
      </c>
      <c r="HG36" s="561">
        <v>0</v>
      </c>
      <c r="HH36" s="561">
        <v>0</v>
      </c>
      <c r="HI36" s="561">
        <v>0</v>
      </c>
      <c r="HJ36" s="561">
        <v>0</v>
      </c>
      <c r="HK36" s="561">
        <v>0</v>
      </c>
      <c r="HL36" s="561">
        <v>0</v>
      </c>
      <c r="HM36" s="561">
        <v>0</v>
      </c>
      <c r="HN36" s="561">
        <v>0</v>
      </c>
      <c r="HO36" s="561">
        <v>4955</v>
      </c>
      <c r="HP36" s="561">
        <v>915</v>
      </c>
      <c r="HQ36" s="561">
        <v>0</v>
      </c>
      <c r="HR36" s="561">
        <v>265</v>
      </c>
      <c r="HS36" s="561">
        <v>75</v>
      </c>
      <c r="HT36" s="561">
        <v>-42</v>
      </c>
      <c r="HU36" s="561">
        <v>-16</v>
      </c>
      <c r="HV36" s="561">
        <v>13</v>
      </c>
      <c r="HW36" s="561">
        <v>412</v>
      </c>
      <c r="HX36" s="561">
        <v>492</v>
      </c>
      <c r="HY36" s="561">
        <v>87</v>
      </c>
      <c r="HZ36" s="561">
        <v>13</v>
      </c>
      <c r="IA36" s="561">
        <v>0</v>
      </c>
      <c r="IB36" s="561">
        <v>38</v>
      </c>
      <c r="IC36" s="561">
        <v>375</v>
      </c>
      <c r="ID36" s="561">
        <v>0</v>
      </c>
      <c r="IE36" s="561">
        <v>212</v>
      </c>
      <c r="IF36" s="561">
        <v>0</v>
      </c>
      <c r="IG36" s="561">
        <v>0</v>
      </c>
      <c r="IH36" s="561">
        <v>0</v>
      </c>
      <c r="II36" s="561">
        <v>7794</v>
      </c>
      <c r="IJ36" s="561">
        <v>1124</v>
      </c>
      <c r="IK36" s="561">
        <v>1447</v>
      </c>
      <c r="IL36" s="561">
        <v>17758</v>
      </c>
      <c r="IM36" s="561">
        <v>0</v>
      </c>
      <c r="IN36" s="561">
        <v>282</v>
      </c>
      <c r="IO36" s="561">
        <v>4115</v>
      </c>
      <c r="IP36" s="561">
        <v>0</v>
      </c>
      <c r="IQ36" s="561">
        <v>0</v>
      </c>
      <c r="IR36" s="561">
        <v>108650</v>
      </c>
      <c r="IS36" s="561">
        <v>6155</v>
      </c>
      <c r="IT36" s="561">
        <v>34678</v>
      </c>
      <c r="IU36" s="561">
        <v>53461</v>
      </c>
      <c r="IV36" s="561">
        <v>6656</v>
      </c>
      <c r="IW36" s="561">
        <v>4320</v>
      </c>
      <c r="IX36" s="561">
        <v>4540</v>
      </c>
      <c r="IY36" s="561">
        <v>14138</v>
      </c>
      <c r="IZ36" s="561">
        <v>3526</v>
      </c>
      <c r="JA36" s="561">
        <v>0</v>
      </c>
      <c r="JB36" s="561">
        <v>0</v>
      </c>
      <c r="JC36" s="561">
        <v>7794</v>
      </c>
      <c r="JD36" s="561">
        <v>0</v>
      </c>
      <c r="JE36" s="561">
        <v>243918</v>
      </c>
      <c r="JF36" s="561">
        <v>15573</v>
      </c>
      <c r="JG36" s="561">
        <v>2016</v>
      </c>
      <c r="JH36" s="561">
        <v>0</v>
      </c>
      <c r="JI36" s="561">
        <v>0</v>
      </c>
      <c r="JJ36" s="561">
        <v>0</v>
      </c>
      <c r="JK36" s="561">
        <v>4203</v>
      </c>
      <c r="JL36" s="561">
        <v>0</v>
      </c>
      <c r="JM36" s="561">
        <v>0</v>
      </c>
      <c r="JN36" s="561">
        <v>0</v>
      </c>
      <c r="JO36" s="561">
        <v>4</v>
      </c>
      <c r="JP36" s="561">
        <v>93</v>
      </c>
      <c r="JQ36" s="561">
        <v>0</v>
      </c>
      <c r="JR36" s="561">
        <v>-24</v>
      </c>
      <c r="JS36" s="561">
        <v>0</v>
      </c>
      <c r="JT36" s="561">
        <v>1999</v>
      </c>
      <c r="JU36" s="561">
        <v>0</v>
      </c>
      <c r="JV36" s="561">
        <v>267782</v>
      </c>
      <c r="JW36" s="561">
        <v>118</v>
      </c>
      <c r="JX36" s="561">
        <v>0</v>
      </c>
      <c r="JY36" s="561">
        <v>0</v>
      </c>
      <c r="JZ36" s="561">
        <v>-1700</v>
      </c>
      <c r="KA36" s="561">
        <v>0</v>
      </c>
      <c r="KB36" s="561">
        <v>-35</v>
      </c>
      <c r="KC36" s="561">
        <v>3824</v>
      </c>
      <c r="KD36" s="561">
        <v>2417</v>
      </c>
      <c r="KE36" s="561">
        <v>3556</v>
      </c>
      <c r="KF36" s="561">
        <v>0</v>
      </c>
      <c r="KG36" s="561">
        <v>275962</v>
      </c>
      <c r="KH36" s="561">
        <v>-11668</v>
      </c>
      <c r="KI36" s="561">
        <v>89</v>
      </c>
      <c r="KJ36" s="561">
        <v>0</v>
      </c>
      <c r="KK36" s="561">
        <v>0</v>
      </c>
      <c r="KL36" s="561">
        <v>-20049</v>
      </c>
      <c r="KM36" s="561">
        <v>0</v>
      </c>
      <c r="KN36" s="561">
        <v>-323</v>
      </c>
      <c r="KO36" s="561">
        <v>0</v>
      </c>
      <c r="KP36" s="561">
        <v>0</v>
      </c>
      <c r="KQ36" s="561">
        <v>-6588</v>
      </c>
      <c r="KR36" s="561">
        <v>237423</v>
      </c>
      <c r="KS36" s="561">
        <v>0</v>
      </c>
      <c r="KT36" s="561">
        <v>-117226</v>
      </c>
      <c r="KU36" s="561">
        <v>120197</v>
      </c>
      <c r="KV36" s="561">
        <v>0</v>
      </c>
      <c r="KW36" s="561">
        <v>-982</v>
      </c>
      <c r="KX36" s="561">
        <v>0</v>
      </c>
      <c r="KY36" s="561">
        <v>-477</v>
      </c>
      <c r="KZ36" s="561">
        <v>-4040</v>
      </c>
      <c r="LA36" s="561">
        <v>742</v>
      </c>
      <c r="LB36" s="561">
        <v>-2291</v>
      </c>
      <c r="LC36" s="561">
        <v>0</v>
      </c>
      <c r="LD36" s="561">
        <v>-27839</v>
      </c>
      <c r="LE36" s="561">
        <v>-74</v>
      </c>
      <c r="LF36" s="561">
        <v>-721</v>
      </c>
      <c r="LG36" s="561">
        <v>84515</v>
      </c>
      <c r="LH36" s="561">
        <v>1302</v>
      </c>
      <c r="LI36" s="561">
        <v>-18062</v>
      </c>
      <c r="LJ36" s="561">
        <v>0</v>
      </c>
      <c r="LK36" s="561">
        <v>1296</v>
      </c>
      <c r="LL36" s="561">
        <v>59974</v>
      </c>
      <c r="LM36" s="561">
        <v>9852</v>
      </c>
      <c r="LN36" s="561">
        <v>320</v>
      </c>
      <c r="LO36" s="561">
        <v>-24650</v>
      </c>
      <c r="LP36" s="561">
        <v>0</v>
      </c>
      <c r="LQ36" s="561">
        <v>819</v>
      </c>
      <c r="LR36" s="561">
        <v>55934</v>
      </c>
      <c r="LS36" s="561">
        <v>10594</v>
      </c>
      <c r="LT36" s="561">
        <v>0</v>
      </c>
      <c r="LU36" s="561">
        <v>16711</v>
      </c>
      <c r="LV36" s="561">
        <v>130</v>
      </c>
      <c r="LW36" s="561">
        <v>2294</v>
      </c>
      <c r="LX36" s="561">
        <v>-46218</v>
      </c>
      <c r="LY36" s="561">
        <v>1700</v>
      </c>
      <c r="LZ36" s="561">
        <v>-25314</v>
      </c>
      <c r="MA36" s="561">
        <v>0</v>
      </c>
      <c r="MB36" s="561">
        <v>0</v>
      </c>
      <c r="MC36" s="561">
        <v>0</v>
      </c>
      <c r="MD36" s="561">
        <v>0</v>
      </c>
      <c r="ME36" s="561">
        <v>0</v>
      </c>
      <c r="MF36" s="561">
        <v>0</v>
      </c>
      <c r="MG36" s="561">
        <v>0</v>
      </c>
      <c r="MH36" s="561">
        <v>2253</v>
      </c>
      <c r="MI36" s="561">
        <v>2400</v>
      </c>
      <c r="MJ36" s="561">
        <v>4653</v>
      </c>
      <c r="MK36" s="561">
        <v>0</v>
      </c>
      <c r="ML36" s="561">
        <v>0</v>
      </c>
      <c r="MM36" s="561">
        <v>47045</v>
      </c>
      <c r="MN36" s="561">
        <v>7358</v>
      </c>
      <c r="MO36" s="561">
        <v>1531</v>
      </c>
      <c r="MP36" s="561">
        <v>0</v>
      </c>
      <c r="MQ36" s="561">
        <v>108650</v>
      </c>
      <c r="MR36" s="561">
        <v>6155</v>
      </c>
      <c r="MS36" s="561">
        <v>34678</v>
      </c>
      <c r="MT36" s="561">
        <v>53461</v>
      </c>
      <c r="MU36" s="561">
        <v>6656</v>
      </c>
      <c r="MV36" s="561">
        <v>4320</v>
      </c>
      <c r="MW36" s="561">
        <v>4540</v>
      </c>
      <c r="MX36" s="561">
        <v>14138</v>
      </c>
      <c r="MY36" s="561">
        <v>3526</v>
      </c>
      <c r="MZ36" s="561">
        <v>0</v>
      </c>
      <c r="NA36" s="561">
        <v>0</v>
      </c>
      <c r="NB36" s="561">
        <v>7794</v>
      </c>
      <c r="NC36" s="561">
        <v>0</v>
      </c>
      <c r="ND36" s="561">
        <v>243918</v>
      </c>
      <c r="NE36" s="561">
        <v>0</v>
      </c>
      <c r="NF36" s="561">
        <v>0</v>
      </c>
      <c r="NG36" s="561">
        <v>0</v>
      </c>
      <c r="NH36" s="561">
        <v>0</v>
      </c>
      <c r="NI36" s="561">
        <v>0</v>
      </c>
      <c r="NJ36" s="561">
        <v>0</v>
      </c>
      <c r="NK36" s="561">
        <v>0</v>
      </c>
      <c r="NL36" s="561">
        <v>0</v>
      </c>
      <c r="NM36" s="561">
        <v>0</v>
      </c>
      <c r="NN36" s="561">
        <v>0</v>
      </c>
      <c r="NO36" s="561">
        <v>0</v>
      </c>
      <c r="NP36" s="561">
        <v>0</v>
      </c>
      <c r="NQ36" s="561">
        <v>0</v>
      </c>
      <c r="NR36" s="561">
        <v>0</v>
      </c>
      <c r="NS36" s="561">
        <v>0</v>
      </c>
      <c r="NT36" s="561">
        <v>0</v>
      </c>
      <c r="NU36" s="561">
        <v>0</v>
      </c>
      <c r="NV36" s="561">
        <v>0</v>
      </c>
      <c r="NW36" s="561">
        <v>69</v>
      </c>
      <c r="NX36" s="561">
        <v>24</v>
      </c>
      <c r="NY36" s="561">
        <v>93</v>
      </c>
      <c r="NZ36" s="561">
        <v>0</v>
      </c>
      <c r="OA36" s="561">
        <v>0</v>
      </c>
      <c r="OB36" s="561">
        <v>0</v>
      </c>
      <c r="OC36" s="561">
        <v>0</v>
      </c>
      <c r="OD36" s="561">
        <v>0</v>
      </c>
      <c r="OE36" s="561">
        <v>0</v>
      </c>
      <c r="OF36" s="561">
        <v>0</v>
      </c>
      <c r="OG36" s="561">
        <v>0</v>
      </c>
      <c r="OH36" s="561">
        <v>0</v>
      </c>
      <c r="OI36" s="561">
        <v>0</v>
      </c>
      <c r="OJ36" s="561">
        <v>0</v>
      </c>
      <c r="OK36" s="561">
        <v>0</v>
      </c>
      <c r="OL36" s="561">
        <v>0</v>
      </c>
      <c r="OM36" s="561">
        <v>0</v>
      </c>
      <c r="ON36" s="561">
        <v>0</v>
      </c>
      <c r="OO36" s="561">
        <v>0</v>
      </c>
      <c r="OP36" s="561">
        <v>0</v>
      </c>
      <c r="OQ36" s="561">
        <v>0</v>
      </c>
      <c r="OR36" s="561">
        <v>0</v>
      </c>
      <c r="OS36" s="561">
        <v>0</v>
      </c>
      <c r="OT36" s="561">
        <v>0</v>
      </c>
      <c r="OU36" s="561">
        <v>0</v>
      </c>
      <c r="OV36" s="561">
        <v>0</v>
      </c>
      <c r="OW36" s="561">
        <v>0</v>
      </c>
      <c r="OX36" s="561">
        <v>0</v>
      </c>
      <c r="OY36" s="561">
        <v>24</v>
      </c>
      <c r="OZ36" s="561">
        <v>0</v>
      </c>
      <c r="PA36" s="561">
        <v>0</v>
      </c>
      <c r="PB36" s="561">
        <v>0</v>
      </c>
      <c r="PC36" s="561">
        <v>0</v>
      </c>
      <c r="PD36" s="561">
        <v>24</v>
      </c>
      <c r="PE36" s="561">
        <v>0</v>
      </c>
      <c r="PF36" s="561">
        <v>0</v>
      </c>
      <c r="PG36" s="561">
        <v>0</v>
      </c>
      <c r="PH36" s="561">
        <v>0</v>
      </c>
      <c r="PI36" s="561">
        <v>0</v>
      </c>
      <c r="PJ36" s="561">
        <v>0</v>
      </c>
    </row>
    <row r="37" spans="1:426" ht="14" x14ac:dyDescent="0.3">
      <c r="A37" t="s">
        <v>2538</v>
      </c>
      <c r="B37" t="s">
        <v>2539</v>
      </c>
      <c r="C37" t="s">
        <v>2540</v>
      </c>
      <c r="E37" t="s">
        <v>379</v>
      </c>
      <c r="F37" s="561">
        <v>53956</v>
      </c>
      <c r="G37" s="561">
        <v>154331</v>
      </c>
      <c r="H37" s="561">
        <v>56262</v>
      </c>
      <c r="I37" s="561">
        <v>49506</v>
      </c>
      <c r="J37" s="561">
        <v>7598</v>
      </c>
      <c r="K37" s="561">
        <v>34736</v>
      </c>
      <c r="L37" s="561">
        <v>356389</v>
      </c>
      <c r="M37" s="561">
        <v>5739</v>
      </c>
      <c r="N37" s="561">
        <v>0</v>
      </c>
      <c r="O37" s="561">
        <v>1111</v>
      </c>
      <c r="P37" s="561">
        <v>165</v>
      </c>
      <c r="Q37" s="561">
        <v>861</v>
      </c>
      <c r="R37" s="561">
        <v>1013</v>
      </c>
      <c r="S37" s="561">
        <v>0</v>
      </c>
      <c r="T37" s="561">
        <v>2459</v>
      </c>
      <c r="U37" s="561">
        <v>1951</v>
      </c>
      <c r="V37" s="561">
        <v>3052</v>
      </c>
      <c r="W37" s="561">
        <v>0</v>
      </c>
      <c r="X37" s="561">
        <v>-881</v>
      </c>
      <c r="Y37" s="561">
        <v>924</v>
      </c>
      <c r="Z37" s="561">
        <v>2920</v>
      </c>
      <c r="AA37" s="561">
        <v>-2616</v>
      </c>
      <c r="AB37" s="561">
        <v>-733</v>
      </c>
      <c r="AC37" s="561">
        <v>0</v>
      </c>
      <c r="AD37" s="561">
        <v>0</v>
      </c>
      <c r="AE37" s="561">
        <v>0</v>
      </c>
      <c r="AF37" s="561">
        <v>0</v>
      </c>
      <c r="AG37" s="561">
        <v>0</v>
      </c>
      <c r="AH37" s="561">
        <v>0</v>
      </c>
      <c r="AI37" s="561">
        <v>0</v>
      </c>
      <c r="AJ37" s="561">
        <v>10226</v>
      </c>
      <c r="AK37" s="561">
        <v>1833</v>
      </c>
      <c r="AL37" s="561">
        <v>0</v>
      </c>
      <c r="AM37" s="561">
        <v>0</v>
      </c>
      <c r="AN37" s="561">
        <v>0</v>
      </c>
      <c r="AO37" s="561">
        <v>0</v>
      </c>
      <c r="AP37" s="561">
        <v>0</v>
      </c>
      <c r="AQ37" s="561">
        <v>0</v>
      </c>
      <c r="AR37" s="561">
        <v>0</v>
      </c>
      <c r="AS37" s="561">
        <v>3153</v>
      </c>
      <c r="AT37" s="561">
        <v>1266</v>
      </c>
      <c r="AU37" s="561">
        <v>0</v>
      </c>
      <c r="AV37" s="561">
        <v>0</v>
      </c>
      <c r="AW37" s="561">
        <v>0</v>
      </c>
      <c r="AX37" s="561">
        <v>6657</v>
      </c>
      <c r="AY37" s="561">
        <v>164957.79999999999</v>
      </c>
      <c r="AZ37" s="561">
        <v>0</v>
      </c>
      <c r="BA37" s="561">
        <v>15118</v>
      </c>
      <c r="BB37" s="561">
        <v>3509</v>
      </c>
      <c r="BC37" s="561">
        <v>58130</v>
      </c>
      <c r="BD37" s="561">
        <v>1512</v>
      </c>
      <c r="BE37" s="561">
        <v>5321</v>
      </c>
      <c r="BF37" s="561">
        <v>255204.8</v>
      </c>
      <c r="BG37" s="561">
        <v>19584</v>
      </c>
      <c r="BH37" s="561">
        <v>28617</v>
      </c>
      <c r="BI37" s="561">
        <v>53212</v>
      </c>
      <c r="BJ37" s="561">
        <v>31</v>
      </c>
      <c r="BK37" s="561">
        <v>83</v>
      </c>
      <c r="BL37" s="561">
        <v>0</v>
      </c>
      <c r="BM37" s="561">
        <v>774</v>
      </c>
      <c r="BN37" s="561">
        <v>60077</v>
      </c>
      <c r="BO37" s="561">
        <v>9019</v>
      </c>
      <c r="BP37" s="561">
        <v>9954</v>
      </c>
      <c r="BQ37" s="561">
        <v>2357</v>
      </c>
      <c r="BR37" s="561">
        <v>219</v>
      </c>
      <c r="BS37" s="561">
        <v>1474</v>
      </c>
      <c r="BT37" s="561">
        <v>162</v>
      </c>
      <c r="BU37" s="561">
        <v>2850</v>
      </c>
      <c r="BV37" s="561">
        <v>3258</v>
      </c>
      <c r="BW37" s="561">
        <v>23249</v>
      </c>
      <c r="BX37" s="561">
        <v>4423</v>
      </c>
      <c r="BY37" s="561">
        <v>9863</v>
      </c>
      <c r="BZ37" s="561">
        <v>209622</v>
      </c>
      <c r="CA37" s="561">
        <v>0</v>
      </c>
      <c r="CB37" s="561">
        <v>2866.5</v>
      </c>
      <c r="CC37" s="561">
        <v>2510.98</v>
      </c>
      <c r="CD37" s="561">
        <v>799.98</v>
      </c>
      <c r="CE37" s="561">
        <v>290.3</v>
      </c>
      <c r="CF37" s="561">
        <v>463.08</v>
      </c>
      <c r="CG37" s="561">
        <v>330.18</v>
      </c>
      <c r="CH37" s="561">
        <v>571.62</v>
      </c>
      <c r="CI37" s="561">
        <v>1577.9</v>
      </c>
      <c r="CJ37" s="561">
        <v>798.19</v>
      </c>
      <c r="CK37" s="561">
        <v>514.44000000000005</v>
      </c>
      <c r="CL37" s="561">
        <v>1420.63</v>
      </c>
      <c r="CM37" s="561">
        <v>3732.12</v>
      </c>
      <c r="CN37" s="561">
        <v>1932.48</v>
      </c>
      <c r="CO37" s="561">
        <v>4403.97</v>
      </c>
      <c r="CP37" s="561">
        <v>2309.73</v>
      </c>
      <c r="CQ37" s="561">
        <v>239.51</v>
      </c>
      <c r="CR37" s="561">
        <v>1278.19</v>
      </c>
      <c r="CS37" s="561">
        <v>33.020000000000003</v>
      </c>
      <c r="CT37" s="561">
        <v>4119.3900000000003</v>
      </c>
      <c r="CU37" s="561">
        <v>12244.37</v>
      </c>
      <c r="CV37" s="561">
        <v>1744.87</v>
      </c>
      <c r="CW37" s="561">
        <v>0</v>
      </c>
      <c r="CX37" s="561">
        <v>4285.05</v>
      </c>
      <c r="CY37" s="561">
        <v>6455.44</v>
      </c>
      <c r="CZ37" s="561">
        <v>54921.94</v>
      </c>
      <c r="DA37" s="561">
        <v>0</v>
      </c>
      <c r="DB37" s="561">
        <v>0</v>
      </c>
      <c r="DC37" s="561">
        <v>0</v>
      </c>
      <c r="DD37" s="561">
        <v>0</v>
      </c>
      <c r="DE37" s="561">
        <v>0</v>
      </c>
      <c r="DF37" s="561">
        <v>0</v>
      </c>
      <c r="DG37" s="561">
        <v>0</v>
      </c>
      <c r="DH37" s="561">
        <v>0</v>
      </c>
      <c r="DI37" s="561">
        <v>0</v>
      </c>
      <c r="DJ37" s="561">
        <v>0</v>
      </c>
      <c r="DK37" s="561">
        <v>0</v>
      </c>
      <c r="DL37" s="561">
        <v>0</v>
      </c>
      <c r="DM37" s="561">
        <v>0</v>
      </c>
      <c r="DN37" s="561">
        <v>488</v>
      </c>
      <c r="DO37" s="561">
        <v>562</v>
      </c>
      <c r="DP37" s="561">
        <v>0</v>
      </c>
      <c r="DQ37" s="561">
        <v>0</v>
      </c>
      <c r="DR37" s="561">
        <v>0</v>
      </c>
      <c r="DS37" s="561">
        <v>9207</v>
      </c>
      <c r="DT37" s="561">
        <v>0</v>
      </c>
      <c r="DU37" s="561">
        <v>10257</v>
      </c>
      <c r="DV37" s="561">
        <v>1110</v>
      </c>
      <c r="DW37" s="561">
        <v>0</v>
      </c>
      <c r="DX37" s="561">
        <v>0</v>
      </c>
      <c r="DY37" s="561">
        <v>3335</v>
      </c>
      <c r="DZ37" s="561">
        <v>-184</v>
      </c>
      <c r="EA37" s="561">
        <v>3933</v>
      </c>
      <c r="EB37" s="561">
        <v>0</v>
      </c>
      <c r="EC37" s="561">
        <v>18451</v>
      </c>
      <c r="ED37" s="561">
        <v>24</v>
      </c>
      <c r="EE37" s="561">
        <v>3007.6</v>
      </c>
      <c r="EF37" s="561">
        <v>35.479999999999997</v>
      </c>
      <c r="EG37" s="561">
        <v>0</v>
      </c>
      <c r="EH37" s="561">
        <v>0</v>
      </c>
      <c r="EI37" s="561">
        <v>0</v>
      </c>
      <c r="EJ37" s="561">
        <v>0</v>
      </c>
      <c r="EK37" s="561">
        <v>502</v>
      </c>
      <c r="EL37" s="561">
        <v>0</v>
      </c>
      <c r="EM37" s="561">
        <v>0</v>
      </c>
      <c r="EN37" s="561">
        <v>78.069999999999993</v>
      </c>
      <c r="EO37" s="561">
        <v>155.53</v>
      </c>
      <c r="EP37" s="561">
        <v>0</v>
      </c>
      <c r="EQ37" s="561">
        <v>996.73</v>
      </c>
      <c r="ER37" s="561">
        <v>717.22</v>
      </c>
      <c r="ES37" s="561" t="s">
        <v>4565</v>
      </c>
      <c r="ET37" s="561">
        <v>0</v>
      </c>
      <c r="EU37" s="561">
        <v>88.49</v>
      </c>
      <c r="EV37" s="561">
        <v>0</v>
      </c>
      <c r="EW37" s="561">
        <v>0</v>
      </c>
      <c r="EX37" s="561">
        <v>387.4</v>
      </c>
      <c r="EY37" s="561">
        <v>0</v>
      </c>
      <c r="EZ37" s="561">
        <v>1121.6400000000001</v>
      </c>
      <c r="FA37" s="561">
        <v>318</v>
      </c>
      <c r="FB37" s="561">
        <v>455</v>
      </c>
      <c r="FC37" s="561">
        <v>3854</v>
      </c>
      <c r="FD37" s="561">
        <v>0</v>
      </c>
      <c r="FE37" s="561">
        <v>3688</v>
      </c>
      <c r="FF37" s="561">
        <v>818</v>
      </c>
      <c r="FG37" s="561">
        <v>172</v>
      </c>
      <c r="FH37" s="561">
        <v>0</v>
      </c>
      <c r="FI37" s="561">
        <v>-1087</v>
      </c>
      <c r="FJ37" s="561">
        <v>4089</v>
      </c>
      <c r="FK37" s="561">
        <v>5756</v>
      </c>
      <c r="FL37" s="561">
        <v>0</v>
      </c>
      <c r="FM37" s="561">
        <v>405</v>
      </c>
      <c r="FN37" s="561">
        <v>4743</v>
      </c>
      <c r="FO37" s="561">
        <v>22893</v>
      </c>
      <c r="FP37" s="561">
        <v>199</v>
      </c>
      <c r="FQ37" s="561">
        <v>2</v>
      </c>
      <c r="FR37" s="561">
        <v>563</v>
      </c>
      <c r="FS37" s="561">
        <v>0</v>
      </c>
      <c r="FT37" s="561">
        <v>678</v>
      </c>
      <c r="FU37" s="561">
        <v>1747</v>
      </c>
      <c r="FV37" s="561">
        <v>1973</v>
      </c>
      <c r="FW37" s="561">
        <v>0</v>
      </c>
      <c r="FX37" s="561">
        <v>0</v>
      </c>
      <c r="FY37" s="561">
        <v>0</v>
      </c>
      <c r="FZ37" s="561">
        <v>0</v>
      </c>
      <c r="GA37" s="561">
        <v>16</v>
      </c>
      <c r="GB37" s="561">
        <v>861</v>
      </c>
      <c r="GC37" s="561">
        <v>122</v>
      </c>
      <c r="GD37" s="561">
        <v>1831</v>
      </c>
      <c r="GE37" s="561">
        <v>2091</v>
      </c>
      <c r="GF37" s="561">
        <v>942</v>
      </c>
      <c r="GG37" s="561">
        <v>0</v>
      </c>
      <c r="GH37" s="561">
        <v>438</v>
      </c>
      <c r="GI37" s="561">
        <v>0</v>
      </c>
      <c r="GJ37" s="561">
        <v>0</v>
      </c>
      <c r="GK37" s="561">
        <v>0</v>
      </c>
      <c r="GL37" s="561">
        <v>7074</v>
      </c>
      <c r="GM37" s="561">
        <v>7894</v>
      </c>
      <c r="GN37" s="561">
        <v>19826</v>
      </c>
      <c r="GO37" s="561">
        <v>1740</v>
      </c>
      <c r="GP37" s="561">
        <v>2187</v>
      </c>
      <c r="GQ37" s="561">
        <v>222</v>
      </c>
      <c r="GR37" s="561">
        <v>323</v>
      </c>
      <c r="GS37" s="561">
        <v>50530</v>
      </c>
      <c r="GT37" s="561">
        <v>251</v>
      </c>
      <c r="GU37" s="561">
        <v>599</v>
      </c>
      <c r="GV37" s="561">
        <v>543</v>
      </c>
      <c r="GW37" s="561">
        <v>4367</v>
      </c>
      <c r="GX37" s="561">
        <v>0</v>
      </c>
      <c r="GY37" s="561">
        <v>0</v>
      </c>
      <c r="GZ37" s="561">
        <v>3306</v>
      </c>
      <c r="HA37" s="561">
        <v>523</v>
      </c>
      <c r="HB37" s="561">
        <v>5681</v>
      </c>
      <c r="HC37" s="561">
        <v>7280</v>
      </c>
      <c r="HD37" s="561">
        <v>22299</v>
      </c>
      <c r="HE37" s="561">
        <v>-4</v>
      </c>
      <c r="HF37" s="561">
        <v>95722</v>
      </c>
      <c r="HG37" s="561">
        <v>447</v>
      </c>
      <c r="HH37" s="561">
        <v>0</v>
      </c>
      <c r="HI37" s="561">
        <v>0</v>
      </c>
      <c r="HJ37" s="561">
        <v>0</v>
      </c>
      <c r="HK37" s="561">
        <v>0</v>
      </c>
      <c r="HL37" s="561">
        <v>0</v>
      </c>
      <c r="HM37" s="561">
        <v>0</v>
      </c>
      <c r="HN37" s="561">
        <v>0</v>
      </c>
      <c r="HO37" s="561">
        <v>7018.99</v>
      </c>
      <c r="HP37" s="561">
        <v>2171.65</v>
      </c>
      <c r="HQ37" s="561">
        <v>0</v>
      </c>
      <c r="HR37" s="561">
        <v>0</v>
      </c>
      <c r="HS37" s="561">
        <v>1049.72</v>
      </c>
      <c r="HT37" s="561">
        <v>1625.26</v>
      </c>
      <c r="HU37" s="561">
        <v>0</v>
      </c>
      <c r="HV37" s="561">
        <v>150.94</v>
      </c>
      <c r="HW37" s="561">
        <v>822.5</v>
      </c>
      <c r="HX37" s="561">
        <v>599.38</v>
      </c>
      <c r="HY37" s="561">
        <v>429.28</v>
      </c>
      <c r="HZ37" s="561">
        <v>-144.25</v>
      </c>
      <c r="IA37" s="561">
        <v>11868.16</v>
      </c>
      <c r="IB37" s="561">
        <v>60</v>
      </c>
      <c r="IC37" s="561">
        <v>95.26</v>
      </c>
      <c r="ID37" s="561">
        <v>-5.53</v>
      </c>
      <c r="IE37" s="561">
        <v>0</v>
      </c>
      <c r="IF37" s="561">
        <v>0</v>
      </c>
      <c r="IG37" s="561">
        <v>0</v>
      </c>
      <c r="IH37" s="561">
        <v>-1711.77</v>
      </c>
      <c r="II37" s="561">
        <v>24029.59</v>
      </c>
      <c r="IJ37" s="561">
        <v>0</v>
      </c>
      <c r="IK37" s="561">
        <v>0</v>
      </c>
      <c r="IL37" s="561">
        <v>48963.33</v>
      </c>
      <c r="IM37" s="561">
        <v>0</v>
      </c>
      <c r="IN37" s="561">
        <v>0</v>
      </c>
      <c r="IO37" s="561">
        <v>19694.2</v>
      </c>
      <c r="IP37" s="561">
        <v>0</v>
      </c>
      <c r="IQ37" s="561">
        <v>0</v>
      </c>
      <c r="IR37" s="561">
        <v>356389</v>
      </c>
      <c r="IS37" s="561">
        <v>10226</v>
      </c>
      <c r="IT37" s="561">
        <v>255204.8</v>
      </c>
      <c r="IU37" s="561">
        <v>209622</v>
      </c>
      <c r="IV37" s="561">
        <v>54921.94</v>
      </c>
      <c r="IW37" s="561">
        <v>18451</v>
      </c>
      <c r="IX37" s="561">
        <v>22893</v>
      </c>
      <c r="IY37" s="561">
        <v>50530</v>
      </c>
      <c r="IZ37" s="561">
        <v>22299</v>
      </c>
      <c r="JA37" s="561">
        <v>0</v>
      </c>
      <c r="JB37" s="561">
        <v>0</v>
      </c>
      <c r="JC37" s="561">
        <v>24029.59</v>
      </c>
      <c r="JD37" s="561">
        <v>0</v>
      </c>
      <c r="JE37" s="561">
        <v>1024566.33</v>
      </c>
      <c r="JF37" s="561">
        <v>105326.06</v>
      </c>
      <c r="JG37" s="561">
        <v>0</v>
      </c>
      <c r="JH37" s="561">
        <v>0</v>
      </c>
      <c r="JI37" s="561">
        <v>0</v>
      </c>
      <c r="JJ37" s="561">
        <v>0</v>
      </c>
      <c r="JK37" s="561">
        <v>3581</v>
      </c>
      <c r="JL37" s="561">
        <v>22988</v>
      </c>
      <c r="JM37" s="561">
        <v>0</v>
      </c>
      <c r="JN37" s="561">
        <v>0</v>
      </c>
      <c r="JO37" s="561">
        <v>0</v>
      </c>
      <c r="JP37" s="561">
        <v>917.03</v>
      </c>
      <c r="JQ37" s="561">
        <v>0</v>
      </c>
      <c r="JR37" s="561">
        <v>0</v>
      </c>
      <c r="JS37" s="561">
        <v>0</v>
      </c>
      <c r="JT37" s="561">
        <v>1307</v>
      </c>
      <c r="JU37" s="561">
        <v>-602</v>
      </c>
      <c r="JV37" s="561">
        <v>1158083.42</v>
      </c>
      <c r="JW37" s="561">
        <v>278</v>
      </c>
      <c r="JX37" s="561">
        <v>5302</v>
      </c>
      <c r="JY37" s="561">
        <v>0</v>
      </c>
      <c r="JZ37" s="561">
        <v>0</v>
      </c>
      <c r="KA37" s="561">
        <v>0</v>
      </c>
      <c r="KB37" s="561">
        <v>2880</v>
      </c>
      <c r="KC37" s="561">
        <v>21543</v>
      </c>
      <c r="KD37" s="561">
        <v>9445</v>
      </c>
      <c r="KE37" s="561">
        <v>22524</v>
      </c>
      <c r="KF37" s="561">
        <v>0</v>
      </c>
      <c r="KG37" s="561">
        <v>1220055.42</v>
      </c>
      <c r="KH37" s="561">
        <v>-276</v>
      </c>
      <c r="KI37" s="561">
        <v>8893</v>
      </c>
      <c r="KJ37" s="561">
        <v>278</v>
      </c>
      <c r="KK37" s="561">
        <v>0</v>
      </c>
      <c r="KL37" s="561">
        <v>-119566.64</v>
      </c>
      <c r="KM37" s="561">
        <v>0</v>
      </c>
      <c r="KN37" s="561">
        <v>-373</v>
      </c>
      <c r="KO37" s="561">
        <v>0</v>
      </c>
      <c r="KP37" s="561">
        <v>0</v>
      </c>
      <c r="KQ37" s="561">
        <v>0</v>
      </c>
      <c r="KR37" s="561">
        <v>1109010.78</v>
      </c>
      <c r="KS37" s="561">
        <v>-395</v>
      </c>
      <c r="KT37" s="561">
        <v>-531825.52</v>
      </c>
      <c r="KU37" s="561">
        <v>576790.26</v>
      </c>
      <c r="KV37" s="561">
        <v>0</v>
      </c>
      <c r="KW37" s="561">
        <v>-9350</v>
      </c>
      <c r="KX37" s="561">
        <v>0</v>
      </c>
      <c r="KY37" s="561">
        <v>359.9</v>
      </c>
      <c r="KZ37" s="561">
        <v>36572</v>
      </c>
      <c r="LA37" s="561">
        <v>4827</v>
      </c>
      <c r="LB37" s="561">
        <v>-42975</v>
      </c>
      <c r="LC37" s="561">
        <v>0</v>
      </c>
      <c r="LD37" s="561">
        <v>-192665</v>
      </c>
      <c r="LE37" s="561">
        <v>-3395</v>
      </c>
      <c r="LF37" s="561">
        <v>-120000</v>
      </c>
      <c r="LG37" s="561">
        <v>250164</v>
      </c>
      <c r="LH37" s="561">
        <v>47097</v>
      </c>
      <c r="LI37" s="561">
        <v>0</v>
      </c>
      <c r="LJ37" s="561">
        <v>0</v>
      </c>
      <c r="LK37" s="561">
        <v>1406</v>
      </c>
      <c r="LL37" s="561">
        <v>53003</v>
      </c>
      <c r="LM37" s="561">
        <v>39642</v>
      </c>
      <c r="LN37" s="561">
        <v>37747</v>
      </c>
      <c r="LO37" s="561">
        <v>0</v>
      </c>
      <c r="LP37" s="561">
        <v>0</v>
      </c>
      <c r="LQ37" s="561">
        <v>1765.9</v>
      </c>
      <c r="LR37" s="561">
        <v>89575</v>
      </c>
      <c r="LS37" s="561">
        <v>44469</v>
      </c>
      <c r="LT37" s="561">
        <v>0</v>
      </c>
      <c r="LU37" s="561">
        <v>42217</v>
      </c>
      <c r="LV37" s="561">
        <v>0</v>
      </c>
      <c r="LW37" s="561">
        <v>-34049</v>
      </c>
      <c r="LX37" s="561">
        <v>-91468</v>
      </c>
      <c r="LY37" s="561">
        <v>43104</v>
      </c>
      <c r="LZ37" s="561">
        <v>-51175</v>
      </c>
      <c r="MA37" s="561">
        <v>0</v>
      </c>
      <c r="MB37" s="561">
        <v>0</v>
      </c>
      <c r="MC37" s="561">
        <v>3545.08</v>
      </c>
      <c r="MD37" s="561">
        <v>2423.44</v>
      </c>
      <c r="ME37" s="561">
        <v>1121.6400000000001</v>
      </c>
      <c r="MF37" s="561">
        <v>318</v>
      </c>
      <c r="MG37" s="561">
        <v>1439.64</v>
      </c>
      <c r="MH37" s="561">
        <v>15407.25</v>
      </c>
      <c r="MI37" s="561">
        <v>22346.799999999999</v>
      </c>
      <c r="MJ37" s="561">
        <v>37754.050000000003</v>
      </c>
      <c r="MK37" s="561">
        <v>0</v>
      </c>
      <c r="ML37" s="561">
        <v>2934</v>
      </c>
      <c r="MM37" s="561">
        <v>67779</v>
      </c>
      <c r="MN37" s="561">
        <v>18862</v>
      </c>
      <c r="MO37" s="561">
        <v>0</v>
      </c>
      <c r="MP37" s="561">
        <v>0</v>
      </c>
      <c r="MQ37" s="561">
        <v>356389</v>
      </c>
      <c r="MR37" s="561">
        <v>10226</v>
      </c>
      <c r="MS37" s="561">
        <v>255204.8</v>
      </c>
      <c r="MT37" s="561">
        <v>209622</v>
      </c>
      <c r="MU37" s="561">
        <v>54921.94</v>
      </c>
      <c r="MV37" s="561">
        <v>18451</v>
      </c>
      <c r="MW37" s="561">
        <v>22893</v>
      </c>
      <c r="MX37" s="561">
        <v>50530</v>
      </c>
      <c r="MY37" s="561">
        <v>22299</v>
      </c>
      <c r="MZ37" s="561">
        <v>0</v>
      </c>
      <c r="NA37" s="561">
        <v>0</v>
      </c>
      <c r="NB37" s="561">
        <v>24029.59</v>
      </c>
      <c r="NC37" s="561">
        <v>0</v>
      </c>
      <c r="ND37" s="561">
        <v>1024566.33</v>
      </c>
      <c r="NE37" s="561">
        <v>0</v>
      </c>
      <c r="NF37" s="561">
        <v>0</v>
      </c>
      <c r="NG37" s="561">
        <v>0</v>
      </c>
      <c r="NH37" s="561">
        <v>0</v>
      </c>
      <c r="NI37" s="561">
        <v>0</v>
      </c>
      <c r="NJ37" s="561">
        <v>0</v>
      </c>
      <c r="NK37" s="561">
        <v>0</v>
      </c>
      <c r="NL37" s="561">
        <v>0</v>
      </c>
      <c r="NM37" s="561">
        <v>0</v>
      </c>
      <c r="NN37" s="561">
        <v>0</v>
      </c>
      <c r="NO37" s="561">
        <v>0</v>
      </c>
      <c r="NP37" s="561">
        <v>0</v>
      </c>
      <c r="NQ37" s="561">
        <v>0</v>
      </c>
      <c r="NR37" s="561">
        <v>0</v>
      </c>
      <c r="NS37" s="561">
        <v>917.03</v>
      </c>
      <c r="NT37" s="561">
        <v>0</v>
      </c>
      <c r="NU37" s="561">
        <v>0</v>
      </c>
      <c r="NV37" s="561">
        <v>0</v>
      </c>
      <c r="NW37" s="561">
        <v>917.03</v>
      </c>
      <c r="NX37" s="561">
        <v>0</v>
      </c>
      <c r="NY37" s="561">
        <v>917.03</v>
      </c>
      <c r="NZ37" s="561">
        <v>0</v>
      </c>
      <c r="OA37" s="561">
        <v>0</v>
      </c>
      <c r="OB37" s="561">
        <v>0</v>
      </c>
      <c r="OC37" s="561">
        <v>0</v>
      </c>
      <c r="OD37" s="561">
        <v>0</v>
      </c>
      <c r="OE37" s="561">
        <v>0</v>
      </c>
      <c r="OF37" s="561">
        <v>0</v>
      </c>
      <c r="OG37" s="561">
        <v>0</v>
      </c>
      <c r="OH37" s="561">
        <v>0</v>
      </c>
      <c r="OI37" s="561">
        <v>0</v>
      </c>
      <c r="OJ37" s="561">
        <v>0</v>
      </c>
      <c r="OK37" s="561">
        <v>0</v>
      </c>
      <c r="OL37" s="561">
        <v>0</v>
      </c>
      <c r="OM37" s="561">
        <v>0</v>
      </c>
      <c r="ON37" s="561">
        <v>0</v>
      </c>
      <c r="OO37" s="561">
        <v>0</v>
      </c>
      <c r="OP37" s="561">
        <v>0</v>
      </c>
      <c r="OQ37" s="561">
        <v>0</v>
      </c>
      <c r="OR37" s="561">
        <v>0</v>
      </c>
      <c r="OS37" s="561">
        <v>0</v>
      </c>
      <c r="OT37" s="561">
        <v>0</v>
      </c>
      <c r="OU37" s="561">
        <v>0</v>
      </c>
      <c r="OV37" s="561">
        <v>0</v>
      </c>
      <c r="OW37" s="561">
        <v>0</v>
      </c>
      <c r="OX37" s="561">
        <v>0</v>
      </c>
      <c r="OY37" s="561">
        <v>0</v>
      </c>
      <c r="OZ37" s="561">
        <v>0</v>
      </c>
      <c r="PA37" s="561">
        <v>0</v>
      </c>
      <c r="PB37" s="561">
        <v>0</v>
      </c>
      <c r="PC37" s="561">
        <v>0</v>
      </c>
      <c r="PD37" s="561">
        <v>0</v>
      </c>
      <c r="PE37" s="561">
        <v>0</v>
      </c>
      <c r="PF37" s="561">
        <v>0</v>
      </c>
      <c r="PG37" s="561">
        <v>0</v>
      </c>
      <c r="PH37" s="561">
        <v>0</v>
      </c>
      <c r="PI37" s="561">
        <v>0</v>
      </c>
      <c r="PJ37" s="561">
        <v>0</v>
      </c>
    </row>
    <row r="38" spans="1:426" ht="14" x14ac:dyDescent="0.3">
      <c r="A38" t="s">
        <v>2541</v>
      </c>
      <c r="B38" t="s">
        <v>2542</v>
      </c>
      <c r="C38" t="s">
        <v>2543</v>
      </c>
      <c r="E38" t="s">
        <v>384</v>
      </c>
      <c r="F38" s="561">
        <v>0</v>
      </c>
      <c r="G38" s="561">
        <v>0</v>
      </c>
      <c r="H38" s="561">
        <v>0</v>
      </c>
      <c r="I38" s="561">
        <v>0</v>
      </c>
      <c r="J38" s="561">
        <v>0</v>
      </c>
      <c r="K38" s="561">
        <v>0</v>
      </c>
      <c r="L38" s="561">
        <v>0</v>
      </c>
      <c r="M38" s="561">
        <v>0</v>
      </c>
      <c r="N38" s="561">
        <v>5</v>
      </c>
      <c r="O38" s="561">
        <v>0</v>
      </c>
      <c r="P38" s="561">
        <v>0</v>
      </c>
      <c r="Q38" s="561">
        <v>0</v>
      </c>
      <c r="R38" s="561">
        <v>0</v>
      </c>
      <c r="S38" s="561">
        <v>0</v>
      </c>
      <c r="T38" s="561">
        <v>0</v>
      </c>
      <c r="U38" s="561">
        <v>0</v>
      </c>
      <c r="V38" s="561">
        <v>12</v>
      </c>
      <c r="W38" s="561">
        <v>0</v>
      </c>
      <c r="X38" s="561">
        <v>0</v>
      </c>
      <c r="Y38" s="561">
        <v>0</v>
      </c>
      <c r="Z38" s="561">
        <v>0</v>
      </c>
      <c r="AA38" s="561">
        <v>0</v>
      </c>
      <c r="AB38" s="561">
        <v>-730</v>
      </c>
      <c r="AC38" s="561">
        <v>0</v>
      </c>
      <c r="AD38" s="561">
        <v>0</v>
      </c>
      <c r="AE38" s="561">
        <v>189</v>
      </c>
      <c r="AF38" s="561">
        <v>0</v>
      </c>
      <c r="AG38" s="561">
        <v>0</v>
      </c>
      <c r="AH38" s="561">
        <v>0</v>
      </c>
      <c r="AI38" s="561">
        <v>0</v>
      </c>
      <c r="AJ38" s="561">
        <v>-524</v>
      </c>
      <c r="AK38" s="561">
        <v>0</v>
      </c>
      <c r="AL38" s="561">
        <v>0</v>
      </c>
      <c r="AM38" s="561">
        <v>0</v>
      </c>
      <c r="AN38" s="561">
        <v>0</v>
      </c>
      <c r="AO38" s="561">
        <v>0</v>
      </c>
      <c r="AP38" s="561">
        <v>0</v>
      </c>
      <c r="AQ38" s="561">
        <v>0</v>
      </c>
      <c r="AR38" s="561">
        <v>0</v>
      </c>
      <c r="AS38" s="561">
        <v>0</v>
      </c>
      <c r="AT38" s="561">
        <v>0</v>
      </c>
      <c r="AU38" s="561">
        <v>0</v>
      </c>
      <c r="AV38" s="561">
        <v>0</v>
      </c>
      <c r="AW38" s="561">
        <v>0</v>
      </c>
      <c r="AX38" s="561">
        <v>0</v>
      </c>
      <c r="AY38" s="561">
        <v>0</v>
      </c>
      <c r="AZ38" s="561">
        <v>0</v>
      </c>
      <c r="BA38" s="561">
        <v>0</v>
      </c>
      <c r="BB38" s="561">
        <v>0</v>
      </c>
      <c r="BC38" s="561">
        <v>0</v>
      </c>
      <c r="BD38" s="561">
        <v>0</v>
      </c>
      <c r="BE38" s="561">
        <v>0</v>
      </c>
      <c r="BF38" s="561">
        <v>0</v>
      </c>
      <c r="BG38" s="561">
        <v>0</v>
      </c>
      <c r="BH38" s="561">
        <v>0</v>
      </c>
      <c r="BI38" s="561">
        <v>0</v>
      </c>
      <c r="BJ38" s="561">
        <v>0</v>
      </c>
      <c r="BK38" s="561">
        <v>0</v>
      </c>
      <c r="BL38" s="561">
        <v>0</v>
      </c>
      <c r="BM38" s="561">
        <v>0</v>
      </c>
      <c r="BN38" s="561">
        <v>0</v>
      </c>
      <c r="BO38" s="561">
        <v>0</v>
      </c>
      <c r="BP38" s="561">
        <v>0</v>
      </c>
      <c r="BQ38" s="561">
        <v>0</v>
      </c>
      <c r="BR38" s="561">
        <v>0</v>
      </c>
      <c r="BS38" s="561">
        <v>0</v>
      </c>
      <c r="BT38" s="561">
        <v>0</v>
      </c>
      <c r="BU38" s="561">
        <v>0</v>
      </c>
      <c r="BV38" s="561">
        <v>0</v>
      </c>
      <c r="BW38" s="561">
        <v>0</v>
      </c>
      <c r="BX38" s="561">
        <v>0</v>
      </c>
      <c r="BY38" s="561">
        <v>0</v>
      </c>
      <c r="BZ38" s="561">
        <v>0</v>
      </c>
      <c r="CA38" s="561">
        <v>0</v>
      </c>
      <c r="CB38" s="561">
        <v>0</v>
      </c>
      <c r="CC38" s="561">
        <v>0</v>
      </c>
      <c r="CD38" s="561">
        <v>0</v>
      </c>
      <c r="CE38" s="561">
        <v>0</v>
      </c>
      <c r="CF38" s="561">
        <v>0</v>
      </c>
      <c r="CG38" s="561">
        <v>0</v>
      </c>
      <c r="CH38" s="561">
        <v>0</v>
      </c>
      <c r="CI38" s="561">
        <v>0</v>
      </c>
      <c r="CJ38" s="561">
        <v>0</v>
      </c>
      <c r="CK38" s="561">
        <v>0</v>
      </c>
      <c r="CL38" s="561">
        <v>0</v>
      </c>
      <c r="CM38" s="561">
        <v>0</v>
      </c>
      <c r="CN38" s="561">
        <v>0</v>
      </c>
      <c r="CO38" s="561">
        <v>0</v>
      </c>
      <c r="CP38" s="561">
        <v>0</v>
      </c>
      <c r="CQ38" s="561">
        <v>0</v>
      </c>
      <c r="CR38" s="561">
        <v>0</v>
      </c>
      <c r="CS38" s="561">
        <v>0</v>
      </c>
      <c r="CT38" s="561">
        <v>0</v>
      </c>
      <c r="CU38" s="561">
        <v>0</v>
      </c>
      <c r="CV38" s="561">
        <v>0</v>
      </c>
      <c r="CW38" s="561">
        <v>0</v>
      </c>
      <c r="CX38" s="561">
        <v>0</v>
      </c>
      <c r="CY38" s="561">
        <v>0</v>
      </c>
      <c r="CZ38" s="561">
        <v>0</v>
      </c>
      <c r="DA38" s="561">
        <v>0</v>
      </c>
      <c r="DB38" s="561">
        <v>0</v>
      </c>
      <c r="DC38" s="561">
        <v>0</v>
      </c>
      <c r="DD38" s="561">
        <v>0</v>
      </c>
      <c r="DE38" s="561">
        <v>0</v>
      </c>
      <c r="DF38" s="561">
        <v>0</v>
      </c>
      <c r="DG38" s="561">
        <v>0</v>
      </c>
      <c r="DH38" s="561">
        <v>527</v>
      </c>
      <c r="DI38" s="561">
        <v>0</v>
      </c>
      <c r="DJ38" s="561">
        <v>66</v>
      </c>
      <c r="DK38" s="561">
        <v>0</v>
      </c>
      <c r="DL38" s="561">
        <v>35</v>
      </c>
      <c r="DM38" s="561">
        <v>0</v>
      </c>
      <c r="DN38" s="561">
        <v>0</v>
      </c>
      <c r="DO38" s="561">
        <v>131</v>
      </c>
      <c r="DP38" s="561">
        <v>17</v>
      </c>
      <c r="DQ38" s="561">
        <v>14</v>
      </c>
      <c r="DR38" s="561">
        <v>58</v>
      </c>
      <c r="DS38" s="561">
        <v>838</v>
      </c>
      <c r="DT38" s="561">
        <v>717</v>
      </c>
      <c r="DU38" s="561">
        <v>1810</v>
      </c>
      <c r="DV38" s="561">
        <v>0</v>
      </c>
      <c r="DW38" s="561">
        <v>11</v>
      </c>
      <c r="DX38" s="561">
        <v>0</v>
      </c>
      <c r="DY38" s="561">
        <v>608</v>
      </c>
      <c r="DZ38" s="561">
        <v>0</v>
      </c>
      <c r="EA38" s="561">
        <v>69</v>
      </c>
      <c r="EB38" s="561">
        <v>0</v>
      </c>
      <c r="EC38" s="561">
        <v>3091</v>
      </c>
      <c r="ED38" s="561">
        <v>171</v>
      </c>
      <c r="EE38" s="561">
        <v>0</v>
      </c>
      <c r="EF38" s="561">
        <v>0</v>
      </c>
      <c r="EG38" s="561">
        <v>0</v>
      </c>
      <c r="EH38" s="561">
        <v>0</v>
      </c>
      <c r="EI38" s="561">
        <v>0</v>
      </c>
      <c r="EJ38" s="561">
        <v>0</v>
      </c>
      <c r="EK38" s="561">
        <v>0</v>
      </c>
      <c r="EL38" s="561">
        <v>0</v>
      </c>
      <c r="EM38" s="561">
        <v>0</v>
      </c>
      <c r="EN38" s="561">
        <v>0</v>
      </c>
      <c r="EO38" s="561">
        <v>0</v>
      </c>
      <c r="EP38" s="561">
        <v>0</v>
      </c>
      <c r="EQ38" s="561">
        <v>0</v>
      </c>
      <c r="ER38" s="561">
        <v>0</v>
      </c>
      <c r="ES38" s="561" t="s">
        <v>4565</v>
      </c>
      <c r="ET38" s="561">
        <v>0</v>
      </c>
      <c r="EU38" s="561">
        <v>0</v>
      </c>
      <c r="EV38" s="561">
        <v>0</v>
      </c>
      <c r="EW38" s="561">
        <v>0</v>
      </c>
      <c r="EX38" s="561">
        <v>0</v>
      </c>
      <c r="EY38" s="561">
        <v>0</v>
      </c>
      <c r="EZ38" s="561">
        <v>0</v>
      </c>
      <c r="FA38" s="561">
        <v>0</v>
      </c>
      <c r="FB38" s="561">
        <v>0</v>
      </c>
      <c r="FC38" s="561">
        <v>0</v>
      </c>
      <c r="FD38" s="561">
        <v>15</v>
      </c>
      <c r="FE38" s="561">
        <v>177</v>
      </c>
      <c r="FF38" s="561">
        <v>0</v>
      </c>
      <c r="FG38" s="561">
        <v>235</v>
      </c>
      <c r="FH38" s="561">
        <v>0</v>
      </c>
      <c r="FI38" s="561">
        <v>0</v>
      </c>
      <c r="FJ38" s="561">
        <v>406</v>
      </c>
      <c r="FK38" s="561">
        <v>1418</v>
      </c>
      <c r="FL38" s="561">
        <v>-5</v>
      </c>
      <c r="FM38" s="561">
        <v>0</v>
      </c>
      <c r="FN38" s="561">
        <v>0</v>
      </c>
      <c r="FO38" s="561">
        <v>2246</v>
      </c>
      <c r="FP38" s="561">
        <v>3</v>
      </c>
      <c r="FQ38" s="561">
        <v>202</v>
      </c>
      <c r="FR38" s="561">
        <v>0</v>
      </c>
      <c r="FS38" s="561">
        <v>0</v>
      </c>
      <c r="FT38" s="561">
        <v>306</v>
      </c>
      <c r="FU38" s="561">
        <v>618</v>
      </c>
      <c r="FV38" s="561">
        <v>76</v>
      </c>
      <c r="FW38" s="561">
        <v>0</v>
      </c>
      <c r="FX38" s="561">
        <v>0</v>
      </c>
      <c r="FY38" s="561">
        <v>0</v>
      </c>
      <c r="FZ38" s="561">
        <v>39</v>
      </c>
      <c r="GA38" s="561">
        <v>71</v>
      </c>
      <c r="GB38" s="561">
        <v>90</v>
      </c>
      <c r="GC38" s="561">
        <v>-34</v>
      </c>
      <c r="GD38" s="561">
        <v>0</v>
      </c>
      <c r="GE38" s="561">
        <v>453</v>
      </c>
      <c r="GF38" s="561">
        <v>63</v>
      </c>
      <c r="GG38" s="561">
        <v>0</v>
      </c>
      <c r="GH38" s="561">
        <v>1</v>
      </c>
      <c r="GI38" s="561">
        <v>0</v>
      </c>
      <c r="GJ38" s="561">
        <v>0</v>
      </c>
      <c r="GK38" s="561">
        <v>0</v>
      </c>
      <c r="GL38" s="561">
        <v>2207</v>
      </c>
      <c r="GM38" s="561">
        <v>1708</v>
      </c>
      <c r="GN38" s="561">
        <v>392</v>
      </c>
      <c r="GO38" s="561">
        <v>-204</v>
      </c>
      <c r="GP38" s="561">
        <v>1072</v>
      </c>
      <c r="GQ38" s="561">
        <v>0</v>
      </c>
      <c r="GR38" s="561">
        <v>84</v>
      </c>
      <c r="GS38" s="561">
        <v>7144</v>
      </c>
      <c r="GT38" s="561">
        <v>597</v>
      </c>
      <c r="GU38" s="561">
        <v>404</v>
      </c>
      <c r="GV38" s="561">
        <v>1371</v>
      </c>
      <c r="GW38" s="561">
        <v>0</v>
      </c>
      <c r="GX38" s="561">
        <v>694</v>
      </c>
      <c r="GY38" s="561">
        <v>90</v>
      </c>
      <c r="GZ38" s="561">
        <v>509</v>
      </c>
      <c r="HA38" s="561">
        <v>0</v>
      </c>
      <c r="HB38" s="561">
        <v>20</v>
      </c>
      <c r="HC38" s="561">
        <v>0</v>
      </c>
      <c r="HD38" s="561">
        <v>3088</v>
      </c>
      <c r="HE38" s="561">
        <v>409</v>
      </c>
      <c r="HF38" s="561">
        <v>12478</v>
      </c>
      <c r="HG38" s="561">
        <v>1009</v>
      </c>
      <c r="HH38" s="561">
        <v>0</v>
      </c>
      <c r="HI38" s="561">
        <v>0</v>
      </c>
      <c r="HJ38" s="561">
        <v>0</v>
      </c>
      <c r="HK38" s="561">
        <v>0</v>
      </c>
      <c r="HL38" s="561">
        <v>0</v>
      </c>
      <c r="HM38" s="561">
        <v>0</v>
      </c>
      <c r="HN38" s="561">
        <v>0</v>
      </c>
      <c r="HO38" s="561">
        <v>4112</v>
      </c>
      <c r="HP38" s="561">
        <v>804</v>
      </c>
      <c r="HQ38" s="561">
        <v>0</v>
      </c>
      <c r="HR38" s="561">
        <v>0</v>
      </c>
      <c r="HS38" s="561">
        <v>403</v>
      </c>
      <c r="HT38" s="561">
        <v>-13</v>
      </c>
      <c r="HU38" s="561">
        <v>0</v>
      </c>
      <c r="HV38" s="561">
        <v>0</v>
      </c>
      <c r="HW38" s="561">
        <v>233</v>
      </c>
      <c r="HX38" s="561">
        <v>75</v>
      </c>
      <c r="HY38" s="561">
        <v>56</v>
      </c>
      <c r="HZ38" s="561">
        <v>-68</v>
      </c>
      <c r="IA38" s="561">
        <v>0</v>
      </c>
      <c r="IB38" s="561">
        <v>208</v>
      </c>
      <c r="IC38" s="561">
        <v>0</v>
      </c>
      <c r="ID38" s="561">
        <v>0</v>
      </c>
      <c r="IE38" s="561">
        <v>642</v>
      </c>
      <c r="IF38" s="561">
        <v>0</v>
      </c>
      <c r="IG38" s="561">
        <v>0</v>
      </c>
      <c r="IH38" s="561">
        <v>6</v>
      </c>
      <c r="II38" s="561">
        <v>6458</v>
      </c>
      <c r="IJ38" s="561">
        <v>517</v>
      </c>
      <c r="IK38" s="561">
        <v>13354</v>
      </c>
      <c r="IL38" s="561">
        <v>0</v>
      </c>
      <c r="IM38" s="561">
        <v>0</v>
      </c>
      <c r="IN38" s="561">
        <v>67</v>
      </c>
      <c r="IO38" s="561">
        <v>683</v>
      </c>
      <c r="IP38" s="561">
        <v>1156</v>
      </c>
      <c r="IQ38" s="561">
        <v>64</v>
      </c>
      <c r="IR38" s="561">
        <v>0</v>
      </c>
      <c r="IS38" s="561">
        <v>-524</v>
      </c>
      <c r="IT38" s="561">
        <v>0</v>
      </c>
      <c r="IU38" s="561">
        <v>0</v>
      </c>
      <c r="IV38" s="561">
        <v>0</v>
      </c>
      <c r="IW38" s="561">
        <v>3091</v>
      </c>
      <c r="IX38" s="561">
        <v>2246</v>
      </c>
      <c r="IY38" s="561">
        <v>7144</v>
      </c>
      <c r="IZ38" s="561">
        <v>3088</v>
      </c>
      <c r="JA38" s="561">
        <v>0</v>
      </c>
      <c r="JB38" s="561">
        <v>0</v>
      </c>
      <c r="JC38" s="561">
        <v>6458</v>
      </c>
      <c r="JD38" s="561">
        <v>1156</v>
      </c>
      <c r="JE38" s="561">
        <v>22659</v>
      </c>
      <c r="JF38" s="561">
        <v>24168</v>
      </c>
      <c r="JG38" s="561">
        <v>0</v>
      </c>
      <c r="JH38" s="561">
        <v>0</v>
      </c>
      <c r="JI38" s="561">
        <v>0</v>
      </c>
      <c r="JJ38" s="561">
        <v>0</v>
      </c>
      <c r="JK38" s="561">
        <v>3294</v>
      </c>
      <c r="JL38" s="561">
        <v>0</v>
      </c>
      <c r="JM38" s="561">
        <v>0</v>
      </c>
      <c r="JN38" s="561">
        <v>0</v>
      </c>
      <c r="JO38" s="561">
        <v>0</v>
      </c>
      <c r="JP38" s="561">
        <v>-2314</v>
      </c>
      <c r="JQ38" s="561">
        <v>0</v>
      </c>
      <c r="JR38" s="561">
        <v>0</v>
      </c>
      <c r="JS38" s="561">
        <v>0</v>
      </c>
      <c r="JT38" s="561">
        <v>0</v>
      </c>
      <c r="JU38" s="561">
        <v>0</v>
      </c>
      <c r="JV38" s="561">
        <v>47807</v>
      </c>
      <c r="JW38" s="561">
        <v>0</v>
      </c>
      <c r="JX38" s="561">
        <v>151</v>
      </c>
      <c r="JY38" s="561">
        <v>0</v>
      </c>
      <c r="JZ38" s="561">
        <v>0</v>
      </c>
      <c r="KA38" s="561">
        <v>0</v>
      </c>
      <c r="KB38" s="561">
        <v>-11</v>
      </c>
      <c r="KC38" s="561">
        <v>797</v>
      </c>
      <c r="KD38" s="561">
        <v>827</v>
      </c>
      <c r="KE38" s="561">
        <v>134</v>
      </c>
      <c r="KF38" s="561">
        <v>0</v>
      </c>
      <c r="KG38" s="561">
        <v>49705</v>
      </c>
      <c r="KH38" s="561">
        <v>-3953</v>
      </c>
      <c r="KI38" s="561">
        <v>0</v>
      </c>
      <c r="KJ38" s="561">
        <v>70</v>
      </c>
      <c r="KK38" s="561">
        <v>0</v>
      </c>
      <c r="KL38" s="561">
        <v>-23695</v>
      </c>
      <c r="KM38" s="561">
        <v>0</v>
      </c>
      <c r="KN38" s="561">
        <v>0</v>
      </c>
      <c r="KO38" s="561">
        <v>0</v>
      </c>
      <c r="KP38" s="561">
        <v>0</v>
      </c>
      <c r="KQ38" s="561">
        <v>0</v>
      </c>
      <c r="KR38" s="561">
        <v>22127</v>
      </c>
      <c r="KS38" s="561">
        <v>0</v>
      </c>
      <c r="KT38" s="561">
        <v>-4933</v>
      </c>
      <c r="KU38" s="561">
        <v>17194</v>
      </c>
      <c r="KV38" s="561">
        <v>0</v>
      </c>
      <c r="KW38" s="561">
        <v>0</v>
      </c>
      <c r="KX38" s="561">
        <v>0</v>
      </c>
      <c r="KY38" s="561">
        <v>0</v>
      </c>
      <c r="KZ38" s="561">
        <v>3598</v>
      </c>
      <c r="LA38" s="561">
        <v>1779</v>
      </c>
      <c r="LB38" s="561">
        <v>-185</v>
      </c>
      <c r="LC38" s="561">
        <v>0</v>
      </c>
      <c r="LD38" s="561">
        <v>-7424</v>
      </c>
      <c r="LE38" s="561">
        <v>-282</v>
      </c>
      <c r="LF38" s="561">
        <v>0</v>
      </c>
      <c r="LG38" s="561">
        <v>14680</v>
      </c>
      <c r="LH38" s="561">
        <v>0</v>
      </c>
      <c r="LI38" s="561">
        <v>0</v>
      </c>
      <c r="LJ38" s="561">
        <v>0</v>
      </c>
      <c r="LK38" s="561">
        <v>0</v>
      </c>
      <c r="LL38" s="561">
        <v>28277</v>
      </c>
      <c r="LM38" s="561">
        <v>8437</v>
      </c>
      <c r="LN38" s="561">
        <v>0</v>
      </c>
      <c r="LO38" s="561">
        <v>0</v>
      </c>
      <c r="LP38" s="561">
        <v>0</v>
      </c>
      <c r="LQ38" s="561">
        <v>0</v>
      </c>
      <c r="LR38" s="561">
        <v>31875</v>
      </c>
      <c r="LS38" s="561">
        <v>10216</v>
      </c>
      <c r="LT38" s="561">
        <v>0</v>
      </c>
      <c r="LU38" s="561">
        <v>5480</v>
      </c>
      <c r="LV38" s="561">
        <v>884</v>
      </c>
      <c r="LW38" s="561">
        <v>0</v>
      </c>
      <c r="LX38" s="561">
        <v>-2079</v>
      </c>
      <c r="LY38" s="561">
        <v>2416</v>
      </c>
      <c r="LZ38" s="561">
        <v>5796</v>
      </c>
      <c r="MA38" s="561">
        <v>0</v>
      </c>
      <c r="MB38" s="561">
        <v>0</v>
      </c>
      <c r="MC38" s="561">
        <v>0</v>
      </c>
      <c r="MD38" s="561">
        <v>0</v>
      </c>
      <c r="ME38" s="561">
        <v>0</v>
      </c>
      <c r="MF38" s="561">
        <v>0</v>
      </c>
      <c r="MG38" s="561">
        <v>0</v>
      </c>
      <c r="MH38" s="561">
        <v>3877</v>
      </c>
      <c r="MI38" s="561">
        <v>3884</v>
      </c>
      <c r="MJ38" s="561">
        <v>7761</v>
      </c>
      <c r="MK38" s="561">
        <v>0</v>
      </c>
      <c r="ML38" s="561">
        <v>0</v>
      </c>
      <c r="MM38" s="561">
        <v>24488</v>
      </c>
      <c r="MN38" s="561">
        <v>3027</v>
      </c>
      <c r="MO38" s="561">
        <v>4360</v>
      </c>
      <c r="MP38" s="561">
        <v>0</v>
      </c>
      <c r="MQ38" s="561">
        <v>0</v>
      </c>
      <c r="MR38" s="561">
        <v>-524</v>
      </c>
      <c r="MS38" s="561">
        <v>0</v>
      </c>
      <c r="MT38" s="561">
        <v>0</v>
      </c>
      <c r="MU38" s="561">
        <v>0</v>
      </c>
      <c r="MV38" s="561">
        <v>3091</v>
      </c>
      <c r="MW38" s="561">
        <v>2246</v>
      </c>
      <c r="MX38" s="561">
        <v>7144</v>
      </c>
      <c r="MY38" s="561">
        <v>3088</v>
      </c>
      <c r="MZ38" s="561">
        <v>0</v>
      </c>
      <c r="NA38" s="561">
        <v>0</v>
      </c>
      <c r="NB38" s="561">
        <v>6458</v>
      </c>
      <c r="NC38" s="561">
        <v>1156</v>
      </c>
      <c r="ND38" s="561">
        <v>22659</v>
      </c>
      <c r="NE38" s="561">
        <v>0</v>
      </c>
      <c r="NF38" s="561">
        <v>0</v>
      </c>
      <c r="NG38" s="561">
        <v>0</v>
      </c>
      <c r="NH38" s="561">
        <v>0</v>
      </c>
      <c r="NI38" s="561">
        <v>0</v>
      </c>
      <c r="NJ38" s="561">
        <v>0</v>
      </c>
      <c r="NK38" s="561">
        <v>0</v>
      </c>
      <c r="NL38" s="561">
        <v>0</v>
      </c>
      <c r="NM38" s="561">
        <v>0</v>
      </c>
      <c r="NN38" s="561">
        <v>0</v>
      </c>
      <c r="NO38" s="561">
        <v>0</v>
      </c>
      <c r="NP38" s="561">
        <v>0</v>
      </c>
      <c r="NQ38" s="561">
        <v>0</v>
      </c>
      <c r="NR38" s="561">
        <v>0</v>
      </c>
      <c r="NS38" s="561">
        <v>0</v>
      </c>
      <c r="NT38" s="561">
        <v>-2314</v>
      </c>
      <c r="NU38" s="561">
        <v>-1221</v>
      </c>
      <c r="NV38" s="561">
        <v>0</v>
      </c>
      <c r="NW38" s="561">
        <v>-2314</v>
      </c>
      <c r="NX38" s="561">
        <v>0</v>
      </c>
      <c r="NY38" s="561">
        <v>-2314</v>
      </c>
      <c r="NZ38" s="561">
        <v>0</v>
      </c>
      <c r="OA38" s="561">
        <v>0</v>
      </c>
      <c r="OB38" s="561">
        <v>0</v>
      </c>
      <c r="OC38" s="561">
        <v>0</v>
      </c>
      <c r="OD38" s="561">
        <v>0</v>
      </c>
      <c r="OE38" s="561">
        <v>0</v>
      </c>
      <c r="OF38" s="561">
        <v>0</v>
      </c>
      <c r="OG38" s="561">
        <v>0</v>
      </c>
      <c r="OH38" s="561">
        <v>0</v>
      </c>
      <c r="OI38" s="561">
        <v>0</v>
      </c>
      <c r="OJ38" s="561">
        <v>0</v>
      </c>
      <c r="OK38" s="561">
        <v>0</v>
      </c>
      <c r="OL38" s="561">
        <v>0</v>
      </c>
      <c r="OM38" s="561">
        <v>0</v>
      </c>
      <c r="ON38" s="561">
        <v>0</v>
      </c>
      <c r="OO38" s="561">
        <v>0</v>
      </c>
      <c r="OP38" s="561">
        <v>0</v>
      </c>
      <c r="OQ38" s="561">
        <v>0</v>
      </c>
      <c r="OR38" s="561">
        <v>0</v>
      </c>
      <c r="OS38" s="561">
        <v>0</v>
      </c>
      <c r="OT38" s="561">
        <v>0</v>
      </c>
      <c r="OU38" s="561">
        <v>0</v>
      </c>
      <c r="OV38" s="561">
        <v>0</v>
      </c>
      <c r="OW38" s="561">
        <v>0</v>
      </c>
      <c r="OX38" s="561">
        <v>0</v>
      </c>
      <c r="OY38" s="561">
        <v>0</v>
      </c>
      <c r="OZ38" s="561">
        <v>0</v>
      </c>
      <c r="PA38" s="561">
        <v>0</v>
      </c>
      <c r="PB38" s="561">
        <v>0</v>
      </c>
      <c r="PC38" s="561">
        <v>0</v>
      </c>
      <c r="PD38" s="561">
        <v>0</v>
      </c>
      <c r="PE38" s="561">
        <v>0</v>
      </c>
      <c r="PF38" s="561">
        <v>0</v>
      </c>
      <c r="PG38" s="561">
        <v>0</v>
      </c>
      <c r="PH38" s="561">
        <v>0</v>
      </c>
      <c r="PI38" s="561">
        <v>0</v>
      </c>
      <c r="PJ38" s="561">
        <v>0</v>
      </c>
    </row>
    <row r="39" spans="1:426" ht="14" x14ac:dyDescent="0.3">
      <c r="A39" t="s">
        <v>2544</v>
      </c>
      <c r="B39" t="s">
        <v>2545</v>
      </c>
      <c r="C39" t="s">
        <v>2546</v>
      </c>
      <c r="E39" t="s">
        <v>384</v>
      </c>
      <c r="F39" s="561">
        <v>0</v>
      </c>
      <c r="G39" s="561">
        <v>0</v>
      </c>
      <c r="H39" s="561">
        <v>0</v>
      </c>
      <c r="I39" s="561">
        <v>0</v>
      </c>
      <c r="J39" s="561">
        <v>0</v>
      </c>
      <c r="K39" s="561">
        <v>0</v>
      </c>
      <c r="L39" s="561">
        <v>0</v>
      </c>
      <c r="M39" s="561">
        <v>0</v>
      </c>
      <c r="N39" s="561">
        <v>0</v>
      </c>
      <c r="O39" s="561">
        <v>0</v>
      </c>
      <c r="P39" s="561">
        <v>0</v>
      </c>
      <c r="Q39" s="561">
        <v>313.31</v>
      </c>
      <c r="R39" s="561">
        <v>0</v>
      </c>
      <c r="S39" s="561">
        <v>0</v>
      </c>
      <c r="T39" s="561">
        <v>0</v>
      </c>
      <c r="U39" s="561">
        <v>0</v>
      </c>
      <c r="V39" s="561">
        <v>91.2</v>
      </c>
      <c r="W39" s="561">
        <v>0</v>
      </c>
      <c r="X39" s="561">
        <v>0</v>
      </c>
      <c r="Y39" s="561">
        <v>0</v>
      </c>
      <c r="Z39" s="561">
        <v>0</v>
      </c>
      <c r="AA39" s="561">
        <v>0</v>
      </c>
      <c r="AB39" s="561">
        <v>471.33</v>
      </c>
      <c r="AC39" s="561">
        <v>0</v>
      </c>
      <c r="AD39" s="561">
        <v>28.29</v>
      </c>
      <c r="AE39" s="561">
        <v>0</v>
      </c>
      <c r="AF39" s="561">
        <v>0</v>
      </c>
      <c r="AG39" s="561">
        <v>0</v>
      </c>
      <c r="AH39" s="561">
        <v>0</v>
      </c>
      <c r="AI39" s="561">
        <v>0</v>
      </c>
      <c r="AJ39" s="561">
        <v>904.13</v>
      </c>
      <c r="AK39" s="561">
        <v>0</v>
      </c>
      <c r="AL39" s="561">
        <v>0</v>
      </c>
      <c r="AM39" s="561">
        <v>0</v>
      </c>
      <c r="AN39" s="561">
        <v>0</v>
      </c>
      <c r="AO39" s="561">
        <v>0</v>
      </c>
      <c r="AP39" s="561">
        <v>0</v>
      </c>
      <c r="AQ39" s="561">
        <v>0</v>
      </c>
      <c r="AR39" s="561">
        <v>0</v>
      </c>
      <c r="AS39" s="561">
        <v>0</v>
      </c>
      <c r="AT39" s="561">
        <v>0</v>
      </c>
      <c r="AU39" s="561">
        <v>0</v>
      </c>
      <c r="AV39" s="561">
        <v>0</v>
      </c>
      <c r="AW39" s="561">
        <v>0</v>
      </c>
      <c r="AX39" s="561">
        <v>0</v>
      </c>
      <c r="AY39" s="561">
        <v>0</v>
      </c>
      <c r="AZ39" s="561">
        <v>0</v>
      </c>
      <c r="BA39" s="561">
        <v>0</v>
      </c>
      <c r="BB39" s="561">
        <v>0</v>
      </c>
      <c r="BC39" s="561">
        <v>0</v>
      </c>
      <c r="BD39" s="561">
        <v>0</v>
      </c>
      <c r="BE39" s="561">
        <v>0</v>
      </c>
      <c r="BF39" s="561">
        <v>0</v>
      </c>
      <c r="BG39" s="561">
        <v>0</v>
      </c>
      <c r="BH39" s="561">
        <v>0</v>
      </c>
      <c r="BI39" s="561">
        <v>0</v>
      </c>
      <c r="BJ39" s="561">
        <v>0</v>
      </c>
      <c r="BK39" s="561">
        <v>0</v>
      </c>
      <c r="BL39" s="561">
        <v>0</v>
      </c>
      <c r="BM39" s="561">
        <v>0</v>
      </c>
      <c r="BN39" s="561">
        <v>0</v>
      </c>
      <c r="BO39" s="561">
        <v>0</v>
      </c>
      <c r="BP39" s="561">
        <v>0</v>
      </c>
      <c r="BQ39" s="561">
        <v>0</v>
      </c>
      <c r="BR39" s="561">
        <v>0</v>
      </c>
      <c r="BS39" s="561">
        <v>0</v>
      </c>
      <c r="BT39" s="561">
        <v>0</v>
      </c>
      <c r="BU39" s="561">
        <v>0</v>
      </c>
      <c r="BV39" s="561">
        <v>0</v>
      </c>
      <c r="BW39" s="561">
        <v>0</v>
      </c>
      <c r="BX39" s="561">
        <v>0</v>
      </c>
      <c r="BY39" s="561">
        <v>0</v>
      </c>
      <c r="BZ39" s="561">
        <v>0</v>
      </c>
      <c r="CA39" s="561">
        <v>0</v>
      </c>
      <c r="CB39" s="561">
        <v>0</v>
      </c>
      <c r="CC39" s="561">
        <v>0</v>
      </c>
      <c r="CD39" s="561">
        <v>0</v>
      </c>
      <c r="CE39" s="561">
        <v>0</v>
      </c>
      <c r="CF39" s="561">
        <v>0</v>
      </c>
      <c r="CG39" s="561">
        <v>0</v>
      </c>
      <c r="CH39" s="561">
        <v>0</v>
      </c>
      <c r="CI39" s="561">
        <v>0</v>
      </c>
      <c r="CJ39" s="561">
        <v>0</v>
      </c>
      <c r="CK39" s="561">
        <v>0</v>
      </c>
      <c r="CL39" s="561">
        <v>0</v>
      </c>
      <c r="CM39" s="561">
        <v>0</v>
      </c>
      <c r="CN39" s="561">
        <v>0</v>
      </c>
      <c r="CO39" s="561">
        <v>0</v>
      </c>
      <c r="CP39" s="561">
        <v>0</v>
      </c>
      <c r="CQ39" s="561">
        <v>0</v>
      </c>
      <c r="CR39" s="561">
        <v>0</v>
      </c>
      <c r="CS39" s="561">
        <v>0</v>
      </c>
      <c r="CT39" s="561">
        <v>0</v>
      </c>
      <c r="CU39" s="561">
        <v>0</v>
      </c>
      <c r="CV39" s="561">
        <v>0</v>
      </c>
      <c r="CW39" s="561">
        <v>0</v>
      </c>
      <c r="CX39" s="561">
        <v>0</v>
      </c>
      <c r="CY39" s="561">
        <v>0</v>
      </c>
      <c r="CZ39" s="561">
        <v>0</v>
      </c>
      <c r="DA39" s="561">
        <v>0</v>
      </c>
      <c r="DB39" s="561">
        <v>0</v>
      </c>
      <c r="DC39" s="561">
        <v>0</v>
      </c>
      <c r="DD39" s="561">
        <v>0</v>
      </c>
      <c r="DE39" s="561">
        <v>0</v>
      </c>
      <c r="DF39" s="561">
        <v>0</v>
      </c>
      <c r="DG39" s="561">
        <v>0</v>
      </c>
      <c r="DH39" s="561">
        <v>241.67</v>
      </c>
      <c r="DI39" s="561">
        <v>0</v>
      </c>
      <c r="DJ39" s="561">
        <v>84.64</v>
      </c>
      <c r="DK39" s="561">
        <v>451.96</v>
      </c>
      <c r="DL39" s="561">
        <v>69.78</v>
      </c>
      <c r="DM39" s="561">
        <v>190.54</v>
      </c>
      <c r="DN39" s="561">
        <v>14.03</v>
      </c>
      <c r="DO39" s="561">
        <v>42.36</v>
      </c>
      <c r="DP39" s="561">
        <v>82.56</v>
      </c>
      <c r="DQ39" s="561">
        <v>1.33</v>
      </c>
      <c r="DR39" s="561">
        <v>0</v>
      </c>
      <c r="DS39" s="561">
        <v>1300.6099999999999</v>
      </c>
      <c r="DT39" s="561">
        <v>295.20999999999998</v>
      </c>
      <c r="DU39" s="561">
        <v>1996.42</v>
      </c>
      <c r="DV39" s="561">
        <v>0</v>
      </c>
      <c r="DW39" s="561">
        <v>0</v>
      </c>
      <c r="DX39" s="561">
        <v>0</v>
      </c>
      <c r="DY39" s="561">
        <v>766.2</v>
      </c>
      <c r="DZ39" s="561">
        <v>81.12</v>
      </c>
      <c r="EA39" s="561">
        <v>0</v>
      </c>
      <c r="EB39" s="561">
        <v>0</v>
      </c>
      <c r="EC39" s="561">
        <v>3622.01</v>
      </c>
      <c r="ED39" s="561">
        <v>222.13</v>
      </c>
      <c r="EE39" s="561">
        <v>0</v>
      </c>
      <c r="EF39" s="561">
        <v>0</v>
      </c>
      <c r="EG39" s="561">
        <v>0</v>
      </c>
      <c r="EH39" s="561">
        <v>0</v>
      </c>
      <c r="EI39" s="561">
        <v>0</v>
      </c>
      <c r="EJ39" s="561">
        <v>0</v>
      </c>
      <c r="EK39" s="561">
        <v>0</v>
      </c>
      <c r="EL39" s="561">
        <v>0</v>
      </c>
      <c r="EM39" s="561">
        <v>0</v>
      </c>
      <c r="EN39" s="561">
        <v>0</v>
      </c>
      <c r="EO39" s="561">
        <v>0</v>
      </c>
      <c r="EP39" s="561">
        <v>0</v>
      </c>
      <c r="EQ39" s="561">
        <v>0</v>
      </c>
      <c r="ER39" s="561">
        <v>0</v>
      </c>
      <c r="ES39" s="561" t="s">
        <v>4565</v>
      </c>
      <c r="ET39" s="561">
        <v>0</v>
      </c>
      <c r="EU39" s="561">
        <v>0</v>
      </c>
      <c r="EV39" s="561">
        <v>0</v>
      </c>
      <c r="EW39" s="561">
        <v>0</v>
      </c>
      <c r="EX39" s="561">
        <v>0</v>
      </c>
      <c r="EY39" s="561">
        <v>0</v>
      </c>
      <c r="EZ39" s="561">
        <v>0</v>
      </c>
      <c r="FA39" s="561">
        <v>0</v>
      </c>
      <c r="FB39" s="561">
        <v>0</v>
      </c>
      <c r="FC39" s="561">
        <v>0.05</v>
      </c>
      <c r="FD39" s="561">
        <v>0</v>
      </c>
      <c r="FE39" s="561">
        <v>0</v>
      </c>
      <c r="FF39" s="561">
        <v>0</v>
      </c>
      <c r="FG39" s="561">
        <v>0</v>
      </c>
      <c r="FH39" s="561">
        <v>0</v>
      </c>
      <c r="FI39" s="561">
        <v>0</v>
      </c>
      <c r="FJ39" s="561">
        <v>3212.23</v>
      </c>
      <c r="FK39" s="561">
        <v>814.56</v>
      </c>
      <c r="FL39" s="561">
        <v>0</v>
      </c>
      <c r="FM39" s="561">
        <v>0</v>
      </c>
      <c r="FN39" s="561">
        <v>0</v>
      </c>
      <c r="FO39" s="561">
        <v>4026.84</v>
      </c>
      <c r="FP39" s="561">
        <v>0</v>
      </c>
      <c r="FQ39" s="561">
        <v>0</v>
      </c>
      <c r="FR39" s="561">
        <v>0</v>
      </c>
      <c r="FS39" s="561">
        <v>-40.81</v>
      </c>
      <c r="FT39" s="561">
        <v>293.54000000000002</v>
      </c>
      <c r="FU39" s="561">
        <v>542.66</v>
      </c>
      <c r="FV39" s="561">
        <v>0</v>
      </c>
      <c r="FW39" s="561">
        <v>161.24</v>
      </c>
      <c r="FX39" s="561">
        <v>0</v>
      </c>
      <c r="FY39" s="561">
        <v>0</v>
      </c>
      <c r="FZ39" s="561">
        <v>0</v>
      </c>
      <c r="GA39" s="561">
        <v>0</v>
      </c>
      <c r="GB39" s="561">
        <v>307.44</v>
      </c>
      <c r="GC39" s="561">
        <v>98.43</v>
      </c>
      <c r="GD39" s="561">
        <v>0</v>
      </c>
      <c r="GE39" s="561">
        <v>96.74</v>
      </c>
      <c r="GF39" s="561">
        <v>216.73</v>
      </c>
      <c r="GG39" s="561">
        <v>5.74</v>
      </c>
      <c r="GH39" s="561">
        <v>0</v>
      </c>
      <c r="GI39" s="561">
        <v>87.57</v>
      </c>
      <c r="GJ39" s="561">
        <v>0</v>
      </c>
      <c r="GK39" s="561">
        <v>0</v>
      </c>
      <c r="GL39" s="561">
        <v>1008.07</v>
      </c>
      <c r="GM39" s="561">
        <v>2140</v>
      </c>
      <c r="GN39" s="561">
        <v>0</v>
      </c>
      <c r="GO39" s="561">
        <v>-106.5</v>
      </c>
      <c r="GP39" s="561">
        <v>909.64</v>
      </c>
      <c r="GQ39" s="561">
        <v>0</v>
      </c>
      <c r="GR39" s="561">
        <v>0</v>
      </c>
      <c r="GS39" s="561">
        <v>5720.49</v>
      </c>
      <c r="GT39" s="561">
        <v>47.4</v>
      </c>
      <c r="GU39" s="561">
        <v>155.55000000000001</v>
      </c>
      <c r="GV39" s="561">
        <v>802.07</v>
      </c>
      <c r="GW39" s="561">
        <v>55.7</v>
      </c>
      <c r="GX39" s="561">
        <v>462.36</v>
      </c>
      <c r="GY39" s="561">
        <v>0</v>
      </c>
      <c r="GZ39" s="561">
        <v>1076.19</v>
      </c>
      <c r="HA39" s="561">
        <v>0</v>
      </c>
      <c r="HB39" s="561">
        <v>0</v>
      </c>
      <c r="HC39" s="561">
        <v>882.7</v>
      </c>
      <c r="HD39" s="561">
        <v>3434.57</v>
      </c>
      <c r="HE39" s="561">
        <v>0</v>
      </c>
      <c r="HF39" s="561">
        <v>13181.9</v>
      </c>
      <c r="HG39" s="561">
        <v>47.4</v>
      </c>
      <c r="HH39" s="561">
        <v>0</v>
      </c>
      <c r="HI39" s="561">
        <v>0</v>
      </c>
      <c r="HJ39" s="561">
        <v>0</v>
      </c>
      <c r="HK39" s="561">
        <v>0</v>
      </c>
      <c r="HL39" s="561">
        <v>0</v>
      </c>
      <c r="HM39" s="561">
        <v>0</v>
      </c>
      <c r="HN39" s="561">
        <v>0</v>
      </c>
      <c r="HO39" s="561">
        <v>2903.29</v>
      </c>
      <c r="HP39" s="561">
        <v>1983.37</v>
      </c>
      <c r="HQ39" s="561">
        <v>0</v>
      </c>
      <c r="HR39" s="561">
        <v>0</v>
      </c>
      <c r="HS39" s="561">
        <v>0</v>
      </c>
      <c r="HT39" s="561">
        <v>-390.33</v>
      </c>
      <c r="HU39" s="561">
        <v>0</v>
      </c>
      <c r="HV39" s="561">
        <v>0</v>
      </c>
      <c r="HW39" s="561">
        <v>221.79</v>
      </c>
      <c r="HX39" s="561">
        <v>660.2</v>
      </c>
      <c r="HY39" s="561">
        <v>50.05</v>
      </c>
      <c r="HZ39" s="561">
        <v>-15.99</v>
      </c>
      <c r="IA39" s="561">
        <v>0</v>
      </c>
      <c r="IB39" s="561">
        <v>0</v>
      </c>
      <c r="IC39" s="561">
        <v>0</v>
      </c>
      <c r="ID39" s="561">
        <v>0</v>
      </c>
      <c r="IE39" s="561">
        <v>1424.4</v>
      </c>
      <c r="IF39" s="561">
        <v>0</v>
      </c>
      <c r="IG39" s="561">
        <v>0</v>
      </c>
      <c r="IH39" s="561">
        <v>0</v>
      </c>
      <c r="II39" s="561">
        <v>6836.78</v>
      </c>
      <c r="IJ39" s="561">
        <v>0</v>
      </c>
      <c r="IK39" s="561">
        <v>0</v>
      </c>
      <c r="IL39" s="561">
        <v>0</v>
      </c>
      <c r="IM39" s="561">
        <v>0</v>
      </c>
      <c r="IN39" s="561">
        <v>0</v>
      </c>
      <c r="IO39" s="561">
        <v>0</v>
      </c>
      <c r="IP39" s="561">
        <v>881.1</v>
      </c>
      <c r="IQ39" s="561">
        <v>0</v>
      </c>
      <c r="IR39" s="561">
        <v>0</v>
      </c>
      <c r="IS39" s="561">
        <v>904.13</v>
      </c>
      <c r="IT39" s="561">
        <v>0</v>
      </c>
      <c r="IU39" s="561">
        <v>0</v>
      </c>
      <c r="IV39" s="561">
        <v>0</v>
      </c>
      <c r="IW39" s="561">
        <v>3622.01</v>
      </c>
      <c r="IX39" s="561">
        <v>4026.84</v>
      </c>
      <c r="IY39" s="561">
        <v>5720.49</v>
      </c>
      <c r="IZ39" s="561">
        <v>3434.57</v>
      </c>
      <c r="JA39" s="561">
        <v>0</v>
      </c>
      <c r="JB39" s="561">
        <v>0</v>
      </c>
      <c r="JC39" s="561">
        <v>6836.78</v>
      </c>
      <c r="JD39" s="561">
        <v>881.1</v>
      </c>
      <c r="JE39" s="561">
        <v>25425.919999999998</v>
      </c>
      <c r="JF39" s="561">
        <v>20984.9</v>
      </c>
      <c r="JG39" s="561">
        <v>902.39</v>
      </c>
      <c r="JH39" s="561">
        <v>0</v>
      </c>
      <c r="JI39" s="561">
        <v>0</v>
      </c>
      <c r="JJ39" s="561">
        <v>0</v>
      </c>
      <c r="JK39" s="561">
        <v>5425</v>
      </c>
      <c r="JL39" s="561">
        <v>0</v>
      </c>
      <c r="JM39" s="561">
        <v>0</v>
      </c>
      <c r="JN39" s="561">
        <v>0</v>
      </c>
      <c r="JO39" s="561">
        <v>0</v>
      </c>
      <c r="JP39" s="561">
        <v>-3254.64</v>
      </c>
      <c r="JQ39" s="561">
        <v>-165.59</v>
      </c>
      <c r="JR39" s="561">
        <v>0</v>
      </c>
      <c r="JS39" s="561">
        <v>0</v>
      </c>
      <c r="JT39" s="561">
        <v>-247.91</v>
      </c>
      <c r="JU39" s="561">
        <v>0</v>
      </c>
      <c r="JV39" s="561">
        <v>49070.07</v>
      </c>
      <c r="JW39" s="561">
        <v>0</v>
      </c>
      <c r="JX39" s="561">
        <v>752.02</v>
      </c>
      <c r="JY39" s="561">
        <v>0</v>
      </c>
      <c r="JZ39" s="561">
        <v>0</v>
      </c>
      <c r="KA39" s="561">
        <v>0</v>
      </c>
      <c r="KB39" s="561">
        <v>0</v>
      </c>
      <c r="KC39" s="561">
        <v>0</v>
      </c>
      <c r="KD39" s="561">
        <v>0</v>
      </c>
      <c r="KE39" s="561">
        <v>0</v>
      </c>
      <c r="KF39" s="561">
        <v>0</v>
      </c>
      <c r="KG39" s="561">
        <v>49822.09</v>
      </c>
      <c r="KH39" s="561">
        <v>-2754.84</v>
      </c>
      <c r="KI39" s="561">
        <v>0</v>
      </c>
      <c r="KJ39" s="561">
        <v>0</v>
      </c>
      <c r="KK39" s="561">
        <v>0</v>
      </c>
      <c r="KL39" s="561">
        <v>-20059.95</v>
      </c>
      <c r="KM39" s="561">
        <v>0</v>
      </c>
      <c r="KN39" s="561">
        <v>0</v>
      </c>
      <c r="KO39" s="561">
        <v>0</v>
      </c>
      <c r="KP39" s="561">
        <v>0</v>
      </c>
      <c r="KQ39" s="561">
        <v>0</v>
      </c>
      <c r="KR39" s="561">
        <v>27007.3</v>
      </c>
      <c r="KS39" s="561">
        <v>0</v>
      </c>
      <c r="KT39" s="561">
        <v>-11509.65</v>
      </c>
      <c r="KU39" s="561">
        <v>15497.65</v>
      </c>
      <c r="KV39" s="561">
        <v>0</v>
      </c>
      <c r="KW39" s="561">
        <v>0</v>
      </c>
      <c r="KX39" s="561">
        <v>0</v>
      </c>
      <c r="KY39" s="561">
        <v>0</v>
      </c>
      <c r="KZ39" s="561">
        <v>2351</v>
      </c>
      <c r="LA39" s="561">
        <v>1062</v>
      </c>
      <c r="LB39" s="561">
        <v>-1004</v>
      </c>
      <c r="LC39" s="561">
        <v>0</v>
      </c>
      <c r="LD39" s="561">
        <v>-6997.17</v>
      </c>
      <c r="LE39" s="561">
        <v>-78.05</v>
      </c>
      <c r="LF39" s="561">
        <v>0</v>
      </c>
      <c r="LG39" s="561">
        <v>10833</v>
      </c>
      <c r="LH39" s="561">
        <v>0</v>
      </c>
      <c r="LI39" s="561">
        <v>0</v>
      </c>
      <c r="LJ39" s="561">
        <v>0</v>
      </c>
      <c r="LK39" s="561">
        <v>0</v>
      </c>
      <c r="LL39" s="561">
        <v>16952</v>
      </c>
      <c r="LM39" s="561">
        <v>2500</v>
      </c>
      <c r="LN39" s="561">
        <v>0</v>
      </c>
      <c r="LO39" s="561">
        <v>0</v>
      </c>
      <c r="LP39" s="561">
        <v>0</v>
      </c>
      <c r="LQ39" s="561">
        <v>0</v>
      </c>
      <c r="LR39" s="561">
        <v>19303</v>
      </c>
      <c r="LS39" s="561">
        <v>3562</v>
      </c>
      <c r="LT39" s="561">
        <v>0</v>
      </c>
      <c r="LU39" s="561">
        <v>2195.7399999999998</v>
      </c>
      <c r="LV39" s="561">
        <v>0</v>
      </c>
      <c r="LW39" s="561">
        <v>909.07</v>
      </c>
      <c r="LX39" s="561">
        <v>-4851.2299999999996</v>
      </c>
      <c r="LY39" s="561">
        <v>0</v>
      </c>
      <c r="LZ39" s="561">
        <v>712.21</v>
      </c>
      <c r="MA39" s="561">
        <v>0</v>
      </c>
      <c r="MB39" s="561">
        <v>0</v>
      </c>
      <c r="MC39" s="561">
        <v>0</v>
      </c>
      <c r="MD39" s="561">
        <v>0</v>
      </c>
      <c r="ME39" s="561">
        <v>0</v>
      </c>
      <c r="MF39" s="561">
        <v>0</v>
      </c>
      <c r="MG39" s="561">
        <v>0</v>
      </c>
      <c r="MH39" s="561">
        <v>4581</v>
      </c>
      <c r="MI39" s="561">
        <v>4828</v>
      </c>
      <c r="MJ39" s="561">
        <v>9409</v>
      </c>
      <c r="MK39" s="561">
        <v>0</v>
      </c>
      <c r="ML39" s="561">
        <v>0</v>
      </c>
      <c r="MM39" s="561">
        <v>15429</v>
      </c>
      <c r="MN39" s="561">
        <v>3874</v>
      </c>
      <c r="MO39" s="561">
        <v>0</v>
      </c>
      <c r="MP39" s="561">
        <v>0</v>
      </c>
      <c r="MQ39" s="561">
        <v>0</v>
      </c>
      <c r="MR39" s="561">
        <v>904.13</v>
      </c>
      <c r="MS39" s="561">
        <v>0</v>
      </c>
      <c r="MT39" s="561">
        <v>0</v>
      </c>
      <c r="MU39" s="561">
        <v>0</v>
      </c>
      <c r="MV39" s="561">
        <v>3622.01</v>
      </c>
      <c r="MW39" s="561">
        <v>4026.84</v>
      </c>
      <c r="MX39" s="561">
        <v>5720.49</v>
      </c>
      <c r="MY39" s="561">
        <v>3434.57</v>
      </c>
      <c r="MZ39" s="561">
        <v>0</v>
      </c>
      <c r="NA39" s="561">
        <v>0</v>
      </c>
      <c r="NB39" s="561">
        <v>6836.78</v>
      </c>
      <c r="NC39" s="561">
        <v>881.1</v>
      </c>
      <c r="ND39" s="561">
        <v>25425.919999999998</v>
      </c>
      <c r="NE39" s="561">
        <v>0</v>
      </c>
      <c r="NF39" s="561">
        <v>0</v>
      </c>
      <c r="NG39" s="561">
        <v>0</v>
      </c>
      <c r="NH39" s="561">
        <v>0</v>
      </c>
      <c r="NI39" s="561">
        <v>0</v>
      </c>
      <c r="NJ39" s="561">
        <v>0</v>
      </c>
      <c r="NK39" s="561">
        <v>0</v>
      </c>
      <c r="NL39" s="561">
        <v>0</v>
      </c>
      <c r="NM39" s="561">
        <v>0</v>
      </c>
      <c r="NN39" s="561">
        <v>0</v>
      </c>
      <c r="NO39" s="561">
        <v>0</v>
      </c>
      <c r="NP39" s="561">
        <v>0</v>
      </c>
      <c r="NQ39" s="561">
        <v>0</v>
      </c>
      <c r="NR39" s="561">
        <v>0</v>
      </c>
      <c r="NS39" s="561">
        <v>0</v>
      </c>
      <c r="NT39" s="561">
        <v>-3254.64</v>
      </c>
      <c r="NU39" s="561">
        <v>-7</v>
      </c>
      <c r="NV39" s="561">
        <v>0</v>
      </c>
      <c r="NW39" s="561">
        <v>-3254.64</v>
      </c>
      <c r="NX39" s="561">
        <v>0</v>
      </c>
      <c r="NY39" s="561">
        <v>-3254.64</v>
      </c>
      <c r="NZ39" s="561">
        <v>0</v>
      </c>
      <c r="OA39" s="561">
        <v>0</v>
      </c>
      <c r="OB39" s="561">
        <v>0</v>
      </c>
      <c r="OC39" s="561">
        <v>0</v>
      </c>
      <c r="OD39" s="561">
        <v>0</v>
      </c>
      <c r="OE39" s="561">
        <v>0</v>
      </c>
      <c r="OF39" s="561">
        <v>0</v>
      </c>
      <c r="OG39" s="561">
        <v>0</v>
      </c>
      <c r="OH39" s="561">
        <v>0</v>
      </c>
      <c r="OI39" s="561">
        <v>0</v>
      </c>
      <c r="OJ39" s="561">
        <v>2.16</v>
      </c>
      <c r="OK39" s="561">
        <v>0</v>
      </c>
      <c r="OL39" s="561">
        <v>0</v>
      </c>
      <c r="OM39" s="561">
        <v>0</v>
      </c>
      <c r="ON39" s="561">
        <v>0</v>
      </c>
      <c r="OO39" s="561">
        <v>0</v>
      </c>
      <c r="OP39" s="561">
        <v>0</v>
      </c>
      <c r="OQ39" s="561">
        <v>-286.45</v>
      </c>
      <c r="OR39" s="561">
        <v>-32.24</v>
      </c>
      <c r="OS39" s="561">
        <v>32.64</v>
      </c>
      <c r="OT39" s="561">
        <v>17.010000000000002</v>
      </c>
      <c r="OU39" s="561">
        <v>32.44</v>
      </c>
      <c r="OV39" s="561">
        <v>-441.44600000000003</v>
      </c>
      <c r="OW39" s="561">
        <v>0</v>
      </c>
      <c r="OX39" s="561">
        <v>-165.59</v>
      </c>
      <c r="OY39" s="561">
        <v>0</v>
      </c>
      <c r="OZ39" s="561">
        <v>0</v>
      </c>
      <c r="PA39" s="561">
        <v>0</v>
      </c>
      <c r="PB39" s="561">
        <v>0</v>
      </c>
      <c r="PC39" s="561">
        <v>0</v>
      </c>
      <c r="PD39" s="561">
        <v>0</v>
      </c>
      <c r="PE39" s="561">
        <v>0</v>
      </c>
      <c r="PF39" s="561">
        <v>0</v>
      </c>
      <c r="PG39" s="561">
        <v>0</v>
      </c>
      <c r="PH39" s="561">
        <v>0</v>
      </c>
      <c r="PI39" s="561">
        <v>0</v>
      </c>
      <c r="PJ39" s="561">
        <v>0</v>
      </c>
    </row>
    <row r="40" spans="1:426" ht="14" x14ac:dyDescent="0.3">
      <c r="A40" t="s">
        <v>2547</v>
      </c>
      <c r="B40" t="s">
        <v>2548</v>
      </c>
      <c r="C40" t="s">
        <v>2549</v>
      </c>
      <c r="E40" t="s">
        <v>2476</v>
      </c>
      <c r="F40" s="561">
        <v>40422</v>
      </c>
      <c r="G40" s="561">
        <v>117235</v>
      </c>
      <c r="H40" s="561">
        <v>20270</v>
      </c>
      <c r="I40" s="561">
        <v>55919</v>
      </c>
      <c r="J40" s="561">
        <v>6006</v>
      </c>
      <c r="K40" s="561">
        <v>44663</v>
      </c>
      <c r="L40" s="561">
        <v>284515</v>
      </c>
      <c r="M40" s="561">
        <v>675</v>
      </c>
      <c r="N40" s="561">
        <v>-364</v>
      </c>
      <c r="O40" s="561">
        <v>769</v>
      </c>
      <c r="P40" s="561">
        <v>176</v>
      </c>
      <c r="Q40" s="561">
        <v>1629</v>
      </c>
      <c r="R40" s="561">
        <v>1</v>
      </c>
      <c r="S40" s="561">
        <v>56</v>
      </c>
      <c r="T40" s="561">
        <v>3953</v>
      </c>
      <c r="U40" s="561">
        <v>382</v>
      </c>
      <c r="V40" s="561">
        <v>1723</v>
      </c>
      <c r="W40" s="561">
        <v>0</v>
      </c>
      <c r="X40" s="561">
        <v>-512</v>
      </c>
      <c r="Y40" s="561">
        <v>771</v>
      </c>
      <c r="Z40" s="561">
        <v>607</v>
      </c>
      <c r="AA40" s="561">
        <v>-18592</v>
      </c>
      <c r="AB40" s="561">
        <v>-46</v>
      </c>
      <c r="AC40" s="561">
        <v>13909</v>
      </c>
      <c r="AD40" s="561">
        <v>0</v>
      </c>
      <c r="AE40" s="561">
        <v>0</v>
      </c>
      <c r="AF40" s="561">
        <v>0</v>
      </c>
      <c r="AG40" s="561">
        <v>0</v>
      </c>
      <c r="AH40" s="561">
        <v>0</v>
      </c>
      <c r="AI40" s="561">
        <v>0</v>
      </c>
      <c r="AJ40" s="561">
        <v>4462</v>
      </c>
      <c r="AK40" s="561">
        <v>163</v>
      </c>
      <c r="AL40" s="561">
        <v>0</v>
      </c>
      <c r="AM40" s="561">
        <v>0</v>
      </c>
      <c r="AN40" s="561">
        <v>0</v>
      </c>
      <c r="AO40" s="561">
        <v>0</v>
      </c>
      <c r="AP40" s="561">
        <v>0</v>
      </c>
      <c r="AQ40" s="561">
        <v>0</v>
      </c>
      <c r="AR40" s="561">
        <v>0</v>
      </c>
      <c r="AS40" s="561">
        <v>18865</v>
      </c>
      <c r="AT40" s="561">
        <v>12815</v>
      </c>
      <c r="AU40" s="561">
        <v>0</v>
      </c>
      <c r="AV40" s="561">
        <v>0</v>
      </c>
      <c r="AW40" s="561">
        <v>0</v>
      </c>
      <c r="AX40" s="561">
        <v>3973</v>
      </c>
      <c r="AY40" s="561">
        <v>41852</v>
      </c>
      <c r="AZ40" s="561">
        <v>1098</v>
      </c>
      <c r="BA40" s="561">
        <v>12049</v>
      </c>
      <c r="BB40" s="561">
        <v>2148</v>
      </c>
      <c r="BC40" s="561">
        <v>25309</v>
      </c>
      <c r="BD40" s="561">
        <v>0</v>
      </c>
      <c r="BE40" s="561">
        <v>1977</v>
      </c>
      <c r="BF40" s="561">
        <v>88406</v>
      </c>
      <c r="BG40" s="561">
        <v>4786</v>
      </c>
      <c r="BH40" s="561">
        <v>11418</v>
      </c>
      <c r="BI40" s="561">
        <v>47546</v>
      </c>
      <c r="BJ40" s="561">
        <v>270</v>
      </c>
      <c r="BK40" s="561">
        <v>451</v>
      </c>
      <c r="BL40" s="561">
        <v>204</v>
      </c>
      <c r="BM40" s="561">
        <v>2364</v>
      </c>
      <c r="BN40" s="561">
        <v>39093</v>
      </c>
      <c r="BO40" s="561">
        <v>2522</v>
      </c>
      <c r="BP40" s="561">
        <v>8206</v>
      </c>
      <c r="BQ40" s="561">
        <v>2953</v>
      </c>
      <c r="BR40" s="561">
        <v>0</v>
      </c>
      <c r="BS40" s="561">
        <v>918</v>
      </c>
      <c r="BT40" s="561">
        <v>527</v>
      </c>
      <c r="BU40" s="561">
        <v>101</v>
      </c>
      <c r="BV40" s="561">
        <v>842</v>
      </c>
      <c r="BW40" s="561">
        <v>11433</v>
      </c>
      <c r="BX40" s="561">
        <v>977</v>
      </c>
      <c r="BY40" s="561">
        <v>4074</v>
      </c>
      <c r="BZ40" s="561">
        <v>133899</v>
      </c>
      <c r="CA40" s="561">
        <v>5819</v>
      </c>
      <c r="CB40" s="561">
        <v>3612</v>
      </c>
      <c r="CC40" s="561">
        <v>672</v>
      </c>
      <c r="CD40" s="561">
        <v>539</v>
      </c>
      <c r="CE40" s="561">
        <v>275</v>
      </c>
      <c r="CF40" s="561">
        <v>1151</v>
      </c>
      <c r="CG40" s="561">
        <v>128</v>
      </c>
      <c r="CH40" s="561">
        <v>590</v>
      </c>
      <c r="CI40" s="561">
        <v>175</v>
      </c>
      <c r="CJ40" s="561">
        <v>405</v>
      </c>
      <c r="CK40" s="561">
        <v>305</v>
      </c>
      <c r="CL40" s="561">
        <v>117</v>
      </c>
      <c r="CM40" s="561">
        <v>3420</v>
      </c>
      <c r="CN40" s="561">
        <v>1265</v>
      </c>
      <c r="CO40" s="561">
        <v>270</v>
      </c>
      <c r="CP40" s="561">
        <v>68</v>
      </c>
      <c r="CQ40" s="561">
        <v>585</v>
      </c>
      <c r="CR40" s="561">
        <v>67</v>
      </c>
      <c r="CS40" s="561">
        <v>41</v>
      </c>
      <c r="CT40" s="561">
        <v>1488</v>
      </c>
      <c r="CU40" s="561">
        <v>3528</v>
      </c>
      <c r="CV40" s="561">
        <v>3244</v>
      </c>
      <c r="CW40" s="561">
        <v>21</v>
      </c>
      <c r="CX40" s="561">
        <v>512</v>
      </c>
      <c r="CY40" s="561">
        <v>1807</v>
      </c>
      <c r="CZ40" s="561">
        <v>24285</v>
      </c>
      <c r="DA40" s="561">
        <v>253</v>
      </c>
      <c r="DB40" s="561">
        <v>208</v>
      </c>
      <c r="DC40" s="561">
        <v>50</v>
      </c>
      <c r="DD40" s="561">
        <v>38</v>
      </c>
      <c r="DE40" s="561">
        <v>0</v>
      </c>
      <c r="DF40" s="561">
        <v>0</v>
      </c>
      <c r="DG40" s="561">
        <v>0</v>
      </c>
      <c r="DH40" s="561">
        <v>22</v>
      </c>
      <c r="DI40" s="561">
        <v>0</v>
      </c>
      <c r="DJ40" s="561">
        <v>0</v>
      </c>
      <c r="DK40" s="561">
        <v>-3025</v>
      </c>
      <c r="DL40" s="561">
        <v>5174</v>
      </c>
      <c r="DM40" s="561">
        <v>6626</v>
      </c>
      <c r="DN40" s="561">
        <v>0</v>
      </c>
      <c r="DO40" s="561">
        <v>19134</v>
      </c>
      <c r="DP40" s="561">
        <v>1605</v>
      </c>
      <c r="DQ40" s="561">
        <v>0</v>
      </c>
      <c r="DR40" s="561">
        <v>0</v>
      </c>
      <c r="DS40" s="561">
        <v>18631</v>
      </c>
      <c r="DT40" s="561">
        <v>0</v>
      </c>
      <c r="DU40" s="561">
        <v>51170</v>
      </c>
      <c r="DV40" s="561">
        <v>1277</v>
      </c>
      <c r="DW40" s="561">
        <v>175</v>
      </c>
      <c r="DX40" s="561">
        <v>168</v>
      </c>
      <c r="DY40" s="561">
        <v>4127</v>
      </c>
      <c r="DZ40" s="561">
        <v>-12</v>
      </c>
      <c r="EA40" s="561">
        <v>3743</v>
      </c>
      <c r="EB40" s="561">
        <v>0</v>
      </c>
      <c r="EC40" s="561">
        <v>57645</v>
      </c>
      <c r="ED40" s="561">
        <v>808</v>
      </c>
      <c r="EE40" s="561">
        <v>58647</v>
      </c>
      <c r="EF40" s="561">
        <v>237</v>
      </c>
      <c r="EG40" s="561">
        <v>9823</v>
      </c>
      <c r="EH40" s="561">
        <v>1761</v>
      </c>
      <c r="EI40" s="561">
        <v>0</v>
      </c>
      <c r="EJ40" s="561">
        <v>1276</v>
      </c>
      <c r="EK40" s="561">
        <v>0</v>
      </c>
      <c r="EL40" s="561">
        <v>0</v>
      </c>
      <c r="EM40" s="561">
        <v>0</v>
      </c>
      <c r="EN40" s="561">
        <v>18637</v>
      </c>
      <c r="EO40" s="561">
        <v>16370</v>
      </c>
      <c r="EP40" s="561">
        <v>6166</v>
      </c>
      <c r="EQ40" s="561">
        <v>4278</v>
      </c>
      <c r="ER40" s="561">
        <v>10879</v>
      </c>
      <c r="ES40" s="561" t="s">
        <v>4565</v>
      </c>
      <c r="ET40" s="561">
        <v>11737</v>
      </c>
      <c r="EU40" s="561">
        <v>0</v>
      </c>
      <c r="EV40" s="561">
        <v>0</v>
      </c>
      <c r="EW40" s="561">
        <v>0</v>
      </c>
      <c r="EX40" s="561">
        <v>0</v>
      </c>
      <c r="EY40" s="561">
        <v>1538</v>
      </c>
      <c r="EZ40" s="561">
        <v>2139</v>
      </c>
      <c r="FA40" s="561">
        <v>4110</v>
      </c>
      <c r="FB40" s="561">
        <v>0</v>
      </c>
      <c r="FC40" s="561">
        <v>-53</v>
      </c>
      <c r="FD40" s="561">
        <v>1381</v>
      </c>
      <c r="FE40" s="561">
        <v>0</v>
      </c>
      <c r="FF40" s="561">
        <v>0</v>
      </c>
      <c r="FG40" s="561">
        <v>0</v>
      </c>
      <c r="FH40" s="561">
        <v>0</v>
      </c>
      <c r="FI40" s="561">
        <v>0</v>
      </c>
      <c r="FJ40" s="561">
        <v>2613</v>
      </c>
      <c r="FK40" s="561">
        <v>2930</v>
      </c>
      <c r="FL40" s="561">
        <v>-69</v>
      </c>
      <c r="FM40" s="561">
        <v>0</v>
      </c>
      <c r="FN40" s="561">
        <v>3602</v>
      </c>
      <c r="FO40" s="561">
        <v>10404</v>
      </c>
      <c r="FP40" s="561">
        <v>173</v>
      </c>
      <c r="FQ40" s="561">
        <v>-246</v>
      </c>
      <c r="FR40" s="561">
        <v>597</v>
      </c>
      <c r="FS40" s="561">
        <v>0</v>
      </c>
      <c r="FT40" s="561">
        <v>541</v>
      </c>
      <c r="FU40" s="561">
        <v>833</v>
      </c>
      <c r="FV40" s="561">
        <v>-1294</v>
      </c>
      <c r="FW40" s="561">
        <v>157</v>
      </c>
      <c r="FX40" s="561">
        <v>0</v>
      </c>
      <c r="FY40" s="561">
        <v>0</v>
      </c>
      <c r="FZ40" s="561">
        <v>-57</v>
      </c>
      <c r="GA40" s="561">
        <v>190</v>
      </c>
      <c r="GB40" s="561">
        <v>21</v>
      </c>
      <c r="GC40" s="561">
        <v>-162</v>
      </c>
      <c r="GD40" s="561">
        <v>1636</v>
      </c>
      <c r="GE40" s="561">
        <v>1231</v>
      </c>
      <c r="GF40" s="561">
        <v>879</v>
      </c>
      <c r="GG40" s="561">
        <v>0</v>
      </c>
      <c r="GH40" s="561">
        <v>0</v>
      </c>
      <c r="GI40" s="561">
        <v>0</v>
      </c>
      <c r="GJ40" s="561">
        <v>0</v>
      </c>
      <c r="GK40" s="561">
        <v>0</v>
      </c>
      <c r="GL40" s="561">
        <v>8170</v>
      </c>
      <c r="GM40" s="561">
        <v>4712</v>
      </c>
      <c r="GN40" s="561">
        <v>12671</v>
      </c>
      <c r="GO40" s="561">
        <v>574</v>
      </c>
      <c r="GP40" s="561">
        <v>4389</v>
      </c>
      <c r="GQ40" s="561">
        <v>382</v>
      </c>
      <c r="GR40" s="561">
        <v>896</v>
      </c>
      <c r="GS40" s="561">
        <v>36120</v>
      </c>
      <c r="GT40" s="561">
        <v>952</v>
      </c>
      <c r="GU40" s="561">
        <v>-15</v>
      </c>
      <c r="GV40" s="561">
        <v>974</v>
      </c>
      <c r="GW40" s="561">
        <v>0</v>
      </c>
      <c r="GX40" s="561">
        <v>1435</v>
      </c>
      <c r="GY40" s="561">
        <v>0</v>
      </c>
      <c r="GZ40" s="561">
        <v>1214</v>
      </c>
      <c r="HA40" s="561">
        <v>0</v>
      </c>
      <c r="HB40" s="561">
        <v>-7</v>
      </c>
      <c r="HC40" s="561">
        <v>3411</v>
      </c>
      <c r="HD40" s="561">
        <v>7012</v>
      </c>
      <c r="HE40" s="561">
        <v>273</v>
      </c>
      <c r="HF40" s="561">
        <v>53536</v>
      </c>
      <c r="HG40" s="561">
        <v>1398</v>
      </c>
      <c r="HH40" s="561">
        <v>0</v>
      </c>
      <c r="HI40" s="561">
        <v>0</v>
      </c>
      <c r="HJ40" s="561">
        <v>0</v>
      </c>
      <c r="HK40" s="561">
        <v>0</v>
      </c>
      <c r="HL40" s="561">
        <v>0</v>
      </c>
      <c r="HM40" s="561">
        <v>0</v>
      </c>
      <c r="HN40" s="561">
        <v>0</v>
      </c>
      <c r="HO40" s="561">
        <v>7350</v>
      </c>
      <c r="HP40" s="561">
        <v>2397</v>
      </c>
      <c r="HQ40" s="561">
        <v>0</v>
      </c>
      <c r="HR40" s="561">
        <v>331</v>
      </c>
      <c r="HS40" s="561">
        <v>1147</v>
      </c>
      <c r="HT40" s="561">
        <v>18</v>
      </c>
      <c r="HU40" s="561">
        <v>0</v>
      </c>
      <c r="HV40" s="561">
        <v>484</v>
      </c>
      <c r="HW40" s="561">
        <v>549</v>
      </c>
      <c r="HX40" s="561">
        <v>1448</v>
      </c>
      <c r="HY40" s="561">
        <v>413</v>
      </c>
      <c r="HZ40" s="561">
        <v>-411</v>
      </c>
      <c r="IA40" s="561">
        <v>3238</v>
      </c>
      <c r="IB40" s="561">
        <v>5894</v>
      </c>
      <c r="IC40" s="561">
        <v>500</v>
      </c>
      <c r="ID40" s="561">
        <v>0</v>
      </c>
      <c r="IE40" s="561">
        <v>7613</v>
      </c>
      <c r="IF40" s="561">
        <v>0</v>
      </c>
      <c r="IG40" s="561">
        <v>0</v>
      </c>
      <c r="IH40" s="561">
        <v>0</v>
      </c>
      <c r="II40" s="561">
        <v>30971</v>
      </c>
      <c r="IJ40" s="561">
        <v>8211</v>
      </c>
      <c r="IK40" s="561">
        <v>0</v>
      </c>
      <c r="IL40" s="561">
        <v>47414</v>
      </c>
      <c r="IM40" s="561">
        <v>0</v>
      </c>
      <c r="IN40" s="561">
        <v>0</v>
      </c>
      <c r="IO40" s="561">
        <v>6573</v>
      </c>
      <c r="IP40" s="561">
        <v>0</v>
      </c>
      <c r="IQ40" s="561">
        <v>0</v>
      </c>
      <c r="IR40" s="561">
        <v>284515</v>
      </c>
      <c r="IS40" s="561">
        <v>4462</v>
      </c>
      <c r="IT40" s="561">
        <v>88406</v>
      </c>
      <c r="IU40" s="561">
        <v>133899</v>
      </c>
      <c r="IV40" s="561">
        <v>24285</v>
      </c>
      <c r="IW40" s="561">
        <v>57645</v>
      </c>
      <c r="IX40" s="561">
        <v>10404</v>
      </c>
      <c r="IY40" s="561">
        <v>36120</v>
      </c>
      <c r="IZ40" s="561">
        <v>7012</v>
      </c>
      <c r="JA40" s="561">
        <v>0</v>
      </c>
      <c r="JB40" s="561">
        <v>0</v>
      </c>
      <c r="JC40" s="561">
        <v>30971</v>
      </c>
      <c r="JD40" s="561">
        <v>0</v>
      </c>
      <c r="JE40" s="561">
        <v>677719</v>
      </c>
      <c r="JF40" s="561">
        <v>141190</v>
      </c>
      <c r="JG40" s="561">
        <v>0</v>
      </c>
      <c r="JH40" s="561">
        <v>18815</v>
      </c>
      <c r="JI40" s="561">
        <v>0</v>
      </c>
      <c r="JJ40" s="561">
        <v>0</v>
      </c>
      <c r="JK40" s="561">
        <v>0</v>
      </c>
      <c r="JL40" s="561">
        <v>0</v>
      </c>
      <c r="JM40" s="561">
        <v>2614</v>
      </c>
      <c r="JN40" s="561">
        <v>331</v>
      </c>
      <c r="JO40" s="561">
        <v>906</v>
      </c>
      <c r="JP40" s="561">
        <v>0</v>
      </c>
      <c r="JQ40" s="561">
        <v>0</v>
      </c>
      <c r="JR40" s="561">
        <v>0</v>
      </c>
      <c r="JS40" s="561">
        <v>0</v>
      </c>
      <c r="JT40" s="561">
        <v>-85</v>
      </c>
      <c r="JU40" s="561">
        <v>0</v>
      </c>
      <c r="JV40" s="561">
        <v>841490</v>
      </c>
      <c r="JW40" s="561">
        <v>247</v>
      </c>
      <c r="JX40" s="561">
        <v>13860</v>
      </c>
      <c r="JY40" s="561">
        <v>138</v>
      </c>
      <c r="JZ40" s="561">
        <v>-588</v>
      </c>
      <c r="KA40" s="561">
        <v>0</v>
      </c>
      <c r="KB40" s="561">
        <v>4287</v>
      </c>
      <c r="KC40" s="561">
        <v>19838</v>
      </c>
      <c r="KD40" s="561">
        <v>709</v>
      </c>
      <c r="KE40" s="561">
        <v>34739</v>
      </c>
      <c r="KF40" s="561">
        <v>-9604</v>
      </c>
      <c r="KG40" s="561">
        <v>905116</v>
      </c>
      <c r="KH40" s="561">
        <v>-8308</v>
      </c>
      <c r="KI40" s="561">
        <v>0</v>
      </c>
      <c r="KJ40" s="561">
        <v>0</v>
      </c>
      <c r="KK40" s="561">
        <v>0</v>
      </c>
      <c r="KL40" s="561">
        <v>-187099</v>
      </c>
      <c r="KM40" s="561">
        <v>0</v>
      </c>
      <c r="KN40" s="561">
        <v>-2445</v>
      </c>
      <c r="KO40" s="561">
        <v>0</v>
      </c>
      <c r="KP40" s="561">
        <v>0</v>
      </c>
      <c r="KQ40" s="561">
        <v>0</v>
      </c>
      <c r="KR40" s="561">
        <v>707264</v>
      </c>
      <c r="KS40" s="561">
        <v>0</v>
      </c>
      <c r="KT40" s="561">
        <v>-374654</v>
      </c>
      <c r="KU40" s="561">
        <v>332610</v>
      </c>
      <c r="KV40" s="561">
        <v>0</v>
      </c>
      <c r="KW40" s="561">
        <v>-1122</v>
      </c>
      <c r="KX40" s="561">
        <v>-349</v>
      </c>
      <c r="KY40" s="561">
        <v>425</v>
      </c>
      <c r="KZ40" s="561">
        <v>-3708</v>
      </c>
      <c r="LA40" s="561">
        <v>0</v>
      </c>
      <c r="LB40" s="561">
        <v>-30889</v>
      </c>
      <c r="LC40" s="561">
        <v>0</v>
      </c>
      <c r="LD40" s="561">
        <v>-128520</v>
      </c>
      <c r="LE40" s="561">
        <v>-7645</v>
      </c>
      <c r="LF40" s="561">
        <v>1260</v>
      </c>
      <c r="LG40" s="561">
        <v>162062</v>
      </c>
      <c r="LH40" s="561">
        <v>13060</v>
      </c>
      <c r="LI40" s="561">
        <v>-15181</v>
      </c>
      <c r="LJ40" s="561">
        <v>1924</v>
      </c>
      <c r="LK40" s="561">
        <v>9989</v>
      </c>
      <c r="LL40" s="561">
        <v>124917</v>
      </c>
      <c r="LM40" s="561">
        <v>20034</v>
      </c>
      <c r="LN40" s="561">
        <v>11938</v>
      </c>
      <c r="LO40" s="561">
        <v>-15181</v>
      </c>
      <c r="LP40" s="561">
        <v>1575</v>
      </c>
      <c r="LQ40" s="561">
        <v>10414</v>
      </c>
      <c r="LR40" s="561">
        <v>121209</v>
      </c>
      <c r="LS40" s="561">
        <v>20034</v>
      </c>
      <c r="LT40" s="561">
        <v>0</v>
      </c>
      <c r="LU40" s="561">
        <v>34000</v>
      </c>
      <c r="LV40" s="561">
        <v>57900</v>
      </c>
      <c r="LW40" s="561">
        <v>126900</v>
      </c>
      <c r="LX40" s="561">
        <v>-35000</v>
      </c>
      <c r="LY40" s="561">
        <v>11400</v>
      </c>
      <c r="LZ40" s="561">
        <v>188300</v>
      </c>
      <c r="MA40" s="561">
        <v>0</v>
      </c>
      <c r="MB40" s="561">
        <v>0</v>
      </c>
      <c r="MC40" s="561">
        <v>71744</v>
      </c>
      <c r="MD40" s="561">
        <v>69605</v>
      </c>
      <c r="ME40" s="561">
        <v>2139</v>
      </c>
      <c r="MF40" s="561">
        <v>4110</v>
      </c>
      <c r="MG40" s="561">
        <v>6249</v>
      </c>
      <c r="MH40" s="561">
        <v>13161</v>
      </c>
      <c r="MI40" s="561">
        <v>19825</v>
      </c>
      <c r="MJ40" s="561">
        <v>32986</v>
      </c>
      <c r="MK40" s="561">
        <v>0</v>
      </c>
      <c r="ML40" s="561">
        <v>9354</v>
      </c>
      <c r="MM40" s="561">
        <v>63064</v>
      </c>
      <c r="MN40" s="561">
        <v>17671</v>
      </c>
      <c r="MO40" s="561">
        <v>19081</v>
      </c>
      <c r="MP40" s="561">
        <v>12039</v>
      </c>
      <c r="MQ40" s="561">
        <v>284515</v>
      </c>
      <c r="MR40" s="561">
        <v>4462</v>
      </c>
      <c r="MS40" s="561">
        <v>88406</v>
      </c>
      <c r="MT40" s="561">
        <v>133899</v>
      </c>
      <c r="MU40" s="561">
        <v>24285</v>
      </c>
      <c r="MV40" s="561">
        <v>57645</v>
      </c>
      <c r="MW40" s="561">
        <v>10404</v>
      </c>
      <c r="MX40" s="561">
        <v>36120</v>
      </c>
      <c r="MY40" s="561">
        <v>7012</v>
      </c>
      <c r="MZ40" s="561">
        <v>0</v>
      </c>
      <c r="NA40" s="561">
        <v>0</v>
      </c>
      <c r="NB40" s="561">
        <v>30971</v>
      </c>
      <c r="NC40" s="561">
        <v>0</v>
      </c>
      <c r="ND40" s="561">
        <v>677719</v>
      </c>
      <c r="NE40" s="561">
        <v>0</v>
      </c>
      <c r="NF40" s="561">
        <v>0</v>
      </c>
      <c r="NG40" s="561">
        <v>0</v>
      </c>
      <c r="NH40" s="561">
        <v>0</v>
      </c>
      <c r="NI40" s="561">
        <v>0</v>
      </c>
      <c r="NJ40" s="561">
        <v>0</v>
      </c>
      <c r="NK40" s="561">
        <v>0</v>
      </c>
      <c r="NL40" s="561">
        <v>0</v>
      </c>
      <c r="NM40" s="561">
        <v>0</v>
      </c>
      <c r="NN40" s="561">
        <v>0</v>
      </c>
      <c r="NO40" s="561">
        <v>0</v>
      </c>
      <c r="NP40" s="561">
        <v>0</v>
      </c>
      <c r="NQ40" s="561">
        <v>0</v>
      </c>
      <c r="NR40" s="561">
        <v>0</v>
      </c>
      <c r="NS40" s="561">
        <v>0</v>
      </c>
      <c r="NT40" s="561">
        <v>0</v>
      </c>
      <c r="NU40" s="561">
        <v>0</v>
      </c>
      <c r="NV40" s="561">
        <v>0</v>
      </c>
      <c r="NW40" s="561">
        <v>0</v>
      </c>
      <c r="NX40" s="561">
        <v>0</v>
      </c>
      <c r="NY40" s="561">
        <v>0</v>
      </c>
      <c r="NZ40" s="561">
        <v>0</v>
      </c>
      <c r="OA40" s="561">
        <v>0</v>
      </c>
      <c r="OB40" s="561">
        <v>0</v>
      </c>
      <c r="OC40" s="561">
        <v>0</v>
      </c>
      <c r="OD40" s="561">
        <v>0</v>
      </c>
      <c r="OE40" s="561">
        <v>0</v>
      </c>
      <c r="OF40" s="561">
        <v>0</v>
      </c>
      <c r="OG40" s="561">
        <v>0</v>
      </c>
      <c r="OH40" s="561">
        <v>0</v>
      </c>
      <c r="OI40" s="561">
        <v>0</v>
      </c>
      <c r="OJ40" s="561">
        <v>0</v>
      </c>
      <c r="OK40" s="561">
        <v>0</v>
      </c>
      <c r="OL40" s="561">
        <v>0</v>
      </c>
      <c r="OM40" s="561">
        <v>0</v>
      </c>
      <c r="ON40" s="561">
        <v>0</v>
      </c>
      <c r="OO40" s="561">
        <v>0</v>
      </c>
      <c r="OP40" s="561">
        <v>0</v>
      </c>
      <c r="OQ40" s="561">
        <v>0</v>
      </c>
      <c r="OR40" s="561">
        <v>0</v>
      </c>
      <c r="OS40" s="561">
        <v>0</v>
      </c>
      <c r="OT40" s="561">
        <v>0</v>
      </c>
      <c r="OU40" s="561">
        <v>0</v>
      </c>
      <c r="OV40" s="561">
        <v>0</v>
      </c>
      <c r="OW40" s="561">
        <v>0</v>
      </c>
      <c r="OX40" s="561">
        <v>0</v>
      </c>
      <c r="OY40" s="561">
        <v>0</v>
      </c>
      <c r="OZ40" s="561">
        <v>0</v>
      </c>
      <c r="PA40" s="561">
        <v>0</v>
      </c>
      <c r="PB40" s="561">
        <v>0</v>
      </c>
      <c r="PC40" s="561">
        <v>0</v>
      </c>
      <c r="PD40" s="561">
        <v>0</v>
      </c>
      <c r="PE40" s="561">
        <v>0</v>
      </c>
      <c r="PF40" s="561">
        <v>0</v>
      </c>
      <c r="PG40" s="561">
        <v>0</v>
      </c>
      <c r="PH40" s="561">
        <v>0</v>
      </c>
      <c r="PI40" s="561">
        <v>0</v>
      </c>
      <c r="PJ40" s="561">
        <v>0</v>
      </c>
    </row>
    <row r="41" spans="1:426" ht="14" x14ac:dyDescent="0.3">
      <c r="A41" t="s">
        <v>2550</v>
      </c>
      <c r="B41" t="s">
        <v>2551</v>
      </c>
      <c r="C41" t="s">
        <v>2552</v>
      </c>
      <c r="E41" t="s">
        <v>384</v>
      </c>
      <c r="F41" s="561">
        <v>0</v>
      </c>
      <c r="G41" s="561">
        <v>0</v>
      </c>
      <c r="H41" s="561">
        <v>0</v>
      </c>
      <c r="I41" s="561">
        <v>0</v>
      </c>
      <c r="J41" s="561">
        <v>0</v>
      </c>
      <c r="K41" s="561">
        <v>0</v>
      </c>
      <c r="L41" s="561">
        <v>0</v>
      </c>
      <c r="M41" s="561">
        <v>0</v>
      </c>
      <c r="N41" s="561">
        <v>0</v>
      </c>
      <c r="O41" s="561">
        <v>0</v>
      </c>
      <c r="P41" s="561">
        <v>0</v>
      </c>
      <c r="Q41" s="561">
        <v>0</v>
      </c>
      <c r="R41" s="561">
        <v>0</v>
      </c>
      <c r="S41" s="561">
        <v>0</v>
      </c>
      <c r="T41" s="561">
        <v>-53.69</v>
      </c>
      <c r="U41" s="561">
        <v>0</v>
      </c>
      <c r="V41" s="561">
        <v>4.1900000000000004</v>
      </c>
      <c r="W41" s="561">
        <v>0</v>
      </c>
      <c r="X41" s="561">
        <v>0</v>
      </c>
      <c r="Y41" s="561">
        <v>0</v>
      </c>
      <c r="Z41" s="561">
        <v>-11.95</v>
      </c>
      <c r="AA41" s="561">
        <v>0</v>
      </c>
      <c r="AB41" s="561">
        <v>-1335.24</v>
      </c>
      <c r="AC41" s="561">
        <v>0</v>
      </c>
      <c r="AD41" s="561">
        <v>0</v>
      </c>
      <c r="AE41" s="561">
        <v>0</v>
      </c>
      <c r="AF41" s="561">
        <v>0</v>
      </c>
      <c r="AG41" s="561">
        <v>0</v>
      </c>
      <c r="AH41" s="561">
        <v>0</v>
      </c>
      <c r="AI41" s="561">
        <v>0</v>
      </c>
      <c r="AJ41" s="561">
        <v>-1396.69</v>
      </c>
      <c r="AK41" s="561">
        <v>24</v>
      </c>
      <c r="AL41" s="561">
        <v>0</v>
      </c>
      <c r="AM41" s="561">
        <v>0</v>
      </c>
      <c r="AN41" s="561">
        <v>0</v>
      </c>
      <c r="AO41" s="561">
        <v>0</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v>0</v>
      </c>
      <c r="BL41" s="561">
        <v>0</v>
      </c>
      <c r="BM41" s="561">
        <v>0</v>
      </c>
      <c r="BN41" s="561">
        <v>0</v>
      </c>
      <c r="BO41" s="561">
        <v>0</v>
      </c>
      <c r="BP41" s="561">
        <v>0</v>
      </c>
      <c r="BQ41" s="561">
        <v>0</v>
      </c>
      <c r="BR41" s="561">
        <v>0</v>
      </c>
      <c r="BS41" s="561">
        <v>0</v>
      </c>
      <c r="BT41" s="561">
        <v>0</v>
      </c>
      <c r="BU41" s="561">
        <v>0</v>
      </c>
      <c r="BV41" s="561">
        <v>0</v>
      </c>
      <c r="BW41" s="561">
        <v>0</v>
      </c>
      <c r="BX41" s="561">
        <v>0</v>
      </c>
      <c r="BY41" s="561">
        <v>0</v>
      </c>
      <c r="BZ41" s="561">
        <v>0</v>
      </c>
      <c r="CA41" s="561">
        <v>0</v>
      </c>
      <c r="CB41" s="561">
        <v>0</v>
      </c>
      <c r="CC41" s="561">
        <v>0</v>
      </c>
      <c r="CD41" s="561">
        <v>0</v>
      </c>
      <c r="CE41" s="561">
        <v>0</v>
      </c>
      <c r="CF41" s="561">
        <v>2.31</v>
      </c>
      <c r="CG41" s="561">
        <v>0</v>
      </c>
      <c r="CH41" s="561">
        <v>0</v>
      </c>
      <c r="CI41" s="561">
        <v>0</v>
      </c>
      <c r="CJ41" s="561">
        <v>0</v>
      </c>
      <c r="CK41" s="561">
        <v>0</v>
      </c>
      <c r="CL41" s="561">
        <v>0</v>
      </c>
      <c r="CM41" s="561">
        <v>0</v>
      </c>
      <c r="CN41" s="561">
        <v>0</v>
      </c>
      <c r="CO41" s="561">
        <v>0</v>
      </c>
      <c r="CP41" s="561">
        <v>0</v>
      </c>
      <c r="CQ41" s="561">
        <v>0</v>
      </c>
      <c r="CR41" s="561">
        <v>0</v>
      </c>
      <c r="CS41" s="561">
        <v>0</v>
      </c>
      <c r="CT41" s="561">
        <v>0</v>
      </c>
      <c r="CU41" s="561">
        <v>0</v>
      </c>
      <c r="CV41" s="561">
        <v>0</v>
      </c>
      <c r="CW41" s="561">
        <v>0</v>
      </c>
      <c r="CX41" s="561">
        <v>0</v>
      </c>
      <c r="CY41" s="561">
        <v>0</v>
      </c>
      <c r="CZ41" s="561">
        <v>2.31</v>
      </c>
      <c r="DA41" s="561">
        <v>0</v>
      </c>
      <c r="DB41" s="561">
        <v>0</v>
      </c>
      <c r="DC41" s="561">
        <v>0</v>
      </c>
      <c r="DD41" s="561">
        <v>0</v>
      </c>
      <c r="DE41" s="561">
        <v>0</v>
      </c>
      <c r="DF41" s="561">
        <v>0</v>
      </c>
      <c r="DG41" s="561">
        <v>0</v>
      </c>
      <c r="DH41" s="561">
        <v>33.57</v>
      </c>
      <c r="DI41" s="561">
        <v>0</v>
      </c>
      <c r="DJ41" s="561">
        <v>0</v>
      </c>
      <c r="DK41" s="561">
        <v>0</v>
      </c>
      <c r="DL41" s="561">
        <v>0</v>
      </c>
      <c r="DM41" s="561">
        <v>-10.18</v>
      </c>
      <c r="DN41" s="561">
        <v>0.13</v>
      </c>
      <c r="DO41" s="561">
        <v>-6.37</v>
      </c>
      <c r="DP41" s="561">
        <v>0</v>
      </c>
      <c r="DQ41" s="561">
        <v>0</v>
      </c>
      <c r="DR41" s="561">
        <v>401.25</v>
      </c>
      <c r="DS41" s="561">
        <v>6.25</v>
      </c>
      <c r="DT41" s="561">
        <v>0</v>
      </c>
      <c r="DU41" s="561">
        <v>391.08</v>
      </c>
      <c r="DV41" s="561">
        <v>0</v>
      </c>
      <c r="DW41" s="561">
        <v>0</v>
      </c>
      <c r="DX41" s="561">
        <v>0</v>
      </c>
      <c r="DY41" s="561">
        <v>17.39</v>
      </c>
      <c r="DZ41" s="561">
        <v>-64.55</v>
      </c>
      <c r="EA41" s="561">
        <v>0</v>
      </c>
      <c r="EB41" s="561">
        <v>7.21</v>
      </c>
      <c r="EC41" s="561">
        <v>384.7</v>
      </c>
      <c r="ED41" s="561">
        <v>75</v>
      </c>
      <c r="EE41" s="561">
        <v>14346</v>
      </c>
      <c r="EF41" s="561">
        <v>252</v>
      </c>
      <c r="EG41" s="561">
        <v>1112.8</v>
      </c>
      <c r="EH41" s="561">
        <v>0</v>
      </c>
      <c r="EI41" s="561">
        <v>0</v>
      </c>
      <c r="EJ41" s="561">
        <v>359</v>
      </c>
      <c r="EK41" s="561">
        <v>0</v>
      </c>
      <c r="EL41" s="561">
        <v>0</v>
      </c>
      <c r="EM41" s="561">
        <v>0</v>
      </c>
      <c r="EN41" s="561">
        <v>4047</v>
      </c>
      <c r="EO41" s="561">
        <v>2501</v>
      </c>
      <c r="EP41" s="561">
        <v>1253</v>
      </c>
      <c r="EQ41" s="561">
        <v>292</v>
      </c>
      <c r="ER41" s="561">
        <v>2665</v>
      </c>
      <c r="ES41" s="561" t="s">
        <v>4565</v>
      </c>
      <c r="ET41" s="561">
        <v>3374</v>
      </c>
      <c r="EU41" s="561">
        <v>747.69</v>
      </c>
      <c r="EV41" s="561">
        <v>0</v>
      </c>
      <c r="EW41" s="561">
        <v>0</v>
      </c>
      <c r="EX41" s="561">
        <v>0</v>
      </c>
      <c r="EY41" s="561">
        <v>164</v>
      </c>
      <c r="EZ41" s="561">
        <v>1026.1099999999999</v>
      </c>
      <c r="FA41" s="561">
        <v>5227</v>
      </c>
      <c r="FB41" s="561">
        <v>0</v>
      </c>
      <c r="FC41" s="561">
        <v>0</v>
      </c>
      <c r="FD41" s="561">
        <v>0</v>
      </c>
      <c r="FE41" s="561">
        <v>0</v>
      </c>
      <c r="FF41" s="561">
        <v>-4.75</v>
      </c>
      <c r="FG41" s="561">
        <v>201.24</v>
      </c>
      <c r="FH41" s="561">
        <v>0</v>
      </c>
      <c r="FI41" s="561">
        <v>82.18</v>
      </c>
      <c r="FJ41" s="561">
        <v>134.72999999999999</v>
      </c>
      <c r="FK41" s="561">
        <v>54.26</v>
      </c>
      <c r="FL41" s="561">
        <v>0</v>
      </c>
      <c r="FM41" s="561">
        <v>14.67</v>
      </c>
      <c r="FN41" s="561">
        <v>0</v>
      </c>
      <c r="FO41" s="561">
        <v>482.33</v>
      </c>
      <c r="FP41" s="561">
        <v>35.36</v>
      </c>
      <c r="FQ41" s="561">
        <v>37.24</v>
      </c>
      <c r="FR41" s="561">
        <v>0</v>
      </c>
      <c r="FS41" s="561">
        <v>0</v>
      </c>
      <c r="FT41" s="561">
        <v>109.78</v>
      </c>
      <c r="FU41" s="561">
        <v>86.61</v>
      </c>
      <c r="FV41" s="561">
        <v>144.91</v>
      </c>
      <c r="FW41" s="561">
        <v>50.97</v>
      </c>
      <c r="FX41" s="561">
        <v>0</v>
      </c>
      <c r="FY41" s="561">
        <v>0</v>
      </c>
      <c r="FZ41" s="561">
        <v>0</v>
      </c>
      <c r="GA41" s="561">
        <v>40.65</v>
      </c>
      <c r="GB41" s="561">
        <v>85.05</v>
      </c>
      <c r="GC41" s="561">
        <v>-11.32</v>
      </c>
      <c r="GD41" s="561">
        <v>0</v>
      </c>
      <c r="GE41" s="561">
        <v>145.18</v>
      </c>
      <c r="GF41" s="561">
        <v>0</v>
      </c>
      <c r="GG41" s="561">
        <v>0</v>
      </c>
      <c r="GH41" s="561">
        <v>0.14000000000000001</v>
      </c>
      <c r="GI41" s="561">
        <v>0</v>
      </c>
      <c r="GJ41" s="561">
        <v>0</v>
      </c>
      <c r="GK41" s="561">
        <v>0</v>
      </c>
      <c r="GL41" s="561">
        <v>444.08</v>
      </c>
      <c r="GM41" s="561">
        <v>516.72</v>
      </c>
      <c r="GN41" s="561">
        <v>19.489999999999998</v>
      </c>
      <c r="GO41" s="561">
        <v>-269.35000000000002</v>
      </c>
      <c r="GP41" s="561">
        <v>-47.09</v>
      </c>
      <c r="GQ41" s="561">
        <v>-3.87</v>
      </c>
      <c r="GR41" s="561">
        <v>0</v>
      </c>
      <c r="GS41" s="561">
        <v>1349.19</v>
      </c>
      <c r="GT41" s="561">
        <v>545.24</v>
      </c>
      <c r="GU41" s="561">
        <v>40.71</v>
      </c>
      <c r="GV41" s="561">
        <v>292.58</v>
      </c>
      <c r="GW41" s="561">
        <v>0</v>
      </c>
      <c r="GX41" s="561">
        <v>198.05</v>
      </c>
      <c r="GY41" s="561">
        <v>58.03</v>
      </c>
      <c r="GZ41" s="561">
        <v>245.59</v>
      </c>
      <c r="HA41" s="561">
        <v>0</v>
      </c>
      <c r="HB41" s="561">
        <v>0</v>
      </c>
      <c r="HC41" s="561">
        <v>107.71</v>
      </c>
      <c r="HD41" s="561">
        <v>942.67</v>
      </c>
      <c r="HE41" s="561">
        <v>365.42</v>
      </c>
      <c r="HF41" s="561">
        <v>2774.19</v>
      </c>
      <c r="HG41" s="561">
        <v>946.02</v>
      </c>
      <c r="HH41" s="561">
        <v>0</v>
      </c>
      <c r="HI41" s="561">
        <v>0</v>
      </c>
      <c r="HJ41" s="561">
        <v>0</v>
      </c>
      <c r="HK41" s="561">
        <v>0</v>
      </c>
      <c r="HL41" s="561">
        <v>0</v>
      </c>
      <c r="HM41" s="561">
        <v>0</v>
      </c>
      <c r="HN41" s="561">
        <v>0</v>
      </c>
      <c r="HO41" s="561">
        <v>601.21</v>
      </c>
      <c r="HP41" s="561">
        <v>-429.7</v>
      </c>
      <c r="HQ41" s="561">
        <v>0</v>
      </c>
      <c r="HR41" s="561">
        <v>0</v>
      </c>
      <c r="HS41" s="561">
        <v>181.87</v>
      </c>
      <c r="HT41" s="561">
        <v>-85.72</v>
      </c>
      <c r="HU41" s="561">
        <v>-105.63</v>
      </c>
      <c r="HV41" s="561">
        <v>0</v>
      </c>
      <c r="HW41" s="561">
        <v>116.96</v>
      </c>
      <c r="HX41" s="561">
        <v>144.35</v>
      </c>
      <c r="HY41" s="561">
        <v>15.02</v>
      </c>
      <c r="HZ41" s="561">
        <v>-17.8</v>
      </c>
      <c r="IA41" s="561">
        <v>0</v>
      </c>
      <c r="IB41" s="561">
        <v>154.88</v>
      </c>
      <c r="IC41" s="561">
        <v>0</v>
      </c>
      <c r="ID41" s="561">
        <v>0</v>
      </c>
      <c r="IE41" s="561">
        <v>0</v>
      </c>
      <c r="IF41" s="561">
        <v>0</v>
      </c>
      <c r="IG41" s="561">
        <v>0</v>
      </c>
      <c r="IH41" s="561">
        <v>4990.8599999999997</v>
      </c>
      <c r="II41" s="561">
        <v>5566.3</v>
      </c>
      <c r="IJ41" s="561">
        <v>836</v>
      </c>
      <c r="IK41" s="561">
        <v>0</v>
      </c>
      <c r="IL41" s="561">
        <v>0</v>
      </c>
      <c r="IM41" s="561">
        <v>0</v>
      </c>
      <c r="IN41" s="561">
        <v>0</v>
      </c>
      <c r="IO41" s="561">
        <v>0</v>
      </c>
      <c r="IP41" s="561">
        <v>0</v>
      </c>
      <c r="IQ41" s="561">
        <v>0</v>
      </c>
      <c r="IR41" s="561">
        <v>0</v>
      </c>
      <c r="IS41" s="561">
        <v>-1396.69</v>
      </c>
      <c r="IT41" s="561">
        <v>0</v>
      </c>
      <c r="IU41" s="561">
        <v>0</v>
      </c>
      <c r="IV41" s="561">
        <v>2.31</v>
      </c>
      <c r="IW41" s="561">
        <v>384.7</v>
      </c>
      <c r="IX41" s="561">
        <v>482.33</v>
      </c>
      <c r="IY41" s="561">
        <v>1349.19</v>
      </c>
      <c r="IZ41" s="561">
        <v>942.67</v>
      </c>
      <c r="JA41" s="561">
        <v>0</v>
      </c>
      <c r="JB41" s="561">
        <v>0</v>
      </c>
      <c r="JC41" s="561">
        <v>5566.3</v>
      </c>
      <c r="JD41" s="561">
        <v>0</v>
      </c>
      <c r="JE41" s="561">
        <v>7330.81</v>
      </c>
      <c r="JF41" s="561">
        <v>5029</v>
      </c>
      <c r="JG41" s="561">
        <v>164</v>
      </c>
      <c r="JH41" s="561">
        <v>3824</v>
      </c>
      <c r="JI41" s="561">
        <v>0</v>
      </c>
      <c r="JJ41" s="561">
        <v>0</v>
      </c>
      <c r="JK41" s="561">
        <v>723</v>
      </c>
      <c r="JL41" s="561">
        <v>0</v>
      </c>
      <c r="JM41" s="561">
        <v>0</v>
      </c>
      <c r="JN41" s="561">
        <v>0</v>
      </c>
      <c r="JO41" s="561">
        <v>0</v>
      </c>
      <c r="JP41" s="561">
        <v>0</v>
      </c>
      <c r="JQ41" s="561">
        <v>0</v>
      </c>
      <c r="JR41" s="561">
        <v>0</v>
      </c>
      <c r="JS41" s="561">
        <v>0</v>
      </c>
      <c r="JT41" s="561">
        <v>43</v>
      </c>
      <c r="JU41" s="561">
        <v>0</v>
      </c>
      <c r="JV41" s="561">
        <v>17113.810000000001</v>
      </c>
      <c r="JW41" s="561">
        <v>0</v>
      </c>
      <c r="JX41" s="561">
        <v>0</v>
      </c>
      <c r="JY41" s="561">
        <v>0</v>
      </c>
      <c r="JZ41" s="561">
        <v>0</v>
      </c>
      <c r="KA41" s="561">
        <v>0</v>
      </c>
      <c r="KB41" s="561">
        <v>1239</v>
      </c>
      <c r="KC41" s="561">
        <v>954</v>
      </c>
      <c r="KD41" s="561">
        <v>48</v>
      </c>
      <c r="KE41" s="561">
        <v>4250</v>
      </c>
      <c r="KF41" s="561">
        <v>-432</v>
      </c>
      <c r="KG41" s="561">
        <v>23172.81</v>
      </c>
      <c r="KH41" s="561">
        <v>-5089</v>
      </c>
      <c r="KI41" s="561">
        <v>0</v>
      </c>
      <c r="KJ41" s="561">
        <v>0</v>
      </c>
      <c r="KK41" s="561">
        <v>0</v>
      </c>
      <c r="KL41" s="561">
        <v>-8574</v>
      </c>
      <c r="KM41" s="561">
        <v>0</v>
      </c>
      <c r="KN41" s="561">
        <v>-14.7</v>
      </c>
      <c r="KO41" s="561">
        <v>0</v>
      </c>
      <c r="KP41" s="561">
        <v>0</v>
      </c>
      <c r="KQ41" s="561">
        <v>0</v>
      </c>
      <c r="KR41" s="561">
        <v>9495.11</v>
      </c>
      <c r="KS41" s="561">
        <v>0</v>
      </c>
      <c r="KT41" s="561">
        <v>-1508</v>
      </c>
      <c r="KU41" s="561">
        <v>7987.11</v>
      </c>
      <c r="KV41" s="561">
        <v>0</v>
      </c>
      <c r="KW41" s="561">
        <v>0</v>
      </c>
      <c r="KX41" s="561">
        <v>0</v>
      </c>
      <c r="KY41" s="561">
        <v>0</v>
      </c>
      <c r="KZ41" s="561">
        <v>254</v>
      </c>
      <c r="LA41" s="561">
        <v>1371</v>
      </c>
      <c r="LB41" s="561">
        <v>-74</v>
      </c>
      <c r="LC41" s="561">
        <v>0</v>
      </c>
      <c r="LD41" s="561">
        <v>-1148.33</v>
      </c>
      <c r="LE41" s="561">
        <v>-473</v>
      </c>
      <c r="LF41" s="561">
        <v>0</v>
      </c>
      <c r="LG41" s="561">
        <v>7917</v>
      </c>
      <c r="LH41" s="561">
        <v>0</v>
      </c>
      <c r="LI41" s="561">
        <v>0</v>
      </c>
      <c r="LJ41" s="561">
        <v>0</v>
      </c>
      <c r="LK41" s="561">
        <v>0</v>
      </c>
      <c r="LL41" s="561">
        <v>11524</v>
      </c>
      <c r="LM41" s="561">
        <v>2770</v>
      </c>
      <c r="LN41" s="561">
        <v>0</v>
      </c>
      <c r="LO41" s="561">
        <v>0</v>
      </c>
      <c r="LP41" s="561">
        <v>0</v>
      </c>
      <c r="LQ41" s="561">
        <v>0</v>
      </c>
      <c r="LR41" s="561">
        <v>11778</v>
      </c>
      <c r="LS41" s="561">
        <v>4141</v>
      </c>
      <c r="LT41" s="561">
        <v>0</v>
      </c>
      <c r="LU41" s="561">
        <v>2044</v>
      </c>
      <c r="LV41" s="561">
        <v>0</v>
      </c>
      <c r="LW41" s="561">
        <v>5785</v>
      </c>
      <c r="LX41" s="561">
        <v>-655</v>
      </c>
      <c r="LY41" s="561">
        <v>1011</v>
      </c>
      <c r="LZ41" s="561">
        <v>8185</v>
      </c>
      <c r="MA41" s="561">
        <v>0</v>
      </c>
      <c r="MB41" s="561">
        <v>0</v>
      </c>
      <c r="MC41" s="561">
        <v>16069.8</v>
      </c>
      <c r="MD41" s="561">
        <v>15043.69</v>
      </c>
      <c r="ME41" s="561">
        <v>1026.1099999999999</v>
      </c>
      <c r="MF41" s="561">
        <v>5227</v>
      </c>
      <c r="MG41" s="561">
        <v>6253.11</v>
      </c>
      <c r="MH41" s="561">
        <v>1625</v>
      </c>
      <c r="MI41" s="561">
        <v>2625</v>
      </c>
      <c r="MJ41" s="561">
        <v>4250</v>
      </c>
      <c r="MK41" s="561">
        <v>963</v>
      </c>
      <c r="ML41" s="561">
        <v>0</v>
      </c>
      <c r="MM41" s="561">
        <v>5322</v>
      </c>
      <c r="MN41" s="561">
        <v>0</v>
      </c>
      <c r="MO41" s="561">
        <v>6456</v>
      </c>
      <c r="MP41" s="561">
        <v>0</v>
      </c>
      <c r="MQ41" s="561">
        <v>0</v>
      </c>
      <c r="MR41" s="561">
        <v>-1396.69</v>
      </c>
      <c r="MS41" s="561">
        <v>0</v>
      </c>
      <c r="MT41" s="561">
        <v>0</v>
      </c>
      <c r="MU41" s="561">
        <v>2.31</v>
      </c>
      <c r="MV41" s="561">
        <v>384.7</v>
      </c>
      <c r="MW41" s="561">
        <v>482.33</v>
      </c>
      <c r="MX41" s="561">
        <v>1349.19</v>
      </c>
      <c r="MY41" s="561">
        <v>942.67</v>
      </c>
      <c r="MZ41" s="561">
        <v>0</v>
      </c>
      <c r="NA41" s="561">
        <v>0</v>
      </c>
      <c r="NB41" s="561">
        <v>5566.3</v>
      </c>
      <c r="NC41" s="561">
        <v>0</v>
      </c>
      <c r="ND41" s="561">
        <v>7330.81</v>
      </c>
      <c r="NE41" s="561">
        <v>0</v>
      </c>
      <c r="NF41" s="561">
        <v>0</v>
      </c>
      <c r="NG41" s="561">
        <v>0</v>
      </c>
      <c r="NH41" s="561">
        <v>0</v>
      </c>
      <c r="NI41" s="561">
        <v>0</v>
      </c>
      <c r="NJ41" s="561">
        <v>0</v>
      </c>
      <c r="NK41" s="561">
        <v>0</v>
      </c>
      <c r="NL41" s="561">
        <v>0</v>
      </c>
      <c r="NM41" s="561">
        <v>0</v>
      </c>
      <c r="NN41" s="561">
        <v>0</v>
      </c>
      <c r="NO41" s="561">
        <v>0</v>
      </c>
      <c r="NP41" s="561">
        <v>0</v>
      </c>
      <c r="NQ41" s="561">
        <v>0</v>
      </c>
      <c r="NR41" s="561">
        <v>0</v>
      </c>
      <c r="NS41" s="561">
        <v>0</v>
      </c>
      <c r="NT41" s="561">
        <v>0</v>
      </c>
      <c r="NU41" s="561">
        <v>0</v>
      </c>
      <c r="NV41" s="561">
        <v>0</v>
      </c>
      <c r="NW41" s="561">
        <v>0</v>
      </c>
      <c r="NX41" s="561">
        <v>0</v>
      </c>
      <c r="NY41" s="561">
        <v>0</v>
      </c>
      <c r="NZ41" s="561">
        <v>0</v>
      </c>
      <c r="OA41" s="561">
        <v>0</v>
      </c>
      <c r="OB41" s="561">
        <v>0</v>
      </c>
      <c r="OC41" s="561">
        <v>0</v>
      </c>
      <c r="OD41" s="561">
        <v>0</v>
      </c>
      <c r="OE41" s="561">
        <v>0</v>
      </c>
      <c r="OF41" s="561">
        <v>0</v>
      </c>
      <c r="OG41" s="561">
        <v>0</v>
      </c>
      <c r="OH41" s="561">
        <v>0</v>
      </c>
      <c r="OI41" s="561">
        <v>0</v>
      </c>
      <c r="OJ41" s="561">
        <v>0</v>
      </c>
      <c r="OK41" s="561">
        <v>0</v>
      </c>
      <c r="OL41" s="561">
        <v>0</v>
      </c>
      <c r="OM41" s="561">
        <v>0</v>
      </c>
      <c r="ON41" s="561">
        <v>0</v>
      </c>
      <c r="OO41" s="561">
        <v>0</v>
      </c>
      <c r="OP41" s="561">
        <v>0</v>
      </c>
      <c r="OQ41" s="561">
        <v>0</v>
      </c>
      <c r="OR41" s="561">
        <v>0</v>
      </c>
      <c r="OS41" s="561">
        <v>0</v>
      </c>
      <c r="OT41" s="561">
        <v>0</v>
      </c>
      <c r="OU41" s="561">
        <v>0</v>
      </c>
      <c r="OV41" s="561">
        <v>0</v>
      </c>
      <c r="OW41" s="561">
        <v>0</v>
      </c>
      <c r="OX41" s="561">
        <v>0</v>
      </c>
      <c r="OY41" s="561">
        <v>0</v>
      </c>
      <c r="OZ41" s="561">
        <v>0</v>
      </c>
      <c r="PA41" s="561">
        <v>0</v>
      </c>
      <c r="PB41" s="561">
        <v>0</v>
      </c>
      <c r="PC41" s="561">
        <v>0</v>
      </c>
      <c r="PD41" s="561">
        <v>0</v>
      </c>
      <c r="PE41" s="561">
        <v>0</v>
      </c>
      <c r="PF41" s="561">
        <v>0</v>
      </c>
      <c r="PG41" s="561">
        <v>0</v>
      </c>
      <c r="PH41" s="561">
        <v>0</v>
      </c>
      <c r="PI41" s="561">
        <v>0</v>
      </c>
      <c r="PJ41" s="561">
        <v>0</v>
      </c>
    </row>
    <row r="42" spans="1:426" ht="14" x14ac:dyDescent="0.3">
      <c r="A42" t="s">
        <v>2553</v>
      </c>
      <c r="B42" t="s">
        <v>2554</v>
      </c>
      <c r="C42" t="s">
        <v>4576</v>
      </c>
      <c r="E42" t="s">
        <v>385</v>
      </c>
      <c r="F42" s="561">
        <v>27732</v>
      </c>
      <c r="G42" s="561">
        <v>100904</v>
      </c>
      <c r="H42" s="561">
        <v>84355</v>
      </c>
      <c r="I42" s="561">
        <v>25502</v>
      </c>
      <c r="J42" s="561">
        <v>2866</v>
      </c>
      <c r="K42" s="561">
        <v>15102</v>
      </c>
      <c r="L42" s="561">
        <v>256461</v>
      </c>
      <c r="M42" s="561">
        <v>4406</v>
      </c>
      <c r="N42" s="561">
        <v>517</v>
      </c>
      <c r="O42" s="561">
        <v>1097</v>
      </c>
      <c r="P42" s="561">
        <v>5</v>
      </c>
      <c r="Q42" s="561">
        <v>28</v>
      </c>
      <c r="R42" s="561">
        <v>71</v>
      </c>
      <c r="S42" s="561">
        <v>1346</v>
      </c>
      <c r="T42" s="561">
        <v>3141</v>
      </c>
      <c r="U42" s="561">
        <v>302</v>
      </c>
      <c r="V42" s="561">
        <v>2544</v>
      </c>
      <c r="W42" s="561">
        <v>0</v>
      </c>
      <c r="X42" s="561">
        <v>0</v>
      </c>
      <c r="Y42" s="561">
        <v>622</v>
      </c>
      <c r="Z42" s="561">
        <v>954</v>
      </c>
      <c r="AA42" s="561">
        <v>-27647</v>
      </c>
      <c r="AB42" s="561">
        <v>-5584</v>
      </c>
      <c r="AC42" s="561">
        <v>9966</v>
      </c>
      <c r="AD42" s="561">
        <v>398</v>
      </c>
      <c r="AE42" s="561">
        <v>684</v>
      </c>
      <c r="AF42" s="561">
        <v>0</v>
      </c>
      <c r="AG42" s="561">
        <v>0</v>
      </c>
      <c r="AH42" s="561">
        <v>8334</v>
      </c>
      <c r="AI42" s="561">
        <v>0</v>
      </c>
      <c r="AJ42" s="561">
        <v>-3222</v>
      </c>
      <c r="AK42" s="561">
        <v>255</v>
      </c>
      <c r="AL42" s="561">
        <v>0</v>
      </c>
      <c r="AM42" s="561">
        <v>0</v>
      </c>
      <c r="AN42" s="561">
        <v>0</v>
      </c>
      <c r="AO42" s="561">
        <v>0</v>
      </c>
      <c r="AP42" s="561">
        <v>0</v>
      </c>
      <c r="AQ42" s="561">
        <v>0</v>
      </c>
      <c r="AR42" s="561">
        <v>0</v>
      </c>
      <c r="AS42" s="561">
        <v>14349</v>
      </c>
      <c r="AT42" s="561">
        <v>27696</v>
      </c>
      <c r="AU42" s="561">
        <v>0</v>
      </c>
      <c r="AV42" s="561">
        <v>0</v>
      </c>
      <c r="AW42" s="561">
        <v>0</v>
      </c>
      <c r="AX42" s="561">
        <v>5304</v>
      </c>
      <c r="AY42" s="561">
        <v>37056</v>
      </c>
      <c r="AZ42" s="561">
        <v>1392</v>
      </c>
      <c r="BA42" s="561">
        <v>4841</v>
      </c>
      <c r="BB42" s="561">
        <v>1404</v>
      </c>
      <c r="BC42" s="561">
        <v>19986</v>
      </c>
      <c r="BD42" s="561">
        <v>616</v>
      </c>
      <c r="BE42" s="561">
        <v>1751</v>
      </c>
      <c r="BF42" s="561">
        <v>72350</v>
      </c>
      <c r="BG42" s="561">
        <v>379</v>
      </c>
      <c r="BH42" s="561">
        <v>20000</v>
      </c>
      <c r="BI42" s="561">
        <v>26356</v>
      </c>
      <c r="BJ42" s="561">
        <v>142</v>
      </c>
      <c r="BK42" s="561">
        <v>29</v>
      </c>
      <c r="BL42" s="561">
        <v>747</v>
      </c>
      <c r="BM42" s="561">
        <v>15222</v>
      </c>
      <c r="BN42" s="561">
        <v>48670</v>
      </c>
      <c r="BO42" s="561">
        <v>4441</v>
      </c>
      <c r="BP42" s="561">
        <v>9433</v>
      </c>
      <c r="BQ42" s="561">
        <v>2983</v>
      </c>
      <c r="BR42" s="561">
        <v>646</v>
      </c>
      <c r="BS42" s="561">
        <v>81</v>
      </c>
      <c r="BT42" s="561">
        <v>233</v>
      </c>
      <c r="BU42" s="561">
        <v>0</v>
      </c>
      <c r="BV42" s="561">
        <v>1285</v>
      </c>
      <c r="BW42" s="561">
        <v>15090</v>
      </c>
      <c r="BX42" s="561">
        <v>271</v>
      </c>
      <c r="BY42" s="561">
        <v>4173</v>
      </c>
      <c r="BZ42" s="561">
        <v>149802</v>
      </c>
      <c r="CA42" s="561">
        <v>1273</v>
      </c>
      <c r="CB42" s="561">
        <v>2626</v>
      </c>
      <c r="CC42" s="561">
        <v>1164</v>
      </c>
      <c r="CD42" s="561">
        <v>1040</v>
      </c>
      <c r="CE42" s="561">
        <v>323</v>
      </c>
      <c r="CF42" s="561">
        <v>122</v>
      </c>
      <c r="CG42" s="561">
        <v>63</v>
      </c>
      <c r="CH42" s="561">
        <v>364</v>
      </c>
      <c r="CI42" s="561">
        <v>274</v>
      </c>
      <c r="CJ42" s="561">
        <v>141</v>
      </c>
      <c r="CK42" s="561">
        <v>285</v>
      </c>
      <c r="CL42" s="561">
        <v>258</v>
      </c>
      <c r="CM42" s="561">
        <v>6775</v>
      </c>
      <c r="CN42" s="561">
        <v>1772</v>
      </c>
      <c r="CO42" s="561">
        <v>375</v>
      </c>
      <c r="CP42" s="561">
        <v>82</v>
      </c>
      <c r="CQ42" s="561">
        <v>627</v>
      </c>
      <c r="CR42" s="561">
        <v>590</v>
      </c>
      <c r="CS42" s="561">
        <v>131</v>
      </c>
      <c r="CT42" s="561">
        <v>4102</v>
      </c>
      <c r="CU42" s="561">
        <v>3546</v>
      </c>
      <c r="CV42" s="561">
        <v>42</v>
      </c>
      <c r="CW42" s="561">
        <v>0</v>
      </c>
      <c r="CX42" s="561">
        <v>578</v>
      </c>
      <c r="CY42" s="561">
        <v>4085</v>
      </c>
      <c r="CZ42" s="561">
        <v>29365</v>
      </c>
      <c r="DA42" s="561">
        <v>0</v>
      </c>
      <c r="DB42" s="561">
        <v>479</v>
      </c>
      <c r="DC42" s="561">
        <v>96</v>
      </c>
      <c r="DD42" s="561">
        <v>180</v>
      </c>
      <c r="DE42" s="561">
        <v>0</v>
      </c>
      <c r="DF42" s="561">
        <v>0</v>
      </c>
      <c r="DG42" s="561">
        <v>0</v>
      </c>
      <c r="DH42" s="561">
        <v>84</v>
      </c>
      <c r="DI42" s="561">
        <v>0</v>
      </c>
      <c r="DJ42" s="561">
        <v>26</v>
      </c>
      <c r="DK42" s="561">
        <v>-1577</v>
      </c>
      <c r="DL42" s="561">
        <v>0</v>
      </c>
      <c r="DM42" s="561">
        <v>10153</v>
      </c>
      <c r="DN42" s="561">
        <v>775</v>
      </c>
      <c r="DO42" s="561">
        <v>4034</v>
      </c>
      <c r="DP42" s="561">
        <v>0</v>
      </c>
      <c r="DQ42" s="561">
        <v>7621</v>
      </c>
      <c r="DR42" s="561">
        <v>3443</v>
      </c>
      <c r="DS42" s="561">
        <v>0</v>
      </c>
      <c r="DT42" s="561">
        <v>0</v>
      </c>
      <c r="DU42" s="561">
        <v>26026</v>
      </c>
      <c r="DV42" s="561">
        <v>11</v>
      </c>
      <c r="DW42" s="561">
        <v>0</v>
      </c>
      <c r="DX42" s="561">
        <v>-89</v>
      </c>
      <c r="DY42" s="561">
        <v>3150</v>
      </c>
      <c r="DZ42" s="561">
        <v>532</v>
      </c>
      <c r="EA42" s="561">
        <v>713</v>
      </c>
      <c r="EB42" s="561">
        <v>0</v>
      </c>
      <c r="EC42" s="561">
        <v>28876</v>
      </c>
      <c r="ED42" s="561">
        <v>650</v>
      </c>
      <c r="EE42" s="561">
        <v>68947</v>
      </c>
      <c r="EF42" s="561">
        <v>1909</v>
      </c>
      <c r="EG42" s="561">
        <v>8032</v>
      </c>
      <c r="EH42" s="561">
        <v>1</v>
      </c>
      <c r="EI42" s="561">
        <v>120</v>
      </c>
      <c r="EJ42" s="561">
        <v>249</v>
      </c>
      <c r="EK42" s="561">
        <v>209</v>
      </c>
      <c r="EL42" s="561">
        <v>81</v>
      </c>
      <c r="EM42" s="561">
        <v>0</v>
      </c>
      <c r="EN42" s="561">
        <v>26057</v>
      </c>
      <c r="EO42" s="561">
        <v>15882</v>
      </c>
      <c r="EP42" s="561">
        <v>7653</v>
      </c>
      <c r="EQ42" s="561">
        <v>648</v>
      </c>
      <c r="ER42" s="561">
        <v>8852</v>
      </c>
      <c r="ES42" s="561" t="s">
        <v>4565</v>
      </c>
      <c r="ET42" s="561">
        <v>16268</v>
      </c>
      <c r="EU42" s="561">
        <v>1635</v>
      </c>
      <c r="EV42" s="561">
        <v>34</v>
      </c>
      <c r="EW42" s="561">
        <v>251</v>
      </c>
      <c r="EX42" s="561">
        <v>3369</v>
      </c>
      <c r="EY42" s="561">
        <v>533</v>
      </c>
      <c r="EZ42" s="561">
        <v>-1634</v>
      </c>
      <c r="FA42" s="561">
        <v>11211</v>
      </c>
      <c r="FB42" s="561">
        <v>345</v>
      </c>
      <c r="FC42" s="561">
        <v>273</v>
      </c>
      <c r="FD42" s="561">
        <v>322</v>
      </c>
      <c r="FE42" s="561">
        <v>3397</v>
      </c>
      <c r="FF42" s="561">
        <v>1595</v>
      </c>
      <c r="FG42" s="561">
        <v>-8</v>
      </c>
      <c r="FH42" s="561">
        <v>-1256</v>
      </c>
      <c r="FI42" s="561">
        <v>0</v>
      </c>
      <c r="FJ42" s="561">
        <v>479</v>
      </c>
      <c r="FK42" s="561">
        <v>6840</v>
      </c>
      <c r="FL42" s="561">
        <v>0</v>
      </c>
      <c r="FM42" s="561">
        <v>1696</v>
      </c>
      <c r="FN42" s="561">
        <v>6367</v>
      </c>
      <c r="FO42" s="561">
        <v>20050</v>
      </c>
      <c r="FP42" s="561">
        <v>191</v>
      </c>
      <c r="FQ42" s="561">
        <v>602</v>
      </c>
      <c r="FR42" s="561">
        <v>559</v>
      </c>
      <c r="FS42" s="561">
        <v>0</v>
      </c>
      <c r="FT42" s="561">
        <v>506</v>
      </c>
      <c r="FU42" s="561">
        <v>899</v>
      </c>
      <c r="FV42" s="561">
        <v>0</v>
      </c>
      <c r="FW42" s="561">
        <v>17</v>
      </c>
      <c r="FX42" s="561">
        <v>0</v>
      </c>
      <c r="FY42" s="561">
        <v>0</v>
      </c>
      <c r="FZ42" s="561">
        <v>16</v>
      </c>
      <c r="GA42" s="561">
        <v>1653</v>
      </c>
      <c r="GB42" s="561">
        <v>200</v>
      </c>
      <c r="GC42" s="561">
        <v>-405</v>
      </c>
      <c r="GD42" s="561">
        <v>0</v>
      </c>
      <c r="GE42" s="561">
        <v>2475</v>
      </c>
      <c r="GF42" s="561">
        <v>0</v>
      </c>
      <c r="GG42" s="561">
        <v>0</v>
      </c>
      <c r="GH42" s="561">
        <v>138</v>
      </c>
      <c r="GI42" s="561">
        <v>0</v>
      </c>
      <c r="GJ42" s="561">
        <v>821</v>
      </c>
      <c r="GK42" s="561">
        <v>-117</v>
      </c>
      <c r="GL42" s="561">
        <v>9432</v>
      </c>
      <c r="GM42" s="561">
        <v>9287</v>
      </c>
      <c r="GN42" s="561">
        <v>6732</v>
      </c>
      <c r="GO42" s="561">
        <v>-267</v>
      </c>
      <c r="GP42" s="561">
        <v>3493</v>
      </c>
      <c r="GQ42" s="561">
        <v>0</v>
      </c>
      <c r="GR42" s="561">
        <v>-2</v>
      </c>
      <c r="GS42" s="561">
        <v>36039</v>
      </c>
      <c r="GT42" s="561">
        <v>1366</v>
      </c>
      <c r="GU42" s="561">
        <v>180</v>
      </c>
      <c r="GV42" s="561">
        <v>1323</v>
      </c>
      <c r="GW42" s="561">
        <v>0</v>
      </c>
      <c r="GX42" s="561">
        <v>1367</v>
      </c>
      <c r="GY42" s="561">
        <v>-16</v>
      </c>
      <c r="GZ42" s="561">
        <v>3871</v>
      </c>
      <c r="HA42" s="561">
        <v>0</v>
      </c>
      <c r="HB42" s="561">
        <v>0</v>
      </c>
      <c r="HC42" s="561">
        <v>2629</v>
      </c>
      <c r="HD42" s="561">
        <v>9354</v>
      </c>
      <c r="HE42" s="561">
        <v>122</v>
      </c>
      <c r="HF42" s="561">
        <v>65443</v>
      </c>
      <c r="HG42" s="561">
        <v>1679</v>
      </c>
      <c r="HH42" s="561">
        <v>0</v>
      </c>
      <c r="HI42" s="561">
        <v>0</v>
      </c>
      <c r="HJ42" s="561">
        <v>0</v>
      </c>
      <c r="HK42" s="561">
        <v>0</v>
      </c>
      <c r="HL42" s="561">
        <v>0</v>
      </c>
      <c r="HM42" s="561">
        <v>0</v>
      </c>
      <c r="HN42" s="561">
        <v>0</v>
      </c>
      <c r="HO42" s="561">
        <v>9695</v>
      </c>
      <c r="HP42" s="561">
        <v>2120</v>
      </c>
      <c r="HQ42" s="561">
        <v>0</v>
      </c>
      <c r="HR42" s="561">
        <v>312</v>
      </c>
      <c r="HS42" s="561">
        <v>42</v>
      </c>
      <c r="HT42" s="561">
        <v>126</v>
      </c>
      <c r="HU42" s="561">
        <v>0</v>
      </c>
      <c r="HV42" s="561">
        <v>-202</v>
      </c>
      <c r="HW42" s="561">
        <v>572</v>
      </c>
      <c r="HX42" s="561">
        <v>1210</v>
      </c>
      <c r="HY42" s="561">
        <v>189</v>
      </c>
      <c r="HZ42" s="561">
        <v>-386</v>
      </c>
      <c r="IA42" s="561">
        <v>2316</v>
      </c>
      <c r="IB42" s="561">
        <v>0</v>
      </c>
      <c r="IC42" s="561">
        <v>903</v>
      </c>
      <c r="ID42" s="561">
        <v>0</v>
      </c>
      <c r="IE42" s="561">
        <v>1936</v>
      </c>
      <c r="IF42" s="561">
        <v>0</v>
      </c>
      <c r="IG42" s="561">
        <v>0</v>
      </c>
      <c r="IH42" s="561">
        <v>-17461.53</v>
      </c>
      <c r="II42" s="561">
        <v>1371.47</v>
      </c>
      <c r="IJ42" s="561">
        <v>1941</v>
      </c>
      <c r="IK42" s="561">
        <v>620</v>
      </c>
      <c r="IL42" s="561">
        <v>46703</v>
      </c>
      <c r="IM42" s="561">
        <v>0</v>
      </c>
      <c r="IN42" s="561">
        <v>5190</v>
      </c>
      <c r="IO42" s="561">
        <v>16546.53</v>
      </c>
      <c r="IP42" s="561">
        <v>3014</v>
      </c>
      <c r="IQ42" s="561">
        <v>31</v>
      </c>
      <c r="IR42" s="561">
        <v>256461</v>
      </c>
      <c r="IS42" s="561">
        <v>-3222</v>
      </c>
      <c r="IT42" s="561">
        <v>72350</v>
      </c>
      <c r="IU42" s="561">
        <v>149802</v>
      </c>
      <c r="IV42" s="561">
        <v>29365</v>
      </c>
      <c r="IW42" s="561">
        <v>28876</v>
      </c>
      <c r="IX42" s="561">
        <v>20050</v>
      </c>
      <c r="IY42" s="561">
        <v>36039</v>
      </c>
      <c r="IZ42" s="561">
        <v>9354</v>
      </c>
      <c r="JA42" s="561">
        <v>0</v>
      </c>
      <c r="JB42" s="561">
        <v>0</v>
      </c>
      <c r="JC42" s="561">
        <v>1371.47</v>
      </c>
      <c r="JD42" s="561">
        <v>3014</v>
      </c>
      <c r="JE42" s="561">
        <v>603460.47</v>
      </c>
      <c r="JF42" s="561">
        <v>70502</v>
      </c>
      <c r="JG42" s="561">
        <v>12793</v>
      </c>
      <c r="JH42" s="561">
        <v>22942</v>
      </c>
      <c r="JI42" s="561">
        <v>0</v>
      </c>
      <c r="JJ42" s="561">
        <v>0</v>
      </c>
      <c r="JK42" s="561">
        <v>56</v>
      </c>
      <c r="JL42" s="561">
        <v>0</v>
      </c>
      <c r="JM42" s="561">
        <v>0</v>
      </c>
      <c r="JN42" s="561">
        <v>0</v>
      </c>
      <c r="JO42" s="561">
        <v>163</v>
      </c>
      <c r="JP42" s="561">
        <v>0</v>
      </c>
      <c r="JQ42" s="561">
        <v>0</v>
      </c>
      <c r="JR42" s="561">
        <v>0</v>
      </c>
      <c r="JS42" s="561">
        <v>0</v>
      </c>
      <c r="JT42" s="561">
        <v>0</v>
      </c>
      <c r="JU42" s="561">
        <v>0</v>
      </c>
      <c r="JV42" s="561">
        <v>709916.47</v>
      </c>
      <c r="JW42" s="561">
        <v>79</v>
      </c>
      <c r="JX42" s="561">
        <v>1575</v>
      </c>
      <c r="JY42" s="561">
        <v>0</v>
      </c>
      <c r="JZ42" s="561">
        <v>-6649</v>
      </c>
      <c r="KA42" s="561">
        <v>0</v>
      </c>
      <c r="KB42" s="561">
        <v>-21042</v>
      </c>
      <c r="KC42" s="561">
        <v>29718</v>
      </c>
      <c r="KD42" s="561">
        <v>0</v>
      </c>
      <c r="KE42" s="561">
        <v>7433</v>
      </c>
      <c r="KF42" s="561">
        <v>-2262</v>
      </c>
      <c r="KG42" s="561">
        <v>718768.47</v>
      </c>
      <c r="KH42" s="561">
        <v>-13351</v>
      </c>
      <c r="KI42" s="561">
        <v>0</v>
      </c>
      <c r="KJ42" s="561">
        <v>26752</v>
      </c>
      <c r="KK42" s="561">
        <v>0</v>
      </c>
      <c r="KL42" s="561">
        <v>-110048</v>
      </c>
      <c r="KM42" s="561">
        <v>0</v>
      </c>
      <c r="KN42" s="561">
        <v>-488</v>
      </c>
      <c r="KO42" s="561">
        <v>0</v>
      </c>
      <c r="KP42" s="561">
        <v>0</v>
      </c>
      <c r="KQ42" s="561">
        <v>0</v>
      </c>
      <c r="KR42" s="561">
        <v>621633.47</v>
      </c>
      <c r="KS42" s="561">
        <v>0</v>
      </c>
      <c r="KT42" s="561">
        <v>-348198</v>
      </c>
      <c r="KU42" s="561">
        <v>273435.46999999997</v>
      </c>
      <c r="KV42" s="561">
        <v>0</v>
      </c>
      <c r="KW42" s="561">
        <v>-2904</v>
      </c>
      <c r="KX42" s="561">
        <v>-1275</v>
      </c>
      <c r="KY42" s="561">
        <v>0</v>
      </c>
      <c r="KZ42" s="561">
        <v>-415</v>
      </c>
      <c r="LA42" s="561">
        <v>7375</v>
      </c>
      <c r="LB42" s="561">
        <v>-8453</v>
      </c>
      <c r="LC42" s="561">
        <v>0</v>
      </c>
      <c r="LD42" s="561">
        <v>-83789</v>
      </c>
      <c r="LE42" s="561">
        <v>1174</v>
      </c>
      <c r="LF42" s="561">
        <v>0</v>
      </c>
      <c r="LG42" s="561">
        <v>185148</v>
      </c>
      <c r="LH42" s="561">
        <v>281</v>
      </c>
      <c r="LI42" s="561">
        <v>0</v>
      </c>
      <c r="LJ42" s="561">
        <v>1275</v>
      </c>
      <c r="LK42" s="561">
        <v>0</v>
      </c>
      <c r="LL42" s="561">
        <v>20779</v>
      </c>
      <c r="LM42" s="561">
        <v>8203</v>
      </c>
      <c r="LN42" s="561">
        <v>-2623</v>
      </c>
      <c r="LO42" s="561">
        <v>0</v>
      </c>
      <c r="LP42" s="561">
        <v>0</v>
      </c>
      <c r="LQ42" s="561">
        <v>0</v>
      </c>
      <c r="LR42" s="561">
        <v>20364</v>
      </c>
      <c r="LS42" s="561">
        <v>15578</v>
      </c>
      <c r="LT42" s="561">
        <v>0</v>
      </c>
      <c r="LU42" s="561">
        <v>58115</v>
      </c>
      <c r="LV42" s="561">
        <v>-640</v>
      </c>
      <c r="LW42" s="561">
        <v>10193</v>
      </c>
      <c r="LX42" s="561">
        <v>-2500</v>
      </c>
      <c r="LY42" s="561">
        <v>6573</v>
      </c>
      <c r="LZ42" s="561">
        <v>72076</v>
      </c>
      <c r="MA42" s="561">
        <v>0</v>
      </c>
      <c r="MB42" s="561">
        <v>0</v>
      </c>
      <c r="MC42" s="561">
        <v>79548</v>
      </c>
      <c r="MD42" s="561">
        <v>81182</v>
      </c>
      <c r="ME42" s="561">
        <v>-1634</v>
      </c>
      <c r="MF42" s="561">
        <v>11211</v>
      </c>
      <c r="MG42" s="561">
        <v>9577</v>
      </c>
      <c r="MH42" s="561">
        <v>8990</v>
      </c>
      <c r="MI42" s="561">
        <v>13776</v>
      </c>
      <c r="MJ42" s="561">
        <v>22766</v>
      </c>
      <c r="MK42" s="561">
        <v>2</v>
      </c>
      <c r="ML42" s="561">
        <v>9671</v>
      </c>
      <c r="MM42" s="561">
        <v>10693</v>
      </c>
      <c r="MN42" s="561">
        <v>0</v>
      </c>
      <c r="MO42" s="561">
        <v>0</v>
      </c>
      <c r="MP42" s="561">
        <v>0</v>
      </c>
      <c r="MQ42" s="561">
        <v>256461</v>
      </c>
      <c r="MR42" s="561">
        <v>-3222</v>
      </c>
      <c r="MS42" s="561">
        <v>72350</v>
      </c>
      <c r="MT42" s="561">
        <v>149802</v>
      </c>
      <c r="MU42" s="561">
        <v>29365</v>
      </c>
      <c r="MV42" s="561">
        <v>28876</v>
      </c>
      <c r="MW42" s="561">
        <v>20050</v>
      </c>
      <c r="MX42" s="561">
        <v>36039</v>
      </c>
      <c r="MY42" s="561">
        <v>9354</v>
      </c>
      <c r="MZ42" s="561">
        <v>0</v>
      </c>
      <c r="NA42" s="561">
        <v>0</v>
      </c>
      <c r="NB42" s="561">
        <v>1371.47</v>
      </c>
      <c r="NC42" s="561">
        <v>3014</v>
      </c>
      <c r="ND42" s="561">
        <v>603460.47</v>
      </c>
      <c r="NE42" s="561">
        <v>0</v>
      </c>
      <c r="NF42" s="561">
        <v>0</v>
      </c>
      <c r="NG42" s="561">
        <v>0</v>
      </c>
      <c r="NH42" s="561">
        <v>0</v>
      </c>
      <c r="NI42" s="561">
        <v>0</v>
      </c>
      <c r="NJ42" s="561">
        <v>0</v>
      </c>
      <c r="NK42" s="561">
        <v>0</v>
      </c>
      <c r="NL42" s="561">
        <v>0</v>
      </c>
      <c r="NM42" s="561">
        <v>0</v>
      </c>
      <c r="NN42" s="561">
        <v>0</v>
      </c>
      <c r="NO42" s="561">
        <v>0</v>
      </c>
      <c r="NP42" s="561">
        <v>0</v>
      </c>
      <c r="NQ42" s="561">
        <v>0</v>
      </c>
      <c r="NR42" s="561">
        <v>0</v>
      </c>
      <c r="NS42" s="561">
        <v>0</v>
      </c>
      <c r="NT42" s="561">
        <v>0</v>
      </c>
      <c r="NU42" s="561">
        <v>-4504</v>
      </c>
      <c r="NV42" s="561">
        <v>0</v>
      </c>
      <c r="NW42" s="561">
        <v>0</v>
      </c>
      <c r="NX42" s="561">
        <v>0</v>
      </c>
      <c r="NY42" s="561">
        <v>0</v>
      </c>
      <c r="NZ42" s="561">
        <v>0</v>
      </c>
      <c r="OA42" s="561">
        <v>0</v>
      </c>
      <c r="OB42" s="561">
        <v>0</v>
      </c>
      <c r="OC42" s="561">
        <v>0</v>
      </c>
      <c r="OD42" s="561">
        <v>0</v>
      </c>
      <c r="OE42" s="561">
        <v>0</v>
      </c>
      <c r="OF42" s="561">
        <v>0</v>
      </c>
      <c r="OG42" s="561">
        <v>0</v>
      </c>
      <c r="OH42" s="561">
        <v>0</v>
      </c>
      <c r="OI42" s="561">
        <v>0</v>
      </c>
      <c r="OJ42" s="561">
        <v>0</v>
      </c>
      <c r="OK42" s="561">
        <v>0</v>
      </c>
      <c r="OL42" s="561">
        <v>0</v>
      </c>
      <c r="OM42" s="561">
        <v>0</v>
      </c>
      <c r="ON42" s="561">
        <v>0</v>
      </c>
      <c r="OO42" s="561">
        <v>0</v>
      </c>
      <c r="OP42" s="561">
        <v>0</v>
      </c>
      <c r="OQ42" s="561">
        <v>0</v>
      </c>
      <c r="OR42" s="561">
        <v>0</v>
      </c>
      <c r="OS42" s="561">
        <v>0</v>
      </c>
      <c r="OT42" s="561">
        <v>0</v>
      </c>
      <c r="OU42" s="561">
        <v>0</v>
      </c>
      <c r="OV42" s="561">
        <v>0</v>
      </c>
      <c r="OW42" s="561">
        <v>0</v>
      </c>
      <c r="OX42" s="561">
        <v>0</v>
      </c>
      <c r="OY42" s="561">
        <v>0</v>
      </c>
      <c r="OZ42" s="561">
        <v>0</v>
      </c>
      <c r="PA42" s="561">
        <v>0</v>
      </c>
      <c r="PB42" s="561">
        <v>0</v>
      </c>
      <c r="PC42" s="561">
        <v>0</v>
      </c>
      <c r="PD42" s="561">
        <v>0</v>
      </c>
      <c r="PE42" s="561">
        <v>0</v>
      </c>
      <c r="PF42" s="561">
        <v>0</v>
      </c>
      <c r="PG42" s="561">
        <v>0</v>
      </c>
      <c r="PH42" s="561">
        <v>0</v>
      </c>
      <c r="PI42" s="561">
        <v>0</v>
      </c>
      <c r="PJ42" s="561">
        <v>0</v>
      </c>
    </row>
    <row r="43" spans="1:426" ht="14" x14ac:dyDescent="0.3">
      <c r="A43" t="s">
        <v>2556</v>
      </c>
      <c r="B43" t="s">
        <v>2557</v>
      </c>
      <c r="C43" t="s">
        <v>4577</v>
      </c>
      <c r="E43" t="s">
        <v>385</v>
      </c>
      <c r="F43" s="561">
        <v>58378</v>
      </c>
      <c r="G43" s="561">
        <v>105360</v>
      </c>
      <c r="H43" s="561">
        <v>48433</v>
      </c>
      <c r="I43" s="561">
        <v>33935</v>
      </c>
      <c r="J43" s="561">
        <v>16203</v>
      </c>
      <c r="K43" s="561">
        <v>22036</v>
      </c>
      <c r="L43" s="561">
        <v>284345</v>
      </c>
      <c r="M43" s="561">
        <v>8818</v>
      </c>
      <c r="N43" s="561">
        <v>-354</v>
      </c>
      <c r="O43" s="561">
        <v>3337</v>
      </c>
      <c r="P43" s="561">
        <v>1137</v>
      </c>
      <c r="Q43" s="561">
        <v>1656</v>
      </c>
      <c r="R43" s="561">
        <v>226</v>
      </c>
      <c r="S43" s="561">
        <v>355</v>
      </c>
      <c r="T43" s="561">
        <v>629</v>
      </c>
      <c r="U43" s="561">
        <v>584</v>
      </c>
      <c r="V43" s="561">
        <v>3613</v>
      </c>
      <c r="W43" s="561">
        <v>-16069</v>
      </c>
      <c r="X43" s="561">
        <v>-3260</v>
      </c>
      <c r="Y43" s="561">
        <v>916</v>
      </c>
      <c r="Z43" s="561">
        <v>1344</v>
      </c>
      <c r="AA43" s="561">
        <v>-7765</v>
      </c>
      <c r="AB43" s="561">
        <v>-4681</v>
      </c>
      <c r="AC43" s="561">
        <v>58</v>
      </c>
      <c r="AD43" s="561">
        <v>0</v>
      </c>
      <c r="AE43" s="561">
        <v>187</v>
      </c>
      <c r="AF43" s="561">
        <v>27</v>
      </c>
      <c r="AG43" s="561">
        <v>0</v>
      </c>
      <c r="AH43" s="561">
        <v>16622</v>
      </c>
      <c r="AI43" s="561">
        <v>1066</v>
      </c>
      <c r="AJ43" s="561">
        <v>-372</v>
      </c>
      <c r="AK43" s="561">
        <v>1583</v>
      </c>
      <c r="AL43" s="561">
        <v>0</v>
      </c>
      <c r="AM43" s="561">
        <v>0</v>
      </c>
      <c r="AN43" s="561">
        <v>0</v>
      </c>
      <c r="AO43" s="561">
        <v>0</v>
      </c>
      <c r="AP43" s="561">
        <v>0</v>
      </c>
      <c r="AQ43" s="561">
        <v>0</v>
      </c>
      <c r="AR43" s="561">
        <v>0</v>
      </c>
      <c r="AS43" s="561">
        <v>3567</v>
      </c>
      <c r="AT43" s="561">
        <v>10889</v>
      </c>
      <c r="AU43" s="561">
        <v>0</v>
      </c>
      <c r="AV43" s="561">
        <v>0</v>
      </c>
      <c r="AW43" s="561">
        <v>0</v>
      </c>
      <c r="AX43" s="561">
        <v>2584</v>
      </c>
      <c r="AY43" s="561">
        <v>90384</v>
      </c>
      <c r="AZ43" s="561">
        <v>442</v>
      </c>
      <c r="BA43" s="561">
        <v>16835</v>
      </c>
      <c r="BB43" s="561">
        <v>3390</v>
      </c>
      <c r="BC43" s="561">
        <v>32242</v>
      </c>
      <c r="BD43" s="561">
        <v>6665</v>
      </c>
      <c r="BE43" s="561">
        <v>836</v>
      </c>
      <c r="BF43" s="561">
        <v>153378</v>
      </c>
      <c r="BG43" s="561">
        <v>3024</v>
      </c>
      <c r="BH43" s="561">
        <v>27137</v>
      </c>
      <c r="BI43" s="561">
        <v>38347</v>
      </c>
      <c r="BJ43" s="561">
        <v>1830</v>
      </c>
      <c r="BK43" s="561">
        <v>1130</v>
      </c>
      <c r="BL43" s="561">
        <v>3241</v>
      </c>
      <c r="BM43" s="561">
        <v>11463</v>
      </c>
      <c r="BN43" s="561">
        <v>73498</v>
      </c>
      <c r="BO43" s="561">
        <v>9332</v>
      </c>
      <c r="BP43" s="561">
        <v>33369</v>
      </c>
      <c r="BQ43" s="561">
        <v>9887</v>
      </c>
      <c r="BR43" s="561">
        <v>1372</v>
      </c>
      <c r="BS43" s="561">
        <v>12502</v>
      </c>
      <c r="BT43" s="561">
        <v>2093</v>
      </c>
      <c r="BU43" s="561">
        <v>16</v>
      </c>
      <c r="BV43" s="561">
        <v>2996</v>
      </c>
      <c r="BW43" s="561">
        <v>25088</v>
      </c>
      <c r="BX43" s="561">
        <v>312</v>
      </c>
      <c r="BY43" s="561">
        <v>-905</v>
      </c>
      <c r="BZ43" s="561">
        <v>252708</v>
      </c>
      <c r="CA43" s="561">
        <v>3723</v>
      </c>
      <c r="CB43" s="561">
        <v>2582</v>
      </c>
      <c r="CC43" s="561">
        <v>2020</v>
      </c>
      <c r="CD43" s="561">
        <v>413</v>
      </c>
      <c r="CE43" s="561">
        <v>425</v>
      </c>
      <c r="CF43" s="561">
        <v>372</v>
      </c>
      <c r="CG43" s="561">
        <v>224</v>
      </c>
      <c r="CH43" s="561">
        <v>317</v>
      </c>
      <c r="CI43" s="561">
        <v>286</v>
      </c>
      <c r="CJ43" s="561">
        <v>286</v>
      </c>
      <c r="CK43" s="561">
        <v>573</v>
      </c>
      <c r="CL43" s="561">
        <v>573</v>
      </c>
      <c r="CM43" s="561">
        <v>13597</v>
      </c>
      <c r="CN43" s="561">
        <v>2100</v>
      </c>
      <c r="CO43" s="561">
        <v>133</v>
      </c>
      <c r="CP43" s="561">
        <v>365</v>
      </c>
      <c r="CQ43" s="561">
        <v>416</v>
      </c>
      <c r="CR43" s="561">
        <v>1204</v>
      </c>
      <c r="CS43" s="561">
        <v>42</v>
      </c>
      <c r="CT43" s="561">
        <v>1925</v>
      </c>
      <c r="CU43" s="561">
        <v>9343</v>
      </c>
      <c r="CV43" s="561">
        <v>1391</v>
      </c>
      <c r="CW43" s="561">
        <v>0</v>
      </c>
      <c r="CX43" s="561">
        <v>172</v>
      </c>
      <c r="CY43" s="561">
        <v>5366</v>
      </c>
      <c r="CZ43" s="561">
        <v>44125</v>
      </c>
      <c r="DA43" s="561">
        <v>78</v>
      </c>
      <c r="DB43" s="561">
        <v>1345</v>
      </c>
      <c r="DC43" s="561">
        <v>0</v>
      </c>
      <c r="DD43" s="561">
        <v>424</v>
      </c>
      <c r="DE43" s="561">
        <v>0</v>
      </c>
      <c r="DF43" s="561">
        <v>0</v>
      </c>
      <c r="DG43" s="561">
        <v>0</v>
      </c>
      <c r="DH43" s="561">
        <v>4515</v>
      </c>
      <c r="DI43" s="561">
        <v>0</v>
      </c>
      <c r="DJ43" s="561">
        <v>1746</v>
      </c>
      <c r="DK43" s="561">
        <v>844</v>
      </c>
      <c r="DL43" s="561">
        <v>4284</v>
      </c>
      <c r="DM43" s="561">
        <v>481</v>
      </c>
      <c r="DN43" s="561">
        <v>504</v>
      </c>
      <c r="DO43" s="561">
        <v>867</v>
      </c>
      <c r="DP43" s="561">
        <v>0</v>
      </c>
      <c r="DQ43" s="561">
        <v>459</v>
      </c>
      <c r="DR43" s="561">
        <v>0</v>
      </c>
      <c r="DS43" s="561">
        <v>2720</v>
      </c>
      <c r="DT43" s="561">
        <v>4780</v>
      </c>
      <c r="DU43" s="561">
        <v>14095</v>
      </c>
      <c r="DV43" s="561">
        <v>-2963</v>
      </c>
      <c r="DW43" s="561">
        <v>0</v>
      </c>
      <c r="DX43" s="561">
        <v>741</v>
      </c>
      <c r="DY43" s="561">
        <v>3588</v>
      </c>
      <c r="DZ43" s="561">
        <v>267</v>
      </c>
      <c r="EA43" s="561">
        <v>10402</v>
      </c>
      <c r="EB43" s="561">
        <v>465</v>
      </c>
      <c r="EC43" s="561">
        <v>33700</v>
      </c>
      <c r="ED43" s="561">
        <v>700</v>
      </c>
      <c r="EE43" s="561">
        <v>134886</v>
      </c>
      <c r="EF43" s="561">
        <v>975</v>
      </c>
      <c r="EG43" s="561">
        <v>10585</v>
      </c>
      <c r="EH43" s="561">
        <v>0</v>
      </c>
      <c r="EI43" s="561">
        <v>0</v>
      </c>
      <c r="EJ43" s="561">
        <v>2826</v>
      </c>
      <c r="EK43" s="561">
        <v>0</v>
      </c>
      <c r="EL43" s="561">
        <v>0</v>
      </c>
      <c r="EM43" s="561">
        <v>0</v>
      </c>
      <c r="EN43" s="561">
        <v>46480</v>
      </c>
      <c r="EO43" s="561">
        <v>46308</v>
      </c>
      <c r="EP43" s="561">
        <v>12335</v>
      </c>
      <c r="EQ43" s="561">
        <v>926</v>
      </c>
      <c r="ER43" s="561">
        <v>10705</v>
      </c>
      <c r="ES43" s="561" t="s">
        <v>4565</v>
      </c>
      <c r="ET43" s="561">
        <v>0</v>
      </c>
      <c r="EU43" s="561">
        <v>20846</v>
      </c>
      <c r="EV43" s="561">
        <v>110</v>
      </c>
      <c r="EW43" s="561">
        <v>0</v>
      </c>
      <c r="EX43" s="561">
        <v>36574</v>
      </c>
      <c r="EY43" s="561">
        <v>2192</v>
      </c>
      <c r="EZ43" s="561">
        <v>-27204</v>
      </c>
      <c r="FA43" s="561">
        <v>82202</v>
      </c>
      <c r="FB43" s="561">
        <v>376</v>
      </c>
      <c r="FC43" s="561">
        <v>1717</v>
      </c>
      <c r="FD43" s="561">
        <v>52</v>
      </c>
      <c r="FE43" s="561">
        <v>4980</v>
      </c>
      <c r="FF43" s="561">
        <v>104</v>
      </c>
      <c r="FG43" s="561">
        <v>85</v>
      </c>
      <c r="FH43" s="561">
        <v>0</v>
      </c>
      <c r="FI43" s="561">
        <v>98</v>
      </c>
      <c r="FJ43" s="561">
        <v>616</v>
      </c>
      <c r="FK43" s="561">
        <v>7939</v>
      </c>
      <c r="FL43" s="561">
        <v>-32</v>
      </c>
      <c r="FM43" s="561">
        <v>-211</v>
      </c>
      <c r="FN43" s="561">
        <v>6958</v>
      </c>
      <c r="FO43" s="561">
        <v>22682</v>
      </c>
      <c r="FP43" s="561">
        <v>276</v>
      </c>
      <c r="FQ43" s="561">
        <v>-444</v>
      </c>
      <c r="FR43" s="561">
        <v>676</v>
      </c>
      <c r="FS43" s="561">
        <v>0</v>
      </c>
      <c r="FT43" s="561">
        <v>744</v>
      </c>
      <c r="FU43" s="561">
        <v>1265</v>
      </c>
      <c r="FV43" s="561">
        <v>0</v>
      </c>
      <c r="FW43" s="561">
        <v>264</v>
      </c>
      <c r="FX43" s="561">
        <v>244</v>
      </c>
      <c r="FY43" s="561">
        <v>0</v>
      </c>
      <c r="FZ43" s="561">
        <v>62</v>
      </c>
      <c r="GA43" s="561">
        <v>153</v>
      </c>
      <c r="GB43" s="561">
        <v>312</v>
      </c>
      <c r="GC43" s="561">
        <v>-18</v>
      </c>
      <c r="GD43" s="561">
        <v>519</v>
      </c>
      <c r="GE43" s="561">
        <v>0</v>
      </c>
      <c r="GF43" s="561">
        <v>0</v>
      </c>
      <c r="GG43" s="561">
        <v>123</v>
      </c>
      <c r="GH43" s="561">
        <v>0</v>
      </c>
      <c r="GI43" s="561">
        <v>0</v>
      </c>
      <c r="GJ43" s="561">
        <v>0</v>
      </c>
      <c r="GK43" s="561">
        <v>0</v>
      </c>
      <c r="GL43" s="561">
        <v>9007</v>
      </c>
      <c r="GM43" s="561">
        <v>11313</v>
      </c>
      <c r="GN43" s="561">
        <v>10531</v>
      </c>
      <c r="GO43" s="561">
        <v>2120</v>
      </c>
      <c r="GP43" s="561">
        <v>12436</v>
      </c>
      <c r="GQ43" s="561">
        <v>0</v>
      </c>
      <c r="GR43" s="561">
        <v>1058</v>
      </c>
      <c r="GS43" s="561">
        <v>50365</v>
      </c>
      <c r="GT43" s="561">
        <v>86</v>
      </c>
      <c r="GU43" s="561">
        <v>144</v>
      </c>
      <c r="GV43" s="561">
        <v>162</v>
      </c>
      <c r="GW43" s="561">
        <v>355</v>
      </c>
      <c r="GX43" s="561">
        <v>118</v>
      </c>
      <c r="GY43" s="561">
        <v>6359</v>
      </c>
      <c r="GZ43" s="561">
        <v>2861</v>
      </c>
      <c r="HA43" s="561">
        <v>0</v>
      </c>
      <c r="HB43" s="561">
        <v>1050</v>
      </c>
      <c r="HC43" s="561">
        <v>5381</v>
      </c>
      <c r="HD43" s="561">
        <v>16430</v>
      </c>
      <c r="HE43" s="561">
        <v>561</v>
      </c>
      <c r="HF43" s="561">
        <v>89477</v>
      </c>
      <c r="HG43" s="561">
        <v>923</v>
      </c>
      <c r="HH43" s="561">
        <v>0</v>
      </c>
      <c r="HI43" s="561">
        <v>0</v>
      </c>
      <c r="HJ43" s="561">
        <v>0</v>
      </c>
      <c r="HK43" s="561">
        <v>0</v>
      </c>
      <c r="HL43" s="561">
        <v>0</v>
      </c>
      <c r="HM43" s="561">
        <v>0</v>
      </c>
      <c r="HN43" s="561">
        <v>0</v>
      </c>
      <c r="HO43" s="561">
        <v>5868</v>
      </c>
      <c r="HP43" s="561">
        <v>2367</v>
      </c>
      <c r="HQ43" s="561">
        <v>0</v>
      </c>
      <c r="HR43" s="561">
        <v>0</v>
      </c>
      <c r="HS43" s="561">
        <v>0</v>
      </c>
      <c r="HT43" s="561">
        <v>90</v>
      </c>
      <c r="HU43" s="561">
        <v>0</v>
      </c>
      <c r="HV43" s="561">
        <v>-301</v>
      </c>
      <c r="HW43" s="561">
        <v>1072</v>
      </c>
      <c r="HX43" s="561">
        <v>753</v>
      </c>
      <c r="HY43" s="561">
        <v>334</v>
      </c>
      <c r="HZ43" s="561">
        <v>-371</v>
      </c>
      <c r="IA43" s="561">
        <v>8652</v>
      </c>
      <c r="IB43" s="561">
        <v>0</v>
      </c>
      <c r="IC43" s="561">
        <v>1025</v>
      </c>
      <c r="ID43" s="561">
        <v>0</v>
      </c>
      <c r="IE43" s="561">
        <v>1923</v>
      </c>
      <c r="IF43" s="561">
        <v>0</v>
      </c>
      <c r="IG43" s="561">
        <v>0</v>
      </c>
      <c r="IH43" s="561">
        <v>0</v>
      </c>
      <c r="II43" s="561">
        <v>21412</v>
      </c>
      <c r="IJ43" s="561">
        <v>595</v>
      </c>
      <c r="IK43" s="561">
        <v>0</v>
      </c>
      <c r="IL43" s="561">
        <v>0</v>
      </c>
      <c r="IM43" s="561">
        <v>0</v>
      </c>
      <c r="IN43" s="561">
        <v>0</v>
      </c>
      <c r="IO43" s="561">
        <v>0</v>
      </c>
      <c r="IP43" s="561">
        <v>0</v>
      </c>
      <c r="IQ43" s="561">
        <v>0</v>
      </c>
      <c r="IR43" s="561">
        <v>284345</v>
      </c>
      <c r="IS43" s="561">
        <v>-372</v>
      </c>
      <c r="IT43" s="561">
        <v>153378</v>
      </c>
      <c r="IU43" s="561">
        <v>252708</v>
      </c>
      <c r="IV43" s="561">
        <v>44125</v>
      </c>
      <c r="IW43" s="561">
        <v>33700</v>
      </c>
      <c r="IX43" s="561">
        <v>22682</v>
      </c>
      <c r="IY43" s="561">
        <v>50365</v>
      </c>
      <c r="IZ43" s="561">
        <v>16430</v>
      </c>
      <c r="JA43" s="561">
        <v>0</v>
      </c>
      <c r="JB43" s="561">
        <v>0</v>
      </c>
      <c r="JC43" s="561">
        <v>21412</v>
      </c>
      <c r="JD43" s="561">
        <v>0</v>
      </c>
      <c r="JE43" s="561">
        <v>878773</v>
      </c>
      <c r="JF43" s="561">
        <v>64682</v>
      </c>
      <c r="JG43" s="561">
        <v>20720</v>
      </c>
      <c r="JH43" s="561">
        <v>41526</v>
      </c>
      <c r="JI43" s="561">
        <v>0</v>
      </c>
      <c r="JJ43" s="561">
        <v>0</v>
      </c>
      <c r="JK43" s="561">
        <v>0</v>
      </c>
      <c r="JL43" s="561">
        <v>9545</v>
      </c>
      <c r="JM43" s="561">
        <v>0</v>
      </c>
      <c r="JN43" s="561">
        <v>0</v>
      </c>
      <c r="JO43" s="561">
        <v>2984</v>
      </c>
      <c r="JP43" s="561">
        <v>-15746</v>
      </c>
      <c r="JQ43" s="561">
        <v>0</v>
      </c>
      <c r="JR43" s="561">
        <v>0</v>
      </c>
      <c r="JS43" s="561">
        <v>0</v>
      </c>
      <c r="JT43" s="561">
        <v>0</v>
      </c>
      <c r="JU43" s="561">
        <v>0</v>
      </c>
      <c r="JV43" s="561">
        <v>1002484</v>
      </c>
      <c r="JW43" s="561">
        <v>547</v>
      </c>
      <c r="JX43" s="561">
        <v>800</v>
      </c>
      <c r="JY43" s="561">
        <v>0</v>
      </c>
      <c r="JZ43" s="561">
        <v>-20536</v>
      </c>
      <c r="KA43" s="561">
        <v>0</v>
      </c>
      <c r="KB43" s="561">
        <v>8088</v>
      </c>
      <c r="KC43" s="561">
        <v>27658</v>
      </c>
      <c r="KD43" s="561">
        <v>206</v>
      </c>
      <c r="KE43" s="561">
        <v>30167</v>
      </c>
      <c r="KF43" s="561">
        <v>0</v>
      </c>
      <c r="KG43" s="561">
        <v>1049414</v>
      </c>
      <c r="KH43" s="561">
        <v>-13404</v>
      </c>
      <c r="KI43" s="561">
        <v>0</v>
      </c>
      <c r="KJ43" s="561">
        <v>177</v>
      </c>
      <c r="KK43" s="561">
        <v>0</v>
      </c>
      <c r="KL43" s="561">
        <v>-129620</v>
      </c>
      <c r="KM43" s="561">
        <v>0</v>
      </c>
      <c r="KN43" s="561">
        <v>0</v>
      </c>
      <c r="KO43" s="561">
        <v>0</v>
      </c>
      <c r="KP43" s="561">
        <v>0</v>
      </c>
      <c r="KQ43" s="561">
        <v>-25485</v>
      </c>
      <c r="KR43" s="561">
        <v>881082</v>
      </c>
      <c r="KS43" s="561">
        <v>0</v>
      </c>
      <c r="KT43" s="561">
        <v>-415887</v>
      </c>
      <c r="KU43" s="561">
        <v>465195</v>
      </c>
      <c r="KV43" s="561">
        <v>0</v>
      </c>
      <c r="KW43" s="561">
        <v>-2070</v>
      </c>
      <c r="KX43" s="561">
        <v>0</v>
      </c>
      <c r="KY43" s="561">
        <v>734</v>
      </c>
      <c r="KZ43" s="561">
        <v>-7807</v>
      </c>
      <c r="LA43" s="561">
        <v>10800</v>
      </c>
      <c r="LB43" s="561">
        <v>0</v>
      </c>
      <c r="LC43" s="561">
        <v>0</v>
      </c>
      <c r="LD43" s="561">
        <v>-186494</v>
      </c>
      <c r="LE43" s="561">
        <v>2040</v>
      </c>
      <c r="LF43" s="561">
        <v>0</v>
      </c>
      <c r="LG43" s="561">
        <v>282398</v>
      </c>
      <c r="LH43" s="561">
        <v>-2529</v>
      </c>
      <c r="LI43" s="561">
        <v>-39682</v>
      </c>
      <c r="LJ43" s="561">
        <v>0</v>
      </c>
      <c r="LK43" s="561">
        <v>4633</v>
      </c>
      <c r="LL43" s="561">
        <v>175312</v>
      </c>
      <c r="LM43" s="561">
        <v>24570</v>
      </c>
      <c r="LN43" s="561">
        <v>-4599</v>
      </c>
      <c r="LO43" s="561">
        <v>-65167</v>
      </c>
      <c r="LP43" s="561">
        <v>0</v>
      </c>
      <c r="LQ43" s="561">
        <v>5367</v>
      </c>
      <c r="LR43" s="561">
        <v>167505</v>
      </c>
      <c r="LS43" s="561">
        <v>35370</v>
      </c>
      <c r="LT43" s="561">
        <v>0</v>
      </c>
      <c r="LU43" s="561">
        <v>56983</v>
      </c>
      <c r="LV43" s="561">
        <v>0</v>
      </c>
      <c r="LW43" s="561">
        <v>61225</v>
      </c>
      <c r="LX43" s="561">
        <v>-90814</v>
      </c>
      <c r="LY43" s="561">
        <v>49709</v>
      </c>
      <c r="LZ43" s="561">
        <v>51467</v>
      </c>
      <c r="MA43" s="561">
        <v>0</v>
      </c>
      <c r="MB43" s="561">
        <v>0</v>
      </c>
      <c r="MC43" s="561">
        <v>149272</v>
      </c>
      <c r="MD43" s="561">
        <v>176476</v>
      </c>
      <c r="ME43" s="561">
        <v>-27204</v>
      </c>
      <c r="MF43" s="561">
        <v>82202</v>
      </c>
      <c r="MG43" s="561">
        <v>54998</v>
      </c>
      <c r="MH43" s="561">
        <v>9859</v>
      </c>
      <c r="MI43" s="561">
        <v>21575</v>
      </c>
      <c r="MJ43" s="561">
        <v>31434</v>
      </c>
      <c r="MK43" s="561">
        <v>0</v>
      </c>
      <c r="ML43" s="561">
        <v>0</v>
      </c>
      <c r="MM43" s="561">
        <v>58134</v>
      </c>
      <c r="MN43" s="561">
        <v>10474</v>
      </c>
      <c r="MO43" s="561">
        <v>5258</v>
      </c>
      <c r="MP43" s="561">
        <v>93639</v>
      </c>
      <c r="MQ43" s="561">
        <v>284345</v>
      </c>
      <c r="MR43" s="561">
        <v>-372</v>
      </c>
      <c r="MS43" s="561">
        <v>153378</v>
      </c>
      <c r="MT43" s="561">
        <v>252708</v>
      </c>
      <c r="MU43" s="561">
        <v>44125</v>
      </c>
      <c r="MV43" s="561">
        <v>33700</v>
      </c>
      <c r="MW43" s="561">
        <v>22682</v>
      </c>
      <c r="MX43" s="561">
        <v>50365</v>
      </c>
      <c r="MY43" s="561">
        <v>16430</v>
      </c>
      <c r="MZ43" s="561">
        <v>0</v>
      </c>
      <c r="NA43" s="561">
        <v>0</v>
      </c>
      <c r="NB43" s="561">
        <v>21412</v>
      </c>
      <c r="NC43" s="561">
        <v>0</v>
      </c>
      <c r="ND43" s="561">
        <v>878773</v>
      </c>
      <c r="NE43" s="561">
        <v>0</v>
      </c>
      <c r="NF43" s="561">
        <v>0</v>
      </c>
      <c r="NG43" s="561">
        <v>0</v>
      </c>
      <c r="NH43" s="561">
        <v>0</v>
      </c>
      <c r="NI43" s="561">
        <v>0</v>
      </c>
      <c r="NJ43" s="561">
        <v>0</v>
      </c>
      <c r="NK43" s="561">
        <v>0</v>
      </c>
      <c r="NL43" s="561">
        <v>0</v>
      </c>
      <c r="NM43" s="561">
        <v>0</v>
      </c>
      <c r="NN43" s="561">
        <v>0</v>
      </c>
      <c r="NO43" s="561">
        <v>0</v>
      </c>
      <c r="NP43" s="561">
        <v>0</v>
      </c>
      <c r="NQ43" s="561">
        <v>0</v>
      </c>
      <c r="NR43" s="561">
        <v>0</v>
      </c>
      <c r="NS43" s="561">
        <v>-8150</v>
      </c>
      <c r="NT43" s="561">
        <v>-7596</v>
      </c>
      <c r="NU43" s="561">
        <v>0</v>
      </c>
      <c r="NV43" s="561">
        <v>0</v>
      </c>
      <c r="NW43" s="561">
        <v>-15746</v>
      </c>
      <c r="NX43" s="561">
        <v>0</v>
      </c>
      <c r="NY43" s="561">
        <v>-15746</v>
      </c>
      <c r="NZ43" s="561">
        <v>0</v>
      </c>
      <c r="OA43" s="561">
        <v>0</v>
      </c>
      <c r="OB43" s="561">
        <v>0</v>
      </c>
      <c r="OC43" s="561">
        <v>0</v>
      </c>
      <c r="OD43" s="561">
        <v>0</v>
      </c>
      <c r="OE43" s="561">
        <v>0</v>
      </c>
      <c r="OF43" s="561">
        <v>0</v>
      </c>
      <c r="OG43" s="561">
        <v>0</v>
      </c>
      <c r="OH43" s="561">
        <v>0</v>
      </c>
      <c r="OI43" s="561">
        <v>0</v>
      </c>
      <c r="OJ43" s="561">
        <v>0</v>
      </c>
      <c r="OK43" s="561">
        <v>0</v>
      </c>
      <c r="OL43" s="561">
        <v>0</v>
      </c>
      <c r="OM43" s="561">
        <v>0</v>
      </c>
      <c r="ON43" s="561">
        <v>0</v>
      </c>
      <c r="OO43" s="561">
        <v>0</v>
      </c>
      <c r="OP43" s="561">
        <v>0</v>
      </c>
      <c r="OQ43" s="561">
        <v>0</v>
      </c>
      <c r="OR43" s="561">
        <v>0</v>
      </c>
      <c r="OS43" s="561">
        <v>0</v>
      </c>
      <c r="OT43" s="561">
        <v>0</v>
      </c>
      <c r="OU43" s="561">
        <v>0</v>
      </c>
      <c r="OV43" s="561">
        <v>0</v>
      </c>
      <c r="OW43" s="561">
        <v>0</v>
      </c>
      <c r="OX43" s="561">
        <v>0</v>
      </c>
      <c r="OY43" s="561">
        <v>0</v>
      </c>
      <c r="OZ43" s="561">
        <v>0</v>
      </c>
      <c r="PA43" s="561">
        <v>0</v>
      </c>
      <c r="PB43" s="561">
        <v>0</v>
      </c>
      <c r="PC43" s="561">
        <v>0</v>
      </c>
      <c r="PD43" s="561">
        <v>0</v>
      </c>
      <c r="PE43" s="561">
        <v>0</v>
      </c>
      <c r="PF43" s="561">
        <v>0</v>
      </c>
      <c r="PG43" s="561">
        <v>0</v>
      </c>
      <c r="PH43" s="561">
        <v>0</v>
      </c>
      <c r="PI43" s="561">
        <v>0</v>
      </c>
      <c r="PJ43" s="561">
        <v>0</v>
      </c>
    </row>
    <row r="44" spans="1:426" ht="14" x14ac:dyDescent="0.3">
      <c r="A44" t="s">
        <v>2559</v>
      </c>
      <c r="B44" t="s">
        <v>2560</v>
      </c>
      <c r="C44" t="s">
        <v>2561</v>
      </c>
      <c r="E44" t="s">
        <v>384</v>
      </c>
      <c r="F44" s="561">
        <v>0</v>
      </c>
      <c r="G44" s="561">
        <v>0</v>
      </c>
      <c r="H44" s="561">
        <v>0</v>
      </c>
      <c r="I44" s="561">
        <v>0</v>
      </c>
      <c r="J44" s="561">
        <v>0</v>
      </c>
      <c r="K44" s="561">
        <v>0</v>
      </c>
      <c r="L44" s="561">
        <v>0</v>
      </c>
      <c r="M44" s="561">
        <v>0</v>
      </c>
      <c r="N44" s="561">
        <v>0</v>
      </c>
      <c r="O44" s="561">
        <v>0</v>
      </c>
      <c r="P44" s="561">
        <v>0</v>
      </c>
      <c r="Q44" s="561">
        <v>0</v>
      </c>
      <c r="R44" s="561">
        <v>0</v>
      </c>
      <c r="S44" s="561">
        <v>0</v>
      </c>
      <c r="T44" s="561">
        <v>0</v>
      </c>
      <c r="U44" s="561">
        <v>0</v>
      </c>
      <c r="V44" s="561">
        <v>21.92</v>
      </c>
      <c r="W44" s="561">
        <v>0</v>
      </c>
      <c r="X44" s="561">
        <v>0</v>
      </c>
      <c r="Y44" s="561">
        <v>0</v>
      </c>
      <c r="Z44" s="561">
        <v>0</v>
      </c>
      <c r="AA44" s="561">
        <v>0</v>
      </c>
      <c r="AB44" s="561">
        <v>16.850000000000001</v>
      </c>
      <c r="AC44" s="561">
        <v>0</v>
      </c>
      <c r="AD44" s="561">
        <v>0</v>
      </c>
      <c r="AE44" s="561">
        <v>0</v>
      </c>
      <c r="AF44" s="561">
        <v>0</v>
      </c>
      <c r="AG44" s="561">
        <v>0</v>
      </c>
      <c r="AH44" s="561">
        <v>0</v>
      </c>
      <c r="AI44" s="561">
        <v>0</v>
      </c>
      <c r="AJ44" s="561">
        <v>38.770000000000003</v>
      </c>
      <c r="AK44" s="561">
        <v>0</v>
      </c>
      <c r="AL44" s="561">
        <v>0</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v>0</v>
      </c>
      <c r="BL44" s="561">
        <v>0</v>
      </c>
      <c r="BM44" s="561">
        <v>0</v>
      </c>
      <c r="BN44" s="561">
        <v>0</v>
      </c>
      <c r="BO44" s="561">
        <v>0</v>
      </c>
      <c r="BP44" s="561">
        <v>0</v>
      </c>
      <c r="BQ44" s="561">
        <v>0</v>
      </c>
      <c r="BR44" s="561">
        <v>0</v>
      </c>
      <c r="BS44" s="561">
        <v>0</v>
      </c>
      <c r="BT44" s="561">
        <v>0</v>
      </c>
      <c r="BU44" s="561">
        <v>0</v>
      </c>
      <c r="BV44" s="561">
        <v>0</v>
      </c>
      <c r="BW44" s="561">
        <v>0</v>
      </c>
      <c r="BX44" s="561">
        <v>0</v>
      </c>
      <c r="BY44" s="561">
        <v>0</v>
      </c>
      <c r="BZ44" s="561">
        <v>0</v>
      </c>
      <c r="CA44" s="561">
        <v>0</v>
      </c>
      <c r="CB44" s="561">
        <v>0</v>
      </c>
      <c r="CC44" s="561">
        <v>0</v>
      </c>
      <c r="CD44" s="561">
        <v>0</v>
      </c>
      <c r="CE44" s="561">
        <v>0</v>
      </c>
      <c r="CF44" s="561">
        <v>0</v>
      </c>
      <c r="CG44" s="561">
        <v>0</v>
      </c>
      <c r="CH44" s="561">
        <v>0</v>
      </c>
      <c r="CI44" s="561">
        <v>0</v>
      </c>
      <c r="CJ44" s="561">
        <v>0</v>
      </c>
      <c r="CK44" s="561">
        <v>0</v>
      </c>
      <c r="CL44" s="561">
        <v>0</v>
      </c>
      <c r="CM44" s="561">
        <v>0</v>
      </c>
      <c r="CN44" s="561">
        <v>0</v>
      </c>
      <c r="CO44" s="561">
        <v>0</v>
      </c>
      <c r="CP44" s="561">
        <v>0</v>
      </c>
      <c r="CQ44" s="561">
        <v>0</v>
      </c>
      <c r="CR44" s="561">
        <v>0</v>
      </c>
      <c r="CS44" s="561">
        <v>0</v>
      </c>
      <c r="CT44" s="561">
        <v>0</v>
      </c>
      <c r="CU44" s="561">
        <v>0</v>
      </c>
      <c r="CV44" s="561">
        <v>0</v>
      </c>
      <c r="CW44" s="561">
        <v>0</v>
      </c>
      <c r="CX44" s="561">
        <v>0</v>
      </c>
      <c r="CY44" s="561">
        <v>0</v>
      </c>
      <c r="CZ44" s="561">
        <v>0</v>
      </c>
      <c r="DA44" s="561">
        <v>0</v>
      </c>
      <c r="DB44" s="561">
        <v>0</v>
      </c>
      <c r="DC44" s="561">
        <v>0</v>
      </c>
      <c r="DD44" s="561">
        <v>0</v>
      </c>
      <c r="DE44" s="561">
        <v>0</v>
      </c>
      <c r="DF44" s="561">
        <v>0</v>
      </c>
      <c r="DG44" s="561">
        <v>0</v>
      </c>
      <c r="DH44" s="561">
        <v>56.59</v>
      </c>
      <c r="DI44" s="561">
        <v>0</v>
      </c>
      <c r="DJ44" s="561">
        <v>0</v>
      </c>
      <c r="DK44" s="561">
        <v>0</v>
      </c>
      <c r="DL44" s="561">
        <v>605.83000000000004</v>
      </c>
      <c r="DM44" s="561">
        <v>103.59</v>
      </c>
      <c r="DN44" s="561">
        <v>0</v>
      </c>
      <c r="DO44" s="561">
        <v>0</v>
      </c>
      <c r="DP44" s="561">
        <v>-322.38</v>
      </c>
      <c r="DQ44" s="561">
        <v>-3.25</v>
      </c>
      <c r="DR44" s="561">
        <v>212.91</v>
      </c>
      <c r="DS44" s="561">
        <v>511.28</v>
      </c>
      <c r="DT44" s="561">
        <v>54.15</v>
      </c>
      <c r="DU44" s="561">
        <v>1162.1300000000001</v>
      </c>
      <c r="DV44" s="561">
        <v>107.54</v>
      </c>
      <c r="DW44" s="561">
        <v>0</v>
      </c>
      <c r="DX44" s="561">
        <v>0</v>
      </c>
      <c r="DY44" s="561">
        <v>444.77</v>
      </c>
      <c r="DZ44" s="561">
        <v>0</v>
      </c>
      <c r="EA44" s="561">
        <v>48.26</v>
      </c>
      <c r="EB44" s="561">
        <v>0</v>
      </c>
      <c r="EC44" s="561">
        <v>1819.29</v>
      </c>
      <c r="ED44" s="561">
        <v>74</v>
      </c>
      <c r="EE44" s="561">
        <v>0</v>
      </c>
      <c r="EF44" s="561">
        <v>0</v>
      </c>
      <c r="EG44" s="561">
        <v>0</v>
      </c>
      <c r="EH44" s="561">
        <v>0</v>
      </c>
      <c r="EI44" s="561">
        <v>0</v>
      </c>
      <c r="EJ44" s="561">
        <v>0</v>
      </c>
      <c r="EK44" s="561">
        <v>0</v>
      </c>
      <c r="EL44" s="561">
        <v>0</v>
      </c>
      <c r="EM44" s="561">
        <v>0</v>
      </c>
      <c r="EN44" s="561">
        <v>0</v>
      </c>
      <c r="EO44" s="561">
        <v>0</v>
      </c>
      <c r="EP44" s="561">
        <v>0</v>
      </c>
      <c r="EQ44" s="561">
        <v>0</v>
      </c>
      <c r="ER44" s="561">
        <v>0</v>
      </c>
      <c r="ES44" s="561" t="s">
        <v>4565</v>
      </c>
      <c r="ET44" s="561">
        <v>0</v>
      </c>
      <c r="EU44" s="561">
        <v>0</v>
      </c>
      <c r="EV44" s="561">
        <v>0</v>
      </c>
      <c r="EW44" s="561">
        <v>0</v>
      </c>
      <c r="EX44" s="561">
        <v>0</v>
      </c>
      <c r="EY44" s="561">
        <v>0</v>
      </c>
      <c r="EZ44" s="561">
        <v>0</v>
      </c>
      <c r="FA44" s="561">
        <v>0</v>
      </c>
      <c r="FB44" s="561">
        <v>0</v>
      </c>
      <c r="FC44" s="561">
        <v>0</v>
      </c>
      <c r="FD44" s="561">
        <v>0</v>
      </c>
      <c r="FE44" s="561">
        <v>0</v>
      </c>
      <c r="FF44" s="561">
        <v>0</v>
      </c>
      <c r="FG44" s="561">
        <v>0</v>
      </c>
      <c r="FH44" s="561">
        <v>0</v>
      </c>
      <c r="FI44" s="561">
        <v>11.59</v>
      </c>
      <c r="FJ44" s="561">
        <v>0</v>
      </c>
      <c r="FK44" s="561">
        <v>299.99</v>
      </c>
      <c r="FL44" s="561">
        <v>0</v>
      </c>
      <c r="FM44" s="561">
        <v>26.38</v>
      </c>
      <c r="FN44" s="561">
        <v>0</v>
      </c>
      <c r="FO44" s="561">
        <v>337.96</v>
      </c>
      <c r="FP44" s="561">
        <v>0</v>
      </c>
      <c r="FQ44" s="561">
        <v>0</v>
      </c>
      <c r="FR44" s="561">
        <v>0</v>
      </c>
      <c r="FS44" s="561">
        <v>0</v>
      </c>
      <c r="FT44" s="561">
        <v>178.88</v>
      </c>
      <c r="FU44" s="561">
        <v>361.67</v>
      </c>
      <c r="FV44" s="561">
        <v>137.5</v>
      </c>
      <c r="FW44" s="561">
        <v>0</v>
      </c>
      <c r="FX44" s="561">
        <v>0</v>
      </c>
      <c r="FY44" s="561">
        <v>0</v>
      </c>
      <c r="FZ44" s="561">
        <v>0</v>
      </c>
      <c r="GA44" s="561">
        <v>139.71</v>
      </c>
      <c r="GB44" s="561">
        <v>36.43</v>
      </c>
      <c r="GC44" s="561">
        <v>-181</v>
      </c>
      <c r="GD44" s="561">
        <v>0</v>
      </c>
      <c r="GE44" s="561">
        <v>0</v>
      </c>
      <c r="GF44" s="561">
        <v>0</v>
      </c>
      <c r="GG44" s="561">
        <v>0</v>
      </c>
      <c r="GH44" s="561">
        <v>0</v>
      </c>
      <c r="GI44" s="561">
        <v>323.06</v>
      </c>
      <c r="GJ44" s="561">
        <v>0</v>
      </c>
      <c r="GK44" s="561">
        <v>0</v>
      </c>
      <c r="GL44" s="561">
        <v>569.77</v>
      </c>
      <c r="GM44" s="561">
        <v>2140.98</v>
      </c>
      <c r="GN44" s="561">
        <v>0</v>
      </c>
      <c r="GO44" s="561">
        <v>67.34</v>
      </c>
      <c r="GP44" s="561">
        <v>208.01</v>
      </c>
      <c r="GQ44" s="561">
        <v>0</v>
      </c>
      <c r="GR44" s="561">
        <v>0</v>
      </c>
      <c r="GS44" s="561">
        <v>3982.35</v>
      </c>
      <c r="GT44" s="561">
        <v>105</v>
      </c>
      <c r="GU44" s="561">
        <v>71.67</v>
      </c>
      <c r="GV44" s="561">
        <v>269.18</v>
      </c>
      <c r="GW44" s="561">
        <v>0</v>
      </c>
      <c r="GX44" s="561">
        <v>342.12</v>
      </c>
      <c r="GY44" s="561">
        <v>0</v>
      </c>
      <c r="GZ44" s="561">
        <v>320.51</v>
      </c>
      <c r="HA44" s="561">
        <v>0</v>
      </c>
      <c r="HB44" s="561">
        <v>190.35</v>
      </c>
      <c r="HC44" s="561">
        <v>443.18</v>
      </c>
      <c r="HD44" s="561">
        <v>1637.01</v>
      </c>
      <c r="HE44" s="561">
        <v>65</v>
      </c>
      <c r="HF44" s="561">
        <v>5957.32</v>
      </c>
      <c r="HG44" s="561">
        <v>170</v>
      </c>
      <c r="HH44" s="561">
        <v>0</v>
      </c>
      <c r="HI44" s="561">
        <v>0</v>
      </c>
      <c r="HJ44" s="561">
        <v>0</v>
      </c>
      <c r="HK44" s="561">
        <v>0</v>
      </c>
      <c r="HL44" s="561">
        <v>0</v>
      </c>
      <c r="HM44" s="561">
        <v>0</v>
      </c>
      <c r="HN44" s="561">
        <v>0</v>
      </c>
      <c r="HO44" s="561">
        <v>1319.8</v>
      </c>
      <c r="HP44" s="561">
        <v>495.57</v>
      </c>
      <c r="HQ44" s="561">
        <v>0</v>
      </c>
      <c r="HR44" s="561">
        <v>16.850000000000001</v>
      </c>
      <c r="HS44" s="561">
        <v>111</v>
      </c>
      <c r="HT44" s="561">
        <v>-66.48</v>
      </c>
      <c r="HU44" s="561">
        <v>0</v>
      </c>
      <c r="HV44" s="561">
        <v>0</v>
      </c>
      <c r="HW44" s="561">
        <v>34.03</v>
      </c>
      <c r="HX44" s="561">
        <v>88.34</v>
      </c>
      <c r="HY44" s="561">
        <v>45.06</v>
      </c>
      <c r="HZ44" s="561">
        <v>-138.36000000000001</v>
      </c>
      <c r="IA44" s="561">
        <v>0</v>
      </c>
      <c r="IB44" s="561">
        <v>84.93</v>
      </c>
      <c r="IC44" s="561">
        <v>0</v>
      </c>
      <c r="ID44" s="561">
        <v>0</v>
      </c>
      <c r="IE44" s="561">
        <v>729.98</v>
      </c>
      <c r="IF44" s="561">
        <v>0</v>
      </c>
      <c r="IG44" s="561">
        <v>0</v>
      </c>
      <c r="IH44" s="561">
        <v>4252.91</v>
      </c>
      <c r="II44" s="561">
        <v>6973.63</v>
      </c>
      <c r="IJ44" s="561">
        <v>97</v>
      </c>
      <c r="IK44" s="561">
        <v>49.8</v>
      </c>
      <c r="IL44" s="561">
        <v>0</v>
      </c>
      <c r="IM44" s="561">
        <v>0</v>
      </c>
      <c r="IN44" s="561">
        <v>0</v>
      </c>
      <c r="IO44" s="561">
        <v>432.29</v>
      </c>
      <c r="IP44" s="561">
        <v>0</v>
      </c>
      <c r="IQ44" s="561">
        <v>0</v>
      </c>
      <c r="IR44" s="561">
        <v>0</v>
      </c>
      <c r="IS44" s="561">
        <v>38.770000000000003</v>
      </c>
      <c r="IT44" s="561">
        <v>0</v>
      </c>
      <c r="IU44" s="561">
        <v>0</v>
      </c>
      <c r="IV44" s="561">
        <v>0</v>
      </c>
      <c r="IW44" s="561">
        <v>1819.29</v>
      </c>
      <c r="IX44" s="561">
        <v>337.96</v>
      </c>
      <c r="IY44" s="561">
        <v>3982.35</v>
      </c>
      <c r="IZ44" s="561">
        <v>1637.01</v>
      </c>
      <c r="JA44" s="561">
        <v>0</v>
      </c>
      <c r="JB44" s="561">
        <v>0</v>
      </c>
      <c r="JC44" s="561">
        <v>6973.63</v>
      </c>
      <c r="JD44" s="561">
        <v>0</v>
      </c>
      <c r="JE44" s="561">
        <v>14789.01</v>
      </c>
      <c r="JF44" s="561">
        <v>13627.22</v>
      </c>
      <c r="JG44" s="561">
        <v>620.01</v>
      </c>
      <c r="JH44" s="561">
        <v>0</v>
      </c>
      <c r="JI44" s="561">
        <v>0</v>
      </c>
      <c r="JJ44" s="561">
        <v>0</v>
      </c>
      <c r="JK44" s="561">
        <v>4901</v>
      </c>
      <c r="JL44" s="561">
        <v>0</v>
      </c>
      <c r="JM44" s="561">
        <v>0</v>
      </c>
      <c r="JN44" s="561">
        <v>0</v>
      </c>
      <c r="JO44" s="561">
        <v>0</v>
      </c>
      <c r="JP44" s="561">
        <v>0</v>
      </c>
      <c r="JQ44" s="561">
        <v>0</v>
      </c>
      <c r="JR44" s="561">
        <v>0</v>
      </c>
      <c r="JS44" s="561">
        <v>0</v>
      </c>
      <c r="JT44" s="561">
        <v>130.35</v>
      </c>
      <c r="JU44" s="561">
        <v>31.56</v>
      </c>
      <c r="JV44" s="561">
        <v>34099.15</v>
      </c>
      <c r="JW44" s="561">
        <v>0</v>
      </c>
      <c r="JX44" s="561">
        <v>4883.1499999999996</v>
      </c>
      <c r="JY44" s="561">
        <v>0</v>
      </c>
      <c r="JZ44" s="561">
        <v>0</v>
      </c>
      <c r="KA44" s="561">
        <v>0</v>
      </c>
      <c r="KB44" s="561">
        <v>0</v>
      </c>
      <c r="KC44" s="561">
        <v>0</v>
      </c>
      <c r="KD44" s="561">
        <v>-26.64</v>
      </c>
      <c r="KE44" s="561">
        <v>128.37</v>
      </c>
      <c r="KF44" s="561">
        <v>0</v>
      </c>
      <c r="KG44" s="561">
        <v>39084.03</v>
      </c>
      <c r="KH44" s="561">
        <v>-2668.59</v>
      </c>
      <c r="KI44" s="561">
        <v>0</v>
      </c>
      <c r="KJ44" s="561">
        <v>0</v>
      </c>
      <c r="KK44" s="561">
        <v>0</v>
      </c>
      <c r="KL44" s="561">
        <v>-14054.01</v>
      </c>
      <c r="KM44" s="561">
        <v>0</v>
      </c>
      <c r="KN44" s="561">
        <v>-86.27</v>
      </c>
      <c r="KO44" s="561">
        <v>0</v>
      </c>
      <c r="KP44" s="561">
        <v>0</v>
      </c>
      <c r="KQ44" s="561">
        <v>0</v>
      </c>
      <c r="KR44" s="561">
        <v>22275.16</v>
      </c>
      <c r="KS44" s="561">
        <v>0</v>
      </c>
      <c r="KT44" s="561">
        <v>-2446.58</v>
      </c>
      <c r="KU44" s="561">
        <v>19828.580000000002</v>
      </c>
      <c r="KV44" s="561">
        <v>0</v>
      </c>
      <c r="KW44" s="561">
        <v>0</v>
      </c>
      <c r="KX44" s="561">
        <v>0</v>
      </c>
      <c r="KY44" s="561">
        <v>0</v>
      </c>
      <c r="KZ44" s="561">
        <v>-2888.96</v>
      </c>
      <c r="LA44" s="561">
        <v>2939.18</v>
      </c>
      <c r="LB44" s="561">
        <v>-189</v>
      </c>
      <c r="LC44" s="561">
        <v>0</v>
      </c>
      <c r="LD44" s="561">
        <v>-8012.57</v>
      </c>
      <c r="LE44" s="561">
        <v>-67.709999999999994</v>
      </c>
      <c r="LF44" s="561">
        <v>0</v>
      </c>
      <c r="LG44" s="561">
        <v>11610</v>
      </c>
      <c r="LH44" s="561">
        <v>0</v>
      </c>
      <c r="LI44" s="561">
        <v>0</v>
      </c>
      <c r="LJ44" s="561">
        <v>0</v>
      </c>
      <c r="LK44" s="561">
        <v>0</v>
      </c>
      <c r="LL44" s="561">
        <v>13936</v>
      </c>
      <c r="LM44" s="561">
        <v>8056</v>
      </c>
      <c r="LN44" s="561">
        <v>0</v>
      </c>
      <c r="LO44" s="561">
        <v>0</v>
      </c>
      <c r="LP44" s="561">
        <v>0</v>
      </c>
      <c r="LQ44" s="561">
        <v>0</v>
      </c>
      <c r="LR44" s="561">
        <v>11047.04</v>
      </c>
      <c r="LS44" s="561">
        <v>10995.18</v>
      </c>
      <c r="LT44" s="561">
        <v>0</v>
      </c>
      <c r="LU44" s="561">
        <v>1221</v>
      </c>
      <c r="LV44" s="561">
        <v>0</v>
      </c>
      <c r="LW44" s="561">
        <v>1115</v>
      </c>
      <c r="LX44" s="561">
        <v>0</v>
      </c>
      <c r="LY44" s="561">
        <v>6750</v>
      </c>
      <c r="LZ44" s="561">
        <v>9086</v>
      </c>
      <c r="MA44" s="561">
        <v>0</v>
      </c>
      <c r="MB44" s="561">
        <v>0</v>
      </c>
      <c r="MC44" s="561">
        <v>0</v>
      </c>
      <c r="MD44" s="561">
        <v>0</v>
      </c>
      <c r="ME44" s="561">
        <v>0</v>
      </c>
      <c r="MF44" s="561">
        <v>0</v>
      </c>
      <c r="MG44" s="561">
        <v>0</v>
      </c>
      <c r="MH44" s="561">
        <v>3357.31</v>
      </c>
      <c r="MI44" s="561">
        <v>3591.21</v>
      </c>
      <c r="MJ44" s="561">
        <v>6948.52</v>
      </c>
      <c r="MK44" s="561">
        <v>0</v>
      </c>
      <c r="ML44" s="561">
        <v>0</v>
      </c>
      <c r="MM44" s="561">
        <v>10652.04</v>
      </c>
      <c r="MN44" s="561">
        <v>100</v>
      </c>
      <c r="MO44" s="561">
        <v>295</v>
      </c>
      <c r="MP44" s="561">
        <v>0</v>
      </c>
      <c r="MQ44" s="561">
        <v>0</v>
      </c>
      <c r="MR44" s="561">
        <v>38.770000000000003</v>
      </c>
      <c r="MS44" s="561">
        <v>0</v>
      </c>
      <c r="MT44" s="561">
        <v>0</v>
      </c>
      <c r="MU44" s="561">
        <v>0</v>
      </c>
      <c r="MV44" s="561">
        <v>1819.29</v>
      </c>
      <c r="MW44" s="561">
        <v>337.96</v>
      </c>
      <c r="MX44" s="561">
        <v>3982.35</v>
      </c>
      <c r="MY44" s="561">
        <v>1637.01</v>
      </c>
      <c r="MZ44" s="561">
        <v>0</v>
      </c>
      <c r="NA44" s="561">
        <v>0</v>
      </c>
      <c r="NB44" s="561">
        <v>6973.63</v>
      </c>
      <c r="NC44" s="561">
        <v>0</v>
      </c>
      <c r="ND44" s="561">
        <v>14789.01</v>
      </c>
      <c r="NE44" s="561">
        <v>0</v>
      </c>
      <c r="NF44" s="561">
        <v>0</v>
      </c>
      <c r="NG44" s="561">
        <v>0</v>
      </c>
      <c r="NH44" s="561">
        <v>0</v>
      </c>
      <c r="NI44" s="561">
        <v>0</v>
      </c>
      <c r="NJ44" s="561">
        <v>0</v>
      </c>
      <c r="NK44" s="561">
        <v>0</v>
      </c>
      <c r="NL44" s="561">
        <v>0</v>
      </c>
      <c r="NM44" s="561">
        <v>0</v>
      </c>
      <c r="NN44" s="561">
        <v>0</v>
      </c>
      <c r="NO44" s="561">
        <v>0</v>
      </c>
      <c r="NP44" s="561">
        <v>0</v>
      </c>
      <c r="NQ44" s="561">
        <v>0</v>
      </c>
      <c r="NR44" s="561">
        <v>0</v>
      </c>
      <c r="NS44" s="561">
        <v>0</v>
      </c>
      <c r="NT44" s="561">
        <v>0</v>
      </c>
      <c r="NU44" s="561">
        <v>0</v>
      </c>
      <c r="NV44" s="561">
        <v>0</v>
      </c>
      <c r="NW44" s="561">
        <v>0</v>
      </c>
      <c r="NX44" s="561">
        <v>0</v>
      </c>
      <c r="NY44" s="561">
        <v>0</v>
      </c>
      <c r="NZ44" s="561">
        <v>0</v>
      </c>
      <c r="OA44" s="561">
        <v>0</v>
      </c>
      <c r="OB44" s="561">
        <v>0</v>
      </c>
      <c r="OC44" s="561">
        <v>0</v>
      </c>
      <c r="OD44" s="561">
        <v>0</v>
      </c>
      <c r="OE44" s="561">
        <v>0</v>
      </c>
      <c r="OF44" s="561">
        <v>0</v>
      </c>
      <c r="OG44" s="561">
        <v>0</v>
      </c>
      <c r="OH44" s="561">
        <v>0</v>
      </c>
      <c r="OI44" s="561">
        <v>0</v>
      </c>
      <c r="OJ44" s="561">
        <v>0</v>
      </c>
      <c r="OK44" s="561">
        <v>0</v>
      </c>
      <c r="OL44" s="561">
        <v>0</v>
      </c>
      <c r="OM44" s="561">
        <v>0</v>
      </c>
      <c r="ON44" s="561">
        <v>0</v>
      </c>
      <c r="OO44" s="561">
        <v>0</v>
      </c>
      <c r="OP44" s="561">
        <v>0</v>
      </c>
      <c r="OQ44" s="561">
        <v>0</v>
      </c>
      <c r="OR44" s="561">
        <v>0</v>
      </c>
      <c r="OS44" s="561">
        <v>0</v>
      </c>
      <c r="OT44" s="561">
        <v>0</v>
      </c>
      <c r="OU44" s="561">
        <v>0</v>
      </c>
      <c r="OV44" s="561">
        <v>0</v>
      </c>
      <c r="OW44" s="561">
        <v>0</v>
      </c>
      <c r="OX44" s="561">
        <v>0</v>
      </c>
      <c r="OY44" s="561">
        <v>0</v>
      </c>
      <c r="OZ44" s="561">
        <v>0</v>
      </c>
      <c r="PA44" s="561">
        <v>0</v>
      </c>
      <c r="PB44" s="561">
        <v>0</v>
      </c>
      <c r="PC44" s="561">
        <v>0</v>
      </c>
      <c r="PD44" s="561">
        <v>0</v>
      </c>
      <c r="PE44" s="561">
        <v>0</v>
      </c>
      <c r="PF44" s="561">
        <v>0</v>
      </c>
      <c r="PG44" s="561">
        <v>0</v>
      </c>
      <c r="PH44" s="561">
        <v>0</v>
      </c>
      <c r="PI44" s="561">
        <v>0</v>
      </c>
      <c r="PJ44" s="561">
        <v>0</v>
      </c>
    </row>
    <row r="45" spans="1:426" ht="14" x14ac:dyDescent="0.3">
      <c r="A45" t="s">
        <v>2562</v>
      </c>
      <c r="B45" t="s">
        <v>2563</v>
      </c>
      <c r="C45" t="s">
        <v>2564</v>
      </c>
      <c r="E45" t="s">
        <v>2476</v>
      </c>
      <c r="F45" s="561">
        <v>42073</v>
      </c>
      <c r="G45" s="561">
        <v>20729</v>
      </c>
      <c r="H45" s="561">
        <v>14667</v>
      </c>
      <c r="I45" s="561">
        <v>41490</v>
      </c>
      <c r="J45" s="561">
        <v>19396</v>
      </c>
      <c r="K45" s="561">
        <v>22240</v>
      </c>
      <c r="L45" s="561">
        <v>160595</v>
      </c>
      <c r="M45" s="561">
        <v>1794</v>
      </c>
      <c r="N45" s="561">
        <v>-78</v>
      </c>
      <c r="O45" s="561">
        <v>0</v>
      </c>
      <c r="P45" s="561">
        <v>0</v>
      </c>
      <c r="Q45" s="561">
        <v>110</v>
      </c>
      <c r="R45" s="561">
        <v>32</v>
      </c>
      <c r="S45" s="561">
        <v>733</v>
      </c>
      <c r="T45" s="561">
        <v>8177</v>
      </c>
      <c r="U45" s="561">
        <v>170</v>
      </c>
      <c r="V45" s="561">
        <v>3905</v>
      </c>
      <c r="W45" s="561">
        <v>0</v>
      </c>
      <c r="X45" s="561">
        <v>89</v>
      </c>
      <c r="Y45" s="561">
        <v>0</v>
      </c>
      <c r="Z45" s="561">
        <v>270</v>
      </c>
      <c r="AA45" s="561">
        <v>-5476</v>
      </c>
      <c r="AB45" s="561">
        <v>-1708</v>
      </c>
      <c r="AC45" s="561">
        <v>9115</v>
      </c>
      <c r="AD45" s="561">
        <v>0</v>
      </c>
      <c r="AE45" s="561">
        <v>0</v>
      </c>
      <c r="AF45" s="561">
        <v>0</v>
      </c>
      <c r="AG45" s="561">
        <v>0</v>
      </c>
      <c r="AH45" s="561">
        <v>0</v>
      </c>
      <c r="AI45" s="561">
        <v>0</v>
      </c>
      <c r="AJ45" s="561">
        <v>15339</v>
      </c>
      <c r="AK45" s="561">
        <v>0</v>
      </c>
      <c r="AL45" s="561">
        <v>0</v>
      </c>
      <c r="AM45" s="561">
        <v>0</v>
      </c>
      <c r="AN45" s="561">
        <v>0</v>
      </c>
      <c r="AO45" s="561">
        <v>0</v>
      </c>
      <c r="AP45" s="561">
        <v>0</v>
      </c>
      <c r="AQ45" s="561">
        <v>0</v>
      </c>
      <c r="AR45" s="561">
        <v>0</v>
      </c>
      <c r="AS45" s="561">
        <v>4280</v>
      </c>
      <c r="AT45" s="561">
        <v>4705</v>
      </c>
      <c r="AU45" s="561">
        <v>0</v>
      </c>
      <c r="AV45" s="561">
        <v>0</v>
      </c>
      <c r="AW45" s="561">
        <v>0</v>
      </c>
      <c r="AX45" s="561">
        <v>816</v>
      </c>
      <c r="AY45" s="561">
        <v>46686</v>
      </c>
      <c r="AZ45" s="561">
        <v>-452</v>
      </c>
      <c r="BA45" s="561">
        <v>7586</v>
      </c>
      <c r="BB45" s="561">
        <v>2003</v>
      </c>
      <c r="BC45" s="561">
        <v>28495</v>
      </c>
      <c r="BD45" s="561">
        <v>0</v>
      </c>
      <c r="BE45" s="561">
        <v>850</v>
      </c>
      <c r="BF45" s="561">
        <v>85984</v>
      </c>
      <c r="BG45" s="561">
        <v>4872</v>
      </c>
      <c r="BH45" s="561">
        <v>10957.18</v>
      </c>
      <c r="BI45" s="561">
        <v>21345.42</v>
      </c>
      <c r="BJ45" s="561">
        <v>120.49</v>
      </c>
      <c r="BK45" s="561">
        <v>42.01</v>
      </c>
      <c r="BL45" s="561">
        <v>1239.69</v>
      </c>
      <c r="BM45" s="561">
        <v>7024.76</v>
      </c>
      <c r="BN45" s="561">
        <v>46244.67</v>
      </c>
      <c r="BO45" s="561">
        <v>4860.45</v>
      </c>
      <c r="BP45" s="561">
        <v>5622.29</v>
      </c>
      <c r="BQ45" s="561">
        <v>3544.12</v>
      </c>
      <c r="BR45" s="561">
        <v>0</v>
      </c>
      <c r="BS45" s="561">
        <v>0</v>
      </c>
      <c r="BT45" s="561">
        <v>0</v>
      </c>
      <c r="BU45" s="561">
        <v>0</v>
      </c>
      <c r="BV45" s="561">
        <v>1331.11</v>
      </c>
      <c r="BW45" s="561">
        <v>13622.52</v>
      </c>
      <c r="BX45" s="561">
        <v>0</v>
      </c>
      <c r="BY45" s="561">
        <v>6675.8</v>
      </c>
      <c r="BZ45" s="561">
        <v>122630.51</v>
      </c>
      <c r="CA45" s="561">
        <v>0</v>
      </c>
      <c r="CB45" s="561">
        <v>1810.34</v>
      </c>
      <c r="CC45" s="561">
        <v>800.59</v>
      </c>
      <c r="CD45" s="561">
        <v>475.19</v>
      </c>
      <c r="CE45" s="561">
        <v>597.49</v>
      </c>
      <c r="CF45" s="561">
        <v>586.65</v>
      </c>
      <c r="CG45" s="561">
        <v>139.79</v>
      </c>
      <c r="CH45" s="561">
        <v>234.63</v>
      </c>
      <c r="CI45" s="561">
        <v>106.05</v>
      </c>
      <c r="CJ45" s="561">
        <v>38.729999999999997</v>
      </c>
      <c r="CK45" s="561">
        <v>139.28</v>
      </c>
      <c r="CL45" s="561">
        <v>172.32</v>
      </c>
      <c r="CM45" s="561">
        <v>1235.23</v>
      </c>
      <c r="CN45" s="561">
        <v>633.85</v>
      </c>
      <c r="CO45" s="561">
        <v>253.33</v>
      </c>
      <c r="CP45" s="561">
        <v>215.25</v>
      </c>
      <c r="CQ45" s="561">
        <v>250.88</v>
      </c>
      <c r="CR45" s="561">
        <v>360.5</v>
      </c>
      <c r="CS45" s="561">
        <v>76.599999999999994</v>
      </c>
      <c r="CT45" s="561">
        <v>756.19</v>
      </c>
      <c r="CU45" s="561">
        <v>3714.12</v>
      </c>
      <c r="CV45" s="561">
        <v>2639.8</v>
      </c>
      <c r="CW45" s="561">
        <v>109.46</v>
      </c>
      <c r="CX45" s="561">
        <v>581.17999999999995</v>
      </c>
      <c r="CY45" s="561">
        <v>2234.35</v>
      </c>
      <c r="CZ45" s="561">
        <v>18161.8</v>
      </c>
      <c r="DA45" s="561">
        <v>0</v>
      </c>
      <c r="DB45" s="561">
        <v>435</v>
      </c>
      <c r="DC45" s="561">
        <v>0</v>
      </c>
      <c r="DD45" s="561">
        <v>0</v>
      </c>
      <c r="DE45" s="561">
        <v>0</v>
      </c>
      <c r="DF45" s="561">
        <v>0</v>
      </c>
      <c r="DG45" s="561">
        <v>0</v>
      </c>
      <c r="DH45" s="561">
        <v>179</v>
      </c>
      <c r="DI45" s="561">
        <v>0</v>
      </c>
      <c r="DJ45" s="561">
        <v>235</v>
      </c>
      <c r="DK45" s="561">
        <v>0</v>
      </c>
      <c r="DL45" s="561">
        <v>18148</v>
      </c>
      <c r="DM45" s="561">
        <v>2414</v>
      </c>
      <c r="DN45" s="561">
        <v>0</v>
      </c>
      <c r="DO45" s="561">
        <v>0</v>
      </c>
      <c r="DP45" s="561">
        <v>-283</v>
      </c>
      <c r="DQ45" s="561">
        <v>0</v>
      </c>
      <c r="DR45" s="561">
        <v>0</v>
      </c>
      <c r="DS45" s="561">
        <v>1237</v>
      </c>
      <c r="DT45" s="561">
        <v>6967</v>
      </c>
      <c r="DU45" s="561">
        <v>28483</v>
      </c>
      <c r="DV45" s="561">
        <v>487</v>
      </c>
      <c r="DW45" s="561">
        <v>0</v>
      </c>
      <c r="DX45" s="561">
        <v>0</v>
      </c>
      <c r="DY45" s="561">
        <v>1791</v>
      </c>
      <c r="DZ45" s="561">
        <v>61</v>
      </c>
      <c r="EA45" s="561">
        <v>8735</v>
      </c>
      <c r="EB45" s="561">
        <v>0</v>
      </c>
      <c r="EC45" s="561">
        <v>39971</v>
      </c>
      <c r="ED45" s="561">
        <v>19</v>
      </c>
      <c r="EE45" s="561">
        <v>0</v>
      </c>
      <c r="EF45" s="561">
        <v>0</v>
      </c>
      <c r="EG45" s="561">
        <v>0</v>
      </c>
      <c r="EH45" s="561">
        <v>0</v>
      </c>
      <c r="EI45" s="561">
        <v>0</v>
      </c>
      <c r="EJ45" s="561">
        <v>0</v>
      </c>
      <c r="EK45" s="561">
        <v>0</v>
      </c>
      <c r="EL45" s="561">
        <v>0</v>
      </c>
      <c r="EM45" s="561">
        <v>0</v>
      </c>
      <c r="EN45" s="561">
        <v>0</v>
      </c>
      <c r="EO45" s="561">
        <v>0</v>
      </c>
      <c r="EP45" s="561">
        <v>0</v>
      </c>
      <c r="EQ45" s="561">
        <v>0</v>
      </c>
      <c r="ER45" s="561">
        <v>0</v>
      </c>
      <c r="ES45" s="561" t="s">
        <v>4565</v>
      </c>
      <c r="ET45" s="561">
        <v>0</v>
      </c>
      <c r="EU45" s="561">
        <v>0</v>
      </c>
      <c r="EV45" s="561">
        <v>0</v>
      </c>
      <c r="EW45" s="561">
        <v>0</v>
      </c>
      <c r="EX45" s="561">
        <v>0</v>
      </c>
      <c r="EY45" s="561">
        <v>0</v>
      </c>
      <c r="EZ45" s="561">
        <v>0</v>
      </c>
      <c r="FA45" s="561">
        <v>0</v>
      </c>
      <c r="FB45" s="561">
        <v>0</v>
      </c>
      <c r="FC45" s="561">
        <v>0</v>
      </c>
      <c r="FD45" s="561">
        <v>30</v>
      </c>
      <c r="FE45" s="561">
        <v>6</v>
      </c>
      <c r="FF45" s="561">
        <v>0</v>
      </c>
      <c r="FG45" s="561">
        <v>27</v>
      </c>
      <c r="FH45" s="561">
        <v>0</v>
      </c>
      <c r="FI45" s="561">
        <v>0</v>
      </c>
      <c r="FJ45" s="561">
        <v>-747</v>
      </c>
      <c r="FK45" s="561">
        <v>11088</v>
      </c>
      <c r="FL45" s="561">
        <v>0</v>
      </c>
      <c r="FM45" s="561">
        <v>0</v>
      </c>
      <c r="FN45" s="561">
        <v>5964</v>
      </c>
      <c r="FO45" s="561">
        <v>16368</v>
      </c>
      <c r="FP45" s="561">
        <v>0</v>
      </c>
      <c r="FQ45" s="561">
        <v>491</v>
      </c>
      <c r="FR45" s="561">
        <v>600</v>
      </c>
      <c r="FS45" s="561">
        <v>0</v>
      </c>
      <c r="FT45" s="561">
        <v>219</v>
      </c>
      <c r="FU45" s="561">
        <v>1052</v>
      </c>
      <c r="FV45" s="561">
        <v>0</v>
      </c>
      <c r="FW45" s="561">
        <v>0</v>
      </c>
      <c r="FX45" s="561">
        <v>0</v>
      </c>
      <c r="FY45" s="561">
        <v>0</v>
      </c>
      <c r="FZ45" s="561">
        <v>0</v>
      </c>
      <c r="GA45" s="561">
        <v>48</v>
      </c>
      <c r="GB45" s="561">
        <v>0</v>
      </c>
      <c r="GC45" s="561">
        <v>-79</v>
      </c>
      <c r="GD45" s="561">
        <v>0</v>
      </c>
      <c r="GE45" s="561">
        <v>438</v>
      </c>
      <c r="GF45" s="561">
        <v>672</v>
      </c>
      <c r="GG45" s="561">
        <v>0</v>
      </c>
      <c r="GH45" s="561">
        <v>0</v>
      </c>
      <c r="GI45" s="561">
        <v>0</v>
      </c>
      <c r="GJ45" s="561">
        <v>0</v>
      </c>
      <c r="GK45" s="561">
        <v>0</v>
      </c>
      <c r="GL45" s="561">
        <v>7494</v>
      </c>
      <c r="GM45" s="561">
        <v>2090</v>
      </c>
      <c r="GN45" s="561">
        <v>4548</v>
      </c>
      <c r="GO45" s="561">
        <v>1481</v>
      </c>
      <c r="GP45" s="561">
        <v>15485</v>
      </c>
      <c r="GQ45" s="561">
        <v>0</v>
      </c>
      <c r="GR45" s="561">
        <v>0</v>
      </c>
      <c r="GS45" s="561">
        <v>34539</v>
      </c>
      <c r="GT45" s="561">
        <v>349</v>
      </c>
      <c r="GU45" s="561">
        <v>473</v>
      </c>
      <c r="GV45" s="561">
        <v>2579</v>
      </c>
      <c r="GW45" s="561">
        <v>1034</v>
      </c>
      <c r="GX45" s="561">
        <v>0</v>
      </c>
      <c r="GY45" s="561">
        <v>0</v>
      </c>
      <c r="GZ45" s="561">
        <v>719</v>
      </c>
      <c r="HA45" s="561">
        <v>0</v>
      </c>
      <c r="HB45" s="561">
        <v>915</v>
      </c>
      <c r="HC45" s="561">
        <v>-40</v>
      </c>
      <c r="HD45" s="561">
        <v>5680</v>
      </c>
      <c r="HE45" s="561">
        <v>284</v>
      </c>
      <c r="HF45" s="561">
        <v>56587</v>
      </c>
      <c r="HG45" s="561">
        <v>251</v>
      </c>
      <c r="HH45" s="561">
        <v>0</v>
      </c>
      <c r="HI45" s="561">
        <v>0</v>
      </c>
      <c r="HJ45" s="561">
        <v>0</v>
      </c>
      <c r="HK45" s="561">
        <v>0</v>
      </c>
      <c r="HL45" s="561">
        <v>0</v>
      </c>
      <c r="HM45" s="561">
        <v>0</v>
      </c>
      <c r="HN45" s="561">
        <v>0</v>
      </c>
      <c r="HO45" s="561">
        <v>6089</v>
      </c>
      <c r="HP45" s="561">
        <v>1130</v>
      </c>
      <c r="HQ45" s="561">
        <v>0</v>
      </c>
      <c r="HR45" s="561">
        <v>0</v>
      </c>
      <c r="HS45" s="561">
        <v>2087</v>
      </c>
      <c r="HT45" s="561">
        <v>163</v>
      </c>
      <c r="HU45" s="561">
        <v>0</v>
      </c>
      <c r="HV45" s="561">
        <v>109</v>
      </c>
      <c r="HW45" s="561">
        <v>437</v>
      </c>
      <c r="HX45" s="561">
        <v>805</v>
      </c>
      <c r="HY45" s="561">
        <v>237</v>
      </c>
      <c r="HZ45" s="561">
        <v>174</v>
      </c>
      <c r="IA45" s="561">
        <v>0</v>
      </c>
      <c r="IB45" s="561">
        <v>0</v>
      </c>
      <c r="IC45" s="561">
        <v>939</v>
      </c>
      <c r="ID45" s="561">
        <v>0</v>
      </c>
      <c r="IE45" s="561">
        <v>528</v>
      </c>
      <c r="IF45" s="561">
        <v>0</v>
      </c>
      <c r="IG45" s="561">
        <v>0</v>
      </c>
      <c r="IH45" s="561">
        <v>10022</v>
      </c>
      <c r="II45" s="561">
        <v>22720</v>
      </c>
      <c r="IJ45" s="561">
        <v>3546</v>
      </c>
      <c r="IK45" s="561">
        <v>12203</v>
      </c>
      <c r="IL45" s="561">
        <v>27775</v>
      </c>
      <c r="IM45" s="561">
        <v>817</v>
      </c>
      <c r="IN45" s="561">
        <v>0</v>
      </c>
      <c r="IO45" s="561">
        <v>0</v>
      </c>
      <c r="IP45" s="561">
        <v>381</v>
      </c>
      <c r="IQ45" s="561">
        <v>0</v>
      </c>
      <c r="IR45" s="561">
        <v>160595</v>
      </c>
      <c r="IS45" s="561">
        <v>15339</v>
      </c>
      <c r="IT45" s="561">
        <v>85984</v>
      </c>
      <c r="IU45" s="561">
        <v>122630.51</v>
      </c>
      <c r="IV45" s="561">
        <v>18161.8</v>
      </c>
      <c r="IW45" s="561">
        <v>39971</v>
      </c>
      <c r="IX45" s="561">
        <v>16368</v>
      </c>
      <c r="IY45" s="561">
        <v>34539</v>
      </c>
      <c r="IZ45" s="561">
        <v>5680</v>
      </c>
      <c r="JA45" s="561">
        <v>0</v>
      </c>
      <c r="JB45" s="561">
        <v>0</v>
      </c>
      <c r="JC45" s="561">
        <v>22720</v>
      </c>
      <c r="JD45" s="561">
        <v>381</v>
      </c>
      <c r="JE45" s="561">
        <v>522369.31</v>
      </c>
      <c r="JF45" s="561">
        <v>60197</v>
      </c>
      <c r="JG45" s="561">
        <v>12585</v>
      </c>
      <c r="JH45" s="561">
        <v>0</v>
      </c>
      <c r="JI45" s="561">
        <v>0</v>
      </c>
      <c r="JJ45" s="561">
        <v>0</v>
      </c>
      <c r="JK45" s="561">
        <v>0</v>
      </c>
      <c r="JL45" s="561">
        <v>0</v>
      </c>
      <c r="JM45" s="561">
        <v>0</v>
      </c>
      <c r="JN45" s="561">
        <v>429</v>
      </c>
      <c r="JO45" s="561">
        <v>611</v>
      </c>
      <c r="JP45" s="561">
        <v>0</v>
      </c>
      <c r="JQ45" s="561">
        <v>0</v>
      </c>
      <c r="JR45" s="561">
        <v>0</v>
      </c>
      <c r="JS45" s="561">
        <v>0</v>
      </c>
      <c r="JT45" s="561">
        <v>-382</v>
      </c>
      <c r="JU45" s="561">
        <v>-19000</v>
      </c>
      <c r="JV45" s="561">
        <v>576809.31000000006</v>
      </c>
      <c r="JW45" s="561">
        <v>276</v>
      </c>
      <c r="JX45" s="561">
        <v>2388</v>
      </c>
      <c r="JY45" s="561">
        <v>0</v>
      </c>
      <c r="JZ45" s="561">
        <v>0</v>
      </c>
      <c r="KA45" s="561">
        <v>0</v>
      </c>
      <c r="KB45" s="561">
        <v>1855</v>
      </c>
      <c r="KC45" s="561">
        <v>213</v>
      </c>
      <c r="KD45" s="561">
        <v>0</v>
      </c>
      <c r="KE45" s="561">
        <v>339</v>
      </c>
      <c r="KF45" s="561">
        <v>0</v>
      </c>
      <c r="KG45" s="561">
        <v>581880.31000000006</v>
      </c>
      <c r="KH45" s="561">
        <v>-19974</v>
      </c>
      <c r="KI45" s="561">
        <v>0</v>
      </c>
      <c r="KJ45" s="561">
        <v>496</v>
      </c>
      <c r="KK45" s="561">
        <v>0</v>
      </c>
      <c r="KL45" s="561">
        <v>-77590</v>
      </c>
      <c r="KM45" s="561">
        <v>0</v>
      </c>
      <c r="KN45" s="561">
        <v>-1246</v>
      </c>
      <c r="KO45" s="561">
        <v>0</v>
      </c>
      <c r="KP45" s="561">
        <v>0</v>
      </c>
      <c r="KQ45" s="561">
        <v>-10839</v>
      </c>
      <c r="KR45" s="561">
        <v>472727.31</v>
      </c>
      <c r="KS45" s="561">
        <v>-37</v>
      </c>
      <c r="KT45" s="561">
        <v>-200508.96</v>
      </c>
      <c r="KU45" s="561">
        <v>272181.34999999998</v>
      </c>
      <c r="KV45" s="561">
        <v>0</v>
      </c>
      <c r="KW45" s="561">
        <v>-319</v>
      </c>
      <c r="KX45" s="561">
        <v>0</v>
      </c>
      <c r="KY45" s="561">
        <v>-515</v>
      </c>
      <c r="KZ45" s="561">
        <v>787</v>
      </c>
      <c r="LA45" s="561">
        <v>-11932</v>
      </c>
      <c r="LB45" s="561">
        <v>-316</v>
      </c>
      <c r="LC45" s="561">
        <v>0</v>
      </c>
      <c r="LD45" s="561">
        <v>-53970</v>
      </c>
      <c r="LE45" s="561">
        <v>-5900</v>
      </c>
      <c r="LF45" s="561">
        <v>0</v>
      </c>
      <c r="LG45" s="561">
        <v>200016</v>
      </c>
      <c r="LH45" s="561">
        <v>2111</v>
      </c>
      <c r="LI45" s="561">
        <v>-16222</v>
      </c>
      <c r="LJ45" s="561">
        <v>0</v>
      </c>
      <c r="LK45" s="561">
        <v>2727</v>
      </c>
      <c r="LL45" s="561">
        <v>172880</v>
      </c>
      <c r="LM45" s="561">
        <v>47875</v>
      </c>
      <c r="LN45" s="561">
        <v>1792</v>
      </c>
      <c r="LO45" s="561">
        <v>-27061</v>
      </c>
      <c r="LP45" s="561">
        <v>0</v>
      </c>
      <c r="LQ45" s="561">
        <v>2212</v>
      </c>
      <c r="LR45" s="561">
        <v>173667</v>
      </c>
      <c r="LS45" s="561">
        <v>35943</v>
      </c>
      <c r="LT45" s="561">
        <v>0</v>
      </c>
      <c r="LU45" s="561">
        <v>14999</v>
      </c>
      <c r="LV45" s="561">
        <v>15850</v>
      </c>
      <c r="LW45" s="561">
        <v>0</v>
      </c>
      <c r="LX45" s="561">
        <v>-17949</v>
      </c>
      <c r="LY45" s="561">
        <v>7066</v>
      </c>
      <c r="LZ45" s="561">
        <v>9748</v>
      </c>
      <c r="MA45" s="561">
        <v>0</v>
      </c>
      <c r="MB45" s="561">
        <v>0</v>
      </c>
      <c r="MC45" s="561">
        <v>0</v>
      </c>
      <c r="MD45" s="561">
        <v>0</v>
      </c>
      <c r="ME45" s="561">
        <v>0</v>
      </c>
      <c r="MF45" s="561">
        <v>0</v>
      </c>
      <c r="MG45" s="561">
        <v>0</v>
      </c>
      <c r="MH45" s="561">
        <v>6875</v>
      </c>
      <c r="MI45" s="561">
        <v>7228</v>
      </c>
      <c r="MJ45" s="561">
        <v>14103</v>
      </c>
      <c r="MK45" s="561">
        <v>0</v>
      </c>
      <c r="ML45" s="561">
        <v>0</v>
      </c>
      <c r="MM45" s="561">
        <v>45205</v>
      </c>
      <c r="MN45" s="561">
        <v>22351</v>
      </c>
      <c r="MO45" s="561">
        <v>0</v>
      </c>
      <c r="MP45" s="561">
        <v>106111</v>
      </c>
      <c r="MQ45" s="561">
        <v>160595</v>
      </c>
      <c r="MR45" s="561">
        <v>15339</v>
      </c>
      <c r="MS45" s="561">
        <v>85984</v>
      </c>
      <c r="MT45" s="561">
        <v>122630.51</v>
      </c>
      <c r="MU45" s="561">
        <v>18161.8</v>
      </c>
      <c r="MV45" s="561">
        <v>39971</v>
      </c>
      <c r="MW45" s="561">
        <v>16368</v>
      </c>
      <c r="MX45" s="561">
        <v>34539</v>
      </c>
      <c r="MY45" s="561">
        <v>5680</v>
      </c>
      <c r="MZ45" s="561">
        <v>0</v>
      </c>
      <c r="NA45" s="561">
        <v>0</v>
      </c>
      <c r="NB45" s="561">
        <v>22720</v>
      </c>
      <c r="NC45" s="561">
        <v>381</v>
      </c>
      <c r="ND45" s="561">
        <v>522369.31</v>
      </c>
      <c r="NE45" s="561">
        <v>0</v>
      </c>
      <c r="NF45" s="561">
        <v>0</v>
      </c>
      <c r="NG45" s="561">
        <v>0</v>
      </c>
      <c r="NH45" s="561">
        <v>0</v>
      </c>
      <c r="NI45" s="561">
        <v>0</v>
      </c>
      <c r="NJ45" s="561">
        <v>0</v>
      </c>
      <c r="NK45" s="561">
        <v>0</v>
      </c>
      <c r="NL45" s="561">
        <v>0</v>
      </c>
      <c r="NM45" s="561">
        <v>0</v>
      </c>
      <c r="NN45" s="561">
        <v>0</v>
      </c>
      <c r="NO45" s="561">
        <v>0</v>
      </c>
      <c r="NP45" s="561">
        <v>0</v>
      </c>
      <c r="NQ45" s="561">
        <v>0</v>
      </c>
      <c r="NR45" s="561">
        <v>0</v>
      </c>
      <c r="NS45" s="561">
        <v>0</v>
      </c>
      <c r="NT45" s="561">
        <v>0</v>
      </c>
      <c r="NU45" s="561">
        <v>0</v>
      </c>
      <c r="NV45" s="561">
        <v>0</v>
      </c>
      <c r="NW45" s="561">
        <v>0</v>
      </c>
      <c r="NX45" s="561">
        <v>0</v>
      </c>
      <c r="NY45" s="561">
        <v>0</v>
      </c>
      <c r="NZ45" s="561">
        <v>0</v>
      </c>
      <c r="OA45" s="561">
        <v>0</v>
      </c>
      <c r="OB45" s="561">
        <v>0</v>
      </c>
      <c r="OC45" s="561">
        <v>0</v>
      </c>
      <c r="OD45" s="561">
        <v>0</v>
      </c>
      <c r="OE45" s="561">
        <v>0</v>
      </c>
      <c r="OF45" s="561">
        <v>0</v>
      </c>
      <c r="OG45" s="561">
        <v>0</v>
      </c>
      <c r="OH45" s="561">
        <v>0</v>
      </c>
      <c r="OI45" s="561">
        <v>0</v>
      </c>
      <c r="OJ45" s="561">
        <v>0</v>
      </c>
      <c r="OK45" s="561">
        <v>0</v>
      </c>
      <c r="OL45" s="561">
        <v>0</v>
      </c>
      <c r="OM45" s="561">
        <v>0</v>
      </c>
      <c r="ON45" s="561">
        <v>0</v>
      </c>
      <c r="OO45" s="561">
        <v>0</v>
      </c>
      <c r="OP45" s="561">
        <v>0</v>
      </c>
      <c r="OQ45" s="561">
        <v>0</v>
      </c>
      <c r="OR45" s="561">
        <v>0</v>
      </c>
      <c r="OS45" s="561">
        <v>0</v>
      </c>
      <c r="OT45" s="561">
        <v>0</v>
      </c>
      <c r="OU45" s="561">
        <v>0</v>
      </c>
      <c r="OV45" s="561">
        <v>0</v>
      </c>
      <c r="OW45" s="561">
        <v>0</v>
      </c>
      <c r="OX45" s="561">
        <v>0</v>
      </c>
      <c r="OY45" s="561">
        <v>0</v>
      </c>
      <c r="OZ45" s="561">
        <v>0</v>
      </c>
      <c r="PA45" s="561">
        <v>0</v>
      </c>
      <c r="PB45" s="561">
        <v>0</v>
      </c>
      <c r="PC45" s="561">
        <v>0</v>
      </c>
      <c r="PD45" s="561">
        <v>0</v>
      </c>
      <c r="PE45" s="561">
        <v>0</v>
      </c>
      <c r="PF45" s="561">
        <v>0</v>
      </c>
      <c r="PG45" s="561">
        <v>0</v>
      </c>
      <c r="PH45" s="561">
        <v>0</v>
      </c>
      <c r="PI45" s="561">
        <v>0</v>
      </c>
      <c r="PJ45" s="561">
        <v>0</v>
      </c>
    </row>
    <row r="46" spans="1:426" ht="14" x14ac:dyDescent="0.3">
      <c r="A46" t="s">
        <v>2565</v>
      </c>
      <c r="B46" t="s">
        <v>2566</v>
      </c>
      <c r="C46" t="s">
        <v>2567</v>
      </c>
      <c r="E46" t="s">
        <v>384</v>
      </c>
      <c r="F46" s="561">
        <v>0</v>
      </c>
      <c r="G46" s="561">
        <v>0</v>
      </c>
      <c r="H46" s="561">
        <v>0</v>
      </c>
      <c r="I46" s="561">
        <v>0</v>
      </c>
      <c r="J46" s="561">
        <v>0</v>
      </c>
      <c r="K46" s="561">
        <v>0</v>
      </c>
      <c r="L46" s="561">
        <v>0</v>
      </c>
      <c r="M46" s="561">
        <v>0</v>
      </c>
      <c r="N46" s="561">
        <v>0</v>
      </c>
      <c r="O46" s="561">
        <v>0</v>
      </c>
      <c r="P46" s="561">
        <v>0</v>
      </c>
      <c r="Q46" s="561">
        <v>0</v>
      </c>
      <c r="R46" s="561">
        <v>0</v>
      </c>
      <c r="S46" s="561">
        <v>0</v>
      </c>
      <c r="T46" s="561">
        <v>455</v>
      </c>
      <c r="U46" s="561">
        <v>0</v>
      </c>
      <c r="V46" s="561">
        <v>11</v>
      </c>
      <c r="W46" s="561">
        <v>0</v>
      </c>
      <c r="X46" s="561">
        <v>0</v>
      </c>
      <c r="Y46" s="561">
        <v>0</v>
      </c>
      <c r="Z46" s="561">
        <v>0</v>
      </c>
      <c r="AA46" s="561">
        <v>-154</v>
      </c>
      <c r="AB46" s="561">
        <v>-153</v>
      </c>
      <c r="AC46" s="561">
        <v>0</v>
      </c>
      <c r="AD46" s="561">
        <v>0</v>
      </c>
      <c r="AE46" s="561">
        <v>0</v>
      </c>
      <c r="AF46" s="561">
        <v>0</v>
      </c>
      <c r="AG46" s="561">
        <v>0</v>
      </c>
      <c r="AH46" s="561">
        <v>0</v>
      </c>
      <c r="AI46" s="561">
        <v>0</v>
      </c>
      <c r="AJ46" s="561">
        <v>159</v>
      </c>
      <c r="AK46" s="561">
        <v>0</v>
      </c>
      <c r="AL46" s="561">
        <v>0</v>
      </c>
      <c r="AM46" s="561">
        <v>0</v>
      </c>
      <c r="AN46" s="561">
        <v>0</v>
      </c>
      <c r="AO46" s="561">
        <v>0</v>
      </c>
      <c r="AP46" s="561">
        <v>0</v>
      </c>
      <c r="AQ46" s="561">
        <v>0</v>
      </c>
      <c r="AR46" s="561">
        <v>595</v>
      </c>
      <c r="AS46" s="561">
        <v>154</v>
      </c>
      <c r="AT46" s="561">
        <v>0</v>
      </c>
      <c r="AU46" s="561">
        <v>0</v>
      </c>
      <c r="AV46" s="561">
        <v>0</v>
      </c>
      <c r="AW46" s="561">
        <v>0</v>
      </c>
      <c r="AX46" s="561">
        <v>0</v>
      </c>
      <c r="AY46" s="561">
        <v>0</v>
      </c>
      <c r="AZ46" s="561">
        <v>0</v>
      </c>
      <c r="BA46" s="561">
        <v>0</v>
      </c>
      <c r="BB46" s="561">
        <v>0</v>
      </c>
      <c r="BC46" s="561">
        <v>0</v>
      </c>
      <c r="BD46" s="561">
        <v>0</v>
      </c>
      <c r="BE46" s="561">
        <v>0</v>
      </c>
      <c r="BF46" s="561">
        <v>0</v>
      </c>
      <c r="BG46" s="561">
        <v>0</v>
      </c>
      <c r="BH46" s="561">
        <v>0</v>
      </c>
      <c r="BI46" s="561">
        <v>0</v>
      </c>
      <c r="BJ46" s="561">
        <v>0</v>
      </c>
      <c r="BK46" s="561">
        <v>0</v>
      </c>
      <c r="BL46" s="561">
        <v>0</v>
      </c>
      <c r="BM46" s="561">
        <v>0</v>
      </c>
      <c r="BN46" s="561">
        <v>0</v>
      </c>
      <c r="BO46" s="561">
        <v>0</v>
      </c>
      <c r="BP46" s="561">
        <v>0</v>
      </c>
      <c r="BQ46" s="561">
        <v>0</v>
      </c>
      <c r="BR46" s="561">
        <v>0</v>
      </c>
      <c r="BS46" s="561">
        <v>0</v>
      </c>
      <c r="BT46" s="561">
        <v>0</v>
      </c>
      <c r="BU46" s="561">
        <v>0</v>
      </c>
      <c r="BV46" s="561">
        <v>0</v>
      </c>
      <c r="BW46" s="561">
        <v>0</v>
      </c>
      <c r="BX46" s="561">
        <v>0</v>
      </c>
      <c r="BY46" s="561">
        <v>0</v>
      </c>
      <c r="BZ46" s="561">
        <v>0</v>
      </c>
      <c r="CA46" s="561">
        <v>0</v>
      </c>
      <c r="CB46" s="561">
        <v>0</v>
      </c>
      <c r="CC46" s="561">
        <v>0</v>
      </c>
      <c r="CD46" s="561">
        <v>0</v>
      </c>
      <c r="CE46" s="561">
        <v>0</v>
      </c>
      <c r="CF46" s="561">
        <v>0</v>
      </c>
      <c r="CG46" s="561">
        <v>0</v>
      </c>
      <c r="CH46" s="561">
        <v>0</v>
      </c>
      <c r="CI46" s="561">
        <v>0</v>
      </c>
      <c r="CJ46" s="561">
        <v>0</v>
      </c>
      <c r="CK46" s="561">
        <v>0</v>
      </c>
      <c r="CL46" s="561">
        <v>0</v>
      </c>
      <c r="CM46" s="561">
        <v>0</v>
      </c>
      <c r="CN46" s="561">
        <v>0</v>
      </c>
      <c r="CO46" s="561">
        <v>0</v>
      </c>
      <c r="CP46" s="561">
        <v>0</v>
      </c>
      <c r="CQ46" s="561">
        <v>0</v>
      </c>
      <c r="CR46" s="561">
        <v>0</v>
      </c>
      <c r="CS46" s="561">
        <v>0</v>
      </c>
      <c r="CT46" s="561">
        <v>0</v>
      </c>
      <c r="CU46" s="561">
        <v>0</v>
      </c>
      <c r="CV46" s="561">
        <v>0</v>
      </c>
      <c r="CW46" s="561">
        <v>0</v>
      </c>
      <c r="CX46" s="561">
        <v>0</v>
      </c>
      <c r="CY46" s="561">
        <v>0</v>
      </c>
      <c r="CZ46" s="561">
        <v>0</v>
      </c>
      <c r="DA46" s="561">
        <v>0</v>
      </c>
      <c r="DB46" s="561">
        <v>0</v>
      </c>
      <c r="DC46" s="561">
        <v>0</v>
      </c>
      <c r="DD46" s="561">
        <v>0</v>
      </c>
      <c r="DE46" s="561">
        <v>0</v>
      </c>
      <c r="DF46" s="561">
        <v>0</v>
      </c>
      <c r="DG46" s="561">
        <v>0</v>
      </c>
      <c r="DH46" s="561">
        <v>590</v>
      </c>
      <c r="DI46" s="561">
        <v>0</v>
      </c>
      <c r="DJ46" s="561">
        <v>0</v>
      </c>
      <c r="DK46" s="561">
        <v>0</v>
      </c>
      <c r="DL46" s="561">
        <v>272</v>
      </c>
      <c r="DM46" s="561">
        <v>0</v>
      </c>
      <c r="DN46" s="561">
        <v>0</v>
      </c>
      <c r="DO46" s="561">
        <v>0</v>
      </c>
      <c r="DP46" s="561">
        <v>0</v>
      </c>
      <c r="DQ46" s="561">
        <v>25</v>
      </c>
      <c r="DR46" s="561">
        <v>0</v>
      </c>
      <c r="DS46" s="561">
        <v>450</v>
      </c>
      <c r="DT46" s="561">
        <v>0</v>
      </c>
      <c r="DU46" s="561">
        <v>747</v>
      </c>
      <c r="DV46" s="561">
        <v>0</v>
      </c>
      <c r="DW46" s="561">
        <v>189</v>
      </c>
      <c r="DX46" s="561">
        <v>0</v>
      </c>
      <c r="DY46" s="561">
        <v>574</v>
      </c>
      <c r="DZ46" s="561">
        <v>0</v>
      </c>
      <c r="EA46" s="561">
        <v>0</v>
      </c>
      <c r="EB46" s="561">
        <v>0</v>
      </c>
      <c r="EC46" s="561">
        <v>2100</v>
      </c>
      <c r="ED46" s="561">
        <v>31</v>
      </c>
      <c r="EE46" s="561">
        <v>0</v>
      </c>
      <c r="EF46" s="561">
        <v>0</v>
      </c>
      <c r="EG46" s="561">
        <v>0</v>
      </c>
      <c r="EH46" s="561">
        <v>0</v>
      </c>
      <c r="EI46" s="561">
        <v>0</v>
      </c>
      <c r="EJ46" s="561">
        <v>0</v>
      </c>
      <c r="EK46" s="561">
        <v>0</v>
      </c>
      <c r="EL46" s="561">
        <v>0</v>
      </c>
      <c r="EM46" s="561">
        <v>0</v>
      </c>
      <c r="EN46" s="561">
        <v>0</v>
      </c>
      <c r="EO46" s="561">
        <v>0</v>
      </c>
      <c r="EP46" s="561">
        <v>0</v>
      </c>
      <c r="EQ46" s="561">
        <v>0</v>
      </c>
      <c r="ER46" s="561">
        <v>0</v>
      </c>
      <c r="ES46" s="561" t="s">
        <v>4565</v>
      </c>
      <c r="ET46" s="561">
        <v>0</v>
      </c>
      <c r="EU46" s="561">
        <v>0</v>
      </c>
      <c r="EV46" s="561">
        <v>0</v>
      </c>
      <c r="EW46" s="561">
        <v>0</v>
      </c>
      <c r="EX46" s="561">
        <v>0</v>
      </c>
      <c r="EY46" s="561">
        <v>0</v>
      </c>
      <c r="EZ46" s="561">
        <v>0</v>
      </c>
      <c r="FA46" s="561">
        <v>0</v>
      </c>
      <c r="FB46" s="561">
        <v>0</v>
      </c>
      <c r="FC46" s="561">
        <v>-22</v>
      </c>
      <c r="FD46" s="561">
        <v>0</v>
      </c>
      <c r="FE46" s="561">
        <v>0</v>
      </c>
      <c r="FF46" s="561">
        <v>0</v>
      </c>
      <c r="FG46" s="561">
        <v>0</v>
      </c>
      <c r="FH46" s="561">
        <v>0</v>
      </c>
      <c r="FI46" s="561">
        <v>175</v>
      </c>
      <c r="FJ46" s="561">
        <v>-171</v>
      </c>
      <c r="FK46" s="561">
        <v>361</v>
      </c>
      <c r="FL46" s="561">
        <v>0</v>
      </c>
      <c r="FM46" s="561">
        <v>0</v>
      </c>
      <c r="FN46" s="561">
        <v>19</v>
      </c>
      <c r="FO46" s="561">
        <v>362</v>
      </c>
      <c r="FP46" s="561">
        <v>45</v>
      </c>
      <c r="FQ46" s="561">
        <v>94</v>
      </c>
      <c r="FR46" s="561">
        <v>0</v>
      </c>
      <c r="FS46" s="561">
        <v>0</v>
      </c>
      <c r="FT46" s="561">
        <v>0</v>
      </c>
      <c r="FU46" s="561">
        <v>0</v>
      </c>
      <c r="FV46" s="561">
        <v>0</v>
      </c>
      <c r="FW46" s="561">
        <v>-181</v>
      </c>
      <c r="FX46" s="561">
        <v>0</v>
      </c>
      <c r="FY46" s="561">
        <v>0</v>
      </c>
      <c r="FZ46" s="561">
        <v>0</v>
      </c>
      <c r="GA46" s="561">
        <v>157</v>
      </c>
      <c r="GB46" s="561">
        <v>0</v>
      </c>
      <c r="GC46" s="561">
        <v>-175</v>
      </c>
      <c r="GD46" s="561">
        <v>0</v>
      </c>
      <c r="GE46" s="561">
        <v>0</v>
      </c>
      <c r="GF46" s="561">
        <v>621</v>
      </c>
      <c r="GG46" s="561">
        <v>0</v>
      </c>
      <c r="GH46" s="561">
        <v>0</v>
      </c>
      <c r="GI46" s="561">
        <v>0</v>
      </c>
      <c r="GJ46" s="561">
        <v>0</v>
      </c>
      <c r="GK46" s="561">
        <v>0</v>
      </c>
      <c r="GL46" s="561">
        <v>150</v>
      </c>
      <c r="GM46" s="561">
        <v>4385</v>
      </c>
      <c r="GN46" s="561">
        <v>0</v>
      </c>
      <c r="GO46" s="561">
        <v>69</v>
      </c>
      <c r="GP46" s="561">
        <v>0</v>
      </c>
      <c r="GQ46" s="561">
        <v>0</v>
      </c>
      <c r="GR46" s="561">
        <v>5</v>
      </c>
      <c r="GS46" s="561">
        <v>5125</v>
      </c>
      <c r="GT46" s="561">
        <v>620</v>
      </c>
      <c r="GU46" s="561">
        <v>0</v>
      </c>
      <c r="GV46" s="561">
        <v>0</v>
      </c>
      <c r="GW46" s="561">
        <v>0</v>
      </c>
      <c r="GX46" s="561">
        <v>286</v>
      </c>
      <c r="GY46" s="561">
        <v>0</v>
      </c>
      <c r="GZ46" s="561">
        <v>901</v>
      </c>
      <c r="HA46" s="561">
        <v>0</v>
      </c>
      <c r="HB46" s="561">
        <v>0</v>
      </c>
      <c r="HC46" s="561">
        <v>0</v>
      </c>
      <c r="HD46" s="561">
        <v>1187</v>
      </c>
      <c r="HE46" s="561">
        <v>192</v>
      </c>
      <c r="HF46" s="561">
        <v>6674</v>
      </c>
      <c r="HG46" s="561">
        <v>0</v>
      </c>
      <c r="HH46" s="561">
        <v>0</v>
      </c>
      <c r="HI46" s="561">
        <v>0</v>
      </c>
      <c r="HJ46" s="561">
        <v>0</v>
      </c>
      <c r="HK46" s="561">
        <v>0</v>
      </c>
      <c r="HL46" s="561">
        <v>0</v>
      </c>
      <c r="HM46" s="561">
        <v>0</v>
      </c>
      <c r="HN46" s="561">
        <v>0</v>
      </c>
      <c r="HO46" s="561">
        <v>794</v>
      </c>
      <c r="HP46" s="561">
        <v>396</v>
      </c>
      <c r="HQ46" s="561">
        <v>0</v>
      </c>
      <c r="HR46" s="561">
        <v>0</v>
      </c>
      <c r="HS46" s="561">
        <v>0</v>
      </c>
      <c r="HT46" s="561">
        <v>82</v>
      </c>
      <c r="HU46" s="561">
        <v>0</v>
      </c>
      <c r="HV46" s="561">
        <v>0</v>
      </c>
      <c r="HW46" s="561">
        <v>0</v>
      </c>
      <c r="HX46" s="561">
        <v>0</v>
      </c>
      <c r="HY46" s="561">
        <v>17</v>
      </c>
      <c r="HZ46" s="561">
        <v>0</v>
      </c>
      <c r="IA46" s="561">
        <v>32</v>
      </c>
      <c r="IB46" s="561">
        <v>13</v>
      </c>
      <c r="IC46" s="561">
        <v>0</v>
      </c>
      <c r="ID46" s="561">
        <v>0</v>
      </c>
      <c r="IE46" s="561">
        <v>0</v>
      </c>
      <c r="IF46" s="561">
        <v>0</v>
      </c>
      <c r="IG46" s="561">
        <v>0</v>
      </c>
      <c r="IH46" s="561">
        <v>1786</v>
      </c>
      <c r="II46" s="561">
        <v>3120</v>
      </c>
      <c r="IJ46" s="561">
        <v>58</v>
      </c>
      <c r="IK46" s="561">
        <v>0</v>
      </c>
      <c r="IL46" s="561">
        <v>0</v>
      </c>
      <c r="IM46" s="561">
        <v>0</v>
      </c>
      <c r="IN46" s="561">
        <v>0</v>
      </c>
      <c r="IO46" s="561">
        <v>2100</v>
      </c>
      <c r="IP46" s="561">
        <v>0</v>
      </c>
      <c r="IQ46" s="561">
        <v>0</v>
      </c>
      <c r="IR46" s="561">
        <v>0</v>
      </c>
      <c r="IS46" s="561">
        <v>159</v>
      </c>
      <c r="IT46" s="561">
        <v>0</v>
      </c>
      <c r="IU46" s="561">
        <v>0</v>
      </c>
      <c r="IV46" s="561">
        <v>0</v>
      </c>
      <c r="IW46" s="561">
        <v>2100</v>
      </c>
      <c r="IX46" s="561">
        <v>362</v>
      </c>
      <c r="IY46" s="561">
        <v>5125</v>
      </c>
      <c r="IZ46" s="561">
        <v>1187</v>
      </c>
      <c r="JA46" s="561">
        <v>0</v>
      </c>
      <c r="JB46" s="561">
        <v>0</v>
      </c>
      <c r="JC46" s="561">
        <v>3120</v>
      </c>
      <c r="JD46" s="561">
        <v>0</v>
      </c>
      <c r="JE46" s="561">
        <v>12053</v>
      </c>
      <c r="JF46" s="561">
        <v>10195</v>
      </c>
      <c r="JG46" s="561">
        <v>0</v>
      </c>
      <c r="JH46" s="561">
        <v>0</v>
      </c>
      <c r="JI46" s="561">
        <v>0</v>
      </c>
      <c r="JJ46" s="561">
        <v>0</v>
      </c>
      <c r="JK46" s="561">
        <v>1224</v>
      </c>
      <c r="JL46" s="561">
        <v>0</v>
      </c>
      <c r="JM46" s="561">
        <v>0</v>
      </c>
      <c r="JN46" s="561">
        <v>0</v>
      </c>
      <c r="JO46" s="561">
        <v>0</v>
      </c>
      <c r="JP46" s="561">
        <v>0</v>
      </c>
      <c r="JQ46" s="561">
        <v>766</v>
      </c>
      <c r="JR46" s="561">
        <v>0</v>
      </c>
      <c r="JS46" s="561">
        <v>0</v>
      </c>
      <c r="JT46" s="561">
        <v>0</v>
      </c>
      <c r="JU46" s="561">
        <v>0</v>
      </c>
      <c r="JV46" s="561">
        <v>24238</v>
      </c>
      <c r="JW46" s="561">
        <v>0</v>
      </c>
      <c r="JX46" s="561">
        <v>0</v>
      </c>
      <c r="JY46" s="561">
        <v>0</v>
      </c>
      <c r="JZ46" s="561">
        <v>0</v>
      </c>
      <c r="KA46" s="561">
        <v>0</v>
      </c>
      <c r="KB46" s="561">
        <v>0</v>
      </c>
      <c r="KC46" s="561">
        <v>0</v>
      </c>
      <c r="KD46" s="561">
        <v>0</v>
      </c>
      <c r="KE46" s="561">
        <v>0</v>
      </c>
      <c r="KF46" s="561">
        <v>0</v>
      </c>
      <c r="KG46" s="561">
        <v>24238</v>
      </c>
      <c r="KH46" s="561">
        <v>-339</v>
      </c>
      <c r="KI46" s="561">
        <v>0</v>
      </c>
      <c r="KJ46" s="561">
        <v>0</v>
      </c>
      <c r="KK46" s="561">
        <v>0</v>
      </c>
      <c r="KL46" s="561">
        <v>-10682</v>
      </c>
      <c r="KM46" s="561">
        <v>0</v>
      </c>
      <c r="KN46" s="561">
        <v>0</v>
      </c>
      <c r="KO46" s="561">
        <v>0</v>
      </c>
      <c r="KP46" s="561">
        <v>0</v>
      </c>
      <c r="KQ46" s="561">
        <v>0</v>
      </c>
      <c r="KR46" s="561">
        <v>13217</v>
      </c>
      <c r="KS46" s="561">
        <v>0</v>
      </c>
      <c r="KT46" s="561">
        <v>-2256</v>
      </c>
      <c r="KU46" s="561">
        <v>10961</v>
      </c>
      <c r="KV46" s="561">
        <v>0</v>
      </c>
      <c r="KW46" s="561">
        <v>0</v>
      </c>
      <c r="KX46" s="561">
        <v>0</v>
      </c>
      <c r="KY46" s="561">
        <v>0</v>
      </c>
      <c r="KZ46" s="561">
        <v>252</v>
      </c>
      <c r="LA46" s="561">
        <v>0</v>
      </c>
      <c r="LB46" s="561">
        <v>-101</v>
      </c>
      <c r="LC46" s="561">
        <v>0</v>
      </c>
      <c r="LD46" s="561">
        <v>-437</v>
      </c>
      <c r="LE46" s="561">
        <v>48</v>
      </c>
      <c r="LF46" s="561">
        <v>0</v>
      </c>
      <c r="LG46" s="561">
        <v>10723</v>
      </c>
      <c r="LH46" s="561">
        <v>0</v>
      </c>
      <c r="LI46" s="561">
        <v>0</v>
      </c>
      <c r="LJ46" s="561">
        <v>0</v>
      </c>
      <c r="LK46" s="561">
        <v>0</v>
      </c>
      <c r="LL46" s="561">
        <v>11014</v>
      </c>
      <c r="LM46" s="561">
        <v>0</v>
      </c>
      <c r="LN46" s="561">
        <v>0</v>
      </c>
      <c r="LO46" s="561">
        <v>0</v>
      </c>
      <c r="LP46" s="561">
        <v>0</v>
      </c>
      <c r="LQ46" s="561">
        <v>0</v>
      </c>
      <c r="LR46" s="561">
        <v>11266</v>
      </c>
      <c r="LS46" s="561">
        <v>0</v>
      </c>
      <c r="LT46" s="561">
        <v>0</v>
      </c>
      <c r="LU46" s="561">
        <v>2085</v>
      </c>
      <c r="LV46" s="561">
        <v>0</v>
      </c>
      <c r="LW46" s="561">
        <v>0</v>
      </c>
      <c r="LX46" s="561">
        <v>0</v>
      </c>
      <c r="LY46" s="561">
        <v>0</v>
      </c>
      <c r="LZ46" s="561">
        <v>2085</v>
      </c>
      <c r="MA46" s="561">
        <v>0</v>
      </c>
      <c r="MB46" s="561">
        <v>0</v>
      </c>
      <c r="MC46" s="561">
        <v>0</v>
      </c>
      <c r="MD46" s="561">
        <v>0</v>
      </c>
      <c r="ME46" s="561">
        <v>0</v>
      </c>
      <c r="MF46" s="561">
        <v>0</v>
      </c>
      <c r="MG46" s="561">
        <v>0</v>
      </c>
      <c r="MH46" s="561">
        <v>2209</v>
      </c>
      <c r="MI46" s="561">
        <v>3060</v>
      </c>
      <c r="MJ46" s="561">
        <v>5269</v>
      </c>
      <c r="MK46" s="561">
        <v>0</v>
      </c>
      <c r="ML46" s="561">
        <v>11266</v>
      </c>
      <c r="MM46" s="561">
        <v>0</v>
      </c>
      <c r="MN46" s="561">
        <v>0</v>
      </c>
      <c r="MO46" s="561">
        <v>0</v>
      </c>
      <c r="MP46" s="561">
        <v>0</v>
      </c>
      <c r="MQ46" s="561">
        <v>0</v>
      </c>
      <c r="MR46" s="561">
        <v>159</v>
      </c>
      <c r="MS46" s="561">
        <v>0</v>
      </c>
      <c r="MT46" s="561">
        <v>0</v>
      </c>
      <c r="MU46" s="561">
        <v>0</v>
      </c>
      <c r="MV46" s="561">
        <v>2100</v>
      </c>
      <c r="MW46" s="561">
        <v>362</v>
      </c>
      <c r="MX46" s="561">
        <v>5125</v>
      </c>
      <c r="MY46" s="561">
        <v>1187</v>
      </c>
      <c r="MZ46" s="561">
        <v>0</v>
      </c>
      <c r="NA46" s="561">
        <v>0</v>
      </c>
      <c r="NB46" s="561">
        <v>3120</v>
      </c>
      <c r="NC46" s="561">
        <v>0</v>
      </c>
      <c r="ND46" s="561">
        <v>12053</v>
      </c>
      <c r="NE46" s="561">
        <v>0</v>
      </c>
      <c r="NF46" s="561">
        <v>0</v>
      </c>
      <c r="NG46" s="561">
        <v>0</v>
      </c>
      <c r="NH46" s="561">
        <v>0</v>
      </c>
      <c r="NI46" s="561">
        <v>0</v>
      </c>
      <c r="NJ46" s="561">
        <v>0</v>
      </c>
      <c r="NK46" s="561">
        <v>0</v>
      </c>
      <c r="NL46" s="561">
        <v>0</v>
      </c>
      <c r="NM46" s="561">
        <v>0</v>
      </c>
      <c r="NN46" s="561">
        <v>0</v>
      </c>
      <c r="NO46" s="561">
        <v>0</v>
      </c>
      <c r="NP46" s="561">
        <v>0</v>
      </c>
      <c r="NQ46" s="561">
        <v>0</v>
      </c>
      <c r="NR46" s="561">
        <v>0</v>
      </c>
      <c r="NS46" s="561">
        <v>0</v>
      </c>
      <c r="NT46" s="561">
        <v>0</v>
      </c>
      <c r="NU46" s="561">
        <v>0</v>
      </c>
      <c r="NV46" s="561">
        <v>0</v>
      </c>
      <c r="NW46" s="561">
        <v>0</v>
      </c>
      <c r="NX46" s="561">
        <v>0</v>
      </c>
      <c r="NY46" s="561">
        <v>0</v>
      </c>
      <c r="NZ46" s="561">
        <v>0</v>
      </c>
      <c r="OA46" s="561">
        <v>0</v>
      </c>
      <c r="OB46" s="561">
        <v>0</v>
      </c>
      <c r="OC46" s="561">
        <v>0</v>
      </c>
      <c r="OD46" s="561">
        <v>0</v>
      </c>
      <c r="OE46" s="561">
        <v>0</v>
      </c>
      <c r="OF46" s="561">
        <v>0</v>
      </c>
      <c r="OG46" s="561">
        <v>0</v>
      </c>
      <c r="OH46" s="561">
        <v>0</v>
      </c>
      <c r="OI46" s="561">
        <v>0</v>
      </c>
      <c r="OJ46" s="561">
        <v>0</v>
      </c>
      <c r="OK46" s="561">
        <v>0</v>
      </c>
      <c r="OL46" s="561">
        <v>0</v>
      </c>
      <c r="OM46" s="561">
        <v>0</v>
      </c>
      <c r="ON46" s="561">
        <v>0</v>
      </c>
      <c r="OO46" s="561">
        <v>0</v>
      </c>
      <c r="OP46" s="561">
        <v>0</v>
      </c>
      <c r="OQ46" s="561">
        <v>0</v>
      </c>
      <c r="OR46" s="561">
        <v>0</v>
      </c>
      <c r="OS46" s="561">
        <v>0</v>
      </c>
      <c r="OT46" s="561">
        <v>0</v>
      </c>
      <c r="OU46" s="561">
        <v>0</v>
      </c>
      <c r="OV46" s="561">
        <v>-10</v>
      </c>
      <c r="OW46" s="561">
        <v>0</v>
      </c>
      <c r="OX46" s="561">
        <v>766</v>
      </c>
      <c r="OY46" s="561">
        <v>0</v>
      </c>
      <c r="OZ46" s="561">
        <v>0</v>
      </c>
      <c r="PA46" s="561">
        <v>0</v>
      </c>
      <c r="PB46" s="561">
        <v>0</v>
      </c>
      <c r="PC46" s="561">
        <v>0</v>
      </c>
      <c r="PD46" s="561">
        <v>0</v>
      </c>
      <c r="PE46" s="561">
        <v>0</v>
      </c>
      <c r="PF46" s="561">
        <v>0</v>
      </c>
      <c r="PG46" s="561">
        <v>0</v>
      </c>
      <c r="PH46" s="561">
        <v>0</v>
      </c>
      <c r="PI46" s="561">
        <v>0</v>
      </c>
      <c r="PJ46" s="561">
        <v>0</v>
      </c>
    </row>
    <row r="47" spans="1:426" ht="14" x14ac:dyDescent="0.3">
      <c r="A47" t="s">
        <v>2568</v>
      </c>
      <c r="B47" t="s">
        <v>2569</v>
      </c>
      <c r="C47" t="s">
        <v>2570</v>
      </c>
      <c r="E47" t="s">
        <v>384</v>
      </c>
      <c r="F47" s="561">
        <v>0</v>
      </c>
      <c r="G47" s="561">
        <v>0</v>
      </c>
      <c r="H47" s="561">
        <v>0</v>
      </c>
      <c r="I47" s="561">
        <v>0</v>
      </c>
      <c r="J47" s="561">
        <v>0</v>
      </c>
      <c r="K47" s="561">
        <v>0</v>
      </c>
      <c r="L47" s="561">
        <v>0</v>
      </c>
      <c r="M47" s="561">
        <v>0</v>
      </c>
      <c r="N47" s="561">
        <v>10</v>
      </c>
      <c r="O47" s="561">
        <v>0</v>
      </c>
      <c r="P47" s="561">
        <v>0</v>
      </c>
      <c r="Q47" s="561">
        <v>0</v>
      </c>
      <c r="R47" s="561">
        <v>0</v>
      </c>
      <c r="S47" s="561">
        <v>0</v>
      </c>
      <c r="T47" s="561">
        <v>2455</v>
      </c>
      <c r="U47" s="561">
        <v>0</v>
      </c>
      <c r="V47" s="561">
        <v>38</v>
      </c>
      <c r="W47" s="561">
        <v>0</v>
      </c>
      <c r="X47" s="561">
        <v>0</v>
      </c>
      <c r="Y47" s="561">
        <v>0</v>
      </c>
      <c r="Z47" s="561">
        <v>0</v>
      </c>
      <c r="AA47" s="561">
        <v>644</v>
      </c>
      <c r="AB47" s="561">
        <v>-708</v>
      </c>
      <c r="AC47" s="561">
        <v>0</v>
      </c>
      <c r="AD47" s="561">
        <v>0</v>
      </c>
      <c r="AE47" s="561">
        <v>0</v>
      </c>
      <c r="AF47" s="561">
        <v>0</v>
      </c>
      <c r="AG47" s="561">
        <v>0</v>
      </c>
      <c r="AH47" s="561">
        <v>0</v>
      </c>
      <c r="AI47" s="561">
        <v>0</v>
      </c>
      <c r="AJ47" s="561">
        <v>2439</v>
      </c>
      <c r="AK47" s="561">
        <v>53</v>
      </c>
      <c r="AL47" s="561">
        <v>0</v>
      </c>
      <c r="AM47" s="561">
        <v>0</v>
      </c>
      <c r="AN47" s="561">
        <v>0</v>
      </c>
      <c r="AO47" s="561">
        <v>0</v>
      </c>
      <c r="AP47" s="561">
        <v>0</v>
      </c>
      <c r="AQ47" s="561">
        <v>0</v>
      </c>
      <c r="AR47" s="561">
        <v>0</v>
      </c>
      <c r="AS47" s="561">
        <v>51</v>
      </c>
      <c r="AT47" s="561">
        <v>586</v>
      </c>
      <c r="AU47" s="561">
        <v>0</v>
      </c>
      <c r="AV47" s="561">
        <v>0</v>
      </c>
      <c r="AW47" s="561">
        <v>0</v>
      </c>
      <c r="AX47" s="561">
        <v>0</v>
      </c>
      <c r="AY47" s="561">
        <v>0</v>
      </c>
      <c r="AZ47" s="561">
        <v>0</v>
      </c>
      <c r="BA47" s="561">
        <v>0</v>
      </c>
      <c r="BB47" s="561">
        <v>0</v>
      </c>
      <c r="BC47" s="561">
        <v>0</v>
      </c>
      <c r="BD47" s="561">
        <v>0</v>
      </c>
      <c r="BE47" s="561">
        <v>0</v>
      </c>
      <c r="BF47" s="561">
        <v>0</v>
      </c>
      <c r="BG47" s="561">
        <v>0</v>
      </c>
      <c r="BH47" s="561">
        <v>0</v>
      </c>
      <c r="BI47" s="561">
        <v>0</v>
      </c>
      <c r="BJ47" s="561">
        <v>0</v>
      </c>
      <c r="BK47" s="561">
        <v>0</v>
      </c>
      <c r="BL47" s="561">
        <v>0</v>
      </c>
      <c r="BM47" s="561">
        <v>0</v>
      </c>
      <c r="BN47" s="561">
        <v>0</v>
      </c>
      <c r="BO47" s="561">
        <v>0</v>
      </c>
      <c r="BP47" s="561">
        <v>0</v>
      </c>
      <c r="BQ47" s="561">
        <v>0</v>
      </c>
      <c r="BR47" s="561">
        <v>0</v>
      </c>
      <c r="BS47" s="561">
        <v>0</v>
      </c>
      <c r="BT47" s="561">
        <v>0</v>
      </c>
      <c r="BU47" s="561">
        <v>0</v>
      </c>
      <c r="BV47" s="561">
        <v>0</v>
      </c>
      <c r="BW47" s="561">
        <v>0</v>
      </c>
      <c r="BX47" s="561">
        <v>0</v>
      </c>
      <c r="BY47" s="561">
        <v>0</v>
      </c>
      <c r="BZ47" s="561">
        <v>0</v>
      </c>
      <c r="CA47" s="561">
        <v>0</v>
      </c>
      <c r="CB47" s="561">
        <v>0</v>
      </c>
      <c r="CC47" s="561">
        <v>0</v>
      </c>
      <c r="CD47" s="561">
        <v>0</v>
      </c>
      <c r="CE47" s="561">
        <v>0</v>
      </c>
      <c r="CF47" s="561">
        <v>0</v>
      </c>
      <c r="CG47" s="561">
        <v>0</v>
      </c>
      <c r="CH47" s="561">
        <v>0</v>
      </c>
      <c r="CI47" s="561">
        <v>30</v>
      </c>
      <c r="CJ47" s="561">
        <v>0</v>
      </c>
      <c r="CK47" s="561">
        <v>0</v>
      </c>
      <c r="CL47" s="561">
        <v>0</v>
      </c>
      <c r="CM47" s="561">
        <v>0</v>
      </c>
      <c r="CN47" s="561">
        <v>0</v>
      </c>
      <c r="CO47" s="561">
        <v>0</v>
      </c>
      <c r="CP47" s="561">
        <v>0</v>
      </c>
      <c r="CQ47" s="561">
        <v>0</v>
      </c>
      <c r="CR47" s="561">
        <v>0</v>
      </c>
      <c r="CS47" s="561">
        <v>0</v>
      </c>
      <c r="CT47" s="561">
        <v>0</v>
      </c>
      <c r="CU47" s="561">
        <v>0</v>
      </c>
      <c r="CV47" s="561">
        <v>0</v>
      </c>
      <c r="CW47" s="561">
        <v>0</v>
      </c>
      <c r="CX47" s="561">
        <v>0</v>
      </c>
      <c r="CY47" s="561">
        <v>0</v>
      </c>
      <c r="CZ47" s="561">
        <v>30</v>
      </c>
      <c r="DA47" s="561">
        <v>0</v>
      </c>
      <c r="DB47" s="561">
        <v>0</v>
      </c>
      <c r="DC47" s="561">
        <v>0</v>
      </c>
      <c r="DD47" s="561">
        <v>0</v>
      </c>
      <c r="DE47" s="561">
        <v>0</v>
      </c>
      <c r="DF47" s="561">
        <v>0</v>
      </c>
      <c r="DG47" s="561">
        <v>0</v>
      </c>
      <c r="DH47" s="561">
        <v>1208</v>
      </c>
      <c r="DI47" s="561">
        <v>0</v>
      </c>
      <c r="DJ47" s="561">
        <v>0</v>
      </c>
      <c r="DK47" s="561">
        <v>0</v>
      </c>
      <c r="DL47" s="561">
        <v>-52</v>
      </c>
      <c r="DM47" s="561">
        <v>0</v>
      </c>
      <c r="DN47" s="561">
        <v>-255</v>
      </c>
      <c r="DO47" s="561">
        <v>0</v>
      </c>
      <c r="DP47" s="561">
        <v>0</v>
      </c>
      <c r="DQ47" s="561">
        <v>2</v>
      </c>
      <c r="DR47" s="561">
        <v>0</v>
      </c>
      <c r="DS47" s="561">
        <v>0</v>
      </c>
      <c r="DT47" s="561">
        <v>89</v>
      </c>
      <c r="DU47" s="561">
        <v>-216</v>
      </c>
      <c r="DV47" s="561">
        <v>1538</v>
      </c>
      <c r="DW47" s="561">
        <v>0</v>
      </c>
      <c r="DX47" s="561">
        <v>262</v>
      </c>
      <c r="DY47" s="561">
        <v>458</v>
      </c>
      <c r="DZ47" s="561">
        <v>0</v>
      </c>
      <c r="EA47" s="561">
        <v>0</v>
      </c>
      <c r="EB47" s="561">
        <v>0</v>
      </c>
      <c r="EC47" s="561">
        <v>3250</v>
      </c>
      <c r="ED47" s="561">
        <v>116</v>
      </c>
      <c r="EE47" s="561">
        <v>0</v>
      </c>
      <c r="EF47" s="561">
        <v>0</v>
      </c>
      <c r="EG47" s="561">
        <v>0</v>
      </c>
      <c r="EH47" s="561">
        <v>0</v>
      </c>
      <c r="EI47" s="561">
        <v>0</v>
      </c>
      <c r="EJ47" s="561">
        <v>0</v>
      </c>
      <c r="EK47" s="561">
        <v>0</v>
      </c>
      <c r="EL47" s="561">
        <v>0</v>
      </c>
      <c r="EM47" s="561">
        <v>0</v>
      </c>
      <c r="EN47" s="561">
        <v>0</v>
      </c>
      <c r="EO47" s="561">
        <v>0</v>
      </c>
      <c r="EP47" s="561">
        <v>0</v>
      </c>
      <c r="EQ47" s="561">
        <v>0</v>
      </c>
      <c r="ER47" s="561">
        <v>0</v>
      </c>
      <c r="ES47" s="561" t="s">
        <v>4565</v>
      </c>
      <c r="ET47" s="561">
        <v>0</v>
      </c>
      <c r="EU47" s="561">
        <v>0</v>
      </c>
      <c r="EV47" s="561">
        <v>0</v>
      </c>
      <c r="EW47" s="561">
        <v>0</v>
      </c>
      <c r="EX47" s="561">
        <v>0</v>
      </c>
      <c r="EY47" s="561">
        <v>0</v>
      </c>
      <c r="EZ47" s="561">
        <v>0</v>
      </c>
      <c r="FA47" s="561">
        <v>0</v>
      </c>
      <c r="FB47" s="561">
        <v>0</v>
      </c>
      <c r="FC47" s="561">
        <v>0</v>
      </c>
      <c r="FD47" s="561">
        <v>0</v>
      </c>
      <c r="FE47" s="561">
        <v>98</v>
      </c>
      <c r="FF47" s="561">
        <v>116</v>
      </c>
      <c r="FG47" s="561">
        <v>0</v>
      </c>
      <c r="FH47" s="561">
        <v>0</v>
      </c>
      <c r="FI47" s="561">
        <v>698</v>
      </c>
      <c r="FJ47" s="561">
        <v>383</v>
      </c>
      <c r="FK47" s="561">
        <v>1271</v>
      </c>
      <c r="FL47" s="561">
        <v>0</v>
      </c>
      <c r="FM47" s="561">
        <v>0</v>
      </c>
      <c r="FN47" s="561">
        <v>0</v>
      </c>
      <c r="FO47" s="561">
        <v>2566</v>
      </c>
      <c r="FP47" s="561">
        <v>0</v>
      </c>
      <c r="FQ47" s="561">
        <v>186</v>
      </c>
      <c r="FR47" s="561">
        <v>0</v>
      </c>
      <c r="FS47" s="561">
        <v>0</v>
      </c>
      <c r="FT47" s="561">
        <v>41</v>
      </c>
      <c r="FU47" s="561">
        <v>428</v>
      </c>
      <c r="FV47" s="561">
        <v>127</v>
      </c>
      <c r="FW47" s="561">
        <v>41</v>
      </c>
      <c r="FX47" s="561">
        <v>0</v>
      </c>
      <c r="FY47" s="561">
        <v>0</v>
      </c>
      <c r="FZ47" s="561">
        <v>0</v>
      </c>
      <c r="GA47" s="561">
        <v>0</v>
      </c>
      <c r="GB47" s="561">
        <v>-3</v>
      </c>
      <c r="GC47" s="561">
        <v>34</v>
      </c>
      <c r="GD47" s="561">
        <v>247</v>
      </c>
      <c r="GE47" s="561">
        <v>0</v>
      </c>
      <c r="GF47" s="561">
        <v>0</v>
      </c>
      <c r="GG47" s="561">
        <v>0</v>
      </c>
      <c r="GH47" s="561">
        <v>0</v>
      </c>
      <c r="GI47" s="561">
        <v>0</v>
      </c>
      <c r="GJ47" s="561">
        <v>0</v>
      </c>
      <c r="GK47" s="561">
        <v>0</v>
      </c>
      <c r="GL47" s="561">
        <v>81</v>
      </c>
      <c r="GM47" s="561">
        <v>874</v>
      </c>
      <c r="GN47" s="561">
        <v>0</v>
      </c>
      <c r="GO47" s="561">
        <v>-466</v>
      </c>
      <c r="GP47" s="561">
        <v>802</v>
      </c>
      <c r="GQ47" s="561">
        <v>0</v>
      </c>
      <c r="GR47" s="561">
        <v>0</v>
      </c>
      <c r="GS47" s="561">
        <v>2392</v>
      </c>
      <c r="GT47" s="561">
        <v>0</v>
      </c>
      <c r="GU47" s="561">
        <v>20</v>
      </c>
      <c r="GV47" s="561">
        <v>727</v>
      </c>
      <c r="GW47" s="561">
        <v>0</v>
      </c>
      <c r="GX47" s="561">
        <v>446</v>
      </c>
      <c r="GY47" s="561">
        <v>29</v>
      </c>
      <c r="GZ47" s="561">
        <v>963</v>
      </c>
      <c r="HA47" s="561">
        <v>0</v>
      </c>
      <c r="HB47" s="561">
        <v>484</v>
      </c>
      <c r="HC47" s="561">
        <v>80</v>
      </c>
      <c r="HD47" s="561">
        <v>2749</v>
      </c>
      <c r="HE47" s="561">
        <v>154</v>
      </c>
      <c r="HF47" s="561">
        <v>7707</v>
      </c>
      <c r="HG47" s="561">
        <v>154</v>
      </c>
      <c r="HH47" s="561">
        <v>0</v>
      </c>
      <c r="HI47" s="561">
        <v>0</v>
      </c>
      <c r="HJ47" s="561">
        <v>0</v>
      </c>
      <c r="HK47" s="561">
        <v>0</v>
      </c>
      <c r="HL47" s="561">
        <v>0</v>
      </c>
      <c r="HM47" s="561">
        <v>0</v>
      </c>
      <c r="HN47" s="561">
        <v>0</v>
      </c>
      <c r="HO47" s="561">
        <v>2534</v>
      </c>
      <c r="HP47" s="561">
        <v>850</v>
      </c>
      <c r="HQ47" s="561">
        <v>0</v>
      </c>
      <c r="HR47" s="561">
        <v>0</v>
      </c>
      <c r="HS47" s="561">
        <v>560</v>
      </c>
      <c r="HT47" s="561">
        <v>188</v>
      </c>
      <c r="HU47" s="561">
        <v>0</v>
      </c>
      <c r="HV47" s="561">
        <v>0</v>
      </c>
      <c r="HW47" s="561">
        <v>174</v>
      </c>
      <c r="HX47" s="561">
        <v>156</v>
      </c>
      <c r="HY47" s="561">
        <v>11</v>
      </c>
      <c r="HZ47" s="561">
        <v>30</v>
      </c>
      <c r="IA47" s="561">
        <v>0</v>
      </c>
      <c r="IB47" s="561">
        <v>21</v>
      </c>
      <c r="IC47" s="561">
        <v>0</v>
      </c>
      <c r="ID47" s="561">
        <v>0</v>
      </c>
      <c r="IE47" s="561">
        <v>0</v>
      </c>
      <c r="IF47" s="561">
        <v>0</v>
      </c>
      <c r="IG47" s="561">
        <v>0</v>
      </c>
      <c r="IH47" s="561">
        <v>19</v>
      </c>
      <c r="II47" s="561">
        <v>4543</v>
      </c>
      <c r="IJ47" s="561">
        <v>65</v>
      </c>
      <c r="IK47" s="561">
        <v>991</v>
      </c>
      <c r="IL47" s="561">
        <v>11371</v>
      </c>
      <c r="IM47" s="561">
        <v>0</v>
      </c>
      <c r="IN47" s="561">
        <v>1393</v>
      </c>
      <c r="IO47" s="561">
        <v>-2408</v>
      </c>
      <c r="IP47" s="561">
        <v>0</v>
      </c>
      <c r="IQ47" s="561">
        <v>65</v>
      </c>
      <c r="IR47" s="561">
        <v>0</v>
      </c>
      <c r="IS47" s="561">
        <v>2439</v>
      </c>
      <c r="IT47" s="561">
        <v>0</v>
      </c>
      <c r="IU47" s="561">
        <v>0</v>
      </c>
      <c r="IV47" s="561">
        <v>30</v>
      </c>
      <c r="IW47" s="561">
        <v>3250</v>
      </c>
      <c r="IX47" s="561">
        <v>2566</v>
      </c>
      <c r="IY47" s="561">
        <v>2392</v>
      </c>
      <c r="IZ47" s="561">
        <v>2749</v>
      </c>
      <c r="JA47" s="561">
        <v>0</v>
      </c>
      <c r="JB47" s="561">
        <v>0</v>
      </c>
      <c r="JC47" s="561">
        <v>4543</v>
      </c>
      <c r="JD47" s="561">
        <v>0</v>
      </c>
      <c r="JE47" s="561">
        <v>17969</v>
      </c>
      <c r="JF47" s="561">
        <v>16347</v>
      </c>
      <c r="JG47" s="561">
        <v>2111</v>
      </c>
      <c r="JH47" s="561">
        <v>0</v>
      </c>
      <c r="JI47" s="561">
        <v>0</v>
      </c>
      <c r="JJ47" s="561">
        <v>0</v>
      </c>
      <c r="JK47" s="561">
        <v>0</v>
      </c>
      <c r="JL47" s="561">
        <v>0</v>
      </c>
      <c r="JM47" s="561">
        <v>0</v>
      </c>
      <c r="JN47" s="561">
        <v>0</v>
      </c>
      <c r="JO47" s="561">
        <v>0</v>
      </c>
      <c r="JP47" s="561">
        <v>-5880</v>
      </c>
      <c r="JQ47" s="561">
        <v>1</v>
      </c>
      <c r="JR47" s="561">
        <v>-446</v>
      </c>
      <c r="JS47" s="561">
        <v>0</v>
      </c>
      <c r="JT47" s="561">
        <v>-44</v>
      </c>
      <c r="JU47" s="561">
        <v>0</v>
      </c>
      <c r="JV47" s="561">
        <v>30058</v>
      </c>
      <c r="JW47" s="561">
        <v>0</v>
      </c>
      <c r="JX47" s="561">
        <v>1555</v>
      </c>
      <c r="JY47" s="561">
        <v>0</v>
      </c>
      <c r="JZ47" s="561">
        <v>0</v>
      </c>
      <c r="KA47" s="561">
        <v>0</v>
      </c>
      <c r="KB47" s="561">
        <v>91</v>
      </c>
      <c r="KC47" s="561">
        <v>0</v>
      </c>
      <c r="KD47" s="561">
        <v>66</v>
      </c>
      <c r="KE47" s="561">
        <v>2786</v>
      </c>
      <c r="KF47" s="561">
        <v>0</v>
      </c>
      <c r="KG47" s="561">
        <v>34556</v>
      </c>
      <c r="KH47" s="561">
        <v>-4230</v>
      </c>
      <c r="KI47" s="561">
        <v>0</v>
      </c>
      <c r="KJ47" s="561">
        <v>0</v>
      </c>
      <c r="KK47" s="561">
        <v>0</v>
      </c>
      <c r="KL47" s="561">
        <v>-19079</v>
      </c>
      <c r="KM47" s="561">
        <v>0</v>
      </c>
      <c r="KN47" s="561">
        <v>0</v>
      </c>
      <c r="KO47" s="561">
        <v>0</v>
      </c>
      <c r="KP47" s="561">
        <v>0</v>
      </c>
      <c r="KQ47" s="561">
        <v>0</v>
      </c>
      <c r="KR47" s="561">
        <v>11247</v>
      </c>
      <c r="KS47" s="561">
        <v>0</v>
      </c>
      <c r="KT47" s="561">
        <v>-2099</v>
      </c>
      <c r="KU47" s="561">
        <v>9148</v>
      </c>
      <c r="KV47" s="561">
        <v>0</v>
      </c>
      <c r="KW47" s="561">
        <v>0</v>
      </c>
      <c r="KX47" s="561">
        <v>0</v>
      </c>
      <c r="KY47" s="561">
        <v>0</v>
      </c>
      <c r="KZ47" s="561">
        <v>3360</v>
      </c>
      <c r="LA47" s="561">
        <v>-1529</v>
      </c>
      <c r="LB47" s="561">
        <v>-178</v>
      </c>
      <c r="LC47" s="561">
        <v>0</v>
      </c>
      <c r="LD47" s="561">
        <v>-5063</v>
      </c>
      <c r="LE47" s="561">
        <v>27</v>
      </c>
      <c r="LF47" s="561">
        <v>0</v>
      </c>
      <c r="LG47" s="561">
        <v>5765</v>
      </c>
      <c r="LH47" s="561">
        <v>0</v>
      </c>
      <c r="LI47" s="561">
        <v>0</v>
      </c>
      <c r="LJ47" s="561">
        <v>0</v>
      </c>
      <c r="LK47" s="561">
        <v>0</v>
      </c>
      <c r="LL47" s="561">
        <v>29873</v>
      </c>
      <c r="LM47" s="561">
        <v>5030</v>
      </c>
      <c r="LN47" s="561">
        <v>0</v>
      </c>
      <c r="LO47" s="561">
        <v>0</v>
      </c>
      <c r="LP47" s="561">
        <v>0</v>
      </c>
      <c r="LQ47" s="561">
        <v>0</v>
      </c>
      <c r="LR47" s="561">
        <v>33233</v>
      </c>
      <c r="LS47" s="561">
        <v>3501</v>
      </c>
      <c r="LT47" s="561">
        <v>0</v>
      </c>
      <c r="LU47" s="561">
        <v>4868</v>
      </c>
      <c r="LV47" s="561">
        <v>0</v>
      </c>
      <c r="LW47" s="561">
        <v>0</v>
      </c>
      <c r="LX47" s="561">
        <v>0</v>
      </c>
      <c r="LY47" s="561">
        <v>5500</v>
      </c>
      <c r="LZ47" s="561">
        <v>10368</v>
      </c>
      <c r="MA47" s="561">
        <v>0</v>
      </c>
      <c r="MB47" s="561">
        <v>0</v>
      </c>
      <c r="MC47" s="561">
        <v>0</v>
      </c>
      <c r="MD47" s="561">
        <v>0</v>
      </c>
      <c r="ME47" s="561">
        <v>0</v>
      </c>
      <c r="MF47" s="561">
        <v>0</v>
      </c>
      <c r="MG47" s="561">
        <v>0</v>
      </c>
      <c r="MH47" s="561">
        <v>3067</v>
      </c>
      <c r="MI47" s="561">
        <v>4423</v>
      </c>
      <c r="MJ47" s="561">
        <v>7490</v>
      </c>
      <c r="MK47" s="561">
        <v>0</v>
      </c>
      <c r="ML47" s="561">
        <v>0</v>
      </c>
      <c r="MM47" s="561">
        <v>28980</v>
      </c>
      <c r="MN47" s="561">
        <v>4253</v>
      </c>
      <c r="MO47" s="561">
        <v>0</v>
      </c>
      <c r="MP47" s="561">
        <v>0</v>
      </c>
      <c r="MQ47" s="561">
        <v>0</v>
      </c>
      <c r="MR47" s="561">
        <v>2439</v>
      </c>
      <c r="MS47" s="561">
        <v>0</v>
      </c>
      <c r="MT47" s="561">
        <v>0</v>
      </c>
      <c r="MU47" s="561">
        <v>30</v>
      </c>
      <c r="MV47" s="561">
        <v>3250</v>
      </c>
      <c r="MW47" s="561">
        <v>2566</v>
      </c>
      <c r="MX47" s="561">
        <v>2392</v>
      </c>
      <c r="MY47" s="561">
        <v>2749</v>
      </c>
      <c r="MZ47" s="561">
        <v>0</v>
      </c>
      <c r="NA47" s="561">
        <v>0</v>
      </c>
      <c r="NB47" s="561">
        <v>4543</v>
      </c>
      <c r="NC47" s="561">
        <v>0</v>
      </c>
      <c r="ND47" s="561">
        <v>17969</v>
      </c>
      <c r="NE47" s="561">
        <v>0</v>
      </c>
      <c r="NF47" s="561">
        <v>0</v>
      </c>
      <c r="NG47" s="561">
        <v>0</v>
      </c>
      <c r="NH47" s="561">
        <v>0</v>
      </c>
      <c r="NI47" s="561">
        <v>0</v>
      </c>
      <c r="NJ47" s="561">
        <v>0</v>
      </c>
      <c r="NK47" s="561">
        <v>499</v>
      </c>
      <c r="NL47" s="561">
        <v>0</v>
      </c>
      <c r="NM47" s="561">
        <v>0</v>
      </c>
      <c r="NN47" s="561">
        <v>134</v>
      </c>
      <c r="NO47" s="561">
        <v>0</v>
      </c>
      <c r="NP47" s="561">
        <v>0</v>
      </c>
      <c r="NQ47" s="561">
        <v>0</v>
      </c>
      <c r="NR47" s="561">
        <v>0</v>
      </c>
      <c r="NS47" s="561">
        <v>0</v>
      </c>
      <c r="NT47" s="561">
        <v>-6959</v>
      </c>
      <c r="NU47" s="561">
        <v>0</v>
      </c>
      <c r="NV47" s="561">
        <v>0</v>
      </c>
      <c r="NW47" s="561">
        <v>-6326</v>
      </c>
      <c r="NX47" s="561">
        <v>446</v>
      </c>
      <c r="NY47" s="561">
        <v>-5880</v>
      </c>
      <c r="NZ47" s="561">
        <v>0</v>
      </c>
      <c r="OA47" s="561">
        <v>0</v>
      </c>
      <c r="OB47" s="561">
        <v>0</v>
      </c>
      <c r="OC47" s="561">
        <v>0</v>
      </c>
      <c r="OD47" s="561">
        <v>0</v>
      </c>
      <c r="OE47" s="561">
        <v>0</v>
      </c>
      <c r="OF47" s="561">
        <v>0</v>
      </c>
      <c r="OG47" s="561">
        <v>0</v>
      </c>
      <c r="OH47" s="561">
        <v>0</v>
      </c>
      <c r="OI47" s="561">
        <v>0</v>
      </c>
      <c r="OJ47" s="561">
        <v>0</v>
      </c>
      <c r="OK47" s="561">
        <v>0</v>
      </c>
      <c r="OL47" s="561">
        <v>1</v>
      </c>
      <c r="OM47" s="561">
        <v>0</v>
      </c>
      <c r="ON47" s="561">
        <v>0</v>
      </c>
      <c r="OO47" s="561">
        <v>0</v>
      </c>
      <c r="OP47" s="561">
        <v>0</v>
      </c>
      <c r="OQ47" s="561">
        <v>0</v>
      </c>
      <c r="OR47" s="561">
        <v>0</v>
      </c>
      <c r="OS47" s="561">
        <v>0</v>
      </c>
      <c r="OT47" s="561">
        <v>0</v>
      </c>
      <c r="OU47" s="561">
        <v>0</v>
      </c>
      <c r="OV47" s="561">
        <v>0</v>
      </c>
      <c r="OW47" s="561">
        <v>0</v>
      </c>
      <c r="OX47" s="561">
        <v>1</v>
      </c>
      <c r="OY47" s="561">
        <v>446</v>
      </c>
      <c r="OZ47" s="561">
        <v>0</v>
      </c>
      <c r="PA47" s="561">
        <v>0</v>
      </c>
      <c r="PB47" s="561">
        <v>0</v>
      </c>
      <c r="PC47" s="561">
        <v>0</v>
      </c>
      <c r="PD47" s="561">
        <v>446</v>
      </c>
      <c r="PE47" s="561">
        <v>0</v>
      </c>
      <c r="PF47" s="561">
        <v>0</v>
      </c>
      <c r="PG47" s="561">
        <v>0</v>
      </c>
      <c r="PH47" s="561">
        <v>0</v>
      </c>
      <c r="PI47" s="561">
        <v>0</v>
      </c>
      <c r="PJ47" s="561">
        <v>0</v>
      </c>
    </row>
    <row r="48" spans="1:426" ht="14" x14ac:dyDescent="0.3">
      <c r="A48" t="s">
        <v>2571</v>
      </c>
      <c r="B48" t="s">
        <v>2572</v>
      </c>
      <c r="C48" t="s">
        <v>2573</v>
      </c>
      <c r="E48" t="s">
        <v>384</v>
      </c>
      <c r="F48" s="561">
        <v>0</v>
      </c>
      <c r="G48" s="561">
        <v>0</v>
      </c>
      <c r="H48" s="561">
        <v>0</v>
      </c>
      <c r="I48" s="561">
        <v>0</v>
      </c>
      <c r="J48" s="561">
        <v>0</v>
      </c>
      <c r="K48" s="561">
        <v>0</v>
      </c>
      <c r="L48" s="561">
        <v>0</v>
      </c>
      <c r="M48" s="561">
        <v>0</v>
      </c>
      <c r="N48" s="561">
        <v>0</v>
      </c>
      <c r="O48" s="561">
        <v>0</v>
      </c>
      <c r="P48" s="561">
        <v>0</v>
      </c>
      <c r="Q48" s="561">
        <v>0</v>
      </c>
      <c r="R48" s="561">
        <v>0</v>
      </c>
      <c r="S48" s="561">
        <v>0</v>
      </c>
      <c r="T48" s="561">
        <v>136</v>
      </c>
      <c r="U48" s="561">
        <v>0</v>
      </c>
      <c r="V48" s="561">
        <v>0</v>
      </c>
      <c r="W48" s="561">
        <v>0</v>
      </c>
      <c r="X48" s="561">
        <v>0</v>
      </c>
      <c r="Y48" s="561">
        <v>0</v>
      </c>
      <c r="Z48" s="561">
        <v>0</v>
      </c>
      <c r="AA48" s="561">
        <v>0</v>
      </c>
      <c r="AB48" s="561">
        <v>-67</v>
      </c>
      <c r="AC48" s="561">
        <v>0</v>
      </c>
      <c r="AD48" s="561">
        <v>0</v>
      </c>
      <c r="AE48" s="561">
        <v>0</v>
      </c>
      <c r="AF48" s="561">
        <v>0</v>
      </c>
      <c r="AG48" s="561">
        <v>0</v>
      </c>
      <c r="AH48" s="561">
        <v>0</v>
      </c>
      <c r="AI48" s="561">
        <v>0</v>
      </c>
      <c r="AJ48" s="561">
        <v>69</v>
      </c>
      <c r="AK48" s="561">
        <v>0</v>
      </c>
      <c r="AL48" s="561">
        <v>0</v>
      </c>
      <c r="AM48" s="561">
        <v>0</v>
      </c>
      <c r="AN48" s="561">
        <v>0</v>
      </c>
      <c r="AO48" s="561">
        <v>0</v>
      </c>
      <c r="AP48" s="561">
        <v>0</v>
      </c>
      <c r="AQ48" s="561">
        <v>0</v>
      </c>
      <c r="AR48" s="561">
        <v>0</v>
      </c>
      <c r="AS48" s="561">
        <v>0</v>
      </c>
      <c r="AT48" s="561">
        <v>0</v>
      </c>
      <c r="AU48" s="561">
        <v>0</v>
      </c>
      <c r="AV48" s="561">
        <v>0</v>
      </c>
      <c r="AW48" s="561">
        <v>0</v>
      </c>
      <c r="AX48" s="561">
        <v>0</v>
      </c>
      <c r="AY48" s="561">
        <v>0</v>
      </c>
      <c r="AZ48" s="561">
        <v>0</v>
      </c>
      <c r="BA48" s="561">
        <v>0</v>
      </c>
      <c r="BB48" s="561">
        <v>0</v>
      </c>
      <c r="BC48" s="561">
        <v>0</v>
      </c>
      <c r="BD48" s="561">
        <v>0</v>
      </c>
      <c r="BE48" s="561">
        <v>0</v>
      </c>
      <c r="BF48" s="561">
        <v>0</v>
      </c>
      <c r="BG48" s="561">
        <v>0</v>
      </c>
      <c r="BH48" s="561">
        <v>0</v>
      </c>
      <c r="BI48" s="561">
        <v>0</v>
      </c>
      <c r="BJ48" s="561">
        <v>0</v>
      </c>
      <c r="BK48" s="561">
        <v>0</v>
      </c>
      <c r="BL48" s="561">
        <v>0</v>
      </c>
      <c r="BM48" s="561">
        <v>0</v>
      </c>
      <c r="BN48" s="561">
        <v>0</v>
      </c>
      <c r="BO48" s="561">
        <v>0</v>
      </c>
      <c r="BP48" s="561">
        <v>0</v>
      </c>
      <c r="BQ48" s="561">
        <v>0</v>
      </c>
      <c r="BR48" s="561">
        <v>0</v>
      </c>
      <c r="BS48" s="561">
        <v>0</v>
      </c>
      <c r="BT48" s="561">
        <v>0</v>
      </c>
      <c r="BU48" s="561">
        <v>0</v>
      </c>
      <c r="BV48" s="561">
        <v>0</v>
      </c>
      <c r="BW48" s="561">
        <v>0</v>
      </c>
      <c r="BX48" s="561">
        <v>0</v>
      </c>
      <c r="BY48" s="561">
        <v>0</v>
      </c>
      <c r="BZ48" s="561">
        <v>0</v>
      </c>
      <c r="CA48" s="561">
        <v>0</v>
      </c>
      <c r="CB48" s="561">
        <v>0</v>
      </c>
      <c r="CC48" s="561">
        <v>0</v>
      </c>
      <c r="CD48" s="561">
        <v>0</v>
      </c>
      <c r="CE48" s="561">
        <v>0</v>
      </c>
      <c r="CF48" s="561">
        <v>0</v>
      </c>
      <c r="CG48" s="561">
        <v>0</v>
      </c>
      <c r="CH48" s="561">
        <v>0</v>
      </c>
      <c r="CI48" s="561">
        <v>0</v>
      </c>
      <c r="CJ48" s="561">
        <v>0</v>
      </c>
      <c r="CK48" s="561">
        <v>0</v>
      </c>
      <c r="CL48" s="561">
        <v>0</v>
      </c>
      <c r="CM48" s="561">
        <v>0</v>
      </c>
      <c r="CN48" s="561">
        <v>0</v>
      </c>
      <c r="CO48" s="561">
        <v>0</v>
      </c>
      <c r="CP48" s="561">
        <v>0</v>
      </c>
      <c r="CQ48" s="561">
        <v>0</v>
      </c>
      <c r="CR48" s="561">
        <v>0</v>
      </c>
      <c r="CS48" s="561">
        <v>0</v>
      </c>
      <c r="CT48" s="561">
        <v>0</v>
      </c>
      <c r="CU48" s="561">
        <v>0</v>
      </c>
      <c r="CV48" s="561">
        <v>0</v>
      </c>
      <c r="CW48" s="561">
        <v>0</v>
      </c>
      <c r="CX48" s="561">
        <v>0</v>
      </c>
      <c r="CY48" s="561">
        <v>0</v>
      </c>
      <c r="CZ48" s="561">
        <v>0</v>
      </c>
      <c r="DA48" s="561">
        <v>0</v>
      </c>
      <c r="DB48" s="561">
        <v>0</v>
      </c>
      <c r="DC48" s="561">
        <v>0</v>
      </c>
      <c r="DD48" s="561">
        <v>0</v>
      </c>
      <c r="DE48" s="561">
        <v>0</v>
      </c>
      <c r="DF48" s="561">
        <v>0</v>
      </c>
      <c r="DG48" s="561">
        <v>0</v>
      </c>
      <c r="DH48" s="561">
        <v>101</v>
      </c>
      <c r="DI48" s="561">
        <v>0</v>
      </c>
      <c r="DJ48" s="561">
        <v>198</v>
      </c>
      <c r="DK48" s="561">
        <v>0</v>
      </c>
      <c r="DL48" s="561">
        <v>0</v>
      </c>
      <c r="DM48" s="561">
        <v>0</v>
      </c>
      <c r="DN48" s="561">
        <v>12</v>
      </c>
      <c r="DO48" s="561">
        <v>0</v>
      </c>
      <c r="DP48" s="561">
        <v>0</v>
      </c>
      <c r="DQ48" s="561">
        <v>0</v>
      </c>
      <c r="DR48" s="561">
        <v>-167</v>
      </c>
      <c r="DS48" s="561">
        <v>497</v>
      </c>
      <c r="DT48" s="561">
        <v>0</v>
      </c>
      <c r="DU48" s="561">
        <v>342</v>
      </c>
      <c r="DV48" s="561">
        <v>0</v>
      </c>
      <c r="DW48" s="561">
        <v>0</v>
      </c>
      <c r="DX48" s="561">
        <v>0</v>
      </c>
      <c r="DY48" s="561">
        <v>716</v>
      </c>
      <c r="DZ48" s="561">
        <v>0</v>
      </c>
      <c r="EA48" s="561">
        <v>0</v>
      </c>
      <c r="EB48" s="561">
        <v>-66</v>
      </c>
      <c r="EC48" s="561">
        <v>1291</v>
      </c>
      <c r="ED48" s="561">
        <v>82</v>
      </c>
      <c r="EE48" s="561">
        <v>19063</v>
      </c>
      <c r="EF48" s="561">
        <v>222</v>
      </c>
      <c r="EG48" s="561">
        <v>617</v>
      </c>
      <c r="EH48" s="561">
        <v>811</v>
      </c>
      <c r="EI48" s="561">
        <v>0</v>
      </c>
      <c r="EJ48" s="561">
        <v>333</v>
      </c>
      <c r="EK48" s="561">
        <v>0</v>
      </c>
      <c r="EL48" s="561">
        <v>0</v>
      </c>
      <c r="EM48" s="561">
        <v>0</v>
      </c>
      <c r="EN48" s="561">
        <v>6485</v>
      </c>
      <c r="EO48" s="561">
        <v>6715</v>
      </c>
      <c r="EP48" s="561">
        <v>0</v>
      </c>
      <c r="EQ48" s="561">
        <v>117</v>
      </c>
      <c r="ER48" s="561">
        <v>3293</v>
      </c>
      <c r="ES48" s="561" t="s">
        <v>4565</v>
      </c>
      <c r="ET48" s="561">
        <v>0</v>
      </c>
      <c r="EU48" s="561">
        <v>0</v>
      </c>
      <c r="EV48" s="561">
        <v>0</v>
      </c>
      <c r="EW48" s="561">
        <v>0</v>
      </c>
      <c r="EX48" s="561">
        <v>5097</v>
      </c>
      <c r="EY48" s="561">
        <v>8</v>
      </c>
      <c r="EZ48" s="561">
        <v>-669</v>
      </c>
      <c r="FA48" s="561">
        <v>2673</v>
      </c>
      <c r="FB48" s="561">
        <v>0</v>
      </c>
      <c r="FC48" s="561">
        <v>258</v>
      </c>
      <c r="FD48" s="561">
        <v>0</v>
      </c>
      <c r="FE48" s="561">
        <v>120</v>
      </c>
      <c r="FF48" s="561">
        <v>0</v>
      </c>
      <c r="FG48" s="561">
        <v>19</v>
      </c>
      <c r="FH48" s="561">
        <v>0</v>
      </c>
      <c r="FI48" s="561">
        <v>0</v>
      </c>
      <c r="FJ48" s="561">
        <v>292</v>
      </c>
      <c r="FK48" s="561">
        <v>1397</v>
      </c>
      <c r="FL48" s="561">
        <v>19</v>
      </c>
      <c r="FM48" s="561">
        <v>0</v>
      </c>
      <c r="FN48" s="561">
        <v>0</v>
      </c>
      <c r="FO48" s="561">
        <v>2105</v>
      </c>
      <c r="FP48" s="561">
        <v>5</v>
      </c>
      <c r="FQ48" s="561">
        <v>-236</v>
      </c>
      <c r="FR48" s="561">
        <v>0</v>
      </c>
      <c r="FS48" s="561">
        <v>0</v>
      </c>
      <c r="FT48" s="561">
        <v>288</v>
      </c>
      <c r="FU48" s="561">
        <v>451</v>
      </c>
      <c r="FV48" s="561">
        <v>0</v>
      </c>
      <c r="FW48" s="561">
        <v>48</v>
      </c>
      <c r="FX48" s="561">
        <v>0</v>
      </c>
      <c r="FY48" s="561">
        <v>0</v>
      </c>
      <c r="FZ48" s="561">
        <v>0</v>
      </c>
      <c r="GA48" s="561">
        <v>147</v>
      </c>
      <c r="GB48" s="561">
        <v>0</v>
      </c>
      <c r="GC48" s="561">
        <v>3</v>
      </c>
      <c r="GD48" s="561">
        <v>-32</v>
      </c>
      <c r="GE48" s="561">
        <v>42</v>
      </c>
      <c r="GF48" s="561">
        <v>64</v>
      </c>
      <c r="GG48" s="561">
        <v>0</v>
      </c>
      <c r="GH48" s="561">
        <v>0</v>
      </c>
      <c r="GI48" s="561">
        <v>0</v>
      </c>
      <c r="GJ48" s="561">
        <v>0</v>
      </c>
      <c r="GK48" s="561">
        <v>0</v>
      </c>
      <c r="GL48" s="561">
        <v>789</v>
      </c>
      <c r="GM48" s="561">
        <v>1595</v>
      </c>
      <c r="GN48" s="561">
        <v>0</v>
      </c>
      <c r="GO48" s="561">
        <v>0</v>
      </c>
      <c r="GP48" s="561">
        <v>206</v>
      </c>
      <c r="GQ48" s="561">
        <v>0</v>
      </c>
      <c r="GR48" s="561">
        <v>110</v>
      </c>
      <c r="GS48" s="561">
        <v>3475</v>
      </c>
      <c r="GT48" s="561">
        <v>719</v>
      </c>
      <c r="GU48" s="561">
        <v>48</v>
      </c>
      <c r="GV48" s="561">
        <v>487</v>
      </c>
      <c r="GW48" s="561">
        <v>0</v>
      </c>
      <c r="GX48" s="561">
        <v>647</v>
      </c>
      <c r="GY48" s="561">
        <v>9</v>
      </c>
      <c r="GZ48" s="561">
        <v>1310</v>
      </c>
      <c r="HA48" s="561">
        <v>0</v>
      </c>
      <c r="HB48" s="561">
        <v>0</v>
      </c>
      <c r="HC48" s="561">
        <v>440</v>
      </c>
      <c r="HD48" s="561">
        <v>2941</v>
      </c>
      <c r="HE48" s="561">
        <v>0</v>
      </c>
      <c r="HF48" s="561">
        <v>8521</v>
      </c>
      <c r="HG48" s="561">
        <v>724</v>
      </c>
      <c r="HH48" s="561">
        <v>0</v>
      </c>
      <c r="HI48" s="561">
        <v>0</v>
      </c>
      <c r="HJ48" s="561">
        <v>0</v>
      </c>
      <c r="HK48" s="561">
        <v>0</v>
      </c>
      <c r="HL48" s="561">
        <v>0</v>
      </c>
      <c r="HM48" s="561">
        <v>0</v>
      </c>
      <c r="HN48" s="561">
        <v>0</v>
      </c>
      <c r="HO48" s="561">
        <v>2242</v>
      </c>
      <c r="HP48" s="561">
        <v>565</v>
      </c>
      <c r="HQ48" s="561">
        <v>0</v>
      </c>
      <c r="HR48" s="561">
        <v>0</v>
      </c>
      <c r="HS48" s="561">
        <v>172</v>
      </c>
      <c r="HT48" s="561">
        <v>25</v>
      </c>
      <c r="HU48" s="561">
        <v>0</v>
      </c>
      <c r="HV48" s="561">
        <v>0</v>
      </c>
      <c r="HW48" s="561">
        <v>291</v>
      </c>
      <c r="HX48" s="561">
        <v>16</v>
      </c>
      <c r="HY48" s="561">
        <v>0</v>
      </c>
      <c r="HZ48" s="561">
        <v>82</v>
      </c>
      <c r="IA48" s="561">
        <v>0</v>
      </c>
      <c r="IB48" s="561">
        <v>262</v>
      </c>
      <c r="IC48" s="561">
        <v>0</v>
      </c>
      <c r="ID48" s="561">
        <v>0</v>
      </c>
      <c r="IE48" s="561">
        <v>43</v>
      </c>
      <c r="IF48" s="561">
        <v>0</v>
      </c>
      <c r="IG48" s="561">
        <v>0</v>
      </c>
      <c r="IH48" s="561">
        <v>-659</v>
      </c>
      <c r="II48" s="561">
        <v>3039</v>
      </c>
      <c r="IJ48" s="561">
        <v>598</v>
      </c>
      <c r="IK48" s="561">
        <v>2175</v>
      </c>
      <c r="IL48" s="561">
        <v>8169</v>
      </c>
      <c r="IM48" s="561">
        <v>0</v>
      </c>
      <c r="IN48" s="561">
        <v>1654</v>
      </c>
      <c r="IO48" s="561">
        <v>360</v>
      </c>
      <c r="IP48" s="561">
        <v>879</v>
      </c>
      <c r="IQ48" s="561">
        <v>0</v>
      </c>
      <c r="IR48" s="561">
        <v>0</v>
      </c>
      <c r="IS48" s="561">
        <v>69</v>
      </c>
      <c r="IT48" s="561">
        <v>0</v>
      </c>
      <c r="IU48" s="561">
        <v>0</v>
      </c>
      <c r="IV48" s="561">
        <v>0</v>
      </c>
      <c r="IW48" s="561">
        <v>1291</v>
      </c>
      <c r="IX48" s="561">
        <v>2105</v>
      </c>
      <c r="IY48" s="561">
        <v>3475</v>
      </c>
      <c r="IZ48" s="561">
        <v>2941</v>
      </c>
      <c r="JA48" s="561">
        <v>0</v>
      </c>
      <c r="JB48" s="561">
        <v>0</v>
      </c>
      <c r="JC48" s="561">
        <v>3039</v>
      </c>
      <c r="JD48" s="561">
        <v>879</v>
      </c>
      <c r="JE48" s="561">
        <v>13799</v>
      </c>
      <c r="JF48" s="561">
        <v>7697</v>
      </c>
      <c r="JG48" s="561">
        <v>0</v>
      </c>
      <c r="JH48" s="561">
        <v>6163</v>
      </c>
      <c r="JI48" s="561">
        <v>0</v>
      </c>
      <c r="JJ48" s="561">
        <v>0</v>
      </c>
      <c r="JK48" s="561">
        <v>1110</v>
      </c>
      <c r="JL48" s="561">
        <v>0</v>
      </c>
      <c r="JM48" s="561">
        <v>0</v>
      </c>
      <c r="JN48" s="561">
        <v>0</v>
      </c>
      <c r="JO48" s="561">
        <v>26</v>
      </c>
      <c r="JP48" s="561">
        <v>-640</v>
      </c>
      <c r="JQ48" s="561">
        <v>0</v>
      </c>
      <c r="JR48" s="561">
        <v>0</v>
      </c>
      <c r="JS48" s="561">
        <v>0</v>
      </c>
      <c r="JT48" s="561">
        <v>0</v>
      </c>
      <c r="JU48" s="561">
        <v>0</v>
      </c>
      <c r="JV48" s="561">
        <v>28155</v>
      </c>
      <c r="JW48" s="561">
        <v>0</v>
      </c>
      <c r="JX48" s="561">
        <v>82</v>
      </c>
      <c r="JY48" s="561">
        <v>0</v>
      </c>
      <c r="JZ48" s="561">
        <v>0</v>
      </c>
      <c r="KA48" s="561">
        <v>0</v>
      </c>
      <c r="KB48" s="561">
        <v>0</v>
      </c>
      <c r="KC48" s="561">
        <v>1343</v>
      </c>
      <c r="KD48" s="561">
        <v>0</v>
      </c>
      <c r="KE48" s="561">
        <v>3716</v>
      </c>
      <c r="KF48" s="561">
        <v>-2960</v>
      </c>
      <c r="KG48" s="561">
        <v>30336</v>
      </c>
      <c r="KH48" s="561">
        <v>-1001</v>
      </c>
      <c r="KI48" s="561">
        <v>0</v>
      </c>
      <c r="KJ48" s="561">
        <v>0</v>
      </c>
      <c r="KK48" s="561">
        <v>0</v>
      </c>
      <c r="KL48" s="561">
        <v>-13533</v>
      </c>
      <c r="KM48" s="561">
        <v>0</v>
      </c>
      <c r="KN48" s="561">
        <v>0</v>
      </c>
      <c r="KO48" s="561">
        <v>0</v>
      </c>
      <c r="KP48" s="561">
        <v>0</v>
      </c>
      <c r="KQ48" s="561">
        <v>0</v>
      </c>
      <c r="KR48" s="561">
        <v>15802</v>
      </c>
      <c r="KS48" s="561">
        <v>0</v>
      </c>
      <c r="KT48" s="561">
        <v>-2708</v>
      </c>
      <c r="KU48" s="561">
        <v>13094</v>
      </c>
      <c r="KV48" s="561">
        <v>0</v>
      </c>
      <c r="KW48" s="561">
        <v>0</v>
      </c>
      <c r="KX48" s="561">
        <v>0</v>
      </c>
      <c r="KY48" s="561">
        <v>0</v>
      </c>
      <c r="KZ48" s="561">
        <v>270</v>
      </c>
      <c r="LA48" s="561">
        <v>-490</v>
      </c>
      <c r="LB48" s="561">
        <v>-129</v>
      </c>
      <c r="LC48" s="561">
        <v>0</v>
      </c>
      <c r="LD48" s="561">
        <v>-5002</v>
      </c>
      <c r="LE48" s="561">
        <v>-6</v>
      </c>
      <c r="LF48" s="561">
        <v>0</v>
      </c>
      <c r="LG48" s="561">
        <v>7737</v>
      </c>
      <c r="LH48" s="561">
        <v>0</v>
      </c>
      <c r="LI48" s="561">
        <v>0</v>
      </c>
      <c r="LJ48" s="561">
        <v>0</v>
      </c>
      <c r="LK48" s="561">
        <v>0</v>
      </c>
      <c r="LL48" s="561">
        <v>2778</v>
      </c>
      <c r="LM48" s="561">
        <v>6079</v>
      </c>
      <c r="LN48" s="561">
        <v>0</v>
      </c>
      <c r="LO48" s="561">
        <v>0</v>
      </c>
      <c r="LP48" s="561">
        <v>0</v>
      </c>
      <c r="LQ48" s="561">
        <v>0</v>
      </c>
      <c r="LR48" s="561">
        <v>3048</v>
      </c>
      <c r="LS48" s="561">
        <v>5589</v>
      </c>
      <c r="LT48" s="561">
        <v>0</v>
      </c>
      <c r="LU48" s="561">
        <v>1460</v>
      </c>
      <c r="LV48" s="561">
        <v>340</v>
      </c>
      <c r="LW48" s="561">
        <v>0</v>
      </c>
      <c r="LX48" s="561">
        <v>0</v>
      </c>
      <c r="LY48" s="561">
        <v>2225</v>
      </c>
      <c r="LZ48" s="561">
        <v>4025</v>
      </c>
      <c r="MA48" s="561">
        <v>0</v>
      </c>
      <c r="MB48" s="561">
        <v>0</v>
      </c>
      <c r="MC48" s="561">
        <v>21046</v>
      </c>
      <c r="MD48" s="561">
        <v>21715</v>
      </c>
      <c r="ME48" s="561">
        <v>-669</v>
      </c>
      <c r="MF48" s="561">
        <v>2673</v>
      </c>
      <c r="MG48" s="561">
        <v>2004</v>
      </c>
      <c r="MH48" s="561">
        <v>3202</v>
      </c>
      <c r="MI48" s="561">
        <v>4514</v>
      </c>
      <c r="MJ48" s="561">
        <v>7716</v>
      </c>
      <c r="MK48" s="561">
        <v>0</v>
      </c>
      <c r="ML48" s="561">
        <v>0</v>
      </c>
      <c r="MM48" s="561">
        <v>3048</v>
      </c>
      <c r="MN48" s="561">
        <v>0</v>
      </c>
      <c r="MO48" s="561">
        <v>0</v>
      </c>
      <c r="MP48" s="561">
        <v>0</v>
      </c>
      <c r="MQ48" s="561">
        <v>0</v>
      </c>
      <c r="MR48" s="561">
        <v>69</v>
      </c>
      <c r="MS48" s="561">
        <v>0</v>
      </c>
      <c r="MT48" s="561">
        <v>0</v>
      </c>
      <c r="MU48" s="561">
        <v>0</v>
      </c>
      <c r="MV48" s="561">
        <v>1291</v>
      </c>
      <c r="MW48" s="561">
        <v>2105</v>
      </c>
      <c r="MX48" s="561">
        <v>3475</v>
      </c>
      <c r="MY48" s="561">
        <v>2941</v>
      </c>
      <c r="MZ48" s="561">
        <v>0</v>
      </c>
      <c r="NA48" s="561">
        <v>0</v>
      </c>
      <c r="NB48" s="561">
        <v>3039</v>
      </c>
      <c r="NC48" s="561">
        <v>879</v>
      </c>
      <c r="ND48" s="561">
        <v>13799</v>
      </c>
      <c r="NE48" s="561">
        <v>0</v>
      </c>
      <c r="NF48" s="561">
        <v>0</v>
      </c>
      <c r="NG48" s="561">
        <v>0</v>
      </c>
      <c r="NH48" s="561">
        <v>0</v>
      </c>
      <c r="NI48" s="561">
        <v>0</v>
      </c>
      <c r="NJ48" s="561">
        <v>0</v>
      </c>
      <c r="NK48" s="561">
        <v>0</v>
      </c>
      <c r="NL48" s="561">
        <v>0</v>
      </c>
      <c r="NM48" s="561">
        <v>0</v>
      </c>
      <c r="NN48" s="561">
        <v>0</v>
      </c>
      <c r="NO48" s="561">
        <v>0</v>
      </c>
      <c r="NP48" s="561">
        <v>0</v>
      </c>
      <c r="NQ48" s="561">
        <v>0</v>
      </c>
      <c r="NR48" s="561">
        <v>0</v>
      </c>
      <c r="NS48" s="561">
        <v>0</v>
      </c>
      <c r="NT48" s="561">
        <v>-3</v>
      </c>
      <c r="NU48" s="561">
        <v>0</v>
      </c>
      <c r="NV48" s="561">
        <v>0</v>
      </c>
      <c r="NW48" s="561">
        <v>-640</v>
      </c>
      <c r="NX48" s="561">
        <v>0</v>
      </c>
      <c r="NY48" s="561">
        <v>-640</v>
      </c>
      <c r="NZ48" s="561">
        <v>0</v>
      </c>
      <c r="OA48" s="561">
        <v>0</v>
      </c>
      <c r="OB48" s="561">
        <v>0</v>
      </c>
      <c r="OC48" s="561">
        <v>0</v>
      </c>
      <c r="OD48" s="561">
        <v>0</v>
      </c>
      <c r="OE48" s="561">
        <v>0</v>
      </c>
      <c r="OF48" s="561">
        <v>0</v>
      </c>
      <c r="OG48" s="561">
        <v>0</v>
      </c>
      <c r="OH48" s="561">
        <v>0</v>
      </c>
      <c r="OI48" s="561">
        <v>0</v>
      </c>
      <c r="OJ48" s="561">
        <v>0</v>
      </c>
      <c r="OK48" s="561">
        <v>0</v>
      </c>
      <c r="OL48" s="561">
        <v>0</v>
      </c>
      <c r="OM48" s="561">
        <v>0</v>
      </c>
      <c r="ON48" s="561">
        <v>0</v>
      </c>
      <c r="OO48" s="561">
        <v>0</v>
      </c>
      <c r="OP48" s="561">
        <v>0</v>
      </c>
      <c r="OQ48" s="561">
        <v>0</v>
      </c>
      <c r="OR48" s="561">
        <v>0</v>
      </c>
      <c r="OS48" s="561">
        <v>0</v>
      </c>
      <c r="OT48" s="561">
        <v>0</v>
      </c>
      <c r="OU48" s="561">
        <v>0</v>
      </c>
      <c r="OV48" s="561">
        <v>0</v>
      </c>
      <c r="OW48" s="561">
        <v>0</v>
      </c>
      <c r="OX48" s="561">
        <v>0</v>
      </c>
      <c r="OY48" s="561">
        <v>0</v>
      </c>
      <c r="OZ48" s="561">
        <v>0</v>
      </c>
      <c r="PA48" s="561">
        <v>0</v>
      </c>
      <c r="PB48" s="561">
        <v>0</v>
      </c>
      <c r="PC48" s="561">
        <v>0</v>
      </c>
      <c r="PD48" s="561">
        <v>0</v>
      </c>
      <c r="PE48" s="561">
        <v>0</v>
      </c>
      <c r="PF48" s="561">
        <v>0</v>
      </c>
      <c r="PG48" s="561">
        <v>0</v>
      </c>
      <c r="PH48" s="561">
        <v>0</v>
      </c>
      <c r="PI48" s="561">
        <v>0</v>
      </c>
      <c r="PJ48" s="561">
        <v>0</v>
      </c>
    </row>
    <row r="49" spans="1:426" ht="14" x14ac:dyDescent="0.3">
      <c r="A49" t="s">
        <v>2574</v>
      </c>
      <c r="B49" t="s">
        <v>2575</v>
      </c>
      <c r="C49" t="s">
        <v>4578</v>
      </c>
      <c r="E49" t="s">
        <v>2466</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1">
        <v>0</v>
      </c>
      <c r="AY49" s="561">
        <v>0</v>
      </c>
      <c r="AZ49" s="561">
        <v>0</v>
      </c>
      <c r="BA49" s="561">
        <v>0</v>
      </c>
      <c r="BB49" s="561">
        <v>0</v>
      </c>
      <c r="BC49" s="561">
        <v>0</v>
      </c>
      <c r="BD49" s="561">
        <v>0</v>
      </c>
      <c r="BE49" s="561">
        <v>0</v>
      </c>
      <c r="BF49" s="561">
        <v>0</v>
      </c>
      <c r="BG49" s="561">
        <v>0</v>
      </c>
      <c r="BH49" s="561">
        <v>0</v>
      </c>
      <c r="BI49" s="561">
        <v>0</v>
      </c>
      <c r="BJ49" s="561">
        <v>0</v>
      </c>
      <c r="BK49" s="561">
        <v>0</v>
      </c>
      <c r="BL49" s="561">
        <v>0</v>
      </c>
      <c r="BM49" s="561">
        <v>0</v>
      </c>
      <c r="BN49" s="561">
        <v>0</v>
      </c>
      <c r="BO49" s="561">
        <v>0</v>
      </c>
      <c r="BP49" s="561">
        <v>0</v>
      </c>
      <c r="BQ49" s="561">
        <v>0</v>
      </c>
      <c r="BR49" s="561">
        <v>0</v>
      </c>
      <c r="BS49" s="561">
        <v>0</v>
      </c>
      <c r="BT49" s="561">
        <v>0</v>
      </c>
      <c r="BU49" s="561">
        <v>0</v>
      </c>
      <c r="BV49" s="561">
        <v>0</v>
      </c>
      <c r="BW49" s="561">
        <v>0</v>
      </c>
      <c r="BX49" s="561">
        <v>0</v>
      </c>
      <c r="BY49" s="561">
        <v>0</v>
      </c>
      <c r="BZ49" s="561">
        <v>0</v>
      </c>
      <c r="CA49" s="561">
        <v>0</v>
      </c>
      <c r="CB49" s="561">
        <v>0</v>
      </c>
      <c r="CC49" s="561">
        <v>0</v>
      </c>
      <c r="CD49" s="561">
        <v>0</v>
      </c>
      <c r="CE49" s="561">
        <v>0</v>
      </c>
      <c r="CF49" s="561">
        <v>0</v>
      </c>
      <c r="CG49" s="561">
        <v>0</v>
      </c>
      <c r="CH49" s="561">
        <v>0</v>
      </c>
      <c r="CI49" s="561">
        <v>0</v>
      </c>
      <c r="CJ49" s="561">
        <v>0</v>
      </c>
      <c r="CK49" s="561">
        <v>0</v>
      </c>
      <c r="CL49" s="561">
        <v>0</v>
      </c>
      <c r="CM49" s="561">
        <v>0</v>
      </c>
      <c r="CN49" s="561">
        <v>0</v>
      </c>
      <c r="CO49" s="561">
        <v>0</v>
      </c>
      <c r="CP49" s="561">
        <v>0</v>
      </c>
      <c r="CQ49" s="561">
        <v>0</v>
      </c>
      <c r="CR49" s="561">
        <v>0</v>
      </c>
      <c r="CS49" s="561">
        <v>0</v>
      </c>
      <c r="CT49" s="561">
        <v>0</v>
      </c>
      <c r="CU49" s="561">
        <v>0</v>
      </c>
      <c r="CV49" s="561">
        <v>0</v>
      </c>
      <c r="CW49" s="561">
        <v>0</v>
      </c>
      <c r="CX49" s="561">
        <v>0</v>
      </c>
      <c r="CY49" s="561">
        <v>0</v>
      </c>
      <c r="CZ49" s="561">
        <v>0</v>
      </c>
      <c r="DA49" s="561">
        <v>0</v>
      </c>
      <c r="DB49" s="561">
        <v>0</v>
      </c>
      <c r="DC49" s="561">
        <v>0</v>
      </c>
      <c r="DD49" s="561">
        <v>0</v>
      </c>
      <c r="DE49" s="561">
        <v>0</v>
      </c>
      <c r="DF49" s="561">
        <v>0</v>
      </c>
      <c r="DG49" s="561">
        <v>0</v>
      </c>
      <c r="DH49" s="561">
        <v>0</v>
      </c>
      <c r="DI49" s="561">
        <v>0</v>
      </c>
      <c r="DJ49" s="561">
        <v>0</v>
      </c>
      <c r="DK49" s="561">
        <v>0</v>
      </c>
      <c r="DL49" s="561">
        <v>0</v>
      </c>
      <c r="DM49" s="561">
        <v>0</v>
      </c>
      <c r="DN49" s="561">
        <v>0</v>
      </c>
      <c r="DO49" s="561">
        <v>0</v>
      </c>
      <c r="DP49" s="561">
        <v>0</v>
      </c>
      <c r="DQ49" s="561">
        <v>0</v>
      </c>
      <c r="DR49" s="561">
        <v>0</v>
      </c>
      <c r="DS49" s="561">
        <v>0</v>
      </c>
      <c r="DT49" s="561">
        <v>0</v>
      </c>
      <c r="DU49" s="561">
        <v>0</v>
      </c>
      <c r="DV49" s="561">
        <v>0</v>
      </c>
      <c r="DW49" s="561">
        <v>0</v>
      </c>
      <c r="DX49" s="561">
        <v>0</v>
      </c>
      <c r="DY49" s="561">
        <v>0</v>
      </c>
      <c r="DZ49" s="561">
        <v>0</v>
      </c>
      <c r="EA49" s="561">
        <v>0</v>
      </c>
      <c r="EB49" s="561">
        <v>0</v>
      </c>
      <c r="EC49" s="561">
        <v>0</v>
      </c>
      <c r="ED49" s="561">
        <v>0</v>
      </c>
      <c r="EE49" s="561">
        <v>0</v>
      </c>
      <c r="EF49" s="561">
        <v>0</v>
      </c>
      <c r="EG49" s="561">
        <v>0</v>
      </c>
      <c r="EH49" s="561">
        <v>0</v>
      </c>
      <c r="EI49" s="561">
        <v>0</v>
      </c>
      <c r="EJ49" s="561">
        <v>0</v>
      </c>
      <c r="EK49" s="561">
        <v>0</v>
      </c>
      <c r="EL49" s="561">
        <v>0</v>
      </c>
      <c r="EM49" s="561">
        <v>0</v>
      </c>
      <c r="EN49" s="561">
        <v>0</v>
      </c>
      <c r="EO49" s="561">
        <v>0</v>
      </c>
      <c r="EP49" s="561">
        <v>0</v>
      </c>
      <c r="EQ49" s="561">
        <v>0</v>
      </c>
      <c r="ER49" s="561">
        <v>0</v>
      </c>
      <c r="ES49" s="561" t="s">
        <v>4565</v>
      </c>
      <c r="ET49" s="561">
        <v>0</v>
      </c>
      <c r="EU49" s="561">
        <v>0</v>
      </c>
      <c r="EV49" s="561">
        <v>0</v>
      </c>
      <c r="EW49" s="561">
        <v>0</v>
      </c>
      <c r="EX49" s="561">
        <v>0</v>
      </c>
      <c r="EY49" s="561">
        <v>0</v>
      </c>
      <c r="EZ49" s="561">
        <v>0</v>
      </c>
      <c r="FA49" s="561">
        <v>0</v>
      </c>
      <c r="FB49" s="561">
        <v>0</v>
      </c>
      <c r="FC49" s="561">
        <v>0</v>
      </c>
      <c r="FD49" s="561">
        <v>0</v>
      </c>
      <c r="FE49" s="561">
        <v>0</v>
      </c>
      <c r="FF49" s="561">
        <v>0</v>
      </c>
      <c r="FG49" s="561">
        <v>0</v>
      </c>
      <c r="FH49" s="561">
        <v>0</v>
      </c>
      <c r="FI49" s="561">
        <v>0</v>
      </c>
      <c r="FJ49" s="561">
        <v>0</v>
      </c>
      <c r="FK49" s="561">
        <v>0</v>
      </c>
      <c r="FL49" s="561">
        <v>0</v>
      </c>
      <c r="FM49" s="561">
        <v>0</v>
      </c>
      <c r="FN49" s="561">
        <v>0</v>
      </c>
      <c r="FO49" s="561">
        <v>0</v>
      </c>
      <c r="FP49" s="561">
        <v>0</v>
      </c>
      <c r="FQ49" s="561">
        <v>0</v>
      </c>
      <c r="FR49" s="561">
        <v>0</v>
      </c>
      <c r="FS49" s="561">
        <v>0</v>
      </c>
      <c r="FT49" s="561">
        <v>0</v>
      </c>
      <c r="FU49" s="561">
        <v>0</v>
      </c>
      <c r="FV49" s="561">
        <v>0</v>
      </c>
      <c r="FW49" s="561">
        <v>0</v>
      </c>
      <c r="FX49" s="561">
        <v>0</v>
      </c>
      <c r="FY49" s="561">
        <v>0</v>
      </c>
      <c r="FZ49" s="561">
        <v>0</v>
      </c>
      <c r="GA49" s="561">
        <v>0</v>
      </c>
      <c r="GB49" s="561">
        <v>0</v>
      </c>
      <c r="GC49" s="561">
        <v>0</v>
      </c>
      <c r="GD49" s="561">
        <v>0</v>
      </c>
      <c r="GE49" s="561">
        <v>0</v>
      </c>
      <c r="GF49" s="561">
        <v>0</v>
      </c>
      <c r="GG49" s="561">
        <v>0</v>
      </c>
      <c r="GH49" s="561">
        <v>0</v>
      </c>
      <c r="GI49" s="561">
        <v>0</v>
      </c>
      <c r="GJ49" s="561">
        <v>0</v>
      </c>
      <c r="GK49" s="561">
        <v>0</v>
      </c>
      <c r="GL49" s="561">
        <v>0</v>
      </c>
      <c r="GM49" s="561">
        <v>0</v>
      </c>
      <c r="GN49" s="561">
        <v>0</v>
      </c>
      <c r="GO49" s="561">
        <v>0</v>
      </c>
      <c r="GP49" s="561">
        <v>0</v>
      </c>
      <c r="GQ49" s="561">
        <v>0</v>
      </c>
      <c r="GR49" s="561">
        <v>0</v>
      </c>
      <c r="GS49" s="561">
        <v>0</v>
      </c>
      <c r="GT49" s="561">
        <v>0</v>
      </c>
      <c r="GU49" s="561">
        <v>0</v>
      </c>
      <c r="GV49" s="561">
        <v>0</v>
      </c>
      <c r="GW49" s="561">
        <v>0</v>
      </c>
      <c r="GX49" s="561">
        <v>0</v>
      </c>
      <c r="GY49" s="561">
        <v>0</v>
      </c>
      <c r="GZ49" s="561">
        <v>0</v>
      </c>
      <c r="HA49" s="561">
        <v>0</v>
      </c>
      <c r="HB49" s="561">
        <v>0</v>
      </c>
      <c r="HC49" s="561">
        <v>0</v>
      </c>
      <c r="HD49" s="561">
        <v>0</v>
      </c>
      <c r="HE49" s="561">
        <v>0</v>
      </c>
      <c r="HF49" s="561">
        <v>0</v>
      </c>
      <c r="HG49" s="561">
        <v>0</v>
      </c>
      <c r="HH49" s="561">
        <v>0</v>
      </c>
      <c r="HI49" s="561">
        <v>0</v>
      </c>
      <c r="HJ49" s="561">
        <v>1770</v>
      </c>
      <c r="HK49" s="561">
        <v>24819</v>
      </c>
      <c r="HL49" s="561">
        <v>0</v>
      </c>
      <c r="HM49" s="561">
        <v>26589</v>
      </c>
      <c r="HN49" s="561">
        <v>0</v>
      </c>
      <c r="HO49" s="561">
        <v>1480</v>
      </c>
      <c r="HP49" s="561">
        <v>0</v>
      </c>
      <c r="HQ49" s="561">
        <v>0</v>
      </c>
      <c r="HR49" s="561">
        <v>0</v>
      </c>
      <c r="HS49" s="561">
        <v>0</v>
      </c>
      <c r="HT49" s="561">
        <v>0</v>
      </c>
      <c r="HU49" s="561">
        <v>0</v>
      </c>
      <c r="HV49" s="561">
        <v>0</v>
      </c>
      <c r="HW49" s="561">
        <v>0</v>
      </c>
      <c r="HX49" s="561">
        <v>0</v>
      </c>
      <c r="HY49" s="561">
        <v>0</v>
      </c>
      <c r="HZ49" s="561">
        <v>0</v>
      </c>
      <c r="IA49" s="561">
        <v>0</v>
      </c>
      <c r="IB49" s="561">
        <v>0</v>
      </c>
      <c r="IC49" s="561">
        <v>0</v>
      </c>
      <c r="ID49" s="561">
        <v>0</v>
      </c>
      <c r="IE49" s="561">
        <v>254</v>
      </c>
      <c r="IF49" s="561">
        <v>0</v>
      </c>
      <c r="IG49" s="561">
        <v>0</v>
      </c>
      <c r="IH49" s="561">
        <v>9300</v>
      </c>
      <c r="II49" s="561">
        <v>11034</v>
      </c>
      <c r="IJ49" s="561">
        <v>0</v>
      </c>
      <c r="IK49" s="561">
        <v>0</v>
      </c>
      <c r="IL49" s="561">
        <v>0</v>
      </c>
      <c r="IM49" s="561">
        <v>0</v>
      </c>
      <c r="IN49" s="561">
        <v>0</v>
      </c>
      <c r="IO49" s="561">
        <v>392</v>
      </c>
      <c r="IP49" s="561">
        <v>0</v>
      </c>
      <c r="IQ49" s="561">
        <v>0</v>
      </c>
      <c r="IR49" s="561">
        <v>0</v>
      </c>
      <c r="IS49" s="561">
        <v>0</v>
      </c>
      <c r="IT49" s="561">
        <v>0</v>
      </c>
      <c r="IU49" s="561">
        <v>0</v>
      </c>
      <c r="IV49" s="561">
        <v>0</v>
      </c>
      <c r="IW49" s="561">
        <v>0</v>
      </c>
      <c r="IX49" s="561">
        <v>0</v>
      </c>
      <c r="IY49" s="561">
        <v>0</v>
      </c>
      <c r="IZ49" s="561">
        <v>0</v>
      </c>
      <c r="JA49" s="561">
        <v>0</v>
      </c>
      <c r="JB49" s="561">
        <v>26589</v>
      </c>
      <c r="JC49" s="561">
        <v>11034</v>
      </c>
      <c r="JD49" s="561">
        <v>0</v>
      </c>
      <c r="JE49" s="561">
        <v>37623</v>
      </c>
      <c r="JF49" s="561">
        <v>0</v>
      </c>
      <c r="JG49" s="561">
        <v>0</v>
      </c>
      <c r="JH49" s="561">
        <v>0</v>
      </c>
      <c r="JI49" s="561">
        <v>0</v>
      </c>
      <c r="JJ49" s="561">
        <v>0</v>
      </c>
      <c r="JK49" s="561">
        <v>0</v>
      </c>
      <c r="JL49" s="561">
        <v>0</v>
      </c>
      <c r="JM49" s="561">
        <v>0</v>
      </c>
      <c r="JN49" s="561">
        <v>0</v>
      </c>
      <c r="JO49" s="561">
        <v>0</v>
      </c>
      <c r="JP49" s="561">
        <v>0</v>
      </c>
      <c r="JQ49" s="561">
        <v>0</v>
      </c>
      <c r="JR49" s="561">
        <v>0</v>
      </c>
      <c r="JS49" s="561">
        <v>0</v>
      </c>
      <c r="JT49" s="561">
        <v>0</v>
      </c>
      <c r="JU49" s="561">
        <v>0</v>
      </c>
      <c r="JV49" s="561">
        <v>37623</v>
      </c>
      <c r="JW49" s="561">
        <v>0</v>
      </c>
      <c r="JX49" s="561">
        <v>1823</v>
      </c>
      <c r="JY49" s="561">
        <v>0</v>
      </c>
      <c r="JZ49" s="561">
        <v>0</v>
      </c>
      <c r="KA49" s="561">
        <v>0</v>
      </c>
      <c r="KB49" s="561">
        <v>0</v>
      </c>
      <c r="KC49" s="561">
        <v>47</v>
      </c>
      <c r="KD49" s="561">
        <v>0</v>
      </c>
      <c r="KE49" s="561">
        <v>214</v>
      </c>
      <c r="KF49" s="561">
        <v>0</v>
      </c>
      <c r="KG49" s="561">
        <v>39707</v>
      </c>
      <c r="KH49" s="561">
        <v>-1237</v>
      </c>
      <c r="KI49" s="561">
        <v>0</v>
      </c>
      <c r="KJ49" s="561">
        <v>0</v>
      </c>
      <c r="KK49" s="561">
        <v>0</v>
      </c>
      <c r="KL49" s="561">
        <v>0</v>
      </c>
      <c r="KM49" s="561">
        <v>0</v>
      </c>
      <c r="KN49" s="561">
        <v>0</v>
      </c>
      <c r="KO49" s="561">
        <v>0</v>
      </c>
      <c r="KP49" s="561">
        <v>0</v>
      </c>
      <c r="KQ49" s="561">
        <v>0</v>
      </c>
      <c r="KR49" s="561">
        <v>38470</v>
      </c>
      <c r="KS49" s="561">
        <v>0</v>
      </c>
      <c r="KT49" s="561">
        <v>-2985</v>
      </c>
      <c r="KU49" s="561">
        <v>35485</v>
      </c>
      <c r="KV49" s="561">
        <v>0</v>
      </c>
      <c r="KW49" s="561">
        <v>0</v>
      </c>
      <c r="KX49" s="561">
        <v>0</v>
      </c>
      <c r="KY49" s="561">
        <v>0</v>
      </c>
      <c r="KZ49" s="561">
        <v>2388</v>
      </c>
      <c r="LA49" s="561">
        <v>415</v>
      </c>
      <c r="LB49" s="561">
        <v>-4036</v>
      </c>
      <c r="LC49" s="561">
        <v>0</v>
      </c>
      <c r="LD49" s="561">
        <v>-7264</v>
      </c>
      <c r="LE49" s="561">
        <v>-101</v>
      </c>
      <c r="LF49" s="561">
        <v>-73</v>
      </c>
      <c r="LG49" s="561">
        <v>26091</v>
      </c>
      <c r="LH49" s="561">
        <v>0</v>
      </c>
      <c r="LI49" s="561">
        <v>0</v>
      </c>
      <c r="LJ49" s="561">
        <v>0</v>
      </c>
      <c r="LK49" s="561">
        <v>0</v>
      </c>
      <c r="LL49" s="561">
        <v>10480</v>
      </c>
      <c r="LM49" s="561">
        <v>1625</v>
      </c>
      <c r="LN49" s="561">
        <v>0</v>
      </c>
      <c r="LO49" s="561">
        <v>0</v>
      </c>
      <c r="LP49" s="561">
        <v>0</v>
      </c>
      <c r="LQ49" s="561">
        <v>0</v>
      </c>
      <c r="LR49" s="561">
        <v>12868</v>
      </c>
      <c r="LS49" s="561">
        <v>2040</v>
      </c>
      <c r="LT49" s="561">
        <v>0</v>
      </c>
      <c r="LU49" s="561">
        <v>0</v>
      </c>
      <c r="LV49" s="561">
        <v>0</v>
      </c>
      <c r="LW49" s="561">
        <v>0</v>
      </c>
      <c r="LX49" s="561">
        <v>0</v>
      </c>
      <c r="LY49" s="561">
        <v>0</v>
      </c>
      <c r="LZ49" s="561">
        <v>0</v>
      </c>
      <c r="MA49" s="561">
        <v>0</v>
      </c>
      <c r="MB49" s="561">
        <v>0</v>
      </c>
      <c r="MC49" s="561">
        <v>0</v>
      </c>
      <c r="MD49" s="561">
        <v>0</v>
      </c>
      <c r="ME49" s="561">
        <v>0</v>
      </c>
      <c r="MF49" s="561">
        <v>0</v>
      </c>
      <c r="MG49" s="561">
        <v>0</v>
      </c>
      <c r="MH49" s="561">
        <v>0</v>
      </c>
      <c r="MI49" s="561">
        <v>0</v>
      </c>
      <c r="MJ49" s="561">
        <v>0</v>
      </c>
      <c r="MK49" s="561">
        <v>0</v>
      </c>
      <c r="ML49" s="561">
        <v>0</v>
      </c>
      <c r="MM49" s="561">
        <v>12868</v>
      </c>
      <c r="MN49" s="561">
        <v>0</v>
      </c>
      <c r="MO49" s="561">
        <v>0</v>
      </c>
      <c r="MP49" s="561">
        <v>0</v>
      </c>
      <c r="MQ49" s="561">
        <v>0</v>
      </c>
      <c r="MR49" s="561">
        <v>0</v>
      </c>
      <c r="MS49" s="561">
        <v>0</v>
      </c>
      <c r="MT49" s="561">
        <v>0</v>
      </c>
      <c r="MU49" s="561">
        <v>0</v>
      </c>
      <c r="MV49" s="561">
        <v>0</v>
      </c>
      <c r="MW49" s="561">
        <v>0</v>
      </c>
      <c r="MX49" s="561">
        <v>0</v>
      </c>
      <c r="MY49" s="561">
        <v>0</v>
      </c>
      <c r="MZ49" s="561">
        <v>0</v>
      </c>
      <c r="NA49" s="561">
        <v>26589</v>
      </c>
      <c r="NB49" s="561">
        <v>11034</v>
      </c>
      <c r="NC49" s="561">
        <v>0</v>
      </c>
      <c r="ND49" s="561">
        <v>37623</v>
      </c>
      <c r="NE49" s="561">
        <v>0</v>
      </c>
      <c r="NF49" s="561">
        <v>0</v>
      </c>
      <c r="NG49" s="561">
        <v>0</v>
      </c>
      <c r="NH49" s="561">
        <v>0</v>
      </c>
      <c r="NI49" s="561">
        <v>0</v>
      </c>
      <c r="NJ49" s="561">
        <v>0</v>
      </c>
      <c r="NK49" s="561">
        <v>0</v>
      </c>
      <c r="NL49" s="561">
        <v>0</v>
      </c>
      <c r="NM49" s="561">
        <v>0</v>
      </c>
      <c r="NN49" s="561">
        <v>0</v>
      </c>
      <c r="NO49" s="561">
        <v>0</v>
      </c>
      <c r="NP49" s="561">
        <v>0</v>
      </c>
      <c r="NQ49" s="561">
        <v>0</v>
      </c>
      <c r="NR49" s="561">
        <v>0</v>
      </c>
      <c r="NS49" s="561">
        <v>0</v>
      </c>
      <c r="NT49" s="561">
        <v>0</v>
      </c>
      <c r="NU49" s="561">
        <v>0</v>
      </c>
      <c r="NV49" s="561">
        <v>0</v>
      </c>
      <c r="NW49" s="561">
        <v>0</v>
      </c>
      <c r="NX49" s="561">
        <v>0</v>
      </c>
      <c r="NY49" s="561">
        <v>0</v>
      </c>
      <c r="NZ49" s="561">
        <v>0</v>
      </c>
      <c r="OA49" s="561">
        <v>0</v>
      </c>
      <c r="OB49" s="561">
        <v>0</v>
      </c>
      <c r="OC49" s="561">
        <v>0</v>
      </c>
      <c r="OD49" s="561">
        <v>0</v>
      </c>
      <c r="OE49" s="561">
        <v>0</v>
      </c>
      <c r="OF49" s="561">
        <v>0</v>
      </c>
      <c r="OG49" s="561">
        <v>0</v>
      </c>
      <c r="OH49" s="561">
        <v>0</v>
      </c>
      <c r="OI49" s="561">
        <v>0</v>
      </c>
      <c r="OJ49" s="561">
        <v>0</v>
      </c>
      <c r="OK49" s="561">
        <v>0</v>
      </c>
      <c r="OL49" s="561">
        <v>0</v>
      </c>
      <c r="OM49" s="561">
        <v>0</v>
      </c>
      <c r="ON49" s="561">
        <v>0</v>
      </c>
      <c r="OO49" s="561">
        <v>0</v>
      </c>
      <c r="OP49" s="561">
        <v>0</v>
      </c>
      <c r="OQ49" s="561">
        <v>0</v>
      </c>
      <c r="OR49" s="561">
        <v>0</v>
      </c>
      <c r="OS49" s="561">
        <v>0</v>
      </c>
      <c r="OT49" s="561">
        <v>0</v>
      </c>
      <c r="OU49" s="561">
        <v>0</v>
      </c>
      <c r="OV49" s="561">
        <v>0</v>
      </c>
      <c r="OW49" s="561">
        <v>0</v>
      </c>
      <c r="OX49" s="561">
        <v>0</v>
      </c>
      <c r="OY49" s="561">
        <v>0</v>
      </c>
      <c r="OZ49" s="561">
        <v>0</v>
      </c>
      <c r="PA49" s="561">
        <v>0</v>
      </c>
      <c r="PB49" s="561">
        <v>0</v>
      </c>
      <c r="PC49" s="561">
        <v>0</v>
      </c>
      <c r="PD49" s="561">
        <v>0</v>
      </c>
      <c r="PE49" s="561">
        <v>0</v>
      </c>
      <c r="PF49" s="561">
        <v>0</v>
      </c>
      <c r="PG49" s="561">
        <v>0</v>
      </c>
      <c r="PH49" s="561">
        <v>0</v>
      </c>
      <c r="PI49" s="561">
        <v>0</v>
      </c>
      <c r="PJ49" s="561">
        <v>0</v>
      </c>
    </row>
    <row r="50" spans="1:426" ht="14" x14ac:dyDescent="0.3">
      <c r="A50" t="s">
        <v>2577</v>
      </c>
      <c r="B50" t="s">
        <v>2578</v>
      </c>
      <c r="C50" t="s">
        <v>3717</v>
      </c>
      <c r="E50" t="s">
        <v>385</v>
      </c>
      <c r="F50" s="561">
        <v>68421</v>
      </c>
      <c r="G50" s="561">
        <v>197667</v>
      </c>
      <c r="H50" s="561">
        <v>50874</v>
      </c>
      <c r="I50" s="561">
        <v>86432</v>
      </c>
      <c r="J50" s="561">
        <v>11238</v>
      </c>
      <c r="K50" s="561">
        <v>70656</v>
      </c>
      <c r="L50" s="561">
        <v>485288</v>
      </c>
      <c r="M50" s="561">
        <v>128</v>
      </c>
      <c r="N50" s="561">
        <v>-166</v>
      </c>
      <c r="O50" s="561">
        <v>1772</v>
      </c>
      <c r="P50" s="561">
        <v>1395</v>
      </c>
      <c r="Q50" s="561">
        <v>9386</v>
      </c>
      <c r="R50" s="561">
        <v>959</v>
      </c>
      <c r="S50" s="561">
        <v>1495</v>
      </c>
      <c r="T50" s="561">
        <v>11268</v>
      </c>
      <c r="U50" s="561">
        <v>3053</v>
      </c>
      <c r="V50" s="561">
        <v>4730</v>
      </c>
      <c r="W50" s="561">
        <v>0</v>
      </c>
      <c r="X50" s="561">
        <v>0</v>
      </c>
      <c r="Y50" s="561">
        <v>825</v>
      </c>
      <c r="Z50" s="561">
        <v>-360</v>
      </c>
      <c r="AA50" s="561">
        <v>-1325</v>
      </c>
      <c r="AB50" s="561">
        <v>-1553</v>
      </c>
      <c r="AC50" s="561">
        <v>5576</v>
      </c>
      <c r="AD50" s="561">
        <v>0</v>
      </c>
      <c r="AE50" s="561">
        <v>4613</v>
      </c>
      <c r="AF50" s="561">
        <v>0</v>
      </c>
      <c r="AG50" s="561">
        <v>0</v>
      </c>
      <c r="AH50" s="561">
        <v>1068</v>
      </c>
      <c r="AI50" s="561">
        <v>0</v>
      </c>
      <c r="AJ50" s="561">
        <v>42736</v>
      </c>
      <c r="AK50" s="561">
        <v>936</v>
      </c>
      <c r="AL50" s="561">
        <v>0</v>
      </c>
      <c r="AM50" s="561">
        <v>0</v>
      </c>
      <c r="AN50" s="561">
        <v>0</v>
      </c>
      <c r="AO50" s="561">
        <v>0</v>
      </c>
      <c r="AP50" s="561">
        <v>0</v>
      </c>
      <c r="AQ50" s="561">
        <v>0</v>
      </c>
      <c r="AR50" s="561">
        <v>0</v>
      </c>
      <c r="AS50" s="561">
        <v>140</v>
      </c>
      <c r="AT50" s="561">
        <v>1709</v>
      </c>
      <c r="AU50" s="561">
        <v>0</v>
      </c>
      <c r="AV50" s="561">
        <v>0</v>
      </c>
      <c r="AW50" s="561">
        <v>0</v>
      </c>
      <c r="AX50" s="561">
        <v>0</v>
      </c>
      <c r="AY50" s="561">
        <v>83186</v>
      </c>
      <c r="AZ50" s="561">
        <v>46</v>
      </c>
      <c r="BA50" s="561">
        <v>19976</v>
      </c>
      <c r="BB50" s="561">
        <v>1056</v>
      </c>
      <c r="BC50" s="561">
        <v>32336</v>
      </c>
      <c r="BD50" s="561">
        <v>0</v>
      </c>
      <c r="BE50" s="561">
        <v>1927</v>
      </c>
      <c r="BF50" s="561">
        <v>138527</v>
      </c>
      <c r="BG50" s="561">
        <v>8361</v>
      </c>
      <c r="BH50" s="561">
        <v>23211</v>
      </c>
      <c r="BI50" s="561">
        <v>61737</v>
      </c>
      <c r="BJ50" s="561">
        <v>786</v>
      </c>
      <c r="BK50" s="561">
        <v>228</v>
      </c>
      <c r="BL50" s="561">
        <v>1909</v>
      </c>
      <c r="BM50" s="561">
        <v>7652</v>
      </c>
      <c r="BN50" s="561">
        <v>76553</v>
      </c>
      <c r="BO50" s="561">
        <v>4295</v>
      </c>
      <c r="BP50" s="561">
        <v>14538</v>
      </c>
      <c r="BQ50" s="561">
        <v>7115</v>
      </c>
      <c r="BR50" s="561">
        <v>0</v>
      </c>
      <c r="BS50" s="561">
        <v>0</v>
      </c>
      <c r="BT50" s="561">
        <v>0</v>
      </c>
      <c r="BU50" s="561">
        <v>2294</v>
      </c>
      <c r="BV50" s="561">
        <v>-334</v>
      </c>
      <c r="BW50" s="561">
        <v>16855</v>
      </c>
      <c r="BX50" s="561">
        <v>612</v>
      </c>
      <c r="BY50" s="561">
        <v>9302</v>
      </c>
      <c r="BZ50" s="561">
        <v>226753</v>
      </c>
      <c r="CA50" s="561">
        <v>2681</v>
      </c>
      <c r="CB50" s="561">
        <v>3415</v>
      </c>
      <c r="CC50" s="561">
        <v>829</v>
      </c>
      <c r="CD50" s="561">
        <v>82</v>
      </c>
      <c r="CE50" s="561">
        <v>680</v>
      </c>
      <c r="CF50" s="561">
        <v>216</v>
      </c>
      <c r="CG50" s="561">
        <v>62</v>
      </c>
      <c r="CH50" s="561">
        <v>163</v>
      </c>
      <c r="CI50" s="561">
        <v>450</v>
      </c>
      <c r="CJ50" s="561">
        <v>195</v>
      </c>
      <c r="CK50" s="561">
        <v>271</v>
      </c>
      <c r="CL50" s="561">
        <v>110</v>
      </c>
      <c r="CM50" s="561">
        <v>2399</v>
      </c>
      <c r="CN50" s="561">
        <v>1028</v>
      </c>
      <c r="CO50" s="561">
        <v>881</v>
      </c>
      <c r="CP50" s="561">
        <v>588</v>
      </c>
      <c r="CQ50" s="561">
        <v>438</v>
      </c>
      <c r="CR50" s="561">
        <v>523</v>
      </c>
      <c r="CS50" s="561">
        <v>576</v>
      </c>
      <c r="CT50" s="561">
        <v>1751</v>
      </c>
      <c r="CU50" s="561">
        <v>6885</v>
      </c>
      <c r="CV50" s="561">
        <v>874</v>
      </c>
      <c r="CW50" s="561">
        <v>56</v>
      </c>
      <c r="CX50" s="561">
        <v>406</v>
      </c>
      <c r="CY50" s="561">
        <v>2236</v>
      </c>
      <c r="CZ50" s="561">
        <v>25114</v>
      </c>
      <c r="DA50" s="561">
        <v>62</v>
      </c>
      <c r="DB50" s="561">
        <v>0</v>
      </c>
      <c r="DC50" s="561">
        <v>0</v>
      </c>
      <c r="DD50" s="561">
        <v>0</v>
      </c>
      <c r="DE50" s="561">
        <v>0</v>
      </c>
      <c r="DF50" s="561">
        <v>0</v>
      </c>
      <c r="DG50" s="561">
        <v>0</v>
      </c>
      <c r="DH50" s="561">
        <v>3661</v>
      </c>
      <c r="DI50" s="561">
        <v>0</v>
      </c>
      <c r="DJ50" s="561">
        <v>0</v>
      </c>
      <c r="DK50" s="561">
        <v>0</v>
      </c>
      <c r="DL50" s="561">
        <v>0</v>
      </c>
      <c r="DM50" s="561">
        <v>0</v>
      </c>
      <c r="DN50" s="561">
        <v>0</v>
      </c>
      <c r="DO50" s="561">
        <v>3938</v>
      </c>
      <c r="DP50" s="561">
        <v>682</v>
      </c>
      <c r="DQ50" s="561">
        <v>151</v>
      </c>
      <c r="DR50" s="561">
        <v>1030</v>
      </c>
      <c r="DS50" s="561">
        <v>3422</v>
      </c>
      <c r="DT50" s="561">
        <v>1166</v>
      </c>
      <c r="DU50" s="561">
        <v>10389</v>
      </c>
      <c r="DV50" s="561">
        <v>792</v>
      </c>
      <c r="DW50" s="561">
        <v>0</v>
      </c>
      <c r="DX50" s="561">
        <v>0</v>
      </c>
      <c r="DY50" s="561">
        <v>791</v>
      </c>
      <c r="DZ50" s="561">
        <v>-293</v>
      </c>
      <c r="EA50" s="561">
        <v>955</v>
      </c>
      <c r="EB50" s="561">
        <v>0</v>
      </c>
      <c r="EC50" s="561">
        <v>16295</v>
      </c>
      <c r="ED50" s="561">
        <v>240</v>
      </c>
      <c r="EE50" s="561">
        <v>0</v>
      </c>
      <c r="EF50" s="561">
        <v>0</v>
      </c>
      <c r="EG50" s="561">
        <v>0</v>
      </c>
      <c r="EH50" s="561">
        <v>0</v>
      </c>
      <c r="EI50" s="561">
        <v>0</v>
      </c>
      <c r="EJ50" s="561">
        <v>0</v>
      </c>
      <c r="EK50" s="561">
        <v>0</v>
      </c>
      <c r="EL50" s="561">
        <v>0</v>
      </c>
      <c r="EM50" s="561">
        <v>0</v>
      </c>
      <c r="EN50" s="561">
        <v>0</v>
      </c>
      <c r="EO50" s="561">
        <v>0</v>
      </c>
      <c r="EP50" s="561">
        <v>0</v>
      </c>
      <c r="EQ50" s="561">
        <v>0</v>
      </c>
      <c r="ER50" s="561">
        <v>0</v>
      </c>
      <c r="ES50" s="561" t="s">
        <v>4565</v>
      </c>
      <c r="ET50" s="561">
        <v>0</v>
      </c>
      <c r="EU50" s="561">
        <v>0</v>
      </c>
      <c r="EV50" s="561">
        <v>0</v>
      </c>
      <c r="EW50" s="561">
        <v>0</v>
      </c>
      <c r="EX50" s="561">
        <v>0</v>
      </c>
      <c r="EY50" s="561">
        <v>0</v>
      </c>
      <c r="EZ50" s="561">
        <v>0</v>
      </c>
      <c r="FA50" s="561">
        <v>0</v>
      </c>
      <c r="FB50" s="561">
        <v>478</v>
      </c>
      <c r="FC50" s="561">
        <v>0</v>
      </c>
      <c r="FD50" s="561">
        <v>0</v>
      </c>
      <c r="FE50" s="561">
        <v>545</v>
      </c>
      <c r="FF50" s="561">
        <v>351</v>
      </c>
      <c r="FG50" s="561">
        <v>-63</v>
      </c>
      <c r="FH50" s="561">
        <v>0</v>
      </c>
      <c r="FI50" s="561">
        <v>477</v>
      </c>
      <c r="FJ50" s="561">
        <v>-301</v>
      </c>
      <c r="FK50" s="561">
        <v>2173</v>
      </c>
      <c r="FL50" s="561">
        <v>47</v>
      </c>
      <c r="FM50" s="561">
        <v>0</v>
      </c>
      <c r="FN50" s="561">
        <v>4801</v>
      </c>
      <c r="FO50" s="561">
        <v>8508</v>
      </c>
      <c r="FP50" s="561">
        <v>0</v>
      </c>
      <c r="FQ50" s="561">
        <v>-722</v>
      </c>
      <c r="FR50" s="561">
        <v>950</v>
      </c>
      <c r="FS50" s="561">
        <v>0</v>
      </c>
      <c r="FT50" s="561">
        <v>0</v>
      </c>
      <c r="FU50" s="561">
        <v>3356</v>
      </c>
      <c r="FV50" s="561">
        <v>1091</v>
      </c>
      <c r="FW50" s="561">
        <v>0</v>
      </c>
      <c r="FX50" s="561">
        <v>0</v>
      </c>
      <c r="FY50" s="561">
        <v>0</v>
      </c>
      <c r="FZ50" s="561">
        <v>54</v>
      </c>
      <c r="GA50" s="561">
        <v>555</v>
      </c>
      <c r="GB50" s="561">
        <v>92</v>
      </c>
      <c r="GC50" s="561">
        <v>286</v>
      </c>
      <c r="GD50" s="561">
        <v>2792</v>
      </c>
      <c r="GE50" s="561">
        <v>481</v>
      </c>
      <c r="GF50" s="561">
        <v>593</v>
      </c>
      <c r="GG50" s="561">
        <v>2769</v>
      </c>
      <c r="GH50" s="561">
        <v>0</v>
      </c>
      <c r="GI50" s="561">
        <v>0</v>
      </c>
      <c r="GJ50" s="561">
        <v>0</v>
      </c>
      <c r="GK50" s="561">
        <v>0</v>
      </c>
      <c r="GL50" s="561">
        <v>2701</v>
      </c>
      <c r="GM50" s="561">
        <v>24087</v>
      </c>
      <c r="GN50" s="561">
        <v>-3961</v>
      </c>
      <c r="GO50" s="561">
        <v>-930</v>
      </c>
      <c r="GP50" s="561">
        <v>0</v>
      </c>
      <c r="GQ50" s="561">
        <v>0</v>
      </c>
      <c r="GR50" s="561">
        <v>0</v>
      </c>
      <c r="GS50" s="561">
        <v>34194</v>
      </c>
      <c r="GT50" s="561">
        <v>391</v>
      </c>
      <c r="GU50" s="561">
        <v>1073</v>
      </c>
      <c r="GV50" s="561">
        <v>8100</v>
      </c>
      <c r="GW50" s="561">
        <v>0</v>
      </c>
      <c r="GX50" s="561">
        <v>2519</v>
      </c>
      <c r="GY50" s="561">
        <v>2858</v>
      </c>
      <c r="GZ50" s="561">
        <v>5976</v>
      </c>
      <c r="HA50" s="561">
        <v>0</v>
      </c>
      <c r="HB50" s="561">
        <v>0</v>
      </c>
      <c r="HC50" s="561">
        <v>0</v>
      </c>
      <c r="HD50" s="561">
        <v>20526</v>
      </c>
      <c r="HE50" s="561">
        <v>1518</v>
      </c>
      <c r="HF50" s="561">
        <v>63228</v>
      </c>
      <c r="HG50" s="561">
        <v>1909</v>
      </c>
      <c r="HH50" s="561">
        <v>0</v>
      </c>
      <c r="HI50" s="561">
        <v>0</v>
      </c>
      <c r="HJ50" s="561">
        <v>0</v>
      </c>
      <c r="HK50" s="561">
        <v>0</v>
      </c>
      <c r="HL50" s="561">
        <v>0</v>
      </c>
      <c r="HM50" s="561">
        <v>0</v>
      </c>
      <c r="HN50" s="561">
        <v>0</v>
      </c>
      <c r="HO50" s="561">
        <v>9130</v>
      </c>
      <c r="HP50" s="561">
        <v>2388</v>
      </c>
      <c r="HQ50" s="561">
        <v>0</v>
      </c>
      <c r="HR50" s="561">
        <v>363</v>
      </c>
      <c r="HS50" s="561">
        <v>0</v>
      </c>
      <c r="HT50" s="561">
        <v>635</v>
      </c>
      <c r="HU50" s="561">
        <v>0</v>
      </c>
      <c r="HV50" s="561">
        <v>165</v>
      </c>
      <c r="HW50" s="561">
        <v>1094</v>
      </c>
      <c r="HX50" s="561">
        <v>2768</v>
      </c>
      <c r="HY50" s="561">
        <v>543</v>
      </c>
      <c r="HZ50" s="561">
        <v>-361</v>
      </c>
      <c r="IA50" s="561">
        <v>6810</v>
      </c>
      <c r="IB50" s="561">
        <v>229</v>
      </c>
      <c r="IC50" s="561">
        <v>1481</v>
      </c>
      <c r="ID50" s="561">
        <v>0</v>
      </c>
      <c r="IE50" s="561">
        <v>4868</v>
      </c>
      <c r="IF50" s="561">
        <v>0</v>
      </c>
      <c r="IG50" s="561">
        <v>178</v>
      </c>
      <c r="IH50" s="561">
        <v>0</v>
      </c>
      <c r="II50" s="561">
        <v>30291</v>
      </c>
      <c r="IJ50" s="561">
        <v>218</v>
      </c>
      <c r="IK50" s="561">
        <v>0</v>
      </c>
      <c r="IL50" s="561">
        <v>81481</v>
      </c>
      <c r="IM50" s="561">
        <v>0</v>
      </c>
      <c r="IN50" s="561">
        <v>0</v>
      </c>
      <c r="IO50" s="561">
        <v>0</v>
      </c>
      <c r="IP50" s="561">
        <v>0</v>
      </c>
      <c r="IQ50" s="561">
        <v>0</v>
      </c>
      <c r="IR50" s="561">
        <v>485288</v>
      </c>
      <c r="IS50" s="561">
        <v>42736</v>
      </c>
      <c r="IT50" s="561">
        <v>138527</v>
      </c>
      <c r="IU50" s="561">
        <v>226753</v>
      </c>
      <c r="IV50" s="561">
        <v>25114</v>
      </c>
      <c r="IW50" s="561">
        <v>16295</v>
      </c>
      <c r="IX50" s="561">
        <v>8508</v>
      </c>
      <c r="IY50" s="561">
        <v>34194</v>
      </c>
      <c r="IZ50" s="561">
        <v>20526</v>
      </c>
      <c r="JA50" s="561">
        <v>0</v>
      </c>
      <c r="JB50" s="561">
        <v>0</v>
      </c>
      <c r="JC50" s="561">
        <v>30291</v>
      </c>
      <c r="JD50" s="561">
        <v>0</v>
      </c>
      <c r="JE50" s="561">
        <v>1028232</v>
      </c>
      <c r="JF50" s="561">
        <v>76856</v>
      </c>
      <c r="JG50" s="561">
        <v>0</v>
      </c>
      <c r="JH50" s="561">
        <v>0</v>
      </c>
      <c r="JI50" s="561">
        <v>0</v>
      </c>
      <c r="JJ50" s="561">
        <v>0</v>
      </c>
      <c r="JK50" s="561">
        <v>20493</v>
      </c>
      <c r="JL50" s="561">
        <v>0</v>
      </c>
      <c r="JM50" s="561">
        <v>0</v>
      </c>
      <c r="JN50" s="561">
        <v>0</v>
      </c>
      <c r="JO50" s="561">
        <v>0</v>
      </c>
      <c r="JP50" s="561">
        <v>0</v>
      </c>
      <c r="JQ50" s="561">
        <v>-60</v>
      </c>
      <c r="JR50" s="561">
        <v>0</v>
      </c>
      <c r="JS50" s="561">
        <v>0</v>
      </c>
      <c r="JT50" s="561">
        <v>0</v>
      </c>
      <c r="JU50" s="561">
        <v>0</v>
      </c>
      <c r="JV50" s="561">
        <v>1125521</v>
      </c>
      <c r="JW50" s="561">
        <v>535</v>
      </c>
      <c r="JX50" s="561">
        <v>28456</v>
      </c>
      <c r="JY50" s="561">
        <v>0</v>
      </c>
      <c r="JZ50" s="561">
        <v>0</v>
      </c>
      <c r="KA50" s="561">
        <v>0</v>
      </c>
      <c r="KB50" s="561">
        <v>-441</v>
      </c>
      <c r="KC50" s="561">
        <v>14879</v>
      </c>
      <c r="KD50" s="561">
        <v>0</v>
      </c>
      <c r="KE50" s="561">
        <v>9078</v>
      </c>
      <c r="KF50" s="561">
        <v>0</v>
      </c>
      <c r="KG50" s="561">
        <v>1178028</v>
      </c>
      <c r="KH50" s="561">
        <v>-33072</v>
      </c>
      <c r="KI50" s="561">
        <v>0</v>
      </c>
      <c r="KJ50" s="561">
        <v>0</v>
      </c>
      <c r="KK50" s="561">
        <v>0</v>
      </c>
      <c r="KL50" s="561">
        <v>-79933</v>
      </c>
      <c r="KM50" s="561">
        <v>0</v>
      </c>
      <c r="KN50" s="561">
        <v>0</v>
      </c>
      <c r="KO50" s="561">
        <v>0</v>
      </c>
      <c r="KP50" s="561">
        <v>0</v>
      </c>
      <c r="KQ50" s="561">
        <v>-17964</v>
      </c>
      <c r="KR50" s="561">
        <v>1047059</v>
      </c>
      <c r="KS50" s="561">
        <v>0</v>
      </c>
      <c r="KT50" s="561">
        <v>-515732</v>
      </c>
      <c r="KU50" s="561">
        <v>531327</v>
      </c>
      <c r="KV50" s="561">
        <v>-460</v>
      </c>
      <c r="KW50" s="561">
        <v>-3152</v>
      </c>
      <c r="KX50" s="561">
        <v>0</v>
      </c>
      <c r="KY50" s="561">
        <v>110</v>
      </c>
      <c r="KZ50" s="561">
        <v>-13375</v>
      </c>
      <c r="LA50" s="561">
        <v>0</v>
      </c>
      <c r="LB50" s="561">
        <v>-601</v>
      </c>
      <c r="LC50" s="561">
        <v>0</v>
      </c>
      <c r="LD50" s="561">
        <v>-66421</v>
      </c>
      <c r="LE50" s="561">
        <v>422</v>
      </c>
      <c r="LF50" s="561">
        <v>0</v>
      </c>
      <c r="LG50" s="561">
        <v>447850</v>
      </c>
      <c r="LH50" s="561">
        <v>23713</v>
      </c>
      <c r="LI50" s="561">
        <v>-6533</v>
      </c>
      <c r="LJ50" s="561">
        <v>0</v>
      </c>
      <c r="LK50" s="561">
        <v>6049</v>
      </c>
      <c r="LL50" s="561">
        <v>214267</v>
      </c>
      <c r="LM50" s="561">
        <v>42766</v>
      </c>
      <c r="LN50" s="561">
        <v>20561</v>
      </c>
      <c r="LO50" s="561">
        <v>-24497</v>
      </c>
      <c r="LP50" s="561">
        <v>0</v>
      </c>
      <c r="LQ50" s="561">
        <v>6159</v>
      </c>
      <c r="LR50" s="561">
        <v>200892</v>
      </c>
      <c r="LS50" s="561">
        <v>42766</v>
      </c>
      <c r="LT50" s="561">
        <v>0</v>
      </c>
      <c r="LU50" s="561">
        <v>0</v>
      </c>
      <c r="LV50" s="561">
        <v>0</v>
      </c>
      <c r="LW50" s="561">
        <v>0</v>
      </c>
      <c r="LX50" s="561">
        <v>0</v>
      </c>
      <c r="LY50" s="561">
        <v>0</v>
      </c>
      <c r="LZ50" s="561">
        <v>0</v>
      </c>
      <c r="MA50" s="561">
        <v>0</v>
      </c>
      <c r="MB50" s="561">
        <v>0</v>
      </c>
      <c r="MC50" s="561">
        <v>0</v>
      </c>
      <c r="MD50" s="561">
        <v>0</v>
      </c>
      <c r="ME50" s="561">
        <v>0</v>
      </c>
      <c r="MF50" s="561">
        <v>0</v>
      </c>
      <c r="MG50" s="561">
        <v>0</v>
      </c>
      <c r="MH50" s="561">
        <v>12395</v>
      </c>
      <c r="MI50" s="561">
        <v>21545</v>
      </c>
      <c r="MJ50" s="561">
        <v>33940</v>
      </c>
      <c r="MK50" s="561">
        <v>0</v>
      </c>
      <c r="ML50" s="561">
        <v>0</v>
      </c>
      <c r="MM50" s="561">
        <v>109891</v>
      </c>
      <c r="MN50" s="561">
        <v>38866</v>
      </c>
      <c r="MO50" s="561">
        <v>48392</v>
      </c>
      <c r="MP50" s="561">
        <v>3743</v>
      </c>
      <c r="MQ50" s="561">
        <v>485288</v>
      </c>
      <c r="MR50" s="561">
        <v>42736</v>
      </c>
      <c r="MS50" s="561">
        <v>138527</v>
      </c>
      <c r="MT50" s="561">
        <v>226753</v>
      </c>
      <c r="MU50" s="561">
        <v>25114</v>
      </c>
      <c r="MV50" s="561">
        <v>16295</v>
      </c>
      <c r="MW50" s="561">
        <v>8508</v>
      </c>
      <c r="MX50" s="561">
        <v>34194</v>
      </c>
      <c r="MY50" s="561">
        <v>20526</v>
      </c>
      <c r="MZ50" s="561">
        <v>0</v>
      </c>
      <c r="NA50" s="561">
        <v>0</v>
      </c>
      <c r="NB50" s="561">
        <v>30291</v>
      </c>
      <c r="NC50" s="561">
        <v>0</v>
      </c>
      <c r="ND50" s="561">
        <v>1028232</v>
      </c>
      <c r="NE50" s="561">
        <v>0</v>
      </c>
      <c r="NF50" s="561">
        <v>0</v>
      </c>
      <c r="NG50" s="561">
        <v>0</v>
      </c>
      <c r="NH50" s="561">
        <v>0</v>
      </c>
      <c r="NI50" s="561">
        <v>0</v>
      </c>
      <c r="NJ50" s="561">
        <v>0</v>
      </c>
      <c r="NK50" s="561">
        <v>0</v>
      </c>
      <c r="NL50" s="561">
        <v>0</v>
      </c>
      <c r="NM50" s="561">
        <v>0</v>
      </c>
      <c r="NN50" s="561">
        <v>0</v>
      </c>
      <c r="NO50" s="561">
        <v>0</v>
      </c>
      <c r="NP50" s="561">
        <v>0</v>
      </c>
      <c r="NQ50" s="561">
        <v>0</v>
      </c>
      <c r="NR50" s="561">
        <v>0</v>
      </c>
      <c r="NS50" s="561">
        <v>0</v>
      </c>
      <c r="NT50" s="561">
        <v>0</v>
      </c>
      <c r="NU50" s="561">
        <v>0</v>
      </c>
      <c r="NV50" s="561">
        <v>0</v>
      </c>
      <c r="NW50" s="561">
        <v>0</v>
      </c>
      <c r="NX50" s="561">
        <v>0</v>
      </c>
      <c r="NY50" s="561">
        <v>0</v>
      </c>
      <c r="NZ50" s="561">
        <v>0</v>
      </c>
      <c r="OA50" s="561">
        <v>0</v>
      </c>
      <c r="OB50" s="561">
        <v>0</v>
      </c>
      <c r="OC50" s="561">
        <v>0</v>
      </c>
      <c r="OD50" s="561">
        <v>0</v>
      </c>
      <c r="OE50" s="561">
        <v>0</v>
      </c>
      <c r="OF50" s="561">
        <v>0</v>
      </c>
      <c r="OG50" s="561">
        <v>0</v>
      </c>
      <c r="OH50" s="561">
        <v>0</v>
      </c>
      <c r="OI50" s="561">
        <v>0</v>
      </c>
      <c r="OJ50" s="561">
        <v>0</v>
      </c>
      <c r="OK50" s="561">
        <v>0</v>
      </c>
      <c r="OL50" s="561">
        <v>0</v>
      </c>
      <c r="OM50" s="561">
        <v>-60</v>
      </c>
      <c r="ON50" s="561">
        <v>0</v>
      </c>
      <c r="OO50" s="561">
        <v>0</v>
      </c>
      <c r="OP50" s="561">
        <v>0</v>
      </c>
      <c r="OQ50" s="561">
        <v>0</v>
      </c>
      <c r="OR50" s="561">
        <v>0</v>
      </c>
      <c r="OS50" s="561">
        <v>0</v>
      </c>
      <c r="OT50" s="561">
        <v>0</v>
      </c>
      <c r="OU50" s="561">
        <v>0</v>
      </c>
      <c r="OV50" s="561">
        <v>172</v>
      </c>
      <c r="OW50" s="561">
        <v>0</v>
      </c>
      <c r="OX50" s="561">
        <v>-60</v>
      </c>
      <c r="OY50" s="561">
        <v>0</v>
      </c>
      <c r="OZ50" s="561">
        <v>0</v>
      </c>
      <c r="PA50" s="561">
        <v>0</v>
      </c>
      <c r="PB50" s="561">
        <v>0</v>
      </c>
      <c r="PC50" s="561">
        <v>0</v>
      </c>
      <c r="PD50" s="561">
        <v>0</v>
      </c>
      <c r="PE50" s="561">
        <v>0</v>
      </c>
      <c r="PF50" s="561">
        <v>0</v>
      </c>
      <c r="PG50" s="561">
        <v>0</v>
      </c>
      <c r="PH50" s="561">
        <v>0</v>
      </c>
      <c r="PI50" s="561">
        <v>0</v>
      </c>
      <c r="PJ50" s="561">
        <v>0</v>
      </c>
    </row>
    <row r="51" spans="1:426" ht="14" x14ac:dyDescent="0.3">
      <c r="A51" t="s">
        <v>2580</v>
      </c>
      <c r="B51" t="s">
        <v>2581</v>
      </c>
      <c r="C51" t="s">
        <v>2582</v>
      </c>
      <c r="E51" t="s">
        <v>384</v>
      </c>
      <c r="F51" s="561">
        <v>0</v>
      </c>
      <c r="G51" s="561">
        <v>0</v>
      </c>
      <c r="H51" s="561">
        <v>0</v>
      </c>
      <c r="I51" s="561">
        <v>0</v>
      </c>
      <c r="J51" s="561">
        <v>0</v>
      </c>
      <c r="K51" s="561">
        <v>0</v>
      </c>
      <c r="L51" s="561">
        <v>0</v>
      </c>
      <c r="M51" s="561">
        <v>0</v>
      </c>
      <c r="N51" s="561">
        <v>0</v>
      </c>
      <c r="O51" s="561">
        <v>0</v>
      </c>
      <c r="P51" s="561">
        <v>0</v>
      </c>
      <c r="Q51" s="561">
        <v>0</v>
      </c>
      <c r="R51" s="561">
        <v>0</v>
      </c>
      <c r="S51" s="561">
        <v>0</v>
      </c>
      <c r="T51" s="561">
        <v>41</v>
      </c>
      <c r="U51" s="561">
        <v>0</v>
      </c>
      <c r="V51" s="561">
        <v>91</v>
      </c>
      <c r="W51" s="561">
        <v>0</v>
      </c>
      <c r="X51" s="561">
        <v>0</v>
      </c>
      <c r="Y51" s="561">
        <v>0</v>
      </c>
      <c r="Z51" s="561">
        <v>0</v>
      </c>
      <c r="AA51" s="561">
        <v>0</v>
      </c>
      <c r="AB51" s="561">
        <v>-405</v>
      </c>
      <c r="AC51" s="561">
        <v>0</v>
      </c>
      <c r="AD51" s="561">
        <v>0</v>
      </c>
      <c r="AE51" s="561">
        <v>0</v>
      </c>
      <c r="AF51" s="561">
        <v>0</v>
      </c>
      <c r="AG51" s="561">
        <v>0</v>
      </c>
      <c r="AH51" s="561">
        <v>77</v>
      </c>
      <c r="AI51" s="561">
        <v>0</v>
      </c>
      <c r="AJ51" s="561">
        <v>-196</v>
      </c>
      <c r="AK51" s="561">
        <v>0</v>
      </c>
      <c r="AL51" s="561">
        <v>0</v>
      </c>
      <c r="AM51" s="561">
        <v>0</v>
      </c>
      <c r="AN51" s="561">
        <v>0</v>
      </c>
      <c r="AO51" s="561">
        <v>0</v>
      </c>
      <c r="AP51" s="561">
        <v>0</v>
      </c>
      <c r="AQ51" s="561">
        <v>0</v>
      </c>
      <c r="AR51" s="561">
        <v>0</v>
      </c>
      <c r="AS51" s="561">
        <v>0</v>
      </c>
      <c r="AT51" s="561">
        <v>0</v>
      </c>
      <c r="AU51" s="561">
        <v>0</v>
      </c>
      <c r="AV51" s="561">
        <v>0</v>
      </c>
      <c r="AW51" s="561">
        <v>0</v>
      </c>
      <c r="AX51" s="561">
        <v>0</v>
      </c>
      <c r="AY51" s="561">
        <v>0</v>
      </c>
      <c r="AZ51" s="561">
        <v>0</v>
      </c>
      <c r="BA51" s="561">
        <v>0</v>
      </c>
      <c r="BB51" s="561">
        <v>0</v>
      </c>
      <c r="BC51" s="561">
        <v>0</v>
      </c>
      <c r="BD51" s="561">
        <v>0</v>
      </c>
      <c r="BE51" s="561">
        <v>0</v>
      </c>
      <c r="BF51" s="561">
        <v>0</v>
      </c>
      <c r="BG51" s="561">
        <v>0</v>
      </c>
      <c r="BH51" s="561">
        <v>0</v>
      </c>
      <c r="BI51" s="561">
        <v>0</v>
      </c>
      <c r="BJ51" s="561">
        <v>0</v>
      </c>
      <c r="BK51" s="561">
        <v>5</v>
      </c>
      <c r="BL51" s="561">
        <v>0</v>
      </c>
      <c r="BM51" s="561">
        <v>0</v>
      </c>
      <c r="BN51" s="561">
        <v>0</v>
      </c>
      <c r="BO51" s="561">
        <v>0</v>
      </c>
      <c r="BP51" s="561">
        <v>0</v>
      </c>
      <c r="BQ51" s="561">
        <v>0</v>
      </c>
      <c r="BR51" s="561">
        <v>0</v>
      </c>
      <c r="BS51" s="561">
        <v>0</v>
      </c>
      <c r="BT51" s="561">
        <v>0</v>
      </c>
      <c r="BU51" s="561">
        <v>0</v>
      </c>
      <c r="BV51" s="561">
        <v>0</v>
      </c>
      <c r="BW51" s="561">
        <v>0</v>
      </c>
      <c r="BX51" s="561">
        <v>0</v>
      </c>
      <c r="BY51" s="561">
        <v>0</v>
      </c>
      <c r="BZ51" s="561">
        <v>5</v>
      </c>
      <c r="CA51" s="561">
        <v>0</v>
      </c>
      <c r="CB51" s="561">
        <v>0</v>
      </c>
      <c r="CC51" s="561">
        <v>0</v>
      </c>
      <c r="CD51" s="561">
        <v>0</v>
      </c>
      <c r="CE51" s="561">
        <v>0</v>
      </c>
      <c r="CF51" s="561">
        <v>0</v>
      </c>
      <c r="CG51" s="561">
        <v>0</v>
      </c>
      <c r="CH51" s="561">
        <v>0</v>
      </c>
      <c r="CI51" s="561">
        <v>0</v>
      </c>
      <c r="CJ51" s="561">
        <v>0</v>
      </c>
      <c r="CK51" s="561">
        <v>0</v>
      </c>
      <c r="CL51" s="561">
        <v>0</v>
      </c>
      <c r="CM51" s="561">
        <v>0</v>
      </c>
      <c r="CN51" s="561">
        <v>0</v>
      </c>
      <c r="CO51" s="561">
        <v>0</v>
      </c>
      <c r="CP51" s="561">
        <v>0</v>
      </c>
      <c r="CQ51" s="561">
        <v>0</v>
      </c>
      <c r="CR51" s="561">
        <v>0</v>
      </c>
      <c r="CS51" s="561">
        <v>0</v>
      </c>
      <c r="CT51" s="561">
        <v>0</v>
      </c>
      <c r="CU51" s="561">
        <v>0</v>
      </c>
      <c r="CV51" s="561">
        <v>0</v>
      </c>
      <c r="CW51" s="561">
        <v>0</v>
      </c>
      <c r="CX51" s="561">
        <v>0</v>
      </c>
      <c r="CY51" s="561">
        <v>0</v>
      </c>
      <c r="CZ51" s="561">
        <v>0</v>
      </c>
      <c r="DA51" s="561">
        <v>0</v>
      </c>
      <c r="DB51" s="561">
        <v>0</v>
      </c>
      <c r="DC51" s="561">
        <v>0</v>
      </c>
      <c r="DD51" s="561">
        <v>0</v>
      </c>
      <c r="DE51" s="561">
        <v>0</v>
      </c>
      <c r="DF51" s="561">
        <v>0</v>
      </c>
      <c r="DG51" s="561">
        <v>0</v>
      </c>
      <c r="DH51" s="561">
        <v>394</v>
      </c>
      <c r="DI51" s="561">
        <v>0</v>
      </c>
      <c r="DJ51" s="561">
        <v>610</v>
      </c>
      <c r="DK51" s="561">
        <v>589</v>
      </c>
      <c r="DL51" s="561">
        <v>520</v>
      </c>
      <c r="DM51" s="561">
        <v>0</v>
      </c>
      <c r="DN51" s="561">
        <v>0</v>
      </c>
      <c r="DO51" s="561">
        <v>0</v>
      </c>
      <c r="DP51" s="561">
        <v>0</v>
      </c>
      <c r="DQ51" s="561">
        <v>0</v>
      </c>
      <c r="DR51" s="561">
        <v>0</v>
      </c>
      <c r="DS51" s="561">
        <v>0</v>
      </c>
      <c r="DT51" s="561">
        <v>131</v>
      </c>
      <c r="DU51" s="561">
        <v>651</v>
      </c>
      <c r="DV51" s="561">
        <v>0</v>
      </c>
      <c r="DW51" s="561">
        <v>0</v>
      </c>
      <c r="DX51" s="561">
        <v>3</v>
      </c>
      <c r="DY51" s="561">
        <v>763</v>
      </c>
      <c r="DZ51" s="561">
        <v>0</v>
      </c>
      <c r="EA51" s="561">
        <v>0</v>
      </c>
      <c r="EB51" s="561">
        <v>0</v>
      </c>
      <c r="EC51" s="561">
        <v>3010</v>
      </c>
      <c r="ED51" s="561">
        <v>0</v>
      </c>
      <c r="EE51" s="561">
        <v>0</v>
      </c>
      <c r="EF51" s="561">
        <v>0</v>
      </c>
      <c r="EG51" s="561">
        <v>0</v>
      </c>
      <c r="EH51" s="561">
        <v>0</v>
      </c>
      <c r="EI51" s="561">
        <v>0</v>
      </c>
      <c r="EJ51" s="561">
        <v>0</v>
      </c>
      <c r="EK51" s="561">
        <v>0</v>
      </c>
      <c r="EL51" s="561">
        <v>0</v>
      </c>
      <c r="EM51" s="561">
        <v>0</v>
      </c>
      <c r="EN51" s="561">
        <v>0</v>
      </c>
      <c r="EO51" s="561">
        <v>0</v>
      </c>
      <c r="EP51" s="561">
        <v>0</v>
      </c>
      <c r="EQ51" s="561">
        <v>0</v>
      </c>
      <c r="ER51" s="561">
        <v>0</v>
      </c>
      <c r="ES51" s="561" t="s">
        <v>4565</v>
      </c>
      <c r="ET51" s="561">
        <v>0</v>
      </c>
      <c r="EU51" s="561">
        <v>0</v>
      </c>
      <c r="EV51" s="561">
        <v>0</v>
      </c>
      <c r="EW51" s="561">
        <v>0</v>
      </c>
      <c r="EX51" s="561">
        <v>0</v>
      </c>
      <c r="EY51" s="561">
        <v>0</v>
      </c>
      <c r="EZ51" s="561">
        <v>0</v>
      </c>
      <c r="FA51" s="561">
        <v>0</v>
      </c>
      <c r="FB51" s="561">
        <v>0</v>
      </c>
      <c r="FC51" s="561">
        <v>2</v>
      </c>
      <c r="FD51" s="561">
        <v>0</v>
      </c>
      <c r="FE51" s="561">
        <v>641</v>
      </c>
      <c r="FF51" s="561">
        <v>231</v>
      </c>
      <c r="FG51" s="561">
        <v>51</v>
      </c>
      <c r="FH51" s="561">
        <v>0</v>
      </c>
      <c r="FI51" s="561">
        <v>-2</v>
      </c>
      <c r="FJ51" s="561">
        <v>2388</v>
      </c>
      <c r="FK51" s="561">
        <v>1970</v>
      </c>
      <c r="FL51" s="561">
        <v>0</v>
      </c>
      <c r="FM51" s="561">
        <v>0</v>
      </c>
      <c r="FN51" s="561">
        <v>0</v>
      </c>
      <c r="FO51" s="561">
        <v>5281</v>
      </c>
      <c r="FP51" s="561">
        <v>0</v>
      </c>
      <c r="FQ51" s="561">
        <v>-480</v>
      </c>
      <c r="FR51" s="561">
        <v>0</v>
      </c>
      <c r="FS51" s="561">
        <v>0</v>
      </c>
      <c r="FT51" s="561">
        <v>190</v>
      </c>
      <c r="FU51" s="561">
        <v>370</v>
      </c>
      <c r="FV51" s="561">
        <v>46</v>
      </c>
      <c r="FW51" s="561">
        <v>44</v>
      </c>
      <c r="FX51" s="561">
        <v>0</v>
      </c>
      <c r="FY51" s="561">
        <v>0</v>
      </c>
      <c r="FZ51" s="561">
        <v>132</v>
      </c>
      <c r="GA51" s="561">
        <v>53</v>
      </c>
      <c r="GB51" s="561">
        <v>139</v>
      </c>
      <c r="GC51" s="561">
        <v>116</v>
      </c>
      <c r="GD51" s="561">
        <v>429</v>
      </c>
      <c r="GE51" s="561">
        <v>0</v>
      </c>
      <c r="GF51" s="561">
        <v>190</v>
      </c>
      <c r="GG51" s="561">
        <v>0</v>
      </c>
      <c r="GH51" s="561">
        <v>17</v>
      </c>
      <c r="GI51" s="561">
        <v>0</v>
      </c>
      <c r="GJ51" s="561">
        <v>0</v>
      </c>
      <c r="GK51" s="561">
        <v>13</v>
      </c>
      <c r="GL51" s="561">
        <v>1512</v>
      </c>
      <c r="GM51" s="561">
        <v>972</v>
      </c>
      <c r="GN51" s="561">
        <v>0</v>
      </c>
      <c r="GO51" s="561">
        <v>-159</v>
      </c>
      <c r="GP51" s="561">
        <v>800</v>
      </c>
      <c r="GQ51" s="561">
        <v>0</v>
      </c>
      <c r="GR51" s="561">
        <v>0</v>
      </c>
      <c r="GS51" s="561">
        <v>4384</v>
      </c>
      <c r="GT51" s="561">
        <v>0</v>
      </c>
      <c r="GU51" s="561">
        <v>171</v>
      </c>
      <c r="GV51" s="561">
        <v>666</v>
      </c>
      <c r="GW51" s="561">
        <v>0</v>
      </c>
      <c r="GX51" s="561">
        <v>217</v>
      </c>
      <c r="GY51" s="561">
        <v>9</v>
      </c>
      <c r="GZ51" s="561">
        <v>2545</v>
      </c>
      <c r="HA51" s="561">
        <v>0</v>
      </c>
      <c r="HB51" s="561">
        <v>-782</v>
      </c>
      <c r="HC51" s="561">
        <v>539</v>
      </c>
      <c r="HD51" s="561">
        <v>3365</v>
      </c>
      <c r="HE51" s="561">
        <v>0</v>
      </c>
      <c r="HF51" s="561">
        <v>13030</v>
      </c>
      <c r="HG51" s="561">
        <v>0</v>
      </c>
      <c r="HH51" s="561">
        <v>0</v>
      </c>
      <c r="HI51" s="561">
        <v>0</v>
      </c>
      <c r="HJ51" s="561">
        <v>0</v>
      </c>
      <c r="HK51" s="561">
        <v>0</v>
      </c>
      <c r="HL51" s="561">
        <v>0</v>
      </c>
      <c r="HM51" s="561">
        <v>0</v>
      </c>
      <c r="HN51" s="561">
        <v>0</v>
      </c>
      <c r="HO51" s="561">
        <v>3316</v>
      </c>
      <c r="HP51" s="561">
        <v>371</v>
      </c>
      <c r="HQ51" s="561">
        <v>0</v>
      </c>
      <c r="HR51" s="561">
        <v>0</v>
      </c>
      <c r="HS51" s="561">
        <v>54</v>
      </c>
      <c r="HT51" s="561">
        <v>-13</v>
      </c>
      <c r="HU51" s="561">
        <v>0</v>
      </c>
      <c r="HV51" s="561">
        <v>0</v>
      </c>
      <c r="HW51" s="561">
        <v>164</v>
      </c>
      <c r="HX51" s="561">
        <v>509</v>
      </c>
      <c r="HY51" s="561">
        <v>12</v>
      </c>
      <c r="HZ51" s="561">
        <v>20</v>
      </c>
      <c r="IA51" s="561">
        <v>0</v>
      </c>
      <c r="IB51" s="561">
        <v>30</v>
      </c>
      <c r="IC51" s="561">
        <v>0</v>
      </c>
      <c r="ID51" s="561">
        <v>0</v>
      </c>
      <c r="IE51" s="561">
        <v>468</v>
      </c>
      <c r="IF51" s="561">
        <v>344</v>
      </c>
      <c r="IG51" s="561">
        <v>0</v>
      </c>
      <c r="IH51" s="561">
        <v>-2131</v>
      </c>
      <c r="II51" s="561">
        <v>3144</v>
      </c>
      <c r="IJ51" s="561">
        <v>0</v>
      </c>
      <c r="IK51" s="561">
        <v>0</v>
      </c>
      <c r="IL51" s="561">
        <v>13429</v>
      </c>
      <c r="IM51" s="561">
        <v>0</v>
      </c>
      <c r="IN51" s="561">
        <v>635</v>
      </c>
      <c r="IO51" s="561">
        <v>0</v>
      </c>
      <c r="IP51" s="561">
        <v>0</v>
      </c>
      <c r="IQ51" s="561">
        <v>0</v>
      </c>
      <c r="IR51" s="561">
        <v>0</v>
      </c>
      <c r="IS51" s="561">
        <v>-196</v>
      </c>
      <c r="IT51" s="561">
        <v>0</v>
      </c>
      <c r="IU51" s="561">
        <v>5</v>
      </c>
      <c r="IV51" s="561">
        <v>0</v>
      </c>
      <c r="IW51" s="561">
        <v>3010</v>
      </c>
      <c r="IX51" s="561">
        <v>5281</v>
      </c>
      <c r="IY51" s="561">
        <v>4384</v>
      </c>
      <c r="IZ51" s="561">
        <v>3365</v>
      </c>
      <c r="JA51" s="561">
        <v>0</v>
      </c>
      <c r="JB51" s="561">
        <v>0</v>
      </c>
      <c r="JC51" s="561">
        <v>3144</v>
      </c>
      <c r="JD51" s="561">
        <v>0</v>
      </c>
      <c r="JE51" s="561">
        <v>18993</v>
      </c>
      <c r="JF51" s="561">
        <v>23744</v>
      </c>
      <c r="JG51" s="561">
        <v>117</v>
      </c>
      <c r="JH51" s="561">
        <v>0</v>
      </c>
      <c r="JI51" s="561">
        <v>0</v>
      </c>
      <c r="JJ51" s="561">
        <v>0</v>
      </c>
      <c r="JK51" s="561">
        <v>188</v>
      </c>
      <c r="JL51" s="561">
        <v>0</v>
      </c>
      <c r="JM51" s="561">
        <v>0</v>
      </c>
      <c r="JN51" s="561">
        <v>0</v>
      </c>
      <c r="JO51" s="561">
        <v>0</v>
      </c>
      <c r="JP51" s="561">
        <v>262</v>
      </c>
      <c r="JQ51" s="561">
        <v>0</v>
      </c>
      <c r="JR51" s="561">
        <v>0</v>
      </c>
      <c r="JS51" s="561">
        <v>0</v>
      </c>
      <c r="JT51" s="561">
        <v>7</v>
      </c>
      <c r="JU51" s="561">
        <v>0</v>
      </c>
      <c r="JV51" s="561">
        <v>43311</v>
      </c>
      <c r="JW51" s="561">
        <v>0</v>
      </c>
      <c r="JX51" s="561">
        <v>1857</v>
      </c>
      <c r="JY51" s="561">
        <v>0</v>
      </c>
      <c r="JZ51" s="561">
        <v>0</v>
      </c>
      <c r="KA51" s="561">
        <v>0</v>
      </c>
      <c r="KB51" s="561">
        <v>0</v>
      </c>
      <c r="KC51" s="561">
        <v>1809</v>
      </c>
      <c r="KD51" s="561">
        <v>0</v>
      </c>
      <c r="KE51" s="561">
        <v>1811</v>
      </c>
      <c r="KF51" s="561">
        <v>0</v>
      </c>
      <c r="KG51" s="561">
        <v>48788</v>
      </c>
      <c r="KH51" s="561">
        <v>-1228</v>
      </c>
      <c r="KI51" s="561">
        <v>0</v>
      </c>
      <c r="KJ51" s="561">
        <v>0</v>
      </c>
      <c r="KK51" s="561">
        <v>0</v>
      </c>
      <c r="KL51" s="561">
        <v>-23990</v>
      </c>
      <c r="KM51" s="561">
        <v>0</v>
      </c>
      <c r="KN51" s="561">
        <v>0</v>
      </c>
      <c r="KO51" s="561">
        <v>0</v>
      </c>
      <c r="KP51" s="561">
        <v>0</v>
      </c>
      <c r="KQ51" s="561">
        <v>0</v>
      </c>
      <c r="KR51" s="561">
        <v>23570</v>
      </c>
      <c r="KS51" s="561">
        <v>0</v>
      </c>
      <c r="KT51" s="561">
        <v>-4791</v>
      </c>
      <c r="KU51" s="561">
        <v>18779</v>
      </c>
      <c r="KV51" s="561">
        <v>0</v>
      </c>
      <c r="KW51" s="561">
        <v>0</v>
      </c>
      <c r="KX51" s="561">
        <v>0</v>
      </c>
      <c r="KY51" s="561">
        <v>0</v>
      </c>
      <c r="KZ51" s="561">
        <v>-503</v>
      </c>
      <c r="LA51" s="561">
        <v>0</v>
      </c>
      <c r="LB51" s="561">
        <v>-2175</v>
      </c>
      <c r="LC51" s="561">
        <v>0</v>
      </c>
      <c r="LD51" s="561">
        <v>-8501</v>
      </c>
      <c r="LE51" s="561">
        <v>831</v>
      </c>
      <c r="LF51" s="561">
        <v>-188</v>
      </c>
      <c r="LG51" s="561">
        <v>8243</v>
      </c>
      <c r="LH51" s="561">
        <v>0</v>
      </c>
      <c r="LI51" s="561">
        <v>0</v>
      </c>
      <c r="LJ51" s="561">
        <v>0</v>
      </c>
      <c r="LK51" s="561">
        <v>0</v>
      </c>
      <c r="LL51" s="561">
        <v>25813</v>
      </c>
      <c r="LM51" s="561">
        <v>1379</v>
      </c>
      <c r="LN51" s="561">
        <v>0</v>
      </c>
      <c r="LO51" s="561">
        <v>0</v>
      </c>
      <c r="LP51" s="561">
        <v>0</v>
      </c>
      <c r="LQ51" s="561">
        <v>0</v>
      </c>
      <c r="LR51" s="561">
        <v>25310</v>
      </c>
      <c r="LS51" s="561">
        <v>1379</v>
      </c>
      <c r="LT51" s="561">
        <v>0</v>
      </c>
      <c r="LU51" s="561">
        <v>2966</v>
      </c>
      <c r="LV51" s="561">
        <v>0</v>
      </c>
      <c r="LW51" s="561">
        <v>0</v>
      </c>
      <c r="LX51" s="561">
        <v>-4350</v>
      </c>
      <c r="LY51" s="561">
        <v>12822</v>
      </c>
      <c r="LZ51" s="561">
        <v>23220</v>
      </c>
      <c r="MA51" s="561">
        <v>0</v>
      </c>
      <c r="MB51" s="561">
        <v>0</v>
      </c>
      <c r="MC51" s="561">
        <v>0</v>
      </c>
      <c r="MD51" s="561">
        <v>0</v>
      </c>
      <c r="ME51" s="561">
        <v>0</v>
      </c>
      <c r="MF51" s="561">
        <v>0</v>
      </c>
      <c r="MG51" s="561">
        <v>0</v>
      </c>
      <c r="MH51" s="561">
        <v>3466</v>
      </c>
      <c r="MI51" s="561">
        <v>7257</v>
      </c>
      <c r="MJ51" s="561">
        <v>10723</v>
      </c>
      <c r="MK51" s="561">
        <v>0</v>
      </c>
      <c r="ML51" s="561">
        <v>0</v>
      </c>
      <c r="MM51" s="561">
        <v>17156</v>
      </c>
      <c r="MN51" s="561">
        <v>6414</v>
      </c>
      <c r="MO51" s="561">
        <v>1740</v>
      </c>
      <c r="MP51" s="561">
        <v>0</v>
      </c>
      <c r="MQ51" s="561">
        <v>0</v>
      </c>
      <c r="MR51" s="561">
        <v>-196</v>
      </c>
      <c r="MS51" s="561">
        <v>0</v>
      </c>
      <c r="MT51" s="561">
        <v>5</v>
      </c>
      <c r="MU51" s="561">
        <v>0</v>
      </c>
      <c r="MV51" s="561">
        <v>3010</v>
      </c>
      <c r="MW51" s="561">
        <v>5281</v>
      </c>
      <c r="MX51" s="561">
        <v>4384</v>
      </c>
      <c r="MY51" s="561">
        <v>3365</v>
      </c>
      <c r="MZ51" s="561">
        <v>0</v>
      </c>
      <c r="NA51" s="561">
        <v>0</v>
      </c>
      <c r="NB51" s="561">
        <v>3144</v>
      </c>
      <c r="NC51" s="561">
        <v>0</v>
      </c>
      <c r="ND51" s="561">
        <v>18993</v>
      </c>
      <c r="NE51" s="561">
        <v>0</v>
      </c>
      <c r="NF51" s="561">
        <v>0</v>
      </c>
      <c r="NG51" s="561">
        <v>0</v>
      </c>
      <c r="NH51" s="561">
        <v>0</v>
      </c>
      <c r="NI51" s="561">
        <v>0</v>
      </c>
      <c r="NJ51" s="561">
        <v>0</v>
      </c>
      <c r="NK51" s="561">
        <v>0</v>
      </c>
      <c r="NL51" s="561">
        <v>0</v>
      </c>
      <c r="NM51" s="561">
        <v>0</v>
      </c>
      <c r="NN51" s="561">
        <v>0</v>
      </c>
      <c r="NO51" s="561">
        <v>0</v>
      </c>
      <c r="NP51" s="561">
        <v>0</v>
      </c>
      <c r="NQ51" s="561">
        <v>0</v>
      </c>
      <c r="NR51" s="561">
        <v>0</v>
      </c>
      <c r="NS51" s="561">
        <v>0</v>
      </c>
      <c r="NT51" s="561">
        <v>0</v>
      </c>
      <c r="NU51" s="561">
        <v>0</v>
      </c>
      <c r="NV51" s="561">
        <v>262</v>
      </c>
      <c r="NW51" s="561">
        <v>262</v>
      </c>
      <c r="NX51" s="561">
        <v>0</v>
      </c>
      <c r="NY51" s="561">
        <v>262</v>
      </c>
      <c r="NZ51" s="561">
        <v>0</v>
      </c>
      <c r="OA51" s="561">
        <v>0</v>
      </c>
      <c r="OB51" s="561">
        <v>0</v>
      </c>
      <c r="OC51" s="561">
        <v>0</v>
      </c>
      <c r="OD51" s="561">
        <v>0</v>
      </c>
      <c r="OE51" s="561">
        <v>0</v>
      </c>
      <c r="OF51" s="561">
        <v>0</v>
      </c>
      <c r="OG51" s="561">
        <v>0</v>
      </c>
      <c r="OH51" s="561">
        <v>0</v>
      </c>
      <c r="OI51" s="561">
        <v>0</v>
      </c>
      <c r="OJ51" s="561">
        <v>0</v>
      </c>
      <c r="OK51" s="561">
        <v>0</v>
      </c>
      <c r="OL51" s="561">
        <v>0</v>
      </c>
      <c r="OM51" s="561">
        <v>0</v>
      </c>
      <c r="ON51" s="561">
        <v>0</v>
      </c>
      <c r="OO51" s="561">
        <v>0</v>
      </c>
      <c r="OP51" s="561">
        <v>0</v>
      </c>
      <c r="OQ51" s="561">
        <v>0</v>
      </c>
      <c r="OR51" s="561">
        <v>0</v>
      </c>
      <c r="OS51" s="561">
        <v>0</v>
      </c>
      <c r="OT51" s="561">
        <v>0</v>
      </c>
      <c r="OU51" s="561">
        <v>0</v>
      </c>
      <c r="OV51" s="561">
        <v>0</v>
      </c>
      <c r="OW51" s="561">
        <v>0</v>
      </c>
      <c r="OX51" s="561">
        <v>0</v>
      </c>
      <c r="OY51" s="561">
        <v>0</v>
      </c>
      <c r="OZ51" s="561">
        <v>0</v>
      </c>
      <c r="PA51" s="561">
        <v>0</v>
      </c>
      <c r="PB51" s="561">
        <v>0</v>
      </c>
      <c r="PC51" s="561">
        <v>0</v>
      </c>
      <c r="PD51" s="561">
        <v>0</v>
      </c>
      <c r="PE51" s="561">
        <v>0</v>
      </c>
      <c r="PF51" s="561">
        <v>0</v>
      </c>
      <c r="PG51" s="561">
        <v>0</v>
      </c>
      <c r="PH51" s="561">
        <v>0</v>
      </c>
      <c r="PI51" s="561">
        <v>0</v>
      </c>
      <c r="PJ51" s="561">
        <v>0</v>
      </c>
    </row>
    <row r="52" spans="1:426" ht="14" x14ac:dyDescent="0.3">
      <c r="A52" t="s">
        <v>2583</v>
      </c>
      <c r="B52" t="s">
        <v>2584</v>
      </c>
      <c r="C52" t="s">
        <v>4579</v>
      </c>
      <c r="E52" t="s">
        <v>379</v>
      </c>
      <c r="F52" s="561">
        <v>20731</v>
      </c>
      <c r="G52" s="561">
        <v>51788</v>
      </c>
      <c r="H52" s="561">
        <v>31817</v>
      </c>
      <c r="I52" s="561">
        <v>28370</v>
      </c>
      <c r="J52" s="561">
        <v>1787</v>
      </c>
      <c r="K52" s="561">
        <v>14571</v>
      </c>
      <c r="L52" s="561">
        <v>149064</v>
      </c>
      <c r="M52" s="561">
        <v>3558</v>
      </c>
      <c r="N52" s="561">
        <v>2104</v>
      </c>
      <c r="O52" s="561">
        <v>8</v>
      </c>
      <c r="P52" s="561">
        <v>37</v>
      </c>
      <c r="Q52" s="561">
        <v>147</v>
      </c>
      <c r="R52" s="561">
        <v>341</v>
      </c>
      <c r="S52" s="561">
        <v>0</v>
      </c>
      <c r="T52" s="561">
        <v>0</v>
      </c>
      <c r="U52" s="561">
        <v>336</v>
      </c>
      <c r="V52" s="561">
        <v>797</v>
      </c>
      <c r="W52" s="561">
        <v>0</v>
      </c>
      <c r="X52" s="561">
        <v>-61</v>
      </c>
      <c r="Y52" s="561">
        <v>460</v>
      </c>
      <c r="Z52" s="561">
        <v>48</v>
      </c>
      <c r="AA52" s="561">
        <v>-325</v>
      </c>
      <c r="AB52" s="561">
        <v>-767</v>
      </c>
      <c r="AC52" s="561">
        <v>0</v>
      </c>
      <c r="AD52" s="561">
        <v>0</v>
      </c>
      <c r="AE52" s="561">
        <v>0</v>
      </c>
      <c r="AF52" s="561">
        <v>0</v>
      </c>
      <c r="AG52" s="561">
        <v>0</v>
      </c>
      <c r="AH52" s="561">
        <v>0</v>
      </c>
      <c r="AI52" s="561">
        <v>0</v>
      </c>
      <c r="AJ52" s="561">
        <v>3125</v>
      </c>
      <c r="AK52" s="561">
        <v>273</v>
      </c>
      <c r="AL52" s="561">
        <v>0</v>
      </c>
      <c r="AM52" s="561">
        <v>0</v>
      </c>
      <c r="AN52" s="561">
        <v>0</v>
      </c>
      <c r="AO52" s="561">
        <v>0</v>
      </c>
      <c r="AP52" s="561">
        <v>0</v>
      </c>
      <c r="AQ52" s="561">
        <v>0</v>
      </c>
      <c r="AR52" s="561">
        <v>0</v>
      </c>
      <c r="AS52" s="561">
        <v>612</v>
      </c>
      <c r="AT52" s="561">
        <v>252</v>
      </c>
      <c r="AU52" s="561">
        <v>0</v>
      </c>
      <c r="AV52" s="561">
        <v>0</v>
      </c>
      <c r="AW52" s="561">
        <v>0</v>
      </c>
      <c r="AX52" s="561">
        <v>0</v>
      </c>
      <c r="AY52" s="561">
        <v>34316</v>
      </c>
      <c r="AZ52" s="561">
        <v>0</v>
      </c>
      <c r="BA52" s="561">
        <v>5667</v>
      </c>
      <c r="BB52" s="561">
        <v>2756</v>
      </c>
      <c r="BC52" s="561">
        <v>12925</v>
      </c>
      <c r="BD52" s="561">
        <v>249</v>
      </c>
      <c r="BE52" s="561">
        <v>1315</v>
      </c>
      <c r="BF52" s="561">
        <v>57228</v>
      </c>
      <c r="BG52" s="561">
        <v>4120</v>
      </c>
      <c r="BH52" s="561">
        <v>3764</v>
      </c>
      <c r="BI52" s="561">
        <v>24115</v>
      </c>
      <c r="BJ52" s="561">
        <v>150</v>
      </c>
      <c r="BK52" s="561">
        <v>44</v>
      </c>
      <c r="BL52" s="561">
        <v>288</v>
      </c>
      <c r="BM52" s="561">
        <v>4670</v>
      </c>
      <c r="BN52" s="561">
        <v>26604</v>
      </c>
      <c r="BO52" s="561">
        <v>4735</v>
      </c>
      <c r="BP52" s="561">
        <v>7675</v>
      </c>
      <c r="BQ52" s="561">
        <v>4066</v>
      </c>
      <c r="BR52" s="561">
        <v>215</v>
      </c>
      <c r="BS52" s="561">
        <v>0</v>
      </c>
      <c r="BT52" s="561">
        <v>1342</v>
      </c>
      <c r="BU52" s="561">
        <v>456</v>
      </c>
      <c r="BV52" s="561">
        <v>812</v>
      </c>
      <c r="BW52" s="561">
        <v>8142</v>
      </c>
      <c r="BX52" s="561">
        <v>10</v>
      </c>
      <c r="BY52" s="561">
        <v>4499</v>
      </c>
      <c r="BZ52" s="561">
        <v>91587</v>
      </c>
      <c r="CA52" s="561">
        <v>1830</v>
      </c>
      <c r="CB52" s="561">
        <v>924</v>
      </c>
      <c r="CC52" s="561">
        <v>869</v>
      </c>
      <c r="CD52" s="561">
        <v>70</v>
      </c>
      <c r="CE52" s="561">
        <v>238</v>
      </c>
      <c r="CF52" s="561">
        <v>104</v>
      </c>
      <c r="CG52" s="561">
        <v>6</v>
      </c>
      <c r="CH52" s="561">
        <v>331</v>
      </c>
      <c r="CI52" s="561">
        <v>25</v>
      </c>
      <c r="CJ52" s="561">
        <v>25</v>
      </c>
      <c r="CK52" s="561">
        <v>6</v>
      </c>
      <c r="CL52" s="561">
        <v>6</v>
      </c>
      <c r="CM52" s="561">
        <v>1974</v>
      </c>
      <c r="CN52" s="561">
        <v>493</v>
      </c>
      <c r="CO52" s="561">
        <v>493</v>
      </c>
      <c r="CP52" s="561">
        <v>123</v>
      </c>
      <c r="CQ52" s="561">
        <v>101</v>
      </c>
      <c r="CR52" s="561">
        <v>238</v>
      </c>
      <c r="CS52" s="561">
        <v>0</v>
      </c>
      <c r="CT52" s="561">
        <v>1695</v>
      </c>
      <c r="CU52" s="561">
        <v>4110</v>
      </c>
      <c r="CV52" s="561">
        <v>0</v>
      </c>
      <c r="CW52" s="561">
        <v>56</v>
      </c>
      <c r="CX52" s="561">
        <v>31</v>
      </c>
      <c r="CY52" s="561">
        <v>530</v>
      </c>
      <c r="CZ52" s="561">
        <v>12448</v>
      </c>
      <c r="DA52" s="561">
        <v>0</v>
      </c>
      <c r="DB52" s="561">
        <v>180</v>
      </c>
      <c r="DC52" s="561">
        <v>0</v>
      </c>
      <c r="DD52" s="561">
        <v>90</v>
      </c>
      <c r="DE52" s="561">
        <v>0</v>
      </c>
      <c r="DF52" s="561">
        <v>0</v>
      </c>
      <c r="DG52" s="561">
        <v>0</v>
      </c>
      <c r="DH52" s="561">
        <v>2134</v>
      </c>
      <c r="DI52" s="561">
        <v>0</v>
      </c>
      <c r="DJ52" s="561">
        <v>5</v>
      </c>
      <c r="DK52" s="561">
        <v>296</v>
      </c>
      <c r="DL52" s="561">
        <v>0</v>
      </c>
      <c r="DM52" s="561">
        <v>0</v>
      </c>
      <c r="DN52" s="561">
        <v>0</v>
      </c>
      <c r="DO52" s="561">
        <v>1531</v>
      </c>
      <c r="DP52" s="561">
        <v>0</v>
      </c>
      <c r="DQ52" s="561">
        <v>0</v>
      </c>
      <c r="DR52" s="561">
        <v>0</v>
      </c>
      <c r="DS52" s="561">
        <v>22</v>
      </c>
      <c r="DT52" s="561">
        <v>568</v>
      </c>
      <c r="DU52" s="561">
        <v>2121</v>
      </c>
      <c r="DV52" s="561">
        <v>0</v>
      </c>
      <c r="DW52" s="561">
        <v>0</v>
      </c>
      <c r="DX52" s="561">
        <v>0</v>
      </c>
      <c r="DY52" s="561">
        <v>1112</v>
      </c>
      <c r="DZ52" s="561">
        <v>-20</v>
      </c>
      <c r="EA52" s="561">
        <v>1340</v>
      </c>
      <c r="EB52" s="561">
        <v>0</v>
      </c>
      <c r="EC52" s="561">
        <v>6988</v>
      </c>
      <c r="ED52" s="561">
        <v>3</v>
      </c>
      <c r="EE52" s="561">
        <v>36738</v>
      </c>
      <c r="EF52" s="561">
        <v>175</v>
      </c>
      <c r="EG52" s="561">
        <v>1029</v>
      </c>
      <c r="EH52" s="561">
        <v>1102</v>
      </c>
      <c r="EI52" s="561">
        <v>0</v>
      </c>
      <c r="EJ52" s="561">
        <v>649</v>
      </c>
      <c r="EK52" s="561">
        <v>0</v>
      </c>
      <c r="EL52" s="561">
        <v>0</v>
      </c>
      <c r="EM52" s="561">
        <v>0</v>
      </c>
      <c r="EN52" s="561">
        <v>9079</v>
      </c>
      <c r="EO52" s="561">
        <v>10433</v>
      </c>
      <c r="EP52" s="561">
        <v>1215</v>
      </c>
      <c r="EQ52" s="561">
        <v>183</v>
      </c>
      <c r="ER52" s="561">
        <v>4570</v>
      </c>
      <c r="ES52" s="561" t="s">
        <v>4565</v>
      </c>
      <c r="ET52" s="561">
        <v>204</v>
      </c>
      <c r="EU52" s="561">
        <v>0</v>
      </c>
      <c r="EV52" s="561">
        <v>25</v>
      </c>
      <c r="EW52" s="561">
        <v>0</v>
      </c>
      <c r="EX52" s="561">
        <v>7414</v>
      </c>
      <c r="EY52" s="561">
        <v>335</v>
      </c>
      <c r="EZ52" s="561">
        <v>6235</v>
      </c>
      <c r="FA52" s="561">
        <v>10508</v>
      </c>
      <c r="FB52" s="561">
        <v>73</v>
      </c>
      <c r="FC52" s="561">
        <v>141</v>
      </c>
      <c r="FD52" s="561">
        <v>0</v>
      </c>
      <c r="FE52" s="561">
        <v>426</v>
      </c>
      <c r="FF52" s="561">
        <v>0</v>
      </c>
      <c r="FG52" s="561">
        <v>0</v>
      </c>
      <c r="FH52" s="561">
        <v>0</v>
      </c>
      <c r="FI52" s="561">
        <v>230</v>
      </c>
      <c r="FJ52" s="561">
        <v>1155</v>
      </c>
      <c r="FK52" s="561">
        <v>2321</v>
      </c>
      <c r="FL52" s="561">
        <v>2</v>
      </c>
      <c r="FM52" s="561">
        <v>91</v>
      </c>
      <c r="FN52" s="561">
        <v>1485</v>
      </c>
      <c r="FO52" s="561">
        <v>5924</v>
      </c>
      <c r="FP52" s="561">
        <v>247</v>
      </c>
      <c r="FQ52" s="561">
        <v>-460</v>
      </c>
      <c r="FR52" s="561">
        <v>319</v>
      </c>
      <c r="FS52" s="561">
        <v>10</v>
      </c>
      <c r="FT52" s="561">
        <v>210</v>
      </c>
      <c r="FU52" s="561">
        <v>477</v>
      </c>
      <c r="FV52" s="561">
        <v>197</v>
      </c>
      <c r="FW52" s="561">
        <v>47</v>
      </c>
      <c r="FX52" s="561">
        <v>0</v>
      </c>
      <c r="FY52" s="561">
        <v>0</v>
      </c>
      <c r="FZ52" s="561">
        <v>17</v>
      </c>
      <c r="GA52" s="561">
        <v>4</v>
      </c>
      <c r="GB52" s="561">
        <v>147</v>
      </c>
      <c r="GC52" s="561">
        <v>19</v>
      </c>
      <c r="GD52" s="561">
        <v>0</v>
      </c>
      <c r="GE52" s="561">
        <v>118</v>
      </c>
      <c r="GF52" s="561">
        <v>-253</v>
      </c>
      <c r="GG52" s="561">
        <v>0</v>
      </c>
      <c r="GH52" s="561">
        <v>91</v>
      </c>
      <c r="GI52" s="561">
        <v>0</v>
      </c>
      <c r="GJ52" s="561">
        <v>0</v>
      </c>
      <c r="GK52" s="561">
        <v>0</v>
      </c>
      <c r="GL52" s="561">
        <v>1512</v>
      </c>
      <c r="GM52" s="561">
        <v>3851</v>
      </c>
      <c r="GN52" s="561">
        <v>0</v>
      </c>
      <c r="GO52" s="561">
        <v>-158</v>
      </c>
      <c r="GP52" s="561">
        <v>1767</v>
      </c>
      <c r="GQ52" s="561">
        <v>118</v>
      </c>
      <c r="GR52" s="561">
        <v>51</v>
      </c>
      <c r="GS52" s="561">
        <v>8084</v>
      </c>
      <c r="GT52" s="561">
        <v>796</v>
      </c>
      <c r="GU52" s="561">
        <v>133</v>
      </c>
      <c r="GV52" s="561">
        <v>309</v>
      </c>
      <c r="GW52" s="561">
        <v>0</v>
      </c>
      <c r="GX52" s="561">
        <v>461</v>
      </c>
      <c r="GY52" s="561">
        <v>141</v>
      </c>
      <c r="GZ52" s="561">
        <v>1273</v>
      </c>
      <c r="HA52" s="561">
        <v>0</v>
      </c>
      <c r="HB52" s="561">
        <v>254</v>
      </c>
      <c r="HC52" s="561">
        <v>51</v>
      </c>
      <c r="HD52" s="561">
        <v>2622</v>
      </c>
      <c r="HE52" s="561">
        <v>54</v>
      </c>
      <c r="HF52" s="561">
        <v>16630</v>
      </c>
      <c r="HG52" s="561">
        <v>1097</v>
      </c>
      <c r="HH52" s="561">
        <v>0</v>
      </c>
      <c r="HI52" s="561">
        <v>0</v>
      </c>
      <c r="HJ52" s="561">
        <v>0</v>
      </c>
      <c r="HK52" s="561">
        <v>0</v>
      </c>
      <c r="HL52" s="561">
        <v>0</v>
      </c>
      <c r="HM52" s="561">
        <v>0</v>
      </c>
      <c r="HN52" s="561">
        <v>0</v>
      </c>
      <c r="HO52" s="561">
        <v>2670</v>
      </c>
      <c r="HP52" s="561">
        <v>1652</v>
      </c>
      <c r="HQ52" s="561">
        <v>0</v>
      </c>
      <c r="HR52" s="561">
        <v>0</v>
      </c>
      <c r="HS52" s="561">
        <v>0</v>
      </c>
      <c r="HT52" s="561">
        <v>-257</v>
      </c>
      <c r="HU52" s="561">
        <v>0</v>
      </c>
      <c r="HV52" s="561">
        <v>60</v>
      </c>
      <c r="HW52" s="561">
        <v>377</v>
      </c>
      <c r="HX52" s="561">
        <v>888</v>
      </c>
      <c r="HY52" s="561">
        <v>0</v>
      </c>
      <c r="HZ52" s="561">
        <v>33</v>
      </c>
      <c r="IA52" s="561">
        <v>2618</v>
      </c>
      <c r="IB52" s="561">
        <v>857</v>
      </c>
      <c r="IC52" s="561">
        <v>1014</v>
      </c>
      <c r="ID52" s="561">
        <v>0</v>
      </c>
      <c r="IE52" s="561">
        <v>0</v>
      </c>
      <c r="IF52" s="561">
        <v>0</v>
      </c>
      <c r="IG52" s="561">
        <v>0</v>
      </c>
      <c r="IH52" s="561">
        <v>3804</v>
      </c>
      <c r="II52" s="561">
        <v>13716</v>
      </c>
      <c r="IJ52" s="561">
        <v>2273</v>
      </c>
      <c r="IK52" s="561">
        <v>1078</v>
      </c>
      <c r="IL52" s="561">
        <v>18309</v>
      </c>
      <c r="IM52" s="561">
        <v>0</v>
      </c>
      <c r="IN52" s="561">
        <v>5475</v>
      </c>
      <c r="IO52" s="561">
        <v>506</v>
      </c>
      <c r="IP52" s="561">
        <v>0</v>
      </c>
      <c r="IQ52" s="561">
        <v>0</v>
      </c>
      <c r="IR52" s="561">
        <v>149064</v>
      </c>
      <c r="IS52" s="561">
        <v>3125</v>
      </c>
      <c r="IT52" s="561">
        <v>57228</v>
      </c>
      <c r="IU52" s="561">
        <v>91587</v>
      </c>
      <c r="IV52" s="561">
        <v>12448</v>
      </c>
      <c r="IW52" s="561">
        <v>6988</v>
      </c>
      <c r="IX52" s="561">
        <v>5924</v>
      </c>
      <c r="IY52" s="561">
        <v>8084</v>
      </c>
      <c r="IZ52" s="561">
        <v>2622</v>
      </c>
      <c r="JA52" s="561">
        <v>0</v>
      </c>
      <c r="JB52" s="561">
        <v>0</v>
      </c>
      <c r="JC52" s="561">
        <v>13716</v>
      </c>
      <c r="JD52" s="561">
        <v>0</v>
      </c>
      <c r="JE52" s="561">
        <v>350786</v>
      </c>
      <c r="JF52" s="561">
        <v>22101</v>
      </c>
      <c r="JG52" s="561">
        <v>451</v>
      </c>
      <c r="JH52" s="561">
        <v>11022</v>
      </c>
      <c r="JI52" s="561">
        <v>0</v>
      </c>
      <c r="JJ52" s="561">
        <v>2</v>
      </c>
      <c r="JK52" s="561">
        <v>0</v>
      </c>
      <c r="JL52" s="561">
        <v>14368</v>
      </c>
      <c r="JM52" s="561">
        <v>11696</v>
      </c>
      <c r="JN52" s="561">
        <v>0</v>
      </c>
      <c r="JO52" s="561">
        <v>0</v>
      </c>
      <c r="JP52" s="561">
        <v>-512</v>
      </c>
      <c r="JQ52" s="561">
        <v>734</v>
      </c>
      <c r="JR52" s="561">
        <v>0</v>
      </c>
      <c r="JS52" s="561">
        <v>0</v>
      </c>
      <c r="JT52" s="561">
        <v>0</v>
      </c>
      <c r="JU52" s="561">
        <v>0</v>
      </c>
      <c r="JV52" s="561">
        <v>410648</v>
      </c>
      <c r="JW52" s="561">
        <v>114</v>
      </c>
      <c r="JX52" s="561">
        <v>0</v>
      </c>
      <c r="JY52" s="561">
        <v>0</v>
      </c>
      <c r="JZ52" s="561">
        <v>0</v>
      </c>
      <c r="KA52" s="561">
        <v>0</v>
      </c>
      <c r="KB52" s="561">
        <v>2560</v>
      </c>
      <c r="KC52" s="561">
        <v>3008</v>
      </c>
      <c r="KD52" s="561">
        <v>0</v>
      </c>
      <c r="KE52" s="561">
        <v>10608</v>
      </c>
      <c r="KF52" s="561">
        <v>-3921</v>
      </c>
      <c r="KG52" s="561">
        <v>423017</v>
      </c>
      <c r="KH52" s="561">
        <v>-8977</v>
      </c>
      <c r="KI52" s="561">
        <v>0</v>
      </c>
      <c r="KJ52" s="561">
        <v>2</v>
      </c>
      <c r="KK52" s="561">
        <v>0</v>
      </c>
      <c r="KL52" s="561">
        <v>-33915</v>
      </c>
      <c r="KM52" s="561">
        <v>0</v>
      </c>
      <c r="KN52" s="561">
        <v>0</v>
      </c>
      <c r="KO52" s="561">
        <v>0</v>
      </c>
      <c r="KP52" s="561">
        <v>0</v>
      </c>
      <c r="KQ52" s="561">
        <v>0</v>
      </c>
      <c r="KR52" s="561">
        <v>380127</v>
      </c>
      <c r="KS52" s="561">
        <v>0</v>
      </c>
      <c r="KT52" s="561">
        <v>-176316</v>
      </c>
      <c r="KU52" s="561">
        <v>203811</v>
      </c>
      <c r="KV52" s="561">
        <v>0</v>
      </c>
      <c r="KW52" s="561">
        <v>-71</v>
      </c>
      <c r="KX52" s="561">
        <v>0</v>
      </c>
      <c r="KY52" s="561">
        <v>0</v>
      </c>
      <c r="KZ52" s="561">
        <v>-27909</v>
      </c>
      <c r="LA52" s="561">
        <v>0</v>
      </c>
      <c r="LB52" s="561">
        <v>0</v>
      </c>
      <c r="LC52" s="561">
        <v>0</v>
      </c>
      <c r="LD52" s="561">
        <v>-64900</v>
      </c>
      <c r="LE52" s="561">
        <v>-732</v>
      </c>
      <c r="LF52" s="561">
        <v>0</v>
      </c>
      <c r="LG52" s="561">
        <v>110199</v>
      </c>
      <c r="LH52" s="561">
        <v>3043</v>
      </c>
      <c r="LI52" s="561">
        <v>0</v>
      </c>
      <c r="LJ52" s="561">
        <v>0</v>
      </c>
      <c r="LK52" s="561">
        <v>0</v>
      </c>
      <c r="LL52" s="561">
        <v>86261</v>
      </c>
      <c r="LM52" s="561">
        <v>10000</v>
      </c>
      <c r="LN52" s="561">
        <v>2972</v>
      </c>
      <c r="LO52" s="561">
        <v>0</v>
      </c>
      <c r="LP52" s="561">
        <v>0</v>
      </c>
      <c r="LQ52" s="561">
        <v>0</v>
      </c>
      <c r="LR52" s="561">
        <v>58352</v>
      </c>
      <c r="LS52" s="561">
        <v>10000</v>
      </c>
      <c r="LT52" s="561">
        <v>0</v>
      </c>
      <c r="LU52" s="561">
        <v>0</v>
      </c>
      <c r="LV52" s="561">
        <v>0</v>
      </c>
      <c r="LW52" s="561">
        <v>0</v>
      </c>
      <c r="LX52" s="561">
        <v>0</v>
      </c>
      <c r="LY52" s="561">
        <v>0</v>
      </c>
      <c r="LZ52" s="561">
        <v>0</v>
      </c>
      <c r="MA52" s="561">
        <v>0</v>
      </c>
      <c r="MB52" s="561">
        <v>0</v>
      </c>
      <c r="MC52" s="561">
        <v>39693</v>
      </c>
      <c r="MD52" s="561">
        <v>33458</v>
      </c>
      <c r="ME52" s="561">
        <v>6235</v>
      </c>
      <c r="MF52" s="561">
        <v>10508</v>
      </c>
      <c r="MG52" s="561">
        <v>16743</v>
      </c>
      <c r="MH52" s="561">
        <v>5500</v>
      </c>
      <c r="MI52" s="561">
        <v>7498</v>
      </c>
      <c r="MJ52" s="561">
        <v>12998</v>
      </c>
      <c r="MK52" s="561">
        <v>0</v>
      </c>
      <c r="ML52" s="561">
        <v>0</v>
      </c>
      <c r="MM52" s="561">
        <v>18294</v>
      </c>
      <c r="MN52" s="561">
        <v>14465</v>
      </c>
      <c r="MO52" s="561">
        <v>25593</v>
      </c>
      <c r="MP52" s="561">
        <v>0</v>
      </c>
      <c r="MQ52" s="561">
        <v>149064</v>
      </c>
      <c r="MR52" s="561">
        <v>3125</v>
      </c>
      <c r="MS52" s="561">
        <v>57228</v>
      </c>
      <c r="MT52" s="561">
        <v>91587</v>
      </c>
      <c r="MU52" s="561">
        <v>12448</v>
      </c>
      <c r="MV52" s="561">
        <v>6988</v>
      </c>
      <c r="MW52" s="561">
        <v>5924</v>
      </c>
      <c r="MX52" s="561">
        <v>8084</v>
      </c>
      <c r="MY52" s="561">
        <v>2622</v>
      </c>
      <c r="MZ52" s="561">
        <v>0</v>
      </c>
      <c r="NA52" s="561">
        <v>0</v>
      </c>
      <c r="NB52" s="561">
        <v>13716</v>
      </c>
      <c r="NC52" s="561">
        <v>0</v>
      </c>
      <c r="ND52" s="561">
        <v>350786</v>
      </c>
      <c r="NE52" s="561">
        <v>0</v>
      </c>
      <c r="NF52" s="561">
        <v>0</v>
      </c>
      <c r="NG52" s="561">
        <v>0</v>
      </c>
      <c r="NH52" s="561">
        <v>0</v>
      </c>
      <c r="NI52" s="561">
        <v>0</v>
      </c>
      <c r="NJ52" s="561">
        <v>0</v>
      </c>
      <c r="NK52" s="561">
        <v>0</v>
      </c>
      <c r="NL52" s="561">
        <v>218</v>
      </c>
      <c r="NM52" s="561">
        <v>0</v>
      </c>
      <c r="NN52" s="561">
        <v>0</v>
      </c>
      <c r="NO52" s="561">
        <v>0</v>
      </c>
      <c r="NP52" s="561">
        <v>0</v>
      </c>
      <c r="NQ52" s="561">
        <v>0</v>
      </c>
      <c r="NR52" s="561">
        <v>0</v>
      </c>
      <c r="NS52" s="561">
        <v>-438</v>
      </c>
      <c r="NT52" s="561">
        <v>-567</v>
      </c>
      <c r="NU52" s="561">
        <v>-532</v>
      </c>
      <c r="NV52" s="561">
        <v>275</v>
      </c>
      <c r="NW52" s="561">
        <v>-512</v>
      </c>
      <c r="NX52" s="561">
        <v>0</v>
      </c>
      <c r="NY52" s="561">
        <v>-512</v>
      </c>
      <c r="NZ52" s="561">
        <v>0</v>
      </c>
      <c r="OA52" s="561">
        <v>0</v>
      </c>
      <c r="OB52" s="561">
        <v>0</v>
      </c>
      <c r="OC52" s="561">
        <v>0</v>
      </c>
      <c r="OD52" s="561">
        <v>0</v>
      </c>
      <c r="OE52" s="561">
        <v>0</v>
      </c>
      <c r="OF52" s="561">
        <v>0</v>
      </c>
      <c r="OG52" s="561">
        <v>0</v>
      </c>
      <c r="OH52" s="561">
        <v>0</v>
      </c>
      <c r="OI52" s="561">
        <v>209</v>
      </c>
      <c r="OJ52" s="561">
        <v>198</v>
      </c>
      <c r="OK52" s="561">
        <v>0</v>
      </c>
      <c r="OL52" s="561">
        <v>0</v>
      </c>
      <c r="OM52" s="561">
        <v>326</v>
      </c>
      <c r="ON52" s="561">
        <v>-958</v>
      </c>
      <c r="OO52" s="561">
        <v>0</v>
      </c>
      <c r="OP52" s="561">
        <v>360</v>
      </c>
      <c r="OQ52" s="561">
        <v>668</v>
      </c>
      <c r="OR52" s="561">
        <v>0</v>
      </c>
      <c r="OS52" s="561">
        <v>0</v>
      </c>
      <c r="OT52" s="561">
        <v>0</v>
      </c>
      <c r="OU52" s="561">
        <v>0</v>
      </c>
      <c r="OV52" s="561">
        <v>2535</v>
      </c>
      <c r="OW52" s="561">
        <v>0</v>
      </c>
      <c r="OX52" s="561">
        <v>734</v>
      </c>
      <c r="OY52" s="561">
        <v>0</v>
      </c>
      <c r="OZ52" s="561">
        <v>0</v>
      </c>
      <c r="PA52" s="561">
        <v>0</v>
      </c>
      <c r="PB52" s="561">
        <v>0</v>
      </c>
      <c r="PC52" s="561">
        <v>0</v>
      </c>
      <c r="PD52" s="561">
        <v>0</v>
      </c>
      <c r="PE52" s="561">
        <v>0</v>
      </c>
      <c r="PF52" s="561">
        <v>0</v>
      </c>
      <c r="PG52" s="561">
        <v>0</v>
      </c>
      <c r="PH52" s="561">
        <v>0</v>
      </c>
      <c r="PI52" s="561">
        <v>0</v>
      </c>
      <c r="PJ52" s="561">
        <v>0</v>
      </c>
    </row>
    <row r="53" spans="1:426" ht="14" x14ac:dyDescent="0.3">
      <c r="A53" t="s">
        <v>2586</v>
      </c>
      <c r="B53" t="s">
        <v>2587</v>
      </c>
      <c r="C53" t="s">
        <v>2588</v>
      </c>
      <c r="E53" t="s">
        <v>379</v>
      </c>
      <c r="F53" s="561">
        <v>22530</v>
      </c>
      <c r="G53" s="561">
        <v>72953</v>
      </c>
      <c r="H53" s="561">
        <v>24704</v>
      </c>
      <c r="I53" s="561">
        <v>29576</v>
      </c>
      <c r="J53" s="561">
        <v>0</v>
      </c>
      <c r="K53" s="561">
        <v>7183</v>
      </c>
      <c r="L53" s="561">
        <v>156946</v>
      </c>
      <c r="M53" s="561">
        <v>2696</v>
      </c>
      <c r="N53" s="561">
        <v>234</v>
      </c>
      <c r="O53" s="561">
        <v>0</v>
      </c>
      <c r="P53" s="561">
        <v>674</v>
      </c>
      <c r="Q53" s="561">
        <v>653</v>
      </c>
      <c r="R53" s="561">
        <v>151</v>
      </c>
      <c r="S53" s="561">
        <v>877</v>
      </c>
      <c r="T53" s="561">
        <v>1931</v>
      </c>
      <c r="U53" s="561">
        <v>2385</v>
      </c>
      <c r="V53" s="561">
        <v>2176</v>
      </c>
      <c r="W53" s="561">
        <v>0</v>
      </c>
      <c r="X53" s="561">
        <v>0</v>
      </c>
      <c r="Y53" s="561">
        <v>206</v>
      </c>
      <c r="Z53" s="561">
        <v>275</v>
      </c>
      <c r="AA53" s="561">
        <v>-1861</v>
      </c>
      <c r="AB53" s="561">
        <v>-657</v>
      </c>
      <c r="AC53" s="561">
        <v>0</v>
      </c>
      <c r="AD53" s="561">
        <v>0</v>
      </c>
      <c r="AE53" s="561">
        <v>0</v>
      </c>
      <c r="AF53" s="561">
        <v>0</v>
      </c>
      <c r="AG53" s="561">
        <v>0</v>
      </c>
      <c r="AH53" s="561">
        <v>0</v>
      </c>
      <c r="AI53" s="561">
        <v>0</v>
      </c>
      <c r="AJ53" s="561">
        <v>7044</v>
      </c>
      <c r="AK53" s="561">
        <v>180</v>
      </c>
      <c r="AL53" s="561">
        <v>0</v>
      </c>
      <c r="AM53" s="561">
        <v>0</v>
      </c>
      <c r="AN53" s="561">
        <v>0</v>
      </c>
      <c r="AO53" s="561">
        <v>0</v>
      </c>
      <c r="AP53" s="561">
        <v>0</v>
      </c>
      <c r="AQ53" s="561">
        <v>0</v>
      </c>
      <c r="AR53" s="561">
        <v>0</v>
      </c>
      <c r="AS53" s="561">
        <v>707</v>
      </c>
      <c r="AT53" s="561">
        <v>2390</v>
      </c>
      <c r="AU53" s="561">
        <v>0</v>
      </c>
      <c r="AV53" s="561">
        <v>0</v>
      </c>
      <c r="AW53" s="561">
        <v>0</v>
      </c>
      <c r="AX53" s="561">
        <v>8616</v>
      </c>
      <c r="AY53" s="561">
        <v>39768</v>
      </c>
      <c r="AZ53" s="561">
        <v>184</v>
      </c>
      <c r="BA53" s="561">
        <v>5810</v>
      </c>
      <c r="BB53" s="561">
        <v>1142</v>
      </c>
      <c r="BC53" s="561">
        <v>6773</v>
      </c>
      <c r="BD53" s="561">
        <v>2730</v>
      </c>
      <c r="BE53" s="561">
        <v>1430</v>
      </c>
      <c r="BF53" s="561">
        <v>66453</v>
      </c>
      <c r="BG53" s="561">
        <v>1325</v>
      </c>
      <c r="BH53" s="561">
        <v>7884</v>
      </c>
      <c r="BI53" s="561">
        <v>23264</v>
      </c>
      <c r="BJ53" s="561">
        <v>322</v>
      </c>
      <c r="BK53" s="561">
        <v>75</v>
      </c>
      <c r="BL53" s="561">
        <v>210</v>
      </c>
      <c r="BM53" s="561">
        <v>4204</v>
      </c>
      <c r="BN53" s="561">
        <v>30962</v>
      </c>
      <c r="BO53" s="561">
        <v>4124</v>
      </c>
      <c r="BP53" s="561">
        <v>4439</v>
      </c>
      <c r="BQ53" s="561">
        <v>837</v>
      </c>
      <c r="BR53" s="561">
        <v>0</v>
      </c>
      <c r="BS53" s="561">
        <v>0</v>
      </c>
      <c r="BT53" s="561">
        <v>137</v>
      </c>
      <c r="BU53" s="561">
        <v>189</v>
      </c>
      <c r="BV53" s="561">
        <v>562</v>
      </c>
      <c r="BW53" s="561">
        <v>6125</v>
      </c>
      <c r="BX53" s="561">
        <v>1075</v>
      </c>
      <c r="BY53" s="561">
        <v>7536</v>
      </c>
      <c r="BZ53" s="561">
        <v>91945</v>
      </c>
      <c r="CA53" s="561">
        <v>856</v>
      </c>
      <c r="CB53" s="561">
        <v>1571</v>
      </c>
      <c r="CC53" s="561">
        <v>189</v>
      </c>
      <c r="CD53" s="561">
        <v>165</v>
      </c>
      <c r="CE53" s="561">
        <v>297</v>
      </c>
      <c r="CF53" s="561">
        <v>361</v>
      </c>
      <c r="CG53" s="561">
        <v>21</v>
      </c>
      <c r="CH53" s="561">
        <v>148</v>
      </c>
      <c r="CI53" s="561">
        <v>105</v>
      </c>
      <c r="CJ53" s="561">
        <v>351</v>
      </c>
      <c r="CK53" s="561">
        <v>28</v>
      </c>
      <c r="CL53" s="561">
        <v>402</v>
      </c>
      <c r="CM53" s="561">
        <v>2316</v>
      </c>
      <c r="CN53" s="561">
        <v>1118</v>
      </c>
      <c r="CO53" s="561">
        <v>197</v>
      </c>
      <c r="CP53" s="561">
        <v>99</v>
      </c>
      <c r="CQ53" s="561">
        <v>644</v>
      </c>
      <c r="CR53" s="561">
        <v>938</v>
      </c>
      <c r="CS53" s="561">
        <v>218</v>
      </c>
      <c r="CT53" s="561">
        <v>332</v>
      </c>
      <c r="CU53" s="561">
        <v>4704</v>
      </c>
      <c r="CV53" s="561">
        <v>1325</v>
      </c>
      <c r="CW53" s="561">
        <v>267</v>
      </c>
      <c r="CX53" s="561">
        <v>1543</v>
      </c>
      <c r="CY53" s="561">
        <v>986</v>
      </c>
      <c r="CZ53" s="561">
        <v>18325</v>
      </c>
      <c r="DA53" s="561">
        <v>14</v>
      </c>
      <c r="DB53" s="561">
        <v>219</v>
      </c>
      <c r="DC53" s="561">
        <v>0</v>
      </c>
      <c r="DD53" s="561">
        <v>0</v>
      </c>
      <c r="DE53" s="561">
        <v>0</v>
      </c>
      <c r="DF53" s="561">
        <v>0</v>
      </c>
      <c r="DG53" s="561">
        <v>0</v>
      </c>
      <c r="DH53" s="561">
        <v>144</v>
      </c>
      <c r="DI53" s="561">
        <v>62</v>
      </c>
      <c r="DJ53" s="561">
        <v>328</v>
      </c>
      <c r="DK53" s="561">
        <v>0</v>
      </c>
      <c r="DL53" s="561">
        <v>0</v>
      </c>
      <c r="DM53" s="561">
        <v>0</v>
      </c>
      <c r="DN53" s="561">
        <v>248</v>
      </c>
      <c r="DO53" s="561">
        <v>1399</v>
      </c>
      <c r="DP53" s="561">
        <v>1353</v>
      </c>
      <c r="DQ53" s="561">
        <v>0</v>
      </c>
      <c r="DR53" s="561">
        <v>0</v>
      </c>
      <c r="DS53" s="561">
        <v>799</v>
      </c>
      <c r="DT53" s="561">
        <v>379</v>
      </c>
      <c r="DU53" s="561">
        <v>4178</v>
      </c>
      <c r="DV53" s="561">
        <v>0</v>
      </c>
      <c r="DW53" s="561">
        <v>0</v>
      </c>
      <c r="DX53" s="561">
        <v>0</v>
      </c>
      <c r="DY53" s="561">
        <v>283</v>
      </c>
      <c r="DZ53" s="561">
        <v>29</v>
      </c>
      <c r="EA53" s="561">
        <v>2412</v>
      </c>
      <c r="EB53" s="561">
        <v>0</v>
      </c>
      <c r="EC53" s="561">
        <v>7436</v>
      </c>
      <c r="ED53" s="561">
        <v>112</v>
      </c>
      <c r="EE53" s="561">
        <v>0</v>
      </c>
      <c r="EF53" s="561">
        <v>0</v>
      </c>
      <c r="EG53" s="561">
        <v>0</v>
      </c>
      <c r="EH53" s="561">
        <v>0</v>
      </c>
      <c r="EI53" s="561">
        <v>0</v>
      </c>
      <c r="EJ53" s="561">
        <v>0</v>
      </c>
      <c r="EK53" s="561">
        <v>0</v>
      </c>
      <c r="EL53" s="561">
        <v>0</v>
      </c>
      <c r="EM53" s="561">
        <v>0</v>
      </c>
      <c r="EN53" s="561">
        <v>0</v>
      </c>
      <c r="EO53" s="561">
        <v>0</v>
      </c>
      <c r="EP53" s="561">
        <v>0</v>
      </c>
      <c r="EQ53" s="561">
        <v>0</v>
      </c>
      <c r="ER53" s="561">
        <v>0</v>
      </c>
      <c r="ES53" s="561" t="s">
        <v>4565</v>
      </c>
      <c r="ET53" s="561">
        <v>0</v>
      </c>
      <c r="EU53" s="561">
        <v>0</v>
      </c>
      <c r="EV53" s="561">
        <v>0</v>
      </c>
      <c r="EW53" s="561">
        <v>0</v>
      </c>
      <c r="EX53" s="561">
        <v>0</v>
      </c>
      <c r="EY53" s="561">
        <v>0</v>
      </c>
      <c r="EZ53" s="561">
        <v>0</v>
      </c>
      <c r="FA53" s="561">
        <v>0</v>
      </c>
      <c r="FB53" s="561">
        <v>153</v>
      </c>
      <c r="FC53" s="561">
        <v>135</v>
      </c>
      <c r="FD53" s="561">
        <v>0</v>
      </c>
      <c r="FE53" s="561">
        <v>811</v>
      </c>
      <c r="FF53" s="561">
        <v>767</v>
      </c>
      <c r="FG53" s="561">
        <v>979</v>
      </c>
      <c r="FH53" s="561">
        <v>0</v>
      </c>
      <c r="FI53" s="561">
        <v>227</v>
      </c>
      <c r="FJ53" s="561">
        <v>-1974</v>
      </c>
      <c r="FK53" s="561">
        <v>5287</v>
      </c>
      <c r="FL53" s="561">
        <v>-14</v>
      </c>
      <c r="FM53" s="561">
        <v>261</v>
      </c>
      <c r="FN53" s="561">
        <v>4090</v>
      </c>
      <c r="FO53" s="561">
        <v>10722</v>
      </c>
      <c r="FP53" s="561">
        <v>115</v>
      </c>
      <c r="FQ53" s="561">
        <v>-547</v>
      </c>
      <c r="FR53" s="561">
        <v>153</v>
      </c>
      <c r="FS53" s="561">
        <v>14</v>
      </c>
      <c r="FT53" s="561">
        <v>98</v>
      </c>
      <c r="FU53" s="561">
        <v>623</v>
      </c>
      <c r="FV53" s="561">
        <v>73</v>
      </c>
      <c r="FW53" s="561">
        <v>23</v>
      </c>
      <c r="FX53" s="561">
        <v>0</v>
      </c>
      <c r="FY53" s="561">
        <v>0</v>
      </c>
      <c r="FZ53" s="561">
        <v>0</v>
      </c>
      <c r="GA53" s="561">
        <v>56</v>
      </c>
      <c r="GB53" s="561">
        <v>500</v>
      </c>
      <c r="GC53" s="561">
        <v>519</v>
      </c>
      <c r="GD53" s="561">
        <v>0</v>
      </c>
      <c r="GE53" s="561">
        <v>786</v>
      </c>
      <c r="GF53" s="561">
        <v>116</v>
      </c>
      <c r="GG53" s="561">
        <v>0</v>
      </c>
      <c r="GH53" s="561">
        <v>1255</v>
      </c>
      <c r="GI53" s="561">
        <v>0</v>
      </c>
      <c r="GJ53" s="561">
        <v>0</v>
      </c>
      <c r="GK53" s="561">
        <v>0</v>
      </c>
      <c r="GL53" s="561">
        <v>2724</v>
      </c>
      <c r="GM53" s="561">
        <v>3337</v>
      </c>
      <c r="GN53" s="561">
        <v>9643</v>
      </c>
      <c r="GO53" s="561">
        <v>0</v>
      </c>
      <c r="GP53" s="561">
        <v>4801</v>
      </c>
      <c r="GQ53" s="561">
        <v>134</v>
      </c>
      <c r="GR53" s="561">
        <v>1</v>
      </c>
      <c r="GS53" s="561">
        <v>24309</v>
      </c>
      <c r="GT53" s="561">
        <v>126</v>
      </c>
      <c r="GU53" s="561">
        <v>230</v>
      </c>
      <c r="GV53" s="561">
        <v>869</v>
      </c>
      <c r="GW53" s="561">
        <v>0</v>
      </c>
      <c r="GX53" s="561">
        <v>703</v>
      </c>
      <c r="GY53" s="561">
        <v>443</v>
      </c>
      <c r="GZ53" s="561">
        <v>858</v>
      </c>
      <c r="HA53" s="561">
        <v>0</v>
      </c>
      <c r="HB53" s="561">
        <v>280</v>
      </c>
      <c r="HC53" s="561">
        <v>1447</v>
      </c>
      <c r="HD53" s="561">
        <v>4830</v>
      </c>
      <c r="HE53" s="561">
        <v>649</v>
      </c>
      <c r="HF53" s="561">
        <v>39861</v>
      </c>
      <c r="HG53" s="561">
        <v>0</v>
      </c>
      <c r="HH53" s="561">
        <v>0</v>
      </c>
      <c r="HI53" s="561">
        <v>0</v>
      </c>
      <c r="HJ53" s="561">
        <v>0</v>
      </c>
      <c r="HK53" s="561">
        <v>0</v>
      </c>
      <c r="HL53" s="561">
        <v>0</v>
      </c>
      <c r="HM53" s="561">
        <v>0</v>
      </c>
      <c r="HN53" s="561">
        <v>0</v>
      </c>
      <c r="HO53" s="561">
        <v>4741</v>
      </c>
      <c r="HP53" s="561">
        <v>924</v>
      </c>
      <c r="HQ53" s="561">
        <v>0</v>
      </c>
      <c r="HR53" s="561">
        <v>0</v>
      </c>
      <c r="HS53" s="561">
        <v>661</v>
      </c>
      <c r="HT53" s="561">
        <v>203</v>
      </c>
      <c r="HU53" s="561">
        <v>0</v>
      </c>
      <c r="HV53" s="561">
        <v>94</v>
      </c>
      <c r="HW53" s="561">
        <v>628</v>
      </c>
      <c r="HX53" s="561">
        <v>511</v>
      </c>
      <c r="HY53" s="561">
        <v>128</v>
      </c>
      <c r="HZ53" s="561">
        <v>0</v>
      </c>
      <c r="IA53" s="561">
        <v>62</v>
      </c>
      <c r="IB53" s="561">
        <v>2089</v>
      </c>
      <c r="IC53" s="561">
        <v>470</v>
      </c>
      <c r="ID53" s="561">
        <v>-7</v>
      </c>
      <c r="IE53" s="561">
        <v>1700</v>
      </c>
      <c r="IF53" s="561">
        <v>0</v>
      </c>
      <c r="IG53" s="561">
        <v>291</v>
      </c>
      <c r="IH53" s="561">
        <v>239</v>
      </c>
      <c r="II53" s="561">
        <v>12734</v>
      </c>
      <c r="IJ53" s="561">
        <v>281</v>
      </c>
      <c r="IK53" s="561">
        <v>6830</v>
      </c>
      <c r="IL53" s="561">
        <v>34722</v>
      </c>
      <c r="IM53" s="561">
        <v>0</v>
      </c>
      <c r="IN53" s="561">
        <v>0</v>
      </c>
      <c r="IO53" s="561">
        <v>959</v>
      </c>
      <c r="IP53" s="561">
        <v>0</v>
      </c>
      <c r="IQ53" s="561">
        <v>0</v>
      </c>
      <c r="IR53" s="561">
        <v>156946</v>
      </c>
      <c r="IS53" s="561">
        <v>7044</v>
      </c>
      <c r="IT53" s="561">
        <v>66453</v>
      </c>
      <c r="IU53" s="561">
        <v>91945</v>
      </c>
      <c r="IV53" s="561">
        <v>18325</v>
      </c>
      <c r="IW53" s="561">
        <v>7436</v>
      </c>
      <c r="IX53" s="561">
        <v>10722</v>
      </c>
      <c r="IY53" s="561">
        <v>24309</v>
      </c>
      <c r="IZ53" s="561">
        <v>4830</v>
      </c>
      <c r="JA53" s="561">
        <v>0</v>
      </c>
      <c r="JB53" s="561">
        <v>0</v>
      </c>
      <c r="JC53" s="561">
        <v>12734</v>
      </c>
      <c r="JD53" s="561">
        <v>0</v>
      </c>
      <c r="JE53" s="561">
        <v>400744</v>
      </c>
      <c r="JF53" s="561">
        <v>35048</v>
      </c>
      <c r="JG53" s="561">
        <v>1275</v>
      </c>
      <c r="JH53" s="561">
        <v>0</v>
      </c>
      <c r="JI53" s="561">
        <v>0</v>
      </c>
      <c r="JJ53" s="561">
        <v>0</v>
      </c>
      <c r="JK53" s="561">
        <v>1036</v>
      </c>
      <c r="JL53" s="561">
        <v>8531</v>
      </c>
      <c r="JM53" s="561">
        <v>0</v>
      </c>
      <c r="JN53" s="561">
        <v>0</v>
      </c>
      <c r="JO53" s="561">
        <v>749</v>
      </c>
      <c r="JP53" s="561">
        <v>-605</v>
      </c>
      <c r="JQ53" s="561">
        <v>0</v>
      </c>
      <c r="JR53" s="561">
        <v>0</v>
      </c>
      <c r="JS53" s="561">
        <v>0</v>
      </c>
      <c r="JT53" s="561">
        <v>-911</v>
      </c>
      <c r="JU53" s="561">
        <v>0</v>
      </c>
      <c r="JV53" s="561">
        <v>445867</v>
      </c>
      <c r="JW53" s="561">
        <v>119</v>
      </c>
      <c r="JX53" s="561">
        <v>738</v>
      </c>
      <c r="JY53" s="561">
        <v>0</v>
      </c>
      <c r="JZ53" s="561">
        <v>-290</v>
      </c>
      <c r="KA53" s="561">
        <v>0</v>
      </c>
      <c r="KB53" s="561">
        <v>911</v>
      </c>
      <c r="KC53" s="561">
        <v>2655</v>
      </c>
      <c r="KD53" s="561">
        <v>0</v>
      </c>
      <c r="KE53" s="561">
        <v>5002</v>
      </c>
      <c r="KF53" s="561">
        <v>0</v>
      </c>
      <c r="KG53" s="561">
        <v>455002</v>
      </c>
      <c r="KH53" s="561">
        <v>-2896</v>
      </c>
      <c r="KI53" s="561">
        <v>-864</v>
      </c>
      <c r="KJ53" s="561">
        <v>0</v>
      </c>
      <c r="KK53" s="561">
        <v>0</v>
      </c>
      <c r="KL53" s="561">
        <v>-36155</v>
      </c>
      <c r="KM53" s="561">
        <v>0</v>
      </c>
      <c r="KN53" s="561">
        <v>0</v>
      </c>
      <c r="KO53" s="561">
        <v>0</v>
      </c>
      <c r="KP53" s="561">
        <v>0</v>
      </c>
      <c r="KQ53" s="561">
        <v>-13314</v>
      </c>
      <c r="KR53" s="561">
        <v>401773</v>
      </c>
      <c r="KS53" s="561">
        <v>-270</v>
      </c>
      <c r="KT53" s="561">
        <v>-200397</v>
      </c>
      <c r="KU53" s="561">
        <v>201106</v>
      </c>
      <c r="KV53" s="561">
        <v>0</v>
      </c>
      <c r="KW53" s="561">
        <v>-987</v>
      </c>
      <c r="KX53" s="561">
        <v>215</v>
      </c>
      <c r="KY53" s="561">
        <v>-308</v>
      </c>
      <c r="KZ53" s="561">
        <v>-11155</v>
      </c>
      <c r="LA53" s="561">
        <v>0</v>
      </c>
      <c r="LB53" s="561">
        <v>-9202</v>
      </c>
      <c r="LC53" s="561">
        <v>0</v>
      </c>
      <c r="LD53" s="561">
        <v>-60613</v>
      </c>
      <c r="LE53" s="561">
        <v>121</v>
      </c>
      <c r="LF53" s="561">
        <v>0</v>
      </c>
      <c r="LG53" s="561">
        <v>119177</v>
      </c>
      <c r="LH53" s="561">
        <v>11115</v>
      </c>
      <c r="LI53" s="561">
        <v>-6123</v>
      </c>
      <c r="LJ53" s="561">
        <v>3337</v>
      </c>
      <c r="LK53" s="561">
        <v>2637</v>
      </c>
      <c r="LL53" s="561">
        <v>42160</v>
      </c>
      <c r="LM53" s="561">
        <v>7254</v>
      </c>
      <c r="LN53" s="561">
        <v>10128</v>
      </c>
      <c r="LO53" s="561">
        <v>-19437</v>
      </c>
      <c r="LP53" s="561">
        <v>3552</v>
      </c>
      <c r="LQ53" s="561">
        <v>2329</v>
      </c>
      <c r="LR53" s="561">
        <v>31005</v>
      </c>
      <c r="LS53" s="561">
        <v>7254</v>
      </c>
      <c r="LT53" s="561">
        <v>0</v>
      </c>
      <c r="LU53" s="561">
        <v>24020</v>
      </c>
      <c r="LV53" s="561">
        <v>2278</v>
      </c>
      <c r="LW53" s="561">
        <v>1027</v>
      </c>
      <c r="LX53" s="561">
        <v>-52000</v>
      </c>
      <c r="LY53" s="561">
        <v>11086</v>
      </c>
      <c r="LZ53" s="561">
        <v>-13233</v>
      </c>
      <c r="MA53" s="561">
        <v>0</v>
      </c>
      <c r="MB53" s="561">
        <v>0</v>
      </c>
      <c r="MC53" s="561">
        <v>0</v>
      </c>
      <c r="MD53" s="561">
        <v>0</v>
      </c>
      <c r="ME53" s="561">
        <v>0</v>
      </c>
      <c r="MF53" s="561">
        <v>0</v>
      </c>
      <c r="MG53" s="561">
        <v>0</v>
      </c>
      <c r="MH53" s="561">
        <v>6355</v>
      </c>
      <c r="MI53" s="561">
        <v>9749</v>
      </c>
      <c r="MJ53" s="561">
        <v>16104</v>
      </c>
      <c r="MK53" s="561">
        <v>0</v>
      </c>
      <c r="ML53" s="561">
        <v>1669</v>
      </c>
      <c r="MM53" s="561">
        <v>15514</v>
      </c>
      <c r="MN53" s="561">
        <v>12139</v>
      </c>
      <c r="MO53" s="561">
        <v>1683</v>
      </c>
      <c r="MP53" s="561">
        <v>0</v>
      </c>
      <c r="MQ53" s="561">
        <v>156946</v>
      </c>
      <c r="MR53" s="561">
        <v>7044</v>
      </c>
      <c r="MS53" s="561">
        <v>66453</v>
      </c>
      <c r="MT53" s="561">
        <v>91945</v>
      </c>
      <c r="MU53" s="561">
        <v>18325</v>
      </c>
      <c r="MV53" s="561">
        <v>7436</v>
      </c>
      <c r="MW53" s="561">
        <v>10722</v>
      </c>
      <c r="MX53" s="561">
        <v>24309</v>
      </c>
      <c r="MY53" s="561">
        <v>4830</v>
      </c>
      <c r="MZ53" s="561">
        <v>0</v>
      </c>
      <c r="NA53" s="561">
        <v>0</v>
      </c>
      <c r="NB53" s="561">
        <v>12734</v>
      </c>
      <c r="NC53" s="561">
        <v>0</v>
      </c>
      <c r="ND53" s="561">
        <v>400744</v>
      </c>
      <c r="NE53" s="561">
        <v>0</v>
      </c>
      <c r="NF53" s="561">
        <v>0</v>
      </c>
      <c r="NG53" s="561">
        <v>0</v>
      </c>
      <c r="NH53" s="561">
        <v>0</v>
      </c>
      <c r="NI53" s="561">
        <v>0</v>
      </c>
      <c r="NJ53" s="561">
        <v>0</v>
      </c>
      <c r="NK53" s="561">
        <v>0</v>
      </c>
      <c r="NL53" s="561">
        <v>0</v>
      </c>
      <c r="NM53" s="561">
        <v>0</v>
      </c>
      <c r="NN53" s="561">
        <v>0</v>
      </c>
      <c r="NO53" s="561">
        <v>0</v>
      </c>
      <c r="NP53" s="561">
        <v>0</v>
      </c>
      <c r="NQ53" s="561">
        <v>0</v>
      </c>
      <c r="NR53" s="561">
        <v>0</v>
      </c>
      <c r="NS53" s="561">
        <v>0</v>
      </c>
      <c r="NT53" s="561">
        <v>0</v>
      </c>
      <c r="NU53" s="561">
        <v>-628</v>
      </c>
      <c r="NV53" s="561">
        <v>0</v>
      </c>
      <c r="NW53" s="561">
        <v>-605</v>
      </c>
      <c r="NX53" s="561">
        <v>0</v>
      </c>
      <c r="NY53" s="561">
        <v>-605</v>
      </c>
      <c r="NZ53" s="561">
        <v>0</v>
      </c>
      <c r="OA53" s="561">
        <v>0</v>
      </c>
      <c r="OB53" s="561">
        <v>0</v>
      </c>
      <c r="OC53" s="561">
        <v>0</v>
      </c>
      <c r="OD53" s="561">
        <v>0</v>
      </c>
      <c r="OE53" s="561">
        <v>0</v>
      </c>
      <c r="OF53" s="561">
        <v>0</v>
      </c>
      <c r="OG53" s="561">
        <v>0</v>
      </c>
      <c r="OH53" s="561">
        <v>0</v>
      </c>
      <c r="OI53" s="561">
        <v>0</v>
      </c>
      <c r="OJ53" s="561">
        <v>0</v>
      </c>
      <c r="OK53" s="561">
        <v>0</v>
      </c>
      <c r="OL53" s="561">
        <v>0</v>
      </c>
      <c r="OM53" s="561">
        <v>0</v>
      </c>
      <c r="ON53" s="561">
        <v>0</v>
      </c>
      <c r="OO53" s="561">
        <v>0</v>
      </c>
      <c r="OP53" s="561">
        <v>0</v>
      </c>
      <c r="OQ53" s="561">
        <v>0</v>
      </c>
      <c r="OR53" s="561">
        <v>0</v>
      </c>
      <c r="OS53" s="561">
        <v>0</v>
      </c>
      <c r="OT53" s="561">
        <v>0</v>
      </c>
      <c r="OU53" s="561">
        <v>0</v>
      </c>
      <c r="OV53" s="561">
        <v>0</v>
      </c>
      <c r="OW53" s="561">
        <v>0</v>
      </c>
      <c r="OX53" s="561">
        <v>0</v>
      </c>
      <c r="OY53" s="561">
        <v>0</v>
      </c>
      <c r="OZ53" s="561">
        <v>0</v>
      </c>
      <c r="PA53" s="561">
        <v>0</v>
      </c>
      <c r="PB53" s="561">
        <v>0</v>
      </c>
      <c r="PC53" s="561">
        <v>0</v>
      </c>
      <c r="PD53" s="561">
        <v>0</v>
      </c>
      <c r="PE53" s="561">
        <v>0</v>
      </c>
      <c r="PF53" s="561">
        <v>0</v>
      </c>
      <c r="PG53" s="561">
        <v>0</v>
      </c>
      <c r="PH53" s="561">
        <v>0</v>
      </c>
      <c r="PI53" s="561">
        <v>0</v>
      </c>
      <c r="PJ53" s="561">
        <v>0</v>
      </c>
    </row>
    <row r="54" spans="1:426" ht="14" x14ac:dyDescent="0.3">
      <c r="A54" t="s">
        <v>2589</v>
      </c>
      <c r="B54" t="s">
        <v>2590</v>
      </c>
      <c r="C54" t="s">
        <v>2591</v>
      </c>
      <c r="E54" t="s">
        <v>384</v>
      </c>
      <c r="F54" s="561">
        <v>0</v>
      </c>
      <c r="G54" s="561">
        <v>0</v>
      </c>
      <c r="H54" s="561">
        <v>0</v>
      </c>
      <c r="I54" s="561">
        <v>0</v>
      </c>
      <c r="J54" s="561">
        <v>0</v>
      </c>
      <c r="K54" s="561">
        <v>0</v>
      </c>
      <c r="L54" s="561">
        <v>0</v>
      </c>
      <c r="M54" s="561">
        <v>0</v>
      </c>
      <c r="N54" s="561">
        <v>0</v>
      </c>
      <c r="O54" s="561">
        <v>0</v>
      </c>
      <c r="P54" s="561">
        <v>0</v>
      </c>
      <c r="Q54" s="561">
        <v>0</v>
      </c>
      <c r="R54" s="561">
        <v>0</v>
      </c>
      <c r="S54" s="561">
        <v>0</v>
      </c>
      <c r="T54" s="561">
        <v>223</v>
      </c>
      <c r="U54" s="561">
        <v>0</v>
      </c>
      <c r="V54" s="561">
        <v>0</v>
      </c>
      <c r="W54" s="561">
        <v>0</v>
      </c>
      <c r="X54" s="561">
        <v>0</v>
      </c>
      <c r="Y54" s="561">
        <v>0</v>
      </c>
      <c r="Z54" s="561">
        <v>0</v>
      </c>
      <c r="AA54" s="561">
        <v>0</v>
      </c>
      <c r="AB54" s="561">
        <v>-6111</v>
      </c>
      <c r="AC54" s="561">
        <v>0</v>
      </c>
      <c r="AD54" s="561">
        <v>37</v>
      </c>
      <c r="AE54" s="561">
        <v>0</v>
      </c>
      <c r="AF54" s="561">
        <v>0</v>
      </c>
      <c r="AG54" s="561">
        <v>0</v>
      </c>
      <c r="AH54" s="561">
        <v>0</v>
      </c>
      <c r="AI54" s="561">
        <v>0</v>
      </c>
      <c r="AJ54" s="561">
        <v>-5851</v>
      </c>
      <c r="AK54" s="561">
        <v>49</v>
      </c>
      <c r="AL54" s="561">
        <v>0</v>
      </c>
      <c r="AM54" s="561">
        <v>0</v>
      </c>
      <c r="AN54" s="561">
        <v>0</v>
      </c>
      <c r="AO54" s="561">
        <v>0</v>
      </c>
      <c r="AP54" s="561">
        <v>0</v>
      </c>
      <c r="AQ54" s="561">
        <v>0</v>
      </c>
      <c r="AR54" s="561">
        <v>0</v>
      </c>
      <c r="AS54" s="561">
        <v>0</v>
      </c>
      <c r="AT54" s="561">
        <v>0</v>
      </c>
      <c r="AU54" s="561">
        <v>0</v>
      </c>
      <c r="AV54" s="561">
        <v>0</v>
      </c>
      <c r="AW54" s="561">
        <v>0</v>
      </c>
      <c r="AX54" s="561">
        <v>0</v>
      </c>
      <c r="AY54" s="561">
        <v>0</v>
      </c>
      <c r="AZ54" s="561">
        <v>0</v>
      </c>
      <c r="BA54" s="561">
        <v>0</v>
      </c>
      <c r="BB54" s="561">
        <v>0</v>
      </c>
      <c r="BC54" s="561">
        <v>0</v>
      </c>
      <c r="BD54" s="561">
        <v>0</v>
      </c>
      <c r="BE54" s="561">
        <v>0</v>
      </c>
      <c r="BF54" s="561">
        <v>0</v>
      </c>
      <c r="BG54" s="561">
        <v>0</v>
      </c>
      <c r="BH54" s="561">
        <v>0</v>
      </c>
      <c r="BI54" s="561">
        <v>0</v>
      </c>
      <c r="BJ54" s="561">
        <v>0</v>
      </c>
      <c r="BK54" s="561">
        <v>0</v>
      </c>
      <c r="BL54" s="561">
        <v>0</v>
      </c>
      <c r="BM54" s="561">
        <v>0</v>
      </c>
      <c r="BN54" s="561">
        <v>0</v>
      </c>
      <c r="BO54" s="561">
        <v>0</v>
      </c>
      <c r="BP54" s="561">
        <v>0</v>
      </c>
      <c r="BQ54" s="561">
        <v>0</v>
      </c>
      <c r="BR54" s="561">
        <v>0</v>
      </c>
      <c r="BS54" s="561">
        <v>0</v>
      </c>
      <c r="BT54" s="561">
        <v>0</v>
      </c>
      <c r="BU54" s="561">
        <v>0</v>
      </c>
      <c r="BV54" s="561">
        <v>0</v>
      </c>
      <c r="BW54" s="561">
        <v>0</v>
      </c>
      <c r="BX54" s="561">
        <v>0</v>
      </c>
      <c r="BY54" s="561">
        <v>0</v>
      </c>
      <c r="BZ54" s="561">
        <v>0</v>
      </c>
      <c r="CA54" s="561">
        <v>0</v>
      </c>
      <c r="CB54" s="561">
        <v>0</v>
      </c>
      <c r="CC54" s="561">
        <v>0</v>
      </c>
      <c r="CD54" s="561">
        <v>0</v>
      </c>
      <c r="CE54" s="561">
        <v>0</v>
      </c>
      <c r="CF54" s="561">
        <v>0</v>
      </c>
      <c r="CG54" s="561">
        <v>0</v>
      </c>
      <c r="CH54" s="561">
        <v>0</v>
      </c>
      <c r="CI54" s="561">
        <v>0</v>
      </c>
      <c r="CJ54" s="561">
        <v>0</v>
      </c>
      <c r="CK54" s="561">
        <v>0</v>
      </c>
      <c r="CL54" s="561">
        <v>0</v>
      </c>
      <c r="CM54" s="561">
        <v>0</v>
      </c>
      <c r="CN54" s="561">
        <v>0</v>
      </c>
      <c r="CO54" s="561">
        <v>0</v>
      </c>
      <c r="CP54" s="561">
        <v>0</v>
      </c>
      <c r="CQ54" s="561">
        <v>0</v>
      </c>
      <c r="CR54" s="561">
        <v>0</v>
      </c>
      <c r="CS54" s="561">
        <v>0</v>
      </c>
      <c r="CT54" s="561">
        <v>0</v>
      </c>
      <c r="CU54" s="561">
        <v>0</v>
      </c>
      <c r="CV54" s="561">
        <v>0</v>
      </c>
      <c r="CW54" s="561">
        <v>0</v>
      </c>
      <c r="CX54" s="561">
        <v>0</v>
      </c>
      <c r="CY54" s="561">
        <v>0</v>
      </c>
      <c r="CZ54" s="561">
        <v>0</v>
      </c>
      <c r="DA54" s="561">
        <v>0</v>
      </c>
      <c r="DB54" s="561">
        <v>0</v>
      </c>
      <c r="DC54" s="561">
        <v>0</v>
      </c>
      <c r="DD54" s="561">
        <v>0</v>
      </c>
      <c r="DE54" s="561">
        <v>0</v>
      </c>
      <c r="DF54" s="561">
        <v>0</v>
      </c>
      <c r="DG54" s="561">
        <v>0</v>
      </c>
      <c r="DH54" s="561">
        <v>1624</v>
      </c>
      <c r="DI54" s="561">
        <v>0</v>
      </c>
      <c r="DJ54" s="561">
        <v>19</v>
      </c>
      <c r="DK54" s="561">
        <v>0</v>
      </c>
      <c r="DL54" s="561">
        <v>33</v>
      </c>
      <c r="DM54" s="561">
        <v>0</v>
      </c>
      <c r="DN54" s="561">
        <v>137</v>
      </c>
      <c r="DO54" s="561">
        <v>288</v>
      </c>
      <c r="DP54" s="561">
        <v>0</v>
      </c>
      <c r="DQ54" s="561">
        <v>0</v>
      </c>
      <c r="DR54" s="561">
        <v>0</v>
      </c>
      <c r="DS54" s="561">
        <v>4464</v>
      </c>
      <c r="DT54" s="561">
        <v>0</v>
      </c>
      <c r="DU54" s="561">
        <v>4922</v>
      </c>
      <c r="DV54" s="561">
        <v>165</v>
      </c>
      <c r="DW54" s="561">
        <v>0</v>
      </c>
      <c r="DX54" s="561">
        <v>0</v>
      </c>
      <c r="DY54" s="561">
        <v>938</v>
      </c>
      <c r="DZ54" s="561">
        <v>0</v>
      </c>
      <c r="EA54" s="561">
        <v>0</v>
      </c>
      <c r="EB54" s="561">
        <v>0</v>
      </c>
      <c r="EC54" s="561">
        <v>7668</v>
      </c>
      <c r="ED54" s="561">
        <v>148</v>
      </c>
      <c r="EE54" s="561">
        <v>50549</v>
      </c>
      <c r="EF54" s="561">
        <v>1465</v>
      </c>
      <c r="EG54" s="561">
        <v>4112</v>
      </c>
      <c r="EH54" s="561">
        <v>596</v>
      </c>
      <c r="EI54" s="561">
        <v>0</v>
      </c>
      <c r="EJ54" s="561">
        <v>0</v>
      </c>
      <c r="EK54" s="561">
        <v>959</v>
      </c>
      <c r="EL54" s="561">
        <v>0</v>
      </c>
      <c r="EM54" s="561">
        <v>-11</v>
      </c>
      <c r="EN54" s="561">
        <v>16220</v>
      </c>
      <c r="EO54" s="561">
        <v>5391</v>
      </c>
      <c r="EP54" s="561">
        <v>4356</v>
      </c>
      <c r="EQ54" s="561">
        <v>268</v>
      </c>
      <c r="ER54" s="561">
        <v>0</v>
      </c>
      <c r="ES54" s="561" t="s">
        <v>4565</v>
      </c>
      <c r="ET54" s="561">
        <v>12094</v>
      </c>
      <c r="EU54" s="561">
        <v>10473</v>
      </c>
      <c r="EV54" s="561">
        <v>0</v>
      </c>
      <c r="EW54" s="561">
        <v>8463</v>
      </c>
      <c r="EX54" s="561">
        <v>0</v>
      </c>
      <c r="EY54" s="561">
        <v>527</v>
      </c>
      <c r="EZ54" s="561">
        <v>-122</v>
      </c>
      <c r="FA54" s="561">
        <v>10370</v>
      </c>
      <c r="FB54" s="561">
        <v>0</v>
      </c>
      <c r="FC54" s="561">
        <v>88</v>
      </c>
      <c r="FD54" s="561">
        <v>0</v>
      </c>
      <c r="FE54" s="561">
        <v>99</v>
      </c>
      <c r="FF54" s="561">
        <v>864</v>
      </c>
      <c r="FG54" s="561">
        <v>902</v>
      </c>
      <c r="FH54" s="561">
        <v>0</v>
      </c>
      <c r="FI54" s="561">
        <v>191</v>
      </c>
      <c r="FJ54" s="561">
        <v>730</v>
      </c>
      <c r="FK54" s="561">
        <v>2261</v>
      </c>
      <c r="FL54" s="561">
        <v>13</v>
      </c>
      <c r="FM54" s="561">
        <v>0</v>
      </c>
      <c r="FN54" s="561">
        <v>0</v>
      </c>
      <c r="FO54" s="561">
        <v>5148</v>
      </c>
      <c r="FP54" s="561">
        <v>463</v>
      </c>
      <c r="FQ54" s="561">
        <v>-400</v>
      </c>
      <c r="FR54" s="561">
        <v>0</v>
      </c>
      <c r="FS54" s="561">
        <v>0</v>
      </c>
      <c r="FT54" s="561">
        <v>203</v>
      </c>
      <c r="FU54" s="561">
        <v>1090</v>
      </c>
      <c r="FV54" s="561">
        <v>611</v>
      </c>
      <c r="FW54" s="561">
        <v>257</v>
      </c>
      <c r="FX54" s="561">
        <v>0</v>
      </c>
      <c r="FY54" s="561">
        <v>0</v>
      </c>
      <c r="FZ54" s="561">
        <v>0</v>
      </c>
      <c r="GA54" s="561">
        <v>506</v>
      </c>
      <c r="GB54" s="561">
        <v>107</v>
      </c>
      <c r="GC54" s="561">
        <v>87</v>
      </c>
      <c r="GD54" s="561">
        <v>315</v>
      </c>
      <c r="GE54" s="561">
        <v>315</v>
      </c>
      <c r="GF54" s="561">
        <v>269</v>
      </c>
      <c r="GG54" s="561">
        <v>0</v>
      </c>
      <c r="GH54" s="561">
        <v>0</v>
      </c>
      <c r="GI54" s="561">
        <v>0</v>
      </c>
      <c r="GJ54" s="561">
        <v>0</v>
      </c>
      <c r="GK54" s="561">
        <v>0</v>
      </c>
      <c r="GL54" s="561">
        <v>2946</v>
      </c>
      <c r="GM54" s="561">
        <v>2910</v>
      </c>
      <c r="GN54" s="561">
        <v>0</v>
      </c>
      <c r="GO54" s="561">
        <v>0</v>
      </c>
      <c r="GP54" s="561">
        <v>0</v>
      </c>
      <c r="GQ54" s="561">
        <v>0</v>
      </c>
      <c r="GR54" s="561">
        <v>0</v>
      </c>
      <c r="GS54" s="561">
        <v>9216</v>
      </c>
      <c r="GT54" s="561">
        <v>376</v>
      </c>
      <c r="GU54" s="561">
        <v>-81</v>
      </c>
      <c r="GV54" s="561">
        <v>1041</v>
      </c>
      <c r="GW54" s="561">
        <v>0</v>
      </c>
      <c r="GX54" s="561">
        <v>241</v>
      </c>
      <c r="GY54" s="561">
        <v>957</v>
      </c>
      <c r="GZ54" s="561">
        <v>1131</v>
      </c>
      <c r="HA54" s="561">
        <v>0</v>
      </c>
      <c r="HB54" s="561">
        <v>0</v>
      </c>
      <c r="HC54" s="561">
        <v>2052</v>
      </c>
      <c r="HD54" s="561">
        <v>5341</v>
      </c>
      <c r="HE54" s="561">
        <v>57</v>
      </c>
      <c r="HF54" s="561">
        <v>19705</v>
      </c>
      <c r="HG54" s="561">
        <v>896</v>
      </c>
      <c r="HH54" s="561">
        <v>0</v>
      </c>
      <c r="HI54" s="561">
        <v>0</v>
      </c>
      <c r="HJ54" s="561">
        <v>0</v>
      </c>
      <c r="HK54" s="561">
        <v>0</v>
      </c>
      <c r="HL54" s="561">
        <v>0</v>
      </c>
      <c r="HM54" s="561">
        <v>0</v>
      </c>
      <c r="HN54" s="561">
        <v>0</v>
      </c>
      <c r="HO54" s="561">
        <v>3018</v>
      </c>
      <c r="HP54" s="561">
        <v>766</v>
      </c>
      <c r="HQ54" s="561">
        <v>0</v>
      </c>
      <c r="HR54" s="561">
        <v>-234</v>
      </c>
      <c r="HS54" s="561">
        <v>0</v>
      </c>
      <c r="HT54" s="561">
        <v>-102</v>
      </c>
      <c r="HU54" s="561">
        <v>0</v>
      </c>
      <c r="HV54" s="561">
        <v>0</v>
      </c>
      <c r="HW54" s="561">
        <v>263</v>
      </c>
      <c r="HX54" s="561">
        <v>206</v>
      </c>
      <c r="HY54" s="561">
        <v>68</v>
      </c>
      <c r="HZ54" s="561">
        <v>0</v>
      </c>
      <c r="IA54" s="561">
        <v>0</v>
      </c>
      <c r="IB54" s="561">
        <v>-2659</v>
      </c>
      <c r="IC54" s="561">
        <v>0</v>
      </c>
      <c r="ID54" s="561">
        <v>0</v>
      </c>
      <c r="IE54" s="561">
        <v>2095</v>
      </c>
      <c r="IF54" s="561">
        <v>0</v>
      </c>
      <c r="IG54" s="561">
        <v>0</v>
      </c>
      <c r="IH54" s="561">
        <v>14148</v>
      </c>
      <c r="II54" s="561">
        <v>17569</v>
      </c>
      <c r="IJ54" s="561">
        <v>1656</v>
      </c>
      <c r="IK54" s="561">
        <v>0</v>
      </c>
      <c r="IL54" s="561">
        <v>0</v>
      </c>
      <c r="IM54" s="561">
        <v>0</v>
      </c>
      <c r="IN54" s="561">
        <v>0</v>
      </c>
      <c r="IO54" s="561">
        <v>2077</v>
      </c>
      <c r="IP54" s="561">
        <v>0</v>
      </c>
      <c r="IQ54" s="561">
        <v>0</v>
      </c>
      <c r="IR54" s="561">
        <v>0</v>
      </c>
      <c r="IS54" s="561">
        <v>-5851</v>
      </c>
      <c r="IT54" s="561">
        <v>0</v>
      </c>
      <c r="IU54" s="561">
        <v>0</v>
      </c>
      <c r="IV54" s="561">
        <v>0</v>
      </c>
      <c r="IW54" s="561">
        <v>7668</v>
      </c>
      <c r="IX54" s="561">
        <v>5148</v>
      </c>
      <c r="IY54" s="561">
        <v>9216</v>
      </c>
      <c r="IZ54" s="561">
        <v>5341</v>
      </c>
      <c r="JA54" s="561">
        <v>0</v>
      </c>
      <c r="JB54" s="561">
        <v>0</v>
      </c>
      <c r="JC54" s="561">
        <v>17569</v>
      </c>
      <c r="JD54" s="561">
        <v>0</v>
      </c>
      <c r="JE54" s="561">
        <v>39091</v>
      </c>
      <c r="JF54" s="561">
        <v>15571</v>
      </c>
      <c r="JG54" s="561">
        <v>1235</v>
      </c>
      <c r="JH54" s="561">
        <v>10901</v>
      </c>
      <c r="JI54" s="561">
        <v>0</v>
      </c>
      <c r="JJ54" s="561">
        <v>0</v>
      </c>
      <c r="JK54" s="561">
        <v>0</v>
      </c>
      <c r="JL54" s="561">
        <v>0</v>
      </c>
      <c r="JM54" s="561">
        <v>0</v>
      </c>
      <c r="JN54" s="561">
        <v>0</v>
      </c>
      <c r="JO54" s="561">
        <v>0</v>
      </c>
      <c r="JP54" s="561">
        <v>-460</v>
      </c>
      <c r="JQ54" s="561">
        <v>0</v>
      </c>
      <c r="JR54" s="561">
        <v>-74</v>
      </c>
      <c r="JS54" s="561">
        <v>0</v>
      </c>
      <c r="JT54" s="561">
        <v>-47</v>
      </c>
      <c r="JU54" s="561">
        <v>0</v>
      </c>
      <c r="JV54" s="561">
        <v>66217</v>
      </c>
      <c r="JW54" s="561">
        <v>0</v>
      </c>
      <c r="JX54" s="561">
        <v>8793</v>
      </c>
      <c r="JY54" s="561">
        <v>0</v>
      </c>
      <c r="JZ54" s="561">
        <v>0</v>
      </c>
      <c r="KA54" s="561">
        <v>0</v>
      </c>
      <c r="KB54" s="561">
        <v>-111</v>
      </c>
      <c r="KC54" s="561">
        <v>326</v>
      </c>
      <c r="KD54" s="561">
        <v>0</v>
      </c>
      <c r="KE54" s="561">
        <v>7986</v>
      </c>
      <c r="KF54" s="561">
        <v>-6983</v>
      </c>
      <c r="KG54" s="561">
        <v>76228</v>
      </c>
      <c r="KH54" s="561">
        <v>-15385</v>
      </c>
      <c r="KI54" s="561">
        <v>0</v>
      </c>
      <c r="KJ54" s="561">
        <v>1</v>
      </c>
      <c r="KK54" s="561">
        <v>0</v>
      </c>
      <c r="KL54" s="561">
        <v>-29106</v>
      </c>
      <c r="KM54" s="561">
        <v>0</v>
      </c>
      <c r="KN54" s="561">
        <v>0</v>
      </c>
      <c r="KO54" s="561">
        <v>0</v>
      </c>
      <c r="KP54" s="561">
        <v>0</v>
      </c>
      <c r="KQ54" s="561">
        <v>0</v>
      </c>
      <c r="KR54" s="561">
        <v>31738</v>
      </c>
      <c r="KS54" s="561">
        <v>0</v>
      </c>
      <c r="KT54" s="561">
        <v>-10062</v>
      </c>
      <c r="KU54" s="561">
        <v>21676</v>
      </c>
      <c r="KV54" s="561">
        <v>0</v>
      </c>
      <c r="KW54" s="561">
        <v>0</v>
      </c>
      <c r="KX54" s="561">
        <v>0</v>
      </c>
      <c r="KY54" s="561">
        <v>0</v>
      </c>
      <c r="KZ54" s="561">
        <v>23246</v>
      </c>
      <c r="LA54" s="561">
        <v>-21983</v>
      </c>
      <c r="LB54" s="561">
        <v>-170</v>
      </c>
      <c r="LC54" s="561">
        <v>0</v>
      </c>
      <c r="LD54" s="561">
        <v>-12296</v>
      </c>
      <c r="LE54" s="561">
        <v>-220</v>
      </c>
      <c r="LF54" s="561">
        <v>0</v>
      </c>
      <c r="LG54" s="561">
        <v>10253</v>
      </c>
      <c r="LH54" s="561">
        <v>0</v>
      </c>
      <c r="LI54" s="561">
        <v>0</v>
      </c>
      <c r="LJ54" s="561">
        <v>0</v>
      </c>
      <c r="LK54" s="561">
        <v>0</v>
      </c>
      <c r="LL54" s="561">
        <v>29044</v>
      </c>
      <c r="LM54" s="561">
        <v>40844</v>
      </c>
      <c r="LN54" s="561">
        <v>0</v>
      </c>
      <c r="LO54" s="561">
        <v>0</v>
      </c>
      <c r="LP54" s="561">
        <v>0</v>
      </c>
      <c r="LQ54" s="561">
        <v>0</v>
      </c>
      <c r="LR54" s="561">
        <v>52290</v>
      </c>
      <c r="LS54" s="561">
        <v>18861</v>
      </c>
      <c r="LT54" s="561">
        <v>0</v>
      </c>
      <c r="LU54" s="561">
        <v>5859</v>
      </c>
      <c r="LV54" s="561">
        <v>0</v>
      </c>
      <c r="LW54" s="561">
        <v>5269</v>
      </c>
      <c r="LX54" s="561">
        <v>-11276</v>
      </c>
      <c r="LY54" s="561">
        <v>6841</v>
      </c>
      <c r="LZ54" s="561">
        <v>1568</v>
      </c>
      <c r="MA54" s="561">
        <v>0</v>
      </c>
      <c r="MB54" s="561">
        <v>0</v>
      </c>
      <c r="MC54" s="561">
        <v>57670</v>
      </c>
      <c r="MD54" s="561">
        <v>57792</v>
      </c>
      <c r="ME54" s="561">
        <v>-122</v>
      </c>
      <c r="MF54" s="561">
        <v>10370</v>
      </c>
      <c r="MG54" s="561">
        <v>10248</v>
      </c>
      <c r="MH54" s="561">
        <v>2505</v>
      </c>
      <c r="MI54" s="561">
        <v>7191</v>
      </c>
      <c r="MJ54" s="561">
        <v>9696</v>
      </c>
      <c r="MK54" s="561">
        <v>0</v>
      </c>
      <c r="ML54" s="561">
        <v>0</v>
      </c>
      <c r="MM54" s="561">
        <v>51561</v>
      </c>
      <c r="MN54" s="561">
        <v>729</v>
      </c>
      <c r="MO54" s="561">
        <v>0</v>
      </c>
      <c r="MP54" s="561">
        <v>0</v>
      </c>
      <c r="MQ54" s="561">
        <v>0</v>
      </c>
      <c r="MR54" s="561">
        <v>-5851</v>
      </c>
      <c r="MS54" s="561">
        <v>0</v>
      </c>
      <c r="MT54" s="561">
        <v>0</v>
      </c>
      <c r="MU54" s="561">
        <v>0</v>
      </c>
      <c r="MV54" s="561">
        <v>7668</v>
      </c>
      <c r="MW54" s="561">
        <v>5148</v>
      </c>
      <c r="MX54" s="561">
        <v>9216</v>
      </c>
      <c r="MY54" s="561">
        <v>5341</v>
      </c>
      <c r="MZ54" s="561">
        <v>0</v>
      </c>
      <c r="NA54" s="561">
        <v>0</v>
      </c>
      <c r="NB54" s="561">
        <v>17569</v>
      </c>
      <c r="NC54" s="561">
        <v>0</v>
      </c>
      <c r="ND54" s="561">
        <v>39091</v>
      </c>
      <c r="NE54" s="561">
        <v>0</v>
      </c>
      <c r="NF54" s="561">
        <v>0</v>
      </c>
      <c r="NG54" s="561">
        <v>0</v>
      </c>
      <c r="NH54" s="561">
        <v>0</v>
      </c>
      <c r="NI54" s="561">
        <v>0</v>
      </c>
      <c r="NJ54" s="561">
        <v>0</v>
      </c>
      <c r="NK54" s="561">
        <v>0</v>
      </c>
      <c r="NL54" s="561">
        <v>0</v>
      </c>
      <c r="NM54" s="561">
        <v>0</v>
      </c>
      <c r="NN54" s="561">
        <v>0</v>
      </c>
      <c r="NO54" s="561">
        <v>0</v>
      </c>
      <c r="NP54" s="561">
        <v>0</v>
      </c>
      <c r="NQ54" s="561">
        <v>0</v>
      </c>
      <c r="NR54" s="561">
        <v>0</v>
      </c>
      <c r="NS54" s="561">
        <v>0</v>
      </c>
      <c r="NT54" s="561">
        <v>0</v>
      </c>
      <c r="NU54" s="561">
        <v>0</v>
      </c>
      <c r="NV54" s="561">
        <v>-472</v>
      </c>
      <c r="NW54" s="561">
        <v>-534</v>
      </c>
      <c r="NX54" s="561">
        <v>74</v>
      </c>
      <c r="NY54" s="561">
        <v>-460</v>
      </c>
      <c r="NZ54" s="561">
        <v>0</v>
      </c>
      <c r="OA54" s="561">
        <v>0</v>
      </c>
      <c r="OB54" s="561">
        <v>0</v>
      </c>
      <c r="OC54" s="561">
        <v>0</v>
      </c>
      <c r="OD54" s="561">
        <v>0</v>
      </c>
      <c r="OE54" s="561">
        <v>0</v>
      </c>
      <c r="OF54" s="561">
        <v>0</v>
      </c>
      <c r="OG54" s="561">
        <v>0</v>
      </c>
      <c r="OH54" s="561">
        <v>0</v>
      </c>
      <c r="OI54" s="561">
        <v>0</v>
      </c>
      <c r="OJ54" s="561">
        <v>0</v>
      </c>
      <c r="OK54" s="561">
        <v>0</v>
      </c>
      <c r="OL54" s="561">
        <v>0</v>
      </c>
      <c r="OM54" s="561">
        <v>0</v>
      </c>
      <c r="ON54" s="561">
        <v>0</v>
      </c>
      <c r="OO54" s="561">
        <v>0</v>
      </c>
      <c r="OP54" s="561">
        <v>0</v>
      </c>
      <c r="OQ54" s="561">
        <v>0</v>
      </c>
      <c r="OR54" s="561">
        <v>0</v>
      </c>
      <c r="OS54" s="561">
        <v>0</v>
      </c>
      <c r="OT54" s="561">
        <v>0</v>
      </c>
      <c r="OU54" s="561">
        <v>0</v>
      </c>
      <c r="OV54" s="561">
        <v>0</v>
      </c>
      <c r="OW54" s="561">
        <v>0</v>
      </c>
      <c r="OX54" s="561">
        <v>0</v>
      </c>
      <c r="OY54" s="561">
        <v>74</v>
      </c>
      <c r="OZ54" s="561">
        <v>0</v>
      </c>
      <c r="PA54" s="561">
        <v>0</v>
      </c>
      <c r="PB54" s="561">
        <v>0</v>
      </c>
      <c r="PC54" s="561">
        <v>0</v>
      </c>
      <c r="PD54" s="561">
        <v>74</v>
      </c>
      <c r="PE54" s="561">
        <v>0</v>
      </c>
      <c r="PF54" s="561">
        <v>0</v>
      </c>
      <c r="PG54" s="561">
        <v>0</v>
      </c>
      <c r="PH54" s="561">
        <v>0</v>
      </c>
      <c r="PI54" s="561">
        <v>0</v>
      </c>
      <c r="PJ54" s="561">
        <v>0</v>
      </c>
    </row>
    <row r="55" spans="1:426" ht="14" x14ac:dyDescent="0.3">
      <c r="A55" t="s">
        <v>2596</v>
      </c>
      <c r="B55" t="s">
        <v>2597</v>
      </c>
      <c r="C55" t="s">
        <v>2598</v>
      </c>
      <c r="E55" t="s">
        <v>2466</v>
      </c>
      <c r="F55" s="561">
        <v>0</v>
      </c>
      <c r="G55" s="561">
        <v>0</v>
      </c>
      <c r="H55" s="561">
        <v>0</v>
      </c>
      <c r="I55" s="561">
        <v>0</v>
      </c>
      <c r="J55" s="561">
        <v>217</v>
      </c>
      <c r="K55" s="561">
        <v>21199</v>
      </c>
      <c r="L55" s="561">
        <v>21416</v>
      </c>
      <c r="M55" s="561">
        <v>112</v>
      </c>
      <c r="N55" s="561">
        <v>1041</v>
      </c>
      <c r="O55" s="561">
        <v>2351</v>
      </c>
      <c r="P55" s="561">
        <v>0</v>
      </c>
      <c r="Q55" s="561">
        <v>0</v>
      </c>
      <c r="R55" s="561">
        <v>0</v>
      </c>
      <c r="S55" s="561">
        <v>0</v>
      </c>
      <c r="T55" s="561">
        <v>0</v>
      </c>
      <c r="U55" s="561">
        <v>0</v>
      </c>
      <c r="V55" s="561">
        <v>0</v>
      </c>
      <c r="W55" s="561">
        <v>0</v>
      </c>
      <c r="X55" s="561">
        <v>0</v>
      </c>
      <c r="Y55" s="561">
        <v>1401</v>
      </c>
      <c r="Z55" s="561">
        <v>0</v>
      </c>
      <c r="AA55" s="561">
        <v>0</v>
      </c>
      <c r="AB55" s="561">
        <v>0</v>
      </c>
      <c r="AC55" s="561">
        <v>8064</v>
      </c>
      <c r="AD55" s="561">
        <v>3421</v>
      </c>
      <c r="AE55" s="561">
        <v>9711</v>
      </c>
      <c r="AF55" s="561">
        <v>0</v>
      </c>
      <c r="AG55" s="561">
        <v>0</v>
      </c>
      <c r="AH55" s="561">
        <v>1232</v>
      </c>
      <c r="AI55" s="561">
        <v>0</v>
      </c>
      <c r="AJ55" s="561">
        <v>27221</v>
      </c>
      <c r="AK55" s="561">
        <v>314</v>
      </c>
      <c r="AL55" s="561">
        <v>0</v>
      </c>
      <c r="AM55" s="561">
        <v>0</v>
      </c>
      <c r="AN55" s="561">
        <v>0</v>
      </c>
      <c r="AO55" s="561">
        <v>0</v>
      </c>
      <c r="AP55" s="561">
        <v>0</v>
      </c>
      <c r="AQ55" s="561">
        <v>0</v>
      </c>
      <c r="AR55" s="561">
        <v>0</v>
      </c>
      <c r="AS55" s="561">
        <v>0</v>
      </c>
      <c r="AT55" s="561">
        <v>0</v>
      </c>
      <c r="AU55" s="561">
        <v>0</v>
      </c>
      <c r="AV55" s="561">
        <v>0</v>
      </c>
      <c r="AW55" s="561">
        <v>0</v>
      </c>
      <c r="AX55" s="561">
        <v>0</v>
      </c>
      <c r="AY55" s="561">
        <v>0</v>
      </c>
      <c r="AZ55" s="561">
        <v>0</v>
      </c>
      <c r="BA55" s="561">
        <v>0</v>
      </c>
      <c r="BB55" s="561">
        <v>0</v>
      </c>
      <c r="BC55" s="561">
        <v>0</v>
      </c>
      <c r="BD55" s="561">
        <v>0</v>
      </c>
      <c r="BE55" s="561">
        <v>0</v>
      </c>
      <c r="BF55" s="561">
        <v>0</v>
      </c>
      <c r="BG55" s="561">
        <v>0</v>
      </c>
      <c r="BH55" s="561">
        <v>0</v>
      </c>
      <c r="BI55" s="561">
        <v>0</v>
      </c>
      <c r="BJ55" s="561">
        <v>0</v>
      </c>
      <c r="BK55" s="561">
        <v>0</v>
      </c>
      <c r="BL55" s="561">
        <v>0</v>
      </c>
      <c r="BM55" s="561">
        <v>0</v>
      </c>
      <c r="BN55" s="561">
        <v>0</v>
      </c>
      <c r="BO55" s="561">
        <v>0</v>
      </c>
      <c r="BP55" s="561">
        <v>0</v>
      </c>
      <c r="BQ55" s="561">
        <v>0</v>
      </c>
      <c r="BR55" s="561">
        <v>0</v>
      </c>
      <c r="BS55" s="561">
        <v>0</v>
      </c>
      <c r="BT55" s="561">
        <v>0</v>
      </c>
      <c r="BU55" s="561">
        <v>0</v>
      </c>
      <c r="BV55" s="561">
        <v>0</v>
      </c>
      <c r="BW55" s="561">
        <v>0</v>
      </c>
      <c r="BX55" s="561">
        <v>0</v>
      </c>
      <c r="BY55" s="561">
        <v>0</v>
      </c>
      <c r="BZ55" s="561">
        <v>0</v>
      </c>
      <c r="CA55" s="561">
        <v>0</v>
      </c>
      <c r="CB55" s="561">
        <v>0</v>
      </c>
      <c r="CC55" s="561">
        <v>0</v>
      </c>
      <c r="CD55" s="561">
        <v>0</v>
      </c>
      <c r="CE55" s="561">
        <v>0</v>
      </c>
      <c r="CF55" s="561">
        <v>0</v>
      </c>
      <c r="CG55" s="561">
        <v>0</v>
      </c>
      <c r="CH55" s="561">
        <v>0</v>
      </c>
      <c r="CI55" s="561">
        <v>0</v>
      </c>
      <c r="CJ55" s="561">
        <v>0</v>
      </c>
      <c r="CK55" s="561">
        <v>0</v>
      </c>
      <c r="CL55" s="561">
        <v>0</v>
      </c>
      <c r="CM55" s="561">
        <v>0</v>
      </c>
      <c r="CN55" s="561">
        <v>0</v>
      </c>
      <c r="CO55" s="561">
        <v>0</v>
      </c>
      <c r="CP55" s="561">
        <v>0</v>
      </c>
      <c r="CQ55" s="561">
        <v>0</v>
      </c>
      <c r="CR55" s="561">
        <v>0</v>
      </c>
      <c r="CS55" s="561">
        <v>0</v>
      </c>
      <c r="CT55" s="561">
        <v>0</v>
      </c>
      <c r="CU55" s="561">
        <v>0</v>
      </c>
      <c r="CV55" s="561">
        <v>0</v>
      </c>
      <c r="CW55" s="561">
        <v>0</v>
      </c>
      <c r="CX55" s="561">
        <v>0</v>
      </c>
      <c r="CY55" s="561">
        <v>0</v>
      </c>
      <c r="CZ55" s="561">
        <v>0</v>
      </c>
      <c r="DA55" s="561">
        <v>0</v>
      </c>
      <c r="DB55" s="561">
        <v>0</v>
      </c>
      <c r="DC55" s="561">
        <v>0</v>
      </c>
      <c r="DD55" s="561">
        <v>0</v>
      </c>
      <c r="DE55" s="561">
        <v>0</v>
      </c>
      <c r="DF55" s="561">
        <v>0</v>
      </c>
      <c r="DG55" s="561">
        <v>0</v>
      </c>
      <c r="DH55" s="561">
        <v>560</v>
      </c>
      <c r="DI55" s="561">
        <v>0</v>
      </c>
      <c r="DJ55" s="561">
        <v>754</v>
      </c>
      <c r="DK55" s="561">
        <v>0</v>
      </c>
      <c r="DL55" s="561">
        <v>0</v>
      </c>
      <c r="DM55" s="561">
        <v>0</v>
      </c>
      <c r="DN55" s="561">
        <v>0</v>
      </c>
      <c r="DO55" s="561">
        <v>0</v>
      </c>
      <c r="DP55" s="561">
        <v>0</v>
      </c>
      <c r="DQ55" s="561">
        <v>0</v>
      </c>
      <c r="DR55" s="561">
        <v>0</v>
      </c>
      <c r="DS55" s="561">
        <v>0</v>
      </c>
      <c r="DT55" s="561">
        <v>0</v>
      </c>
      <c r="DU55" s="561">
        <v>0</v>
      </c>
      <c r="DV55" s="561">
        <v>0</v>
      </c>
      <c r="DW55" s="561">
        <v>0</v>
      </c>
      <c r="DX55" s="561">
        <v>0</v>
      </c>
      <c r="DY55" s="561">
        <v>0</v>
      </c>
      <c r="DZ55" s="561">
        <v>0</v>
      </c>
      <c r="EA55" s="561">
        <v>0</v>
      </c>
      <c r="EB55" s="561">
        <v>0</v>
      </c>
      <c r="EC55" s="561">
        <v>1314</v>
      </c>
      <c r="ED55" s="561">
        <v>0</v>
      </c>
      <c r="EE55" s="561">
        <v>0</v>
      </c>
      <c r="EF55" s="561">
        <v>0</v>
      </c>
      <c r="EG55" s="561">
        <v>0</v>
      </c>
      <c r="EH55" s="561">
        <v>0</v>
      </c>
      <c r="EI55" s="561">
        <v>0</v>
      </c>
      <c r="EJ55" s="561">
        <v>0</v>
      </c>
      <c r="EK55" s="561">
        <v>0</v>
      </c>
      <c r="EL55" s="561">
        <v>0</v>
      </c>
      <c r="EM55" s="561">
        <v>0</v>
      </c>
      <c r="EN55" s="561">
        <v>0</v>
      </c>
      <c r="EO55" s="561">
        <v>0</v>
      </c>
      <c r="EP55" s="561">
        <v>0</v>
      </c>
      <c r="EQ55" s="561">
        <v>0</v>
      </c>
      <c r="ER55" s="561">
        <v>0</v>
      </c>
      <c r="ES55" s="561" t="s">
        <v>4565</v>
      </c>
      <c r="ET55" s="561">
        <v>0</v>
      </c>
      <c r="EU55" s="561">
        <v>0</v>
      </c>
      <c r="EV55" s="561">
        <v>0</v>
      </c>
      <c r="EW55" s="561">
        <v>0</v>
      </c>
      <c r="EX55" s="561">
        <v>0</v>
      </c>
      <c r="EY55" s="561">
        <v>0</v>
      </c>
      <c r="EZ55" s="561">
        <v>0</v>
      </c>
      <c r="FA55" s="561">
        <v>0</v>
      </c>
      <c r="FB55" s="561">
        <v>0</v>
      </c>
      <c r="FC55" s="561">
        <v>32</v>
      </c>
      <c r="FD55" s="561">
        <v>2</v>
      </c>
      <c r="FE55" s="561">
        <v>2</v>
      </c>
      <c r="FF55" s="561">
        <v>2</v>
      </c>
      <c r="FG55" s="561">
        <v>0</v>
      </c>
      <c r="FH55" s="561">
        <v>0</v>
      </c>
      <c r="FI55" s="561">
        <v>0</v>
      </c>
      <c r="FJ55" s="561">
        <v>0</v>
      </c>
      <c r="FK55" s="561">
        <v>97</v>
      </c>
      <c r="FL55" s="561">
        <v>0</v>
      </c>
      <c r="FM55" s="561">
        <v>91</v>
      </c>
      <c r="FN55" s="561">
        <v>0</v>
      </c>
      <c r="FO55" s="561">
        <v>226</v>
      </c>
      <c r="FP55" s="561">
        <v>0</v>
      </c>
      <c r="FQ55" s="561">
        <v>0</v>
      </c>
      <c r="FR55" s="561">
        <v>0</v>
      </c>
      <c r="FS55" s="561">
        <v>0</v>
      </c>
      <c r="FT55" s="561">
        <v>0</v>
      </c>
      <c r="FU55" s="561">
        <v>0</v>
      </c>
      <c r="FV55" s="561">
        <v>0</v>
      </c>
      <c r="FW55" s="561">
        <v>0</v>
      </c>
      <c r="FX55" s="561">
        <v>0</v>
      </c>
      <c r="FY55" s="561">
        <v>0</v>
      </c>
      <c r="FZ55" s="561">
        <v>0</v>
      </c>
      <c r="GA55" s="561">
        <v>0</v>
      </c>
      <c r="GB55" s="561">
        <v>0</v>
      </c>
      <c r="GC55" s="561">
        <v>0</v>
      </c>
      <c r="GD55" s="561">
        <v>0</v>
      </c>
      <c r="GE55" s="561">
        <v>0</v>
      </c>
      <c r="GF55" s="561">
        <v>0</v>
      </c>
      <c r="GG55" s="561">
        <v>0</v>
      </c>
      <c r="GH55" s="561">
        <v>0</v>
      </c>
      <c r="GI55" s="561">
        <v>0</v>
      </c>
      <c r="GJ55" s="561">
        <v>0</v>
      </c>
      <c r="GK55" s="561">
        <v>0</v>
      </c>
      <c r="GL55" s="561">
        <v>0</v>
      </c>
      <c r="GM55" s="561">
        <v>0</v>
      </c>
      <c r="GN55" s="561">
        <v>0</v>
      </c>
      <c r="GO55" s="561">
        <v>0</v>
      </c>
      <c r="GP55" s="561">
        <v>0</v>
      </c>
      <c r="GQ55" s="561">
        <v>0</v>
      </c>
      <c r="GR55" s="561">
        <v>0</v>
      </c>
      <c r="GS55" s="561">
        <v>0</v>
      </c>
      <c r="GT55" s="561">
        <v>0</v>
      </c>
      <c r="GU55" s="561">
        <v>0</v>
      </c>
      <c r="GV55" s="561">
        <v>0</v>
      </c>
      <c r="GW55" s="561">
        <v>0</v>
      </c>
      <c r="GX55" s="561">
        <v>147</v>
      </c>
      <c r="GY55" s="561">
        <v>14869</v>
      </c>
      <c r="GZ55" s="561">
        <v>2809</v>
      </c>
      <c r="HA55" s="561">
        <v>0</v>
      </c>
      <c r="HB55" s="561">
        <v>2131</v>
      </c>
      <c r="HC55" s="561">
        <v>693</v>
      </c>
      <c r="HD55" s="561">
        <v>20649</v>
      </c>
      <c r="HE55" s="561">
        <v>313</v>
      </c>
      <c r="HF55" s="561">
        <v>20875</v>
      </c>
      <c r="HG55" s="561">
        <v>0</v>
      </c>
      <c r="HH55" s="561">
        <v>0</v>
      </c>
      <c r="HI55" s="561">
        <v>0</v>
      </c>
      <c r="HJ55" s="561">
        <v>0</v>
      </c>
      <c r="HK55" s="561">
        <v>0</v>
      </c>
      <c r="HL55" s="561">
        <v>0</v>
      </c>
      <c r="HM55" s="561">
        <v>0</v>
      </c>
      <c r="HN55" s="561">
        <v>0</v>
      </c>
      <c r="HO55" s="561">
        <v>2365</v>
      </c>
      <c r="HP55" s="561">
        <v>0</v>
      </c>
      <c r="HQ55" s="561">
        <v>0</v>
      </c>
      <c r="HR55" s="561">
        <v>0</v>
      </c>
      <c r="HS55" s="561">
        <v>0</v>
      </c>
      <c r="HT55" s="561">
        <v>0</v>
      </c>
      <c r="HU55" s="561">
        <v>0</v>
      </c>
      <c r="HV55" s="561">
        <v>0</v>
      </c>
      <c r="HW55" s="561">
        <v>0</v>
      </c>
      <c r="HX55" s="561">
        <v>0</v>
      </c>
      <c r="HY55" s="561">
        <v>0</v>
      </c>
      <c r="HZ55" s="561">
        <v>0</v>
      </c>
      <c r="IA55" s="561">
        <v>0</v>
      </c>
      <c r="IB55" s="561">
        <v>0</v>
      </c>
      <c r="IC55" s="561">
        <v>0</v>
      </c>
      <c r="ID55" s="561">
        <v>0</v>
      </c>
      <c r="IE55" s="561">
        <v>0</v>
      </c>
      <c r="IF55" s="561">
        <v>0</v>
      </c>
      <c r="IG55" s="561">
        <v>0</v>
      </c>
      <c r="IH55" s="561">
        <v>-1282</v>
      </c>
      <c r="II55" s="561">
        <v>1083</v>
      </c>
      <c r="IJ55" s="561">
        <v>0</v>
      </c>
      <c r="IK55" s="561">
        <v>96</v>
      </c>
      <c r="IL55" s="561">
        <v>4501</v>
      </c>
      <c r="IM55" s="561">
        <v>0</v>
      </c>
      <c r="IN55" s="561">
        <v>0</v>
      </c>
      <c r="IO55" s="561">
        <v>0</v>
      </c>
      <c r="IP55" s="561">
        <v>0</v>
      </c>
      <c r="IQ55" s="561">
        <v>665</v>
      </c>
      <c r="IR55" s="561">
        <v>21416</v>
      </c>
      <c r="IS55" s="561">
        <v>27221</v>
      </c>
      <c r="IT55" s="561">
        <v>0</v>
      </c>
      <c r="IU55" s="561">
        <v>0</v>
      </c>
      <c r="IV55" s="561">
        <v>0</v>
      </c>
      <c r="IW55" s="561">
        <v>1314</v>
      </c>
      <c r="IX55" s="561">
        <v>226</v>
      </c>
      <c r="IY55" s="561">
        <v>0</v>
      </c>
      <c r="IZ55" s="561">
        <v>20649</v>
      </c>
      <c r="JA55" s="561">
        <v>0</v>
      </c>
      <c r="JB55" s="561">
        <v>0</v>
      </c>
      <c r="JC55" s="561">
        <v>1083</v>
      </c>
      <c r="JD55" s="561">
        <v>0</v>
      </c>
      <c r="JE55" s="561">
        <v>71909</v>
      </c>
      <c r="JF55" s="561">
        <v>0</v>
      </c>
      <c r="JG55" s="561">
        <v>0</v>
      </c>
      <c r="JH55" s="561">
        <v>0</v>
      </c>
      <c r="JI55" s="561">
        <v>0</v>
      </c>
      <c r="JJ55" s="561">
        <v>0</v>
      </c>
      <c r="JK55" s="561">
        <v>0</v>
      </c>
      <c r="JL55" s="561">
        <v>-13764</v>
      </c>
      <c r="JM55" s="561">
        <v>0</v>
      </c>
      <c r="JN55" s="561">
        <v>0</v>
      </c>
      <c r="JO55" s="561">
        <v>16</v>
      </c>
      <c r="JP55" s="561">
        <v>0</v>
      </c>
      <c r="JQ55" s="561">
        <v>0</v>
      </c>
      <c r="JR55" s="561">
        <v>0</v>
      </c>
      <c r="JS55" s="561">
        <v>0</v>
      </c>
      <c r="JT55" s="561">
        <v>-13</v>
      </c>
      <c r="JU55" s="561">
        <v>0</v>
      </c>
      <c r="JV55" s="561">
        <v>58148</v>
      </c>
      <c r="JW55" s="561">
        <v>0</v>
      </c>
      <c r="JX55" s="561">
        <v>0</v>
      </c>
      <c r="JY55" s="561">
        <v>0</v>
      </c>
      <c r="JZ55" s="561">
        <v>0</v>
      </c>
      <c r="KA55" s="561">
        <v>0</v>
      </c>
      <c r="KB55" s="561">
        <v>68</v>
      </c>
      <c r="KC55" s="561">
        <v>121</v>
      </c>
      <c r="KD55" s="561">
        <v>0</v>
      </c>
      <c r="KE55" s="561">
        <v>4</v>
      </c>
      <c r="KF55" s="561">
        <v>0</v>
      </c>
      <c r="KG55" s="561">
        <v>58341</v>
      </c>
      <c r="KH55" s="561">
        <v>-10732</v>
      </c>
      <c r="KI55" s="561">
        <v>0</v>
      </c>
      <c r="KJ55" s="561">
        <v>0</v>
      </c>
      <c r="KK55" s="561">
        <v>0</v>
      </c>
      <c r="KL55" s="561">
        <v>-859</v>
      </c>
      <c r="KM55" s="561">
        <v>0</v>
      </c>
      <c r="KN55" s="561">
        <v>0</v>
      </c>
      <c r="KO55" s="561">
        <v>0</v>
      </c>
      <c r="KP55" s="561">
        <v>0</v>
      </c>
      <c r="KQ55" s="561">
        <v>0</v>
      </c>
      <c r="KR55" s="561">
        <v>46750</v>
      </c>
      <c r="KS55" s="561">
        <v>0</v>
      </c>
      <c r="KT55" s="561">
        <v>-52558</v>
      </c>
      <c r="KU55" s="561">
        <v>-5808</v>
      </c>
      <c r="KV55" s="561">
        <v>0</v>
      </c>
      <c r="KW55" s="561">
        <v>0</v>
      </c>
      <c r="KX55" s="561">
        <v>0</v>
      </c>
      <c r="KY55" s="561">
        <v>0</v>
      </c>
      <c r="KZ55" s="561">
        <v>9770</v>
      </c>
      <c r="LA55" s="561">
        <v>7079</v>
      </c>
      <c r="LB55" s="561">
        <v>0</v>
      </c>
      <c r="LC55" s="561">
        <v>0</v>
      </c>
      <c r="LD55" s="561">
        <v>0</v>
      </c>
      <c r="LE55" s="561">
        <v>6</v>
      </c>
      <c r="LF55" s="561">
        <v>0</v>
      </c>
      <c r="LG55" s="561">
        <v>11047</v>
      </c>
      <c r="LH55" s="561">
        <v>0</v>
      </c>
      <c r="LI55" s="561">
        <v>0</v>
      </c>
      <c r="LJ55" s="561">
        <v>0</v>
      </c>
      <c r="LK55" s="561">
        <v>0</v>
      </c>
      <c r="LL55" s="561">
        <v>17354</v>
      </c>
      <c r="LM55" s="561">
        <v>19350</v>
      </c>
      <c r="LN55" s="561">
        <v>0</v>
      </c>
      <c r="LO55" s="561">
        <v>0</v>
      </c>
      <c r="LP55" s="561">
        <v>0</v>
      </c>
      <c r="LQ55" s="561">
        <v>0</v>
      </c>
      <c r="LR55" s="561">
        <v>27124</v>
      </c>
      <c r="LS55" s="561">
        <v>26429</v>
      </c>
      <c r="LT55" s="561">
        <v>0</v>
      </c>
      <c r="LU55" s="561">
        <v>699</v>
      </c>
      <c r="LV55" s="561">
        <v>0</v>
      </c>
      <c r="LW55" s="561">
        <v>0</v>
      </c>
      <c r="LX55" s="561">
        <v>-76072</v>
      </c>
      <c r="LY55" s="561">
        <v>83795</v>
      </c>
      <c r="LZ55" s="561">
        <v>-3618</v>
      </c>
      <c r="MA55" s="561">
        <v>0</v>
      </c>
      <c r="MB55" s="561">
        <v>0</v>
      </c>
      <c r="MC55" s="561">
        <v>0</v>
      </c>
      <c r="MD55" s="561">
        <v>0</v>
      </c>
      <c r="ME55" s="561">
        <v>0</v>
      </c>
      <c r="MF55" s="561">
        <v>0</v>
      </c>
      <c r="MG55" s="561">
        <v>0</v>
      </c>
      <c r="MH55" s="561">
        <v>0</v>
      </c>
      <c r="MI55" s="561">
        <v>0</v>
      </c>
      <c r="MJ55" s="561">
        <v>0</v>
      </c>
      <c r="MK55" s="561">
        <v>0</v>
      </c>
      <c r="ML55" s="561">
        <v>0</v>
      </c>
      <c r="MM55" s="561">
        <v>10501</v>
      </c>
      <c r="MN55" s="561">
        <v>16623</v>
      </c>
      <c r="MO55" s="561">
        <v>0</v>
      </c>
      <c r="MP55" s="561">
        <v>0</v>
      </c>
      <c r="MQ55" s="561">
        <v>21416</v>
      </c>
      <c r="MR55" s="561">
        <v>27221</v>
      </c>
      <c r="MS55" s="561">
        <v>0</v>
      </c>
      <c r="MT55" s="561">
        <v>0</v>
      </c>
      <c r="MU55" s="561">
        <v>0</v>
      </c>
      <c r="MV55" s="561">
        <v>1314</v>
      </c>
      <c r="MW55" s="561">
        <v>226</v>
      </c>
      <c r="MX55" s="561">
        <v>0</v>
      </c>
      <c r="MY55" s="561">
        <v>20649</v>
      </c>
      <c r="MZ55" s="561">
        <v>0</v>
      </c>
      <c r="NA55" s="561">
        <v>0</v>
      </c>
      <c r="NB55" s="561">
        <v>1083</v>
      </c>
      <c r="NC55" s="561">
        <v>0</v>
      </c>
      <c r="ND55" s="561">
        <v>71909</v>
      </c>
      <c r="NE55" s="561">
        <v>0</v>
      </c>
      <c r="NF55" s="561">
        <v>0</v>
      </c>
      <c r="NG55" s="561">
        <v>0</v>
      </c>
      <c r="NH55" s="561">
        <v>0</v>
      </c>
      <c r="NI55" s="561">
        <v>0</v>
      </c>
      <c r="NJ55" s="561">
        <v>0</v>
      </c>
      <c r="NK55" s="561">
        <v>0</v>
      </c>
      <c r="NL55" s="561">
        <v>0</v>
      </c>
      <c r="NM55" s="561">
        <v>0</v>
      </c>
      <c r="NN55" s="561">
        <v>0</v>
      </c>
      <c r="NO55" s="561">
        <v>0</v>
      </c>
      <c r="NP55" s="561">
        <v>0</v>
      </c>
      <c r="NQ55" s="561">
        <v>0</v>
      </c>
      <c r="NR55" s="561">
        <v>0</v>
      </c>
      <c r="NS55" s="561">
        <v>0</v>
      </c>
      <c r="NT55" s="561">
        <v>0</v>
      </c>
      <c r="NU55" s="561">
        <v>0</v>
      </c>
      <c r="NV55" s="561">
        <v>0</v>
      </c>
      <c r="NW55" s="561">
        <v>0</v>
      </c>
      <c r="NX55" s="561">
        <v>0</v>
      </c>
      <c r="NY55" s="561">
        <v>0</v>
      </c>
      <c r="NZ55" s="561">
        <v>0</v>
      </c>
      <c r="OA55" s="561">
        <v>0</v>
      </c>
      <c r="OB55" s="561">
        <v>0</v>
      </c>
      <c r="OC55" s="561">
        <v>0</v>
      </c>
      <c r="OD55" s="561">
        <v>0</v>
      </c>
      <c r="OE55" s="561">
        <v>0</v>
      </c>
      <c r="OF55" s="561">
        <v>0</v>
      </c>
      <c r="OG55" s="561">
        <v>0</v>
      </c>
      <c r="OH55" s="561">
        <v>0</v>
      </c>
      <c r="OI55" s="561">
        <v>0</v>
      </c>
      <c r="OJ55" s="561">
        <v>0</v>
      </c>
      <c r="OK55" s="561">
        <v>0</v>
      </c>
      <c r="OL55" s="561">
        <v>0</v>
      </c>
      <c r="OM55" s="561">
        <v>0</v>
      </c>
      <c r="ON55" s="561">
        <v>0</v>
      </c>
      <c r="OO55" s="561">
        <v>0</v>
      </c>
      <c r="OP55" s="561">
        <v>0</v>
      </c>
      <c r="OQ55" s="561">
        <v>0</v>
      </c>
      <c r="OR55" s="561">
        <v>0</v>
      </c>
      <c r="OS55" s="561">
        <v>0</v>
      </c>
      <c r="OT55" s="561">
        <v>0</v>
      </c>
      <c r="OU55" s="561">
        <v>0</v>
      </c>
      <c r="OV55" s="561">
        <v>-533</v>
      </c>
      <c r="OW55" s="561">
        <v>0</v>
      </c>
      <c r="OX55" s="561">
        <v>0</v>
      </c>
      <c r="OY55" s="561">
        <v>0</v>
      </c>
      <c r="OZ55" s="561">
        <v>0</v>
      </c>
      <c r="PA55" s="561">
        <v>0</v>
      </c>
      <c r="PB55" s="561">
        <v>0</v>
      </c>
      <c r="PC55" s="561">
        <v>0</v>
      </c>
      <c r="PD55" s="561">
        <v>0</v>
      </c>
      <c r="PE55" s="561">
        <v>0</v>
      </c>
      <c r="PF55" s="561">
        <v>0</v>
      </c>
      <c r="PG55" s="561">
        <v>0</v>
      </c>
      <c r="PH55" s="561">
        <v>0</v>
      </c>
      <c r="PI55" s="561">
        <v>0</v>
      </c>
      <c r="PJ55" s="561">
        <v>0</v>
      </c>
    </row>
    <row r="56" spans="1:426" ht="14" x14ac:dyDescent="0.3">
      <c r="A56" t="s">
        <v>2592</v>
      </c>
      <c r="B56" t="s">
        <v>2593</v>
      </c>
      <c r="C56" t="s">
        <v>4580</v>
      </c>
      <c r="E56" t="s">
        <v>2595</v>
      </c>
      <c r="F56" s="561">
        <v>81349</v>
      </c>
      <c r="G56" s="561">
        <v>173831</v>
      </c>
      <c r="H56" s="561">
        <v>31087</v>
      </c>
      <c r="I56" s="561">
        <v>54258</v>
      </c>
      <c r="J56" s="561">
        <v>912</v>
      </c>
      <c r="K56" s="561">
        <v>59238</v>
      </c>
      <c r="L56" s="561">
        <v>400675</v>
      </c>
      <c r="M56" s="561">
        <v>2959</v>
      </c>
      <c r="N56" s="561">
        <v>10911</v>
      </c>
      <c r="O56" s="561">
        <v>0</v>
      </c>
      <c r="P56" s="561">
        <v>78</v>
      </c>
      <c r="Q56" s="561">
        <v>798</v>
      </c>
      <c r="R56" s="561">
        <v>475</v>
      </c>
      <c r="S56" s="561">
        <v>102</v>
      </c>
      <c r="T56" s="561">
        <v>1031</v>
      </c>
      <c r="U56" s="561">
        <v>4258</v>
      </c>
      <c r="V56" s="561">
        <v>10004</v>
      </c>
      <c r="W56" s="561">
        <v>0</v>
      </c>
      <c r="X56" s="561">
        <v>365</v>
      </c>
      <c r="Y56" s="561">
        <v>124</v>
      </c>
      <c r="Z56" s="561">
        <v>-588</v>
      </c>
      <c r="AA56" s="561">
        <v>1453</v>
      </c>
      <c r="AB56" s="561">
        <v>3874</v>
      </c>
      <c r="AC56" s="561">
        <v>0</v>
      </c>
      <c r="AD56" s="561">
        <v>0</v>
      </c>
      <c r="AE56" s="561">
        <v>0</v>
      </c>
      <c r="AF56" s="561">
        <v>0</v>
      </c>
      <c r="AG56" s="561">
        <v>0</v>
      </c>
      <c r="AH56" s="561">
        <v>0</v>
      </c>
      <c r="AI56" s="561">
        <v>0</v>
      </c>
      <c r="AJ56" s="561">
        <v>32885</v>
      </c>
      <c r="AK56" s="561">
        <v>0</v>
      </c>
      <c r="AL56" s="561">
        <v>0</v>
      </c>
      <c r="AM56" s="561">
        <v>0</v>
      </c>
      <c r="AN56" s="561">
        <v>0</v>
      </c>
      <c r="AO56" s="561">
        <v>0</v>
      </c>
      <c r="AP56" s="561">
        <v>0</v>
      </c>
      <c r="AQ56" s="561">
        <v>0</v>
      </c>
      <c r="AR56" s="561">
        <v>0</v>
      </c>
      <c r="AS56" s="561">
        <v>1524</v>
      </c>
      <c r="AT56" s="561">
        <v>4908</v>
      </c>
      <c r="AU56" s="561">
        <v>0</v>
      </c>
      <c r="AV56" s="561">
        <v>0</v>
      </c>
      <c r="AW56" s="561">
        <v>0</v>
      </c>
      <c r="AX56" s="561">
        <v>7374</v>
      </c>
      <c r="AY56" s="561">
        <v>59050</v>
      </c>
      <c r="AZ56" s="561">
        <v>0</v>
      </c>
      <c r="BA56" s="561">
        <v>18445</v>
      </c>
      <c r="BB56" s="561">
        <v>2570</v>
      </c>
      <c r="BC56" s="561">
        <v>27330</v>
      </c>
      <c r="BD56" s="561">
        <v>3909</v>
      </c>
      <c r="BE56" s="561">
        <v>3499</v>
      </c>
      <c r="BF56" s="561">
        <v>122177</v>
      </c>
      <c r="BG56" s="561">
        <v>6192</v>
      </c>
      <c r="BH56" s="561">
        <v>13049</v>
      </c>
      <c r="BI56" s="561">
        <v>54744</v>
      </c>
      <c r="BJ56" s="561">
        <v>371</v>
      </c>
      <c r="BK56" s="561">
        <v>1096</v>
      </c>
      <c r="BL56" s="561">
        <v>1492</v>
      </c>
      <c r="BM56" s="561">
        <v>13216</v>
      </c>
      <c r="BN56" s="561">
        <v>80733</v>
      </c>
      <c r="BO56" s="561">
        <v>12249</v>
      </c>
      <c r="BP56" s="561">
        <v>9838</v>
      </c>
      <c r="BQ56" s="561">
        <v>10337</v>
      </c>
      <c r="BR56" s="561">
        <v>163</v>
      </c>
      <c r="BS56" s="561">
        <v>0</v>
      </c>
      <c r="BT56" s="561">
        <v>5649</v>
      </c>
      <c r="BU56" s="561">
        <v>1158</v>
      </c>
      <c r="BV56" s="561">
        <v>3418</v>
      </c>
      <c r="BW56" s="561">
        <v>20816</v>
      </c>
      <c r="BX56" s="561">
        <v>4376</v>
      </c>
      <c r="BY56" s="561">
        <v>35761</v>
      </c>
      <c r="BZ56" s="561">
        <v>268466</v>
      </c>
      <c r="CA56" s="561">
        <v>2900</v>
      </c>
      <c r="CB56" s="561">
        <v>4225</v>
      </c>
      <c r="CC56" s="561">
        <v>990</v>
      </c>
      <c r="CD56" s="561">
        <v>490</v>
      </c>
      <c r="CE56" s="561">
        <v>1111</v>
      </c>
      <c r="CF56" s="561">
        <v>272</v>
      </c>
      <c r="CG56" s="561">
        <v>115</v>
      </c>
      <c r="CH56" s="561">
        <v>488</v>
      </c>
      <c r="CI56" s="561">
        <v>1903</v>
      </c>
      <c r="CJ56" s="561">
        <v>741</v>
      </c>
      <c r="CK56" s="561">
        <v>614</v>
      </c>
      <c r="CL56" s="561">
        <v>107</v>
      </c>
      <c r="CM56" s="561">
        <v>4771</v>
      </c>
      <c r="CN56" s="561">
        <v>1461</v>
      </c>
      <c r="CO56" s="561">
        <v>554</v>
      </c>
      <c r="CP56" s="561">
        <v>471</v>
      </c>
      <c r="CQ56" s="561">
        <v>529</v>
      </c>
      <c r="CR56" s="561">
        <v>1885</v>
      </c>
      <c r="CS56" s="561">
        <v>21</v>
      </c>
      <c r="CT56" s="561">
        <v>2071</v>
      </c>
      <c r="CU56" s="561">
        <v>7803</v>
      </c>
      <c r="CV56" s="561">
        <v>458</v>
      </c>
      <c r="CW56" s="561">
        <v>10</v>
      </c>
      <c r="CX56" s="561">
        <v>1637</v>
      </c>
      <c r="CY56" s="561">
        <v>2843</v>
      </c>
      <c r="CZ56" s="561">
        <v>35570</v>
      </c>
      <c r="DA56" s="561">
        <v>264</v>
      </c>
      <c r="DB56" s="561">
        <v>1158</v>
      </c>
      <c r="DC56" s="561">
        <v>0</v>
      </c>
      <c r="DD56" s="561">
        <v>140</v>
      </c>
      <c r="DE56" s="561">
        <v>0</v>
      </c>
      <c r="DF56" s="561">
        <v>0</v>
      </c>
      <c r="DG56" s="561">
        <v>0</v>
      </c>
      <c r="DH56" s="561">
        <v>0</v>
      </c>
      <c r="DI56" s="561">
        <v>0</v>
      </c>
      <c r="DJ56" s="561">
        <v>0</v>
      </c>
      <c r="DK56" s="561">
        <v>0</v>
      </c>
      <c r="DL56" s="561">
        <v>0</v>
      </c>
      <c r="DM56" s="561">
        <v>0</v>
      </c>
      <c r="DN56" s="561">
        <v>0</v>
      </c>
      <c r="DO56" s="561">
        <v>0</v>
      </c>
      <c r="DP56" s="561">
        <v>0</v>
      </c>
      <c r="DQ56" s="561">
        <v>0</v>
      </c>
      <c r="DR56" s="561">
        <v>0</v>
      </c>
      <c r="DS56" s="561">
        <v>0</v>
      </c>
      <c r="DT56" s="561">
        <v>0</v>
      </c>
      <c r="DU56" s="561">
        <v>0</v>
      </c>
      <c r="DV56" s="561">
        <v>0</v>
      </c>
      <c r="DW56" s="561">
        <v>0</v>
      </c>
      <c r="DX56" s="561">
        <v>0</v>
      </c>
      <c r="DY56" s="561">
        <v>0</v>
      </c>
      <c r="DZ56" s="561">
        <v>0</v>
      </c>
      <c r="EA56" s="561">
        <v>2463</v>
      </c>
      <c r="EB56" s="561">
        <v>0</v>
      </c>
      <c r="EC56" s="561">
        <v>2463</v>
      </c>
      <c r="ED56" s="561">
        <v>0</v>
      </c>
      <c r="EE56" s="561">
        <v>0</v>
      </c>
      <c r="EF56" s="561">
        <v>0</v>
      </c>
      <c r="EG56" s="561">
        <v>0</v>
      </c>
      <c r="EH56" s="561">
        <v>0</v>
      </c>
      <c r="EI56" s="561">
        <v>0</v>
      </c>
      <c r="EJ56" s="561">
        <v>0</v>
      </c>
      <c r="EK56" s="561">
        <v>0</v>
      </c>
      <c r="EL56" s="561">
        <v>0</v>
      </c>
      <c r="EM56" s="561">
        <v>0</v>
      </c>
      <c r="EN56" s="561">
        <v>0</v>
      </c>
      <c r="EO56" s="561">
        <v>0</v>
      </c>
      <c r="EP56" s="561">
        <v>0</v>
      </c>
      <c r="EQ56" s="561">
        <v>0</v>
      </c>
      <c r="ER56" s="561">
        <v>0</v>
      </c>
      <c r="ES56" s="561" t="s">
        <v>4565</v>
      </c>
      <c r="ET56" s="561">
        <v>0</v>
      </c>
      <c r="EU56" s="561">
        <v>0</v>
      </c>
      <c r="EV56" s="561">
        <v>0</v>
      </c>
      <c r="EW56" s="561">
        <v>0</v>
      </c>
      <c r="EX56" s="561">
        <v>0</v>
      </c>
      <c r="EY56" s="561">
        <v>0</v>
      </c>
      <c r="EZ56" s="561">
        <v>0</v>
      </c>
      <c r="FA56" s="561">
        <v>0</v>
      </c>
      <c r="FB56" s="561">
        <v>577</v>
      </c>
      <c r="FC56" s="561">
        <v>0</v>
      </c>
      <c r="FD56" s="561">
        <v>264</v>
      </c>
      <c r="FE56" s="561">
        <v>0</v>
      </c>
      <c r="FF56" s="561">
        <v>0</v>
      </c>
      <c r="FG56" s="561">
        <v>0</v>
      </c>
      <c r="FH56" s="561">
        <v>0</v>
      </c>
      <c r="FI56" s="561">
        <v>0</v>
      </c>
      <c r="FJ56" s="561">
        <v>0</v>
      </c>
      <c r="FK56" s="561">
        <v>0</v>
      </c>
      <c r="FL56" s="561">
        <v>0</v>
      </c>
      <c r="FM56" s="561">
        <v>0</v>
      </c>
      <c r="FN56" s="561">
        <v>6143</v>
      </c>
      <c r="FO56" s="561">
        <v>6984</v>
      </c>
      <c r="FP56" s="561">
        <v>0</v>
      </c>
      <c r="FQ56" s="561">
        <v>0</v>
      </c>
      <c r="FR56" s="561">
        <v>649</v>
      </c>
      <c r="FS56" s="561">
        <v>0</v>
      </c>
      <c r="FT56" s="561">
        <v>0</v>
      </c>
      <c r="FU56" s="561">
        <v>0</v>
      </c>
      <c r="FV56" s="561">
        <v>0</v>
      </c>
      <c r="FW56" s="561">
        <v>0</v>
      </c>
      <c r="FX56" s="561">
        <v>0</v>
      </c>
      <c r="FY56" s="561">
        <v>0</v>
      </c>
      <c r="FZ56" s="561">
        <v>0</v>
      </c>
      <c r="GA56" s="561">
        <v>0</v>
      </c>
      <c r="GB56" s="561">
        <v>0</v>
      </c>
      <c r="GC56" s="561">
        <v>0</v>
      </c>
      <c r="GD56" s="561">
        <v>0</v>
      </c>
      <c r="GE56" s="561">
        <v>0</v>
      </c>
      <c r="GF56" s="561">
        <v>0</v>
      </c>
      <c r="GG56" s="561">
        <v>0</v>
      </c>
      <c r="GH56" s="561">
        <v>0</v>
      </c>
      <c r="GI56" s="561">
        <v>0</v>
      </c>
      <c r="GJ56" s="561">
        <v>0</v>
      </c>
      <c r="GK56" s="561">
        <v>-4707</v>
      </c>
      <c r="GL56" s="561">
        <v>0</v>
      </c>
      <c r="GM56" s="561">
        <v>0</v>
      </c>
      <c r="GN56" s="561">
        <v>52103</v>
      </c>
      <c r="GO56" s="561">
        <v>0</v>
      </c>
      <c r="GP56" s="561">
        <v>0</v>
      </c>
      <c r="GQ56" s="561">
        <v>0</v>
      </c>
      <c r="GR56" s="561">
        <v>0</v>
      </c>
      <c r="GS56" s="561">
        <v>48045</v>
      </c>
      <c r="GT56" s="561">
        <v>0</v>
      </c>
      <c r="GU56" s="561">
        <v>0</v>
      </c>
      <c r="GV56" s="561">
        <v>254</v>
      </c>
      <c r="GW56" s="561">
        <v>0</v>
      </c>
      <c r="GX56" s="561">
        <v>962</v>
      </c>
      <c r="GY56" s="561">
        <v>1012</v>
      </c>
      <c r="GZ56" s="561">
        <v>0</v>
      </c>
      <c r="HA56" s="561">
        <v>0</v>
      </c>
      <c r="HB56" s="561">
        <v>0</v>
      </c>
      <c r="HC56" s="561">
        <v>0</v>
      </c>
      <c r="HD56" s="561">
        <v>2228</v>
      </c>
      <c r="HE56" s="561">
        <v>0</v>
      </c>
      <c r="HF56" s="561">
        <v>57257</v>
      </c>
      <c r="HG56" s="561">
        <v>0</v>
      </c>
      <c r="HH56" s="561">
        <v>0</v>
      </c>
      <c r="HI56" s="561">
        <v>0</v>
      </c>
      <c r="HJ56" s="561">
        <v>0</v>
      </c>
      <c r="HK56" s="561">
        <v>0</v>
      </c>
      <c r="HL56" s="561">
        <v>0</v>
      </c>
      <c r="HM56" s="561">
        <v>0</v>
      </c>
      <c r="HN56" s="561">
        <v>0</v>
      </c>
      <c r="HO56" s="561">
        <v>19123</v>
      </c>
      <c r="HP56" s="561">
        <v>0</v>
      </c>
      <c r="HQ56" s="561">
        <v>0</v>
      </c>
      <c r="HR56" s="561">
        <v>0</v>
      </c>
      <c r="HS56" s="561">
        <v>0</v>
      </c>
      <c r="HT56" s="561">
        <v>0</v>
      </c>
      <c r="HU56" s="561">
        <v>0</v>
      </c>
      <c r="HV56" s="561">
        <v>-739</v>
      </c>
      <c r="HW56" s="561">
        <v>0</v>
      </c>
      <c r="HX56" s="561">
        <v>424</v>
      </c>
      <c r="HY56" s="561">
        <v>246</v>
      </c>
      <c r="HZ56" s="561">
        <v>0</v>
      </c>
      <c r="IA56" s="561">
        <v>0</v>
      </c>
      <c r="IB56" s="561">
        <v>0</v>
      </c>
      <c r="IC56" s="561">
        <v>2548</v>
      </c>
      <c r="ID56" s="561">
        <v>0</v>
      </c>
      <c r="IE56" s="561">
        <v>0</v>
      </c>
      <c r="IF56" s="561">
        <v>0</v>
      </c>
      <c r="IG56" s="561">
        <v>-205</v>
      </c>
      <c r="IH56" s="561">
        <v>2814</v>
      </c>
      <c r="II56" s="561">
        <v>24211</v>
      </c>
      <c r="IJ56" s="561">
        <v>1444</v>
      </c>
      <c r="IK56" s="561">
        <v>0</v>
      </c>
      <c r="IL56" s="561">
        <v>43106</v>
      </c>
      <c r="IM56" s="561">
        <v>0</v>
      </c>
      <c r="IN56" s="561">
        <v>24526</v>
      </c>
      <c r="IO56" s="561">
        <v>0</v>
      </c>
      <c r="IP56" s="561">
        <v>0</v>
      </c>
      <c r="IQ56" s="561">
        <v>0</v>
      </c>
      <c r="IR56" s="561">
        <v>400675</v>
      </c>
      <c r="IS56" s="561">
        <v>32885</v>
      </c>
      <c r="IT56" s="561">
        <v>122177</v>
      </c>
      <c r="IU56" s="561">
        <v>268466</v>
      </c>
      <c r="IV56" s="561">
        <v>35570</v>
      </c>
      <c r="IW56" s="561">
        <v>2463</v>
      </c>
      <c r="IX56" s="561">
        <v>6984</v>
      </c>
      <c r="IY56" s="561">
        <v>48045</v>
      </c>
      <c r="IZ56" s="561">
        <v>2228</v>
      </c>
      <c r="JA56" s="561">
        <v>0</v>
      </c>
      <c r="JB56" s="561">
        <v>0</v>
      </c>
      <c r="JC56" s="561">
        <v>24211</v>
      </c>
      <c r="JD56" s="561">
        <v>0</v>
      </c>
      <c r="JE56" s="561">
        <v>943704</v>
      </c>
      <c r="JF56" s="561">
        <v>0</v>
      </c>
      <c r="JG56" s="561">
        <v>0</v>
      </c>
      <c r="JH56" s="561">
        <v>0</v>
      </c>
      <c r="JI56" s="561">
        <v>0</v>
      </c>
      <c r="JJ56" s="561">
        <v>0</v>
      </c>
      <c r="JK56" s="561">
        <v>0</v>
      </c>
      <c r="JL56" s="561">
        <v>10076</v>
      </c>
      <c r="JM56" s="561">
        <v>0</v>
      </c>
      <c r="JN56" s="561">
        <v>0</v>
      </c>
      <c r="JO56" s="561">
        <v>0</v>
      </c>
      <c r="JP56" s="561">
        <v>0</v>
      </c>
      <c r="JQ56" s="561">
        <v>176.6</v>
      </c>
      <c r="JR56" s="561">
        <v>0</v>
      </c>
      <c r="JS56" s="561">
        <v>0</v>
      </c>
      <c r="JT56" s="561">
        <v>0</v>
      </c>
      <c r="JU56" s="561">
        <v>-10330</v>
      </c>
      <c r="JV56" s="561">
        <v>943626.6</v>
      </c>
      <c r="JW56" s="561">
        <v>458</v>
      </c>
      <c r="JX56" s="561">
        <v>4310</v>
      </c>
      <c r="JY56" s="561">
        <v>0</v>
      </c>
      <c r="JZ56" s="561">
        <v>-1262</v>
      </c>
      <c r="KA56" s="561">
        <v>0</v>
      </c>
      <c r="KB56" s="561">
        <v>-622</v>
      </c>
      <c r="KC56" s="561">
        <v>25660</v>
      </c>
      <c r="KD56" s="561">
        <v>0</v>
      </c>
      <c r="KE56" s="561">
        <v>27477</v>
      </c>
      <c r="KF56" s="561">
        <v>0</v>
      </c>
      <c r="KG56" s="561">
        <v>999647.6</v>
      </c>
      <c r="KH56" s="561">
        <v>-32216</v>
      </c>
      <c r="KI56" s="561">
        <v>0</v>
      </c>
      <c r="KJ56" s="561">
        <v>0</v>
      </c>
      <c r="KK56" s="561">
        <v>0</v>
      </c>
      <c r="KL56" s="561">
        <v>0</v>
      </c>
      <c r="KM56" s="561">
        <v>0</v>
      </c>
      <c r="KN56" s="561">
        <v>0</v>
      </c>
      <c r="KO56" s="561">
        <v>0</v>
      </c>
      <c r="KP56" s="561">
        <v>0</v>
      </c>
      <c r="KQ56" s="561">
        <v>0</v>
      </c>
      <c r="KR56" s="561">
        <v>967431.6</v>
      </c>
      <c r="KS56" s="561">
        <v>-1394</v>
      </c>
      <c r="KT56" s="561">
        <v>-464599</v>
      </c>
      <c r="KU56" s="561">
        <v>501438.6</v>
      </c>
      <c r="KV56" s="561">
        <v>0</v>
      </c>
      <c r="KW56" s="561">
        <v>-2656</v>
      </c>
      <c r="KX56" s="561">
        <v>0</v>
      </c>
      <c r="KY56" s="561">
        <v>-1408</v>
      </c>
      <c r="KZ56" s="561">
        <v>310</v>
      </c>
      <c r="LA56" s="561">
        <v>-3561</v>
      </c>
      <c r="LB56" s="561">
        <v>-28</v>
      </c>
      <c r="LC56" s="561">
        <v>0</v>
      </c>
      <c r="LD56" s="561">
        <v>-96479</v>
      </c>
      <c r="LE56" s="561">
        <v>-1149</v>
      </c>
      <c r="LF56" s="561">
        <v>0</v>
      </c>
      <c r="LG56" s="561">
        <v>396468</v>
      </c>
      <c r="LH56" s="561">
        <v>11823</v>
      </c>
      <c r="LI56" s="561">
        <v>-39319</v>
      </c>
      <c r="LJ56" s="561">
        <v>0</v>
      </c>
      <c r="LK56" s="561">
        <v>4912</v>
      </c>
      <c r="LL56" s="561">
        <v>146355</v>
      </c>
      <c r="LM56" s="561">
        <v>29425</v>
      </c>
      <c r="LN56" s="561">
        <v>9167</v>
      </c>
      <c r="LO56" s="561">
        <v>-39319</v>
      </c>
      <c r="LP56" s="561">
        <v>0</v>
      </c>
      <c r="LQ56" s="561">
        <v>3504</v>
      </c>
      <c r="LR56" s="561">
        <v>146665</v>
      </c>
      <c r="LS56" s="561">
        <v>25864</v>
      </c>
      <c r="LT56" s="561">
        <v>0</v>
      </c>
      <c r="LU56" s="561">
        <v>51446</v>
      </c>
      <c r="LV56" s="561">
        <v>0</v>
      </c>
      <c r="LW56" s="561">
        <v>46891</v>
      </c>
      <c r="LX56" s="561">
        <v>-110339</v>
      </c>
      <c r="LY56" s="561">
        <v>84129</v>
      </c>
      <c r="LZ56" s="561">
        <v>86315</v>
      </c>
      <c r="MA56" s="561">
        <v>0</v>
      </c>
      <c r="MB56" s="561">
        <v>0</v>
      </c>
      <c r="MC56" s="561">
        <v>0</v>
      </c>
      <c r="MD56" s="561">
        <v>0</v>
      </c>
      <c r="ME56" s="561">
        <v>0</v>
      </c>
      <c r="MF56" s="561">
        <v>0</v>
      </c>
      <c r="MG56" s="561">
        <v>0</v>
      </c>
      <c r="MH56" s="561">
        <v>0</v>
      </c>
      <c r="MI56" s="561">
        <v>0</v>
      </c>
      <c r="MJ56" s="561">
        <v>0</v>
      </c>
      <c r="MK56" s="561">
        <v>0</v>
      </c>
      <c r="ML56" s="561">
        <v>28220</v>
      </c>
      <c r="MM56" s="561">
        <v>45592</v>
      </c>
      <c r="MN56" s="561">
        <v>66936</v>
      </c>
      <c r="MO56" s="561">
        <v>5917</v>
      </c>
      <c r="MP56" s="561">
        <v>0</v>
      </c>
      <c r="MQ56" s="561">
        <v>400675</v>
      </c>
      <c r="MR56" s="561">
        <v>32885</v>
      </c>
      <c r="MS56" s="561">
        <v>122177</v>
      </c>
      <c r="MT56" s="561">
        <v>268466</v>
      </c>
      <c r="MU56" s="561">
        <v>35570</v>
      </c>
      <c r="MV56" s="561">
        <v>2463</v>
      </c>
      <c r="MW56" s="561">
        <v>6984</v>
      </c>
      <c r="MX56" s="561">
        <v>48045</v>
      </c>
      <c r="MY56" s="561">
        <v>2228</v>
      </c>
      <c r="MZ56" s="561">
        <v>0</v>
      </c>
      <c r="NA56" s="561">
        <v>0</v>
      </c>
      <c r="NB56" s="561">
        <v>24211</v>
      </c>
      <c r="NC56" s="561">
        <v>0</v>
      </c>
      <c r="ND56" s="561">
        <v>943704</v>
      </c>
      <c r="NE56" s="561">
        <v>0</v>
      </c>
      <c r="NF56" s="561">
        <v>0</v>
      </c>
      <c r="NG56" s="561">
        <v>0</v>
      </c>
      <c r="NH56" s="561">
        <v>0</v>
      </c>
      <c r="NI56" s="561">
        <v>0</v>
      </c>
      <c r="NJ56" s="561">
        <v>0</v>
      </c>
      <c r="NK56" s="561">
        <v>0</v>
      </c>
      <c r="NL56" s="561">
        <v>0</v>
      </c>
      <c r="NM56" s="561">
        <v>0</v>
      </c>
      <c r="NN56" s="561">
        <v>0</v>
      </c>
      <c r="NO56" s="561">
        <v>0</v>
      </c>
      <c r="NP56" s="561">
        <v>0</v>
      </c>
      <c r="NQ56" s="561">
        <v>0</v>
      </c>
      <c r="NR56" s="561">
        <v>0</v>
      </c>
      <c r="NS56" s="561">
        <v>0</v>
      </c>
      <c r="NT56" s="561">
        <v>0</v>
      </c>
      <c r="NU56" s="561">
        <v>0</v>
      </c>
      <c r="NV56" s="561">
        <v>0</v>
      </c>
      <c r="NW56" s="561">
        <v>0</v>
      </c>
      <c r="NX56" s="561">
        <v>0</v>
      </c>
      <c r="NY56" s="561">
        <v>0</v>
      </c>
      <c r="NZ56" s="561">
        <v>0</v>
      </c>
      <c r="OA56" s="561">
        <v>0</v>
      </c>
      <c r="OB56" s="561">
        <v>0</v>
      </c>
      <c r="OC56" s="561">
        <v>0</v>
      </c>
      <c r="OD56" s="561">
        <v>0</v>
      </c>
      <c r="OE56" s="561">
        <v>0</v>
      </c>
      <c r="OF56" s="561">
        <v>0</v>
      </c>
      <c r="OG56" s="561">
        <v>0</v>
      </c>
      <c r="OH56" s="561">
        <v>0</v>
      </c>
      <c r="OI56" s="561">
        <v>0</v>
      </c>
      <c r="OJ56" s="561">
        <v>0</v>
      </c>
      <c r="OK56" s="561">
        <v>0</v>
      </c>
      <c r="OL56" s="561">
        <v>0</v>
      </c>
      <c r="OM56" s="561">
        <v>0.6</v>
      </c>
      <c r="ON56" s="561">
        <v>0</v>
      </c>
      <c r="OO56" s="561">
        <v>0</v>
      </c>
      <c r="OP56" s="561">
        <v>0</v>
      </c>
      <c r="OQ56" s="561">
        <v>0</v>
      </c>
      <c r="OR56" s="561">
        <v>0</v>
      </c>
      <c r="OS56" s="561">
        <v>0</v>
      </c>
      <c r="OT56" s="561">
        <v>176</v>
      </c>
      <c r="OU56" s="561">
        <v>0</v>
      </c>
      <c r="OV56" s="561">
        <v>0</v>
      </c>
      <c r="OW56" s="561">
        <v>0</v>
      </c>
      <c r="OX56" s="561">
        <v>176.6</v>
      </c>
      <c r="OY56" s="561">
        <v>0</v>
      </c>
      <c r="OZ56" s="561">
        <v>0</v>
      </c>
      <c r="PA56" s="561">
        <v>0</v>
      </c>
      <c r="PB56" s="561">
        <v>0</v>
      </c>
      <c r="PC56" s="561">
        <v>0</v>
      </c>
      <c r="PD56" s="561">
        <v>0</v>
      </c>
      <c r="PE56" s="561">
        <v>0</v>
      </c>
      <c r="PF56" s="561">
        <v>0</v>
      </c>
      <c r="PG56" s="561">
        <v>0</v>
      </c>
      <c r="PH56" s="561">
        <v>0</v>
      </c>
      <c r="PI56" s="561">
        <v>0</v>
      </c>
      <c r="PJ56" s="561">
        <v>0</v>
      </c>
    </row>
    <row r="57" spans="1:426" ht="14" x14ac:dyDescent="0.3">
      <c r="A57" t="s">
        <v>2599</v>
      </c>
      <c r="B57" t="s">
        <v>2600</v>
      </c>
      <c r="C57" t="s">
        <v>4581</v>
      </c>
      <c r="E57" t="s">
        <v>2466</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0</v>
      </c>
      <c r="W57" s="561">
        <v>0</v>
      </c>
      <c r="X57" s="561">
        <v>0</v>
      </c>
      <c r="Y57" s="561">
        <v>0</v>
      </c>
      <c r="Z57" s="561">
        <v>0</v>
      </c>
      <c r="AA57" s="561">
        <v>0</v>
      </c>
      <c r="AB57" s="561">
        <v>0</v>
      </c>
      <c r="AC57" s="561">
        <v>0</v>
      </c>
      <c r="AD57" s="561">
        <v>0</v>
      </c>
      <c r="AE57" s="561">
        <v>0</v>
      </c>
      <c r="AF57" s="561">
        <v>0</v>
      </c>
      <c r="AG57" s="561">
        <v>0</v>
      </c>
      <c r="AH57" s="561">
        <v>0</v>
      </c>
      <c r="AI57" s="561">
        <v>0</v>
      </c>
      <c r="AJ57" s="561">
        <v>0</v>
      </c>
      <c r="AK57" s="561">
        <v>0</v>
      </c>
      <c r="AL57" s="561">
        <v>0</v>
      </c>
      <c r="AM57" s="561">
        <v>0</v>
      </c>
      <c r="AN57" s="561">
        <v>0</v>
      </c>
      <c r="AO57" s="561">
        <v>0</v>
      </c>
      <c r="AP57" s="561">
        <v>0</v>
      </c>
      <c r="AQ57" s="561">
        <v>0</v>
      </c>
      <c r="AR57" s="561">
        <v>0</v>
      </c>
      <c r="AS57" s="561">
        <v>0</v>
      </c>
      <c r="AT57" s="561">
        <v>0</v>
      </c>
      <c r="AU57" s="561">
        <v>0</v>
      </c>
      <c r="AV57" s="561">
        <v>0</v>
      </c>
      <c r="AW57" s="561">
        <v>0</v>
      </c>
      <c r="AX57" s="561">
        <v>0</v>
      </c>
      <c r="AY57" s="561">
        <v>0</v>
      </c>
      <c r="AZ57" s="561">
        <v>0</v>
      </c>
      <c r="BA57" s="561">
        <v>0</v>
      </c>
      <c r="BB57" s="561">
        <v>0</v>
      </c>
      <c r="BC57" s="561">
        <v>0</v>
      </c>
      <c r="BD57" s="561">
        <v>0</v>
      </c>
      <c r="BE57" s="561">
        <v>0</v>
      </c>
      <c r="BF57" s="561">
        <v>0</v>
      </c>
      <c r="BG57" s="561">
        <v>0</v>
      </c>
      <c r="BH57" s="561">
        <v>0</v>
      </c>
      <c r="BI57" s="561">
        <v>0</v>
      </c>
      <c r="BJ57" s="561">
        <v>0</v>
      </c>
      <c r="BK57" s="561">
        <v>0</v>
      </c>
      <c r="BL57" s="561">
        <v>0</v>
      </c>
      <c r="BM57" s="561">
        <v>0</v>
      </c>
      <c r="BN57" s="561">
        <v>0</v>
      </c>
      <c r="BO57" s="561">
        <v>0</v>
      </c>
      <c r="BP57" s="561">
        <v>0</v>
      </c>
      <c r="BQ57" s="561">
        <v>0</v>
      </c>
      <c r="BR57" s="561">
        <v>0</v>
      </c>
      <c r="BS57" s="561">
        <v>0</v>
      </c>
      <c r="BT57" s="561">
        <v>0</v>
      </c>
      <c r="BU57" s="561">
        <v>0</v>
      </c>
      <c r="BV57" s="561">
        <v>0</v>
      </c>
      <c r="BW57" s="561">
        <v>0</v>
      </c>
      <c r="BX57" s="561">
        <v>0</v>
      </c>
      <c r="BY57" s="561">
        <v>0</v>
      </c>
      <c r="BZ57" s="561">
        <v>0</v>
      </c>
      <c r="CA57" s="561">
        <v>0</v>
      </c>
      <c r="CB57" s="561">
        <v>0</v>
      </c>
      <c r="CC57" s="561">
        <v>0</v>
      </c>
      <c r="CD57" s="561">
        <v>0</v>
      </c>
      <c r="CE57" s="561">
        <v>0</v>
      </c>
      <c r="CF57" s="561">
        <v>0</v>
      </c>
      <c r="CG57" s="561">
        <v>0</v>
      </c>
      <c r="CH57" s="561">
        <v>0</v>
      </c>
      <c r="CI57" s="561">
        <v>0</v>
      </c>
      <c r="CJ57" s="561">
        <v>0</v>
      </c>
      <c r="CK57" s="561">
        <v>0</v>
      </c>
      <c r="CL57" s="561">
        <v>0</v>
      </c>
      <c r="CM57" s="561">
        <v>0</v>
      </c>
      <c r="CN57" s="561">
        <v>0</v>
      </c>
      <c r="CO57" s="561">
        <v>0</v>
      </c>
      <c r="CP57" s="561">
        <v>0</v>
      </c>
      <c r="CQ57" s="561">
        <v>0</v>
      </c>
      <c r="CR57" s="561">
        <v>0</v>
      </c>
      <c r="CS57" s="561">
        <v>0</v>
      </c>
      <c r="CT57" s="561">
        <v>0</v>
      </c>
      <c r="CU57" s="561">
        <v>0</v>
      </c>
      <c r="CV57" s="561">
        <v>0</v>
      </c>
      <c r="CW57" s="561">
        <v>0</v>
      </c>
      <c r="CX57" s="561">
        <v>0</v>
      </c>
      <c r="CY57" s="561">
        <v>0</v>
      </c>
      <c r="CZ57" s="561">
        <v>0</v>
      </c>
      <c r="DA57" s="561">
        <v>0</v>
      </c>
      <c r="DB57" s="561">
        <v>0</v>
      </c>
      <c r="DC57" s="561">
        <v>0</v>
      </c>
      <c r="DD57" s="561">
        <v>0</v>
      </c>
      <c r="DE57" s="561">
        <v>0</v>
      </c>
      <c r="DF57" s="561">
        <v>0</v>
      </c>
      <c r="DG57" s="561">
        <v>0</v>
      </c>
      <c r="DH57" s="561">
        <v>0</v>
      </c>
      <c r="DI57" s="561">
        <v>0</v>
      </c>
      <c r="DJ57" s="561">
        <v>0</v>
      </c>
      <c r="DK57" s="561">
        <v>0</v>
      </c>
      <c r="DL57" s="561">
        <v>0</v>
      </c>
      <c r="DM57" s="561">
        <v>0</v>
      </c>
      <c r="DN57" s="561">
        <v>0</v>
      </c>
      <c r="DO57" s="561">
        <v>0</v>
      </c>
      <c r="DP57" s="561">
        <v>0</v>
      </c>
      <c r="DQ57" s="561">
        <v>0</v>
      </c>
      <c r="DR57" s="561">
        <v>0</v>
      </c>
      <c r="DS57" s="561">
        <v>0</v>
      </c>
      <c r="DT57" s="561">
        <v>0</v>
      </c>
      <c r="DU57" s="561">
        <v>0</v>
      </c>
      <c r="DV57" s="561">
        <v>0</v>
      </c>
      <c r="DW57" s="561">
        <v>0</v>
      </c>
      <c r="DX57" s="561">
        <v>0</v>
      </c>
      <c r="DY57" s="561">
        <v>0</v>
      </c>
      <c r="DZ57" s="561">
        <v>0</v>
      </c>
      <c r="EA57" s="561">
        <v>0</v>
      </c>
      <c r="EB57" s="561">
        <v>0</v>
      </c>
      <c r="EC57" s="561">
        <v>0</v>
      </c>
      <c r="ED57" s="561">
        <v>0</v>
      </c>
      <c r="EE57" s="561">
        <v>0</v>
      </c>
      <c r="EF57" s="561">
        <v>0</v>
      </c>
      <c r="EG57" s="561">
        <v>0</v>
      </c>
      <c r="EH57" s="561">
        <v>0</v>
      </c>
      <c r="EI57" s="561">
        <v>0</v>
      </c>
      <c r="EJ57" s="561">
        <v>0</v>
      </c>
      <c r="EK57" s="561">
        <v>0</v>
      </c>
      <c r="EL57" s="561">
        <v>0</v>
      </c>
      <c r="EM57" s="561">
        <v>0</v>
      </c>
      <c r="EN57" s="561">
        <v>0</v>
      </c>
      <c r="EO57" s="561">
        <v>0</v>
      </c>
      <c r="EP57" s="561">
        <v>0</v>
      </c>
      <c r="EQ57" s="561">
        <v>0</v>
      </c>
      <c r="ER57" s="561">
        <v>0</v>
      </c>
      <c r="ES57" s="561" t="s">
        <v>4565</v>
      </c>
      <c r="ET57" s="561">
        <v>0</v>
      </c>
      <c r="EU57" s="561">
        <v>0</v>
      </c>
      <c r="EV57" s="561">
        <v>0</v>
      </c>
      <c r="EW57" s="561">
        <v>0</v>
      </c>
      <c r="EX57" s="561">
        <v>0</v>
      </c>
      <c r="EY57" s="561">
        <v>0</v>
      </c>
      <c r="EZ57" s="561">
        <v>0</v>
      </c>
      <c r="FA57" s="561">
        <v>0</v>
      </c>
      <c r="FB57" s="561">
        <v>0</v>
      </c>
      <c r="FC57" s="561">
        <v>0</v>
      </c>
      <c r="FD57" s="561">
        <v>0</v>
      </c>
      <c r="FE57" s="561">
        <v>0</v>
      </c>
      <c r="FF57" s="561">
        <v>0</v>
      </c>
      <c r="FG57" s="561">
        <v>0</v>
      </c>
      <c r="FH57" s="561">
        <v>0</v>
      </c>
      <c r="FI57" s="561">
        <v>0</v>
      </c>
      <c r="FJ57" s="561">
        <v>0</v>
      </c>
      <c r="FK57" s="561">
        <v>0</v>
      </c>
      <c r="FL57" s="561">
        <v>0</v>
      </c>
      <c r="FM57" s="561">
        <v>0</v>
      </c>
      <c r="FN57" s="561">
        <v>0</v>
      </c>
      <c r="FO57" s="561">
        <v>0</v>
      </c>
      <c r="FP57" s="561">
        <v>0</v>
      </c>
      <c r="FQ57" s="561">
        <v>0</v>
      </c>
      <c r="FR57" s="561">
        <v>0</v>
      </c>
      <c r="FS57" s="561">
        <v>0</v>
      </c>
      <c r="FT57" s="561">
        <v>0</v>
      </c>
      <c r="FU57" s="561">
        <v>0</v>
      </c>
      <c r="FV57" s="561">
        <v>0</v>
      </c>
      <c r="FW57" s="561">
        <v>0</v>
      </c>
      <c r="FX57" s="561">
        <v>0</v>
      </c>
      <c r="FY57" s="561">
        <v>0</v>
      </c>
      <c r="FZ57" s="561">
        <v>0</v>
      </c>
      <c r="GA57" s="561">
        <v>0</v>
      </c>
      <c r="GB57" s="561">
        <v>0</v>
      </c>
      <c r="GC57" s="561">
        <v>0</v>
      </c>
      <c r="GD57" s="561">
        <v>0</v>
      </c>
      <c r="GE57" s="561">
        <v>0</v>
      </c>
      <c r="GF57" s="561">
        <v>0</v>
      </c>
      <c r="GG57" s="561">
        <v>0</v>
      </c>
      <c r="GH57" s="561">
        <v>0</v>
      </c>
      <c r="GI57" s="561">
        <v>0</v>
      </c>
      <c r="GJ57" s="561">
        <v>0</v>
      </c>
      <c r="GK57" s="561">
        <v>0</v>
      </c>
      <c r="GL57" s="561">
        <v>0</v>
      </c>
      <c r="GM57" s="561">
        <v>0</v>
      </c>
      <c r="GN57" s="561">
        <v>0</v>
      </c>
      <c r="GO57" s="561">
        <v>0</v>
      </c>
      <c r="GP57" s="561">
        <v>0</v>
      </c>
      <c r="GQ57" s="561">
        <v>0</v>
      </c>
      <c r="GR57" s="561">
        <v>0</v>
      </c>
      <c r="GS57" s="561">
        <v>0</v>
      </c>
      <c r="GT57" s="561">
        <v>0</v>
      </c>
      <c r="GU57" s="561">
        <v>0</v>
      </c>
      <c r="GV57" s="561">
        <v>0</v>
      </c>
      <c r="GW57" s="561">
        <v>0</v>
      </c>
      <c r="GX57" s="561">
        <v>0</v>
      </c>
      <c r="GY57" s="561">
        <v>0</v>
      </c>
      <c r="GZ57" s="561">
        <v>0</v>
      </c>
      <c r="HA57" s="561">
        <v>0</v>
      </c>
      <c r="HB57" s="561">
        <v>0</v>
      </c>
      <c r="HC57" s="561">
        <v>0</v>
      </c>
      <c r="HD57" s="561">
        <v>0</v>
      </c>
      <c r="HE57" s="561">
        <v>0</v>
      </c>
      <c r="HF57" s="561">
        <v>0</v>
      </c>
      <c r="HG57" s="561">
        <v>0</v>
      </c>
      <c r="HH57" s="561">
        <v>0</v>
      </c>
      <c r="HI57" s="561">
        <v>0</v>
      </c>
      <c r="HJ57" s="561">
        <v>3839</v>
      </c>
      <c r="HK57" s="561">
        <v>33239</v>
      </c>
      <c r="HL57" s="561">
        <v>159</v>
      </c>
      <c r="HM57" s="561">
        <v>37237</v>
      </c>
      <c r="HN57" s="561">
        <v>0</v>
      </c>
      <c r="HO57" s="561">
        <v>1805</v>
      </c>
      <c r="HP57" s="561">
        <v>0</v>
      </c>
      <c r="HQ57" s="561">
        <v>0</v>
      </c>
      <c r="HR57" s="561">
        <v>0</v>
      </c>
      <c r="HS57" s="561">
        <v>0</v>
      </c>
      <c r="HT57" s="561">
        <v>0</v>
      </c>
      <c r="HU57" s="561">
        <v>0</v>
      </c>
      <c r="HV57" s="561">
        <v>0</v>
      </c>
      <c r="HW57" s="561">
        <v>0</v>
      </c>
      <c r="HX57" s="561">
        <v>0</v>
      </c>
      <c r="HY57" s="561">
        <v>0</v>
      </c>
      <c r="HZ57" s="561">
        <v>0</v>
      </c>
      <c r="IA57" s="561">
        <v>0</v>
      </c>
      <c r="IB57" s="561">
        <v>0</v>
      </c>
      <c r="IC57" s="561">
        <v>0</v>
      </c>
      <c r="ID57" s="561">
        <v>0</v>
      </c>
      <c r="IE57" s="561">
        <v>0</v>
      </c>
      <c r="IF57" s="561">
        <v>0</v>
      </c>
      <c r="IG57" s="561">
        <v>0</v>
      </c>
      <c r="IH57" s="561">
        <v>0</v>
      </c>
      <c r="II57" s="561">
        <v>1805</v>
      </c>
      <c r="IJ57" s="561">
        <v>0</v>
      </c>
      <c r="IK57" s="561">
        <v>0</v>
      </c>
      <c r="IL57" s="561">
        <v>0</v>
      </c>
      <c r="IM57" s="561">
        <v>0</v>
      </c>
      <c r="IN57" s="561">
        <v>0</v>
      </c>
      <c r="IO57" s="561">
        <v>0</v>
      </c>
      <c r="IP57" s="561">
        <v>0</v>
      </c>
      <c r="IQ57" s="561">
        <v>0</v>
      </c>
      <c r="IR57" s="561">
        <v>0</v>
      </c>
      <c r="IS57" s="561">
        <v>0</v>
      </c>
      <c r="IT57" s="561">
        <v>0</v>
      </c>
      <c r="IU57" s="561">
        <v>0</v>
      </c>
      <c r="IV57" s="561">
        <v>0</v>
      </c>
      <c r="IW57" s="561">
        <v>0</v>
      </c>
      <c r="IX57" s="561">
        <v>0</v>
      </c>
      <c r="IY57" s="561">
        <v>0</v>
      </c>
      <c r="IZ57" s="561">
        <v>0</v>
      </c>
      <c r="JA57" s="561">
        <v>0</v>
      </c>
      <c r="JB57" s="561">
        <v>37237</v>
      </c>
      <c r="JC57" s="561">
        <v>1805</v>
      </c>
      <c r="JD57" s="561">
        <v>0</v>
      </c>
      <c r="JE57" s="561">
        <v>39042</v>
      </c>
      <c r="JF57" s="561">
        <v>0</v>
      </c>
      <c r="JG57" s="561">
        <v>0</v>
      </c>
      <c r="JH57" s="561">
        <v>0</v>
      </c>
      <c r="JI57" s="561">
        <v>0</v>
      </c>
      <c r="JJ57" s="561">
        <v>0</v>
      </c>
      <c r="JK57" s="561">
        <v>0</v>
      </c>
      <c r="JL57" s="561">
        <v>0</v>
      </c>
      <c r="JM57" s="561">
        <v>0</v>
      </c>
      <c r="JN57" s="561">
        <v>0</v>
      </c>
      <c r="JO57" s="561">
        <v>0</v>
      </c>
      <c r="JP57" s="561">
        <v>0</v>
      </c>
      <c r="JQ57" s="561">
        <v>0</v>
      </c>
      <c r="JR57" s="561">
        <v>0</v>
      </c>
      <c r="JS57" s="561">
        <v>0</v>
      </c>
      <c r="JT57" s="561">
        <v>-117</v>
      </c>
      <c r="JU57" s="561">
        <v>0</v>
      </c>
      <c r="JV57" s="561">
        <v>38925</v>
      </c>
      <c r="JW57" s="561">
        <v>0</v>
      </c>
      <c r="JX57" s="561">
        <v>2077</v>
      </c>
      <c r="JY57" s="561">
        <v>0</v>
      </c>
      <c r="JZ57" s="561">
        <v>0</v>
      </c>
      <c r="KA57" s="561">
        <v>0</v>
      </c>
      <c r="KB57" s="561">
        <v>0</v>
      </c>
      <c r="KC57" s="561">
        <v>294</v>
      </c>
      <c r="KD57" s="561">
        <v>0</v>
      </c>
      <c r="KE57" s="561">
        <v>192</v>
      </c>
      <c r="KF57" s="561">
        <v>0</v>
      </c>
      <c r="KG57" s="561">
        <v>41488</v>
      </c>
      <c r="KH57" s="561">
        <v>-556</v>
      </c>
      <c r="KI57" s="561">
        <v>0</v>
      </c>
      <c r="KJ57" s="561">
        <v>0</v>
      </c>
      <c r="KK57" s="561">
        <v>0</v>
      </c>
      <c r="KL57" s="561">
        <v>0</v>
      </c>
      <c r="KM57" s="561">
        <v>0</v>
      </c>
      <c r="KN57" s="561">
        <v>0</v>
      </c>
      <c r="KO57" s="561">
        <v>0</v>
      </c>
      <c r="KP57" s="561">
        <v>0</v>
      </c>
      <c r="KQ57" s="561">
        <v>0</v>
      </c>
      <c r="KR57" s="561">
        <v>40932</v>
      </c>
      <c r="KS57" s="561">
        <v>0</v>
      </c>
      <c r="KT57" s="561">
        <v>-2059</v>
      </c>
      <c r="KU57" s="561">
        <v>38873</v>
      </c>
      <c r="KV57" s="561">
        <v>0</v>
      </c>
      <c r="KW57" s="561">
        <v>0</v>
      </c>
      <c r="KX57" s="561">
        <v>0</v>
      </c>
      <c r="KY57" s="561">
        <v>0</v>
      </c>
      <c r="KZ57" s="561">
        <v>-17</v>
      </c>
      <c r="LA57" s="561">
        <v>364</v>
      </c>
      <c r="LB57" s="561">
        <v>-4730</v>
      </c>
      <c r="LC57" s="561">
        <v>0</v>
      </c>
      <c r="LD57" s="561">
        <v>-9380</v>
      </c>
      <c r="LE57" s="561">
        <v>133</v>
      </c>
      <c r="LF57" s="561">
        <v>0</v>
      </c>
      <c r="LG57" s="561">
        <v>25243</v>
      </c>
      <c r="LH57" s="561">
        <v>0</v>
      </c>
      <c r="LI57" s="561">
        <v>0</v>
      </c>
      <c r="LJ57" s="561">
        <v>0</v>
      </c>
      <c r="LK57" s="561">
        <v>0</v>
      </c>
      <c r="LL57" s="561">
        <v>4897</v>
      </c>
      <c r="LM57" s="561">
        <v>2110</v>
      </c>
      <c r="LN57" s="561">
        <v>0</v>
      </c>
      <c r="LO57" s="561">
        <v>0</v>
      </c>
      <c r="LP57" s="561">
        <v>0</v>
      </c>
      <c r="LQ57" s="561">
        <v>0</v>
      </c>
      <c r="LR57" s="561">
        <v>4880</v>
      </c>
      <c r="LS57" s="561">
        <v>2474</v>
      </c>
      <c r="LT57" s="561">
        <v>0</v>
      </c>
      <c r="LU57" s="561">
        <v>2355</v>
      </c>
      <c r="LV57" s="561">
        <v>7</v>
      </c>
      <c r="LW57" s="561">
        <v>2229</v>
      </c>
      <c r="LX57" s="561">
        <v>0</v>
      </c>
      <c r="LY57" s="561">
        <v>0</v>
      </c>
      <c r="LZ57" s="561">
        <v>4591</v>
      </c>
      <c r="MA57" s="561">
        <v>0</v>
      </c>
      <c r="MB57" s="561">
        <v>0</v>
      </c>
      <c r="MC57" s="561">
        <v>0</v>
      </c>
      <c r="MD57" s="561">
        <v>0</v>
      </c>
      <c r="ME57" s="561">
        <v>0</v>
      </c>
      <c r="MF57" s="561">
        <v>0</v>
      </c>
      <c r="MG57" s="561">
        <v>0</v>
      </c>
      <c r="MH57" s="561">
        <v>0</v>
      </c>
      <c r="MI57" s="561">
        <v>0</v>
      </c>
      <c r="MJ57" s="561">
        <v>0</v>
      </c>
      <c r="MK57" s="561">
        <v>0</v>
      </c>
      <c r="ML57" s="561">
        <v>0</v>
      </c>
      <c r="MM57" s="561">
        <v>4880</v>
      </c>
      <c r="MN57" s="561">
        <v>0</v>
      </c>
      <c r="MO57" s="561">
        <v>0</v>
      </c>
      <c r="MP57" s="561">
        <v>0</v>
      </c>
      <c r="MQ57" s="561">
        <v>0</v>
      </c>
      <c r="MR57" s="561">
        <v>0</v>
      </c>
      <c r="MS57" s="561">
        <v>0</v>
      </c>
      <c r="MT57" s="561">
        <v>0</v>
      </c>
      <c r="MU57" s="561">
        <v>0</v>
      </c>
      <c r="MV57" s="561">
        <v>0</v>
      </c>
      <c r="MW57" s="561">
        <v>0</v>
      </c>
      <c r="MX57" s="561">
        <v>0</v>
      </c>
      <c r="MY57" s="561">
        <v>0</v>
      </c>
      <c r="MZ57" s="561">
        <v>0</v>
      </c>
      <c r="NA57" s="561">
        <v>37237</v>
      </c>
      <c r="NB57" s="561">
        <v>1805</v>
      </c>
      <c r="NC57" s="561">
        <v>0</v>
      </c>
      <c r="ND57" s="561">
        <v>39042</v>
      </c>
      <c r="NE57" s="561">
        <v>0</v>
      </c>
      <c r="NF57" s="561">
        <v>0</v>
      </c>
      <c r="NG57" s="561">
        <v>0</v>
      </c>
      <c r="NH57" s="561">
        <v>0</v>
      </c>
      <c r="NI57" s="561">
        <v>0</v>
      </c>
      <c r="NJ57" s="561">
        <v>0</v>
      </c>
      <c r="NK57" s="561">
        <v>0</v>
      </c>
      <c r="NL57" s="561">
        <v>0</v>
      </c>
      <c r="NM57" s="561">
        <v>0</v>
      </c>
      <c r="NN57" s="561">
        <v>0</v>
      </c>
      <c r="NO57" s="561">
        <v>0</v>
      </c>
      <c r="NP57" s="561">
        <v>0</v>
      </c>
      <c r="NQ57" s="561">
        <v>0</v>
      </c>
      <c r="NR57" s="561">
        <v>0</v>
      </c>
      <c r="NS57" s="561">
        <v>0</v>
      </c>
      <c r="NT57" s="561">
        <v>0</v>
      </c>
      <c r="NU57" s="561">
        <v>0</v>
      </c>
      <c r="NV57" s="561">
        <v>0</v>
      </c>
      <c r="NW57" s="561">
        <v>0</v>
      </c>
      <c r="NX57" s="561">
        <v>0</v>
      </c>
      <c r="NY57" s="561">
        <v>0</v>
      </c>
      <c r="NZ57" s="561">
        <v>0</v>
      </c>
      <c r="OA57" s="561">
        <v>0</v>
      </c>
      <c r="OB57" s="561">
        <v>0</v>
      </c>
      <c r="OC57" s="561">
        <v>0</v>
      </c>
      <c r="OD57" s="561">
        <v>0</v>
      </c>
      <c r="OE57" s="561">
        <v>0</v>
      </c>
      <c r="OF57" s="561">
        <v>0</v>
      </c>
      <c r="OG57" s="561">
        <v>0</v>
      </c>
      <c r="OH57" s="561">
        <v>0</v>
      </c>
      <c r="OI57" s="561">
        <v>0</v>
      </c>
      <c r="OJ57" s="561">
        <v>0</v>
      </c>
      <c r="OK57" s="561">
        <v>0</v>
      </c>
      <c r="OL57" s="561">
        <v>0</v>
      </c>
      <c r="OM57" s="561">
        <v>0</v>
      </c>
      <c r="ON57" s="561">
        <v>0</v>
      </c>
      <c r="OO57" s="561">
        <v>0</v>
      </c>
      <c r="OP57" s="561">
        <v>0</v>
      </c>
      <c r="OQ57" s="561">
        <v>0</v>
      </c>
      <c r="OR57" s="561">
        <v>0</v>
      </c>
      <c r="OS57" s="561">
        <v>0</v>
      </c>
      <c r="OT57" s="561">
        <v>0</v>
      </c>
      <c r="OU57" s="561">
        <v>0</v>
      </c>
      <c r="OV57" s="561">
        <v>0</v>
      </c>
      <c r="OW57" s="561">
        <v>0</v>
      </c>
      <c r="OX57" s="561">
        <v>0</v>
      </c>
      <c r="OY57" s="561">
        <v>0</v>
      </c>
      <c r="OZ57" s="561">
        <v>0</v>
      </c>
      <c r="PA57" s="561">
        <v>0</v>
      </c>
      <c r="PB57" s="561">
        <v>0</v>
      </c>
      <c r="PC57" s="561">
        <v>0</v>
      </c>
      <c r="PD57" s="561">
        <v>0</v>
      </c>
      <c r="PE57" s="561">
        <v>0</v>
      </c>
      <c r="PF57" s="561">
        <v>0</v>
      </c>
      <c r="PG57" s="561">
        <v>0</v>
      </c>
      <c r="PH57" s="561">
        <v>0</v>
      </c>
      <c r="PI57" s="561">
        <v>0</v>
      </c>
      <c r="PJ57" s="561">
        <v>0</v>
      </c>
    </row>
    <row r="58" spans="1:426" ht="14" x14ac:dyDescent="0.3">
      <c r="A58" t="s">
        <v>2602</v>
      </c>
      <c r="B58" t="s">
        <v>2603</v>
      </c>
      <c r="C58" t="s">
        <v>2604</v>
      </c>
      <c r="E58" t="s">
        <v>2466</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0</v>
      </c>
      <c r="W58" s="561">
        <v>0</v>
      </c>
      <c r="X58" s="561">
        <v>0</v>
      </c>
      <c r="Y58" s="561">
        <v>0</v>
      </c>
      <c r="Z58" s="561">
        <v>0</v>
      </c>
      <c r="AA58" s="561">
        <v>0</v>
      </c>
      <c r="AB58" s="561">
        <v>0</v>
      </c>
      <c r="AC58" s="561">
        <v>0</v>
      </c>
      <c r="AD58" s="561">
        <v>0</v>
      </c>
      <c r="AE58" s="561">
        <v>0</v>
      </c>
      <c r="AF58" s="561">
        <v>0</v>
      </c>
      <c r="AG58" s="561">
        <v>0</v>
      </c>
      <c r="AH58" s="561">
        <v>0</v>
      </c>
      <c r="AI58" s="561">
        <v>0</v>
      </c>
      <c r="AJ58" s="561">
        <v>0</v>
      </c>
      <c r="AK58" s="561">
        <v>0</v>
      </c>
      <c r="AL58" s="561">
        <v>0</v>
      </c>
      <c r="AM58" s="561">
        <v>0</v>
      </c>
      <c r="AN58" s="561">
        <v>0</v>
      </c>
      <c r="AO58" s="561">
        <v>0</v>
      </c>
      <c r="AP58" s="561">
        <v>0</v>
      </c>
      <c r="AQ58" s="561">
        <v>0</v>
      </c>
      <c r="AR58" s="561">
        <v>0</v>
      </c>
      <c r="AS58" s="561">
        <v>0</v>
      </c>
      <c r="AT58" s="561">
        <v>0</v>
      </c>
      <c r="AU58" s="561">
        <v>0</v>
      </c>
      <c r="AV58" s="561">
        <v>0</v>
      </c>
      <c r="AW58" s="561">
        <v>0</v>
      </c>
      <c r="AX58" s="561">
        <v>0</v>
      </c>
      <c r="AY58" s="561">
        <v>0</v>
      </c>
      <c r="AZ58" s="561">
        <v>0</v>
      </c>
      <c r="BA58" s="561">
        <v>0</v>
      </c>
      <c r="BB58" s="561">
        <v>0</v>
      </c>
      <c r="BC58" s="561">
        <v>0</v>
      </c>
      <c r="BD58" s="561">
        <v>0</v>
      </c>
      <c r="BE58" s="561">
        <v>0</v>
      </c>
      <c r="BF58" s="561">
        <v>0</v>
      </c>
      <c r="BG58" s="561">
        <v>0</v>
      </c>
      <c r="BH58" s="561">
        <v>0</v>
      </c>
      <c r="BI58" s="561">
        <v>0</v>
      </c>
      <c r="BJ58" s="561">
        <v>0</v>
      </c>
      <c r="BK58" s="561">
        <v>0</v>
      </c>
      <c r="BL58" s="561">
        <v>0</v>
      </c>
      <c r="BM58" s="561">
        <v>0</v>
      </c>
      <c r="BN58" s="561">
        <v>0</v>
      </c>
      <c r="BO58" s="561">
        <v>0</v>
      </c>
      <c r="BP58" s="561">
        <v>0</v>
      </c>
      <c r="BQ58" s="561">
        <v>0</v>
      </c>
      <c r="BR58" s="561">
        <v>0</v>
      </c>
      <c r="BS58" s="561">
        <v>0</v>
      </c>
      <c r="BT58" s="561">
        <v>0</v>
      </c>
      <c r="BU58" s="561">
        <v>0</v>
      </c>
      <c r="BV58" s="561">
        <v>0</v>
      </c>
      <c r="BW58" s="561">
        <v>0</v>
      </c>
      <c r="BX58" s="561">
        <v>0</v>
      </c>
      <c r="BY58" s="561">
        <v>0</v>
      </c>
      <c r="BZ58" s="561">
        <v>0</v>
      </c>
      <c r="CA58" s="561">
        <v>0</v>
      </c>
      <c r="CB58" s="561">
        <v>0</v>
      </c>
      <c r="CC58" s="561">
        <v>0</v>
      </c>
      <c r="CD58" s="561">
        <v>0</v>
      </c>
      <c r="CE58" s="561">
        <v>0</v>
      </c>
      <c r="CF58" s="561">
        <v>0</v>
      </c>
      <c r="CG58" s="561">
        <v>0</v>
      </c>
      <c r="CH58" s="561">
        <v>0</v>
      </c>
      <c r="CI58" s="561">
        <v>0</v>
      </c>
      <c r="CJ58" s="561">
        <v>0</v>
      </c>
      <c r="CK58" s="561">
        <v>0</v>
      </c>
      <c r="CL58" s="561">
        <v>0</v>
      </c>
      <c r="CM58" s="561">
        <v>0</v>
      </c>
      <c r="CN58" s="561">
        <v>0</v>
      </c>
      <c r="CO58" s="561">
        <v>0</v>
      </c>
      <c r="CP58" s="561">
        <v>0</v>
      </c>
      <c r="CQ58" s="561">
        <v>0</v>
      </c>
      <c r="CR58" s="561">
        <v>0</v>
      </c>
      <c r="CS58" s="561">
        <v>0</v>
      </c>
      <c r="CT58" s="561">
        <v>0</v>
      </c>
      <c r="CU58" s="561">
        <v>0</v>
      </c>
      <c r="CV58" s="561">
        <v>0</v>
      </c>
      <c r="CW58" s="561">
        <v>0</v>
      </c>
      <c r="CX58" s="561">
        <v>0</v>
      </c>
      <c r="CY58" s="561">
        <v>0</v>
      </c>
      <c r="CZ58" s="561">
        <v>0</v>
      </c>
      <c r="DA58" s="561">
        <v>0</v>
      </c>
      <c r="DB58" s="561">
        <v>0</v>
      </c>
      <c r="DC58" s="561">
        <v>0</v>
      </c>
      <c r="DD58" s="561">
        <v>0</v>
      </c>
      <c r="DE58" s="561">
        <v>0</v>
      </c>
      <c r="DF58" s="561">
        <v>0</v>
      </c>
      <c r="DG58" s="561">
        <v>0</v>
      </c>
      <c r="DH58" s="561">
        <v>0</v>
      </c>
      <c r="DI58" s="561">
        <v>0</v>
      </c>
      <c r="DJ58" s="561">
        <v>0</v>
      </c>
      <c r="DK58" s="561">
        <v>0</v>
      </c>
      <c r="DL58" s="561">
        <v>0</v>
      </c>
      <c r="DM58" s="561">
        <v>0</v>
      </c>
      <c r="DN58" s="561">
        <v>0</v>
      </c>
      <c r="DO58" s="561">
        <v>0</v>
      </c>
      <c r="DP58" s="561">
        <v>0</v>
      </c>
      <c r="DQ58" s="561">
        <v>0</v>
      </c>
      <c r="DR58" s="561">
        <v>0</v>
      </c>
      <c r="DS58" s="561">
        <v>0</v>
      </c>
      <c r="DT58" s="561">
        <v>0</v>
      </c>
      <c r="DU58" s="561">
        <v>0</v>
      </c>
      <c r="DV58" s="561">
        <v>0</v>
      </c>
      <c r="DW58" s="561">
        <v>0</v>
      </c>
      <c r="DX58" s="561">
        <v>0</v>
      </c>
      <c r="DY58" s="561">
        <v>0</v>
      </c>
      <c r="DZ58" s="561">
        <v>0</v>
      </c>
      <c r="EA58" s="561">
        <v>0</v>
      </c>
      <c r="EB58" s="561">
        <v>0</v>
      </c>
      <c r="EC58" s="561">
        <v>0</v>
      </c>
      <c r="ED58" s="561">
        <v>0</v>
      </c>
      <c r="EE58" s="561">
        <v>0</v>
      </c>
      <c r="EF58" s="561">
        <v>0</v>
      </c>
      <c r="EG58" s="561">
        <v>0</v>
      </c>
      <c r="EH58" s="561">
        <v>0</v>
      </c>
      <c r="EI58" s="561">
        <v>0</v>
      </c>
      <c r="EJ58" s="561">
        <v>0</v>
      </c>
      <c r="EK58" s="561">
        <v>0</v>
      </c>
      <c r="EL58" s="561">
        <v>0</v>
      </c>
      <c r="EM58" s="561">
        <v>0</v>
      </c>
      <c r="EN58" s="561">
        <v>0</v>
      </c>
      <c r="EO58" s="561">
        <v>0</v>
      </c>
      <c r="EP58" s="561">
        <v>0</v>
      </c>
      <c r="EQ58" s="561">
        <v>0</v>
      </c>
      <c r="ER58" s="561">
        <v>0</v>
      </c>
      <c r="ES58" s="561" t="s">
        <v>4565</v>
      </c>
      <c r="ET58" s="561">
        <v>0</v>
      </c>
      <c r="EU58" s="561">
        <v>0</v>
      </c>
      <c r="EV58" s="561">
        <v>0</v>
      </c>
      <c r="EW58" s="561">
        <v>0</v>
      </c>
      <c r="EX58" s="561">
        <v>0</v>
      </c>
      <c r="EY58" s="561">
        <v>0</v>
      </c>
      <c r="EZ58" s="561">
        <v>0</v>
      </c>
      <c r="FA58" s="561">
        <v>0</v>
      </c>
      <c r="FB58" s="561">
        <v>0</v>
      </c>
      <c r="FC58" s="561">
        <v>0</v>
      </c>
      <c r="FD58" s="561">
        <v>0</v>
      </c>
      <c r="FE58" s="561">
        <v>0</v>
      </c>
      <c r="FF58" s="561">
        <v>0</v>
      </c>
      <c r="FG58" s="561">
        <v>0</v>
      </c>
      <c r="FH58" s="561">
        <v>0</v>
      </c>
      <c r="FI58" s="561">
        <v>0</v>
      </c>
      <c r="FJ58" s="561">
        <v>0</v>
      </c>
      <c r="FK58" s="561">
        <v>0</v>
      </c>
      <c r="FL58" s="561">
        <v>0</v>
      </c>
      <c r="FM58" s="561">
        <v>0</v>
      </c>
      <c r="FN58" s="561">
        <v>0</v>
      </c>
      <c r="FO58" s="561">
        <v>0</v>
      </c>
      <c r="FP58" s="561">
        <v>0</v>
      </c>
      <c r="FQ58" s="561">
        <v>0</v>
      </c>
      <c r="FR58" s="561">
        <v>0</v>
      </c>
      <c r="FS58" s="561">
        <v>0</v>
      </c>
      <c r="FT58" s="561">
        <v>0</v>
      </c>
      <c r="FU58" s="561">
        <v>0</v>
      </c>
      <c r="FV58" s="561">
        <v>0</v>
      </c>
      <c r="FW58" s="561">
        <v>0</v>
      </c>
      <c r="FX58" s="561">
        <v>0</v>
      </c>
      <c r="FY58" s="561">
        <v>0</v>
      </c>
      <c r="FZ58" s="561">
        <v>0</v>
      </c>
      <c r="GA58" s="561">
        <v>0</v>
      </c>
      <c r="GB58" s="561">
        <v>0</v>
      </c>
      <c r="GC58" s="561">
        <v>0</v>
      </c>
      <c r="GD58" s="561">
        <v>0</v>
      </c>
      <c r="GE58" s="561">
        <v>0</v>
      </c>
      <c r="GF58" s="561">
        <v>0</v>
      </c>
      <c r="GG58" s="561">
        <v>0</v>
      </c>
      <c r="GH58" s="561">
        <v>0</v>
      </c>
      <c r="GI58" s="561">
        <v>0</v>
      </c>
      <c r="GJ58" s="561">
        <v>0</v>
      </c>
      <c r="GK58" s="561">
        <v>0</v>
      </c>
      <c r="GL58" s="561">
        <v>0</v>
      </c>
      <c r="GM58" s="561">
        <v>0</v>
      </c>
      <c r="GN58" s="561">
        <v>0</v>
      </c>
      <c r="GO58" s="561">
        <v>0</v>
      </c>
      <c r="GP58" s="561">
        <v>0</v>
      </c>
      <c r="GQ58" s="561">
        <v>0</v>
      </c>
      <c r="GR58" s="561">
        <v>0</v>
      </c>
      <c r="GS58" s="561">
        <v>0</v>
      </c>
      <c r="GT58" s="561">
        <v>0</v>
      </c>
      <c r="GU58" s="561">
        <v>0</v>
      </c>
      <c r="GV58" s="561">
        <v>0</v>
      </c>
      <c r="GW58" s="561">
        <v>0</v>
      </c>
      <c r="GX58" s="561">
        <v>0</v>
      </c>
      <c r="GY58" s="561">
        <v>0</v>
      </c>
      <c r="GZ58" s="561">
        <v>0</v>
      </c>
      <c r="HA58" s="561">
        <v>0</v>
      </c>
      <c r="HB58" s="561">
        <v>0</v>
      </c>
      <c r="HC58" s="561">
        <v>0</v>
      </c>
      <c r="HD58" s="561">
        <v>0</v>
      </c>
      <c r="HE58" s="561">
        <v>0</v>
      </c>
      <c r="HF58" s="561">
        <v>0</v>
      </c>
      <c r="HG58" s="561">
        <v>0</v>
      </c>
      <c r="HH58" s="561">
        <v>180633</v>
      </c>
      <c r="HI58" s="561">
        <v>993</v>
      </c>
      <c r="HJ58" s="561">
        <v>0</v>
      </c>
      <c r="HK58" s="561">
        <v>0</v>
      </c>
      <c r="HL58" s="561">
        <v>0</v>
      </c>
      <c r="HM58" s="561">
        <v>0</v>
      </c>
      <c r="HN58" s="561">
        <v>0</v>
      </c>
      <c r="HO58" s="561">
        <v>7369</v>
      </c>
      <c r="HP58" s="561">
        <v>0</v>
      </c>
      <c r="HQ58" s="561">
        <v>0</v>
      </c>
      <c r="HR58" s="561">
        <v>0</v>
      </c>
      <c r="HS58" s="561">
        <v>0</v>
      </c>
      <c r="HT58" s="561">
        <v>0</v>
      </c>
      <c r="HU58" s="561">
        <v>0</v>
      </c>
      <c r="HV58" s="561">
        <v>0</v>
      </c>
      <c r="HW58" s="561">
        <v>0</v>
      </c>
      <c r="HX58" s="561">
        <v>0</v>
      </c>
      <c r="HY58" s="561">
        <v>0</v>
      </c>
      <c r="HZ58" s="561">
        <v>0</v>
      </c>
      <c r="IA58" s="561">
        <v>0</v>
      </c>
      <c r="IB58" s="561">
        <v>0</v>
      </c>
      <c r="IC58" s="561">
        <v>0</v>
      </c>
      <c r="ID58" s="561">
        <v>0</v>
      </c>
      <c r="IE58" s="561">
        <v>0</v>
      </c>
      <c r="IF58" s="561">
        <v>0</v>
      </c>
      <c r="IG58" s="561">
        <v>0</v>
      </c>
      <c r="IH58" s="561">
        <v>0</v>
      </c>
      <c r="II58" s="561">
        <v>7369</v>
      </c>
      <c r="IJ58" s="561">
        <v>0</v>
      </c>
      <c r="IK58" s="561">
        <v>0</v>
      </c>
      <c r="IL58" s="561">
        <v>0</v>
      </c>
      <c r="IM58" s="561">
        <v>0</v>
      </c>
      <c r="IN58" s="561">
        <v>0</v>
      </c>
      <c r="IO58" s="561">
        <v>0</v>
      </c>
      <c r="IP58" s="561">
        <v>0</v>
      </c>
      <c r="IQ58" s="561">
        <v>0</v>
      </c>
      <c r="IR58" s="561">
        <v>0</v>
      </c>
      <c r="IS58" s="561">
        <v>0</v>
      </c>
      <c r="IT58" s="561">
        <v>0</v>
      </c>
      <c r="IU58" s="561">
        <v>0</v>
      </c>
      <c r="IV58" s="561">
        <v>0</v>
      </c>
      <c r="IW58" s="561">
        <v>0</v>
      </c>
      <c r="IX58" s="561">
        <v>0</v>
      </c>
      <c r="IY58" s="561">
        <v>0</v>
      </c>
      <c r="IZ58" s="561">
        <v>0</v>
      </c>
      <c r="JA58" s="561">
        <v>180633</v>
      </c>
      <c r="JB58" s="561">
        <v>0</v>
      </c>
      <c r="JC58" s="561">
        <v>7369</v>
      </c>
      <c r="JD58" s="561">
        <v>0</v>
      </c>
      <c r="JE58" s="561">
        <v>188002</v>
      </c>
      <c r="JF58" s="561">
        <v>0</v>
      </c>
      <c r="JG58" s="561">
        <v>0</v>
      </c>
      <c r="JH58" s="561">
        <v>0</v>
      </c>
      <c r="JI58" s="561">
        <v>0</v>
      </c>
      <c r="JJ58" s="561">
        <v>0</v>
      </c>
      <c r="JK58" s="561">
        <v>0</v>
      </c>
      <c r="JL58" s="561">
        <v>0</v>
      </c>
      <c r="JM58" s="561">
        <v>0</v>
      </c>
      <c r="JN58" s="561">
        <v>0</v>
      </c>
      <c r="JO58" s="561">
        <v>0</v>
      </c>
      <c r="JP58" s="561">
        <v>0</v>
      </c>
      <c r="JQ58" s="561">
        <v>0</v>
      </c>
      <c r="JR58" s="561">
        <v>0</v>
      </c>
      <c r="JS58" s="561">
        <v>0</v>
      </c>
      <c r="JT58" s="561">
        <v>0</v>
      </c>
      <c r="JU58" s="561">
        <v>0</v>
      </c>
      <c r="JV58" s="561">
        <v>188002</v>
      </c>
      <c r="JW58" s="561">
        <v>0</v>
      </c>
      <c r="JX58" s="561">
        <v>3578</v>
      </c>
      <c r="JY58" s="561">
        <v>0</v>
      </c>
      <c r="JZ58" s="561">
        <v>0</v>
      </c>
      <c r="KA58" s="561">
        <v>0</v>
      </c>
      <c r="KB58" s="561">
        <v>0</v>
      </c>
      <c r="KC58" s="561">
        <v>1207</v>
      </c>
      <c r="KD58" s="561">
        <v>0</v>
      </c>
      <c r="KE58" s="561">
        <v>460</v>
      </c>
      <c r="KF58" s="561">
        <v>-1015</v>
      </c>
      <c r="KG58" s="561">
        <v>192232</v>
      </c>
      <c r="KH58" s="561">
        <v>0</v>
      </c>
      <c r="KI58" s="561">
        <v>0</v>
      </c>
      <c r="KJ58" s="561">
        <v>0</v>
      </c>
      <c r="KK58" s="561">
        <v>0</v>
      </c>
      <c r="KL58" s="561">
        <v>0</v>
      </c>
      <c r="KM58" s="561">
        <v>0</v>
      </c>
      <c r="KN58" s="561">
        <v>0</v>
      </c>
      <c r="KO58" s="561">
        <v>0</v>
      </c>
      <c r="KP58" s="561">
        <v>0</v>
      </c>
      <c r="KQ58" s="561">
        <v>0</v>
      </c>
      <c r="KR58" s="561">
        <v>192232</v>
      </c>
      <c r="KS58" s="561">
        <v>0</v>
      </c>
      <c r="KT58" s="561">
        <v>-4388</v>
      </c>
      <c r="KU58" s="561">
        <v>187844</v>
      </c>
      <c r="KV58" s="561">
        <v>0</v>
      </c>
      <c r="KW58" s="561">
        <v>0</v>
      </c>
      <c r="KX58" s="561">
        <v>0</v>
      </c>
      <c r="KY58" s="561">
        <v>0</v>
      </c>
      <c r="KZ58" s="561">
        <v>-390</v>
      </c>
      <c r="LA58" s="561">
        <v>176</v>
      </c>
      <c r="LB58" s="561">
        <v>0</v>
      </c>
      <c r="LC58" s="561">
        <v>-100740</v>
      </c>
      <c r="LD58" s="561">
        <v>0</v>
      </c>
      <c r="LE58" s="561">
        <v>714</v>
      </c>
      <c r="LF58" s="561">
        <v>0</v>
      </c>
      <c r="LG58" s="561">
        <v>87604</v>
      </c>
      <c r="LH58" s="561">
        <v>0</v>
      </c>
      <c r="LI58" s="561">
        <v>0</v>
      </c>
      <c r="LJ58" s="561">
        <v>0</v>
      </c>
      <c r="LK58" s="561">
        <v>0</v>
      </c>
      <c r="LL58" s="561">
        <v>17640</v>
      </c>
      <c r="LM58" s="561">
        <v>9446</v>
      </c>
      <c r="LN58" s="561">
        <v>0</v>
      </c>
      <c r="LO58" s="561">
        <v>0</v>
      </c>
      <c r="LP58" s="561">
        <v>0</v>
      </c>
      <c r="LQ58" s="561">
        <v>0</v>
      </c>
      <c r="LR58" s="561">
        <v>17250</v>
      </c>
      <c r="LS58" s="561">
        <v>9622</v>
      </c>
      <c r="LT58" s="561">
        <v>0</v>
      </c>
      <c r="LU58" s="561">
        <v>4367.57</v>
      </c>
      <c r="LV58" s="561">
        <v>2335.54</v>
      </c>
      <c r="LW58" s="561">
        <v>0</v>
      </c>
      <c r="LX58" s="561">
        <v>0</v>
      </c>
      <c r="LY58" s="561">
        <v>0</v>
      </c>
      <c r="LZ58" s="561">
        <v>6882.1</v>
      </c>
      <c r="MA58" s="561">
        <v>0</v>
      </c>
      <c r="MB58" s="561">
        <v>0</v>
      </c>
      <c r="MC58" s="561">
        <v>0</v>
      </c>
      <c r="MD58" s="561">
        <v>0</v>
      </c>
      <c r="ME58" s="561">
        <v>0</v>
      </c>
      <c r="MF58" s="561">
        <v>0</v>
      </c>
      <c r="MG58" s="561">
        <v>0</v>
      </c>
      <c r="MH58" s="561">
        <v>0</v>
      </c>
      <c r="MI58" s="561">
        <v>0</v>
      </c>
      <c r="MJ58" s="561">
        <v>0</v>
      </c>
      <c r="MK58" s="561">
        <v>0</v>
      </c>
      <c r="ML58" s="561">
        <v>0</v>
      </c>
      <c r="MM58" s="561">
        <v>216</v>
      </c>
      <c r="MN58" s="561">
        <v>12270</v>
      </c>
      <c r="MO58" s="561">
        <v>4764</v>
      </c>
      <c r="MP58" s="561">
        <v>0</v>
      </c>
      <c r="MQ58" s="561">
        <v>0</v>
      </c>
      <c r="MR58" s="561">
        <v>0</v>
      </c>
      <c r="MS58" s="561">
        <v>0</v>
      </c>
      <c r="MT58" s="561">
        <v>0</v>
      </c>
      <c r="MU58" s="561">
        <v>0</v>
      </c>
      <c r="MV58" s="561">
        <v>0</v>
      </c>
      <c r="MW58" s="561">
        <v>0</v>
      </c>
      <c r="MX58" s="561">
        <v>0</v>
      </c>
      <c r="MY58" s="561">
        <v>0</v>
      </c>
      <c r="MZ58" s="561">
        <v>180633</v>
      </c>
      <c r="NA58" s="561">
        <v>0</v>
      </c>
      <c r="NB58" s="561">
        <v>7369</v>
      </c>
      <c r="NC58" s="561">
        <v>0</v>
      </c>
      <c r="ND58" s="561">
        <v>188002</v>
      </c>
      <c r="NE58" s="561">
        <v>0</v>
      </c>
      <c r="NF58" s="561">
        <v>0</v>
      </c>
      <c r="NG58" s="561">
        <v>0</v>
      </c>
      <c r="NH58" s="561">
        <v>0</v>
      </c>
      <c r="NI58" s="561">
        <v>0</v>
      </c>
      <c r="NJ58" s="561">
        <v>0</v>
      </c>
      <c r="NK58" s="561">
        <v>0</v>
      </c>
      <c r="NL58" s="561">
        <v>0</v>
      </c>
      <c r="NM58" s="561">
        <v>0</v>
      </c>
      <c r="NN58" s="561">
        <v>0</v>
      </c>
      <c r="NO58" s="561">
        <v>0</v>
      </c>
      <c r="NP58" s="561">
        <v>0</v>
      </c>
      <c r="NQ58" s="561">
        <v>0</v>
      </c>
      <c r="NR58" s="561">
        <v>0</v>
      </c>
      <c r="NS58" s="561">
        <v>0</v>
      </c>
      <c r="NT58" s="561">
        <v>0</v>
      </c>
      <c r="NU58" s="561">
        <v>0</v>
      </c>
      <c r="NV58" s="561">
        <v>0</v>
      </c>
      <c r="NW58" s="561">
        <v>0</v>
      </c>
      <c r="NX58" s="561">
        <v>0</v>
      </c>
      <c r="NY58" s="561">
        <v>0</v>
      </c>
      <c r="NZ58" s="561">
        <v>0</v>
      </c>
      <c r="OA58" s="561">
        <v>0</v>
      </c>
      <c r="OB58" s="561">
        <v>0</v>
      </c>
      <c r="OC58" s="561">
        <v>0</v>
      </c>
      <c r="OD58" s="561">
        <v>0</v>
      </c>
      <c r="OE58" s="561">
        <v>0</v>
      </c>
      <c r="OF58" s="561">
        <v>0</v>
      </c>
      <c r="OG58" s="561">
        <v>0</v>
      </c>
      <c r="OH58" s="561">
        <v>0</v>
      </c>
      <c r="OI58" s="561">
        <v>0</v>
      </c>
      <c r="OJ58" s="561">
        <v>0</v>
      </c>
      <c r="OK58" s="561">
        <v>0</v>
      </c>
      <c r="OL58" s="561">
        <v>0</v>
      </c>
      <c r="OM58" s="561">
        <v>0</v>
      </c>
      <c r="ON58" s="561">
        <v>0</v>
      </c>
      <c r="OO58" s="561">
        <v>0</v>
      </c>
      <c r="OP58" s="561">
        <v>0</v>
      </c>
      <c r="OQ58" s="561">
        <v>0</v>
      </c>
      <c r="OR58" s="561">
        <v>0</v>
      </c>
      <c r="OS58" s="561">
        <v>0</v>
      </c>
      <c r="OT58" s="561">
        <v>0</v>
      </c>
      <c r="OU58" s="561">
        <v>0</v>
      </c>
      <c r="OV58" s="561">
        <v>0</v>
      </c>
      <c r="OW58" s="561">
        <v>0</v>
      </c>
      <c r="OX58" s="561">
        <v>0</v>
      </c>
      <c r="OY58" s="561">
        <v>0</v>
      </c>
      <c r="OZ58" s="561">
        <v>0</v>
      </c>
      <c r="PA58" s="561">
        <v>0</v>
      </c>
      <c r="PB58" s="561">
        <v>0</v>
      </c>
      <c r="PC58" s="561">
        <v>0</v>
      </c>
      <c r="PD58" s="561">
        <v>0</v>
      </c>
      <c r="PE58" s="561">
        <v>0</v>
      </c>
      <c r="PF58" s="561">
        <v>0</v>
      </c>
      <c r="PG58" s="561">
        <v>0</v>
      </c>
      <c r="PH58" s="561">
        <v>0</v>
      </c>
      <c r="PI58" s="561">
        <v>0</v>
      </c>
      <c r="PJ58" s="561">
        <v>0</v>
      </c>
    </row>
    <row r="59" spans="1:426" ht="14" x14ac:dyDescent="0.3">
      <c r="A59" t="s">
        <v>2605</v>
      </c>
      <c r="B59" t="s">
        <v>2606</v>
      </c>
      <c r="C59" t="s">
        <v>2607</v>
      </c>
      <c r="E59" t="s">
        <v>2476</v>
      </c>
      <c r="F59" s="561">
        <v>27491</v>
      </c>
      <c r="G59" s="561">
        <v>88787</v>
      </c>
      <c r="H59" s="561">
        <v>98263</v>
      </c>
      <c r="I59" s="561">
        <v>14752</v>
      </c>
      <c r="J59" s="561">
        <v>0</v>
      </c>
      <c r="K59" s="561">
        <v>49455</v>
      </c>
      <c r="L59" s="561">
        <v>278748</v>
      </c>
      <c r="M59" s="561">
        <v>20158</v>
      </c>
      <c r="N59" s="561">
        <v>579</v>
      </c>
      <c r="O59" s="561">
        <v>26</v>
      </c>
      <c r="P59" s="561">
        <v>0</v>
      </c>
      <c r="Q59" s="561">
        <v>0</v>
      </c>
      <c r="R59" s="561">
        <v>102</v>
      </c>
      <c r="S59" s="561">
        <v>0</v>
      </c>
      <c r="T59" s="561">
        <v>0</v>
      </c>
      <c r="U59" s="561">
        <v>0</v>
      </c>
      <c r="V59" s="561">
        <v>182</v>
      </c>
      <c r="W59" s="561">
        <v>0</v>
      </c>
      <c r="X59" s="561">
        <v>0</v>
      </c>
      <c r="Y59" s="561">
        <v>67</v>
      </c>
      <c r="Z59" s="561">
        <v>-3731</v>
      </c>
      <c r="AA59" s="561">
        <v>-32263</v>
      </c>
      <c r="AB59" s="561">
        <v>-17</v>
      </c>
      <c r="AC59" s="561">
        <v>10889</v>
      </c>
      <c r="AD59" s="561">
        <v>506</v>
      </c>
      <c r="AE59" s="561">
        <v>0</v>
      </c>
      <c r="AF59" s="561">
        <v>0</v>
      </c>
      <c r="AG59" s="561">
        <v>833</v>
      </c>
      <c r="AH59" s="561">
        <v>0</v>
      </c>
      <c r="AI59" s="561">
        <v>0</v>
      </c>
      <c r="AJ59" s="561">
        <v>-22827</v>
      </c>
      <c r="AK59" s="561">
        <v>948</v>
      </c>
      <c r="AL59" s="561">
        <v>0</v>
      </c>
      <c r="AM59" s="561">
        <v>0</v>
      </c>
      <c r="AN59" s="561">
        <v>0</v>
      </c>
      <c r="AO59" s="561">
        <v>0</v>
      </c>
      <c r="AP59" s="561">
        <v>0</v>
      </c>
      <c r="AQ59" s="561">
        <v>0</v>
      </c>
      <c r="AR59" s="561">
        <v>0</v>
      </c>
      <c r="AS59" s="561">
        <v>20624</v>
      </c>
      <c r="AT59" s="561">
        <v>28699</v>
      </c>
      <c r="AU59" s="561">
        <v>0</v>
      </c>
      <c r="AV59" s="561">
        <v>0</v>
      </c>
      <c r="AW59" s="561">
        <v>0</v>
      </c>
      <c r="AX59" s="561">
        <v>0</v>
      </c>
      <c r="AY59" s="561">
        <v>34256</v>
      </c>
      <c r="AZ59" s="561">
        <v>1228</v>
      </c>
      <c r="BA59" s="561">
        <v>18818</v>
      </c>
      <c r="BB59" s="561">
        <v>4536</v>
      </c>
      <c r="BC59" s="561">
        <v>23003</v>
      </c>
      <c r="BD59" s="561">
        <v>1344</v>
      </c>
      <c r="BE59" s="561">
        <v>9021</v>
      </c>
      <c r="BF59" s="561">
        <v>92206</v>
      </c>
      <c r="BG59" s="561">
        <v>3831</v>
      </c>
      <c r="BH59" s="561">
        <v>15957</v>
      </c>
      <c r="BI59" s="561">
        <v>36573</v>
      </c>
      <c r="BJ59" s="561">
        <v>514</v>
      </c>
      <c r="BK59" s="561">
        <v>952</v>
      </c>
      <c r="BL59" s="561">
        <v>633</v>
      </c>
      <c r="BM59" s="561">
        <v>4426</v>
      </c>
      <c r="BN59" s="561">
        <v>31515</v>
      </c>
      <c r="BO59" s="561">
        <v>3271</v>
      </c>
      <c r="BP59" s="561">
        <v>8692</v>
      </c>
      <c r="BQ59" s="561">
        <v>7765</v>
      </c>
      <c r="BR59" s="561">
        <v>0</v>
      </c>
      <c r="BS59" s="561">
        <v>800</v>
      </c>
      <c r="BT59" s="561">
        <v>0</v>
      </c>
      <c r="BU59" s="561">
        <v>607</v>
      </c>
      <c r="BV59" s="561">
        <v>2811</v>
      </c>
      <c r="BW59" s="561">
        <v>19806</v>
      </c>
      <c r="BX59" s="561">
        <v>383</v>
      </c>
      <c r="BY59" s="561">
        <v>-6501</v>
      </c>
      <c r="BZ59" s="561">
        <v>128204</v>
      </c>
      <c r="CA59" s="561">
        <v>5016</v>
      </c>
      <c r="CB59" s="561">
        <v>4434</v>
      </c>
      <c r="CC59" s="561">
        <v>7</v>
      </c>
      <c r="CD59" s="561">
        <v>1629</v>
      </c>
      <c r="CE59" s="561">
        <v>703</v>
      </c>
      <c r="CF59" s="561">
        <v>122</v>
      </c>
      <c r="CG59" s="561">
        <v>103</v>
      </c>
      <c r="CH59" s="561">
        <v>132</v>
      </c>
      <c r="CI59" s="561">
        <v>219</v>
      </c>
      <c r="CJ59" s="561">
        <v>639</v>
      </c>
      <c r="CK59" s="561">
        <v>1158</v>
      </c>
      <c r="CL59" s="561">
        <v>519</v>
      </c>
      <c r="CM59" s="561">
        <v>8686</v>
      </c>
      <c r="CN59" s="561">
        <v>151</v>
      </c>
      <c r="CO59" s="561">
        <v>145</v>
      </c>
      <c r="CP59" s="561">
        <v>254</v>
      </c>
      <c r="CQ59" s="561">
        <v>828</v>
      </c>
      <c r="CR59" s="561">
        <v>911</v>
      </c>
      <c r="CS59" s="561">
        <v>174</v>
      </c>
      <c r="CT59" s="561">
        <v>1423</v>
      </c>
      <c r="CU59" s="561">
        <v>4913</v>
      </c>
      <c r="CV59" s="561">
        <v>0</v>
      </c>
      <c r="CW59" s="561">
        <v>110</v>
      </c>
      <c r="CX59" s="561">
        <v>2646</v>
      </c>
      <c r="CY59" s="561">
        <v>5822</v>
      </c>
      <c r="CZ59" s="561">
        <v>35728</v>
      </c>
      <c r="DA59" s="561">
        <v>99</v>
      </c>
      <c r="DB59" s="561">
        <v>1007</v>
      </c>
      <c r="DC59" s="561">
        <v>0</v>
      </c>
      <c r="DD59" s="561">
        <v>184</v>
      </c>
      <c r="DE59" s="561">
        <v>0</v>
      </c>
      <c r="DF59" s="561">
        <v>6041</v>
      </c>
      <c r="DG59" s="561">
        <v>20482</v>
      </c>
      <c r="DH59" s="561">
        <v>3558</v>
      </c>
      <c r="DI59" s="561">
        <v>0</v>
      </c>
      <c r="DJ59" s="561">
        <v>155</v>
      </c>
      <c r="DK59" s="561">
        <v>968</v>
      </c>
      <c r="DL59" s="561">
        <v>11398</v>
      </c>
      <c r="DM59" s="561">
        <v>0</v>
      </c>
      <c r="DN59" s="561">
        <v>1112</v>
      </c>
      <c r="DO59" s="561">
        <v>9220</v>
      </c>
      <c r="DP59" s="561">
        <v>0</v>
      </c>
      <c r="DQ59" s="561">
        <v>0</v>
      </c>
      <c r="DR59" s="561">
        <v>2969</v>
      </c>
      <c r="DS59" s="561">
        <v>3719</v>
      </c>
      <c r="DT59" s="561">
        <v>5146</v>
      </c>
      <c r="DU59" s="561">
        <v>33564</v>
      </c>
      <c r="DV59" s="561">
        <v>0</v>
      </c>
      <c r="DW59" s="561">
        <v>0</v>
      </c>
      <c r="DX59" s="561">
        <v>0</v>
      </c>
      <c r="DY59" s="561">
        <v>382</v>
      </c>
      <c r="DZ59" s="561">
        <v>0</v>
      </c>
      <c r="EA59" s="561">
        <v>10345</v>
      </c>
      <c r="EB59" s="561">
        <v>0</v>
      </c>
      <c r="EC59" s="561">
        <v>48972</v>
      </c>
      <c r="ED59" s="561">
        <v>2199</v>
      </c>
      <c r="EE59" s="561">
        <v>162280</v>
      </c>
      <c r="EF59" s="561">
        <v>16138</v>
      </c>
      <c r="EG59" s="561">
        <v>63607</v>
      </c>
      <c r="EH59" s="561">
        <v>2756</v>
      </c>
      <c r="EI59" s="561">
        <v>87</v>
      </c>
      <c r="EJ59" s="561">
        <v>47</v>
      </c>
      <c r="EK59" s="561">
        <v>1721</v>
      </c>
      <c r="EL59" s="561">
        <v>0</v>
      </c>
      <c r="EM59" s="561">
        <v>0</v>
      </c>
      <c r="EN59" s="561">
        <v>73438</v>
      </c>
      <c r="EO59" s="561">
        <v>41502</v>
      </c>
      <c r="EP59" s="561">
        <v>42494</v>
      </c>
      <c r="EQ59" s="561">
        <v>14586</v>
      </c>
      <c r="ER59" s="561">
        <v>13479</v>
      </c>
      <c r="ES59" s="561" t="s">
        <v>4565</v>
      </c>
      <c r="ET59" s="561">
        <v>46874</v>
      </c>
      <c r="EU59" s="561">
        <v>0</v>
      </c>
      <c r="EV59" s="561">
        <v>192</v>
      </c>
      <c r="EW59" s="561">
        <v>13290</v>
      </c>
      <c r="EX59" s="561">
        <v>0</v>
      </c>
      <c r="EY59" s="561">
        <v>3705</v>
      </c>
      <c r="EZ59" s="561">
        <v>-2924</v>
      </c>
      <c r="FA59" s="561">
        <v>27053</v>
      </c>
      <c r="FB59" s="561">
        <v>16</v>
      </c>
      <c r="FC59" s="561">
        <v>295</v>
      </c>
      <c r="FD59" s="561">
        <v>3</v>
      </c>
      <c r="FE59" s="561">
        <v>0</v>
      </c>
      <c r="FF59" s="561">
        <v>234</v>
      </c>
      <c r="FG59" s="561">
        <v>0</v>
      </c>
      <c r="FH59" s="561">
        <v>0</v>
      </c>
      <c r="FI59" s="561">
        <v>1364</v>
      </c>
      <c r="FJ59" s="561">
        <v>-982</v>
      </c>
      <c r="FK59" s="561">
        <v>4638</v>
      </c>
      <c r="FL59" s="561">
        <v>0</v>
      </c>
      <c r="FM59" s="561">
        <v>-3</v>
      </c>
      <c r="FN59" s="561">
        <v>6867</v>
      </c>
      <c r="FO59" s="561">
        <v>12432</v>
      </c>
      <c r="FP59" s="561">
        <v>343</v>
      </c>
      <c r="FQ59" s="561">
        <v>368</v>
      </c>
      <c r="FR59" s="561">
        <v>537</v>
      </c>
      <c r="FS59" s="561">
        <v>0</v>
      </c>
      <c r="FT59" s="561">
        <v>1169</v>
      </c>
      <c r="FU59" s="561">
        <v>1950</v>
      </c>
      <c r="FV59" s="561">
        <v>141</v>
      </c>
      <c r="FW59" s="561">
        <v>0</v>
      </c>
      <c r="FX59" s="561">
        <v>0</v>
      </c>
      <c r="FY59" s="561">
        <v>0</v>
      </c>
      <c r="FZ59" s="561">
        <v>-40</v>
      </c>
      <c r="GA59" s="561">
        <v>79</v>
      </c>
      <c r="GB59" s="561">
        <v>166</v>
      </c>
      <c r="GC59" s="561">
        <v>104</v>
      </c>
      <c r="GD59" s="561">
        <v>634</v>
      </c>
      <c r="GE59" s="561">
        <v>1002</v>
      </c>
      <c r="GF59" s="561">
        <v>0</v>
      </c>
      <c r="GG59" s="561">
        <v>0</v>
      </c>
      <c r="GH59" s="561">
        <v>0</v>
      </c>
      <c r="GI59" s="561">
        <v>0</v>
      </c>
      <c r="GJ59" s="561">
        <v>0</v>
      </c>
      <c r="GK59" s="561">
        <v>0</v>
      </c>
      <c r="GL59" s="561">
        <v>12488</v>
      </c>
      <c r="GM59" s="561">
        <v>4596</v>
      </c>
      <c r="GN59" s="561">
        <v>0</v>
      </c>
      <c r="GO59" s="561">
        <v>2018</v>
      </c>
      <c r="GP59" s="561">
        <v>3524</v>
      </c>
      <c r="GQ59" s="561">
        <v>0</v>
      </c>
      <c r="GR59" s="561">
        <v>1157</v>
      </c>
      <c r="GS59" s="561">
        <v>29893</v>
      </c>
      <c r="GT59" s="561">
        <v>1891</v>
      </c>
      <c r="GU59" s="561">
        <v>752</v>
      </c>
      <c r="GV59" s="561">
        <v>4009</v>
      </c>
      <c r="GW59" s="561">
        <v>627</v>
      </c>
      <c r="GX59" s="561">
        <v>1113</v>
      </c>
      <c r="GY59" s="561">
        <v>34</v>
      </c>
      <c r="GZ59" s="561">
        <v>3366</v>
      </c>
      <c r="HA59" s="561">
        <v>34</v>
      </c>
      <c r="HB59" s="561">
        <v>1345</v>
      </c>
      <c r="HC59" s="561">
        <v>4058</v>
      </c>
      <c r="HD59" s="561">
        <v>15338</v>
      </c>
      <c r="HE59" s="561">
        <v>1405</v>
      </c>
      <c r="HF59" s="561">
        <v>57663</v>
      </c>
      <c r="HG59" s="561">
        <v>3639</v>
      </c>
      <c r="HH59" s="561">
        <v>0</v>
      </c>
      <c r="HI59" s="561">
        <v>0</v>
      </c>
      <c r="HJ59" s="561">
        <v>0</v>
      </c>
      <c r="HK59" s="561">
        <v>0</v>
      </c>
      <c r="HL59" s="561">
        <v>0</v>
      </c>
      <c r="HM59" s="561">
        <v>0</v>
      </c>
      <c r="HN59" s="561">
        <v>0</v>
      </c>
      <c r="HO59" s="561">
        <v>5317</v>
      </c>
      <c r="HP59" s="561">
        <v>3829</v>
      </c>
      <c r="HQ59" s="561">
        <v>0</v>
      </c>
      <c r="HR59" s="561">
        <v>0</v>
      </c>
      <c r="HS59" s="561">
        <v>164</v>
      </c>
      <c r="HT59" s="561">
        <v>676</v>
      </c>
      <c r="HU59" s="561">
        <v>0</v>
      </c>
      <c r="HV59" s="561">
        <v>542</v>
      </c>
      <c r="HW59" s="561">
        <v>339</v>
      </c>
      <c r="HX59" s="561">
        <v>2318</v>
      </c>
      <c r="HY59" s="561">
        <v>1077</v>
      </c>
      <c r="HZ59" s="561">
        <v>-400</v>
      </c>
      <c r="IA59" s="561">
        <v>6906</v>
      </c>
      <c r="IB59" s="561">
        <v>0</v>
      </c>
      <c r="IC59" s="561">
        <v>342</v>
      </c>
      <c r="ID59" s="561">
        <v>0</v>
      </c>
      <c r="IE59" s="561">
        <v>14046</v>
      </c>
      <c r="IF59" s="561">
        <v>0</v>
      </c>
      <c r="IG59" s="561">
        <v>0</v>
      </c>
      <c r="IH59" s="561">
        <v>34616</v>
      </c>
      <c r="II59" s="561">
        <v>69772</v>
      </c>
      <c r="IJ59" s="561">
        <v>9729</v>
      </c>
      <c r="IK59" s="561">
        <v>9890</v>
      </c>
      <c r="IL59" s="561">
        <v>87553</v>
      </c>
      <c r="IM59" s="561">
        <v>0</v>
      </c>
      <c r="IN59" s="561">
        <v>0</v>
      </c>
      <c r="IO59" s="561">
        <v>2613</v>
      </c>
      <c r="IP59" s="561">
        <v>0</v>
      </c>
      <c r="IQ59" s="561">
        <v>0</v>
      </c>
      <c r="IR59" s="561">
        <v>278748</v>
      </c>
      <c r="IS59" s="561">
        <v>-22827</v>
      </c>
      <c r="IT59" s="561">
        <v>92206</v>
      </c>
      <c r="IU59" s="561">
        <v>128204</v>
      </c>
      <c r="IV59" s="561">
        <v>35728</v>
      </c>
      <c r="IW59" s="561">
        <v>48972</v>
      </c>
      <c r="IX59" s="561">
        <v>12432</v>
      </c>
      <c r="IY59" s="561">
        <v>29893</v>
      </c>
      <c r="IZ59" s="561">
        <v>15338</v>
      </c>
      <c r="JA59" s="561">
        <v>0</v>
      </c>
      <c r="JB59" s="561">
        <v>0</v>
      </c>
      <c r="JC59" s="561">
        <v>69772</v>
      </c>
      <c r="JD59" s="561">
        <v>0</v>
      </c>
      <c r="JE59" s="561">
        <v>688466</v>
      </c>
      <c r="JF59" s="561">
        <v>66881</v>
      </c>
      <c r="JG59" s="561">
        <v>6058</v>
      </c>
      <c r="JH59" s="561">
        <v>62044</v>
      </c>
      <c r="JI59" s="561">
        <v>0</v>
      </c>
      <c r="JJ59" s="561">
        <v>0</v>
      </c>
      <c r="JK59" s="561">
        <v>0</v>
      </c>
      <c r="JL59" s="561">
        <v>0</v>
      </c>
      <c r="JM59" s="561">
        <v>6761</v>
      </c>
      <c r="JN59" s="561">
        <v>545</v>
      </c>
      <c r="JO59" s="561">
        <v>265</v>
      </c>
      <c r="JP59" s="561">
        <v>-6932</v>
      </c>
      <c r="JQ59" s="561">
        <v>6564</v>
      </c>
      <c r="JR59" s="561">
        <v>170</v>
      </c>
      <c r="JS59" s="561">
        <v>-107</v>
      </c>
      <c r="JT59" s="561">
        <v>0</v>
      </c>
      <c r="JU59" s="561">
        <v>414</v>
      </c>
      <c r="JV59" s="561">
        <v>831129</v>
      </c>
      <c r="JW59" s="561">
        <v>218</v>
      </c>
      <c r="JX59" s="561">
        <v>11051</v>
      </c>
      <c r="JY59" s="561">
        <v>0</v>
      </c>
      <c r="JZ59" s="561">
        <v>0</v>
      </c>
      <c r="KA59" s="561">
        <v>0</v>
      </c>
      <c r="KB59" s="561">
        <v>3359</v>
      </c>
      <c r="KC59" s="561">
        <v>5963</v>
      </c>
      <c r="KD59" s="561">
        <v>560</v>
      </c>
      <c r="KE59" s="561">
        <v>13725</v>
      </c>
      <c r="KF59" s="561">
        <v>-23393</v>
      </c>
      <c r="KG59" s="561">
        <v>842612</v>
      </c>
      <c r="KH59" s="561">
        <v>-17760</v>
      </c>
      <c r="KI59" s="561">
        <v>0</v>
      </c>
      <c r="KJ59" s="561">
        <v>0</v>
      </c>
      <c r="KK59" s="561">
        <v>0</v>
      </c>
      <c r="KL59" s="561">
        <v>-158313</v>
      </c>
      <c r="KM59" s="561">
        <v>0</v>
      </c>
      <c r="KN59" s="561">
        <v>-3012</v>
      </c>
      <c r="KO59" s="561">
        <v>0</v>
      </c>
      <c r="KP59" s="561">
        <v>0</v>
      </c>
      <c r="KQ59" s="561">
        <v>0</v>
      </c>
      <c r="KR59" s="561">
        <v>663527</v>
      </c>
      <c r="KS59" s="561">
        <v>0</v>
      </c>
      <c r="KT59" s="561">
        <v>-341757</v>
      </c>
      <c r="KU59" s="561">
        <v>321770</v>
      </c>
      <c r="KV59" s="561">
        <v>0</v>
      </c>
      <c r="KW59" s="561">
        <v>-5785</v>
      </c>
      <c r="KX59" s="561">
        <v>-3412.66</v>
      </c>
      <c r="KY59" s="561">
        <v>226.65</v>
      </c>
      <c r="KZ59" s="561">
        <v>-20762.45</v>
      </c>
      <c r="LA59" s="561">
        <v>1500</v>
      </c>
      <c r="LB59" s="561">
        <v>-28226</v>
      </c>
      <c r="LC59" s="561">
        <v>0</v>
      </c>
      <c r="LD59" s="561">
        <v>-108192</v>
      </c>
      <c r="LE59" s="561">
        <v>2138</v>
      </c>
      <c r="LF59" s="561">
        <v>-18126</v>
      </c>
      <c r="LG59" s="561">
        <v>141131</v>
      </c>
      <c r="LH59" s="561">
        <v>20989</v>
      </c>
      <c r="LI59" s="561">
        <v>0</v>
      </c>
      <c r="LJ59" s="561">
        <v>22344</v>
      </c>
      <c r="LK59" s="561">
        <v>3823</v>
      </c>
      <c r="LL59" s="561">
        <v>162262.45000000001</v>
      </c>
      <c r="LM59" s="561">
        <v>16858</v>
      </c>
      <c r="LN59" s="561">
        <v>15204</v>
      </c>
      <c r="LO59" s="561">
        <v>0</v>
      </c>
      <c r="LP59" s="561">
        <v>18931.34</v>
      </c>
      <c r="LQ59" s="561">
        <v>4049.65</v>
      </c>
      <c r="LR59" s="561">
        <v>141500</v>
      </c>
      <c r="LS59" s="561">
        <v>18358</v>
      </c>
      <c r="LT59" s="561">
        <v>0</v>
      </c>
      <c r="LU59" s="561">
        <v>53035</v>
      </c>
      <c r="LV59" s="561">
        <v>0</v>
      </c>
      <c r="LW59" s="561">
        <v>25916</v>
      </c>
      <c r="LX59" s="561">
        <v>-18624</v>
      </c>
      <c r="LY59" s="561">
        <v>2248</v>
      </c>
      <c r="LZ59" s="561">
        <v>65408</v>
      </c>
      <c r="MA59" s="561">
        <v>0</v>
      </c>
      <c r="MB59" s="561">
        <v>0</v>
      </c>
      <c r="MC59" s="561">
        <v>246636</v>
      </c>
      <c r="MD59" s="561">
        <v>249560</v>
      </c>
      <c r="ME59" s="561">
        <v>-2924</v>
      </c>
      <c r="MF59" s="561">
        <v>27053</v>
      </c>
      <c r="MG59" s="561">
        <v>24129</v>
      </c>
      <c r="MH59" s="561">
        <v>11427</v>
      </c>
      <c r="MI59" s="561">
        <v>21654</v>
      </c>
      <c r="MJ59" s="561">
        <v>33081</v>
      </c>
      <c r="MK59" s="561">
        <v>0</v>
      </c>
      <c r="ML59" s="561">
        <v>19724</v>
      </c>
      <c r="MM59" s="561">
        <v>22749</v>
      </c>
      <c r="MN59" s="561">
        <v>36095</v>
      </c>
      <c r="MO59" s="561">
        <v>62932</v>
      </c>
      <c r="MP59" s="561">
        <v>0</v>
      </c>
      <c r="MQ59" s="561">
        <v>278748</v>
      </c>
      <c r="MR59" s="561">
        <v>-22827</v>
      </c>
      <c r="MS59" s="561">
        <v>92206</v>
      </c>
      <c r="MT59" s="561">
        <v>128204</v>
      </c>
      <c r="MU59" s="561">
        <v>35728</v>
      </c>
      <c r="MV59" s="561">
        <v>48972</v>
      </c>
      <c r="MW59" s="561">
        <v>12432</v>
      </c>
      <c r="MX59" s="561">
        <v>29893</v>
      </c>
      <c r="MY59" s="561">
        <v>15338</v>
      </c>
      <c r="MZ59" s="561">
        <v>0</v>
      </c>
      <c r="NA59" s="561">
        <v>0</v>
      </c>
      <c r="NB59" s="561">
        <v>69772</v>
      </c>
      <c r="NC59" s="561">
        <v>0</v>
      </c>
      <c r="ND59" s="561">
        <v>688466</v>
      </c>
      <c r="NE59" s="561">
        <v>0</v>
      </c>
      <c r="NF59" s="561">
        <v>0</v>
      </c>
      <c r="NG59" s="561">
        <v>0</v>
      </c>
      <c r="NH59" s="561">
        <v>0</v>
      </c>
      <c r="NI59" s="561">
        <v>0</v>
      </c>
      <c r="NJ59" s="561">
        <v>0</v>
      </c>
      <c r="NK59" s="561">
        <v>0</v>
      </c>
      <c r="NL59" s="561">
        <v>0</v>
      </c>
      <c r="NM59" s="561">
        <v>0</v>
      </c>
      <c r="NN59" s="561">
        <v>0</v>
      </c>
      <c r="NO59" s="561">
        <v>0</v>
      </c>
      <c r="NP59" s="561">
        <v>0</v>
      </c>
      <c r="NQ59" s="561">
        <v>0</v>
      </c>
      <c r="NR59" s="561">
        <v>0</v>
      </c>
      <c r="NS59" s="561">
        <v>-3849</v>
      </c>
      <c r="NT59" s="561">
        <v>-2712</v>
      </c>
      <c r="NU59" s="561">
        <v>0</v>
      </c>
      <c r="NV59" s="561">
        <v>0</v>
      </c>
      <c r="NW59" s="561">
        <v>-6762</v>
      </c>
      <c r="NX59" s="561">
        <v>-170</v>
      </c>
      <c r="NY59" s="561">
        <v>-6932</v>
      </c>
      <c r="NZ59" s="561">
        <v>0</v>
      </c>
      <c r="OA59" s="561">
        <v>0</v>
      </c>
      <c r="OB59" s="561">
        <v>2537</v>
      </c>
      <c r="OC59" s="561">
        <v>0</v>
      </c>
      <c r="OD59" s="561">
        <v>0</v>
      </c>
      <c r="OE59" s="561">
        <v>0</v>
      </c>
      <c r="OF59" s="561">
        <v>0</v>
      </c>
      <c r="OG59" s="561">
        <v>0</v>
      </c>
      <c r="OH59" s="561">
        <v>192</v>
      </c>
      <c r="OI59" s="561">
        <v>0</v>
      </c>
      <c r="OJ59" s="561">
        <v>0</v>
      </c>
      <c r="OK59" s="561">
        <v>0</v>
      </c>
      <c r="OL59" s="561">
        <v>0</v>
      </c>
      <c r="OM59" s="561">
        <v>786</v>
      </c>
      <c r="ON59" s="561">
        <v>821</v>
      </c>
      <c r="OO59" s="561">
        <v>2094</v>
      </c>
      <c r="OP59" s="561">
        <v>27</v>
      </c>
      <c r="OQ59" s="561">
        <v>0</v>
      </c>
      <c r="OR59" s="561">
        <v>0</v>
      </c>
      <c r="OS59" s="561">
        <v>0</v>
      </c>
      <c r="OT59" s="561">
        <v>0</v>
      </c>
      <c r="OU59" s="561">
        <v>0</v>
      </c>
      <c r="OV59" s="561">
        <v>1348</v>
      </c>
      <c r="OW59" s="561">
        <v>107</v>
      </c>
      <c r="OX59" s="561">
        <v>6564</v>
      </c>
      <c r="OY59" s="561">
        <v>410</v>
      </c>
      <c r="OZ59" s="561">
        <v>0</v>
      </c>
      <c r="PA59" s="561">
        <v>0</v>
      </c>
      <c r="PB59" s="561">
        <v>-580</v>
      </c>
      <c r="PC59" s="561">
        <v>0</v>
      </c>
      <c r="PD59" s="561">
        <v>-170</v>
      </c>
      <c r="PE59" s="561">
        <v>107</v>
      </c>
      <c r="PF59" s="561">
        <v>0</v>
      </c>
      <c r="PG59" s="561">
        <v>0</v>
      </c>
      <c r="PH59" s="561">
        <v>0</v>
      </c>
      <c r="PI59" s="561">
        <v>0</v>
      </c>
      <c r="PJ59" s="561">
        <v>107</v>
      </c>
    </row>
    <row r="60" spans="1:426" ht="14" x14ac:dyDescent="0.3">
      <c r="A60" t="s">
        <v>2608</v>
      </c>
      <c r="B60" t="s">
        <v>2609</v>
      </c>
      <c r="C60" t="s">
        <v>2610</v>
      </c>
      <c r="E60" t="s">
        <v>384</v>
      </c>
      <c r="F60" s="561">
        <v>0</v>
      </c>
      <c r="G60" s="561">
        <v>0</v>
      </c>
      <c r="H60" s="561">
        <v>0</v>
      </c>
      <c r="I60" s="561">
        <v>0</v>
      </c>
      <c r="J60" s="561">
        <v>0</v>
      </c>
      <c r="K60" s="561">
        <v>0</v>
      </c>
      <c r="L60" s="561">
        <v>0</v>
      </c>
      <c r="M60" s="561">
        <v>0</v>
      </c>
      <c r="N60" s="561">
        <v>0</v>
      </c>
      <c r="O60" s="561">
        <v>0</v>
      </c>
      <c r="P60" s="561">
        <v>0</v>
      </c>
      <c r="Q60" s="561">
        <v>0</v>
      </c>
      <c r="R60" s="561">
        <v>0</v>
      </c>
      <c r="S60" s="561">
        <v>0</v>
      </c>
      <c r="T60" s="561">
        <v>74</v>
      </c>
      <c r="U60" s="561">
        <v>0</v>
      </c>
      <c r="V60" s="561">
        <v>0</v>
      </c>
      <c r="W60" s="561">
        <v>0</v>
      </c>
      <c r="X60" s="561">
        <v>0</v>
      </c>
      <c r="Y60" s="561">
        <v>0</v>
      </c>
      <c r="Z60" s="561">
        <v>0</v>
      </c>
      <c r="AA60" s="561">
        <v>0</v>
      </c>
      <c r="AB60" s="561">
        <v>-270</v>
      </c>
      <c r="AC60" s="561">
        <v>0</v>
      </c>
      <c r="AD60" s="561">
        <v>0</v>
      </c>
      <c r="AE60" s="561">
        <v>0</v>
      </c>
      <c r="AF60" s="561">
        <v>0</v>
      </c>
      <c r="AG60" s="561">
        <v>0</v>
      </c>
      <c r="AH60" s="561">
        <v>19</v>
      </c>
      <c r="AI60" s="561">
        <v>0</v>
      </c>
      <c r="AJ60" s="561">
        <v>-177</v>
      </c>
      <c r="AK60" s="561">
        <v>0</v>
      </c>
      <c r="AL60" s="561">
        <v>0</v>
      </c>
      <c r="AM60" s="561">
        <v>0</v>
      </c>
      <c r="AN60" s="561">
        <v>0</v>
      </c>
      <c r="AO60" s="561">
        <v>0</v>
      </c>
      <c r="AP60" s="561">
        <v>0</v>
      </c>
      <c r="AQ60" s="561">
        <v>0</v>
      </c>
      <c r="AR60" s="561">
        <v>0</v>
      </c>
      <c r="AS60" s="561">
        <v>0</v>
      </c>
      <c r="AT60" s="561">
        <v>0</v>
      </c>
      <c r="AU60" s="561">
        <v>0</v>
      </c>
      <c r="AV60" s="561">
        <v>0</v>
      </c>
      <c r="AW60" s="561">
        <v>0</v>
      </c>
      <c r="AX60" s="561">
        <v>0</v>
      </c>
      <c r="AY60" s="561">
        <v>0</v>
      </c>
      <c r="AZ60" s="561">
        <v>0</v>
      </c>
      <c r="BA60" s="561">
        <v>0</v>
      </c>
      <c r="BB60" s="561">
        <v>0</v>
      </c>
      <c r="BC60" s="561">
        <v>0</v>
      </c>
      <c r="BD60" s="561">
        <v>0</v>
      </c>
      <c r="BE60" s="561">
        <v>0</v>
      </c>
      <c r="BF60" s="561">
        <v>0</v>
      </c>
      <c r="BG60" s="561">
        <v>0</v>
      </c>
      <c r="BH60" s="561">
        <v>0</v>
      </c>
      <c r="BI60" s="561">
        <v>0</v>
      </c>
      <c r="BJ60" s="561">
        <v>0</v>
      </c>
      <c r="BK60" s="561">
        <v>0</v>
      </c>
      <c r="BL60" s="561">
        <v>0</v>
      </c>
      <c r="BM60" s="561">
        <v>0</v>
      </c>
      <c r="BN60" s="561">
        <v>0</v>
      </c>
      <c r="BO60" s="561">
        <v>0</v>
      </c>
      <c r="BP60" s="561">
        <v>0</v>
      </c>
      <c r="BQ60" s="561">
        <v>0</v>
      </c>
      <c r="BR60" s="561">
        <v>0</v>
      </c>
      <c r="BS60" s="561">
        <v>0</v>
      </c>
      <c r="BT60" s="561">
        <v>0</v>
      </c>
      <c r="BU60" s="561">
        <v>0</v>
      </c>
      <c r="BV60" s="561">
        <v>0</v>
      </c>
      <c r="BW60" s="561">
        <v>0</v>
      </c>
      <c r="BX60" s="561">
        <v>0</v>
      </c>
      <c r="BY60" s="561">
        <v>0</v>
      </c>
      <c r="BZ60" s="561">
        <v>0</v>
      </c>
      <c r="CA60" s="561">
        <v>0</v>
      </c>
      <c r="CB60" s="561">
        <v>0</v>
      </c>
      <c r="CC60" s="561">
        <v>0</v>
      </c>
      <c r="CD60" s="561">
        <v>0</v>
      </c>
      <c r="CE60" s="561">
        <v>0</v>
      </c>
      <c r="CF60" s="561">
        <v>0</v>
      </c>
      <c r="CG60" s="561">
        <v>0</v>
      </c>
      <c r="CH60" s="561">
        <v>0</v>
      </c>
      <c r="CI60" s="561">
        <v>0</v>
      </c>
      <c r="CJ60" s="561">
        <v>0</v>
      </c>
      <c r="CK60" s="561">
        <v>0</v>
      </c>
      <c r="CL60" s="561">
        <v>0</v>
      </c>
      <c r="CM60" s="561">
        <v>0</v>
      </c>
      <c r="CN60" s="561">
        <v>0</v>
      </c>
      <c r="CO60" s="561">
        <v>0</v>
      </c>
      <c r="CP60" s="561">
        <v>0</v>
      </c>
      <c r="CQ60" s="561">
        <v>0</v>
      </c>
      <c r="CR60" s="561">
        <v>0</v>
      </c>
      <c r="CS60" s="561">
        <v>0</v>
      </c>
      <c r="CT60" s="561">
        <v>0</v>
      </c>
      <c r="CU60" s="561">
        <v>0</v>
      </c>
      <c r="CV60" s="561">
        <v>0</v>
      </c>
      <c r="CW60" s="561">
        <v>0</v>
      </c>
      <c r="CX60" s="561">
        <v>0</v>
      </c>
      <c r="CY60" s="561">
        <v>0</v>
      </c>
      <c r="CZ60" s="561">
        <v>0</v>
      </c>
      <c r="DA60" s="561">
        <v>0</v>
      </c>
      <c r="DB60" s="561">
        <v>0</v>
      </c>
      <c r="DC60" s="561">
        <v>0</v>
      </c>
      <c r="DD60" s="561">
        <v>0</v>
      </c>
      <c r="DE60" s="561">
        <v>0</v>
      </c>
      <c r="DF60" s="561">
        <v>0</v>
      </c>
      <c r="DG60" s="561">
        <v>0</v>
      </c>
      <c r="DH60" s="561">
        <v>8</v>
      </c>
      <c r="DI60" s="561">
        <v>0</v>
      </c>
      <c r="DJ60" s="561">
        <v>0</v>
      </c>
      <c r="DK60" s="561">
        <v>2</v>
      </c>
      <c r="DL60" s="561">
        <v>0</v>
      </c>
      <c r="DM60" s="561">
        <v>0</v>
      </c>
      <c r="DN60" s="561">
        <v>0</v>
      </c>
      <c r="DO60" s="561">
        <v>326</v>
      </c>
      <c r="DP60" s="561">
        <v>49</v>
      </c>
      <c r="DQ60" s="561">
        <v>0</v>
      </c>
      <c r="DR60" s="561">
        <v>42</v>
      </c>
      <c r="DS60" s="561">
        <v>563</v>
      </c>
      <c r="DT60" s="561">
        <v>85</v>
      </c>
      <c r="DU60" s="561">
        <v>1065</v>
      </c>
      <c r="DV60" s="561">
        <v>0</v>
      </c>
      <c r="DW60" s="561">
        <v>0</v>
      </c>
      <c r="DX60" s="561">
        <v>0</v>
      </c>
      <c r="DY60" s="561">
        <v>1753</v>
      </c>
      <c r="DZ60" s="561">
        <v>0</v>
      </c>
      <c r="EA60" s="561">
        <v>0</v>
      </c>
      <c r="EB60" s="561">
        <v>0</v>
      </c>
      <c r="EC60" s="561">
        <v>2828</v>
      </c>
      <c r="ED60" s="561">
        <v>601</v>
      </c>
      <c r="EE60" s="561">
        <v>23809</v>
      </c>
      <c r="EF60" s="561">
        <v>379</v>
      </c>
      <c r="EG60" s="561">
        <v>206</v>
      </c>
      <c r="EH60" s="561">
        <v>303</v>
      </c>
      <c r="EI60" s="561">
        <v>0</v>
      </c>
      <c r="EJ60" s="561">
        <v>452</v>
      </c>
      <c r="EK60" s="561">
        <v>0</v>
      </c>
      <c r="EL60" s="561">
        <v>0</v>
      </c>
      <c r="EM60" s="561">
        <v>-50</v>
      </c>
      <c r="EN60" s="561">
        <v>7847</v>
      </c>
      <c r="EO60" s="561">
        <v>7622</v>
      </c>
      <c r="EP60" s="561">
        <v>1327</v>
      </c>
      <c r="EQ60" s="561">
        <v>89</v>
      </c>
      <c r="ER60" s="561">
        <v>3175</v>
      </c>
      <c r="ES60" s="561" t="s">
        <v>4565</v>
      </c>
      <c r="ET60" s="561">
        <v>0</v>
      </c>
      <c r="EU60" s="561">
        <v>180</v>
      </c>
      <c r="EV60" s="561">
        <v>0</v>
      </c>
      <c r="EW60" s="561">
        <v>0</v>
      </c>
      <c r="EX60" s="561">
        <v>4760</v>
      </c>
      <c r="EY60" s="561">
        <v>0</v>
      </c>
      <c r="EZ60" s="561">
        <v>99</v>
      </c>
      <c r="FA60" s="561" t="s">
        <v>2611</v>
      </c>
      <c r="FB60" s="561">
        <v>0</v>
      </c>
      <c r="FC60" s="561">
        <v>164</v>
      </c>
      <c r="FD60" s="561">
        <v>0</v>
      </c>
      <c r="FE60" s="561">
        <v>205</v>
      </c>
      <c r="FF60" s="561">
        <v>115</v>
      </c>
      <c r="FG60" s="561">
        <v>-20</v>
      </c>
      <c r="FH60" s="561">
        <v>0</v>
      </c>
      <c r="FI60" s="561">
        <v>13</v>
      </c>
      <c r="FJ60" s="561">
        <v>1960</v>
      </c>
      <c r="FK60" s="561">
        <v>1736</v>
      </c>
      <c r="FL60" s="561">
        <v>29</v>
      </c>
      <c r="FM60" s="561">
        <v>179</v>
      </c>
      <c r="FN60" s="561">
        <v>0</v>
      </c>
      <c r="FO60" s="561">
        <v>4381</v>
      </c>
      <c r="FP60" s="561">
        <v>56</v>
      </c>
      <c r="FQ60" s="561">
        <v>327</v>
      </c>
      <c r="FR60" s="561">
        <v>0</v>
      </c>
      <c r="FS60" s="561">
        <v>0</v>
      </c>
      <c r="FT60" s="561">
        <v>447</v>
      </c>
      <c r="FU60" s="561">
        <v>771</v>
      </c>
      <c r="FV60" s="561">
        <v>378</v>
      </c>
      <c r="FW60" s="561">
        <v>0</v>
      </c>
      <c r="FX60" s="561">
        <v>0</v>
      </c>
      <c r="FY60" s="561">
        <v>0</v>
      </c>
      <c r="FZ60" s="561">
        <v>41</v>
      </c>
      <c r="GA60" s="561">
        <v>36</v>
      </c>
      <c r="GB60" s="561">
        <v>0</v>
      </c>
      <c r="GC60" s="561">
        <v>87</v>
      </c>
      <c r="GD60" s="561">
        <v>0</v>
      </c>
      <c r="GE60" s="561">
        <v>22</v>
      </c>
      <c r="GF60" s="561">
        <v>730</v>
      </c>
      <c r="GG60" s="561">
        <v>0</v>
      </c>
      <c r="GH60" s="561">
        <v>14</v>
      </c>
      <c r="GI60" s="561">
        <v>0</v>
      </c>
      <c r="GJ60" s="561">
        <v>0</v>
      </c>
      <c r="GK60" s="561">
        <v>0</v>
      </c>
      <c r="GL60" s="561">
        <v>504</v>
      </c>
      <c r="GM60" s="561">
        <v>1138</v>
      </c>
      <c r="GN60" s="561">
        <v>0</v>
      </c>
      <c r="GO60" s="561">
        <v>0</v>
      </c>
      <c r="GP60" s="561">
        <v>1343</v>
      </c>
      <c r="GQ60" s="561">
        <v>0</v>
      </c>
      <c r="GR60" s="561">
        <v>0</v>
      </c>
      <c r="GS60" s="561">
        <v>5838</v>
      </c>
      <c r="GT60" s="561">
        <v>151</v>
      </c>
      <c r="GU60" s="561">
        <v>164</v>
      </c>
      <c r="GV60" s="561">
        <v>543</v>
      </c>
      <c r="GW60" s="561">
        <v>0</v>
      </c>
      <c r="GX60" s="561">
        <v>190</v>
      </c>
      <c r="GY60" s="561">
        <v>0</v>
      </c>
      <c r="GZ60" s="561">
        <v>2443</v>
      </c>
      <c r="HA60" s="561">
        <v>0</v>
      </c>
      <c r="HB60" s="561">
        <v>0</v>
      </c>
      <c r="HC60" s="561">
        <v>0</v>
      </c>
      <c r="HD60" s="561">
        <v>3340</v>
      </c>
      <c r="HE60" s="561">
        <v>369</v>
      </c>
      <c r="HF60" s="561">
        <v>13559</v>
      </c>
      <c r="HG60" s="561">
        <v>576</v>
      </c>
      <c r="HH60" s="561">
        <v>0</v>
      </c>
      <c r="HI60" s="561">
        <v>0</v>
      </c>
      <c r="HJ60" s="561">
        <v>0</v>
      </c>
      <c r="HK60" s="561">
        <v>0</v>
      </c>
      <c r="HL60" s="561">
        <v>0</v>
      </c>
      <c r="HM60" s="561">
        <v>0</v>
      </c>
      <c r="HN60" s="561">
        <v>0</v>
      </c>
      <c r="HO60" s="561">
        <v>992</v>
      </c>
      <c r="HP60" s="561">
        <v>393</v>
      </c>
      <c r="HQ60" s="561">
        <v>0</v>
      </c>
      <c r="HR60" s="561">
        <v>0</v>
      </c>
      <c r="HS60" s="561">
        <v>0</v>
      </c>
      <c r="HT60" s="561">
        <v>393</v>
      </c>
      <c r="HU60" s="561">
        <v>0</v>
      </c>
      <c r="HV60" s="561">
        <v>0</v>
      </c>
      <c r="HW60" s="561">
        <v>204</v>
      </c>
      <c r="HX60" s="561">
        <v>177</v>
      </c>
      <c r="HY60" s="561">
        <v>3</v>
      </c>
      <c r="HZ60" s="561">
        <v>56</v>
      </c>
      <c r="IA60" s="561">
        <v>0</v>
      </c>
      <c r="IB60" s="561">
        <v>93</v>
      </c>
      <c r="IC60" s="561">
        <v>0</v>
      </c>
      <c r="ID60" s="561">
        <v>0</v>
      </c>
      <c r="IE60" s="561">
        <v>350</v>
      </c>
      <c r="IF60" s="561">
        <v>0</v>
      </c>
      <c r="IG60" s="561">
        <v>0</v>
      </c>
      <c r="IH60" s="561">
        <v>598</v>
      </c>
      <c r="II60" s="561">
        <v>3259</v>
      </c>
      <c r="IJ60" s="561">
        <v>859</v>
      </c>
      <c r="IK60" s="561">
        <v>14642</v>
      </c>
      <c r="IL60" s="561">
        <v>0</v>
      </c>
      <c r="IM60" s="561">
        <v>0</v>
      </c>
      <c r="IN60" s="561">
        <v>0</v>
      </c>
      <c r="IO60" s="561">
        <v>1760</v>
      </c>
      <c r="IP60" s="561">
        <v>0</v>
      </c>
      <c r="IQ60" s="561">
        <v>0</v>
      </c>
      <c r="IR60" s="561">
        <v>0</v>
      </c>
      <c r="IS60" s="561">
        <v>-177</v>
      </c>
      <c r="IT60" s="561">
        <v>0</v>
      </c>
      <c r="IU60" s="561">
        <v>0</v>
      </c>
      <c r="IV60" s="561">
        <v>0</v>
      </c>
      <c r="IW60" s="561">
        <v>2828</v>
      </c>
      <c r="IX60" s="561">
        <v>4381</v>
      </c>
      <c r="IY60" s="561">
        <v>5838</v>
      </c>
      <c r="IZ60" s="561">
        <v>3340</v>
      </c>
      <c r="JA60" s="561">
        <v>0</v>
      </c>
      <c r="JB60" s="561">
        <v>0</v>
      </c>
      <c r="JC60" s="561">
        <v>3259</v>
      </c>
      <c r="JD60" s="561">
        <v>0</v>
      </c>
      <c r="JE60" s="561">
        <v>19469</v>
      </c>
      <c r="JF60" s="561">
        <v>9416</v>
      </c>
      <c r="JG60" s="561">
        <v>0</v>
      </c>
      <c r="JH60" s="561">
        <v>7305</v>
      </c>
      <c r="JI60" s="561">
        <v>0</v>
      </c>
      <c r="JJ60" s="561">
        <v>49</v>
      </c>
      <c r="JK60" s="561">
        <v>874</v>
      </c>
      <c r="JL60" s="561">
        <v>0</v>
      </c>
      <c r="JM60" s="561">
        <v>0</v>
      </c>
      <c r="JN60" s="561">
        <v>0</v>
      </c>
      <c r="JO60" s="561">
        <v>7</v>
      </c>
      <c r="JP60" s="561">
        <v>193</v>
      </c>
      <c r="JQ60" s="561">
        <v>0</v>
      </c>
      <c r="JR60" s="561">
        <v>-78</v>
      </c>
      <c r="JS60" s="561">
        <v>0</v>
      </c>
      <c r="JT60" s="561">
        <v>-57</v>
      </c>
      <c r="JU60" s="561">
        <v>0</v>
      </c>
      <c r="JV60" s="561">
        <v>37178</v>
      </c>
      <c r="JW60" s="561">
        <v>0</v>
      </c>
      <c r="JX60" s="561">
        <v>1142</v>
      </c>
      <c r="JY60" s="561">
        <v>0</v>
      </c>
      <c r="JZ60" s="561">
        <v>0</v>
      </c>
      <c r="KA60" s="561">
        <v>0</v>
      </c>
      <c r="KB60" s="561">
        <v>-254</v>
      </c>
      <c r="KC60" s="561">
        <v>257</v>
      </c>
      <c r="KD60" s="561">
        <v>8</v>
      </c>
      <c r="KE60" s="561">
        <v>3181</v>
      </c>
      <c r="KF60" s="561">
        <v>-2728</v>
      </c>
      <c r="KG60" s="561">
        <v>38784</v>
      </c>
      <c r="KH60" s="561">
        <v>-2991</v>
      </c>
      <c r="KI60" s="561">
        <v>0</v>
      </c>
      <c r="KJ60" s="561">
        <v>0</v>
      </c>
      <c r="KK60" s="561">
        <v>0</v>
      </c>
      <c r="KL60" s="561">
        <v>-16304</v>
      </c>
      <c r="KM60" s="561">
        <v>0</v>
      </c>
      <c r="KN60" s="561">
        <v>-271</v>
      </c>
      <c r="KO60" s="561">
        <v>0</v>
      </c>
      <c r="KP60" s="561">
        <v>0</v>
      </c>
      <c r="KQ60" s="561">
        <v>0</v>
      </c>
      <c r="KR60" s="561">
        <v>19218</v>
      </c>
      <c r="KS60" s="561">
        <v>0</v>
      </c>
      <c r="KT60" s="561">
        <v>-4965</v>
      </c>
      <c r="KU60" s="561">
        <v>14253</v>
      </c>
      <c r="KV60" s="561">
        <v>0</v>
      </c>
      <c r="KW60" s="561">
        <v>0</v>
      </c>
      <c r="KX60" s="561">
        <v>0</v>
      </c>
      <c r="KY60" s="561">
        <v>0</v>
      </c>
      <c r="KZ60" s="561">
        <v>2009</v>
      </c>
      <c r="LA60" s="561">
        <v>797</v>
      </c>
      <c r="LB60" s="561">
        <v>-131</v>
      </c>
      <c r="LC60" s="561">
        <v>0</v>
      </c>
      <c r="LD60" s="561">
        <v>-8771</v>
      </c>
      <c r="LE60" s="561">
        <v>38</v>
      </c>
      <c r="LF60" s="561">
        <v>2</v>
      </c>
      <c r="LG60" s="561">
        <v>8197</v>
      </c>
      <c r="LH60" s="561">
        <v>0</v>
      </c>
      <c r="LI60" s="561">
        <v>0</v>
      </c>
      <c r="LJ60" s="561">
        <v>0</v>
      </c>
      <c r="LK60" s="561">
        <v>0</v>
      </c>
      <c r="LL60" s="561">
        <v>19931</v>
      </c>
      <c r="LM60" s="561">
        <v>1469</v>
      </c>
      <c r="LN60" s="561">
        <v>0</v>
      </c>
      <c r="LO60" s="561">
        <v>0</v>
      </c>
      <c r="LP60" s="561">
        <v>0</v>
      </c>
      <c r="LQ60" s="561">
        <v>0</v>
      </c>
      <c r="LR60" s="561">
        <v>21940</v>
      </c>
      <c r="LS60" s="561">
        <v>2266</v>
      </c>
      <c r="LT60" s="561">
        <v>0</v>
      </c>
      <c r="LU60" s="561">
        <v>2462</v>
      </c>
      <c r="LV60" s="561">
        <v>1122</v>
      </c>
      <c r="LW60" s="561">
        <v>0</v>
      </c>
      <c r="LX60" s="561">
        <v>0</v>
      </c>
      <c r="LY60" s="561">
        <v>1700</v>
      </c>
      <c r="LZ60" s="561">
        <v>5284</v>
      </c>
      <c r="MA60" s="561">
        <v>0</v>
      </c>
      <c r="MB60" s="561">
        <v>0</v>
      </c>
      <c r="MC60" s="561">
        <v>25099</v>
      </c>
      <c r="MD60" s="561">
        <v>25000</v>
      </c>
      <c r="ME60" s="561">
        <v>99</v>
      </c>
      <c r="MF60" s="561" t="s">
        <v>4582</v>
      </c>
      <c r="MG60" s="561" t="s">
        <v>4582</v>
      </c>
      <c r="MH60" s="561">
        <v>3409</v>
      </c>
      <c r="MI60" s="561">
        <v>5260</v>
      </c>
      <c r="MJ60" s="561">
        <v>8669</v>
      </c>
      <c r="MK60" s="561">
        <v>0</v>
      </c>
      <c r="ML60" s="561">
        <v>482</v>
      </c>
      <c r="MM60" s="561">
        <v>12392</v>
      </c>
      <c r="MN60" s="561">
        <v>2169</v>
      </c>
      <c r="MO60" s="561">
        <v>2251</v>
      </c>
      <c r="MP60" s="561">
        <v>4646</v>
      </c>
      <c r="MQ60" s="561">
        <v>0</v>
      </c>
      <c r="MR60" s="561">
        <v>-177</v>
      </c>
      <c r="MS60" s="561">
        <v>0</v>
      </c>
      <c r="MT60" s="561">
        <v>0</v>
      </c>
      <c r="MU60" s="561">
        <v>0</v>
      </c>
      <c r="MV60" s="561">
        <v>2828</v>
      </c>
      <c r="MW60" s="561">
        <v>4381</v>
      </c>
      <c r="MX60" s="561">
        <v>5838</v>
      </c>
      <c r="MY60" s="561">
        <v>3340</v>
      </c>
      <c r="MZ60" s="561">
        <v>0</v>
      </c>
      <c r="NA60" s="561">
        <v>0</v>
      </c>
      <c r="NB60" s="561">
        <v>3259</v>
      </c>
      <c r="NC60" s="561">
        <v>0</v>
      </c>
      <c r="ND60" s="561">
        <v>19469</v>
      </c>
      <c r="NE60" s="561">
        <v>0</v>
      </c>
      <c r="NF60" s="561">
        <v>0</v>
      </c>
      <c r="NG60" s="561">
        <v>0</v>
      </c>
      <c r="NH60" s="561">
        <v>0</v>
      </c>
      <c r="NI60" s="561">
        <v>0</v>
      </c>
      <c r="NJ60" s="561">
        <v>0</v>
      </c>
      <c r="NK60" s="561">
        <v>0</v>
      </c>
      <c r="NL60" s="561">
        <v>0</v>
      </c>
      <c r="NM60" s="561">
        <v>0</v>
      </c>
      <c r="NN60" s="561">
        <v>0</v>
      </c>
      <c r="NO60" s="561">
        <v>0</v>
      </c>
      <c r="NP60" s="561">
        <v>0</v>
      </c>
      <c r="NQ60" s="561">
        <v>0</v>
      </c>
      <c r="NR60" s="561">
        <v>0</v>
      </c>
      <c r="NS60" s="561">
        <v>0</v>
      </c>
      <c r="NT60" s="561">
        <v>0</v>
      </c>
      <c r="NU60" s="561">
        <v>0</v>
      </c>
      <c r="NV60" s="561">
        <v>0</v>
      </c>
      <c r="NW60" s="561">
        <v>115</v>
      </c>
      <c r="NX60" s="561">
        <v>78</v>
      </c>
      <c r="NY60" s="561">
        <v>193</v>
      </c>
      <c r="NZ60" s="561">
        <v>0</v>
      </c>
      <c r="OA60" s="561">
        <v>0</v>
      </c>
      <c r="OB60" s="561">
        <v>0</v>
      </c>
      <c r="OC60" s="561">
        <v>0</v>
      </c>
      <c r="OD60" s="561">
        <v>0</v>
      </c>
      <c r="OE60" s="561">
        <v>0</v>
      </c>
      <c r="OF60" s="561">
        <v>0</v>
      </c>
      <c r="OG60" s="561">
        <v>0</v>
      </c>
      <c r="OH60" s="561">
        <v>0</v>
      </c>
      <c r="OI60" s="561">
        <v>0</v>
      </c>
      <c r="OJ60" s="561">
        <v>0</v>
      </c>
      <c r="OK60" s="561">
        <v>0</v>
      </c>
      <c r="OL60" s="561">
        <v>0</v>
      </c>
      <c r="OM60" s="561">
        <v>0</v>
      </c>
      <c r="ON60" s="561">
        <v>0</v>
      </c>
      <c r="OO60" s="561">
        <v>0</v>
      </c>
      <c r="OP60" s="561">
        <v>0</v>
      </c>
      <c r="OQ60" s="561">
        <v>0</v>
      </c>
      <c r="OR60" s="561">
        <v>0</v>
      </c>
      <c r="OS60" s="561">
        <v>0</v>
      </c>
      <c r="OT60" s="561">
        <v>0</v>
      </c>
      <c r="OU60" s="561">
        <v>0</v>
      </c>
      <c r="OV60" s="561">
        <v>0</v>
      </c>
      <c r="OW60" s="561">
        <v>0</v>
      </c>
      <c r="OX60" s="561">
        <v>0</v>
      </c>
      <c r="OY60" s="561">
        <v>78</v>
      </c>
      <c r="OZ60" s="561">
        <v>0</v>
      </c>
      <c r="PA60" s="561">
        <v>0</v>
      </c>
      <c r="PB60" s="561">
        <v>0</v>
      </c>
      <c r="PC60" s="561">
        <v>0</v>
      </c>
      <c r="PD60" s="561">
        <v>78</v>
      </c>
      <c r="PE60" s="561">
        <v>0</v>
      </c>
      <c r="PF60" s="561">
        <v>0</v>
      </c>
      <c r="PG60" s="561">
        <v>0</v>
      </c>
      <c r="PH60" s="561">
        <v>0</v>
      </c>
      <c r="PI60" s="561">
        <v>0</v>
      </c>
      <c r="PJ60" s="561">
        <v>0</v>
      </c>
    </row>
    <row r="61" spans="1:426" ht="14" x14ac:dyDescent="0.3">
      <c r="A61" t="s">
        <v>2612</v>
      </c>
      <c r="B61" t="s">
        <v>2613</v>
      </c>
      <c r="C61" t="s">
        <v>2614</v>
      </c>
      <c r="E61" t="s">
        <v>384</v>
      </c>
      <c r="F61" s="561">
        <v>0</v>
      </c>
      <c r="G61" s="561">
        <v>0</v>
      </c>
      <c r="H61" s="561">
        <v>0</v>
      </c>
      <c r="I61" s="561">
        <v>0</v>
      </c>
      <c r="J61" s="561">
        <v>0</v>
      </c>
      <c r="K61" s="561">
        <v>0</v>
      </c>
      <c r="L61" s="561">
        <v>0</v>
      </c>
      <c r="M61" s="561">
        <v>0</v>
      </c>
      <c r="N61" s="561">
        <v>0</v>
      </c>
      <c r="O61" s="561">
        <v>0</v>
      </c>
      <c r="P61" s="561">
        <v>0</v>
      </c>
      <c r="Q61" s="561">
        <v>0</v>
      </c>
      <c r="R61" s="561">
        <v>0</v>
      </c>
      <c r="S61" s="561">
        <v>0</v>
      </c>
      <c r="T61" s="561">
        <v>84</v>
      </c>
      <c r="U61" s="561">
        <v>0</v>
      </c>
      <c r="V61" s="561">
        <v>11</v>
      </c>
      <c r="W61" s="561">
        <v>0</v>
      </c>
      <c r="X61" s="561">
        <v>0</v>
      </c>
      <c r="Y61" s="561">
        <v>0</v>
      </c>
      <c r="Z61" s="561">
        <v>-26</v>
      </c>
      <c r="AA61" s="561">
        <v>-225</v>
      </c>
      <c r="AB61" s="561">
        <v>-6877</v>
      </c>
      <c r="AC61" s="561">
        <v>0</v>
      </c>
      <c r="AD61" s="561">
        <v>0</v>
      </c>
      <c r="AE61" s="561">
        <v>0</v>
      </c>
      <c r="AF61" s="561">
        <v>0</v>
      </c>
      <c r="AG61" s="561">
        <v>0</v>
      </c>
      <c r="AH61" s="561">
        <v>13</v>
      </c>
      <c r="AI61" s="561">
        <v>-763</v>
      </c>
      <c r="AJ61" s="561">
        <v>-7783</v>
      </c>
      <c r="AK61" s="561">
        <v>1</v>
      </c>
      <c r="AL61" s="561">
        <v>0</v>
      </c>
      <c r="AM61" s="561">
        <v>0</v>
      </c>
      <c r="AN61" s="561">
        <v>0</v>
      </c>
      <c r="AO61" s="561">
        <v>0</v>
      </c>
      <c r="AP61" s="561">
        <v>0</v>
      </c>
      <c r="AQ61" s="561">
        <v>0</v>
      </c>
      <c r="AR61" s="561">
        <v>0</v>
      </c>
      <c r="AS61" s="561">
        <v>558</v>
      </c>
      <c r="AT61" s="561">
        <v>830</v>
      </c>
      <c r="AU61" s="561">
        <v>0</v>
      </c>
      <c r="AV61" s="561">
        <v>0</v>
      </c>
      <c r="AW61" s="561">
        <v>0</v>
      </c>
      <c r="AX61" s="561">
        <v>0</v>
      </c>
      <c r="AY61" s="561">
        <v>0</v>
      </c>
      <c r="AZ61" s="561">
        <v>0</v>
      </c>
      <c r="BA61" s="561">
        <v>0</v>
      </c>
      <c r="BB61" s="561">
        <v>0</v>
      </c>
      <c r="BC61" s="561">
        <v>0</v>
      </c>
      <c r="BD61" s="561">
        <v>0</v>
      </c>
      <c r="BE61" s="561">
        <v>0</v>
      </c>
      <c r="BF61" s="561">
        <v>0</v>
      </c>
      <c r="BG61" s="561">
        <v>0</v>
      </c>
      <c r="BH61" s="561">
        <v>0</v>
      </c>
      <c r="BI61" s="561">
        <v>0</v>
      </c>
      <c r="BJ61" s="561">
        <v>0</v>
      </c>
      <c r="BK61" s="561">
        <v>0</v>
      </c>
      <c r="BL61" s="561">
        <v>0</v>
      </c>
      <c r="BM61" s="561">
        <v>0</v>
      </c>
      <c r="BN61" s="561">
        <v>0</v>
      </c>
      <c r="BO61" s="561">
        <v>0</v>
      </c>
      <c r="BP61" s="561">
        <v>0</v>
      </c>
      <c r="BQ61" s="561">
        <v>0</v>
      </c>
      <c r="BR61" s="561">
        <v>0</v>
      </c>
      <c r="BS61" s="561">
        <v>0</v>
      </c>
      <c r="BT61" s="561">
        <v>0</v>
      </c>
      <c r="BU61" s="561">
        <v>0</v>
      </c>
      <c r="BV61" s="561">
        <v>0</v>
      </c>
      <c r="BW61" s="561">
        <v>0</v>
      </c>
      <c r="BX61" s="561">
        <v>0</v>
      </c>
      <c r="BY61" s="561">
        <v>0</v>
      </c>
      <c r="BZ61" s="561">
        <v>0</v>
      </c>
      <c r="CA61" s="561">
        <v>0</v>
      </c>
      <c r="CB61" s="561">
        <v>0</v>
      </c>
      <c r="CC61" s="561">
        <v>0</v>
      </c>
      <c r="CD61" s="561">
        <v>0</v>
      </c>
      <c r="CE61" s="561">
        <v>0</v>
      </c>
      <c r="CF61" s="561">
        <v>0</v>
      </c>
      <c r="CG61" s="561">
        <v>0</v>
      </c>
      <c r="CH61" s="561">
        <v>0</v>
      </c>
      <c r="CI61" s="561">
        <v>0</v>
      </c>
      <c r="CJ61" s="561">
        <v>0</v>
      </c>
      <c r="CK61" s="561">
        <v>0</v>
      </c>
      <c r="CL61" s="561">
        <v>0</v>
      </c>
      <c r="CM61" s="561">
        <v>0</v>
      </c>
      <c r="CN61" s="561">
        <v>0</v>
      </c>
      <c r="CO61" s="561">
        <v>0</v>
      </c>
      <c r="CP61" s="561">
        <v>0</v>
      </c>
      <c r="CQ61" s="561">
        <v>0</v>
      </c>
      <c r="CR61" s="561">
        <v>0</v>
      </c>
      <c r="CS61" s="561">
        <v>0</v>
      </c>
      <c r="CT61" s="561">
        <v>0</v>
      </c>
      <c r="CU61" s="561">
        <v>0</v>
      </c>
      <c r="CV61" s="561">
        <v>0</v>
      </c>
      <c r="CW61" s="561">
        <v>0</v>
      </c>
      <c r="CX61" s="561">
        <v>0</v>
      </c>
      <c r="CY61" s="561">
        <v>0</v>
      </c>
      <c r="CZ61" s="561">
        <v>0</v>
      </c>
      <c r="DA61" s="561">
        <v>0</v>
      </c>
      <c r="DB61" s="561">
        <v>0</v>
      </c>
      <c r="DC61" s="561">
        <v>0</v>
      </c>
      <c r="DD61" s="561">
        <v>0</v>
      </c>
      <c r="DE61" s="561">
        <v>0</v>
      </c>
      <c r="DF61" s="561">
        <v>0</v>
      </c>
      <c r="DG61" s="561">
        <v>0</v>
      </c>
      <c r="DH61" s="561">
        <v>41</v>
      </c>
      <c r="DI61" s="561">
        <v>0</v>
      </c>
      <c r="DJ61" s="561">
        <v>16</v>
      </c>
      <c r="DK61" s="561">
        <v>0</v>
      </c>
      <c r="DL61" s="561">
        <v>0</v>
      </c>
      <c r="DM61" s="561">
        <v>0</v>
      </c>
      <c r="DN61" s="561">
        <v>0</v>
      </c>
      <c r="DO61" s="561">
        <v>3440</v>
      </c>
      <c r="DP61" s="561">
        <v>0</v>
      </c>
      <c r="DQ61" s="561">
        <v>25</v>
      </c>
      <c r="DR61" s="561">
        <v>0</v>
      </c>
      <c r="DS61" s="561">
        <v>70</v>
      </c>
      <c r="DT61" s="561">
        <v>7</v>
      </c>
      <c r="DU61" s="561">
        <v>3542</v>
      </c>
      <c r="DV61" s="561">
        <v>172</v>
      </c>
      <c r="DW61" s="561">
        <v>0</v>
      </c>
      <c r="DX61" s="561">
        <v>21</v>
      </c>
      <c r="DY61" s="561">
        <v>844</v>
      </c>
      <c r="DZ61" s="561">
        <v>0</v>
      </c>
      <c r="EA61" s="561">
        <v>-392</v>
      </c>
      <c r="EB61" s="561">
        <v>0</v>
      </c>
      <c r="EC61" s="561">
        <v>4244</v>
      </c>
      <c r="ED61" s="561">
        <v>0</v>
      </c>
      <c r="EE61" s="561">
        <v>28203</v>
      </c>
      <c r="EF61" s="561">
        <v>611</v>
      </c>
      <c r="EG61" s="561">
        <v>2383</v>
      </c>
      <c r="EH61" s="561">
        <v>221</v>
      </c>
      <c r="EI61" s="561">
        <v>1373</v>
      </c>
      <c r="EJ61" s="561">
        <v>142</v>
      </c>
      <c r="EK61" s="561">
        <v>0</v>
      </c>
      <c r="EL61" s="561">
        <v>17642</v>
      </c>
      <c r="EM61" s="561">
        <v>0</v>
      </c>
      <c r="EN61" s="561">
        <v>8358</v>
      </c>
      <c r="EO61" s="561">
        <v>5037</v>
      </c>
      <c r="EP61" s="561">
        <v>2661</v>
      </c>
      <c r="EQ61" s="561">
        <v>1113</v>
      </c>
      <c r="ER61" s="561">
        <v>1552</v>
      </c>
      <c r="ES61" s="561" t="s">
        <v>4565</v>
      </c>
      <c r="ET61" s="561">
        <v>4541</v>
      </c>
      <c r="EU61" s="561">
        <v>0</v>
      </c>
      <c r="EV61" s="561">
        <v>24</v>
      </c>
      <c r="EW61" s="561">
        <v>0</v>
      </c>
      <c r="EX61" s="561">
        <v>19611</v>
      </c>
      <c r="EY61" s="561">
        <v>193</v>
      </c>
      <c r="EZ61" s="561">
        <v>7485</v>
      </c>
      <c r="FA61" s="561">
        <v>815</v>
      </c>
      <c r="FB61" s="561">
        <v>30</v>
      </c>
      <c r="FC61" s="561">
        <v>23</v>
      </c>
      <c r="FD61" s="561">
        <v>28</v>
      </c>
      <c r="FE61" s="561">
        <v>1079</v>
      </c>
      <c r="FF61" s="561">
        <v>95</v>
      </c>
      <c r="FG61" s="561">
        <v>319</v>
      </c>
      <c r="FH61" s="561">
        <v>222</v>
      </c>
      <c r="FI61" s="561">
        <v>0</v>
      </c>
      <c r="FJ61" s="561">
        <v>-87</v>
      </c>
      <c r="FK61" s="561">
        <v>1382</v>
      </c>
      <c r="FL61" s="561">
        <v>0</v>
      </c>
      <c r="FM61" s="561">
        <v>11</v>
      </c>
      <c r="FN61" s="561">
        <v>0</v>
      </c>
      <c r="FO61" s="561">
        <v>3102</v>
      </c>
      <c r="FP61" s="561">
        <v>6</v>
      </c>
      <c r="FQ61" s="561">
        <v>377</v>
      </c>
      <c r="FR61" s="561">
        <v>0</v>
      </c>
      <c r="FS61" s="561">
        <v>0</v>
      </c>
      <c r="FT61" s="561">
        <v>9</v>
      </c>
      <c r="FU61" s="561">
        <v>51</v>
      </c>
      <c r="FV61" s="561">
        <v>0</v>
      </c>
      <c r="FW61" s="561">
        <v>8</v>
      </c>
      <c r="FX61" s="561">
        <v>0</v>
      </c>
      <c r="FY61" s="561">
        <v>0</v>
      </c>
      <c r="FZ61" s="561">
        <v>0</v>
      </c>
      <c r="GA61" s="561">
        <v>606</v>
      </c>
      <c r="GB61" s="561">
        <v>47</v>
      </c>
      <c r="GC61" s="561">
        <v>-336</v>
      </c>
      <c r="GD61" s="561">
        <v>0</v>
      </c>
      <c r="GE61" s="561">
        <v>352</v>
      </c>
      <c r="GF61" s="561">
        <v>741</v>
      </c>
      <c r="GG61" s="561">
        <v>3</v>
      </c>
      <c r="GH61" s="561">
        <v>0</v>
      </c>
      <c r="GI61" s="561">
        <v>167</v>
      </c>
      <c r="GJ61" s="561">
        <v>304</v>
      </c>
      <c r="GK61" s="561">
        <v>0</v>
      </c>
      <c r="GL61" s="561">
        <v>3185</v>
      </c>
      <c r="GM61" s="561">
        <v>1782</v>
      </c>
      <c r="GN61" s="561">
        <v>0</v>
      </c>
      <c r="GO61" s="561">
        <v>0</v>
      </c>
      <c r="GP61" s="561">
        <v>980</v>
      </c>
      <c r="GQ61" s="561">
        <v>0</v>
      </c>
      <c r="GR61" s="561">
        <v>0</v>
      </c>
      <c r="GS61" s="561">
        <v>8276</v>
      </c>
      <c r="GT61" s="561">
        <v>0</v>
      </c>
      <c r="GU61" s="561">
        <v>88</v>
      </c>
      <c r="GV61" s="561">
        <v>-98</v>
      </c>
      <c r="GW61" s="561">
        <v>313</v>
      </c>
      <c r="GX61" s="561">
        <v>589</v>
      </c>
      <c r="GY61" s="561">
        <v>0</v>
      </c>
      <c r="GZ61" s="561">
        <v>-15</v>
      </c>
      <c r="HA61" s="561">
        <v>0</v>
      </c>
      <c r="HB61" s="561">
        <v>0</v>
      </c>
      <c r="HC61" s="561">
        <v>3063</v>
      </c>
      <c r="HD61" s="561">
        <v>3940</v>
      </c>
      <c r="HE61" s="561">
        <v>0</v>
      </c>
      <c r="HF61" s="561">
        <v>15318</v>
      </c>
      <c r="HG61" s="561">
        <v>0</v>
      </c>
      <c r="HH61" s="561">
        <v>0</v>
      </c>
      <c r="HI61" s="561">
        <v>0</v>
      </c>
      <c r="HJ61" s="561">
        <v>0</v>
      </c>
      <c r="HK61" s="561">
        <v>0</v>
      </c>
      <c r="HL61" s="561">
        <v>0</v>
      </c>
      <c r="HM61" s="561">
        <v>0</v>
      </c>
      <c r="HN61" s="561">
        <v>0</v>
      </c>
      <c r="HO61" s="561">
        <v>39</v>
      </c>
      <c r="HP61" s="561">
        <v>301</v>
      </c>
      <c r="HQ61" s="561">
        <v>0</v>
      </c>
      <c r="HR61" s="561">
        <v>0</v>
      </c>
      <c r="HS61" s="561">
        <v>704</v>
      </c>
      <c r="HT61" s="561">
        <v>-19</v>
      </c>
      <c r="HU61" s="561">
        <v>0</v>
      </c>
      <c r="HV61" s="561">
        <v>0</v>
      </c>
      <c r="HW61" s="561">
        <v>344</v>
      </c>
      <c r="HX61" s="561">
        <v>0</v>
      </c>
      <c r="HY61" s="561">
        <v>5</v>
      </c>
      <c r="HZ61" s="561">
        <v>75</v>
      </c>
      <c r="IA61" s="561">
        <v>0</v>
      </c>
      <c r="IB61" s="561">
        <v>0</v>
      </c>
      <c r="IC61" s="561">
        <v>0</v>
      </c>
      <c r="ID61" s="561">
        <v>0</v>
      </c>
      <c r="IE61" s="561">
        <v>1414</v>
      </c>
      <c r="IF61" s="561">
        <v>0</v>
      </c>
      <c r="IG61" s="561">
        <v>0</v>
      </c>
      <c r="IH61" s="561">
        <v>10645</v>
      </c>
      <c r="II61" s="561">
        <v>13508</v>
      </c>
      <c r="IJ61" s="561">
        <v>214</v>
      </c>
      <c r="IK61" s="561">
        <v>304</v>
      </c>
      <c r="IL61" s="561">
        <v>0</v>
      </c>
      <c r="IM61" s="561">
        <v>0</v>
      </c>
      <c r="IN61" s="561">
        <v>2429</v>
      </c>
      <c r="IO61" s="561">
        <v>217</v>
      </c>
      <c r="IP61" s="561">
        <v>84</v>
      </c>
      <c r="IQ61" s="561">
        <v>0</v>
      </c>
      <c r="IR61" s="561">
        <v>0</v>
      </c>
      <c r="IS61" s="561">
        <v>-7783</v>
      </c>
      <c r="IT61" s="561">
        <v>0</v>
      </c>
      <c r="IU61" s="561">
        <v>0</v>
      </c>
      <c r="IV61" s="561">
        <v>0</v>
      </c>
      <c r="IW61" s="561">
        <v>4244</v>
      </c>
      <c r="IX61" s="561">
        <v>3102</v>
      </c>
      <c r="IY61" s="561">
        <v>8276</v>
      </c>
      <c r="IZ61" s="561">
        <v>3940</v>
      </c>
      <c r="JA61" s="561">
        <v>0</v>
      </c>
      <c r="JB61" s="561">
        <v>0</v>
      </c>
      <c r="JC61" s="561">
        <v>13508</v>
      </c>
      <c r="JD61" s="561">
        <v>84</v>
      </c>
      <c r="JE61" s="561">
        <v>25371</v>
      </c>
      <c r="JF61" s="561">
        <v>16444</v>
      </c>
      <c r="JG61" s="561">
        <v>1137</v>
      </c>
      <c r="JH61" s="561">
        <v>10339</v>
      </c>
      <c r="JI61" s="561">
        <v>0</v>
      </c>
      <c r="JJ61" s="561">
        <v>0</v>
      </c>
      <c r="JK61" s="561">
        <v>971</v>
      </c>
      <c r="JL61" s="561">
        <v>0</v>
      </c>
      <c r="JM61" s="561">
        <v>0</v>
      </c>
      <c r="JN61" s="561">
        <v>0</v>
      </c>
      <c r="JO61" s="561">
        <v>0</v>
      </c>
      <c r="JP61" s="561">
        <v>-9968</v>
      </c>
      <c r="JQ61" s="561">
        <v>0</v>
      </c>
      <c r="JR61" s="561">
        <v>0</v>
      </c>
      <c r="JS61" s="561">
        <v>0</v>
      </c>
      <c r="JT61" s="561">
        <v>0</v>
      </c>
      <c r="JU61" s="561">
        <v>0</v>
      </c>
      <c r="JV61" s="561">
        <v>44294</v>
      </c>
      <c r="JW61" s="561">
        <v>0</v>
      </c>
      <c r="JX61" s="561">
        <v>0</v>
      </c>
      <c r="JY61" s="561">
        <v>0</v>
      </c>
      <c r="JZ61" s="561">
        <v>0</v>
      </c>
      <c r="KA61" s="561">
        <v>0</v>
      </c>
      <c r="KB61" s="561">
        <v>-125</v>
      </c>
      <c r="KC61" s="561">
        <v>9069</v>
      </c>
      <c r="KD61" s="561">
        <v>0</v>
      </c>
      <c r="KE61" s="561">
        <v>5033</v>
      </c>
      <c r="KF61" s="561">
        <v>-18</v>
      </c>
      <c r="KG61" s="561">
        <v>58253</v>
      </c>
      <c r="KH61" s="561">
        <v>-1125</v>
      </c>
      <c r="KI61" s="561">
        <v>0</v>
      </c>
      <c r="KJ61" s="561">
        <v>0</v>
      </c>
      <c r="KK61" s="561">
        <v>0</v>
      </c>
      <c r="KL61" s="561">
        <v>-27828</v>
      </c>
      <c r="KM61" s="561">
        <v>0</v>
      </c>
      <c r="KN61" s="561">
        <v>-709</v>
      </c>
      <c r="KO61" s="561">
        <v>0</v>
      </c>
      <c r="KP61" s="561">
        <v>0</v>
      </c>
      <c r="KQ61" s="561">
        <v>0</v>
      </c>
      <c r="KR61" s="561">
        <v>28591</v>
      </c>
      <c r="KS61" s="561">
        <v>0</v>
      </c>
      <c r="KT61" s="561">
        <v>-7366</v>
      </c>
      <c r="KU61" s="561">
        <v>21225</v>
      </c>
      <c r="KV61" s="561">
        <v>0</v>
      </c>
      <c r="KW61" s="561">
        <v>0</v>
      </c>
      <c r="KX61" s="561">
        <v>0</v>
      </c>
      <c r="KY61" s="561">
        <v>0</v>
      </c>
      <c r="KZ61" s="561">
        <v>1773</v>
      </c>
      <c r="LA61" s="561">
        <v>18</v>
      </c>
      <c r="LB61" s="561">
        <v>-207</v>
      </c>
      <c r="LC61" s="561">
        <v>0</v>
      </c>
      <c r="LD61" s="561">
        <v>-8625</v>
      </c>
      <c r="LE61" s="561">
        <v>-413</v>
      </c>
      <c r="LF61" s="561">
        <v>0</v>
      </c>
      <c r="LG61" s="561">
        <v>13769</v>
      </c>
      <c r="LH61" s="561">
        <v>0</v>
      </c>
      <c r="LI61" s="561">
        <v>0</v>
      </c>
      <c r="LJ61" s="561">
        <v>0</v>
      </c>
      <c r="LK61" s="561">
        <v>0</v>
      </c>
      <c r="LL61" s="561">
        <v>31871</v>
      </c>
      <c r="LM61" s="561">
        <v>2052</v>
      </c>
      <c r="LN61" s="561">
        <v>0</v>
      </c>
      <c r="LO61" s="561">
        <v>0</v>
      </c>
      <c r="LP61" s="561">
        <v>0</v>
      </c>
      <c r="LQ61" s="561">
        <v>0</v>
      </c>
      <c r="LR61" s="561">
        <v>33644</v>
      </c>
      <c r="LS61" s="561">
        <v>2070</v>
      </c>
      <c r="LT61" s="561">
        <v>0</v>
      </c>
      <c r="LU61" s="561">
        <v>8261</v>
      </c>
      <c r="LV61" s="561">
        <v>0</v>
      </c>
      <c r="LW61" s="561">
        <v>0</v>
      </c>
      <c r="LX61" s="561">
        <v>-1823</v>
      </c>
      <c r="LY61" s="561">
        <v>3916</v>
      </c>
      <c r="LZ61" s="561">
        <v>10354</v>
      </c>
      <c r="MA61" s="561">
        <v>0</v>
      </c>
      <c r="MB61" s="561">
        <v>0</v>
      </c>
      <c r="MC61" s="561">
        <v>50575</v>
      </c>
      <c r="MD61" s="561">
        <v>43090</v>
      </c>
      <c r="ME61" s="561">
        <v>7485</v>
      </c>
      <c r="MF61" s="561">
        <v>815</v>
      </c>
      <c r="MG61" s="561">
        <v>8300</v>
      </c>
      <c r="MH61" s="561">
        <v>4748</v>
      </c>
      <c r="MI61" s="561">
        <v>6606</v>
      </c>
      <c r="MJ61" s="561">
        <v>11354</v>
      </c>
      <c r="MK61" s="561">
        <v>0</v>
      </c>
      <c r="ML61" s="561">
        <v>0</v>
      </c>
      <c r="MM61" s="561">
        <v>4769</v>
      </c>
      <c r="MN61" s="561">
        <v>839</v>
      </c>
      <c r="MO61" s="561">
        <v>20640</v>
      </c>
      <c r="MP61" s="561">
        <v>7396</v>
      </c>
      <c r="MQ61" s="561">
        <v>0</v>
      </c>
      <c r="MR61" s="561">
        <v>-7783</v>
      </c>
      <c r="MS61" s="561">
        <v>0</v>
      </c>
      <c r="MT61" s="561">
        <v>0</v>
      </c>
      <c r="MU61" s="561">
        <v>0</v>
      </c>
      <c r="MV61" s="561">
        <v>4244</v>
      </c>
      <c r="MW61" s="561">
        <v>3102</v>
      </c>
      <c r="MX61" s="561">
        <v>8276</v>
      </c>
      <c r="MY61" s="561">
        <v>3940</v>
      </c>
      <c r="MZ61" s="561">
        <v>0</v>
      </c>
      <c r="NA61" s="561">
        <v>0</v>
      </c>
      <c r="NB61" s="561">
        <v>13508</v>
      </c>
      <c r="NC61" s="561">
        <v>84</v>
      </c>
      <c r="ND61" s="561">
        <v>25371</v>
      </c>
      <c r="NE61" s="561">
        <v>0</v>
      </c>
      <c r="NF61" s="561">
        <v>0</v>
      </c>
      <c r="NG61" s="561">
        <v>0</v>
      </c>
      <c r="NH61" s="561">
        <v>0</v>
      </c>
      <c r="NI61" s="561">
        <v>0</v>
      </c>
      <c r="NJ61" s="561">
        <v>0</v>
      </c>
      <c r="NK61" s="561">
        <v>0</v>
      </c>
      <c r="NL61" s="561">
        <v>0</v>
      </c>
      <c r="NM61" s="561">
        <v>0</v>
      </c>
      <c r="NN61" s="561">
        <v>0</v>
      </c>
      <c r="NO61" s="561">
        <v>0</v>
      </c>
      <c r="NP61" s="561">
        <v>0</v>
      </c>
      <c r="NQ61" s="561">
        <v>0</v>
      </c>
      <c r="NR61" s="561">
        <v>0</v>
      </c>
      <c r="NS61" s="561">
        <v>-8537</v>
      </c>
      <c r="NT61" s="561">
        <v>-1235</v>
      </c>
      <c r="NU61" s="561">
        <v>-250</v>
      </c>
      <c r="NV61" s="561">
        <v>54</v>
      </c>
      <c r="NW61" s="561">
        <v>-9968</v>
      </c>
      <c r="NX61" s="561">
        <v>0</v>
      </c>
      <c r="NY61" s="561">
        <v>-9968</v>
      </c>
      <c r="NZ61" s="561">
        <v>0</v>
      </c>
      <c r="OA61" s="561">
        <v>0</v>
      </c>
      <c r="OB61" s="561">
        <v>0</v>
      </c>
      <c r="OC61" s="561">
        <v>0</v>
      </c>
      <c r="OD61" s="561">
        <v>0</v>
      </c>
      <c r="OE61" s="561">
        <v>0</v>
      </c>
      <c r="OF61" s="561">
        <v>0</v>
      </c>
      <c r="OG61" s="561">
        <v>0</v>
      </c>
      <c r="OH61" s="561">
        <v>0</v>
      </c>
      <c r="OI61" s="561">
        <v>0</v>
      </c>
      <c r="OJ61" s="561">
        <v>0</v>
      </c>
      <c r="OK61" s="561">
        <v>0</v>
      </c>
      <c r="OL61" s="561">
        <v>0</v>
      </c>
      <c r="OM61" s="561">
        <v>0</v>
      </c>
      <c r="ON61" s="561">
        <v>0</v>
      </c>
      <c r="OO61" s="561">
        <v>0</v>
      </c>
      <c r="OP61" s="561">
        <v>0</v>
      </c>
      <c r="OQ61" s="561">
        <v>0</v>
      </c>
      <c r="OR61" s="561">
        <v>0</v>
      </c>
      <c r="OS61" s="561">
        <v>0</v>
      </c>
      <c r="OT61" s="561">
        <v>0</v>
      </c>
      <c r="OU61" s="561">
        <v>0</v>
      </c>
      <c r="OV61" s="561">
        <v>0</v>
      </c>
      <c r="OW61" s="561">
        <v>0</v>
      </c>
      <c r="OX61" s="561">
        <v>0</v>
      </c>
      <c r="OY61" s="561">
        <v>0</v>
      </c>
      <c r="OZ61" s="561">
        <v>0</v>
      </c>
      <c r="PA61" s="561">
        <v>0</v>
      </c>
      <c r="PB61" s="561">
        <v>0</v>
      </c>
      <c r="PC61" s="561">
        <v>0</v>
      </c>
      <c r="PD61" s="561">
        <v>0</v>
      </c>
      <c r="PE61" s="561">
        <v>0</v>
      </c>
      <c r="PF61" s="561">
        <v>0</v>
      </c>
      <c r="PG61" s="561">
        <v>0</v>
      </c>
      <c r="PH61" s="561">
        <v>0</v>
      </c>
      <c r="PI61" s="561">
        <v>0</v>
      </c>
      <c r="PJ61" s="561">
        <v>0</v>
      </c>
    </row>
    <row r="62" spans="1:426" ht="14" x14ac:dyDescent="0.3">
      <c r="A62" t="s">
        <v>2615</v>
      </c>
      <c r="B62" t="s">
        <v>2616</v>
      </c>
      <c r="C62" t="s">
        <v>2617</v>
      </c>
      <c r="E62" t="s">
        <v>384</v>
      </c>
      <c r="F62" s="561">
        <v>0</v>
      </c>
      <c r="G62" s="561">
        <v>0</v>
      </c>
      <c r="H62" s="561">
        <v>0</v>
      </c>
      <c r="I62" s="561">
        <v>0</v>
      </c>
      <c r="J62" s="561">
        <v>0</v>
      </c>
      <c r="K62" s="561">
        <v>0</v>
      </c>
      <c r="L62" s="561">
        <v>0</v>
      </c>
      <c r="M62" s="561">
        <v>0</v>
      </c>
      <c r="N62" s="561">
        <v>0</v>
      </c>
      <c r="O62" s="561">
        <v>0</v>
      </c>
      <c r="P62" s="561">
        <v>0</v>
      </c>
      <c r="Q62" s="561">
        <v>0</v>
      </c>
      <c r="R62" s="561">
        <v>0</v>
      </c>
      <c r="S62" s="561">
        <v>0</v>
      </c>
      <c r="T62" s="561">
        <v>1242</v>
      </c>
      <c r="U62" s="561">
        <v>0</v>
      </c>
      <c r="V62" s="561">
        <v>24</v>
      </c>
      <c r="W62" s="561">
        <v>0</v>
      </c>
      <c r="X62" s="561">
        <v>0</v>
      </c>
      <c r="Y62" s="561">
        <v>0</v>
      </c>
      <c r="Z62" s="561">
        <v>0</v>
      </c>
      <c r="AA62" s="561">
        <v>3</v>
      </c>
      <c r="AB62" s="561">
        <v>-590</v>
      </c>
      <c r="AC62" s="561">
        <v>0</v>
      </c>
      <c r="AD62" s="561">
        <v>0</v>
      </c>
      <c r="AE62" s="561">
        <v>20</v>
      </c>
      <c r="AF62" s="561">
        <v>0</v>
      </c>
      <c r="AG62" s="561">
        <v>0</v>
      </c>
      <c r="AH62" s="561">
        <v>0</v>
      </c>
      <c r="AI62" s="561">
        <v>0</v>
      </c>
      <c r="AJ62" s="561">
        <v>699</v>
      </c>
      <c r="AK62" s="561">
        <v>0</v>
      </c>
      <c r="AL62" s="561">
        <v>0</v>
      </c>
      <c r="AM62" s="561">
        <v>0</v>
      </c>
      <c r="AN62" s="561">
        <v>0</v>
      </c>
      <c r="AO62" s="561">
        <v>0</v>
      </c>
      <c r="AP62" s="561">
        <v>0</v>
      </c>
      <c r="AQ62" s="561">
        <v>0</v>
      </c>
      <c r="AR62" s="561">
        <v>0</v>
      </c>
      <c r="AS62" s="561">
        <v>0</v>
      </c>
      <c r="AT62" s="561">
        <v>0</v>
      </c>
      <c r="AU62" s="561">
        <v>0</v>
      </c>
      <c r="AV62" s="561">
        <v>0</v>
      </c>
      <c r="AW62" s="561">
        <v>0</v>
      </c>
      <c r="AX62" s="561">
        <v>0</v>
      </c>
      <c r="AY62" s="561">
        <v>0</v>
      </c>
      <c r="AZ62" s="561">
        <v>0</v>
      </c>
      <c r="BA62" s="561">
        <v>0</v>
      </c>
      <c r="BB62" s="561">
        <v>0</v>
      </c>
      <c r="BC62" s="561">
        <v>0</v>
      </c>
      <c r="BD62" s="561">
        <v>0</v>
      </c>
      <c r="BE62" s="561">
        <v>0</v>
      </c>
      <c r="BF62" s="561">
        <v>0</v>
      </c>
      <c r="BG62" s="561">
        <v>0</v>
      </c>
      <c r="BH62" s="561">
        <v>0</v>
      </c>
      <c r="BI62" s="561">
        <v>0</v>
      </c>
      <c r="BJ62" s="561">
        <v>0</v>
      </c>
      <c r="BK62" s="561">
        <v>0</v>
      </c>
      <c r="BL62" s="561">
        <v>0</v>
      </c>
      <c r="BM62" s="561">
        <v>0</v>
      </c>
      <c r="BN62" s="561">
        <v>0</v>
      </c>
      <c r="BO62" s="561">
        <v>0</v>
      </c>
      <c r="BP62" s="561">
        <v>0</v>
      </c>
      <c r="BQ62" s="561">
        <v>0</v>
      </c>
      <c r="BR62" s="561">
        <v>0</v>
      </c>
      <c r="BS62" s="561">
        <v>0</v>
      </c>
      <c r="BT62" s="561">
        <v>0</v>
      </c>
      <c r="BU62" s="561">
        <v>0</v>
      </c>
      <c r="BV62" s="561">
        <v>0</v>
      </c>
      <c r="BW62" s="561">
        <v>0</v>
      </c>
      <c r="BX62" s="561">
        <v>0</v>
      </c>
      <c r="BY62" s="561">
        <v>0</v>
      </c>
      <c r="BZ62" s="561">
        <v>0</v>
      </c>
      <c r="CA62" s="561">
        <v>0</v>
      </c>
      <c r="CB62" s="561">
        <v>0</v>
      </c>
      <c r="CC62" s="561">
        <v>0</v>
      </c>
      <c r="CD62" s="561">
        <v>0</v>
      </c>
      <c r="CE62" s="561">
        <v>0</v>
      </c>
      <c r="CF62" s="561">
        <v>0</v>
      </c>
      <c r="CG62" s="561">
        <v>0</v>
      </c>
      <c r="CH62" s="561">
        <v>0</v>
      </c>
      <c r="CI62" s="561">
        <v>0</v>
      </c>
      <c r="CJ62" s="561">
        <v>0</v>
      </c>
      <c r="CK62" s="561">
        <v>0</v>
      </c>
      <c r="CL62" s="561">
        <v>0</v>
      </c>
      <c r="CM62" s="561">
        <v>0</v>
      </c>
      <c r="CN62" s="561">
        <v>0</v>
      </c>
      <c r="CO62" s="561">
        <v>0</v>
      </c>
      <c r="CP62" s="561">
        <v>0</v>
      </c>
      <c r="CQ62" s="561">
        <v>0</v>
      </c>
      <c r="CR62" s="561">
        <v>0</v>
      </c>
      <c r="CS62" s="561">
        <v>0</v>
      </c>
      <c r="CT62" s="561">
        <v>0</v>
      </c>
      <c r="CU62" s="561">
        <v>0</v>
      </c>
      <c r="CV62" s="561">
        <v>0</v>
      </c>
      <c r="CW62" s="561">
        <v>0</v>
      </c>
      <c r="CX62" s="561">
        <v>0</v>
      </c>
      <c r="CY62" s="561">
        <v>0</v>
      </c>
      <c r="CZ62" s="561">
        <v>0</v>
      </c>
      <c r="DA62" s="561">
        <v>0</v>
      </c>
      <c r="DB62" s="561">
        <v>0</v>
      </c>
      <c r="DC62" s="561">
        <v>0</v>
      </c>
      <c r="DD62" s="561">
        <v>0</v>
      </c>
      <c r="DE62" s="561">
        <v>0</v>
      </c>
      <c r="DF62" s="561">
        <v>0</v>
      </c>
      <c r="DG62" s="561">
        <v>0</v>
      </c>
      <c r="DH62" s="561">
        <v>55</v>
      </c>
      <c r="DI62" s="561">
        <v>0</v>
      </c>
      <c r="DJ62" s="561">
        <v>0</v>
      </c>
      <c r="DK62" s="561">
        <v>0</v>
      </c>
      <c r="DL62" s="561">
        <v>0</v>
      </c>
      <c r="DM62" s="561">
        <v>29</v>
      </c>
      <c r="DN62" s="561">
        <v>0</v>
      </c>
      <c r="DO62" s="561">
        <v>1053</v>
      </c>
      <c r="DP62" s="561">
        <v>113</v>
      </c>
      <c r="DQ62" s="561">
        <v>0</v>
      </c>
      <c r="DR62" s="561">
        <v>209</v>
      </c>
      <c r="DS62" s="561">
        <v>54</v>
      </c>
      <c r="DT62" s="561">
        <v>603</v>
      </c>
      <c r="DU62" s="561">
        <v>2061</v>
      </c>
      <c r="DV62" s="561">
        <v>0</v>
      </c>
      <c r="DW62" s="561">
        <v>0</v>
      </c>
      <c r="DX62" s="561">
        <v>0</v>
      </c>
      <c r="DY62" s="561">
        <v>761</v>
      </c>
      <c r="DZ62" s="561">
        <v>0</v>
      </c>
      <c r="EA62" s="561">
        <v>0</v>
      </c>
      <c r="EB62" s="561">
        <v>0</v>
      </c>
      <c r="EC62" s="561">
        <v>2877</v>
      </c>
      <c r="ED62" s="561">
        <v>0</v>
      </c>
      <c r="EE62" s="561">
        <v>8643</v>
      </c>
      <c r="EF62" s="561">
        <v>74</v>
      </c>
      <c r="EG62" s="561">
        <v>1042</v>
      </c>
      <c r="EH62" s="561">
        <v>0</v>
      </c>
      <c r="EI62" s="561">
        <v>0</v>
      </c>
      <c r="EJ62" s="561">
        <v>0</v>
      </c>
      <c r="EK62" s="561">
        <v>1</v>
      </c>
      <c r="EL62" s="561">
        <v>0</v>
      </c>
      <c r="EM62" s="561">
        <v>-55</v>
      </c>
      <c r="EN62" s="561">
        <v>948</v>
      </c>
      <c r="EO62" s="561">
        <v>2240</v>
      </c>
      <c r="EP62" s="561">
        <v>-32</v>
      </c>
      <c r="EQ62" s="561">
        <v>50</v>
      </c>
      <c r="ER62" s="561">
        <v>2050</v>
      </c>
      <c r="ES62" s="561" t="s">
        <v>4565</v>
      </c>
      <c r="ET62" s="561">
        <v>-267</v>
      </c>
      <c r="EU62" s="561">
        <v>423</v>
      </c>
      <c r="EV62" s="561">
        <v>0</v>
      </c>
      <c r="EW62" s="561">
        <v>0</v>
      </c>
      <c r="EX62" s="561">
        <v>206</v>
      </c>
      <c r="EY62" s="561">
        <v>0</v>
      </c>
      <c r="EZ62" s="561">
        <v>4087</v>
      </c>
      <c r="FA62" s="561">
        <v>1877</v>
      </c>
      <c r="FB62" s="561">
        <v>0</v>
      </c>
      <c r="FC62" s="561">
        <v>0</v>
      </c>
      <c r="FD62" s="561">
        <v>0</v>
      </c>
      <c r="FE62" s="561">
        <v>0</v>
      </c>
      <c r="FF62" s="561">
        <v>0</v>
      </c>
      <c r="FG62" s="561">
        <v>371</v>
      </c>
      <c r="FH62" s="561">
        <v>43</v>
      </c>
      <c r="FI62" s="561">
        <v>-1</v>
      </c>
      <c r="FJ62" s="561">
        <v>894</v>
      </c>
      <c r="FK62" s="561">
        <v>392</v>
      </c>
      <c r="FL62" s="561">
        <v>0</v>
      </c>
      <c r="FM62" s="561">
        <v>0</v>
      </c>
      <c r="FN62" s="561">
        <v>0</v>
      </c>
      <c r="FO62" s="561">
        <v>1699</v>
      </c>
      <c r="FP62" s="561">
        <v>0</v>
      </c>
      <c r="FQ62" s="561">
        <v>152</v>
      </c>
      <c r="FR62" s="561">
        <v>0</v>
      </c>
      <c r="FS62" s="561">
        <v>0</v>
      </c>
      <c r="FT62" s="561">
        <v>126</v>
      </c>
      <c r="FU62" s="561">
        <v>139</v>
      </c>
      <c r="FV62" s="561">
        <v>191</v>
      </c>
      <c r="FW62" s="561">
        <v>39</v>
      </c>
      <c r="FX62" s="561">
        <v>0</v>
      </c>
      <c r="FY62" s="561">
        <v>0</v>
      </c>
      <c r="FZ62" s="561">
        <v>0</v>
      </c>
      <c r="GA62" s="561">
        <v>83</v>
      </c>
      <c r="GB62" s="561">
        <v>374</v>
      </c>
      <c r="GC62" s="561">
        <v>-112</v>
      </c>
      <c r="GD62" s="561">
        <v>75</v>
      </c>
      <c r="GE62" s="561">
        <v>0</v>
      </c>
      <c r="GF62" s="561">
        <v>0</v>
      </c>
      <c r="GG62" s="561">
        <v>-4</v>
      </c>
      <c r="GH62" s="561">
        <v>0</v>
      </c>
      <c r="GI62" s="561">
        <v>0</v>
      </c>
      <c r="GJ62" s="561">
        <v>0</v>
      </c>
      <c r="GK62" s="561">
        <v>0</v>
      </c>
      <c r="GL62" s="561">
        <v>549</v>
      </c>
      <c r="GM62" s="561">
        <v>698</v>
      </c>
      <c r="GN62" s="561">
        <v>0</v>
      </c>
      <c r="GO62" s="561">
        <v>155</v>
      </c>
      <c r="GP62" s="561">
        <v>1076</v>
      </c>
      <c r="GQ62" s="561">
        <v>0</v>
      </c>
      <c r="GR62" s="561">
        <v>7</v>
      </c>
      <c r="GS62" s="561">
        <v>3548</v>
      </c>
      <c r="GT62" s="561">
        <v>0</v>
      </c>
      <c r="GU62" s="561">
        <v>205</v>
      </c>
      <c r="GV62" s="561">
        <v>933</v>
      </c>
      <c r="GW62" s="561">
        <v>0</v>
      </c>
      <c r="GX62" s="561">
        <v>575</v>
      </c>
      <c r="GY62" s="561">
        <v>0</v>
      </c>
      <c r="GZ62" s="561">
        <v>312</v>
      </c>
      <c r="HA62" s="561">
        <v>0</v>
      </c>
      <c r="HB62" s="561">
        <v>0</v>
      </c>
      <c r="HC62" s="561">
        <v>-724</v>
      </c>
      <c r="HD62" s="561">
        <v>1301</v>
      </c>
      <c r="HE62" s="561">
        <v>0</v>
      </c>
      <c r="HF62" s="561">
        <v>6548</v>
      </c>
      <c r="HG62" s="561">
        <v>0</v>
      </c>
      <c r="HH62" s="561">
        <v>0</v>
      </c>
      <c r="HI62" s="561">
        <v>0</v>
      </c>
      <c r="HJ62" s="561">
        <v>0</v>
      </c>
      <c r="HK62" s="561">
        <v>0</v>
      </c>
      <c r="HL62" s="561">
        <v>0</v>
      </c>
      <c r="HM62" s="561">
        <v>0</v>
      </c>
      <c r="HN62" s="561">
        <v>0</v>
      </c>
      <c r="HO62" s="561">
        <v>1566</v>
      </c>
      <c r="HP62" s="561">
        <v>586</v>
      </c>
      <c r="HQ62" s="561">
        <v>0</v>
      </c>
      <c r="HR62" s="561">
        <v>0</v>
      </c>
      <c r="HS62" s="561">
        <v>267</v>
      </c>
      <c r="HT62" s="561">
        <v>53</v>
      </c>
      <c r="HU62" s="561">
        <v>0</v>
      </c>
      <c r="HV62" s="561">
        <v>0</v>
      </c>
      <c r="HW62" s="561">
        <v>141</v>
      </c>
      <c r="HX62" s="561">
        <v>406</v>
      </c>
      <c r="HY62" s="561">
        <v>60</v>
      </c>
      <c r="HZ62" s="561">
        <v>51</v>
      </c>
      <c r="IA62" s="561">
        <v>0</v>
      </c>
      <c r="IB62" s="561">
        <v>123</v>
      </c>
      <c r="IC62" s="561">
        <v>0</v>
      </c>
      <c r="ID62" s="561">
        <v>0</v>
      </c>
      <c r="IE62" s="561">
        <v>-182</v>
      </c>
      <c r="IF62" s="561">
        <v>72</v>
      </c>
      <c r="IG62" s="561">
        <v>0</v>
      </c>
      <c r="IH62" s="561">
        <v>116</v>
      </c>
      <c r="II62" s="561">
        <v>3259</v>
      </c>
      <c r="IJ62" s="561">
        <v>0</v>
      </c>
      <c r="IK62" s="561">
        <v>8855</v>
      </c>
      <c r="IL62" s="561">
        <v>0</v>
      </c>
      <c r="IM62" s="561">
        <v>0</v>
      </c>
      <c r="IN62" s="561">
        <v>0</v>
      </c>
      <c r="IO62" s="561">
        <v>0</v>
      </c>
      <c r="IP62" s="561">
        <v>-421</v>
      </c>
      <c r="IQ62" s="561">
        <v>0</v>
      </c>
      <c r="IR62" s="561">
        <v>0</v>
      </c>
      <c r="IS62" s="561">
        <v>699</v>
      </c>
      <c r="IT62" s="561">
        <v>0</v>
      </c>
      <c r="IU62" s="561">
        <v>0</v>
      </c>
      <c r="IV62" s="561">
        <v>0</v>
      </c>
      <c r="IW62" s="561">
        <v>2877</v>
      </c>
      <c r="IX62" s="561">
        <v>1699</v>
      </c>
      <c r="IY62" s="561">
        <v>3548</v>
      </c>
      <c r="IZ62" s="561">
        <v>1301</v>
      </c>
      <c r="JA62" s="561">
        <v>0</v>
      </c>
      <c r="JB62" s="561">
        <v>0</v>
      </c>
      <c r="JC62" s="561">
        <v>3259</v>
      </c>
      <c r="JD62" s="561">
        <v>-421</v>
      </c>
      <c r="JE62" s="561">
        <v>12962</v>
      </c>
      <c r="JF62" s="561">
        <v>6628</v>
      </c>
      <c r="JG62" s="561">
        <v>1151</v>
      </c>
      <c r="JH62" s="561">
        <v>4720</v>
      </c>
      <c r="JI62" s="561">
        <v>0</v>
      </c>
      <c r="JJ62" s="561">
        <v>-30</v>
      </c>
      <c r="JK62" s="561">
        <v>288</v>
      </c>
      <c r="JL62" s="561">
        <v>0</v>
      </c>
      <c r="JM62" s="561">
        <v>0</v>
      </c>
      <c r="JN62" s="561">
        <v>0</v>
      </c>
      <c r="JO62" s="561">
        <v>0</v>
      </c>
      <c r="JP62" s="561">
        <v>0</v>
      </c>
      <c r="JQ62" s="561">
        <v>0</v>
      </c>
      <c r="JR62" s="561">
        <v>0</v>
      </c>
      <c r="JS62" s="561">
        <v>0</v>
      </c>
      <c r="JT62" s="561">
        <v>6</v>
      </c>
      <c r="JU62" s="561">
        <v>0</v>
      </c>
      <c r="JV62" s="561">
        <v>25725</v>
      </c>
      <c r="JW62" s="561">
        <v>0</v>
      </c>
      <c r="JX62" s="561">
        <v>1897</v>
      </c>
      <c r="JY62" s="561">
        <v>0</v>
      </c>
      <c r="JZ62" s="561">
        <v>0</v>
      </c>
      <c r="KA62" s="561">
        <v>0</v>
      </c>
      <c r="KB62" s="561">
        <v>-15</v>
      </c>
      <c r="KC62" s="561">
        <v>1572</v>
      </c>
      <c r="KD62" s="561">
        <v>162</v>
      </c>
      <c r="KE62" s="561">
        <v>890</v>
      </c>
      <c r="KF62" s="561">
        <v>-546</v>
      </c>
      <c r="KG62" s="561">
        <v>29685</v>
      </c>
      <c r="KH62" s="561">
        <v>-1930</v>
      </c>
      <c r="KI62" s="561">
        <v>0</v>
      </c>
      <c r="KJ62" s="561">
        <v>0</v>
      </c>
      <c r="KK62" s="561">
        <v>0</v>
      </c>
      <c r="KL62" s="561">
        <v>-12034</v>
      </c>
      <c r="KM62" s="561">
        <v>0</v>
      </c>
      <c r="KN62" s="561">
        <v>-229</v>
      </c>
      <c r="KO62" s="561">
        <v>0</v>
      </c>
      <c r="KP62" s="561">
        <v>0</v>
      </c>
      <c r="KQ62" s="561">
        <v>0</v>
      </c>
      <c r="KR62" s="561">
        <v>15492</v>
      </c>
      <c r="KS62" s="561">
        <v>0</v>
      </c>
      <c r="KT62" s="561">
        <v>-1285</v>
      </c>
      <c r="KU62" s="561">
        <v>14207</v>
      </c>
      <c r="KV62" s="561">
        <v>0</v>
      </c>
      <c r="KW62" s="561">
        <v>0</v>
      </c>
      <c r="KX62" s="561">
        <v>0</v>
      </c>
      <c r="KY62" s="561">
        <v>0</v>
      </c>
      <c r="KZ62" s="561">
        <v>-2386</v>
      </c>
      <c r="LA62" s="561">
        <v>423</v>
      </c>
      <c r="LB62" s="561">
        <v>-92</v>
      </c>
      <c r="LC62" s="561">
        <v>0</v>
      </c>
      <c r="LD62" s="561">
        <v>-4411</v>
      </c>
      <c r="LE62" s="561">
        <v>-173</v>
      </c>
      <c r="LF62" s="561">
        <v>1573</v>
      </c>
      <c r="LG62" s="561">
        <v>9141</v>
      </c>
      <c r="LH62" s="561">
        <v>0</v>
      </c>
      <c r="LI62" s="561">
        <v>0</v>
      </c>
      <c r="LJ62" s="561">
        <v>0</v>
      </c>
      <c r="LK62" s="561">
        <v>0</v>
      </c>
      <c r="LL62" s="561">
        <v>21572</v>
      </c>
      <c r="LM62" s="561">
        <v>5334</v>
      </c>
      <c r="LN62" s="561">
        <v>0</v>
      </c>
      <c r="LO62" s="561">
        <v>0</v>
      </c>
      <c r="LP62" s="561">
        <v>0</v>
      </c>
      <c r="LQ62" s="561">
        <v>0</v>
      </c>
      <c r="LR62" s="561">
        <v>19186</v>
      </c>
      <c r="LS62" s="561">
        <v>5757</v>
      </c>
      <c r="LT62" s="561">
        <v>0</v>
      </c>
      <c r="LU62" s="561">
        <v>937</v>
      </c>
      <c r="LV62" s="561">
        <v>89</v>
      </c>
      <c r="LW62" s="561">
        <v>-7702</v>
      </c>
      <c r="LX62" s="561">
        <v>-2635</v>
      </c>
      <c r="LY62" s="561">
        <v>975</v>
      </c>
      <c r="LZ62" s="561">
        <v>-8343</v>
      </c>
      <c r="MA62" s="561">
        <v>0</v>
      </c>
      <c r="MB62" s="561">
        <v>0</v>
      </c>
      <c r="MC62" s="561">
        <v>9705</v>
      </c>
      <c r="MD62" s="561">
        <v>5618</v>
      </c>
      <c r="ME62" s="561">
        <v>4087</v>
      </c>
      <c r="MF62" s="561">
        <v>1877</v>
      </c>
      <c r="MG62" s="561">
        <v>5964</v>
      </c>
      <c r="MH62" s="561">
        <v>3068</v>
      </c>
      <c r="MI62" s="561">
        <v>1500</v>
      </c>
      <c r="MJ62" s="561">
        <v>4568</v>
      </c>
      <c r="MK62" s="561">
        <v>0</v>
      </c>
      <c r="ML62" s="561">
        <v>0</v>
      </c>
      <c r="MM62" s="561">
        <v>7421</v>
      </c>
      <c r="MN62" s="561">
        <v>3389</v>
      </c>
      <c r="MO62" s="561">
        <v>8376</v>
      </c>
      <c r="MP62" s="561">
        <v>0</v>
      </c>
      <c r="MQ62" s="561">
        <v>0</v>
      </c>
      <c r="MR62" s="561">
        <v>699</v>
      </c>
      <c r="MS62" s="561">
        <v>0</v>
      </c>
      <c r="MT62" s="561">
        <v>0</v>
      </c>
      <c r="MU62" s="561">
        <v>0</v>
      </c>
      <c r="MV62" s="561">
        <v>2877</v>
      </c>
      <c r="MW62" s="561">
        <v>1699</v>
      </c>
      <c r="MX62" s="561">
        <v>3548</v>
      </c>
      <c r="MY62" s="561">
        <v>1301</v>
      </c>
      <c r="MZ62" s="561">
        <v>0</v>
      </c>
      <c r="NA62" s="561">
        <v>0</v>
      </c>
      <c r="NB62" s="561">
        <v>3259</v>
      </c>
      <c r="NC62" s="561">
        <v>-421</v>
      </c>
      <c r="ND62" s="561">
        <v>12962</v>
      </c>
      <c r="NE62" s="561">
        <v>0</v>
      </c>
      <c r="NF62" s="561">
        <v>0</v>
      </c>
      <c r="NG62" s="561">
        <v>0</v>
      </c>
      <c r="NH62" s="561">
        <v>0</v>
      </c>
      <c r="NI62" s="561">
        <v>0</v>
      </c>
      <c r="NJ62" s="561">
        <v>0</v>
      </c>
      <c r="NK62" s="561">
        <v>0</v>
      </c>
      <c r="NL62" s="561">
        <v>0</v>
      </c>
      <c r="NM62" s="561">
        <v>0</v>
      </c>
      <c r="NN62" s="561">
        <v>0</v>
      </c>
      <c r="NO62" s="561">
        <v>0</v>
      </c>
      <c r="NP62" s="561">
        <v>0</v>
      </c>
      <c r="NQ62" s="561">
        <v>0</v>
      </c>
      <c r="NR62" s="561">
        <v>0</v>
      </c>
      <c r="NS62" s="561">
        <v>0</v>
      </c>
      <c r="NT62" s="561">
        <v>0</v>
      </c>
      <c r="NU62" s="561">
        <v>0</v>
      </c>
      <c r="NV62" s="561">
        <v>0</v>
      </c>
      <c r="NW62" s="561">
        <v>0</v>
      </c>
      <c r="NX62" s="561">
        <v>0</v>
      </c>
      <c r="NY62" s="561">
        <v>0</v>
      </c>
      <c r="NZ62" s="561">
        <v>0</v>
      </c>
      <c r="OA62" s="561">
        <v>0</v>
      </c>
      <c r="OB62" s="561">
        <v>0</v>
      </c>
      <c r="OC62" s="561">
        <v>0</v>
      </c>
      <c r="OD62" s="561">
        <v>0</v>
      </c>
      <c r="OE62" s="561">
        <v>0</v>
      </c>
      <c r="OF62" s="561">
        <v>0</v>
      </c>
      <c r="OG62" s="561">
        <v>0</v>
      </c>
      <c r="OH62" s="561">
        <v>0</v>
      </c>
      <c r="OI62" s="561">
        <v>0</v>
      </c>
      <c r="OJ62" s="561">
        <v>0</v>
      </c>
      <c r="OK62" s="561">
        <v>0</v>
      </c>
      <c r="OL62" s="561">
        <v>0</v>
      </c>
      <c r="OM62" s="561">
        <v>0</v>
      </c>
      <c r="ON62" s="561">
        <v>0</v>
      </c>
      <c r="OO62" s="561">
        <v>0</v>
      </c>
      <c r="OP62" s="561">
        <v>0</v>
      </c>
      <c r="OQ62" s="561">
        <v>0</v>
      </c>
      <c r="OR62" s="561">
        <v>0</v>
      </c>
      <c r="OS62" s="561">
        <v>0</v>
      </c>
      <c r="OT62" s="561">
        <v>0</v>
      </c>
      <c r="OU62" s="561">
        <v>0</v>
      </c>
      <c r="OV62" s="561">
        <v>0</v>
      </c>
      <c r="OW62" s="561">
        <v>0</v>
      </c>
      <c r="OX62" s="561">
        <v>0</v>
      </c>
      <c r="OY62" s="561">
        <v>0</v>
      </c>
      <c r="OZ62" s="561">
        <v>0</v>
      </c>
      <c r="PA62" s="561">
        <v>0</v>
      </c>
      <c r="PB62" s="561">
        <v>0</v>
      </c>
      <c r="PC62" s="561">
        <v>0</v>
      </c>
      <c r="PD62" s="561">
        <v>0</v>
      </c>
      <c r="PE62" s="561">
        <v>0</v>
      </c>
      <c r="PF62" s="561">
        <v>0</v>
      </c>
      <c r="PG62" s="561">
        <v>0</v>
      </c>
      <c r="PH62" s="561">
        <v>0</v>
      </c>
      <c r="PI62" s="561">
        <v>0</v>
      </c>
      <c r="PJ62" s="561">
        <v>0</v>
      </c>
    </row>
    <row r="63" spans="1:426" ht="14" x14ac:dyDescent="0.3">
      <c r="A63" t="s">
        <v>2618</v>
      </c>
      <c r="B63" t="s">
        <v>2619</v>
      </c>
      <c r="C63" t="s">
        <v>4583</v>
      </c>
      <c r="E63" t="s">
        <v>385</v>
      </c>
      <c r="F63" s="561">
        <v>20516</v>
      </c>
      <c r="G63" s="561">
        <v>93733</v>
      </c>
      <c r="H63" s="561">
        <v>10023</v>
      </c>
      <c r="I63" s="561">
        <v>29586</v>
      </c>
      <c r="J63" s="561">
        <v>4529</v>
      </c>
      <c r="K63" s="561">
        <v>65080</v>
      </c>
      <c r="L63" s="561">
        <v>223467</v>
      </c>
      <c r="M63" s="561">
        <v>0</v>
      </c>
      <c r="N63" s="561">
        <v>0</v>
      </c>
      <c r="O63" s="561">
        <v>685</v>
      </c>
      <c r="P63" s="561">
        <v>0</v>
      </c>
      <c r="Q63" s="561">
        <v>0</v>
      </c>
      <c r="R63" s="561">
        <v>0</v>
      </c>
      <c r="S63" s="561">
        <v>0</v>
      </c>
      <c r="T63" s="561">
        <v>3357</v>
      </c>
      <c r="U63" s="561">
        <v>932</v>
      </c>
      <c r="V63" s="561">
        <v>1135.5</v>
      </c>
      <c r="W63" s="561">
        <v>0</v>
      </c>
      <c r="X63" s="561">
        <v>0</v>
      </c>
      <c r="Y63" s="561">
        <v>-10</v>
      </c>
      <c r="Z63" s="561">
        <v>151</v>
      </c>
      <c r="AA63" s="561">
        <v>-225</v>
      </c>
      <c r="AB63" s="561">
        <v>-471.2</v>
      </c>
      <c r="AC63" s="561">
        <v>1525</v>
      </c>
      <c r="AD63" s="561">
        <v>0</v>
      </c>
      <c r="AE63" s="561">
        <v>0</v>
      </c>
      <c r="AF63" s="561">
        <v>0</v>
      </c>
      <c r="AG63" s="561">
        <v>2783</v>
      </c>
      <c r="AH63" s="561">
        <v>263</v>
      </c>
      <c r="AI63" s="561">
        <v>0</v>
      </c>
      <c r="AJ63" s="561">
        <v>10125.299999999999</v>
      </c>
      <c r="AK63" s="561">
        <v>0</v>
      </c>
      <c r="AL63" s="561">
        <v>0</v>
      </c>
      <c r="AM63" s="561">
        <v>0</v>
      </c>
      <c r="AN63" s="561">
        <v>0</v>
      </c>
      <c r="AO63" s="561">
        <v>0</v>
      </c>
      <c r="AP63" s="561">
        <v>0</v>
      </c>
      <c r="AQ63" s="561">
        <v>0</v>
      </c>
      <c r="AR63" s="561">
        <v>0</v>
      </c>
      <c r="AS63" s="561">
        <v>0</v>
      </c>
      <c r="AT63" s="561">
        <v>402</v>
      </c>
      <c r="AU63" s="561">
        <v>0</v>
      </c>
      <c r="AV63" s="561">
        <v>0</v>
      </c>
      <c r="AW63" s="561">
        <v>0</v>
      </c>
      <c r="AX63" s="561">
        <v>0</v>
      </c>
      <c r="AY63" s="561">
        <v>17866.5</v>
      </c>
      <c r="AZ63" s="561">
        <v>9266</v>
      </c>
      <c r="BA63" s="561">
        <v>21243</v>
      </c>
      <c r="BB63" s="561">
        <v>1687</v>
      </c>
      <c r="BC63" s="561">
        <v>212</v>
      </c>
      <c r="BD63" s="561">
        <v>4583</v>
      </c>
      <c r="BE63" s="561">
        <v>13053.3</v>
      </c>
      <c r="BF63" s="561">
        <v>67910.8</v>
      </c>
      <c r="BG63" s="561">
        <v>0</v>
      </c>
      <c r="BH63" s="561">
        <v>6570</v>
      </c>
      <c r="BI63" s="561">
        <v>27554</v>
      </c>
      <c r="BJ63" s="561">
        <v>505</v>
      </c>
      <c r="BK63" s="561">
        <v>772</v>
      </c>
      <c r="BL63" s="561">
        <v>487</v>
      </c>
      <c r="BM63" s="561">
        <v>4057</v>
      </c>
      <c r="BN63" s="561">
        <v>39595</v>
      </c>
      <c r="BO63" s="561">
        <v>3770</v>
      </c>
      <c r="BP63" s="561">
        <v>5491</v>
      </c>
      <c r="BQ63" s="561">
        <v>1871</v>
      </c>
      <c r="BR63" s="561">
        <v>168</v>
      </c>
      <c r="BS63" s="561">
        <v>0</v>
      </c>
      <c r="BT63" s="561">
        <v>2751</v>
      </c>
      <c r="BU63" s="561">
        <v>5922</v>
      </c>
      <c r="BV63" s="561">
        <v>-135</v>
      </c>
      <c r="BW63" s="561">
        <v>15982</v>
      </c>
      <c r="BX63" s="561">
        <v>1490</v>
      </c>
      <c r="BY63" s="561">
        <v>7190</v>
      </c>
      <c r="BZ63" s="561">
        <v>124040</v>
      </c>
      <c r="CA63" s="561">
        <v>0</v>
      </c>
      <c r="CB63" s="561">
        <v>1123</v>
      </c>
      <c r="CC63" s="561">
        <v>858</v>
      </c>
      <c r="CD63" s="561">
        <v>384</v>
      </c>
      <c r="CE63" s="561">
        <v>259</v>
      </c>
      <c r="CF63" s="561">
        <v>16</v>
      </c>
      <c r="CG63" s="561">
        <v>48</v>
      </c>
      <c r="CH63" s="561">
        <v>305</v>
      </c>
      <c r="CI63" s="561">
        <v>168</v>
      </c>
      <c r="CJ63" s="561">
        <v>369</v>
      </c>
      <c r="CK63" s="561">
        <v>164</v>
      </c>
      <c r="CL63" s="561">
        <v>5</v>
      </c>
      <c r="CM63" s="561">
        <v>2417</v>
      </c>
      <c r="CN63" s="561">
        <v>442</v>
      </c>
      <c r="CO63" s="561">
        <v>131</v>
      </c>
      <c r="CP63" s="561">
        <v>131</v>
      </c>
      <c r="CQ63" s="561">
        <v>128</v>
      </c>
      <c r="CR63" s="561">
        <v>410</v>
      </c>
      <c r="CS63" s="561">
        <v>9</v>
      </c>
      <c r="CT63" s="561">
        <v>891</v>
      </c>
      <c r="CU63" s="561">
        <v>4781</v>
      </c>
      <c r="CV63" s="561">
        <v>308</v>
      </c>
      <c r="CW63" s="561">
        <v>17</v>
      </c>
      <c r="CX63" s="561">
        <v>155</v>
      </c>
      <c r="CY63" s="561">
        <v>865</v>
      </c>
      <c r="CZ63" s="561">
        <v>14384</v>
      </c>
      <c r="DA63" s="561">
        <v>0</v>
      </c>
      <c r="DB63" s="561">
        <v>0</v>
      </c>
      <c r="DC63" s="561">
        <v>0</v>
      </c>
      <c r="DD63" s="561">
        <v>0</v>
      </c>
      <c r="DE63" s="561">
        <v>0</v>
      </c>
      <c r="DF63" s="561">
        <v>0</v>
      </c>
      <c r="DG63" s="561">
        <v>0</v>
      </c>
      <c r="DH63" s="561">
        <v>0</v>
      </c>
      <c r="DI63" s="561">
        <v>0</v>
      </c>
      <c r="DJ63" s="561">
        <v>0</v>
      </c>
      <c r="DK63" s="561">
        <v>0</v>
      </c>
      <c r="DL63" s="561">
        <v>0</v>
      </c>
      <c r="DM63" s="561">
        <v>0</v>
      </c>
      <c r="DN63" s="561">
        <v>0</v>
      </c>
      <c r="DO63" s="561">
        <v>0</v>
      </c>
      <c r="DP63" s="561">
        <v>0</v>
      </c>
      <c r="DQ63" s="561">
        <v>0</v>
      </c>
      <c r="DR63" s="561">
        <v>0</v>
      </c>
      <c r="DS63" s="561">
        <v>4510</v>
      </c>
      <c r="DT63" s="561">
        <v>0</v>
      </c>
      <c r="DU63" s="561">
        <v>4510</v>
      </c>
      <c r="DV63" s="561">
        <v>0</v>
      </c>
      <c r="DW63" s="561">
        <v>0</v>
      </c>
      <c r="DX63" s="561">
        <v>0</v>
      </c>
      <c r="DY63" s="561">
        <v>2084</v>
      </c>
      <c r="DZ63" s="561">
        <v>2053</v>
      </c>
      <c r="EA63" s="561">
        <v>0</v>
      </c>
      <c r="EB63" s="561">
        <v>0</v>
      </c>
      <c r="EC63" s="561">
        <v>8647</v>
      </c>
      <c r="ED63" s="561">
        <v>0</v>
      </c>
      <c r="EE63" s="561">
        <v>36843</v>
      </c>
      <c r="EF63" s="561">
        <v>690</v>
      </c>
      <c r="EG63" s="561">
        <v>3008</v>
      </c>
      <c r="EH63" s="561">
        <v>2030</v>
      </c>
      <c r="EI63" s="561">
        <v>0</v>
      </c>
      <c r="EJ63" s="561">
        <v>0</v>
      </c>
      <c r="EK63" s="561">
        <v>0</v>
      </c>
      <c r="EL63" s="561">
        <v>0</v>
      </c>
      <c r="EM63" s="561">
        <v>0</v>
      </c>
      <c r="EN63" s="561">
        <v>8911</v>
      </c>
      <c r="EO63" s="561">
        <v>20113</v>
      </c>
      <c r="EP63" s="561">
        <v>0</v>
      </c>
      <c r="EQ63" s="561">
        <v>910</v>
      </c>
      <c r="ER63" s="561">
        <v>8203</v>
      </c>
      <c r="ES63" s="561" t="s">
        <v>4565</v>
      </c>
      <c r="ET63" s="561">
        <v>0</v>
      </c>
      <c r="EU63" s="561">
        <v>0</v>
      </c>
      <c r="EV63" s="561">
        <v>185</v>
      </c>
      <c r="EW63" s="561">
        <v>0</v>
      </c>
      <c r="EX63" s="561">
        <v>7354</v>
      </c>
      <c r="EY63" s="561">
        <v>132</v>
      </c>
      <c r="EZ63" s="561">
        <v>-3237</v>
      </c>
      <c r="FA63" s="561">
        <v>9197</v>
      </c>
      <c r="FB63" s="561">
        <v>155</v>
      </c>
      <c r="FC63" s="561">
        <v>0</v>
      </c>
      <c r="FD63" s="561">
        <v>0</v>
      </c>
      <c r="FE63" s="561">
        <v>0</v>
      </c>
      <c r="FF63" s="561">
        <v>447</v>
      </c>
      <c r="FG63" s="561">
        <v>0</v>
      </c>
      <c r="FH63" s="561">
        <v>0</v>
      </c>
      <c r="FI63" s="561">
        <v>0</v>
      </c>
      <c r="FJ63" s="561">
        <v>693.31</v>
      </c>
      <c r="FK63" s="561">
        <v>932</v>
      </c>
      <c r="FL63" s="561">
        <v>0</v>
      </c>
      <c r="FM63" s="561">
        <v>0</v>
      </c>
      <c r="FN63" s="561">
        <v>3104</v>
      </c>
      <c r="FO63" s="561">
        <v>5331.31</v>
      </c>
      <c r="FP63" s="561">
        <v>0</v>
      </c>
      <c r="FQ63" s="561">
        <v>399</v>
      </c>
      <c r="FR63" s="561">
        <v>-47.7</v>
      </c>
      <c r="FS63" s="561">
        <v>0</v>
      </c>
      <c r="FT63" s="561">
        <v>8</v>
      </c>
      <c r="FU63" s="561">
        <v>-354.9</v>
      </c>
      <c r="FV63" s="561">
        <v>0</v>
      </c>
      <c r="FW63" s="561">
        <v>-40.6</v>
      </c>
      <c r="FX63" s="561">
        <v>0</v>
      </c>
      <c r="FY63" s="561">
        <v>0</v>
      </c>
      <c r="FZ63" s="561">
        <v>0</v>
      </c>
      <c r="GA63" s="561">
        <v>0</v>
      </c>
      <c r="GB63" s="561">
        <v>0</v>
      </c>
      <c r="GC63" s="561">
        <v>0</v>
      </c>
      <c r="GD63" s="561">
        <v>2194</v>
      </c>
      <c r="GE63" s="561">
        <v>0</v>
      </c>
      <c r="GF63" s="561">
        <v>357</v>
      </c>
      <c r="GG63" s="561">
        <v>0</v>
      </c>
      <c r="GH63" s="561">
        <v>0</v>
      </c>
      <c r="GI63" s="561">
        <v>723</v>
      </c>
      <c r="GJ63" s="561">
        <v>0</v>
      </c>
      <c r="GK63" s="561">
        <v>-770.6</v>
      </c>
      <c r="GL63" s="561">
        <v>2815</v>
      </c>
      <c r="GM63" s="561">
        <v>8593</v>
      </c>
      <c r="GN63" s="561">
        <v>10063</v>
      </c>
      <c r="GO63" s="561">
        <v>0</v>
      </c>
      <c r="GP63" s="561">
        <v>2184</v>
      </c>
      <c r="GQ63" s="561">
        <v>0</v>
      </c>
      <c r="GR63" s="561">
        <v>0</v>
      </c>
      <c r="GS63" s="561">
        <v>26122.2</v>
      </c>
      <c r="GT63" s="561">
        <v>0</v>
      </c>
      <c r="GU63" s="561">
        <v>13.9</v>
      </c>
      <c r="GV63" s="561">
        <v>1714</v>
      </c>
      <c r="GW63" s="561">
        <v>0</v>
      </c>
      <c r="GX63" s="561">
        <v>265.5</v>
      </c>
      <c r="GY63" s="561">
        <v>0</v>
      </c>
      <c r="GZ63" s="561">
        <v>287</v>
      </c>
      <c r="HA63" s="561">
        <v>0</v>
      </c>
      <c r="HB63" s="561">
        <v>0</v>
      </c>
      <c r="HC63" s="561">
        <v>0</v>
      </c>
      <c r="HD63" s="561">
        <v>2280.4</v>
      </c>
      <c r="HE63" s="561">
        <v>0</v>
      </c>
      <c r="HF63" s="561">
        <v>33733.910000000003</v>
      </c>
      <c r="HG63" s="561">
        <v>0</v>
      </c>
      <c r="HH63" s="561">
        <v>0</v>
      </c>
      <c r="HI63" s="561">
        <v>0</v>
      </c>
      <c r="HJ63" s="561">
        <v>0</v>
      </c>
      <c r="HK63" s="561">
        <v>0</v>
      </c>
      <c r="HL63" s="561">
        <v>0</v>
      </c>
      <c r="HM63" s="561">
        <v>0</v>
      </c>
      <c r="HN63" s="561">
        <v>0</v>
      </c>
      <c r="HO63" s="561">
        <v>3640</v>
      </c>
      <c r="HP63" s="561">
        <v>989</v>
      </c>
      <c r="HQ63" s="561">
        <v>0</v>
      </c>
      <c r="HR63" s="561">
        <v>0</v>
      </c>
      <c r="HS63" s="561">
        <v>0</v>
      </c>
      <c r="HT63" s="561">
        <v>247</v>
      </c>
      <c r="HU63" s="561">
        <v>0</v>
      </c>
      <c r="HV63" s="561">
        <v>55</v>
      </c>
      <c r="HW63" s="561">
        <v>5644</v>
      </c>
      <c r="HX63" s="561">
        <v>-53</v>
      </c>
      <c r="HY63" s="561">
        <v>2301</v>
      </c>
      <c r="HZ63" s="561">
        <v>-94</v>
      </c>
      <c r="IA63" s="561">
        <v>0</v>
      </c>
      <c r="IB63" s="561">
        <v>0</v>
      </c>
      <c r="IC63" s="561">
        <v>536</v>
      </c>
      <c r="ID63" s="561">
        <v>0</v>
      </c>
      <c r="IE63" s="561">
        <v>2708</v>
      </c>
      <c r="IF63" s="561">
        <v>0</v>
      </c>
      <c r="IG63" s="561">
        <v>0</v>
      </c>
      <c r="IH63" s="561">
        <v>0</v>
      </c>
      <c r="II63" s="561">
        <v>15973</v>
      </c>
      <c r="IJ63" s="561">
        <v>0</v>
      </c>
      <c r="IK63" s="561">
        <v>0</v>
      </c>
      <c r="IL63" s="561">
        <v>0</v>
      </c>
      <c r="IM63" s="561">
        <v>0</v>
      </c>
      <c r="IN63" s="561">
        <v>0</v>
      </c>
      <c r="IO63" s="561">
        <v>0</v>
      </c>
      <c r="IP63" s="561">
        <v>0</v>
      </c>
      <c r="IQ63" s="561">
        <v>0</v>
      </c>
      <c r="IR63" s="561">
        <v>223467</v>
      </c>
      <c r="IS63" s="561">
        <v>10125.299999999999</v>
      </c>
      <c r="IT63" s="561">
        <v>67910.8</v>
      </c>
      <c r="IU63" s="561">
        <v>124040</v>
      </c>
      <c r="IV63" s="561">
        <v>14384</v>
      </c>
      <c r="IW63" s="561">
        <v>8647</v>
      </c>
      <c r="IX63" s="561">
        <v>5331.31</v>
      </c>
      <c r="IY63" s="561">
        <v>26122.2</v>
      </c>
      <c r="IZ63" s="561">
        <v>2280.4</v>
      </c>
      <c r="JA63" s="561">
        <v>0</v>
      </c>
      <c r="JB63" s="561">
        <v>0</v>
      </c>
      <c r="JC63" s="561">
        <v>15973</v>
      </c>
      <c r="JD63" s="561">
        <v>0</v>
      </c>
      <c r="JE63" s="561">
        <v>498281.01</v>
      </c>
      <c r="JF63" s="561">
        <v>26655</v>
      </c>
      <c r="JG63" s="561">
        <v>64</v>
      </c>
      <c r="JH63" s="561">
        <v>13701</v>
      </c>
      <c r="JI63" s="561">
        <v>0</v>
      </c>
      <c r="JJ63" s="561">
        <v>0</v>
      </c>
      <c r="JK63" s="561">
        <v>16506</v>
      </c>
      <c r="JL63" s="561">
        <v>0</v>
      </c>
      <c r="JM63" s="561">
        <v>0</v>
      </c>
      <c r="JN63" s="561">
        <v>0</v>
      </c>
      <c r="JO63" s="561">
        <v>0</v>
      </c>
      <c r="JP63" s="561">
        <v>0</v>
      </c>
      <c r="JQ63" s="561">
        <v>0</v>
      </c>
      <c r="JR63" s="561">
        <v>0</v>
      </c>
      <c r="JS63" s="561">
        <v>0</v>
      </c>
      <c r="JT63" s="561">
        <v>400</v>
      </c>
      <c r="JU63" s="561">
        <v>-13740</v>
      </c>
      <c r="JV63" s="561">
        <v>541867.01</v>
      </c>
      <c r="JW63" s="561">
        <v>206</v>
      </c>
      <c r="JX63" s="561">
        <v>12271</v>
      </c>
      <c r="JY63" s="561">
        <v>0</v>
      </c>
      <c r="JZ63" s="561">
        <v>0</v>
      </c>
      <c r="KA63" s="561">
        <v>0</v>
      </c>
      <c r="KB63" s="561">
        <v>294</v>
      </c>
      <c r="KC63" s="561">
        <v>3568</v>
      </c>
      <c r="KD63" s="561">
        <v>467</v>
      </c>
      <c r="KE63" s="561">
        <v>28671</v>
      </c>
      <c r="KF63" s="561">
        <v>-8203</v>
      </c>
      <c r="KG63" s="561">
        <v>579141.01</v>
      </c>
      <c r="KH63" s="561">
        <v>-2458</v>
      </c>
      <c r="KI63" s="561">
        <v>0</v>
      </c>
      <c r="KJ63" s="561">
        <v>0</v>
      </c>
      <c r="KK63" s="561">
        <v>0</v>
      </c>
      <c r="KL63" s="561">
        <v>-42810</v>
      </c>
      <c r="KM63" s="561">
        <v>0</v>
      </c>
      <c r="KN63" s="561">
        <v>0</v>
      </c>
      <c r="KO63" s="561">
        <v>0</v>
      </c>
      <c r="KP63" s="561">
        <v>0</v>
      </c>
      <c r="KQ63" s="561">
        <v>-18412</v>
      </c>
      <c r="KR63" s="561">
        <v>515461.01</v>
      </c>
      <c r="KS63" s="561">
        <v>0</v>
      </c>
      <c r="KT63" s="561">
        <v>-277693</v>
      </c>
      <c r="KU63" s="561">
        <v>237768.01</v>
      </c>
      <c r="KV63" s="561">
        <v>0</v>
      </c>
      <c r="KW63" s="561">
        <v>-1060</v>
      </c>
      <c r="KX63" s="561">
        <v>0</v>
      </c>
      <c r="KY63" s="561">
        <v>-58</v>
      </c>
      <c r="KZ63" s="561">
        <v>-20929</v>
      </c>
      <c r="LA63" s="561">
        <v>0</v>
      </c>
      <c r="LB63" s="561">
        <v>-345</v>
      </c>
      <c r="LC63" s="561">
        <v>0</v>
      </c>
      <c r="LD63" s="561">
        <v>0</v>
      </c>
      <c r="LE63" s="561">
        <v>0</v>
      </c>
      <c r="LF63" s="561">
        <v>0</v>
      </c>
      <c r="LG63" s="561">
        <v>215376</v>
      </c>
      <c r="LH63" s="561">
        <v>4981</v>
      </c>
      <c r="LI63" s="561">
        <v>-22641</v>
      </c>
      <c r="LJ63" s="561">
        <v>0</v>
      </c>
      <c r="LK63" s="561">
        <v>2251</v>
      </c>
      <c r="LL63" s="561">
        <v>35454</v>
      </c>
      <c r="LM63" s="561">
        <v>26383</v>
      </c>
      <c r="LN63" s="561">
        <v>3921</v>
      </c>
      <c r="LO63" s="561">
        <v>-41053</v>
      </c>
      <c r="LP63" s="561">
        <v>0</v>
      </c>
      <c r="LQ63" s="561">
        <v>2193</v>
      </c>
      <c r="LR63" s="561">
        <v>14525</v>
      </c>
      <c r="LS63" s="561">
        <v>26383</v>
      </c>
      <c r="LT63" s="561">
        <v>0</v>
      </c>
      <c r="LU63" s="561">
        <v>45903</v>
      </c>
      <c r="LV63" s="561">
        <v>0</v>
      </c>
      <c r="LW63" s="561">
        <v>24844</v>
      </c>
      <c r="LX63" s="561">
        <v>-85301</v>
      </c>
      <c r="LY63" s="561">
        <v>74718</v>
      </c>
      <c r="LZ63" s="561">
        <v>60164</v>
      </c>
      <c r="MA63" s="561">
        <v>0</v>
      </c>
      <c r="MB63" s="561">
        <v>0</v>
      </c>
      <c r="MC63" s="561">
        <v>42571</v>
      </c>
      <c r="MD63" s="561">
        <v>45808</v>
      </c>
      <c r="ME63" s="561">
        <v>-3237</v>
      </c>
      <c r="MF63" s="561">
        <v>9197</v>
      </c>
      <c r="MG63" s="561">
        <v>5960</v>
      </c>
      <c r="MH63" s="561">
        <v>6778</v>
      </c>
      <c r="MI63" s="561">
        <v>12993</v>
      </c>
      <c r="MJ63" s="561">
        <v>19771</v>
      </c>
      <c r="MK63" s="561">
        <v>0</v>
      </c>
      <c r="ML63" s="561">
        <v>0</v>
      </c>
      <c r="MM63" s="561">
        <v>14525</v>
      </c>
      <c r="MN63" s="561">
        <v>0</v>
      </c>
      <c r="MO63" s="561">
        <v>0</v>
      </c>
      <c r="MP63" s="561">
        <v>0</v>
      </c>
      <c r="MQ63" s="561">
        <v>223467</v>
      </c>
      <c r="MR63" s="561">
        <v>10125.299999999999</v>
      </c>
      <c r="MS63" s="561">
        <v>67910.8</v>
      </c>
      <c r="MT63" s="561">
        <v>124040</v>
      </c>
      <c r="MU63" s="561">
        <v>14384</v>
      </c>
      <c r="MV63" s="561">
        <v>8647</v>
      </c>
      <c r="MW63" s="561">
        <v>5331.31</v>
      </c>
      <c r="MX63" s="561">
        <v>26122.2</v>
      </c>
      <c r="MY63" s="561">
        <v>2280.4</v>
      </c>
      <c r="MZ63" s="561">
        <v>0</v>
      </c>
      <c r="NA63" s="561">
        <v>0</v>
      </c>
      <c r="NB63" s="561">
        <v>15973</v>
      </c>
      <c r="NC63" s="561">
        <v>0</v>
      </c>
      <c r="ND63" s="561">
        <v>498281.01</v>
      </c>
      <c r="NE63" s="561">
        <v>0</v>
      </c>
      <c r="NF63" s="561">
        <v>0</v>
      </c>
      <c r="NG63" s="561">
        <v>0</v>
      </c>
      <c r="NH63" s="561">
        <v>0</v>
      </c>
      <c r="NI63" s="561">
        <v>0</v>
      </c>
      <c r="NJ63" s="561">
        <v>0</v>
      </c>
      <c r="NK63" s="561">
        <v>0</v>
      </c>
      <c r="NL63" s="561">
        <v>0</v>
      </c>
      <c r="NM63" s="561">
        <v>0</v>
      </c>
      <c r="NN63" s="561">
        <v>0</v>
      </c>
      <c r="NO63" s="561">
        <v>0</v>
      </c>
      <c r="NP63" s="561">
        <v>0</v>
      </c>
      <c r="NQ63" s="561">
        <v>0</v>
      </c>
      <c r="NR63" s="561">
        <v>0</v>
      </c>
      <c r="NS63" s="561">
        <v>0</v>
      </c>
      <c r="NT63" s="561">
        <v>0</v>
      </c>
      <c r="NU63" s="561">
        <v>0</v>
      </c>
      <c r="NV63" s="561">
        <v>0</v>
      </c>
      <c r="NW63" s="561">
        <v>0</v>
      </c>
      <c r="NX63" s="561">
        <v>0</v>
      </c>
      <c r="NY63" s="561">
        <v>0</v>
      </c>
      <c r="NZ63" s="561">
        <v>0</v>
      </c>
      <c r="OA63" s="561">
        <v>0</v>
      </c>
      <c r="OB63" s="561">
        <v>0</v>
      </c>
      <c r="OC63" s="561">
        <v>0</v>
      </c>
      <c r="OD63" s="561">
        <v>0</v>
      </c>
      <c r="OE63" s="561">
        <v>0</v>
      </c>
      <c r="OF63" s="561">
        <v>0</v>
      </c>
      <c r="OG63" s="561">
        <v>0</v>
      </c>
      <c r="OH63" s="561">
        <v>0</v>
      </c>
      <c r="OI63" s="561">
        <v>0</v>
      </c>
      <c r="OJ63" s="561">
        <v>0</v>
      </c>
      <c r="OK63" s="561">
        <v>0</v>
      </c>
      <c r="OL63" s="561">
        <v>0</v>
      </c>
      <c r="OM63" s="561">
        <v>0</v>
      </c>
      <c r="ON63" s="561">
        <v>0</v>
      </c>
      <c r="OO63" s="561">
        <v>0</v>
      </c>
      <c r="OP63" s="561">
        <v>0</v>
      </c>
      <c r="OQ63" s="561">
        <v>0</v>
      </c>
      <c r="OR63" s="561">
        <v>0</v>
      </c>
      <c r="OS63" s="561">
        <v>0</v>
      </c>
      <c r="OT63" s="561">
        <v>0</v>
      </c>
      <c r="OU63" s="561">
        <v>0</v>
      </c>
      <c r="OV63" s="561">
        <v>0</v>
      </c>
      <c r="OW63" s="561">
        <v>0</v>
      </c>
      <c r="OX63" s="561">
        <v>0</v>
      </c>
      <c r="OY63" s="561">
        <v>0</v>
      </c>
      <c r="OZ63" s="561">
        <v>0</v>
      </c>
      <c r="PA63" s="561">
        <v>0</v>
      </c>
      <c r="PB63" s="561">
        <v>0</v>
      </c>
      <c r="PC63" s="561">
        <v>0</v>
      </c>
      <c r="PD63" s="561">
        <v>0</v>
      </c>
      <c r="PE63" s="561">
        <v>0</v>
      </c>
      <c r="PF63" s="561">
        <v>0</v>
      </c>
      <c r="PG63" s="561">
        <v>0</v>
      </c>
      <c r="PH63" s="561">
        <v>0</v>
      </c>
      <c r="PI63" s="561">
        <v>0</v>
      </c>
      <c r="PJ63" s="561">
        <v>0</v>
      </c>
    </row>
    <row r="64" spans="1:426" ht="14" x14ac:dyDescent="0.3">
      <c r="A64" t="s">
        <v>2621</v>
      </c>
      <c r="B64" t="s">
        <v>2622</v>
      </c>
      <c r="C64" t="s">
        <v>4584</v>
      </c>
      <c r="E64" t="s">
        <v>384</v>
      </c>
      <c r="F64" s="561">
        <v>0</v>
      </c>
      <c r="G64" s="561">
        <v>0</v>
      </c>
      <c r="H64" s="561">
        <v>0</v>
      </c>
      <c r="I64" s="561">
        <v>0</v>
      </c>
      <c r="J64" s="561">
        <v>0</v>
      </c>
      <c r="K64" s="561">
        <v>0</v>
      </c>
      <c r="L64" s="561">
        <v>0</v>
      </c>
      <c r="M64" s="561">
        <v>0</v>
      </c>
      <c r="N64" s="561">
        <v>0</v>
      </c>
      <c r="O64" s="561">
        <v>0</v>
      </c>
      <c r="P64" s="561">
        <v>0</v>
      </c>
      <c r="Q64" s="561">
        <v>0</v>
      </c>
      <c r="R64" s="561">
        <v>0</v>
      </c>
      <c r="S64" s="561">
        <v>0</v>
      </c>
      <c r="T64" s="561">
        <v>0</v>
      </c>
      <c r="U64" s="561">
        <v>0</v>
      </c>
      <c r="V64" s="561">
        <v>77</v>
      </c>
      <c r="W64" s="561">
        <v>0</v>
      </c>
      <c r="X64" s="561">
        <v>0</v>
      </c>
      <c r="Y64" s="561">
        <v>0</v>
      </c>
      <c r="Z64" s="561">
        <v>0</v>
      </c>
      <c r="AA64" s="561">
        <v>0</v>
      </c>
      <c r="AB64" s="561">
        <v>-52</v>
      </c>
      <c r="AC64" s="561">
        <v>0</v>
      </c>
      <c r="AD64" s="561">
        <v>0</v>
      </c>
      <c r="AE64" s="561">
        <v>0</v>
      </c>
      <c r="AF64" s="561">
        <v>0</v>
      </c>
      <c r="AG64" s="561">
        <v>0</v>
      </c>
      <c r="AH64" s="561">
        <v>72</v>
      </c>
      <c r="AI64" s="561">
        <v>0</v>
      </c>
      <c r="AJ64" s="561">
        <v>97</v>
      </c>
      <c r="AK64" s="561">
        <v>0</v>
      </c>
      <c r="AL64" s="561">
        <v>0</v>
      </c>
      <c r="AM64" s="561">
        <v>0</v>
      </c>
      <c r="AN64" s="561">
        <v>0</v>
      </c>
      <c r="AO64" s="561">
        <v>0</v>
      </c>
      <c r="AP64" s="561">
        <v>0</v>
      </c>
      <c r="AQ64" s="561">
        <v>0</v>
      </c>
      <c r="AR64" s="561">
        <v>0</v>
      </c>
      <c r="AS64" s="561">
        <v>0</v>
      </c>
      <c r="AT64" s="561">
        <v>0</v>
      </c>
      <c r="AU64" s="561">
        <v>0</v>
      </c>
      <c r="AV64" s="561">
        <v>0</v>
      </c>
      <c r="AW64" s="561">
        <v>0</v>
      </c>
      <c r="AX64" s="561">
        <v>0</v>
      </c>
      <c r="AY64" s="561">
        <v>0</v>
      </c>
      <c r="AZ64" s="561">
        <v>39</v>
      </c>
      <c r="BA64" s="561">
        <v>0</v>
      </c>
      <c r="BB64" s="561">
        <v>0</v>
      </c>
      <c r="BC64" s="561">
        <v>0</v>
      </c>
      <c r="BD64" s="561">
        <v>0</v>
      </c>
      <c r="BE64" s="561">
        <v>0</v>
      </c>
      <c r="BF64" s="561">
        <v>39</v>
      </c>
      <c r="BG64" s="561">
        <v>0</v>
      </c>
      <c r="BH64" s="561">
        <v>0</v>
      </c>
      <c r="BI64" s="561">
        <v>0</v>
      </c>
      <c r="BJ64" s="561">
        <v>0</v>
      </c>
      <c r="BK64" s="561">
        <v>0</v>
      </c>
      <c r="BL64" s="561">
        <v>0</v>
      </c>
      <c r="BM64" s="561">
        <v>0</v>
      </c>
      <c r="BN64" s="561">
        <v>0</v>
      </c>
      <c r="BO64" s="561">
        <v>0</v>
      </c>
      <c r="BP64" s="561">
        <v>0</v>
      </c>
      <c r="BQ64" s="561">
        <v>0</v>
      </c>
      <c r="BR64" s="561">
        <v>0</v>
      </c>
      <c r="BS64" s="561">
        <v>0</v>
      </c>
      <c r="BT64" s="561">
        <v>0</v>
      </c>
      <c r="BU64" s="561">
        <v>0</v>
      </c>
      <c r="BV64" s="561">
        <v>0</v>
      </c>
      <c r="BW64" s="561">
        <v>0</v>
      </c>
      <c r="BX64" s="561">
        <v>0</v>
      </c>
      <c r="BY64" s="561">
        <v>0</v>
      </c>
      <c r="BZ64" s="561">
        <v>0</v>
      </c>
      <c r="CA64" s="561">
        <v>0</v>
      </c>
      <c r="CB64" s="561">
        <v>0</v>
      </c>
      <c r="CC64" s="561">
        <v>0</v>
      </c>
      <c r="CD64" s="561">
        <v>0</v>
      </c>
      <c r="CE64" s="561">
        <v>0</v>
      </c>
      <c r="CF64" s="561">
        <v>0</v>
      </c>
      <c r="CG64" s="561">
        <v>0</v>
      </c>
      <c r="CH64" s="561">
        <v>0</v>
      </c>
      <c r="CI64" s="561">
        <v>0</v>
      </c>
      <c r="CJ64" s="561">
        <v>0</v>
      </c>
      <c r="CK64" s="561">
        <v>0</v>
      </c>
      <c r="CL64" s="561">
        <v>0</v>
      </c>
      <c r="CM64" s="561">
        <v>0</v>
      </c>
      <c r="CN64" s="561">
        <v>0</v>
      </c>
      <c r="CO64" s="561">
        <v>0</v>
      </c>
      <c r="CP64" s="561">
        <v>0</v>
      </c>
      <c r="CQ64" s="561">
        <v>0</v>
      </c>
      <c r="CR64" s="561">
        <v>0</v>
      </c>
      <c r="CS64" s="561">
        <v>0</v>
      </c>
      <c r="CT64" s="561">
        <v>0</v>
      </c>
      <c r="CU64" s="561">
        <v>0</v>
      </c>
      <c r="CV64" s="561">
        <v>0</v>
      </c>
      <c r="CW64" s="561">
        <v>0</v>
      </c>
      <c r="CX64" s="561">
        <v>0</v>
      </c>
      <c r="CY64" s="561">
        <v>0</v>
      </c>
      <c r="CZ64" s="561">
        <v>0</v>
      </c>
      <c r="DA64" s="561">
        <v>0</v>
      </c>
      <c r="DB64" s="561">
        <v>0</v>
      </c>
      <c r="DC64" s="561">
        <v>0</v>
      </c>
      <c r="DD64" s="561">
        <v>0</v>
      </c>
      <c r="DE64" s="561">
        <v>0</v>
      </c>
      <c r="DF64" s="561">
        <v>0</v>
      </c>
      <c r="DG64" s="561">
        <v>0</v>
      </c>
      <c r="DH64" s="561">
        <v>-243</v>
      </c>
      <c r="DI64" s="561">
        <v>0</v>
      </c>
      <c r="DJ64" s="561">
        <v>0</v>
      </c>
      <c r="DK64" s="561">
        <v>155</v>
      </c>
      <c r="DL64" s="561">
        <v>0</v>
      </c>
      <c r="DM64" s="561">
        <v>-18</v>
      </c>
      <c r="DN64" s="561">
        <v>0</v>
      </c>
      <c r="DO64" s="561">
        <v>439</v>
      </c>
      <c r="DP64" s="561">
        <v>0</v>
      </c>
      <c r="DQ64" s="561">
        <v>0</v>
      </c>
      <c r="DR64" s="561">
        <v>59</v>
      </c>
      <c r="DS64" s="561">
        <v>980</v>
      </c>
      <c r="DT64" s="561">
        <v>0</v>
      </c>
      <c r="DU64" s="561">
        <v>1460</v>
      </c>
      <c r="DV64" s="561">
        <v>0</v>
      </c>
      <c r="DW64" s="561">
        <v>0</v>
      </c>
      <c r="DX64" s="561">
        <v>0</v>
      </c>
      <c r="DY64" s="561">
        <v>943</v>
      </c>
      <c r="DZ64" s="561">
        <v>0</v>
      </c>
      <c r="EA64" s="561">
        <v>0</v>
      </c>
      <c r="EB64" s="561">
        <v>0</v>
      </c>
      <c r="EC64" s="561">
        <v>2315</v>
      </c>
      <c r="ED64" s="561">
        <v>219</v>
      </c>
      <c r="EE64" s="561">
        <v>23961</v>
      </c>
      <c r="EF64" s="561">
        <v>366</v>
      </c>
      <c r="EG64" s="561">
        <v>1020</v>
      </c>
      <c r="EH64" s="561">
        <v>905</v>
      </c>
      <c r="EI64" s="561">
        <v>0</v>
      </c>
      <c r="EJ64" s="561">
        <v>0</v>
      </c>
      <c r="EK64" s="561">
        <v>328</v>
      </c>
      <c r="EL64" s="561">
        <v>0</v>
      </c>
      <c r="EM64" s="561">
        <v>28</v>
      </c>
      <c r="EN64" s="561">
        <v>11625</v>
      </c>
      <c r="EO64" s="561">
        <v>8269</v>
      </c>
      <c r="EP64" s="561">
        <v>656</v>
      </c>
      <c r="EQ64" s="561">
        <v>1335</v>
      </c>
      <c r="ER64" s="561">
        <v>2736</v>
      </c>
      <c r="ES64" s="561" t="s">
        <v>4565</v>
      </c>
      <c r="ET64" s="561">
        <v>5406</v>
      </c>
      <c r="EU64" s="561">
        <v>6950</v>
      </c>
      <c r="EV64" s="561">
        <v>29</v>
      </c>
      <c r="EW64" s="561">
        <v>0</v>
      </c>
      <c r="EX64" s="561">
        <v>0</v>
      </c>
      <c r="EY64" s="561">
        <v>-93</v>
      </c>
      <c r="EZ64" s="561">
        <v>-10305</v>
      </c>
      <c r="FA64" s="561">
        <v>18132</v>
      </c>
      <c r="FB64" s="561">
        <v>0</v>
      </c>
      <c r="FC64" s="561">
        <v>117</v>
      </c>
      <c r="FD64" s="561">
        <v>28</v>
      </c>
      <c r="FE64" s="561">
        <v>267</v>
      </c>
      <c r="FF64" s="561">
        <v>633</v>
      </c>
      <c r="FG64" s="561">
        <v>0</v>
      </c>
      <c r="FH64" s="561">
        <v>0</v>
      </c>
      <c r="FI64" s="561">
        <v>323</v>
      </c>
      <c r="FJ64" s="561">
        <v>253</v>
      </c>
      <c r="FK64" s="561">
        <v>1657</v>
      </c>
      <c r="FL64" s="561">
        <v>30</v>
      </c>
      <c r="FM64" s="561">
        <v>77</v>
      </c>
      <c r="FN64" s="561">
        <v>0</v>
      </c>
      <c r="FO64" s="561">
        <v>3385</v>
      </c>
      <c r="FP64" s="561">
        <v>0</v>
      </c>
      <c r="FQ64" s="561">
        <v>-61</v>
      </c>
      <c r="FR64" s="561">
        <v>0</v>
      </c>
      <c r="FS64" s="561">
        <v>0</v>
      </c>
      <c r="FT64" s="561">
        <v>432</v>
      </c>
      <c r="FU64" s="561">
        <v>395</v>
      </c>
      <c r="FV64" s="561">
        <v>517</v>
      </c>
      <c r="FW64" s="561">
        <v>64</v>
      </c>
      <c r="FX64" s="561">
        <v>0</v>
      </c>
      <c r="FY64" s="561">
        <v>0</v>
      </c>
      <c r="FZ64" s="561">
        <v>132</v>
      </c>
      <c r="GA64" s="561">
        <v>142</v>
      </c>
      <c r="GB64" s="561">
        <v>120</v>
      </c>
      <c r="GC64" s="561">
        <v>110</v>
      </c>
      <c r="GD64" s="561">
        <v>0</v>
      </c>
      <c r="GE64" s="561">
        <v>456</v>
      </c>
      <c r="GF64" s="561">
        <v>339</v>
      </c>
      <c r="GG64" s="561">
        <v>129</v>
      </c>
      <c r="GH64" s="561">
        <v>0</v>
      </c>
      <c r="GI64" s="561">
        <v>0</v>
      </c>
      <c r="GJ64" s="561">
        <v>0</v>
      </c>
      <c r="GK64" s="561">
        <v>0</v>
      </c>
      <c r="GL64" s="561">
        <v>1456</v>
      </c>
      <c r="GM64" s="561">
        <v>3089</v>
      </c>
      <c r="GN64" s="561">
        <v>0</v>
      </c>
      <c r="GO64" s="561">
        <v>0</v>
      </c>
      <c r="GP64" s="561">
        <v>1852</v>
      </c>
      <c r="GQ64" s="561">
        <v>0</v>
      </c>
      <c r="GR64" s="561">
        <v>0</v>
      </c>
      <c r="GS64" s="561">
        <v>9172</v>
      </c>
      <c r="GT64" s="561">
        <v>7</v>
      </c>
      <c r="GU64" s="561">
        <v>220</v>
      </c>
      <c r="GV64" s="561">
        <v>1211</v>
      </c>
      <c r="GW64" s="561">
        <v>567</v>
      </c>
      <c r="GX64" s="561">
        <v>788</v>
      </c>
      <c r="GY64" s="561">
        <v>122</v>
      </c>
      <c r="GZ64" s="561">
        <v>250</v>
      </c>
      <c r="HA64" s="561">
        <v>0</v>
      </c>
      <c r="HB64" s="561">
        <v>0</v>
      </c>
      <c r="HC64" s="561">
        <v>0</v>
      </c>
      <c r="HD64" s="561">
        <v>3158</v>
      </c>
      <c r="HE64" s="561">
        <v>501</v>
      </c>
      <c r="HF64" s="561">
        <v>15715</v>
      </c>
      <c r="HG64" s="561">
        <v>508</v>
      </c>
      <c r="HH64" s="561">
        <v>0</v>
      </c>
      <c r="HI64" s="561">
        <v>0</v>
      </c>
      <c r="HJ64" s="561">
        <v>0</v>
      </c>
      <c r="HK64" s="561">
        <v>0</v>
      </c>
      <c r="HL64" s="561">
        <v>0</v>
      </c>
      <c r="HM64" s="561">
        <v>0</v>
      </c>
      <c r="HN64" s="561">
        <v>0</v>
      </c>
      <c r="HO64" s="561">
        <v>2003</v>
      </c>
      <c r="HP64" s="561">
        <v>1098</v>
      </c>
      <c r="HQ64" s="561">
        <v>0</v>
      </c>
      <c r="HR64" s="561">
        <v>0</v>
      </c>
      <c r="HS64" s="561">
        <v>749</v>
      </c>
      <c r="HT64" s="561">
        <v>-33</v>
      </c>
      <c r="HU64" s="561">
        <v>0</v>
      </c>
      <c r="HV64" s="561">
        <v>0</v>
      </c>
      <c r="HW64" s="561">
        <v>0</v>
      </c>
      <c r="HX64" s="561">
        <v>195</v>
      </c>
      <c r="HY64" s="561">
        <v>55</v>
      </c>
      <c r="HZ64" s="561">
        <v>159</v>
      </c>
      <c r="IA64" s="561">
        <v>0</v>
      </c>
      <c r="IB64" s="561">
        <v>473</v>
      </c>
      <c r="IC64" s="561">
        <v>0</v>
      </c>
      <c r="ID64" s="561">
        <v>0</v>
      </c>
      <c r="IE64" s="561">
        <v>429</v>
      </c>
      <c r="IF64" s="561">
        <v>0</v>
      </c>
      <c r="IG64" s="561">
        <v>0</v>
      </c>
      <c r="IH64" s="561">
        <v>663</v>
      </c>
      <c r="II64" s="561">
        <v>5791</v>
      </c>
      <c r="IJ64" s="561">
        <v>1767</v>
      </c>
      <c r="IK64" s="561">
        <v>0</v>
      </c>
      <c r="IL64" s="561">
        <v>15364</v>
      </c>
      <c r="IM64" s="561">
        <v>0</v>
      </c>
      <c r="IN64" s="561">
        <v>0</v>
      </c>
      <c r="IO64" s="561">
        <v>0</v>
      </c>
      <c r="IP64" s="561">
        <v>0</v>
      </c>
      <c r="IQ64" s="561">
        <v>0</v>
      </c>
      <c r="IR64" s="561">
        <v>0</v>
      </c>
      <c r="IS64" s="561">
        <v>97</v>
      </c>
      <c r="IT64" s="561">
        <v>39</v>
      </c>
      <c r="IU64" s="561">
        <v>0</v>
      </c>
      <c r="IV64" s="561">
        <v>0</v>
      </c>
      <c r="IW64" s="561">
        <v>2315</v>
      </c>
      <c r="IX64" s="561">
        <v>3385</v>
      </c>
      <c r="IY64" s="561">
        <v>9172</v>
      </c>
      <c r="IZ64" s="561">
        <v>3158</v>
      </c>
      <c r="JA64" s="561">
        <v>0</v>
      </c>
      <c r="JB64" s="561">
        <v>0</v>
      </c>
      <c r="JC64" s="561">
        <v>5791</v>
      </c>
      <c r="JD64" s="561">
        <v>0</v>
      </c>
      <c r="JE64" s="561">
        <v>23957</v>
      </c>
      <c r="JF64" s="561">
        <v>15174</v>
      </c>
      <c r="JG64" s="561">
        <v>27</v>
      </c>
      <c r="JH64" s="561">
        <v>7409</v>
      </c>
      <c r="JI64" s="561">
        <v>0</v>
      </c>
      <c r="JJ64" s="561">
        <v>98</v>
      </c>
      <c r="JK64" s="561">
        <v>4878</v>
      </c>
      <c r="JL64" s="561">
        <v>0</v>
      </c>
      <c r="JM64" s="561">
        <v>0</v>
      </c>
      <c r="JN64" s="561">
        <v>0</v>
      </c>
      <c r="JO64" s="561">
        <v>0</v>
      </c>
      <c r="JP64" s="561">
        <v>202</v>
      </c>
      <c r="JQ64" s="561">
        <v>0</v>
      </c>
      <c r="JR64" s="561">
        <v>-125</v>
      </c>
      <c r="JS64" s="561">
        <v>0</v>
      </c>
      <c r="JT64" s="561">
        <v>-60</v>
      </c>
      <c r="JU64" s="561">
        <v>8</v>
      </c>
      <c r="JV64" s="561">
        <v>51568</v>
      </c>
      <c r="JW64" s="561">
        <v>0</v>
      </c>
      <c r="JX64" s="561">
        <v>81</v>
      </c>
      <c r="JY64" s="561">
        <v>0</v>
      </c>
      <c r="JZ64" s="561">
        <v>0</v>
      </c>
      <c r="KA64" s="561">
        <v>0</v>
      </c>
      <c r="KB64" s="561">
        <v>-478</v>
      </c>
      <c r="KC64" s="561">
        <v>616</v>
      </c>
      <c r="KD64" s="561">
        <v>0</v>
      </c>
      <c r="KE64" s="561">
        <v>151</v>
      </c>
      <c r="KF64" s="561">
        <v>0</v>
      </c>
      <c r="KG64" s="561">
        <v>51938</v>
      </c>
      <c r="KH64" s="561">
        <v>-4487</v>
      </c>
      <c r="KI64" s="561">
        <v>0</v>
      </c>
      <c r="KJ64" s="561">
        <v>0</v>
      </c>
      <c r="KK64" s="561">
        <v>0</v>
      </c>
      <c r="KL64" s="561">
        <v>-22086</v>
      </c>
      <c r="KM64" s="561">
        <v>0</v>
      </c>
      <c r="KN64" s="561">
        <v>0</v>
      </c>
      <c r="KO64" s="561">
        <v>0</v>
      </c>
      <c r="KP64" s="561">
        <v>0</v>
      </c>
      <c r="KQ64" s="561">
        <v>0</v>
      </c>
      <c r="KR64" s="561">
        <v>25365</v>
      </c>
      <c r="KS64" s="561">
        <v>0</v>
      </c>
      <c r="KT64" s="561">
        <v>-3901</v>
      </c>
      <c r="KU64" s="561">
        <v>21464</v>
      </c>
      <c r="KV64" s="561">
        <v>0</v>
      </c>
      <c r="KW64" s="561">
        <v>0</v>
      </c>
      <c r="KX64" s="561">
        <v>0</v>
      </c>
      <c r="KY64" s="561">
        <v>0</v>
      </c>
      <c r="KZ64" s="561">
        <v>997</v>
      </c>
      <c r="LA64" s="561">
        <v>-52</v>
      </c>
      <c r="LB64" s="561">
        <v>-351</v>
      </c>
      <c r="LC64" s="561">
        <v>0</v>
      </c>
      <c r="LD64" s="561">
        <v>-7100</v>
      </c>
      <c r="LE64" s="561">
        <v>-8</v>
      </c>
      <c r="LF64" s="561">
        <v>-39</v>
      </c>
      <c r="LG64" s="561">
        <v>14911</v>
      </c>
      <c r="LH64" s="561">
        <v>0</v>
      </c>
      <c r="LI64" s="561">
        <v>0</v>
      </c>
      <c r="LJ64" s="561">
        <v>0</v>
      </c>
      <c r="LK64" s="561">
        <v>0</v>
      </c>
      <c r="LL64" s="561">
        <v>1836</v>
      </c>
      <c r="LM64" s="561">
        <v>6631</v>
      </c>
      <c r="LN64" s="561">
        <v>0</v>
      </c>
      <c r="LO64" s="561">
        <v>0</v>
      </c>
      <c r="LP64" s="561">
        <v>0</v>
      </c>
      <c r="LQ64" s="561">
        <v>0</v>
      </c>
      <c r="LR64" s="561">
        <v>2833</v>
      </c>
      <c r="LS64" s="561">
        <v>6579</v>
      </c>
      <c r="LT64" s="561">
        <v>0</v>
      </c>
      <c r="LU64" s="561">
        <v>6226</v>
      </c>
      <c r="LV64" s="561">
        <v>0</v>
      </c>
      <c r="LW64" s="561">
        <v>112</v>
      </c>
      <c r="LX64" s="561">
        <v>6692</v>
      </c>
      <c r="LY64" s="561">
        <v>4114</v>
      </c>
      <c r="LZ64" s="561">
        <v>16653</v>
      </c>
      <c r="MA64" s="561">
        <v>0</v>
      </c>
      <c r="MB64" s="561">
        <v>0</v>
      </c>
      <c r="MC64" s="561">
        <v>26608</v>
      </c>
      <c r="MD64" s="561">
        <v>36913</v>
      </c>
      <c r="ME64" s="561">
        <v>-10305</v>
      </c>
      <c r="MF64" s="561">
        <v>18132</v>
      </c>
      <c r="MG64" s="561">
        <v>7827</v>
      </c>
      <c r="MH64" s="561">
        <v>4062</v>
      </c>
      <c r="MI64" s="561">
        <v>4805</v>
      </c>
      <c r="MJ64" s="561">
        <v>8867</v>
      </c>
      <c r="MK64" s="561">
        <v>0</v>
      </c>
      <c r="ML64" s="561">
        <v>0</v>
      </c>
      <c r="MM64" s="561">
        <v>0</v>
      </c>
      <c r="MN64" s="561">
        <v>0</v>
      </c>
      <c r="MO64" s="561">
        <v>2833</v>
      </c>
      <c r="MP64" s="561">
        <v>0</v>
      </c>
      <c r="MQ64" s="561">
        <v>0</v>
      </c>
      <c r="MR64" s="561">
        <v>97</v>
      </c>
      <c r="MS64" s="561">
        <v>39</v>
      </c>
      <c r="MT64" s="561">
        <v>0</v>
      </c>
      <c r="MU64" s="561">
        <v>0</v>
      </c>
      <c r="MV64" s="561">
        <v>2315</v>
      </c>
      <c r="MW64" s="561">
        <v>3385</v>
      </c>
      <c r="MX64" s="561">
        <v>9172</v>
      </c>
      <c r="MY64" s="561">
        <v>3158</v>
      </c>
      <c r="MZ64" s="561">
        <v>0</v>
      </c>
      <c r="NA64" s="561">
        <v>0</v>
      </c>
      <c r="NB64" s="561">
        <v>5791</v>
      </c>
      <c r="NC64" s="561">
        <v>0</v>
      </c>
      <c r="ND64" s="561">
        <v>23957</v>
      </c>
      <c r="NE64" s="561">
        <v>0</v>
      </c>
      <c r="NF64" s="561">
        <v>0</v>
      </c>
      <c r="NG64" s="561">
        <v>0</v>
      </c>
      <c r="NH64" s="561">
        <v>0</v>
      </c>
      <c r="NI64" s="561">
        <v>0</v>
      </c>
      <c r="NJ64" s="561">
        <v>8</v>
      </c>
      <c r="NK64" s="561">
        <v>0</v>
      </c>
      <c r="NL64" s="561">
        <v>0</v>
      </c>
      <c r="NM64" s="561">
        <v>0</v>
      </c>
      <c r="NN64" s="561">
        <v>0</v>
      </c>
      <c r="NO64" s="561">
        <v>0</v>
      </c>
      <c r="NP64" s="561">
        <v>0</v>
      </c>
      <c r="NQ64" s="561">
        <v>0</v>
      </c>
      <c r="NR64" s="561">
        <v>0</v>
      </c>
      <c r="NS64" s="561">
        <v>0</v>
      </c>
      <c r="NT64" s="561">
        <v>0</v>
      </c>
      <c r="NU64" s="561">
        <v>0</v>
      </c>
      <c r="NV64" s="561">
        <v>103</v>
      </c>
      <c r="NW64" s="561">
        <v>77</v>
      </c>
      <c r="NX64" s="561">
        <v>125</v>
      </c>
      <c r="NY64" s="561">
        <v>202</v>
      </c>
      <c r="NZ64" s="561">
        <v>0</v>
      </c>
      <c r="OA64" s="561">
        <v>0</v>
      </c>
      <c r="OB64" s="561">
        <v>0</v>
      </c>
      <c r="OC64" s="561">
        <v>0</v>
      </c>
      <c r="OD64" s="561">
        <v>0</v>
      </c>
      <c r="OE64" s="561">
        <v>0</v>
      </c>
      <c r="OF64" s="561">
        <v>0</v>
      </c>
      <c r="OG64" s="561">
        <v>0</v>
      </c>
      <c r="OH64" s="561">
        <v>0</v>
      </c>
      <c r="OI64" s="561">
        <v>0</v>
      </c>
      <c r="OJ64" s="561">
        <v>0</v>
      </c>
      <c r="OK64" s="561">
        <v>0</v>
      </c>
      <c r="OL64" s="561">
        <v>0</v>
      </c>
      <c r="OM64" s="561">
        <v>0</v>
      </c>
      <c r="ON64" s="561">
        <v>0</v>
      </c>
      <c r="OO64" s="561">
        <v>0</v>
      </c>
      <c r="OP64" s="561">
        <v>0</v>
      </c>
      <c r="OQ64" s="561">
        <v>0</v>
      </c>
      <c r="OR64" s="561">
        <v>0</v>
      </c>
      <c r="OS64" s="561">
        <v>0</v>
      </c>
      <c r="OT64" s="561">
        <v>0</v>
      </c>
      <c r="OU64" s="561">
        <v>0</v>
      </c>
      <c r="OV64" s="561">
        <v>0</v>
      </c>
      <c r="OW64" s="561">
        <v>0</v>
      </c>
      <c r="OX64" s="561">
        <v>0</v>
      </c>
      <c r="OY64" s="561">
        <v>125</v>
      </c>
      <c r="OZ64" s="561">
        <v>0</v>
      </c>
      <c r="PA64" s="561">
        <v>0</v>
      </c>
      <c r="PB64" s="561">
        <v>0</v>
      </c>
      <c r="PC64" s="561">
        <v>0</v>
      </c>
      <c r="PD64" s="561">
        <v>125</v>
      </c>
      <c r="PE64" s="561">
        <v>0</v>
      </c>
      <c r="PF64" s="561">
        <v>0</v>
      </c>
      <c r="PG64" s="561">
        <v>0</v>
      </c>
      <c r="PH64" s="561">
        <v>0</v>
      </c>
      <c r="PI64" s="561">
        <v>0</v>
      </c>
      <c r="PJ64" s="561">
        <v>0</v>
      </c>
    </row>
    <row r="65" spans="1:426" ht="14" x14ac:dyDescent="0.3">
      <c r="A65" t="s">
        <v>2624</v>
      </c>
      <c r="B65" t="s">
        <v>2625</v>
      </c>
      <c r="C65" t="s">
        <v>2626</v>
      </c>
      <c r="E65" t="s">
        <v>384</v>
      </c>
      <c r="F65" s="561">
        <v>0</v>
      </c>
      <c r="G65" s="561">
        <v>0</v>
      </c>
      <c r="H65" s="561">
        <v>0</v>
      </c>
      <c r="I65" s="561">
        <v>0</v>
      </c>
      <c r="J65" s="561">
        <v>0</v>
      </c>
      <c r="K65" s="561">
        <v>0</v>
      </c>
      <c r="L65" s="561">
        <v>0</v>
      </c>
      <c r="M65" s="561">
        <v>0</v>
      </c>
      <c r="N65" s="561">
        <v>0.31</v>
      </c>
      <c r="O65" s="561">
        <v>0</v>
      </c>
      <c r="P65" s="561">
        <v>0.31</v>
      </c>
      <c r="Q65" s="561">
        <v>0</v>
      </c>
      <c r="R65" s="561">
        <v>0</v>
      </c>
      <c r="S65" s="561">
        <v>280.89999999999998</v>
      </c>
      <c r="T65" s="561">
        <v>0</v>
      </c>
      <c r="U65" s="561">
        <v>0</v>
      </c>
      <c r="V65" s="561">
        <v>84.11</v>
      </c>
      <c r="W65" s="561">
        <v>0</v>
      </c>
      <c r="X65" s="561">
        <v>0</v>
      </c>
      <c r="Y65" s="561">
        <v>0</v>
      </c>
      <c r="Z65" s="561">
        <v>6.59</v>
      </c>
      <c r="AA65" s="561">
        <v>12.81</v>
      </c>
      <c r="AB65" s="561">
        <v>-4827.51</v>
      </c>
      <c r="AC65" s="561">
        <v>0</v>
      </c>
      <c r="AD65" s="561">
        <v>0</v>
      </c>
      <c r="AE65" s="561">
        <v>0</v>
      </c>
      <c r="AF65" s="561">
        <v>0</v>
      </c>
      <c r="AG65" s="561">
        <v>0</v>
      </c>
      <c r="AH65" s="561">
        <v>1.03</v>
      </c>
      <c r="AI65" s="561">
        <v>0</v>
      </c>
      <c r="AJ65" s="561">
        <v>-4441.45</v>
      </c>
      <c r="AK65" s="561">
        <v>0</v>
      </c>
      <c r="AL65" s="561">
        <v>0</v>
      </c>
      <c r="AM65" s="561">
        <v>0</v>
      </c>
      <c r="AN65" s="561">
        <v>0</v>
      </c>
      <c r="AO65" s="561">
        <v>0</v>
      </c>
      <c r="AP65" s="561">
        <v>0</v>
      </c>
      <c r="AQ65" s="561">
        <v>0</v>
      </c>
      <c r="AR65" s="561">
        <v>0</v>
      </c>
      <c r="AS65" s="561">
        <v>0</v>
      </c>
      <c r="AT65" s="561">
        <v>0</v>
      </c>
      <c r="AU65" s="561">
        <v>0</v>
      </c>
      <c r="AV65" s="561">
        <v>0</v>
      </c>
      <c r="AW65" s="561">
        <v>0</v>
      </c>
      <c r="AX65" s="561">
        <v>0</v>
      </c>
      <c r="AY65" s="561">
        <v>0</v>
      </c>
      <c r="AZ65" s="561">
        <v>0</v>
      </c>
      <c r="BA65" s="561">
        <v>0</v>
      </c>
      <c r="BB65" s="561">
        <v>0</v>
      </c>
      <c r="BC65" s="561">
        <v>0</v>
      </c>
      <c r="BD65" s="561">
        <v>0</v>
      </c>
      <c r="BE65" s="561">
        <v>0</v>
      </c>
      <c r="BF65" s="561">
        <v>0</v>
      </c>
      <c r="BG65" s="561">
        <v>0</v>
      </c>
      <c r="BH65" s="561">
        <v>0</v>
      </c>
      <c r="BI65" s="561">
        <v>0</v>
      </c>
      <c r="BJ65" s="561">
        <v>0</v>
      </c>
      <c r="BK65" s="561">
        <v>0</v>
      </c>
      <c r="BL65" s="561">
        <v>0</v>
      </c>
      <c r="BM65" s="561">
        <v>0</v>
      </c>
      <c r="BN65" s="561">
        <v>0</v>
      </c>
      <c r="BO65" s="561">
        <v>0</v>
      </c>
      <c r="BP65" s="561">
        <v>0</v>
      </c>
      <c r="BQ65" s="561">
        <v>0</v>
      </c>
      <c r="BR65" s="561">
        <v>0</v>
      </c>
      <c r="BS65" s="561">
        <v>0</v>
      </c>
      <c r="BT65" s="561">
        <v>0</v>
      </c>
      <c r="BU65" s="561">
        <v>0</v>
      </c>
      <c r="BV65" s="561">
        <v>0</v>
      </c>
      <c r="BW65" s="561">
        <v>0</v>
      </c>
      <c r="BX65" s="561">
        <v>0</v>
      </c>
      <c r="BY65" s="561">
        <v>0</v>
      </c>
      <c r="BZ65" s="561">
        <v>0</v>
      </c>
      <c r="CA65" s="561">
        <v>0</v>
      </c>
      <c r="CB65" s="561">
        <v>0</v>
      </c>
      <c r="CC65" s="561">
        <v>0</v>
      </c>
      <c r="CD65" s="561">
        <v>0</v>
      </c>
      <c r="CE65" s="561">
        <v>0</v>
      </c>
      <c r="CF65" s="561">
        <v>0</v>
      </c>
      <c r="CG65" s="561">
        <v>0</v>
      </c>
      <c r="CH65" s="561">
        <v>0</v>
      </c>
      <c r="CI65" s="561">
        <v>0</v>
      </c>
      <c r="CJ65" s="561">
        <v>0</v>
      </c>
      <c r="CK65" s="561">
        <v>0</v>
      </c>
      <c r="CL65" s="561">
        <v>0</v>
      </c>
      <c r="CM65" s="561">
        <v>0</v>
      </c>
      <c r="CN65" s="561">
        <v>0</v>
      </c>
      <c r="CO65" s="561">
        <v>0</v>
      </c>
      <c r="CP65" s="561">
        <v>0</v>
      </c>
      <c r="CQ65" s="561">
        <v>0</v>
      </c>
      <c r="CR65" s="561">
        <v>0</v>
      </c>
      <c r="CS65" s="561">
        <v>0</v>
      </c>
      <c r="CT65" s="561">
        <v>0</v>
      </c>
      <c r="CU65" s="561">
        <v>0</v>
      </c>
      <c r="CV65" s="561">
        <v>0</v>
      </c>
      <c r="CW65" s="561">
        <v>0</v>
      </c>
      <c r="CX65" s="561">
        <v>0</v>
      </c>
      <c r="CY65" s="561">
        <v>0</v>
      </c>
      <c r="CZ65" s="561">
        <v>0</v>
      </c>
      <c r="DA65" s="561">
        <v>0</v>
      </c>
      <c r="DB65" s="561">
        <v>0</v>
      </c>
      <c r="DC65" s="561">
        <v>0</v>
      </c>
      <c r="DD65" s="561">
        <v>0</v>
      </c>
      <c r="DE65" s="561">
        <v>0</v>
      </c>
      <c r="DF65" s="561">
        <v>0</v>
      </c>
      <c r="DG65" s="561">
        <v>0</v>
      </c>
      <c r="DH65" s="561">
        <v>1047.3399999999999</v>
      </c>
      <c r="DI65" s="561">
        <v>488.44</v>
      </c>
      <c r="DJ65" s="561">
        <v>0</v>
      </c>
      <c r="DK65" s="561">
        <v>0</v>
      </c>
      <c r="DL65" s="561">
        <v>4106.34</v>
      </c>
      <c r="DM65" s="561">
        <v>1028.32</v>
      </c>
      <c r="DN65" s="561">
        <v>0</v>
      </c>
      <c r="DO65" s="561">
        <v>443.66</v>
      </c>
      <c r="DP65" s="561">
        <v>-308.70999999999998</v>
      </c>
      <c r="DQ65" s="561">
        <v>141.88999999999999</v>
      </c>
      <c r="DR65" s="561">
        <v>2.12</v>
      </c>
      <c r="DS65" s="561">
        <v>984.1</v>
      </c>
      <c r="DT65" s="561">
        <v>0</v>
      </c>
      <c r="DU65" s="561">
        <v>6397.72</v>
      </c>
      <c r="DV65" s="561">
        <v>0</v>
      </c>
      <c r="DW65" s="561">
        <v>198.81</v>
      </c>
      <c r="DX65" s="561">
        <v>0</v>
      </c>
      <c r="DY65" s="561">
        <v>1337.52</v>
      </c>
      <c r="DZ65" s="561">
        <v>131.41999999999999</v>
      </c>
      <c r="EA65" s="561">
        <v>364.88</v>
      </c>
      <c r="EB65" s="561">
        <v>0</v>
      </c>
      <c r="EC65" s="561">
        <v>9966.1299999999992</v>
      </c>
      <c r="ED65" s="561">
        <v>281.73</v>
      </c>
      <c r="EE65" s="561">
        <v>0</v>
      </c>
      <c r="EF65" s="561">
        <v>0</v>
      </c>
      <c r="EG65" s="561">
        <v>0</v>
      </c>
      <c r="EH65" s="561">
        <v>0</v>
      </c>
      <c r="EI65" s="561">
        <v>0</v>
      </c>
      <c r="EJ65" s="561">
        <v>0</v>
      </c>
      <c r="EK65" s="561">
        <v>0</v>
      </c>
      <c r="EL65" s="561">
        <v>0</v>
      </c>
      <c r="EM65" s="561">
        <v>0</v>
      </c>
      <c r="EN65" s="561">
        <v>0</v>
      </c>
      <c r="EO65" s="561">
        <v>0</v>
      </c>
      <c r="EP65" s="561">
        <v>0</v>
      </c>
      <c r="EQ65" s="561">
        <v>0</v>
      </c>
      <c r="ER65" s="561">
        <v>0</v>
      </c>
      <c r="ES65" s="561" t="s">
        <v>4565</v>
      </c>
      <c r="ET65" s="561">
        <v>0</v>
      </c>
      <c r="EU65" s="561">
        <v>0</v>
      </c>
      <c r="EV65" s="561">
        <v>0</v>
      </c>
      <c r="EW65" s="561">
        <v>0</v>
      </c>
      <c r="EX65" s="561">
        <v>0</v>
      </c>
      <c r="EY65" s="561">
        <v>0</v>
      </c>
      <c r="EZ65" s="561">
        <v>0</v>
      </c>
      <c r="FA65" s="561">
        <v>0</v>
      </c>
      <c r="FB65" s="561">
        <v>0</v>
      </c>
      <c r="FC65" s="561">
        <v>212.71</v>
      </c>
      <c r="FD65" s="561">
        <v>103.5</v>
      </c>
      <c r="FE65" s="561">
        <v>1291.67</v>
      </c>
      <c r="FF65" s="561">
        <v>132</v>
      </c>
      <c r="FG65" s="561">
        <v>0</v>
      </c>
      <c r="FH65" s="561">
        <v>0</v>
      </c>
      <c r="FI65" s="561">
        <v>360.38</v>
      </c>
      <c r="FJ65" s="561">
        <v>2293.2800000000002</v>
      </c>
      <c r="FK65" s="561">
        <v>2620.9699999999998</v>
      </c>
      <c r="FL65" s="561">
        <v>112.64</v>
      </c>
      <c r="FM65" s="561">
        <v>0</v>
      </c>
      <c r="FN65" s="561">
        <v>0</v>
      </c>
      <c r="FO65" s="561">
        <v>7127.15</v>
      </c>
      <c r="FP65" s="561">
        <v>25.04</v>
      </c>
      <c r="FQ65" s="561">
        <v>-934.94</v>
      </c>
      <c r="FR65" s="561">
        <v>0</v>
      </c>
      <c r="FS65" s="561">
        <v>0</v>
      </c>
      <c r="FT65" s="561">
        <v>295.14999999999998</v>
      </c>
      <c r="FU65" s="561">
        <v>440.97</v>
      </c>
      <c r="FV65" s="561">
        <v>0</v>
      </c>
      <c r="FW65" s="561">
        <v>0</v>
      </c>
      <c r="FX65" s="561">
        <v>0</v>
      </c>
      <c r="FY65" s="561">
        <v>0</v>
      </c>
      <c r="FZ65" s="561">
        <v>51.8</v>
      </c>
      <c r="GA65" s="561">
        <v>289.56</v>
      </c>
      <c r="GB65" s="561">
        <v>272.8</v>
      </c>
      <c r="GC65" s="561">
        <v>-23.28</v>
      </c>
      <c r="GD65" s="561">
        <v>582.41999999999996</v>
      </c>
      <c r="GE65" s="561">
        <v>0</v>
      </c>
      <c r="GF65" s="561">
        <v>573.21</v>
      </c>
      <c r="GG65" s="561">
        <v>0</v>
      </c>
      <c r="GH65" s="561">
        <v>0</v>
      </c>
      <c r="GI65" s="561">
        <v>0</v>
      </c>
      <c r="GJ65" s="561">
        <v>0</v>
      </c>
      <c r="GK65" s="561">
        <v>0</v>
      </c>
      <c r="GL65" s="561">
        <v>2372.92</v>
      </c>
      <c r="GM65" s="561">
        <v>3032.71</v>
      </c>
      <c r="GN65" s="561">
        <v>0</v>
      </c>
      <c r="GO65" s="561">
        <v>-103.42</v>
      </c>
      <c r="GP65" s="561">
        <v>2484.19</v>
      </c>
      <c r="GQ65" s="561">
        <v>245.71</v>
      </c>
      <c r="GR65" s="561">
        <v>0</v>
      </c>
      <c r="GS65" s="561">
        <v>9579.7999999999993</v>
      </c>
      <c r="GT65" s="561">
        <v>1858</v>
      </c>
      <c r="GU65" s="561">
        <v>305.62</v>
      </c>
      <c r="GV65" s="561">
        <v>1449.4</v>
      </c>
      <c r="GW65" s="561">
        <v>0</v>
      </c>
      <c r="GX65" s="561">
        <v>1428.17</v>
      </c>
      <c r="GY65" s="561">
        <v>0</v>
      </c>
      <c r="GZ65" s="561">
        <v>420.29</v>
      </c>
      <c r="HA65" s="561">
        <v>0</v>
      </c>
      <c r="HB65" s="561">
        <v>-1.75</v>
      </c>
      <c r="HC65" s="561">
        <v>52.39</v>
      </c>
      <c r="HD65" s="561">
        <v>3654.12</v>
      </c>
      <c r="HE65" s="561">
        <v>106.17</v>
      </c>
      <c r="HF65" s="561">
        <v>20361.07</v>
      </c>
      <c r="HG65" s="561">
        <v>1989.21</v>
      </c>
      <c r="HH65" s="561">
        <v>0</v>
      </c>
      <c r="HI65" s="561">
        <v>0</v>
      </c>
      <c r="HJ65" s="561">
        <v>0</v>
      </c>
      <c r="HK65" s="561">
        <v>0</v>
      </c>
      <c r="HL65" s="561">
        <v>0</v>
      </c>
      <c r="HM65" s="561">
        <v>0</v>
      </c>
      <c r="HN65" s="561">
        <v>0</v>
      </c>
      <c r="HO65" s="561">
        <v>4115.2</v>
      </c>
      <c r="HP65" s="561">
        <v>1324.18</v>
      </c>
      <c r="HQ65" s="561">
        <v>0</v>
      </c>
      <c r="HR65" s="561">
        <v>0</v>
      </c>
      <c r="HS65" s="561">
        <v>445.84</v>
      </c>
      <c r="HT65" s="561">
        <v>449.23</v>
      </c>
      <c r="HU65" s="561">
        <v>0</v>
      </c>
      <c r="HV65" s="561">
        <v>0</v>
      </c>
      <c r="HW65" s="561">
        <v>297.58</v>
      </c>
      <c r="HX65" s="561">
        <v>164.2</v>
      </c>
      <c r="HY65" s="561">
        <v>0</v>
      </c>
      <c r="HZ65" s="561">
        <v>-2.0299999999999998</v>
      </c>
      <c r="IA65" s="561">
        <v>0</v>
      </c>
      <c r="IB65" s="561">
        <v>373.57</v>
      </c>
      <c r="IC65" s="561">
        <v>0</v>
      </c>
      <c r="ID65" s="561">
        <v>0</v>
      </c>
      <c r="IE65" s="561">
        <v>561.36</v>
      </c>
      <c r="IF65" s="561">
        <v>0</v>
      </c>
      <c r="IG65" s="561">
        <v>0</v>
      </c>
      <c r="IH65" s="561">
        <v>-53.99</v>
      </c>
      <c r="II65" s="561">
        <v>7675.14</v>
      </c>
      <c r="IJ65" s="561">
        <v>701.85</v>
      </c>
      <c r="IK65" s="561">
        <v>2960.79</v>
      </c>
      <c r="IL65" s="561">
        <v>13248.41</v>
      </c>
      <c r="IM65" s="561">
        <v>0</v>
      </c>
      <c r="IN65" s="561">
        <v>0</v>
      </c>
      <c r="IO65" s="561">
        <v>189.17</v>
      </c>
      <c r="IP65" s="561">
        <v>-33.08</v>
      </c>
      <c r="IQ65" s="561">
        <v>0</v>
      </c>
      <c r="IR65" s="561">
        <v>0</v>
      </c>
      <c r="IS65" s="561">
        <v>-4441.45</v>
      </c>
      <c r="IT65" s="561">
        <v>0</v>
      </c>
      <c r="IU65" s="561">
        <v>0</v>
      </c>
      <c r="IV65" s="561">
        <v>0</v>
      </c>
      <c r="IW65" s="561">
        <v>9966.1299999999992</v>
      </c>
      <c r="IX65" s="561">
        <v>7127.15</v>
      </c>
      <c r="IY65" s="561">
        <v>9579.7999999999993</v>
      </c>
      <c r="IZ65" s="561">
        <v>3654.12</v>
      </c>
      <c r="JA65" s="561">
        <v>0</v>
      </c>
      <c r="JB65" s="561">
        <v>0</v>
      </c>
      <c r="JC65" s="561">
        <v>7675.14</v>
      </c>
      <c r="JD65" s="561">
        <v>-33.08</v>
      </c>
      <c r="JE65" s="561">
        <v>33527.81</v>
      </c>
      <c r="JF65" s="561">
        <v>27130.76</v>
      </c>
      <c r="JG65" s="561">
        <v>3121.47</v>
      </c>
      <c r="JH65" s="561">
        <v>0</v>
      </c>
      <c r="JI65" s="561">
        <v>0</v>
      </c>
      <c r="JJ65" s="561">
        <v>0</v>
      </c>
      <c r="JK65" s="561">
        <v>3509</v>
      </c>
      <c r="JL65" s="561">
        <v>0</v>
      </c>
      <c r="JM65" s="561">
        <v>0</v>
      </c>
      <c r="JN65" s="561">
        <v>0</v>
      </c>
      <c r="JO65" s="561">
        <v>0</v>
      </c>
      <c r="JP65" s="561">
        <v>-1517.16</v>
      </c>
      <c r="JQ65" s="561">
        <v>269.47000000000003</v>
      </c>
      <c r="JR65" s="561">
        <v>-1259.8399999999999</v>
      </c>
      <c r="JS65" s="561">
        <v>-194.47</v>
      </c>
      <c r="JT65" s="561">
        <v>-36.81</v>
      </c>
      <c r="JU65" s="561">
        <v>0</v>
      </c>
      <c r="JV65" s="561">
        <v>64550.23</v>
      </c>
      <c r="JW65" s="561">
        <v>0</v>
      </c>
      <c r="JX65" s="561">
        <v>3</v>
      </c>
      <c r="JY65" s="561">
        <v>0</v>
      </c>
      <c r="JZ65" s="561">
        <v>0</v>
      </c>
      <c r="KA65" s="561">
        <v>0</v>
      </c>
      <c r="KB65" s="561">
        <v>38.590000000000003</v>
      </c>
      <c r="KC65" s="561">
        <v>1090.06</v>
      </c>
      <c r="KD65" s="561">
        <v>0.37</v>
      </c>
      <c r="KE65" s="561">
        <v>355.5</v>
      </c>
      <c r="KF65" s="561">
        <v>0</v>
      </c>
      <c r="KG65" s="561">
        <v>66037.75</v>
      </c>
      <c r="KH65" s="561">
        <v>-2875.76</v>
      </c>
      <c r="KI65" s="561">
        <v>0</v>
      </c>
      <c r="KJ65" s="561">
        <v>0</v>
      </c>
      <c r="KK65" s="561">
        <v>0</v>
      </c>
      <c r="KL65" s="561">
        <v>-30222.67</v>
      </c>
      <c r="KM65" s="561">
        <v>0</v>
      </c>
      <c r="KN65" s="561">
        <v>-123.97</v>
      </c>
      <c r="KO65" s="561">
        <v>0</v>
      </c>
      <c r="KP65" s="561">
        <v>0</v>
      </c>
      <c r="KQ65" s="561">
        <v>0</v>
      </c>
      <c r="KR65" s="561">
        <v>32815.35</v>
      </c>
      <c r="KS65" s="561">
        <v>0</v>
      </c>
      <c r="KT65" s="561">
        <v>-6879.27</v>
      </c>
      <c r="KU65" s="561">
        <v>25936.080000000002</v>
      </c>
      <c r="KV65" s="561">
        <v>0</v>
      </c>
      <c r="KW65" s="561">
        <v>0</v>
      </c>
      <c r="KX65" s="561">
        <v>0</v>
      </c>
      <c r="KY65" s="561">
        <v>0</v>
      </c>
      <c r="KZ65" s="561">
        <v>2398.34</v>
      </c>
      <c r="LA65" s="561">
        <v>-395.77</v>
      </c>
      <c r="LB65" s="561">
        <v>-182</v>
      </c>
      <c r="LC65" s="561">
        <v>0</v>
      </c>
      <c r="LD65" s="561">
        <v>-8561.86</v>
      </c>
      <c r="LE65" s="561">
        <v>156.09</v>
      </c>
      <c r="LF65" s="561">
        <v>5</v>
      </c>
      <c r="LG65" s="561">
        <v>19356</v>
      </c>
      <c r="LH65" s="561">
        <v>0</v>
      </c>
      <c r="LI65" s="561">
        <v>0</v>
      </c>
      <c r="LJ65" s="561">
        <v>0</v>
      </c>
      <c r="LK65" s="561">
        <v>0</v>
      </c>
      <c r="LL65" s="561">
        <v>15033</v>
      </c>
      <c r="LM65" s="561">
        <v>14636</v>
      </c>
      <c r="LN65" s="561">
        <v>0</v>
      </c>
      <c r="LO65" s="561">
        <v>0</v>
      </c>
      <c r="LP65" s="561">
        <v>0</v>
      </c>
      <c r="LQ65" s="561">
        <v>0</v>
      </c>
      <c r="LR65" s="561">
        <v>17431.34</v>
      </c>
      <c r="LS65" s="561">
        <v>14240.23</v>
      </c>
      <c r="LT65" s="561">
        <v>0</v>
      </c>
      <c r="LU65" s="561">
        <v>8936.24</v>
      </c>
      <c r="LV65" s="561">
        <v>2712.49</v>
      </c>
      <c r="LW65" s="561">
        <v>-4377.66</v>
      </c>
      <c r="LX65" s="561">
        <v>0</v>
      </c>
      <c r="LY65" s="561">
        <v>12036.48</v>
      </c>
      <c r="LZ65" s="561">
        <v>19307.55</v>
      </c>
      <c r="MA65" s="561">
        <v>0</v>
      </c>
      <c r="MB65" s="561">
        <v>0</v>
      </c>
      <c r="MC65" s="561">
        <v>0</v>
      </c>
      <c r="MD65" s="561">
        <v>0</v>
      </c>
      <c r="ME65" s="561">
        <v>0</v>
      </c>
      <c r="MF65" s="561">
        <v>0</v>
      </c>
      <c r="MG65" s="561">
        <v>0</v>
      </c>
      <c r="MH65" s="561">
        <v>3489.15</v>
      </c>
      <c r="MI65" s="561">
        <v>4122.21</v>
      </c>
      <c r="MJ65" s="561">
        <v>7611.36</v>
      </c>
      <c r="MK65" s="561">
        <v>0</v>
      </c>
      <c r="ML65" s="561">
        <v>0</v>
      </c>
      <c r="MM65" s="561">
        <v>7582.96</v>
      </c>
      <c r="MN65" s="561">
        <v>9848.3799999999992</v>
      </c>
      <c r="MO65" s="561">
        <v>0</v>
      </c>
      <c r="MP65" s="561">
        <v>0</v>
      </c>
      <c r="MQ65" s="561">
        <v>0</v>
      </c>
      <c r="MR65" s="561">
        <v>-4441.45</v>
      </c>
      <c r="MS65" s="561">
        <v>0</v>
      </c>
      <c r="MT65" s="561">
        <v>0</v>
      </c>
      <c r="MU65" s="561">
        <v>0</v>
      </c>
      <c r="MV65" s="561">
        <v>9966.1299999999992</v>
      </c>
      <c r="MW65" s="561">
        <v>7127.15</v>
      </c>
      <c r="MX65" s="561">
        <v>9579.7999999999993</v>
      </c>
      <c r="MY65" s="561">
        <v>3654.12</v>
      </c>
      <c r="MZ65" s="561">
        <v>0</v>
      </c>
      <c r="NA65" s="561">
        <v>0</v>
      </c>
      <c r="NB65" s="561">
        <v>7675.14</v>
      </c>
      <c r="NC65" s="561">
        <v>-33.08</v>
      </c>
      <c r="ND65" s="561">
        <v>33527.81</v>
      </c>
      <c r="NE65" s="561">
        <v>0</v>
      </c>
      <c r="NF65" s="561">
        <v>0</v>
      </c>
      <c r="NG65" s="561">
        <v>0</v>
      </c>
      <c r="NH65" s="561">
        <v>0</v>
      </c>
      <c r="NI65" s="561">
        <v>0</v>
      </c>
      <c r="NJ65" s="561">
        <v>0</v>
      </c>
      <c r="NK65" s="561">
        <v>0</v>
      </c>
      <c r="NL65" s="561">
        <v>0</v>
      </c>
      <c r="NM65" s="561">
        <v>0</v>
      </c>
      <c r="NN65" s="561">
        <v>0</v>
      </c>
      <c r="NO65" s="561">
        <v>0</v>
      </c>
      <c r="NP65" s="561">
        <v>0</v>
      </c>
      <c r="NQ65" s="561">
        <v>0</v>
      </c>
      <c r="NR65" s="561">
        <v>0</v>
      </c>
      <c r="NS65" s="561">
        <v>-2850</v>
      </c>
      <c r="NT65" s="561">
        <v>0</v>
      </c>
      <c r="NU65" s="561">
        <v>0</v>
      </c>
      <c r="NV65" s="561">
        <v>73</v>
      </c>
      <c r="NW65" s="561">
        <v>-2777</v>
      </c>
      <c r="NX65" s="561">
        <v>1259.8399999999999</v>
      </c>
      <c r="NY65" s="561">
        <v>-1517.16</v>
      </c>
      <c r="NZ65" s="561">
        <v>0</v>
      </c>
      <c r="OA65" s="561">
        <v>0</v>
      </c>
      <c r="OB65" s="561">
        <v>0</v>
      </c>
      <c r="OC65" s="561">
        <v>0</v>
      </c>
      <c r="OD65" s="561">
        <v>0</v>
      </c>
      <c r="OE65" s="561">
        <v>0</v>
      </c>
      <c r="OF65" s="561">
        <v>0</v>
      </c>
      <c r="OG65" s="561">
        <v>0</v>
      </c>
      <c r="OH65" s="561">
        <v>0</v>
      </c>
      <c r="OI65" s="561">
        <v>0</v>
      </c>
      <c r="OJ65" s="561">
        <v>0</v>
      </c>
      <c r="OK65" s="561">
        <v>0</v>
      </c>
      <c r="OL65" s="561">
        <v>24</v>
      </c>
      <c r="OM65" s="561">
        <v>51</v>
      </c>
      <c r="ON65" s="561">
        <v>0</v>
      </c>
      <c r="OO65" s="561">
        <v>0</v>
      </c>
      <c r="OP65" s="561">
        <v>0</v>
      </c>
      <c r="OQ65" s="561">
        <v>0</v>
      </c>
      <c r="OR65" s="561">
        <v>0</v>
      </c>
      <c r="OS65" s="561">
        <v>0</v>
      </c>
      <c r="OT65" s="561">
        <v>0</v>
      </c>
      <c r="OU65" s="561">
        <v>0</v>
      </c>
      <c r="OV65" s="561">
        <v>253.97</v>
      </c>
      <c r="OW65" s="561">
        <v>194.47</v>
      </c>
      <c r="OX65" s="561">
        <v>269.47000000000003</v>
      </c>
      <c r="OY65" s="561">
        <v>331.76</v>
      </c>
      <c r="OZ65" s="561">
        <v>928.08</v>
      </c>
      <c r="PA65" s="561">
        <v>0</v>
      </c>
      <c r="PB65" s="561">
        <v>0</v>
      </c>
      <c r="PC65" s="561">
        <v>0</v>
      </c>
      <c r="PD65" s="561">
        <v>1259.8399999999999</v>
      </c>
      <c r="PE65" s="561">
        <v>194.47</v>
      </c>
      <c r="PF65" s="561">
        <v>0</v>
      </c>
      <c r="PG65" s="561">
        <v>0</v>
      </c>
      <c r="PH65" s="561">
        <v>0</v>
      </c>
      <c r="PI65" s="561">
        <v>0</v>
      </c>
      <c r="PJ65" s="561">
        <v>194.47</v>
      </c>
    </row>
    <row r="66" spans="1:426" ht="14" x14ac:dyDescent="0.3">
      <c r="A66" t="s">
        <v>2627</v>
      </c>
      <c r="B66" t="s">
        <v>2628</v>
      </c>
      <c r="C66" t="s">
        <v>2629</v>
      </c>
      <c r="E66" t="s">
        <v>384</v>
      </c>
      <c r="F66" s="561">
        <v>0</v>
      </c>
      <c r="G66" s="561">
        <v>0</v>
      </c>
      <c r="H66" s="561">
        <v>0</v>
      </c>
      <c r="I66" s="561">
        <v>0</v>
      </c>
      <c r="J66" s="561">
        <v>0</v>
      </c>
      <c r="K66" s="561">
        <v>0</v>
      </c>
      <c r="L66" s="561">
        <v>0</v>
      </c>
      <c r="M66" s="561">
        <v>0</v>
      </c>
      <c r="N66" s="561">
        <v>0</v>
      </c>
      <c r="O66" s="561">
        <v>0</v>
      </c>
      <c r="P66" s="561">
        <v>0</v>
      </c>
      <c r="Q66" s="561">
        <v>0</v>
      </c>
      <c r="R66" s="561">
        <v>0</v>
      </c>
      <c r="S66" s="561">
        <v>0</v>
      </c>
      <c r="T66" s="561">
        <v>96</v>
      </c>
      <c r="U66" s="561">
        <v>0</v>
      </c>
      <c r="V66" s="561">
        <v>0</v>
      </c>
      <c r="W66" s="561">
        <v>0</v>
      </c>
      <c r="X66" s="561">
        <v>0</v>
      </c>
      <c r="Y66" s="561">
        <v>0</v>
      </c>
      <c r="Z66" s="561">
        <v>0</v>
      </c>
      <c r="AA66" s="561">
        <v>0</v>
      </c>
      <c r="AB66" s="561">
        <v>-3116</v>
      </c>
      <c r="AC66" s="561">
        <v>0</v>
      </c>
      <c r="AD66" s="561">
        <v>0</v>
      </c>
      <c r="AE66" s="561">
        <v>0</v>
      </c>
      <c r="AF66" s="561">
        <v>0</v>
      </c>
      <c r="AG66" s="561">
        <v>0</v>
      </c>
      <c r="AH66" s="561">
        <v>32</v>
      </c>
      <c r="AI66" s="561">
        <v>174</v>
      </c>
      <c r="AJ66" s="561">
        <v>-2814</v>
      </c>
      <c r="AK66" s="561">
        <v>0</v>
      </c>
      <c r="AL66" s="561">
        <v>0</v>
      </c>
      <c r="AM66" s="561">
        <v>0</v>
      </c>
      <c r="AN66" s="561">
        <v>0</v>
      </c>
      <c r="AO66" s="561">
        <v>0</v>
      </c>
      <c r="AP66" s="561">
        <v>0</v>
      </c>
      <c r="AQ66" s="561">
        <v>0</v>
      </c>
      <c r="AR66" s="561">
        <v>0</v>
      </c>
      <c r="AS66" s="561">
        <v>0</v>
      </c>
      <c r="AT66" s="561">
        <v>0</v>
      </c>
      <c r="AU66" s="561">
        <v>0</v>
      </c>
      <c r="AV66" s="561">
        <v>0</v>
      </c>
      <c r="AW66" s="561">
        <v>0</v>
      </c>
      <c r="AX66" s="561">
        <v>0</v>
      </c>
      <c r="AY66" s="561">
        <v>0</v>
      </c>
      <c r="AZ66" s="561">
        <v>0</v>
      </c>
      <c r="BA66" s="561">
        <v>0</v>
      </c>
      <c r="BB66" s="561">
        <v>0</v>
      </c>
      <c r="BC66" s="561">
        <v>0</v>
      </c>
      <c r="BD66" s="561">
        <v>0</v>
      </c>
      <c r="BE66" s="561">
        <v>0</v>
      </c>
      <c r="BF66" s="561">
        <v>0</v>
      </c>
      <c r="BG66" s="561">
        <v>0</v>
      </c>
      <c r="BH66" s="561">
        <v>0</v>
      </c>
      <c r="BI66" s="561">
        <v>0</v>
      </c>
      <c r="BJ66" s="561">
        <v>0</v>
      </c>
      <c r="BK66" s="561">
        <v>0</v>
      </c>
      <c r="BL66" s="561">
        <v>0</v>
      </c>
      <c r="BM66" s="561">
        <v>0</v>
      </c>
      <c r="BN66" s="561">
        <v>0</v>
      </c>
      <c r="BO66" s="561">
        <v>0</v>
      </c>
      <c r="BP66" s="561">
        <v>0</v>
      </c>
      <c r="BQ66" s="561">
        <v>0</v>
      </c>
      <c r="BR66" s="561">
        <v>0</v>
      </c>
      <c r="BS66" s="561">
        <v>0</v>
      </c>
      <c r="BT66" s="561">
        <v>0</v>
      </c>
      <c r="BU66" s="561">
        <v>0</v>
      </c>
      <c r="BV66" s="561">
        <v>0</v>
      </c>
      <c r="BW66" s="561">
        <v>0</v>
      </c>
      <c r="BX66" s="561">
        <v>0</v>
      </c>
      <c r="BY66" s="561">
        <v>0</v>
      </c>
      <c r="BZ66" s="561">
        <v>0</v>
      </c>
      <c r="CA66" s="561">
        <v>0</v>
      </c>
      <c r="CB66" s="561">
        <v>0</v>
      </c>
      <c r="CC66" s="561">
        <v>0</v>
      </c>
      <c r="CD66" s="561">
        <v>0</v>
      </c>
      <c r="CE66" s="561">
        <v>0</v>
      </c>
      <c r="CF66" s="561">
        <v>0</v>
      </c>
      <c r="CG66" s="561">
        <v>0</v>
      </c>
      <c r="CH66" s="561">
        <v>0</v>
      </c>
      <c r="CI66" s="561">
        <v>0</v>
      </c>
      <c r="CJ66" s="561">
        <v>0</v>
      </c>
      <c r="CK66" s="561">
        <v>0</v>
      </c>
      <c r="CL66" s="561">
        <v>0</v>
      </c>
      <c r="CM66" s="561">
        <v>0</v>
      </c>
      <c r="CN66" s="561">
        <v>0</v>
      </c>
      <c r="CO66" s="561">
        <v>0</v>
      </c>
      <c r="CP66" s="561">
        <v>0</v>
      </c>
      <c r="CQ66" s="561">
        <v>0</v>
      </c>
      <c r="CR66" s="561">
        <v>0</v>
      </c>
      <c r="CS66" s="561">
        <v>0</v>
      </c>
      <c r="CT66" s="561">
        <v>0</v>
      </c>
      <c r="CU66" s="561">
        <v>0</v>
      </c>
      <c r="CV66" s="561">
        <v>0</v>
      </c>
      <c r="CW66" s="561">
        <v>0</v>
      </c>
      <c r="CX66" s="561">
        <v>0</v>
      </c>
      <c r="CY66" s="561">
        <v>0</v>
      </c>
      <c r="CZ66" s="561">
        <v>0</v>
      </c>
      <c r="DA66" s="561">
        <v>0</v>
      </c>
      <c r="DB66" s="561">
        <v>0</v>
      </c>
      <c r="DC66" s="561">
        <v>0</v>
      </c>
      <c r="DD66" s="561">
        <v>0</v>
      </c>
      <c r="DE66" s="561">
        <v>0</v>
      </c>
      <c r="DF66" s="561">
        <v>0</v>
      </c>
      <c r="DG66" s="561">
        <v>0</v>
      </c>
      <c r="DH66" s="561">
        <v>0</v>
      </c>
      <c r="DI66" s="561">
        <v>0</v>
      </c>
      <c r="DJ66" s="561">
        <v>0</v>
      </c>
      <c r="DK66" s="561">
        <v>0</v>
      </c>
      <c r="DL66" s="561">
        <v>0</v>
      </c>
      <c r="DM66" s="561">
        <v>0</v>
      </c>
      <c r="DN66" s="561">
        <v>0</v>
      </c>
      <c r="DO66" s="561">
        <v>106</v>
      </c>
      <c r="DP66" s="561">
        <v>0</v>
      </c>
      <c r="DQ66" s="561">
        <v>59</v>
      </c>
      <c r="DR66" s="561">
        <v>0</v>
      </c>
      <c r="DS66" s="561">
        <v>769</v>
      </c>
      <c r="DT66" s="561">
        <v>0</v>
      </c>
      <c r="DU66" s="561">
        <v>934</v>
      </c>
      <c r="DV66" s="561">
        <v>0</v>
      </c>
      <c r="DW66" s="561">
        <v>0</v>
      </c>
      <c r="DX66" s="561">
        <v>0</v>
      </c>
      <c r="DY66" s="561">
        <v>128</v>
      </c>
      <c r="DZ66" s="561">
        <v>0</v>
      </c>
      <c r="EA66" s="561">
        <v>0</v>
      </c>
      <c r="EB66" s="561">
        <v>0</v>
      </c>
      <c r="EC66" s="561">
        <v>1062</v>
      </c>
      <c r="ED66" s="561">
        <v>55</v>
      </c>
      <c r="EE66" s="561">
        <v>23642</v>
      </c>
      <c r="EF66" s="561">
        <v>250</v>
      </c>
      <c r="EG66" s="561">
        <v>1208</v>
      </c>
      <c r="EH66" s="561">
        <v>274</v>
      </c>
      <c r="EI66" s="561">
        <v>17</v>
      </c>
      <c r="EJ66" s="561">
        <v>46</v>
      </c>
      <c r="EK66" s="561">
        <v>0</v>
      </c>
      <c r="EL66" s="561">
        <v>0</v>
      </c>
      <c r="EM66" s="561">
        <v>0</v>
      </c>
      <c r="EN66" s="561">
        <v>5557</v>
      </c>
      <c r="EO66" s="561">
        <v>9360</v>
      </c>
      <c r="EP66" s="561">
        <v>1201</v>
      </c>
      <c r="EQ66" s="561">
        <v>231</v>
      </c>
      <c r="ER66" s="561">
        <v>3211</v>
      </c>
      <c r="ES66" s="561" t="s">
        <v>4565</v>
      </c>
      <c r="ET66" s="561">
        <v>0</v>
      </c>
      <c r="EU66" s="561">
        <v>0</v>
      </c>
      <c r="EV66" s="561">
        <v>116</v>
      </c>
      <c r="EW66" s="561">
        <v>0</v>
      </c>
      <c r="EX66" s="561">
        <v>6016</v>
      </c>
      <c r="EY66" s="561">
        <v>78</v>
      </c>
      <c r="EZ66" s="561">
        <v>-333</v>
      </c>
      <c r="FA66" s="561">
        <v>936</v>
      </c>
      <c r="FB66" s="561">
        <v>0</v>
      </c>
      <c r="FC66" s="561">
        <v>0</v>
      </c>
      <c r="FD66" s="561">
        <v>428</v>
      </c>
      <c r="FE66" s="561">
        <v>286</v>
      </c>
      <c r="FF66" s="561">
        <v>486</v>
      </c>
      <c r="FG66" s="561">
        <v>0</v>
      </c>
      <c r="FH66" s="561">
        <v>0</v>
      </c>
      <c r="FI66" s="561">
        <v>0</v>
      </c>
      <c r="FJ66" s="561">
        <v>1122</v>
      </c>
      <c r="FK66" s="561">
        <v>1761</v>
      </c>
      <c r="FL66" s="561">
        <v>0</v>
      </c>
      <c r="FM66" s="561">
        <v>192</v>
      </c>
      <c r="FN66" s="561">
        <v>0</v>
      </c>
      <c r="FO66" s="561">
        <v>4275</v>
      </c>
      <c r="FP66" s="561">
        <v>0</v>
      </c>
      <c r="FQ66" s="561">
        <v>-1268</v>
      </c>
      <c r="FR66" s="561">
        <v>0</v>
      </c>
      <c r="FS66" s="561">
        <v>0</v>
      </c>
      <c r="FT66" s="561">
        <v>-3</v>
      </c>
      <c r="FU66" s="561">
        <v>202</v>
      </c>
      <c r="FV66" s="561">
        <v>252</v>
      </c>
      <c r="FW66" s="561">
        <v>0</v>
      </c>
      <c r="FX66" s="561">
        <v>0</v>
      </c>
      <c r="FY66" s="561">
        <v>0</v>
      </c>
      <c r="FZ66" s="561">
        <v>-33</v>
      </c>
      <c r="GA66" s="561">
        <v>189</v>
      </c>
      <c r="GB66" s="561">
        <v>14</v>
      </c>
      <c r="GC66" s="561">
        <v>-117</v>
      </c>
      <c r="GD66" s="561">
        <v>7</v>
      </c>
      <c r="GE66" s="561">
        <v>-50</v>
      </c>
      <c r="GF66" s="561">
        <v>63</v>
      </c>
      <c r="GG66" s="561">
        <v>100</v>
      </c>
      <c r="GH66" s="561">
        <v>0</v>
      </c>
      <c r="GI66" s="561">
        <v>0</v>
      </c>
      <c r="GJ66" s="561">
        <v>0</v>
      </c>
      <c r="GK66" s="561">
        <v>0</v>
      </c>
      <c r="GL66" s="561">
        <v>1332</v>
      </c>
      <c r="GM66" s="561">
        <v>1091</v>
      </c>
      <c r="GN66" s="561">
        <v>0</v>
      </c>
      <c r="GO66" s="561">
        <v>59</v>
      </c>
      <c r="GP66" s="561">
        <v>3192</v>
      </c>
      <c r="GQ66" s="561">
        <v>0</v>
      </c>
      <c r="GR66" s="561">
        <v>136</v>
      </c>
      <c r="GS66" s="561">
        <v>5166</v>
      </c>
      <c r="GT66" s="561">
        <v>53</v>
      </c>
      <c r="GU66" s="561">
        <v>-32</v>
      </c>
      <c r="GV66" s="561">
        <v>608</v>
      </c>
      <c r="GW66" s="561">
        <v>0</v>
      </c>
      <c r="GX66" s="561">
        <v>524</v>
      </c>
      <c r="GY66" s="561">
        <v>0</v>
      </c>
      <c r="GZ66" s="561">
        <v>-97</v>
      </c>
      <c r="HA66" s="561">
        <v>0</v>
      </c>
      <c r="HB66" s="561">
        <v>0</v>
      </c>
      <c r="HC66" s="561">
        <v>-45</v>
      </c>
      <c r="HD66" s="561">
        <v>958</v>
      </c>
      <c r="HE66" s="561">
        <v>215</v>
      </c>
      <c r="HF66" s="561">
        <v>10399</v>
      </c>
      <c r="HG66" s="561">
        <v>0</v>
      </c>
      <c r="HH66" s="561">
        <v>0</v>
      </c>
      <c r="HI66" s="561">
        <v>0</v>
      </c>
      <c r="HJ66" s="561">
        <v>0</v>
      </c>
      <c r="HK66" s="561">
        <v>0</v>
      </c>
      <c r="HL66" s="561">
        <v>0</v>
      </c>
      <c r="HM66" s="561">
        <v>0</v>
      </c>
      <c r="HN66" s="561">
        <v>0</v>
      </c>
      <c r="HO66" s="561">
        <v>1129</v>
      </c>
      <c r="HP66" s="561">
        <v>512</v>
      </c>
      <c r="HQ66" s="561">
        <v>0</v>
      </c>
      <c r="HR66" s="561">
        <v>0</v>
      </c>
      <c r="HS66" s="561">
        <v>3</v>
      </c>
      <c r="HT66" s="561">
        <v>-12</v>
      </c>
      <c r="HU66" s="561">
        <v>0</v>
      </c>
      <c r="HV66" s="561">
        <v>0</v>
      </c>
      <c r="HW66" s="561">
        <v>31</v>
      </c>
      <c r="HX66" s="561">
        <v>303</v>
      </c>
      <c r="HY66" s="561">
        <v>8</v>
      </c>
      <c r="HZ66" s="561">
        <v>-88</v>
      </c>
      <c r="IA66" s="561">
        <v>-2</v>
      </c>
      <c r="IB66" s="561">
        <v>0</v>
      </c>
      <c r="IC66" s="561">
        <v>0</v>
      </c>
      <c r="ID66" s="561">
        <v>0</v>
      </c>
      <c r="IE66" s="561">
        <v>2190</v>
      </c>
      <c r="IF66" s="561">
        <v>-61</v>
      </c>
      <c r="IG66" s="561">
        <v>-208</v>
      </c>
      <c r="IH66" s="561">
        <v>5758</v>
      </c>
      <c r="II66" s="561">
        <v>9563</v>
      </c>
      <c r="IJ66" s="561">
        <v>23</v>
      </c>
      <c r="IK66" s="561">
        <v>0</v>
      </c>
      <c r="IL66" s="561">
        <v>12</v>
      </c>
      <c r="IM66" s="561">
        <v>0</v>
      </c>
      <c r="IN66" s="561">
        <v>2138</v>
      </c>
      <c r="IO66" s="561">
        <v>419</v>
      </c>
      <c r="IP66" s="561">
        <v>0</v>
      </c>
      <c r="IQ66" s="561">
        <v>71</v>
      </c>
      <c r="IR66" s="561">
        <v>0</v>
      </c>
      <c r="IS66" s="561">
        <v>-2814</v>
      </c>
      <c r="IT66" s="561">
        <v>0</v>
      </c>
      <c r="IU66" s="561">
        <v>0</v>
      </c>
      <c r="IV66" s="561">
        <v>0</v>
      </c>
      <c r="IW66" s="561">
        <v>1062</v>
      </c>
      <c r="IX66" s="561">
        <v>4275</v>
      </c>
      <c r="IY66" s="561">
        <v>5166</v>
      </c>
      <c r="IZ66" s="561">
        <v>958</v>
      </c>
      <c r="JA66" s="561">
        <v>0</v>
      </c>
      <c r="JB66" s="561">
        <v>0</v>
      </c>
      <c r="JC66" s="561">
        <v>9563</v>
      </c>
      <c r="JD66" s="561">
        <v>0</v>
      </c>
      <c r="JE66" s="561">
        <v>18210</v>
      </c>
      <c r="JF66" s="561">
        <v>14170</v>
      </c>
      <c r="JG66" s="561">
        <v>0</v>
      </c>
      <c r="JH66" s="561">
        <v>6097</v>
      </c>
      <c r="JI66" s="561">
        <v>0</v>
      </c>
      <c r="JJ66" s="561">
        <v>0</v>
      </c>
      <c r="JK66" s="561">
        <v>494</v>
      </c>
      <c r="JL66" s="561">
        <v>0</v>
      </c>
      <c r="JM66" s="561">
        <v>0</v>
      </c>
      <c r="JN66" s="561">
        <v>0</v>
      </c>
      <c r="JO66" s="561">
        <v>0</v>
      </c>
      <c r="JP66" s="561">
        <v>0</v>
      </c>
      <c r="JQ66" s="561">
        <v>0</v>
      </c>
      <c r="JR66" s="561">
        <v>0</v>
      </c>
      <c r="JS66" s="561">
        <v>0</v>
      </c>
      <c r="JT66" s="561">
        <v>0</v>
      </c>
      <c r="JU66" s="561">
        <v>0</v>
      </c>
      <c r="JV66" s="561">
        <v>38971</v>
      </c>
      <c r="JW66" s="561">
        <v>0</v>
      </c>
      <c r="JX66" s="561">
        <v>481</v>
      </c>
      <c r="JY66" s="561">
        <v>0</v>
      </c>
      <c r="JZ66" s="561">
        <v>0</v>
      </c>
      <c r="KA66" s="561">
        <v>0</v>
      </c>
      <c r="KB66" s="561">
        <v>44</v>
      </c>
      <c r="KC66" s="561">
        <v>677</v>
      </c>
      <c r="KD66" s="561">
        <v>0</v>
      </c>
      <c r="KE66" s="561">
        <v>7607</v>
      </c>
      <c r="KF66" s="561">
        <v>-3165</v>
      </c>
      <c r="KG66" s="561">
        <v>44615</v>
      </c>
      <c r="KH66" s="561">
        <v>-5754</v>
      </c>
      <c r="KI66" s="561">
        <v>0</v>
      </c>
      <c r="KJ66" s="561">
        <v>0</v>
      </c>
      <c r="KK66" s="561">
        <v>0</v>
      </c>
      <c r="KL66" s="561">
        <v>-19918</v>
      </c>
      <c r="KM66" s="561">
        <v>0</v>
      </c>
      <c r="KN66" s="561">
        <v>0</v>
      </c>
      <c r="KO66" s="561">
        <v>0</v>
      </c>
      <c r="KP66" s="561">
        <v>0</v>
      </c>
      <c r="KQ66" s="561">
        <v>0</v>
      </c>
      <c r="KR66" s="561">
        <v>18943</v>
      </c>
      <c r="KS66" s="561">
        <v>0</v>
      </c>
      <c r="KT66" s="561">
        <v>-2620</v>
      </c>
      <c r="KU66" s="561">
        <v>16323</v>
      </c>
      <c r="KV66" s="561">
        <v>0</v>
      </c>
      <c r="KW66" s="561">
        <v>0</v>
      </c>
      <c r="KX66" s="561">
        <v>0</v>
      </c>
      <c r="KY66" s="561">
        <v>0</v>
      </c>
      <c r="KZ66" s="561">
        <v>289</v>
      </c>
      <c r="LA66" s="561">
        <v>336</v>
      </c>
      <c r="LB66" s="561">
        <v>-150</v>
      </c>
      <c r="LC66" s="561">
        <v>0</v>
      </c>
      <c r="LD66" s="561">
        <v>-5908</v>
      </c>
      <c r="LE66" s="561">
        <v>8</v>
      </c>
      <c r="LF66" s="561">
        <v>0</v>
      </c>
      <c r="LG66" s="561">
        <v>10898</v>
      </c>
      <c r="LH66" s="561">
        <v>0</v>
      </c>
      <c r="LI66" s="561">
        <v>0</v>
      </c>
      <c r="LJ66" s="561">
        <v>0</v>
      </c>
      <c r="LK66" s="561">
        <v>0</v>
      </c>
      <c r="LL66" s="561">
        <v>3220</v>
      </c>
      <c r="LM66" s="561">
        <v>950</v>
      </c>
      <c r="LN66" s="561">
        <v>0</v>
      </c>
      <c r="LO66" s="561">
        <v>0</v>
      </c>
      <c r="LP66" s="561">
        <v>0</v>
      </c>
      <c r="LQ66" s="561">
        <v>0</v>
      </c>
      <c r="LR66" s="561">
        <v>3509</v>
      </c>
      <c r="LS66" s="561">
        <v>1286</v>
      </c>
      <c r="LT66" s="561">
        <v>0</v>
      </c>
      <c r="LU66" s="561">
        <v>4661</v>
      </c>
      <c r="LV66" s="561">
        <v>1</v>
      </c>
      <c r="LW66" s="561">
        <v>0</v>
      </c>
      <c r="LX66" s="561">
        <v>0</v>
      </c>
      <c r="LY66" s="561">
        <v>1323</v>
      </c>
      <c r="LZ66" s="561">
        <v>8278</v>
      </c>
      <c r="MA66" s="561">
        <v>0</v>
      </c>
      <c r="MB66" s="561">
        <v>0</v>
      </c>
      <c r="MC66" s="561">
        <v>25437</v>
      </c>
      <c r="MD66" s="561">
        <v>25770</v>
      </c>
      <c r="ME66" s="561">
        <v>-333</v>
      </c>
      <c r="MF66" s="561">
        <v>936</v>
      </c>
      <c r="MG66" s="561">
        <v>603</v>
      </c>
      <c r="MH66" s="561">
        <v>2383</v>
      </c>
      <c r="MI66" s="561">
        <v>4313</v>
      </c>
      <c r="MJ66" s="561">
        <v>6696</v>
      </c>
      <c r="MK66" s="561">
        <v>0</v>
      </c>
      <c r="ML66" s="561">
        <v>423</v>
      </c>
      <c r="MM66" s="561">
        <v>1585</v>
      </c>
      <c r="MN66" s="561">
        <v>0</v>
      </c>
      <c r="MO66" s="561">
        <v>1501</v>
      </c>
      <c r="MP66" s="561">
        <v>0</v>
      </c>
      <c r="MQ66" s="561">
        <v>0</v>
      </c>
      <c r="MR66" s="561">
        <v>-2814</v>
      </c>
      <c r="MS66" s="561">
        <v>0</v>
      </c>
      <c r="MT66" s="561">
        <v>0</v>
      </c>
      <c r="MU66" s="561">
        <v>0</v>
      </c>
      <c r="MV66" s="561">
        <v>1062</v>
      </c>
      <c r="MW66" s="561">
        <v>4275</v>
      </c>
      <c r="MX66" s="561">
        <v>5166</v>
      </c>
      <c r="MY66" s="561">
        <v>958</v>
      </c>
      <c r="MZ66" s="561">
        <v>0</v>
      </c>
      <c r="NA66" s="561">
        <v>0</v>
      </c>
      <c r="NB66" s="561">
        <v>9563</v>
      </c>
      <c r="NC66" s="561">
        <v>0</v>
      </c>
      <c r="ND66" s="561">
        <v>18210</v>
      </c>
      <c r="NE66" s="561">
        <v>0</v>
      </c>
      <c r="NF66" s="561">
        <v>0</v>
      </c>
      <c r="NG66" s="561">
        <v>0</v>
      </c>
      <c r="NH66" s="561">
        <v>0</v>
      </c>
      <c r="NI66" s="561">
        <v>0</v>
      </c>
      <c r="NJ66" s="561">
        <v>0</v>
      </c>
      <c r="NK66" s="561">
        <v>0</v>
      </c>
      <c r="NL66" s="561">
        <v>0</v>
      </c>
      <c r="NM66" s="561">
        <v>0</v>
      </c>
      <c r="NN66" s="561">
        <v>0</v>
      </c>
      <c r="NO66" s="561">
        <v>0</v>
      </c>
      <c r="NP66" s="561">
        <v>0</v>
      </c>
      <c r="NQ66" s="561">
        <v>0</v>
      </c>
      <c r="NR66" s="561">
        <v>0</v>
      </c>
      <c r="NS66" s="561">
        <v>0</v>
      </c>
      <c r="NT66" s="561">
        <v>0</v>
      </c>
      <c r="NU66" s="561">
        <v>0</v>
      </c>
      <c r="NV66" s="561">
        <v>0</v>
      </c>
      <c r="NW66" s="561">
        <v>0</v>
      </c>
      <c r="NX66" s="561">
        <v>0</v>
      </c>
      <c r="NY66" s="561">
        <v>0</v>
      </c>
      <c r="NZ66" s="561">
        <v>0</v>
      </c>
      <c r="OA66" s="561">
        <v>0</v>
      </c>
      <c r="OB66" s="561">
        <v>0</v>
      </c>
      <c r="OC66" s="561">
        <v>0</v>
      </c>
      <c r="OD66" s="561">
        <v>0</v>
      </c>
      <c r="OE66" s="561">
        <v>0</v>
      </c>
      <c r="OF66" s="561">
        <v>0</v>
      </c>
      <c r="OG66" s="561">
        <v>0</v>
      </c>
      <c r="OH66" s="561">
        <v>0</v>
      </c>
      <c r="OI66" s="561">
        <v>0</v>
      </c>
      <c r="OJ66" s="561">
        <v>0</v>
      </c>
      <c r="OK66" s="561">
        <v>0</v>
      </c>
      <c r="OL66" s="561">
        <v>0</v>
      </c>
      <c r="OM66" s="561">
        <v>0</v>
      </c>
      <c r="ON66" s="561">
        <v>0</v>
      </c>
      <c r="OO66" s="561">
        <v>0</v>
      </c>
      <c r="OP66" s="561">
        <v>0</v>
      </c>
      <c r="OQ66" s="561">
        <v>0</v>
      </c>
      <c r="OR66" s="561">
        <v>0</v>
      </c>
      <c r="OS66" s="561">
        <v>0</v>
      </c>
      <c r="OT66" s="561">
        <v>0</v>
      </c>
      <c r="OU66" s="561">
        <v>0</v>
      </c>
      <c r="OV66" s="561">
        <v>0</v>
      </c>
      <c r="OW66" s="561">
        <v>0</v>
      </c>
      <c r="OX66" s="561">
        <v>0</v>
      </c>
      <c r="OY66" s="561">
        <v>0</v>
      </c>
      <c r="OZ66" s="561">
        <v>0</v>
      </c>
      <c r="PA66" s="561">
        <v>0</v>
      </c>
      <c r="PB66" s="561">
        <v>0</v>
      </c>
      <c r="PC66" s="561">
        <v>0</v>
      </c>
      <c r="PD66" s="561">
        <v>0</v>
      </c>
      <c r="PE66" s="561">
        <v>0</v>
      </c>
      <c r="PF66" s="561">
        <v>0</v>
      </c>
      <c r="PG66" s="561">
        <v>0</v>
      </c>
      <c r="PH66" s="561">
        <v>0</v>
      </c>
      <c r="PI66" s="561">
        <v>0</v>
      </c>
      <c r="PJ66" s="561">
        <v>0</v>
      </c>
    </row>
    <row r="67" spans="1:426" ht="14" x14ac:dyDescent="0.3">
      <c r="A67" t="s">
        <v>2630</v>
      </c>
      <c r="B67" t="s">
        <v>2631</v>
      </c>
      <c r="C67" t="s">
        <v>2632</v>
      </c>
      <c r="E67" t="s">
        <v>384</v>
      </c>
      <c r="F67" s="561">
        <v>0</v>
      </c>
      <c r="G67" s="561">
        <v>0</v>
      </c>
      <c r="H67" s="561">
        <v>0</v>
      </c>
      <c r="I67" s="561">
        <v>0</v>
      </c>
      <c r="J67" s="561">
        <v>0</v>
      </c>
      <c r="K67" s="561">
        <v>0</v>
      </c>
      <c r="L67" s="561">
        <v>0</v>
      </c>
      <c r="M67" s="561">
        <v>0</v>
      </c>
      <c r="N67" s="561">
        <v>0</v>
      </c>
      <c r="O67" s="561">
        <v>0</v>
      </c>
      <c r="P67" s="561">
        <v>0</v>
      </c>
      <c r="Q67" s="561">
        <v>0</v>
      </c>
      <c r="R67" s="561">
        <v>0</v>
      </c>
      <c r="S67" s="561">
        <v>6</v>
      </c>
      <c r="T67" s="561">
        <v>0</v>
      </c>
      <c r="U67" s="561">
        <v>0</v>
      </c>
      <c r="V67" s="561">
        <v>0</v>
      </c>
      <c r="W67" s="561">
        <v>0</v>
      </c>
      <c r="X67" s="561">
        <v>0</v>
      </c>
      <c r="Y67" s="561">
        <v>0</v>
      </c>
      <c r="Z67" s="561">
        <v>0</v>
      </c>
      <c r="AA67" s="561">
        <v>0</v>
      </c>
      <c r="AB67" s="561">
        <v>0</v>
      </c>
      <c r="AC67" s="561">
        <v>0</v>
      </c>
      <c r="AD67" s="561">
        <v>0</v>
      </c>
      <c r="AE67" s="561">
        <v>0</v>
      </c>
      <c r="AF67" s="561">
        <v>0</v>
      </c>
      <c r="AG67" s="561">
        <v>0</v>
      </c>
      <c r="AH67" s="561">
        <v>41</v>
      </c>
      <c r="AI67" s="561">
        <v>0</v>
      </c>
      <c r="AJ67" s="561">
        <v>47</v>
      </c>
      <c r="AK67" s="561">
        <v>0</v>
      </c>
      <c r="AL67" s="561">
        <v>0</v>
      </c>
      <c r="AM67" s="561">
        <v>0</v>
      </c>
      <c r="AN67" s="561">
        <v>0</v>
      </c>
      <c r="AO67" s="561">
        <v>0</v>
      </c>
      <c r="AP67" s="561">
        <v>0</v>
      </c>
      <c r="AQ67" s="561">
        <v>0</v>
      </c>
      <c r="AR67" s="561">
        <v>0</v>
      </c>
      <c r="AS67" s="561">
        <v>0</v>
      </c>
      <c r="AT67" s="561">
        <v>0</v>
      </c>
      <c r="AU67" s="561">
        <v>0</v>
      </c>
      <c r="AV67" s="561">
        <v>0</v>
      </c>
      <c r="AW67" s="561">
        <v>0</v>
      </c>
      <c r="AX67" s="561">
        <v>0</v>
      </c>
      <c r="AY67" s="561">
        <v>0</v>
      </c>
      <c r="AZ67" s="561">
        <v>0</v>
      </c>
      <c r="BA67" s="561">
        <v>0</v>
      </c>
      <c r="BB67" s="561">
        <v>0</v>
      </c>
      <c r="BC67" s="561">
        <v>0</v>
      </c>
      <c r="BD67" s="561">
        <v>0</v>
      </c>
      <c r="BE67" s="561">
        <v>0</v>
      </c>
      <c r="BF67" s="561">
        <v>0</v>
      </c>
      <c r="BG67" s="561">
        <v>0</v>
      </c>
      <c r="BH67" s="561">
        <v>0</v>
      </c>
      <c r="BI67" s="561">
        <v>0</v>
      </c>
      <c r="BJ67" s="561">
        <v>0</v>
      </c>
      <c r="BK67" s="561">
        <v>0</v>
      </c>
      <c r="BL67" s="561">
        <v>0</v>
      </c>
      <c r="BM67" s="561">
        <v>0</v>
      </c>
      <c r="BN67" s="561">
        <v>0</v>
      </c>
      <c r="BO67" s="561">
        <v>0</v>
      </c>
      <c r="BP67" s="561">
        <v>0</v>
      </c>
      <c r="BQ67" s="561">
        <v>0</v>
      </c>
      <c r="BR67" s="561">
        <v>0</v>
      </c>
      <c r="BS67" s="561">
        <v>0</v>
      </c>
      <c r="BT67" s="561">
        <v>0</v>
      </c>
      <c r="BU67" s="561">
        <v>0</v>
      </c>
      <c r="BV67" s="561">
        <v>0</v>
      </c>
      <c r="BW67" s="561">
        <v>0</v>
      </c>
      <c r="BX67" s="561">
        <v>0</v>
      </c>
      <c r="BY67" s="561">
        <v>0</v>
      </c>
      <c r="BZ67" s="561">
        <v>0</v>
      </c>
      <c r="CA67" s="561">
        <v>0</v>
      </c>
      <c r="CB67" s="561">
        <v>0</v>
      </c>
      <c r="CC67" s="561">
        <v>0</v>
      </c>
      <c r="CD67" s="561">
        <v>0</v>
      </c>
      <c r="CE67" s="561">
        <v>0</v>
      </c>
      <c r="CF67" s="561">
        <v>0</v>
      </c>
      <c r="CG67" s="561">
        <v>0</v>
      </c>
      <c r="CH67" s="561">
        <v>0</v>
      </c>
      <c r="CI67" s="561">
        <v>0</v>
      </c>
      <c r="CJ67" s="561">
        <v>0</v>
      </c>
      <c r="CK67" s="561">
        <v>0</v>
      </c>
      <c r="CL67" s="561">
        <v>0</v>
      </c>
      <c r="CM67" s="561">
        <v>0</v>
      </c>
      <c r="CN67" s="561">
        <v>0</v>
      </c>
      <c r="CO67" s="561">
        <v>0</v>
      </c>
      <c r="CP67" s="561">
        <v>0</v>
      </c>
      <c r="CQ67" s="561">
        <v>0</v>
      </c>
      <c r="CR67" s="561">
        <v>0</v>
      </c>
      <c r="CS67" s="561">
        <v>0</v>
      </c>
      <c r="CT67" s="561">
        <v>0</v>
      </c>
      <c r="CU67" s="561">
        <v>0</v>
      </c>
      <c r="CV67" s="561">
        <v>0</v>
      </c>
      <c r="CW67" s="561">
        <v>0</v>
      </c>
      <c r="CX67" s="561">
        <v>0</v>
      </c>
      <c r="CY67" s="561">
        <v>0</v>
      </c>
      <c r="CZ67" s="561">
        <v>0</v>
      </c>
      <c r="DA67" s="561">
        <v>0</v>
      </c>
      <c r="DB67" s="561">
        <v>0</v>
      </c>
      <c r="DC67" s="561">
        <v>0</v>
      </c>
      <c r="DD67" s="561">
        <v>0</v>
      </c>
      <c r="DE67" s="561">
        <v>0</v>
      </c>
      <c r="DF67" s="561">
        <v>0</v>
      </c>
      <c r="DG67" s="561">
        <v>0</v>
      </c>
      <c r="DH67" s="561">
        <v>2844</v>
      </c>
      <c r="DI67" s="561">
        <v>0</v>
      </c>
      <c r="DJ67" s="561">
        <v>0</v>
      </c>
      <c r="DK67" s="561">
        <v>1600</v>
      </c>
      <c r="DL67" s="561">
        <v>0</v>
      </c>
      <c r="DM67" s="561">
        <v>113</v>
      </c>
      <c r="DN67" s="561">
        <v>0</v>
      </c>
      <c r="DO67" s="561">
        <v>553</v>
      </c>
      <c r="DP67" s="561">
        <v>0</v>
      </c>
      <c r="DQ67" s="561">
        <v>0</v>
      </c>
      <c r="DR67" s="561">
        <v>73</v>
      </c>
      <c r="DS67" s="561">
        <v>880</v>
      </c>
      <c r="DT67" s="561">
        <v>67</v>
      </c>
      <c r="DU67" s="561">
        <v>1686</v>
      </c>
      <c r="DV67" s="561">
        <v>0</v>
      </c>
      <c r="DW67" s="561">
        <v>0</v>
      </c>
      <c r="DX67" s="561">
        <v>0</v>
      </c>
      <c r="DY67" s="561">
        <v>531</v>
      </c>
      <c r="DZ67" s="561">
        <v>205</v>
      </c>
      <c r="EA67" s="561">
        <v>1502</v>
      </c>
      <c r="EB67" s="561">
        <v>0</v>
      </c>
      <c r="EC67" s="561">
        <v>8368</v>
      </c>
      <c r="ED67" s="561">
        <v>79</v>
      </c>
      <c r="EE67" s="561">
        <v>0</v>
      </c>
      <c r="EF67" s="561">
        <v>0</v>
      </c>
      <c r="EG67" s="561">
        <v>0</v>
      </c>
      <c r="EH67" s="561">
        <v>0</v>
      </c>
      <c r="EI67" s="561">
        <v>0</v>
      </c>
      <c r="EJ67" s="561">
        <v>0</v>
      </c>
      <c r="EK67" s="561">
        <v>0</v>
      </c>
      <c r="EL67" s="561">
        <v>0</v>
      </c>
      <c r="EM67" s="561">
        <v>0</v>
      </c>
      <c r="EN67" s="561">
        <v>0</v>
      </c>
      <c r="EO67" s="561">
        <v>0</v>
      </c>
      <c r="EP67" s="561">
        <v>0</v>
      </c>
      <c r="EQ67" s="561">
        <v>0</v>
      </c>
      <c r="ER67" s="561">
        <v>0</v>
      </c>
      <c r="ES67" s="561" t="s">
        <v>4565</v>
      </c>
      <c r="ET67" s="561">
        <v>0</v>
      </c>
      <c r="EU67" s="561">
        <v>0</v>
      </c>
      <c r="EV67" s="561">
        <v>0</v>
      </c>
      <c r="EW67" s="561">
        <v>0</v>
      </c>
      <c r="EX67" s="561">
        <v>0</v>
      </c>
      <c r="EY67" s="561">
        <v>0</v>
      </c>
      <c r="EZ67" s="561">
        <v>0</v>
      </c>
      <c r="FA67" s="561">
        <v>0</v>
      </c>
      <c r="FB67" s="561">
        <v>0</v>
      </c>
      <c r="FC67" s="561">
        <v>230</v>
      </c>
      <c r="FD67" s="561">
        <v>0</v>
      </c>
      <c r="FE67" s="561">
        <v>506</v>
      </c>
      <c r="FF67" s="561">
        <v>18</v>
      </c>
      <c r="FG67" s="561">
        <v>0</v>
      </c>
      <c r="FH67" s="561">
        <v>0</v>
      </c>
      <c r="FI67" s="561">
        <v>766</v>
      </c>
      <c r="FJ67" s="561">
        <v>674</v>
      </c>
      <c r="FK67" s="561">
        <v>1118</v>
      </c>
      <c r="FL67" s="561">
        <v>0</v>
      </c>
      <c r="FM67" s="561">
        <v>139</v>
      </c>
      <c r="FN67" s="561">
        <v>0</v>
      </c>
      <c r="FO67" s="561">
        <v>3451</v>
      </c>
      <c r="FP67" s="561">
        <v>0</v>
      </c>
      <c r="FQ67" s="561">
        <v>3</v>
      </c>
      <c r="FR67" s="561">
        <v>0</v>
      </c>
      <c r="FS67" s="561">
        <v>0</v>
      </c>
      <c r="FT67" s="561">
        <v>466</v>
      </c>
      <c r="FU67" s="561">
        <v>675</v>
      </c>
      <c r="FV67" s="561">
        <v>278</v>
      </c>
      <c r="FW67" s="561">
        <v>108</v>
      </c>
      <c r="FX67" s="561">
        <v>0</v>
      </c>
      <c r="FY67" s="561">
        <v>0</v>
      </c>
      <c r="FZ67" s="561">
        <v>3</v>
      </c>
      <c r="GA67" s="561">
        <v>124</v>
      </c>
      <c r="GB67" s="561">
        <v>31</v>
      </c>
      <c r="GC67" s="561">
        <v>-20</v>
      </c>
      <c r="GD67" s="561">
        <v>0</v>
      </c>
      <c r="GE67" s="561">
        <v>573</v>
      </c>
      <c r="GF67" s="561">
        <v>50</v>
      </c>
      <c r="GG67" s="561">
        <v>14</v>
      </c>
      <c r="GH67" s="561">
        <v>14</v>
      </c>
      <c r="GI67" s="561">
        <v>0</v>
      </c>
      <c r="GJ67" s="561">
        <v>0</v>
      </c>
      <c r="GK67" s="561">
        <v>0</v>
      </c>
      <c r="GL67" s="561">
        <v>1841</v>
      </c>
      <c r="GM67" s="561">
        <v>3598</v>
      </c>
      <c r="GN67" s="561">
        <v>217</v>
      </c>
      <c r="GO67" s="561">
        <v>-97</v>
      </c>
      <c r="GP67" s="561">
        <v>2562</v>
      </c>
      <c r="GQ67" s="561">
        <v>87</v>
      </c>
      <c r="GR67" s="561">
        <v>500</v>
      </c>
      <c r="GS67" s="561">
        <v>11027</v>
      </c>
      <c r="GT67" s="561">
        <v>431</v>
      </c>
      <c r="GU67" s="561">
        <v>176</v>
      </c>
      <c r="GV67" s="561">
        <v>1696</v>
      </c>
      <c r="GW67" s="561">
        <v>297</v>
      </c>
      <c r="GX67" s="561">
        <v>1605</v>
      </c>
      <c r="GY67" s="561">
        <v>23</v>
      </c>
      <c r="GZ67" s="561">
        <v>2079</v>
      </c>
      <c r="HA67" s="561">
        <v>0</v>
      </c>
      <c r="HB67" s="561">
        <v>19</v>
      </c>
      <c r="HC67" s="561">
        <v>567</v>
      </c>
      <c r="HD67" s="561">
        <v>6462</v>
      </c>
      <c r="HE67" s="561">
        <v>1021</v>
      </c>
      <c r="HF67" s="561">
        <v>20940</v>
      </c>
      <c r="HG67" s="561">
        <v>0</v>
      </c>
      <c r="HH67" s="561">
        <v>0</v>
      </c>
      <c r="HI67" s="561">
        <v>0</v>
      </c>
      <c r="HJ67" s="561">
        <v>0</v>
      </c>
      <c r="HK67" s="561">
        <v>0</v>
      </c>
      <c r="HL67" s="561">
        <v>0</v>
      </c>
      <c r="HM67" s="561">
        <v>0</v>
      </c>
      <c r="HN67" s="561">
        <v>0</v>
      </c>
      <c r="HO67" s="561">
        <v>3641</v>
      </c>
      <c r="HP67" s="561">
        <v>415</v>
      </c>
      <c r="HQ67" s="561">
        <v>0</v>
      </c>
      <c r="HR67" s="561">
        <v>3</v>
      </c>
      <c r="HS67" s="561">
        <v>1058</v>
      </c>
      <c r="HT67" s="561">
        <v>-104</v>
      </c>
      <c r="HU67" s="561">
        <v>0</v>
      </c>
      <c r="HV67" s="561">
        <v>0</v>
      </c>
      <c r="HW67" s="561">
        <v>172</v>
      </c>
      <c r="HX67" s="561">
        <v>470</v>
      </c>
      <c r="HY67" s="561">
        <v>34</v>
      </c>
      <c r="HZ67" s="561">
        <v>-164</v>
      </c>
      <c r="IA67" s="561">
        <v>49</v>
      </c>
      <c r="IB67" s="561">
        <v>0</v>
      </c>
      <c r="IC67" s="561">
        <v>0</v>
      </c>
      <c r="ID67" s="561">
        <v>0</v>
      </c>
      <c r="IE67" s="561">
        <v>2578</v>
      </c>
      <c r="IF67" s="561">
        <v>0</v>
      </c>
      <c r="IG67" s="561">
        <v>0</v>
      </c>
      <c r="IH67" s="561">
        <v>0</v>
      </c>
      <c r="II67" s="561">
        <v>8152</v>
      </c>
      <c r="IJ67" s="561">
        <v>851</v>
      </c>
      <c r="IK67" s="561">
        <v>1693</v>
      </c>
      <c r="IL67" s="561">
        <v>7089</v>
      </c>
      <c r="IM67" s="561">
        <v>0</v>
      </c>
      <c r="IN67" s="561">
        <v>898</v>
      </c>
      <c r="IO67" s="561">
        <v>0</v>
      </c>
      <c r="IP67" s="561">
        <v>0</v>
      </c>
      <c r="IQ67" s="561">
        <v>0</v>
      </c>
      <c r="IR67" s="561">
        <v>0</v>
      </c>
      <c r="IS67" s="561">
        <v>47</v>
      </c>
      <c r="IT67" s="561">
        <v>0</v>
      </c>
      <c r="IU67" s="561">
        <v>0</v>
      </c>
      <c r="IV67" s="561">
        <v>0</v>
      </c>
      <c r="IW67" s="561">
        <v>8368</v>
      </c>
      <c r="IX67" s="561">
        <v>3451</v>
      </c>
      <c r="IY67" s="561">
        <v>11027</v>
      </c>
      <c r="IZ67" s="561">
        <v>6462</v>
      </c>
      <c r="JA67" s="561">
        <v>0</v>
      </c>
      <c r="JB67" s="561">
        <v>0</v>
      </c>
      <c r="JC67" s="561">
        <v>8152</v>
      </c>
      <c r="JD67" s="561">
        <v>0</v>
      </c>
      <c r="JE67" s="561">
        <v>37507</v>
      </c>
      <c r="JF67" s="561">
        <v>20424</v>
      </c>
      <c r="JG67" s="561">
        <v>876</v>
      </c>
      <c r="JH67" s="561">
        <v>0</v>
      </c>
      <c r="JI67" s="561">
        <v>0</v>
      </c>
      <c r="JJ67" s="561">
        <v>0</v>
      </c>
      <c r="JK67" s="561">
        <v>6356</v>
      </c>
      <c r="JL67" s="561">
        <v>0</v>
      </c>
      <c r="JM67" s="561">
        <v>0</v>
      </c>
      <c r="JN67" s="561">
        <v>0</v>
      </c>
      <c r="JO67" s="561">
        <v>86</v>
      </c>
      <c r="JP67" s="561">
        <v>5239</v>
      </c>
      <c r="JQ67" s="561">
        <v>0</v>
      </c>
      <c r="JR67" s="561">
        <v>-9436</v>
      </c>
      <c r="JS67" s="561">
        <v>0</v>
      </c>
      <c r="JT67" s="561">
        <v>0</v>
      </c>
      <c r="JU67" s="561">
        <v>0</v>
      </c>
      <c r="JV67" s="561">
        <v>61052</v>
      </c>
      <c r="JW67" s="561">
        <v>0</v>
      </c>
      <c r="JX67" s="561">
        <v>107</v>
      </c>
      <c r="JY67" s="561">
        <v>0</v>
      </c>
      <c r="JZ67" s="561">
        <v>0</v>
      </c>
      <c r="KA67" s="561">
        <v>-2830</v>
      </c>
      <c r="KB67" s="561">
        <v>-562</v>
      </c>
      <c r="KC67" s="561">
        <v>4111</v>
      </c>
      <c r="KD67" s="561">
        <v>0</v>
      </c>
      <c r="KE67" s="561">
        <v>4625</v>
      </c>
      <c r="KF67" s="561">
        <v>0</v>
      </c>
      <c r="KG67" s="561">
        <v>66503</v>
      </c>
      <c r="KH67" s="561">
        <v>-6770</v>
      </c>
      <c r="KI67" s="561">
        <v>0</v>
      </c>
      <c r="KJ67" s="561">
        <v>0</v>
      </c>
      <c r="KK67" s="561">
        <v>0</v>
      </c>
      <c r="KL67" s="561">
        <v>-22411</v>
      </c>
      <c r="KM67" s="561">
        <v>0</v>
      </c>
      <c r="KN67" s="561">
        <v>0</v>
      </c>
      <c r="KO67" s="561">
        <v>0</v>
      </c>
      <c r="KP67" s="561">
        <v>0</v>
      </c>
      <c r="KQ67" s="561">
        <v>0</v>
      </c>
      <c r="KR67" s="561">
        <v>37322</v>
      </c>
      <c r="KS67" s="561">
        <v>0</v>
      </c>
      <c r="KT67" s="561">
        <v>-7525.01</v>
      </c>
      <c r="KU67" s="561">
        <v>29796.99</v>
      </c>
      <c r="KV67" s="561">
        <v>0</v>
      </c>
      <c r="KW67" s="561">
        <v>0</v>
      </c>
      <c r="KX67" s="561">
        <v>0</v>
      </c>
      <c r="KY67" s="561">
        <v>0</v>
      </c>
      <c r="KZ67" s="561">
        <v>2340</v>
      </c>
      <c r="LA67" s="561">
        <v>1868</v>
      </c>
      <c r="LB67" s="561">
        <v>-361</v>
      </c>
      <c r="LC67" s="561">
        <v>0</v>
      </c>
      <c r="LD67" s="561">
        <v>-17971</v>
      </c>
      <c r="LE67" s="561">
        <v>-257</v>
      </c>
      <c r="LF67" s="561">
        <v>0</v>
      </c>
      <c r="LG67" s="561">
        <v>15416</v>
      </c>
      <c r="LH67" s="561">
        <v>0</v>
      </c>
      <c r="LI67" s="561">
        <v>0</v>
      </c>
      <c r="LJ67" s="561">
        <v>0</v>
      </c>
      <c r="LK67" s="561">
        <v>0</v>
      </c>
      <c r="LL67" s="561">
        <v>30876</v>
      </c>
      <c r="LM67" s="561">
        <v>6153</v>
      </c>
      <c r="LN67" s="561">
        <v>0</v>
      </c>
      <c r="LO67" s="561">
        <v>0</v>
      </c>
      <c r="LP67" s="561">
        <v>0</v>
      </c>
      <c r="LQ67" s="561">
        <v>0</v>
      </c>
      <c r="LR67" s="561">
        <v>33216</v>
      </c>
      <c r="LS67" s="561">
        <v>8021</v>
      </c>
      <c r="LT67" s="561">
        <v>0</v>
      </c>
      <c r="LU67" s="561">
        <v>5438</v>
      </c>
      <c r="LV67" s="561">
        <v>0</v>
      </c>
      <c r="LW67" s="561">
        <v>9722</v>
      </c>
      <c r="LX67" s="561">
        <v>-7026</v>
      </c>
      <c r="LY67" s="561">
        <v>2830</v>
      </c>
      <c r="LZ67" s="561">
        <v>10692</v>
      </c>
      <c r="MA67" s="561">
        <v>0</v>
      </c>
      <c r="MB67" s="561">
        <v>0</v>
      </c>
      <c r="MC67" s="561">
        <v>0</v>
      </c>
      <c r="MD67" s="561">
        <v>0</v>
      </c>
      <c r="ME67" s="561">
        <v>0</v>
      </c>
      <c r="MF67" s="561">
        <v>0</v>
      </c>
      <c r="MG67" s="561">
        <v>0</v>
      </c>
      <c r="MH67" s="561">
        <v>3407</v>
      </c>
      <c r="MI67" s="561">
        <v>5363</v>
      </c>
      <c r="MJ67" s="561">
        <v>8770</v>
      </c>
      <c r="MK67" s="561">
        <v>0</v>
      </c>
      <c r="ML67" s="561">
        <v>0</v>
      </c>
      <c r="MM67" s="561">
        <v>9274</v>
      </c>
      <c r="MN67" s="561">
        <v>15793</v>
      </c>
      <c r="MO67" s="561">
        <v>8149</v>
      </c>
      <c r="MP67" s="561">
        <v>0</v>
      </c>
      <c r="MQ67" s="561">
        <v>0</v>
      </c>
      <c r="MR67" s="561">
        <v>47</v>
      </c>
      <c r="MS67" s="561">
        <v>0</v>
      </c>
      <c r="MT67" s="561">
        <v>0</v>
      </c>
      <c r="MU67" s="561">
        <v>0</v>
      </c>
      <c r="MV67" s="561">
        <v>8368</v>
      </c>
      <c r="MW67" s="561">
        <v>3451</v>
      </c>
      <c r="MX67" s="561">
        <v>11027</v>
      </c>
      <c r="MY67" s="561">
        <v>6462</v>
      </c>
      <c r="MZ67" s="561">
        <v>0</v>
      </c>
      <c r="NA67" s="561">
        <v>0</v>
      </c>
      <c r="NB67" s="561">
        <v>8152</v>
      </c>
      <c r="NC67" s="561">
        <v>0</v>
      </c>
      <c r="ND67" s="561">
        <v>37507</v>
      </c>
      <c r="NE67" s="561">
        <v>-773</v>
      </c>
      <c r="NF67" s="561">
        <v>0</v>
      </c>
      <c r="NG67" s="561">
        <v>0</v>
      </c>
      <c r="NH67" s="561">
        <v>0</v>
      </c>
      <c r="NI67" s="561">
        <v>0</v>
      </c>
      <c r="NJ67" s="561">
        <v>0</v>
      </c>
      <c r="NK67" s="561">
        <v>0</v>
      </c>
      <c r="NL67" s="561">
        <v>0</v>
      </c>
      <c r="NM67" s="561">
        <v>0</v>
      </c>
      <c r="NN67" s="561">
        <v>0</v>
      </c>
      <c r="NO67" s="561">
        <v>0</v>
      </c>
      <c r="NP67" s="561">
        <v>0</v>
      </c>
      <c r="NQ67" s="561">
        <v>0</v>
      </c>
      <c r="NR67" s="561">
        <v>0</v>
      </c>
      <c r="NS67" s="561">
        <v>0</v>
      </c>
      <c r="NT67" s="561">
        <v>-551</v>
      </c>
      <c r="NU67" s="561">
        <v>0</v>
      </c>
      <c r="NV67" s="561">
        <v>0</v>
      </c>
      <c r="NW67" s="561">
        <v>-4197</v>
      </c>
      <c r="NX67" s="561">
        <v>9436</v>
      </c>
      <c r="NY67" s="561">
        <v>5239</v>
      </c>
      <c r="NZ67" s="561">
        <v>0</v>
      </c>
      <c r="OA67" s="561">
        <v>0</v>
      </c>
      <c r="OB67" s="561">
        <v>0</v>
      </c>
      <c r="OC67" s="561">
        <v>0</v>
      </c>
      <c r="OD67" s="561">
        <v>0</v>
      </c>
      <c r="OE67" s="561">
        <v>0</v>
      </c>
      <c r="OF67" s="561">
        <v>0</v>
      </c>
      <c r="OG67" s="561">
        <v>0</v>
      </c>
      <c r="OH67" s="561">
        <v>0</v>
      </c>
      <c r="OI67" s="561">
        <v>0</v>
      </c>
      <c r="OJ67" s="561">
        <v>0</v>
      </c>
      <c r="OK67" s="561">
        <v>0</v>
      </c>
      <c r="OL67" s="561">
        <v>0</v>
      </c>
      <c r="OM67" s="561">
        <v>0</v>
      </c>
      <c r="ON67" s="561">
        <v>0</v>
      </c>
      <c r="OO67" s="561">
        <v>0</v>
      </c>
      <c r="OP67" s="561">
        <v>0</v>
      </c>
      <c r="OQ67" s="561">
        <v>0</v>
      </c>
      <c r="OR67" s="561">
        <v>0</v>
      </c>
      <c r="OS67" s="561">
        <v>0</v>
      </c>
      <c r="OT67" s="561">
        <v>0</v>
      </c>
      <c r="OU67" s="561">
        <v>0</v>
      </c>
      <c r="OV67" s="561">
        <v>0</v>
      </c>
      <c r="OW67" s="561">
        <v>0</v>
      </c>
      <c r="OX67" s="561">
        <v>0</v>
      </c>
      <c r="OY67" s="561">
        <v>1329</v>
      </c>
      <c r="OZ67" s="561">
        <v>0</v>
      </c>
      <c r="PA67" s="561">
        <v>8107</v>
      </c>
      <c r="PB67" s="561">
        <v>0</v>
      </c>
      <c r="PC67" s="561">
        <v>0</v>
      </c>
      <c r="PD67" s="561">
        <v>9436</v>
      </c>
      <c r="PE67" s="561">
        <v>0</v>
      </c>
      <c r="PF67" s="561">
        <v>0</v>
      </c>
      <c r="PG67" s="561">
        <v>0</v>
      </c>
      <c r="PH67" s="561">
        <v>0</v>
      </c>
      <c r="PI67" s="561">
        <v>0</v>
      </c>
      <c r="PJ67" s="561">
        <v>0</v>
      </c>
    </row>
    <row r="68" spans="1:426" ht="14" x14ac:dyDescent="0.3">
      <c r="A68" t="s">
        <v>2633</v>
      </c>
      <c r="B68" t="s">
        <v>2634</v>
      </c>
      <c r="C68" t="s">
        <v>4585</v>
      </c>
      <c r="E68" t="s">
        <v>2466</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0</v>
      </c>
      <c r="W68" s="561">
        <v>0</v>
      </c>
      <c r="X68" s="561">
        <v>0</v>
      </c>
      <c r="Y68" s="561">
        <v>0</v>
      </c>
      <c r="Z68" s="561">
        <v>0</v>
      </c>
      <c r="AA68" s="561">
        <v>0</v>
      </c>
      <c r="AB68" s="561">
        <v>0</v>
      </c>
      <c r="AC68" s="561">
        <v>0</v>
      </c>
      <c r="AD68" s="561">
        <v>0</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0</v>
      </c>
      <c r="AU68" s="561">
        <v>0</v>
      </c>
      <c r="AV68" s="561">
        <v>0</v>
      </c>
      <c r="AW68" s="561">
        <v>0</v>
      </c>
      <c r="AX68" s="561">
        <v>0</v>
      </c>
      <c r="AY68" s="561">
        <v>0</v>
      </c>
      <c r="AZ68" s="561">
        <v>0</v>
      </c>
      <c r="BA68" s="561">
        <v>0</v>
      </c>
      <c r="BB68" s="561">
        <v>0</v>
      </c>
      <c r="BC68" s="561">
        <v>0</v>
      </c>
      <c r="BD68" s="561">
        <v>0</v>
      </c>
      <c r="BE68" s="561">
        <v>0</v>
      </c>
      <c r="BF68" s="561">
        <v>0</v>
      </c>
      <c r="BG68" s="561">
        <v>0</v>
      </c>
      <c r="BH68" s="561">
        <v>0</v>
      </c>
      <c r="BI68" s="561">
        <v>0</v>
      </c>
      <c r="BJ68" s="561">
        <v>0</v>
      </c>
      <c r="BK68" s="561">
        <v>0</v>
      </c>
      <c r="BL68" s="561">
        <v>0</v>
      </c>
      <c r="BM68" s="561">
        <v>0</v>
      </c>
      <c r="BN68" s="561">
        <v>0</v>
      </c>
      <c r="BO68" s="561">
        <v>0</v>
      </c>
      <c r="BP68" s="561">
        <v>0</v>
      </c>
      <c r="BQ68" s="561">
        <v>0</v>
      </c>
      <c r="BR68" s="561">
        <v>0</v>
      </c>
      <c r="BS68" s="561">
        <v>0</v>
      </c>
      <c r="BT68" s="561">
        <v>0</v>
      </c>
      <c r="BU68" s="561">
        <v>0</v>
      </c>
      <c r="BV68" s="561">
        <v>0</v>
      </c>
      <c r="BW68" s="561">
        <v>0</v>
      </c>
      <c r="BX68" s="561">
        <v>0</v>
      </c>
      <c r="BY68" s="561">
        <v>0</v>
      </c>
      <c r="BZ68" s="561">
        <v>0</v>
      </c>
      <c r="CA68" s="561">
        <v>0</v>
      </c>
      <c r="CB68" s="561">
        <v>0</v>
      </c>
      <c r="CC68" s="561">
        <v>0</v>
      </c>
      <c r="CD68" s="561">
        <v>0</v>
      </c>
      <c r="CE68" s="561">
        <v>0</v>
      </c>
      <c r="CF68" s="561">
        <v>0</v>
      </c>
      <c r="CG68" s="561">
        <v>0</v>
      </c>
      <c r="CH68" s="561">
        <v>0</v>
      </c>
      <c r="CI68" s="561">
        <v>0</v>
      </c>
      <c r="CJ68" s="561">
        <v>0</v>
      </c>
      <c r="CK68" s="561">
        <v>0</v>
      </c>
      <c r="CL68" s="561">
        <v>0</v>
      </c>
      <c r="CM68" s="561">
        <v>0</v>
      </c>
      <c r="CN68" s="561">
        <v>0</v>
      </c>
      <c r="CO68" s="561">
        <v>0</v>
      </c>
      <c r="CP68" s="561">
        <v>0</v>
      </c>
      <c r="CQ68" s="561">
        <v>0</v>
      </c>
      <c r="CR68" s="561">
        <v>0</v>
      </c>
      <c r="CS68" s="561">
        <v>0</v>
      </c>
      <c r="CT68" s="561">
        <v>0</v>
      </c>
      <c r="CU68" s="561">
        <v>0</v>
      </c>
      <c r="CV68" s="561">
        <v>0</v>
      </c>
      <c r="CW68" s="561">
        <v>0</v>
      </c>
      <c r="CX68" s="561">
        <v>0</v>
      </c>
      <c r="CY68" s="561">
        <v>0</v>
      </c>
      <c r="CZ68" s="561">
        <v>0</v>
      </c>
      <c r="DA68" s="561">
        <v>0</v>
      </c>
      <c r="DB68" s="561">
        <v>0</v>
      </c>
      <c r="DC68" s="561">
        <v>0</v>
      </c>
      <c r="DD68" s="561">
        <v>0</v>
      </c>
      <c r="DE68" s="561">
        <v>0</v>
      </c>
      <c r="DF68" s="561">
        <v>0</v>
      </c>
      <c r="DG68" s="561">
        <v>0</v>
      </c>
      <c r="DH68" s="561">
        <v>0</v>
      </c>
      <c r="DI68" s="561">
        <v>0</v>
      </c>
      <c r="DJ68" s="561">
        <v>0</v>
      </c>
      <c r="DK68" s="561">
        <v>0</v>
      </c>
      <c r="DL68" s="561">
        <v>0</v>
      </c>
      <c r="DM68" s="561">
        <v>0</v>
      </c>
      <c r="DN68" s="561">
        <v>0</v>
      </c>
      <c r="DO68" s="561">
        <v>0</v>
      </c>
      <c r="DP68" s="561">
        <v>0</v>
      </c>
      <c r="DQ68" s="561">
        <v>0</v>
      </c>
      <c r="DR68" s="561">
        <v>0</v>
      </c>
      <c r="DS68" s="561">
        <v>0</v>
      </c>
      <c r="DT68" s="561">
        <v>0</v>
      </c>
      <c r="DU68" s="561">
        <v>0</v>
      </c>
      <c r="DV68" s="561">
        <v>0</v>
      </c>
      <c r="DW68" s="561">
        <v>0</v>
      </c>
      <c r="DX68" s="561">
        <v>0</v>
      </c>
      <c r="DY68" s="561">
        <v>0</v>
      </c>
      <c r="DZ68" s="561">
        <v>0</v>
      </c>
      <c r="EA68" s="561">
        <v>0</v>
      </c>
      <c r="EB68" s="561">
        <v>0</v>
      </c>
      <c r="EC68" s="561">
        <v>0</v>
      </c>
      <c r="ED68" s="561">
        <v>0</v>
      </c>
      <c r="EE68" s="561">
        <v>0</v>
      </c>
      <c r="EF68" s="561">
        <v>0</v>
      </c>
      <c r="EG68" s="561">
        <v>0</v>
      </c>
      <c r="EH68" s="561">
        <v>0</v>
      </c>
      <c r="EI68" s="561">
        <v>0</v>
      </c>
      <c r="EJ68" s="561">
        <v>0</v>
      </c>
      <c r="EK68" s="561">
        <v>0</v>
      </c>
      <c r="EL68" s="561">
        <v>0</v>
      </c>
      <c r="EM68" s="561">
        <v>0</v>
      </c>
      <c r="EN68" s="561">
        <v>0</v>
      </c>
      <c r="EO68" s="561">
        <v>0</v>
      </c>
      <c r="EP68" s="561">
        <v>0</v>
      </c>
      <c r="EQ68" s="561">
        <v>0</v>
      </c>
      <c r="ER68" s="561">
        <v>0</v>
      </c>
      <c r="ES68" s="561" t="s">
        <v>4565</v>
      </c>
      <c r="ET68" s="561">
        <v>0</v>
      </c>
      <c r="EU68" s="561">
        <v>0</v>
      </c>
      <c r="EV68" s="561">
        <v>0</v>
      </c>
      <c r="EW68" s="561">
        <v>0</v>
      </c>
      <c r="EX68" s="561">
        <v>0</v>
      </c>
      <c r="EY68" s="561">
        <v>0</v>
      </c>
      <c r="EZ68" s="561">
        <v>0</v>
      </c>
      <c r="FA68" s="561">
        <v>0</v>
      </c>
      <c r="FB68" s="561">
        <v>0</v>
      </c>
      <c r="FC68" s="561">
        <v>0</v>
      </c>
      <c r="FD68" s="561">
        <v>0</v>
      </c>
      <c r="FE68" s="561">
        <v>0</v>
      </c>
      <c r="FF68" s="561">
        <v>0</v>
      </c>
      <c r="FG68" s="561">
        <v>0</v>
      </c>
      <c r="FH68" s="561">
        <v>0</v>
      </c>
      <c r="FI68" s="561">
        <v>0</v>
      </c>
      <c r="FJ68" s="561">
        <v>0</v>
      </c>
      <c r="FK68" s="561">
        <v>0</v>
      </c>
      <c r="FL68" s="561">
        <v>0</v>
      </c>
      <c r="FM68" s="561">
        <v>0</v>
      </c>
      <c r="FN68" s="561">
        <v>0</v>
      </c>
      <c r="FO68" s="561">
        <v>0</v>
      </c>
      <c r="FP68" s="561">
        <v>0</v>
      </c>
      <c r="FQ68" s="561">
        <v>0</v>
      </c>
      <c r="FR68" s="561">
        <v>0</v>
      </c>
      <c r="FS68" s="561">
        <v>0</v>
      </c>
      <c r="FT68" s="561">
        <v>0</v>
      </c>
      <c r="FU68" s="561">
        <v>0</v>
      </c>
      <c r="FV68" s="561">
        <v>0</v>
      </c>
      <c r="FW68" s="561">
        <v>0</v>
      </c>
      <c r="FX68" s="561">
        <v>0</v>
      </c>
      <c r="FY68" s="561">
        <v>0</v>
      </c>
      <c r="FZ68" s="561">
        <v>0</v>
      </c>
      <c r="GA68" s="561">
        <v>0</v>
      </c>
      <c r="GB68" s="561">
        <v>0</v>
      </c>
      <c r="GC68" s="561">
        <v>0</v>
      </c>
      <c r="GD68" s="561">
        <v>0</v>
      </c>
      <c r="GE68" s="561">
        <v>0</v>
      </c>
      <c r="GF68" s="561">
        <v>0</v>
      </c>
      <c r="GG68" s="561">
        <v>0</v>
      </c>
      <c r="GH68" s="561">
        <v>0</v>
      </c>
      <c r="GI68" s="561">
        <v>0</v>
      </c>
      <c r="GJ68" s="561">
        <v>0</v>
      </c>
      <c r="GK68" s="561">
        <v>0</v>
      </c>
      <c r="GL68" s="561">
        <v>0</v>
      </c>
      <c r="GM68" s="561">
        <v>0</v>
      </c>
      <c r="GN68" s="561">
        <v>0</v>
      </c>
      <c r="GO68" s="561">
        <v>0</v>
      </c>
      <c r="GP68" s="561">
        <v>0</v>
      </c>
      <c r="GQ68" s="561">
        <v>0</v>
      </c>
      <c r="GR68" s="561">
        <v>0</v>
      </c>
      <c r="GS68" s="561">
        <v>0</v>
      </c>
      <c r="GT68" s="561">
        <v>0</v>
      </c>
      <c r="GU68" s="561">
        <v>0</v>
      </c>
      <c r="GV68" s="561">
        <v>0</v>
      </c>
      <c r="GW68" s="561">
        <v>0</v>
      </c>
      <c r="GX68" s="561">
        <v>0</v>
      </c>
      <c r="GY68" s="561">
        <v>0</v>
      </c>
      <c r="GZ68" s="561">
        <v>0</v>
      </c>
      <c r="HA68" s="561">
        <v>0</v>
      </c>
      <c r="HB68" s="561">
        <v>0</v>
      </c>
      <c r="HC68" s="561">
        <v>0</v>
      </c>
      <c r="HD68" s="561">
        <v>0</v>
      </c>
      <c r="HE68" s="561">
        <v>0</v>
      </c>
      <c r="HF68" s="561">
        <v>0</v>
      </c>
      <c r="HG68" s="561">
        <v>0</v>
      </c>
      <c r="HH68" s="561">
        <v>0</v>
      </c>
      <c r="HI68" s="561">
        <v>0</v>
      </c>
      <c r="HJ68" s="561">
        <v>16314</v>
      </c>
      <c r="HK68" s="561">
        <v>34263</v>
      </c>
      <c r="HL68" s="561">
        <v>0</v>
      </c>
      <c r="HM68" s="561">
        <v>50577</v>
      </c>
      <c r="HN68" s="561">
        <v>0</v>
      </c>
      <c r="HO68" s="561">
        <v>1588</v>
      </c>
      <c r="HP68" s="561">
        <v>0</v>
      </c>
      <c r="HQ68" s="561">
        <v>0</v>
      </c>
      <c r="HR68" s="561">
        <v>0</v>
      </c>
      <c r="HS68" s="561">
        <v>0</v>
      </c>
      <c r="HT68" s="561">
        <v>0</v>
      </c>
      <c r="HU68" s="561">
        <v>0</v>
      </c>
      <c r="HV68" s="561">
        <v>0</v>
      </c>
      <c r="HW68" s="561">
        <v>0</v>
      </c>
      <c r="HX68" s="561">
        <v>0</v>
      </c>
      <c r="HY68" s="561">
        <v>0</v>
      </c>
      <c r="HZ68" s="561">
        <v>0</v>
      </c>
      <c r="IA68" s="561">
        <v>0</v>
      </c>
      <c r="IB68" s="561">
        <v>0</v>
      </c>
      <c r="IC68" s="561">
        <v>0</v>
      </c>
      <c r="ID68" s="561">
        <v>0</v>
      </c>
      <c r="IE68" s="561">
        <v>0</v>
      </c>
      <c r="IF68" s="561">
        <v>0</v>
      </c>
      <c r="IG68" s="561">
        <v>0</v>
      </c>
      <c r="IH68" s="561">
        <v>0</v>
      </c>
      <c r="II68" s="561">
        <v>1588</v>
      </c>
      <c r="IJ68" s="561">
        <v>0</v>
      </c>
      <c r="IK68" s="561">
        <v>0</v>
      </c>
      <c r="IL68" s="561">
        <v>0</v>
      </c>
      <c r="IM68" s="561">
        <v>0</v>
      </c>
      <c r="IN68" s="561">
        <v>0</v>
      </c>
      <c r="IO68" s="561">
        <v>0</v>
      </c>
      <c r="IP68" s="561">
        <v>0</v>
      </c>
      <c r="IQ68" s="561">
        <v>0</v>
      </c>
      <c r="IR68" s="561">
        <v>0</v>
      </c>
      <c r="IS68" s="561">
        <v>0</v>
      </c>
      <c r="IT68" s="561">
        <v>0</v>
      </c>
      <c r="IU68" s="561">
        <v>0</v>
      </c>
      <c r="IV68" s="561">
        <v>0</v>
      </c>
      <c r="IW68" s="561">
        <v>0</v>
      </c>
      <c r="IX68" s="561">
        <v>0</v>
      </c>
      <c r="IY68" s="561">
        <v>0</v>
      </c>
      <c r="IZ68" s="561">
        <v>0</v>
      </c>
      <c r="JA68" s="561">
        <v>0</v>
      </c>
      <c r="JB68" s="561">
        <v>50577</v>
      </c>
      <c r="JC68" s="561">
        <v>1588</v>
      </c>
      <c r="JD68" s="561">
        <v>0</v>
      </c>
      <c r="JE68" s="561">
        <v>52165</v>
      </c>
      <c r="JF68" s="561">
        <v>0</v>
      </c>
      <c r="JG68" s="561">
        <v>0</v>
      </c>
      <c r="JH68" s="561">
        <v>0</v>
      </c>
      <c r="JI68" s="561">
        <v>0</v>
      </c>
      <c r="JJ68" s="561">
        <v>0</v>
      </c>
      <c r="JK68" s="561">
        <v>0</v>
      </c>
      <c r="JL68" s="561">
        <v>0</v>
      </c>
      <c r="JM68" s="561">
        <v>0</v>
      </c>
      <c r="JN68" s="561">
        <v>0</v>
      </c>
      <c r="JO68" s="561">
        <v>126</v>
      </c>
      <c r="JP68" s="561">
        <v>0</v>
      </c>
      <c r="JQ68" s="561">
        <v>0</v>
      </c>
      <c r="JR68" s="561">
        <v>0</v>
      </c>
      <c r="JS68" s="561">
        <v>0</v>
      </c>
      <c r="JT68" s="561">
        <v>-3</v>
      </c>
      <c r="JU68" s="561">
        <v>0</v>
      </c>
      <c r="JV68" s="561">
        <v>52288</v>
      </c>
      <c r="JW68" s="561">
        <v>0</v>
      </c>
      <c r="JX68" s="561">
        <v>7697</v>
      </c>
      <c r="JY68" s="561">
        <v>0</v>
      </c>
      <c r="JZ68" s="561">
        <v>0</v>
      </c>
      <c r="KA68" s="561">
        <v>0</v>
      </c>
      <c r="KB68" s="561">
        <v>3</v>
      </c>
      <c r="KC68" s="561">
        <v>1082</v>
      </c>
      <c r="KD68" s="561">
        <v>24</v>
      </c>
      <c r="KE68" s="561">
        <v>221</v>
      </c>
      <c r="KF68" s="561">
        <v>0</v>
      </c>
      <c r="KG68" s="561">
        <v>61315</v>
      </c>
      <c r="KH68" s="561">
        <v>-744</v>
      </c>
      <c r="KI68" s="561">
        <v>0</v>
      </c>
      <c r="KJ68" s="561">
        <v>0</v>
      </c>
      <c r="KK68" s="561">
        <v>0</v>
      </c>
      <c r="KL68" s="561">
        <v>0</v>
      </c>
      <c r="KM68" s="561">
        <v>0</v>
      </c>
      <c r="KN68" s="561">
        <v>0</v>
      </c>
      <c r="KO68" s="561">
        <v>0</v>
      </c>
      <c r="KP68" s="561">
        <v>0</v>
      </c>
      <c r="KQ68" s="561">
        <v>0</v>
      </c>
      <c r="KR68" s="561">
        <v>60571</v>
      </c>
      <c r="KS68" s="561">
        <v>0</v>
      </c>
      <c r="KT68" s="561">
        <v>-2920</v>
      </c>
      <c r="KU68" s="561">
        <v>57651</v>
      </c>
      <c r="KV68" s="561">
        <v>0</v>
      </c>
      <c r="KW68" s="561">
        <v>0</v>
      </c>
      <c r="KX68" s="561">
        <v>0</v>
      </c>
      <c r="KY68" s="561">
        <v>0</v>
      </c>
      <c r="KZ68" s="561">
        <v>-3538</v>
      </c>
      <c r="LA68" s="561">
        <v>1699</v>
      </c>
      <c r="LB68" s="561">
        <v>-6962</v>
      </c>
      <c r="LC68" s="561">
        <v>0</v>
      </c>
      <c r="LD68" s="561">
        <v>-13132</v>
      </c>
      <c r="LE68" s="561">
        <v>80</v>
      </c>
      <c r="LF68" s="561">
        <v>0</v>
      </c>
      <c r="LG68" s="561">
        <v>35798</v>
      </c>
      <c r="LH68" s="561">
        <v>0</v>
      </c>
      <c r="LI68" s="561">
        <v>0</v>
      </c>
      <c r="LJ68" s="561">
        <v>0</v>
      </c>
      <c r="LK68" s="561">
        <v>0</v>
      </c>
      <c r="LL68" s="561">
        <v>22808</v>
      </c>
      <c r="LM68" s="561">
        <v>3118</v>
      </c>
      <c r="LN68" s="561">
        <v>0</v>
      </c>
      <c r="LO68" s="561">
        <v>0</v>
      </c>
      <c r="LP68" s="561">
        <v>0</v>
      </c>
      <c r="LQ68" s="561">
        <v>0</v>
      </c>
      <c r="LR68" s="561">
        <v>19270</v>
      </c>
      <c r="LS68" s="561">
        <v>4817</v>
      </c>
      <c r="LT68" s="561">
        <v>0</v>
      </c>
      <c r="LU68" s="561">
        <v>4233</v>
      </c>
      <c r="LV68" s="561">
        <v>0</v>
      </c>
      <c r="LW68" s="561">
        <v>557</v>
      </c>
      <c r="LX68" s="561">
        <v>0</v>
      </c>
      <c r="LY68" s="561">
        <v>0</v>
      </c>
      <c r="LZ68" s="561">
        <v>4790</v>
      </c>
      <c r="MA68" s="561">
        <v>0</v>
      </c>
      <c r="MB68" s="561">
        <v>0</v>
      </c>
      <c r="MC68" s="561">
        <v>0</v>
      </c>
      <c r="MD68" s="561">
        <v>0</v>
      </c>
      <c r="ME68" s="561">
        <v>0</v>
      </c>
      <c r="MF68" s="561">
        <v>0</v>
      </c>
      <c r="MG68" s="561">
        <v>0</v>
      </c>
      <c r="MH68" s="561">
        <v>0</v>
      </c>
      <c r="MI68" s="561">
        <v>0</v>
      </c>
      <c r="MJ68" s="561">
        <v>0</v>
      </c>
      <c r="MK68" s="561">
        <v>0</v>
      </c>
      <c r="ML68" s="561">
        <v>0</v>
      </c>
      <c r="MM68" s="561">
        <v>16131</v>
      </c>
      <c r="MN68" s="561">
        <v>1030</v>
      </c>
      <c r="MO68" s="561">
        <v>2109</v>
      </c>
      <c r="MP68" s="561">
        <v>0</v>
      </c>
      <c r="MQ68" s="561">
        <v>0</v>
      </c>
      <c r="MR68" s="561">
        <v>0</v>
      </c>
      <c r="MS68" s="561">
        <v>0</v>
      </c>
      <c r="MT68" s="561">
        <v>0</v>
      </c>
      <c r="MU68" s="561">
        <v>0</v>
      </c>
      <c r="MV68" s="561">
        <v>0</v>
      </c>
      <c r="MW68" s="561">
        <v>0</v>
      </c>
      <c r="MX68" s="561">
        <v>0</v>
      </c>
      <c r="MY68" s="561">
        <v>0</v>
      </c>
      <c r="MZ68" s="561">
        <v>0</v>
      </c>
      <c r="NA68" s="561">
        <v>50577</v>
      </c>
      <c r="NB68" s="561">
        <v>1588</v>
      </c>
      <c r="NC68" s="561">
        <v>0</v>
      </c>
      <c r="ND68" s="561">
        <v>52165</v>
      </c>
      <c r="NE68" s="561">
        <v>0</v>
      </c>
      <c r="NF68" s="561">
        <v>0</v>
      </c>
      <c r="NG68" s="561">
        <v>0</v>
      </c>
      <c r="NH68" s="561">
        <v>0</v>
      </c>
      <c r="NI68" s="561">
        <v>0</v>
      </c>
      <c r="NJ68" s="561">
        <v>0</v>
      </c>
      <c r="NK68" s="561">
        <v>0</v>
      </c>
      <c r="NL68" s="561">
        <v>0</v>
      </c>
      <c r="NM68" s="561">
        <v>0</v>
      </c>
      <c r="NN68" s="561">
        <v>0</v>
      </c>
      <c r="NO68" s="561">
        <v>0</v>
      </c>
      <c r="NP68" s="561">
        <v>0</v>
      </c>
      <c r="NQ68" s="561">
        <v>0</v>
      </c>
      <c r="NR68" s="561">
        <v>0</v>
      </c>
      <c r="NS68" s="561">
        <v>0</v>
      </c>
      <c r="NT68" s="561">
        <v>0</v>
      </c>
      <c r="NU68" s="561">
        <v>0</v>
      </c>
      <c r="NV68" s="561">
        <v>0</v>
      </c>
      <c r="NW68" s="561">
        <v>0</v>
      </c>
      <c r="NX68" s="561">
        <v>0</v>
      </c>
      <c r="NY68" s="561">
        <v>0</v>
      </c>
      <c r="NZ68" s="561">
        <v>0</v>
      </c>
      <c r="OA68" s="561">
        <v>0</v>
      </c>
      <c r="OB68" s="561">
        <v>0</v>
      </c>
      <c r="OC68" s="561">
        <v>0</v>
      </c>
      <c r="OD68" s="561">
        <v>0</v>
      </c>
      <c r="OE68" s="561">
        <v>0</v>
      </c>
      <c r="OF68" s="561">
        <v>0</v>
      </c>
      <c r="OG68" s="561">
        <v>0</v>
      </c>
      <c r="OH68" s="561">
        <v>0</v>
      </c>
      <c r="OI68" s="561">
        <v>0</v>
      </c>
      <c r="OJ68" s="561">
        <v>0</v>
      </c>
      <c r="OK68" s="561">
        <v>0</v>
      </c>
      <c r="OL68" s="561">
        <v>0</v>
      </c>
      <c r="OM68" s="561">
        <v>0</v>
      </c>
      <c r="ON68" s="561">
        <v>0</v>
      </c>
      <c r="OO68" s="561">
        <v>0</v>
      </c>
      <c r="OP68" s="561">
        <v>0</v>
      </c>
      <c r="OQ68" s="561">
        <v>0</v>
      </c>
      <c r="OR68" s="561">
        <v>0</v>
      </c>
      <c r="OS68" s="561">
        <v>0</v>
      </c>
      <c r="OT68" s="561">
        <v>0</v>
      </c>
      <c r="OU68" s="561">
        <v>0</v>
      </c>
      <c r="OV68" s="561">
        <v>0</v>
      </c>
      <c r="OW68" s="561">
        <v>0</v>
      </c>
      <c r="OX68" s="561">
        <v>0</v>
      </c>
      <c r="OY68" s="561">
        <v>0</v>
      </c>
      <c r="OZ68" s="561">
        <v>0</v>
      </c>
      <c r="PA68" s="561">
        <v>0</v>
      </c>
      <c r="PB68" s="561">
        <v>0</v>
      </c>
      <c r="PC68" s="561">
        <v>0</v>
      </c>
      <c r="PD68" s="561">
        <v>0</v>
      </c>
      <c r="PE68" s="561">
        <v>0</v>
      </c>
      <c r="PF68" s="561">
        <v>0</v>
      </c>
      <c r="PG68" s="561">
        <v>0</v>
      </c>
      <c r="PH68" s="561">
        <v>0</v>
      </c>
      <c r="PI68" s="561">
        <v>0</v>
      </c>
      <c r="PJ68" s="561">
        <v>0</v>
      </c>
    </row>
    <row r="69" spans="1:426" ht="14" x14ac:dyDescent="0.3">
      <c r="A69" t="s">
        <v>2636</v>
      </c>
      <c r="B69" t="s">
        <v>2637</v>
      </c>
      <c r="C69" t="s">
        <v>4586</v>
      </c>
      <c r="E69" t="s">
        <v>385</v>
      </c>
      <c r="F69" s="561">
        <v>43832</v>
      </c>
      <c r="G69" s="561">
        <v>87584</v>
      </c>
      <c r="H69" s="561">
        <v>37031</v>
      </c>
      <c r="I69" s="561">
        <v>79732</v>
      </c>
      <c r="J69" s="561">
        <v>1600</v>
      </c>
      <c r="K69" s="561">
        <v>8575</v>
      </c>
      <c r="L69" s="561">
        <v>258354</v>
      </c>
      <c r="M69" s="561">
        <v>2335</v>
      </c>
      <c r="N69" s="561">
        <v>1315</v>
      </c>
      <c r="O69" s="561">
        <v>-38</v>
      </c>
      <c r="P69" s="561">
        <v>0</v>
      </c>
      <c r="Q69" s="561">
        <v>0</v>
      </c>
      <c r="R69" s="561">
        <v>178</v>
      </c>
      <c r="S69" s="561">
        <v>8442</v>
      </c>
      <c r="T69" s="561">
        <v>165</v>
      </c>
      <c r="U69" s="561">
        <v>2371</v>
      </c>
      <c r="V69" s="561">
        <v>1947</v>
      </c>
      <c r="W69" s="561">
        <v>0</v>
      </c>
      <c r="X69" s="561">
        <v>0</v>
      </c>
      <c r="Y69" s="561">
        <v>375</v>
      </c>
      <c r="Z69" s="561">
        <v>301</v>
      </c>
      <c r="AA69" s="561">
        <v>373</v>
      </c>
      <c r="AB69" s="561">
        <v>-1663</v>
      </c>
      <c r="AC69" s="561">
        <v>3033</v>
      </c>
      <c r="AD69" s="561">
        <v>20</v>
      </c>
      <c r="AE69" s="561">
        <v>3043</v>
      </c>
      <c r="AF69" s="561">
        <v>0</v>
      </c>
      <c r="AG69" s="561">
        <v>0</v>
      </c>
      <c r="AH69" s="561">
        <v>2076</v>
      </c>
      <c r="AI69" s="561">
        <v>0</v>
      </c>
      <c r="AJ69" s="561">
        <v>21938</v>
      </c>
      <c r="AK69" s="561">
        <v>229</v>
      </c>
      <c r="AL69" s="561">
        <v>0</v>
      </c>
      <c r="AM69" s="561">
        <v>0</v>
      </c>
      <c r="AN69" s="561">
        <v>0</v>
      </c>
      <c r="AO69" s="561">
        <v>0</v>
      </c>
      <c r="AP69" s="561">
        <v>0</v>
      </c>
      <c r="AQ69" s="561">
        <v>0</v>
      </c>
      <c r="AR69" s="561">
        <v>0</v>
      </c>
      <c r="AS69" s="561">
        <v>345</v>
      </c>
      <c r="AT69" s="561">
        <v>88</v>
      </c>
      <c r="AU69" s="561">
        <v>0</v>
      </c>
      <c r="AV69" s="561">
        <v>0</v>
      </c>
      <c r="AW69" s="561">
        <v>0</v>
      </c>
      <c r="AX69" s="561">
        <v>2362</v>
      </c>
      <c r="AY69" s="561">
        <v>57741</v>
      </c>
      <c r="AZ69" s="561">
        <v>0</v>
      </c>
      <c r="BA69" s="561">
        <v>13725</v>
      </c>
      <c r="BB69" s="561">
        <v>889</v>
      </c>
      <c r="BC69" s="561">
        <v>13151</v>
      </c>
      <c r="BD69" s="561">
        <v>420</v>
      </c>
      <c r="BE69" s="561">
        <v>1838</v>
      </c>
      <c r="BF69" s="561">
        <v>90126</v>
      </c>
      <c r="BG69" s="561">
        <v>4363</v>
      </c>
      <c r="BH69" s="561">
        <v>8764</v>
      </c>
      <c r="BI69" s="561">
        <v>37697</v>
      </c>
      <c r="BJ69" s="561">
        <v>1240</v>
      </c>
      <c r="BK69" s="561">
        <v>556</v>
      </c>
      <c r="BL69" s="561">
        <v>2733</v>
      </c>
      <c r="BM69" s="561">
        <v>20120</v>
      </c>
      <c r="BN69" s="561">
        <v>62990</v>
      </c>
      <c r="BO69" s="561">
        <v>5247</v>
      </c>
      <c r="BP69" s="561">
        <v>9115</v>
      </c>
      <c r="BQ69" s="561">
        <v>5782</v>
      </c>
      <c r="BR69" s="561">
        <v>464</v>
      </c>
      <c r="BS69" s="561">
        <v>1367</v>
      </c>
      <c r="BT69" s="561">
        <v>567</v>
      </c>
      <c r="BU69" s="561">
        <v>1782</v>
      </c>
      <c r="BV69" s="561">
        <v>540</v>
      </c>
      <c r="BW69" s="561">
        <v>17933</v>
      </c>
      <c r="BX69" s="561">
        <v>755</v>
      </c>
      <c r="BY69" s="561">
        <v>9387</v>
      </c>
      <c r="BZ69" s="561">
        <v>187039</v>
      </c>
      <c r="CA69" s="561">
        <v>5027</v>
      </c>
      <c r="CB69" s="561">
        <v>1201</v>
      </c>
      <c r="CC69" s="561">
        <v>1079</v>
      </c>
      <c r="CD69" s="561">
        <v>220</v>
      </c>
      <c r="CE69" s="561">
        <v>352</v>
      </c>
      <c r="CF69" s="561">
        <v>868</v>
      </c>
      <c r="CG69" s="561">
        <v>0</v>
      </c>
      <c r="CH69" s="561">
        <v>255</v>
      </c>
      <c r="CI69" s="561">
        <v>195</v>
      </c>
      <c r="CJ69" s="561">
        <v>11</v>
      </c>
      <c r="CK69" s="561">
        <v>267</v>
      </c>
      <c r="CL69" s="561">
        <v>9</v>
      </c>
      <c r="CM69" s="561">
        <v>2359</v>
      </c>
      <c r="CN69" s="561">
        <v>860</v>
      </c>
      <c r="CO69" s="561">
        <v>269</v>
      </c>
      <c r="CP69" s="561">
        <v>73</v>
      </c>
      <c r="CQ69" s="561">
        <v>233</v>
      </c>
      <c r="CR69" s="561">
        <v>175</v>
      </c>
      <c r="CS69" s="561">
        <v>380</v>
      </c>
      <c r="CT69" s="561">
        <v>1330</v>
      </c>
      <c r="CU69" s="561">
        <v>4542</v>
      </c>
      <c r="CV69" s="561">
        <v>60</v>
      </c>
      <c r="CW69" s="561">
        <v>31</v>
      </c>
      <c r="CX69" s="561">
        <v>1602</v>
      </c>
      <c r="CY69" s="561">
        <v>2645</v>
      </c>
      <c r="CZ69" s="561">
        <v>19016</v>
      </c>
      <c r="DA69" s="561">
        <v>60</v>
      </c>
      <c r="DB69" s="561">
        <v>0</v>
      </c>
      <c r="DC69" s="561">
        <v>0</v>
      </c>
      <c r="DD69" s="561">
        <v>0</v>
      </c>
      <c r="DE69" s="561">
        <v>0</v>
      </c>
      <c r="DF69" s="561">
        <v>0</v>
      </c>
      <c r="DG69" s="561">
        <v>0</v>
      </c>
      <c r="DH69" s="561">
        <v>514</v>
      </c>
      <c r="DI69" s="561">
        <v>0</v>
      </c>
      <c r="DJ69" s="561">
        <v>86</v>
      </c>
      <c r="DK69" s="561">
        <v>18</v>
      </c>
      <c r="DL69" s="561">
        <v>0</v>
      </c>
      <c r="DM69" s="561">
        <v>0</v>
      </c>
      <c r="DN69" s="561">
        <v>337</v>
      </c>
      <c r="DO69" s="561">
        <v>0</v>
      </c>
      <c r="DP69" s="561">
        <v>0</v>
      </c>
      <c r="DQ69" s="561">
        <v>0</v>
      </c>
      <c r="DR69" s="561">
        <v>0</v>
      </c>
      <c r="DS69" s="561">
        <v>91</v>
      </c>
      <c r="DT69" s="561">
        <v>3422</v>
      </c>
      <c r="DU69" s="561">
        <v>3850</v>
      </c>
      <c r="DV69" s="561">
        <v>340</v>
      </c>
      <c r="DW69" s="561">
        <v>0</v>
      </c>
      <c r="DX69" s="561">
        <v>0</v>
      </c>
      <c r="DY69" s="561">
        <v>5096</v>
      </c>
      <c r="DZ69" s="561">
        <v>74</v>
      </c>
      <c r="EA69" s="561">
        <v>367</v>
      </c>
      <c r="EB69" s="561">
        <v>0</v>
      </c>
      <c r="EC69" s="561">
        <v>10345</v>
      </c>
      <c r="ED69" s="561">
        <v>44</v>
      </c>
      <c r="EE69" s="561">
        <v>0</v>
      </c>
      <c r="EF69" s="561">
        <v>0</v>
      </c>
      <c r="EG69" s="561">
        <v>0</v>
      </c>
      <c r="EH69" s="561">
        <v>0</v>
      </c>
      <c r="EI69" s="561">
        <v>0</v>
      </c>
      <c r="EJ69" s="561">
        <v>0</v>
      </c>
      <c r="EK69" s="561">
        <v>0</v>
      </c>
      <c r="EL69" s="561">
        <v>0</v>
      </c>
      <c r="EM69" s="561">
        <v>0</v>
      </c>
      <c r="EN69" s="561">
        <v>0</v>
      </c>
      <c r="EO69" s="561">
        <v>0</v>
      </c>
      <c r="EP69" s="561">
        <v>0</v>
      </c>
      <c r="EQ69" s="561">
        <v>0</v>
      </c>
      <c r="ER69" s="561">
        <v>0</v>
      </c>
      <c r="ES69" s="561" t="s">
        <v>4565</v>
      </c>
      <c r="ET69" s="561">
        <v>0</v>
      </c>
      <c r="EU69" s="561">
        <v>0</v>
      </c>
      <c r="EV69" s="561">
        <v>0</v>
      </c>
      <c r="EW69" s="561">
        <v>0</v>
      </c>
      <c r="EX69" s="561">
        <v>0</v>
      </c>
      <c r="EY69" s="561">
        <v>0</v>
      </c>
      <c r="EZ69" s="561">
        <v>0</v>
      </c>
      <c r="FA69" s="561">
        <v>0</v>
      </c>
      <c r="FB69" s="561">
        <v>303</v>
      </c>
      <c r="FC69" s="561">
        <v>532</v>
      </c>
      <c r="FD69" s="561">
        <v>44</v>
      </c>
      <c r="FE69" s="561">
        <v>8</v>
      </c>
      <c r="FF69" s="561">
        <v>296</v>
      </c>
      <c r="FG69" s="561">
        <v>46</v>
      </c>
      <c r="FH69" s="561">
        <v>0</v>
      </c>
      <c r="FI69" s="561">
        <v>0</v>
      </c>
      <c r="FJ69" s="561">
        <v>7533</v>
      </c>
      <c r="FK69" s="561">
        <v>7720</v>
      </c>
      <c r="FL69" s="561">
        <v>0</v>
      </c>
      <c r="FM69" s="561">
        <v>248</v>
      </c>
      <c r="FN69" s="561">
        <v>4978</v>
      </c>
      <c r="FO69" s="561">
        <v>21708</v>
      </c>
      <c r="FP69" s="561">
        <v>38</v>
      </c>
      <c r="FQ69" s="561">
        <v>-445</v>
      </c>
      <c r="FR69" s="561">
        <v>879</v>
      </c>
      <c r="FS69" s="561">
        <v>0</v>
      </c>
      <c r="FT69" s="561">
        <v>735</v>
      </c>
      <c r="FU69" s="561">
        <v>784</v>
      </c>
      <c r="FV69" s="561">
        <v>390</v>
      </c>
      <c r="FW69" s="561">
        <v>0</v>
      </c>
      <c r="FX69" s="561">
        <v>0</v>
      </c>
      <c r="FY69" s="561">
        <v>0</v>
      </c>
      <c r="FZ69" s="561">
        <v>62</v>
      </c>
      <c r="GA69" s="561">
        <v>142</v>
      </c>
      <c r="GB69" s="561">
        <v>442</v>
      </c>
      <c r="GC69" s="561">
        <v>18</v>
      </c>
      <c r="GD69" s="561">
        <v>710</v>
      </c>
      <c r="GE69" s="561">
        <v>231</v>
      </c>
      <c r="GF69" s="561">
        <v>612</v>
      </c>
      <c r="GG69" s="561">
        <v>0</v>
      </c>
      <c r="GH69" s="561">
        <v>407</v>
      </c>
      <c r="GI69" s="561">
        <v>3</v>
      </c>
      <c r="GJ69" s="561">
        <v>0</v>
      </c>
      <c r="GK69" s="561">
        <v>-498</v>
      </c>
      <c r="GL69" s="561">
        <v>3791</v>
      </c>
      <c r="GM69" s="561">
        <v>9761</v>
      </c>
      <c r="GN69" s="561">
        <v>16317</v>
      </c>
      <c r="GO69" s="561">
        <v>0</v>
      </c>
      <c r="GP69" s="561">
        <v>4204</v>
      </c>
      <c r="GQ69" s="561">
        <v>302</v>
      </c>
      <c r="GR69" s="561">
        <v>-73</v>
      </c>
      <c r="GS69" s="561">
        <v>38774</v>
      </c>
      <c r="GT69" s="561">
        <v>167</v>
      </c>
      <c r="GU69" s="561">
        <v>-53</v>
      </c>
      <c r="GV69" s="561">
        <v>2099</v>
      </c>
      <c r="GW69" s="561">
        <v>329</v>
      </c>
      <c r="GX69" s="561">
        <v>2247</v>
      </c>
      <c r="GY69" s="561">
        <v>106</v>
      </c>
      <c r="GZ69" s="561">
        <v>7866</v>
      </c>
      <c r="HA69" s="561">
        <v>15</v>
      </c>
      <c r="HB69" s="561">
        <v>767</v>
      </c>
      <c r="HC69" s="561">
        <v>180</v>
      </c>
      <c r="HD69" s="561">
        <v>13556</v>
      </c>
      <c r="HE69" s="561">
        <v>60</v>
      </c>
      <c r="HF69" s="561">
        <v>74038</v>
      </c>
      <c r="HG69" s="561">
        <v>265</v>
      </c>
      <c r="HH69" s="561">
        <v>0</v>
      </c>
      <c r="HI69" s="561">
        <v>0</v>
      </c>
      <c r="HJ69" s="561">
        <v>0</v>
      </c>
      <c r="HK69" s="561">
        <v>0</v>
      </c>
      <c r="HL69" s="561">
        <v>0</v>
      </c>
      <c r="HM69" s="561">
        <v>0</v>
      </c>
      <c r="HN69" s="561">
        <v>0</v>
      </c>
      <c r="HO69" s="561">
        <v>5328</v>
      </c>
      <c r="HP69" s="561">
        <v>2725</v>
      </c>
      <c r="HQ69" s="561">
        <v>0</v>
      </c>
      <c r="HR69" s="561">
        <v>0</v>
      </c>
      <c r="HS69" s="561">
        <v>261</v>
      </c>
      <c r="HT69" s="561">
        <v>359</v>
      </c>
      <c r="HU69" s="561">
        <v>0</v>
      </c>
      <c r="HV69" s="561">
        <v>-408</v>
      </c>
      <c r="HW69" s="561">
        <v>570</v>
      </c>
      <c r="HX69" s="561">
        <v>191</v>
      </c>
      <c r="HY69" s="561">
        <v>128</v>
      </c>
      <c r="HZ69" s="561">
        <v>-514</v>
      </c>
      <c r="IA69" s="561">
        <v>0</v>
      </c>
      <c r="IB69" s="561">
        <v>0</v>
      </c>
      <c r="IC69" s="561">
        <v>692</v>
      </c>
      <c r="ID69" s="561">
        <v>0</v>
      </c>
      <c r="IE69" s="561">
        <v>382</v>
      </c>
      <c r="IF69" s="561">
        <v>6</v>
      </c>
      <c r="IG69" s="561">
        <v>360</v>
      </c>
      <c r="IH69" s="561">
        <v>0</v>
      </c>
      <c r="II69" s="561">
        <v>10080</v>
      </c>
      <c r="IJ69" s="561">
        <v>2501</v>
      </c>
      <c r="IK69" s="561">
        <v>6426</v>
      </c>
      <c r="IL69" s="561">
        <v>25160</v>
      </c>
      <c r="IM69" s="561">
        <v>0</v>
      </c>
      <c r="IN69" s="561">
        <v>0</v>
      </c>
      <c r="IO69" s="561">
        <v>0</v>
      </c>
      <c r="IP69" s="561">
        <v>-1559</v>
      </c>
      <c r="IQ69" s="561">
        <v>0</v>
      </c>
      <c r="IR69" s="561">
        <v>258354</v>
      </c>
      <c r="IS69" s="561">
        <v>21938</v>
      </c>
      <c r="IT69" s="561">
        <v>90126</v>
      </c>
      <c r="IU69" s="561">
        <v>187039</v>
      </c>
      <c r="IV69" s="561">
        <v>19016</v>
      </c>
      <c r="IW69" s="561">
        <v>10345</v>
      </c>
      <c r="IX69" s="561">
        <v>21708</v>
      </c>
      <c r="IY69" s="561">
        <v>38774</v>
      </c>
      <c r="IZ69" s="561">
        <v>13556</v>
      </c>
      <c r="JA69" s="561">
        <v>0</v>
      </c>
      <c r="JB69" s="561">
        <v>0</v>
      </c>
      <c r="JC69" s="561">
        <v>10080</v>
      </c>
      <c r="JD69" s="561">
        <v>-1559</v>
      </c>
      <c r="JE69" s="561">
        <v>669377</v>
      </c>
      <c r="JF69" s="561">
        <v>55452</v>
      </c>
      <c r="JG69" s="561">
        <v>0</v>
      </c>
      <c r="JH69" s="561">
        <v>0</v>
      </c>
      <c r="JI69" s="561">
        <v>0</v>
      </c>
      <c r="JJ69" s="561">
        <v>0</v>
      </c>
      <c r="JK69" s="561">
        <v>11462</v>
      </c>
      <c r="JL69" s="561">
        <v>0</v>
      </c>
      <c r="JM69" s="561">
        <v>0</v>
      </c>
      <c r="JN69" s="561">
        <v>0</v>
      </c>
      <c r="JO69" s="561">
        <v>0</v>
      </c>
      <c r="JP69" s="561">
        <v>0</v>
      </c>
      <c r="JQ69" s="561">
        <v>0</v>
      </c>
      <c r="JR69" s="561">
        <v>0</v>
      </c>
      <c r="JS69" s="561">
        <v>0</v>
      </c>
      <c r="JT69" s="561">
        <v>383</v>
      </c>
      <c r="JU69" s="561">
        <v>0</v>
      </c>
      <c r="JV69" s="561">
        <v>736674</v>
      </c>
      <c r="JW69" s="561">
        <v>319</v>
      </c>
      <c r="JX69" s="561">
        <v>0</v>
      </c>
      <c r="JY69" s="561">
        <v>0</v>
      </c>
      <c r="JZ69" s="561">
        <v>-1211</v>
      </c>
      <c r="KA69" s="561">
        <v>-17600</v>
      </c>
      <c r="KB69" s="561">
        <v>-1069</v>
      </c>
      <c r="KC69" s="561">
        <v>14319</v>
      </c>
      <c r="KD69" s="561">
        <v>0</v>
      </c>
      <c r="KE69" s="561">
        <v>19412</v>
      </c>
      <c r="KF69" s="561">
        <v>0</v>
      </c>
      <c r="KG69" s="561">
        <v>750844</v>
      </c>
      <c r="KH69" s="561">
        <v>-4329</v>
      </c>
      <c r="KI69" s="561">
        <v>0</v>
      </c>
      <c r="KJ69" s="561">
        <v>19</v>
      </c>
      <c r="KK69" s="561">
        <v>0</v>
      </c>
      <c r="KL69" s="561">
        <v>-62733</v>
      </c>
      <c r="KM69" s="561">
        <v>0</v>
      </c>
      <c r="KN69" s="561">
        <v>-129</v>
      </c>
      <c r="KO69" s="561">
        <v>0</v>
      </c>
      <c r="KP69" s="561">
        <v>0</v>
      </c>
      <c r="KQ69" s="561">
        <v>-33497</v>
      </c>
      <c r="KR69" s="561">
        <v>650175</v>
      </c>
      <c r="KS69" s="561">
        <v>0</v>
      </c>
      <c r="KT69" s="561">
        <v>-287025</v>
      </c>
      <c r="KU69" s="561">
        <v>363150</v>
      </c>
      <c r="KV69" s="561">
        <v>0</v>
      </c>
      <c r="KW69" s="561">
        <v>-1129</v>
      </c>
      <c r="KX69" s="561">
        <v>0</v>
      </c>
      <c r="KY69" s="561">
        <v>836</v>
      </c>
      <c r="KZ69" s="561">
        <v>-8488</v>
      </c>
      <c r="LA69" s="561">
        <v>728</v>
      </c>
      <c r="LB69" s="561">
        <v>-414</v>
      </c>
      <c r="LC69" s="561">
        <v>0</v>
      </c>
      <c r="LD69" s="561">
        <v>-61175</v>
      </c>
      <c r="LE69" s="561">
        <v>5040</v>
      </c>
      <c r="LF69" s="561">
        <v>0</v>
      </c>
      <c r="LG69" s="561">
        <v>298548</v>
      </c>
      <c r="LH69" s="561">
        <v>5362</v>
      </c>
      <c r="LI69" s="561">
        <v>-78652</v>
      </c>
      <c r="LJ69" s="561">
        <v>0</v>
      </c>
      <c r="LK69" s="561">
        <v>2368</v>
      </c>
      <c r="LL69" s="561">
        <v>29910</v>
      </c>
      <c r="LM69" s="561">
        <v>5580</v>
      </c>
      <c r="LN69" s="561">
        <v>4233</v>
      </c>
      <c r="LO69" s="561">
        <v>-112149</v>
      </c>
      <c r="LP69" s="561">
        <v>0</v>
      </c>
      <c r="LQ69" s="561">
        <v>3204</v>
      </c>
      <c r="LR69" s="561">
        <v>21422</v>
      </c>
      <c r="LS69" s="561">
        <v>6308</v>
      </c>
      <c r="LT69" s="561">
        <v>0</v>
      </c>
      <c r="LU69" s="561">
        <v>55511</v>
      </c>
      <c r="LV69" s="561">
        <v>14</v>
      </c>
      <c r="LW69" s="561">
        <v>18254</v>
      </c>
      <c r="LX69" s="561">
        <v>77665</v>
      </c>
      <c r="LY69" s="561">
        <v>34018</v>
      </c>
      <c r="LZ69" s="561">
        <v>187671</v>
      </c>
      <c r="MA69" s="561">
        <v>0</v>
      </c>
      <c r="MB69" s="561">
        <v>0</v>
      </c>
      <c r="MC69" s="561">
        <v>0</v>
      </c>
      <c r="MD69" s="561">
        <v>0</v>
      </c>
      <c r="ME69" s="561">
        <v>0</v>
      </c>
      <c r="MF69" s="561">
        <v>0</v>
      </c>
      <c r="MG69" s="561">
        <v>0</v>
      </c>
      <c r="MH69" s="561">
        <v>7290</v>
      </c>
      <c r="MI69" s="561">
        <v>12643</v>
      </c>
      <c r="MJ69" s="561">
        <v>19933</v>
      </c>
      <c r="MK69" s="561">
        <v>0</v>
      </c>
      <c r="ML69" s="561">
        <v>0</v>
      </c>
      <c r="MM69" s="561">
        <v>21108</v>
      </c>
      <c r="MN69" s="561">
        <v>314</v>
      </c>
      <c r="MO69" s="561">
        <v>0</v>
      </c>
      <c r="MP69" s="561">
        <v>0</v>
      </c>
      <c r="MQ69" s="561">
        <v>258354</v>
      </c>
      <c r="MR69" s="561">
        <v>21938</v>
      </c>
      <c r="MS69" s="561">
        <v>90126</v>
      </c>
      <c r="MT69" s="561">
        <v>187039</v>
      </c>
      <c r="MU69" s="561">
        <v>19016</v>
      </c>
      <c r="MV69" s="561">
        <v>10345</v>
      </c>
      <c r="MW69" s="561">
        <v>21708</v>
      </c>
      <c r="MX69" s="561">
        <v>38774</v>
      </c>
      <c r="MY69" s="561">
        <v>13556</v>
      </c>
      <c r="MZ69" s="561">
        <v>0</v>
      </c>
      <c r="NA69" s="561">
        <v>0</v>
      </c>
      <c r="NB69" s="561">
        <v>10080</v>
      </c>
      <c r="NC69" s="561">
        <v>-1559</v>
      </c>
      <c r="ND69" s="561">
        <v>669377</v>
      </c>
      <c r="NE69" s="561">
        <v>0</v>
      </c>
      <c r="NF69" s="561">
        <v>0</v>
      </c>
      <c r="NG69" s="561">
        <v>0</v>
      </c>
      <c r="NH69" s="561">
        <v>0</v>
      </c>
      <c r="NI69" s="561">
        <v>0</v>
      </c>
      <c r="NJ69" s="561">
        <v>0</v>
      </c>
      <c r="NK69" s="561">
        <v>0</v>
      </c>
      <c r="NL69" s="561">
        <v>0</v>
      </c>
      <c r="NM69" s="561">
        <v>0</v>
      </c>
      <c r="NN69" s="561">
        <v>0</v>
      </c>
      <c r="NO69" s="561">
        <v>0</v>
      </c>
      <c r="NP69" s="561">
        <v>0</v>
      </c>
      <c r="NQ69" s="561">
        <v>0</v>
      </c>
      <c r="NR69" s="561">
        <v>0</v>
      </c>
      <c r="NS69" s="561">
        <v>0</v>
      </c>
      <c r="NT69" s="561">
        <v>0</v>
      </c>
      <c r="NU69" s="561">
        <v>0</v>
      </c>
      <c r="NV69" s="561">
        <v>0</v>
      </c>
      <c r="NW69" s="561">
        <v>0</v>
      </c>
      <c r="NX69" s="561">
        <v>0</v>
      </c>
      <c r="NY69" s="561">
        <v>0</v>
      </c>
      <c r="NZ69" s="561">
        <v>0</v>
      </c>
      <c r="OA69" s="561">
        <v>0</v>
      </c>
      <c r="OB69" s="561">
        <v>0</v>
      </c>
      <c r="OC69" s="561">
        <v>0</v>
      </c>
      <c r="OD69" s="561">
        <v>0</v>
      </c>
      <c r="OE69" s="561">
        <v>0</v>
      </c>
      <c r="OF69" s="561">
        <v>0</v>
      </c>
      <c r="OG69" s="561">
        <v>0</v>
      </c>
      <c r="OH69" s="561">
        <v>0</v>
      </c>
      <c r="OI69" s="561">
        <v>0</v>
      </c>
      <c r="OJ69" s="561">
        <v>0</v>
      </c>
      <c r="OK69" s="561">
        <v>0</v>
      </c>
      <c r="OL69" s="561">
        <v>0</v>
      </c>
      <c r="OM69" s="561">
        <v>0</v>
      </c>
      <c r="ON69" s="561">
        <v>0</v>
      </c>
      <c r="OO69" s="561">
        <v>0</v>
      </c>
      <c r="OP69" s="561">
        <v>0</v>
      </c>
      <c r="OQ69" s="561">
        <v>0</v>
      </c>
      <c r="OR69" s="561">
        <v>0</v>
      </c>
      <c r="OS69" s="561">
        <v>0</v>
      </c>
      <c r="OT69" s="561">
        <v>0</v>
      </c>
      <c r="OU69" s="561">
        <v>0</v>
      </c>
      <c r="OV69" s="561">
        <v>0</v>
      </c>
      <c r="OW69" s="561">
        <v>0</v>
      </c>
      <c r="OX69" s="561">
        <v>0</v>
      </c>
      <c r="OY69" s="561">
        <v>0</v>
      </c>
      <c r="OZ69" s="561">
        <v>0</v>
      </c>
      <c r="PA69" s="561">
        <v>0</v>
      </c>
      <c r="PB69" s="561">
        <v>0</v>
      </c>
      <c r="PC69" s="561">
        <v>0</v>
      </c>
      <c r="PD69" s="561">
        <v>0</v>
      </c>
      <c r="PE69" s="561">
        <v>0</v>
      </c>
      <c r="PF69" s="561">
        <v>0</v>
      </c>
      <c r="PG69" s="561">
        <v>0</v>
      </c>
      <c r="PH69" s="561">
        <v>0</v>
      </c>
      <c r="PI69" s="561">
        <v>0</v>
      </c>
      <c r="PJ69" s="561">
        <v>0</v>
      </c>
    </row>
    <row r="70" spans="1:426" ht="14" x14ac:dyDescent="0.3">
      <c r="A70" t="s">
        <v>2639</v>
      </c>
      <c r="B70" t="s">
        <v>2640</v>
      </c>
      <c r="C70" t="s">
        <v>2641</v>
      </c>
      <c r="E70" t="s">
        <v>2466</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v>0</v>
      </c>
      <c r="BH70" s="561">
        <v>0</v>
      </c>
      <c r="BI70" s="561">
        <v>0</v>
      </c>
      <c r="BJ70" s="561">
        <v>0</v>
      </c>
      <c r="BK70" s="561">
        <v>0</v>
      </c>
      <c r="BL70" s="561">
        <v>0</v>
      </c>
      <c r="BM70" s="561">
        <v>0</v>
      </c>
      <c r="BN70" s="561">
        <v>0</v>
      </c>
      <c r="BO70" s="561">
        <v>0</v>
      </c>
      <c r="BP70" s="561">
        <v>0</v>
      </c>
      <c r="BQ70" s="561">
        <v>0</v>
      </c>
      <c r="BR70" s="561">
        <v>0</v>
      </c>
      <c r="BS70" s="561">
        <v>0</v>
      </c>
      <c r="BT70" s="561">
        <v>0</v>
      </c>
      <c r="BU70" s="561">
        <v>0</v>
      </c>
      <c r="BV70" s="561">
        <v>0</v>
      </c>
      <c r="BW70" s="561">
        <v>0</v>
      </c>
      <c r="BX70" s="561">
        <v>0</v>
      </c>
      <c r="BY70" s="561">
        <v>0</v>
      </c>
      <c r="BZ70" s="561">
        <v>0</v>
      </c>
      <c r="CA70" s="561">
        <v>0</v>
      </c>
      <c r="CB70" s="561">
        <v>0</v>
      </c>
      <c r="CC70" s="561">
        <v>0</v>
      </c>
      <c r="CD70" s="561">
        <v>0</v>
      </c>
      <c r="CE70" s="561">
        <v>0</v>
      </c>
      <c r="CF70" s="561">
        <v>0</v>
      </c>
      <c r="CG70" s="561">
        <v>0</v>
      </c>
      <c r="CH70" s="561">
        <v>0</v>
      </c>
      <c r="CI70" s="561">
        <v>0</v>
      </c>
      <c r="CJ70" s="561">
        <v>0</v>
      </c>
      <c r="CK70" s="561">
        <v>0</v>
      </c>
      <c r="CL70" s="561">
        <v>0</v>
      </c>
      <c r="CM70" s="561">
        <v>0</v>
      </c>
      <c r="CN70" s="561">
        <v>0</v>
      </c>
      <c r="CO70" s="561">
        <v>0</v>
      </c>
      <c r="CP70" s="561">
        <v>0</v>
      </c>
      <c r="CQ70" s="561">
        <v>0</v>
      </c>
      <c r="CR70" s="561">
        <v>0</v>
      </c>
      <c r="CS70" s="561">
        <v>0</v>
      </c>
      <c r="CT70" s="561">
        <v>0</v>
      </c>
      <c r="CU70" s="561">
        <v>0</v>
      </c>
      <c r="CV70" s="561">
        <v>0</v>
      </c>
      <c r="CW70" s="561">
        <v>0</v>
      </c>
      <c r="CX70" s="561">
        <v>0</v>
      </c>
      <c r="CY70" s="561">
        <v>0</v>
      </c>
      <c r="CZ70" s="561">
        <v>0</v>
      </c>
      <c r="DA70" s="561">
        <v>0</v>
      </c>
      <c r="DB70" s="561">
        <v>0</v>
      </c>
      <c r="DC70" s="561">
        <v>0</v>
      </c>
      <c r="DD70" s="561">
        <v>0</v>
      </c>
      <c r="DE70" s="561">
        <v>0</v>
      </c>
      <c r="DF70" s="561">
        <v>0</v>
      </c>
      <c r="DG70" s="561">
        <v>0</v>
      </c>
      <c r="DH70" s="561">
        <v>0</v>
      </c>
      <c r="DI70" s="561">
        <v>0</v>
      </c>
      <c r="DJ70" s="561">
        <v>0</v>
      </c>
      <c r="DK70" s="561">
        <v>0</v>
      </c>
      <c r="DL70" s="561">
        <v>0</v>
      </c>
      <c r="DM70" s="561">
        <v>0</v>
      </c>
      <c r="DN70" s="561">
        <v>0</v>
      </c>
      <c r="DO70" s="561">
        <v>0</v>
      </c>
      <c r="DP70" s="561">
        <v>0</v>
      </c>
      <c r="DQ70" s="561">
        <v>0</v>
      </c>
      <c r="DR70" s="561">
        <v>0</v>
      </c>
      <c r="DS70" s="561">
        <v>0</v>
      </c>
      <c r="DT70" s="561">
        <v>0</v>
      </c>
      <c r="DU70" s="561">
        <v>0</v>
      </c>
      <c r="DV70" s="561">
        <v>0</v>
      </c>
      <c r="DW70" s="561">
        <v>0</v>
      </c>
      <c r="DX70" s="561">
        <v>0</v>
      </c>
      <c r="DY70" s="561">
        <v>0</v>
      </c>
      <c r="DZ70" s="561">
        <v>0</v>
      </c>
      <c r="EA70" s="561">
        <v>0</v>
      </c>
      <c r="EB70" s="561">
        <v>0</v>
      </c>
      <c r="EC70" s="561">
        <v>0</v>
      </c>
      <c r="ED70" s="561">
        <v>0</v>
      </c>
      <c r="EE70" s="561">
        <v>0</v>
      </c>
      <c r="EF70" s="561">
        <v>0</v>
      </c>
      <c r="EG70" s="561">
        <v>0</v>
      </c>
      <c r="EH70" s="561">
        <v>0</v>
      </c>
      <c r="EI70" s="561">
        <v>0</v>
      </c>
      <c r="EJ70" s="561">
        <v>0</v>
      </c>
      <c r="EK70" s="561">
        <v>0</v>
      </c>
      <c r="EL70" s="561">
        <v>0</v>
      </c>
      <c r="EM70" s="561">
        <v>0</v>
      </c>
      <c r="EN70" s="561">
        <v>0</v>
      </c>
      <c r="EO70" s="561">
        <v>0</v>
      </c>
      <c r="EP70" s="561">
        <v>0</v>
      </c>
      <c r="EQ70" s="561">
        <v>0</v>
      </c>
      <c r="ER70" s="561">
        <v>0</v>
      </c>
      <c r="ES70" s="561" t="s">
        <v>4565</v>
      </c>
      <c r="ET70" s="561">
        <v>0</v>
      </c>
      <c r="EU70" s="561">
        <v>0</v>
      </c>
      <c r="EV70" s="561">
        <v>0</v>
      </c>
      <c r="EW70" s="561">
        <v>0</v>
      </c>
      <c r="EX70" s="561">
        <v>0</v>
      </c>
      <c r="EY70" s="561">
        <v>0</v>
      </c>
      <c r="EZ70" s="561">
        <v>0</v>
      </c>
      <c r="FA70" s="561">
        <v>0</v>
      </c>
      <c r="FB70" s="561">
        <v>0</v>
      </c>
      <c r="FC70" s="561">
        <v>0</v>
      </c>
      <c r="FD70" s="561">
        <v>0</v>
      </c>
      <c r="FE70" s="561">
        <v>0</v>
      </c>
      <c r="FF70" s="561">
        <v>0</v>
      </c>
      <c r="FG70" s="561">
        <v>0</v>
      </c>
      <c r="FH70" s="561">
        <v>0</v>
      </c>
      <c r="FI70" s="561">
        <v>0</v>
      </c>
      <c r="FJ70" s="561">
        <v>0</v>
      </c>
      <c r="FK70" s="561">
        <v>0</v>
      </c>
      <c r="FL70" s="561">
        <v>0</v>
      </c>
      <c r="FM70" s="561">
        <v>0</v>
      </c>
      <c r="FN70" s="561">
        <v>0</v>
      </c>
      <c r="FO70" s="561">
        <v>0</v>
      </c>
      <c r="FP70" s="561">
        <v>0</v>
      </c>
      <c r="FQ70" s="561">
        <v>0</v>
      </c>
      <c r="FR70" s="561">
        <v>0</v>
      </c>
      <c r="FS70" s="561">
        <v>0</v>
      </c>
      <c r="FT70" s="561">
        <v>0</v>
      </c>
      <c r="FU70" s="561">
        <v>0</v>
      </c>
      <c r="FV70" s="561">
        <v>0</v>
      </c>
      <c r="FW70" s="561">
        <v>0</v>
      </c>
      <c r="FX70" s="561">
        <v>0</v>
      </c>
      <c r="FY70" s="561">
        <v>0</v>
      </c>
      <c r="FZ70" s="561">
        <v>0</v>
      </c>
      <c r="GA70" s="561">
        <v>0</v>
      </c>
      <c r="GB70" s="561">
        <v>0</v>
      </c>
      <c r="GC70" s="561">
        <v>0</v>
      </c>
      <c r="GD70" s="561">
        <v>0</v>
      </c>
      <c r="GE70" s="561">
        <v>0</v>
      </c>
      <c r="GF70" s="561">
        <v>0</v>
      </c>
      <c r="GG70" s="561">
        <v>0</v>
      </c>
      <c r="GH70" s="561">
        <v>0</v>
      </c>
      <c r="GI70" s="561">
        <v>0</v>
      </c>
      <c r="GJ70" s="561">
        <v>0</v>
      </c>
      <c r="GK70" s="561">
        <v>0</v>
      </c>
      <c r="GL70" s="561">
        <v>0</v>
      </c>
      <c r="GM70" s="561">
        <v>0</v>
      </c>
      <c r="GN70" s="561">
        <v>0</v>
      </c>
      <c r="GO70" s="561">
        <v>0</v>
      </c>
      <c r="GP70" s="561">
        <v>0</v>
      </c>
      <c r="GQ70" s="561">
        <v>0</v>
      </c>
      <c r="GR70" s="561">
        <v>0</v>
      </c>
      <c r="GS70" s="561">
        <v>0</v>
      </c>
      <c r="GT70" s="561">
        <v>0</v>
      </c>
      <c r="GU70" s="561">
        <v>0</v>
      </c>
      <c r="GV70" s="561">
        <v>0</v>
      </c>
      <c r="GW70" s="561">
        <v>0</v>
      </c>
      <c r="GX70" s="561">
        <v>0</v>
      </c>
      <c r="GY70" s="561">
        <v>0</v>
      </c>
      <c r="GZ70" s="561">
        <v>0</v>
      </c>
      <c r="HA70" s="561">
        <v>0</v>
      </c>
      <c r="HB70" s="561">
        <v>0</v>
      </c>
      <c r="HC70" s="561">
        <v>0</v>
      </c>
      <c r="HD70" s="561">
        <v>0</v>
      </c>
      <c r="HE70" s="561">
        <v>0</v>
      </c>
      <c r="HF70" s="561">
        <v>0</v>
      </c>
      <c r="HG70" s="561">
        <v>0</v>
      </c>
      <c r="HH70" s="561">
        <v>266897</v>
      </c>
      <c r="HI70" s="561">
        <v>431</v>
      </c>
      <c r="HJ70" s="561">
        <v>0</v>
      </c>
      <c r="HK70" s="561">
        <v>0</v>
      </c>
      <c r="HL70" s="561">
        <v>0</v>
      </c>
      <c r="HM70" s="561">
        <v>0</v>
      </c>
      <c r="HN70" s="561">
        <v>0</v>
      </c>
      <c r="HO70" s="561">
        <v>1296</v>
      </c>
      <c r="HP70" s="561">
        <v>0</v>
      </c>
      <c r="HQ70" s="561">
        <v>0</v>
      </c>
      <c r="HR70" s="561">
        <v>0</v>
      </c>
      <c r="HS70" s="561">
        <v>0</v>
      </c>
      <c r="HT70" s="561">
        <v>0</v>
      </c>
      <c r="HU70" s="561">
        <v>0</v>
      </c>
      <c r="HV70" s="561">
        <v>0</v>
      </c>
      <c r="HW70" s="561">
        <v>0</v>
      </c>
      <c r="HX70" s="561">
        <v>0</v>
      </c>
      <c r="HY70" s="561">
        <v>0</v>
      </c>
      <c r="HZ70" s="561">
        <v>0</v>
      </c>
      <c r="IA70" s="561">
        <v>0</v>
      </c>
      <c r="IB70" s="561">
        <v>0</v>
      </c>
      <c r="IC70" s="561">
        <v>0</v>
      </c>
      <c r="ID70" s="561">
        <v>0</v>
      </c>
      <c r="IE70" s="561">
        <v>0</v>
      </c>
      <c r="IF70" s="561">
        <v>0</v>
      </c>
      <c r="IG70" s="561">
        <v>0</v>
      </c>
      <c r="IH70" s="561">
        <v>0</v>
      </c>
      <c r="II70" s="561">
        <v>1296</v>
      </c>
      <c r="IJ70" s="561">
        <v>0</v>
      </c>
      <c r="IK70" s="561">
        <v>0</v>
      </c>
      <c r="IL70" s="561">
        <v>0</v>
      </c>
      <c r="IM70" s="561">
        <v>0</v>
      </c>
      <c r="IN70" s="561">
        <v>0</v>
      </c>
      <c r="IO70" s="561">
        <v>0</v>
      </c>
      <c r="IP70" s="561">
        <v>0</v>
      </c>
      <c r="IQ70" s="561">
        <v>0</v>
      </c>
      <c r="IR70" s="561">
        <v>0</v>
      </c>
      <c r="IS70" s="561">
        <v>0</v>
      </c>
      <c r="IT70" s="561">
        <v>0</v>
      </c>
      <c r="IU70" s="561">
        <v>0</v>
      </c>
      <c r="IV70" s="561">
        <v>0</v>
      </c>
      <c r="IW70" s="561">
        <v>0</v>
      </c>
      <c r="IX70" s="561">
        <v>0</v>
      </c>
      <c r="IY70" s="561">
        <v>0</v>
      </c>
      <c r="IZ70" s="561">
        <v>0</v>
      </c>
      <c r="JA70" s="561">
        <v>266897</v>
      </c>
      <c r="JB70" s="561">
        <v>0</v>
      </c>
      <c r="JC70" s="561">
        <v>1296</v>
      </c>
      <c r="JD70" s="561">
        <v>0</v>
      </c>
      <c r="JE70" s="561">
        <v>268193</v>
      </c>
      <c r="JF70" s="561">
        <v>0</v>
      </c>
      <c r="JG70" s="561">
        <v>0</v>
      </c>
      <c r="JH70" s="561">
        <v>0</v>
      </c>
      <c r="JI70" s="561">
        <v>0</v>
      </c>
      <c r="JJ70" s="561">
        <v>0</v>
      </c>
      <c r="JK70" s="561">
        <v>0</v>
      </c>
      <c r="JL70" s="561">
        <v>0</v>
      </c>
      <c r="JM70" s="561">
        <v>0</v>
      </c>
      <c r="JN70" s="561">
        <v>0</v>
      </c>
      <c r="JO70" s="561">
        <v>845</v>
      </c>
      <c r="JP70" s="561">
        <v>0</v>
      </c>
      <c r="JQ70" s="561">
        <v>0</v>
      </c>
      <c r="JR70" s="561">
        <v>0</v>
      </c>
      <c r="JS70" s="561">
        <v>0</v>
      </c>
      <c r="JT70" s="561">
        <v>5624</v>
      </c>
      <c r="JU70" s="561">
        <v>0</v>
      </c>
      <c r="JV70" s="561">
        <v>274662</v>
      </c>
      <c r="JW70" s="561">
        <v>0</v>
      </c>
      <c r="JX70" s="561">
        <v>5525</v>
      </c>
      <c r="JY70" s="561">
        <v>0</v>
      </c>
      <c r="JZ70" s="561">
        <v>0</v>
      </c>
      <c r="KA70" s="561">
        <v>0</v>
      </c>
      <c r="KB70" s="561">
        <v>0</v>
      </c>
      <c r="KC70" s="561">
        <v>3028</v>
      </c>
      <c r="KD70" s="561">
        <v>18</v>
      </c>
      <c r="KE70" s="561">
        <v>896</v>
      </c>
      <c r="KF70" s="561">
        <v>0</v>
      </c>
      <c r="KG70" s="561">
        <v>284129</v>
      </c>
      <c r="KH70" s="561">
        <v>-1768</v>
      </c>
      <c r="KI70" s="561">
        <v>1906</v>
      </c>
      <c r="KJ70" s="561">
        <v>0</v>
      </c>
      <c r="KK70" s="561">
        <v>0</v>
      </c>
      <c r="KL70" s="561">
        <v>0</v>
      </c>
      <c r="KM70" s="561">
        <v>0</v>
      </c>
      <c r="KN70" s="561">
        <v>0</v>
      </c>
      <c r="KO70" s="561">
        <v>0</v>
      </c>
      <c r="KP70" s="561">
        <v>0</v>
      </c>
      <c r="KQ70" s="561">
        <v>0</v>
      </c>
      <c r="KR70" s="561">
        <v>284267</v>
      </c>
      <c r="KS70" s="561">
        <v>0</v>
      </c>
      <c r="KT70" s="561">
        <v>-30586</v>
      </c>
      <c r="KU70" s="561">
        <v>253681</v>
      </c>
      <c r="KV70" s="561">
        <v>0</v>
      </c>
      <c r="KW70" s="561">
        <v>0</v>
      </c>
      <c r="KX70" s="561">
        <v>0</v>
      </c>
      <c r="KY70" s="561">
        <v>0</v>
      </c>
      <c r="KZ70" s="561">
        <v>-3851</v>
      </c>
      <c r="LA70" s="561">
        <v>0</v>
      </c>
      <c r="LB70" s="561">
        <v>0</v>
      </c>
      <c r="LC70" s="561">
        <v>-145580</v>
      </c>
      <c r="LD70" s="561">
        <v>0</v>
      </c>
      <c r="LE70" s="561">
        <v>231</v>
      </c>
      <c r="LF70" s="561">
        <v>0</v>
      </c>
      <c r="LG70" s="561">
        <v>104481</v>
      </c>
      <c r="LH70" s="561">
        <v>0</v>
      </c>
      <c r="LI70" s="561">
        <v>0</v>
      </c>
      <c r="LJ70" s="561">
        <v>0</v>
      </c>
      <c r="LK70" s="561">
        <v>0</v>
      </c>
      <c r="LL70" s="561">
        <v>17541</v>
      </c>
      <c r="LM70" s="561">
        <v>5773</v>
      </c>
      <c r="LN70" s="561">
        <v>0</v>
      </c>
      <c r="LO70" s="561">
        <v>0</v>
      </c>
      <c r="LP70" s="561">
        <v>0</v>
      </c>
      <c r="LQ70" s="561">
        <v>0</v>
      </c>
      <c r="LR70" s="561">
        <v>13690</v>
      </c>
      <c r="LS70" s="561">
        <v>5773</v>
      </c>
      <c r="LT70" s="561">
        <v>0</v>
      </c>
      <c r="LU70" s="561">
        <v>12046</v>
      </c>
      <c r="LV70" s="561">
        <v>0</v>
      </c>
      <c r="LW70" s="561">
        <v>0</v>
      </c>
      <c r="LX70" s="561">
        <v>0</v>
      </c>
      <c r="LY70" s="561">
        <v>0</v>
      </c>
      <c r="LZ70" s="561">
        <v>12046</v>
      </c>
      <c r="MA70" s="561">
        <v>0</v>
      </c>
      <c r="MB70" s="561">
        <v>0</v>
      </c>
      <c r="MC70" s="561">
        <v>0</v>
      </c>
      <c r="MD70" s="561">
        <v>0</v>
      </c>
      <c r="ME70" s="561">
        <v>0</v>
      </c>
      <c r="MF70" s="561">
        <v>0</v>
      </c>
      <c r="MG70" s="561">
        <v>0</v>
      </c>
      <c r="MH70" s="561">
        <v>0</v>
      </c>
      <c r="MI70" s="561">
        <v>0</v>
      </c>
      <c r="MJ70" s="561">
        <v>0</v>
      </c>
      <c r="MK70" s="561">
        <v>0</v>
      </c>
      <c r="ML70" s="561">
        <v>0</v>
      </c>
      <c r="MM70" s="561">
        <v>6898</v>
      </c>
      <c r="MN70" s="561">
        <v>2067</v>
      </c>
      <c r="MO70" s="561">
        <v>3077</v>
      </c>
      <c r="MP70" s="561">
        <v>1648</v>
      </c>
      <c r="MQ70" s="561">
        <v>0</v>
      </c>
      <c r="MR70" s="561">
        <v>0</v>
      </c>
      <c r="MS70" s="561">
        <v>0</v>
      </c>
      <c r="MT70" s="561">
        <v>0</v>
      </c>
      <c r="MU70" s="561">
        <v>0</v>
      </c>
      <c r="MV70" s="561">
        <v>0</v>
      </c>
      <c r="MW70" s="561">
        <v>0</v>
      </c>
      <c r="MX70" s="561">
        <v>0</v>
      </c>
      <c r="MY70" s="561">
        <v>0</v>
      </c>
      <c r="MZ70" s="561">
        <v>266897</v>
      </c>
      <c r="NA70" s="561">
        <v>0</v>
      </c>
      <c r="NB70" s="561">
        <v>1296</v>
      </c>
      <c r="NC70" s="561">
        <v>0</v>
      </c>
      <c r="ND70" s="561">
        <v>268193</v>
      </c>
      <c r="NE70" s="561">
        <v>0</v>
      </c>
      <c r="NF70" s="561">
        <v>0</v>
      </c>
      <c r="NG70" s="561">
        <v>0</v>
      </c>
      <c r="NH70" s="561">
        <v>0</v>
      </c>
      <c r="NI70" s="561">
        <v>0</v>
      </c>
      <c r="NJ70" s="561">
        <v>0</v>
      </c>
      <c r="NK70" s="561">
        <v>0</v>
      </c>
      <c r="NL70" s="561">
        <v>0</v>
      </c>
      <c r="NM70" s="561">
        <v>0</v>
      </c>
      <c r="NN70" s="561">
        <v>0</v>
      </c>
      <c r="NO70" s="561">
        <v>0</v>
      </c>
      <c r="NP70" s="561">
        <v>0</v>
      </c>
      <c r="NQ70" s="561">
        <v>0</v>
      </c>
      <c r="NR70" s="561">
        <v>0</v>
      </c>
      <c r="NS70" s="561">
        <v>0</v>
      </c>
      <c r="NT70" s="561">
        <v>0</v>
      </c>
      <c r="NU70" s="561">
        <v>0</v>
      </c>
      <c r="NV70" s="561">
        <v>0</v>
      </c>
      <c r="NW70" s="561">
        <v>0</v>
      </c>
      <c r="NX70" s="561">
        <v>0</v>
      </c>
      <c r="NY70" s="561">
        <v>0</v>
      </c>
      <c r="NZ70" s="561">
        <v>0</v>
      </c>
      <c r="OA70" s="561">
        <v>0</v>
      </c>
      <c r="OB70" s="561">
        <v>0</v>
      </c>
      <c r="OC70" s="561">
        <v>0</v>
      </c>
      <c r="OD70" s="561">
        <v>0</v>
      </c>
      <c r="OE70" s="561">
        <v>0</v>
      </c>
      <c r="OF70" s="561">
        <v>0</v>
      </c>
      <c r="OG70" s="561">
        <v>0</v>
      </c>
      <c r="OH70" s="561">
        <v>0</v>
      </c>
      <c r="OI70" s="561">
        <v>0</v>
      </c>
      <c r="OJ70" s="561">
        <v>0</v>
      </c>
      <c r="OK70" s="561">
        <v>0</v>
      </c>
      <c r="OL70" s="561">
        <v>0</v>
      </c>
      <c r="OM70" s="561">
        <v>0</v>
      </c>
      <c r="ON70" s="561">
        <v>0</v>
      </c>
      <c r="OO70" s="561">
        <v>0</v>
      </c>
      <c r="OP70" s="561">
        <v>0</v>
      </c>
      <c r="OQ70" s="561">
        <v>0</v>
      </c>
      <c r="OR70" s="561">
        <v>0</v>
      </c>
      <c r="OS70" s="561">
        <v>0</v>
      </c>
      <c r="OT70" s="561">
        <v>0</v>
      </c>
      <c r="OU70" s="561">
        <v>0</v>
      </c>
      <c r="OV70" s="561">
        <v>0</v>
      </c>
      <c r="OW70" s="561">
        <v>0</v>
      </c>
      <c r="OX70" s="561">
        <v>0</v>
      </c>
      <c r="OY70" s="561">
        <v>0</v>
      </c>
      <c r="OZ70" s="561">
        <v>0</v>
      </c>
      <c r="PA70" s="561">
        <v>0</v>
      </c>
      <c r="PB70" s="561">
        <v>0</v>
      </c>
      <c r="PC70" s="561">
        <v>0</v>
      </c>
      <c r="PD70" s="561">
        <v>0</v>
      </c>
      <c r="PE70" s="561">
        <v>0</v>
      </c>
      <c r="PF70" s="561">
        <v>0</v>
      </c>
      <c r="PG70" s="561">
        <v>0</v>
      </c>
      <c r="PH70" s="561">
        <v>0</v>
      </c>
      <c r="PI70" s="561">
        <v>0</v>
      </c>
      <c r="PJ70" s="561">
        <v>0</v>
      </c>
    </row>
    <row r="71" spans="1:426" ht="14" x14ac:dyDescent="0.3">
      <c r="A71" t="s">
        <v>2642</v>
      </c>
      <c r="B71" t="s">
        <v>2643</v>
      </c>
      <c r="C71" t="s">
        <v>4587</v>
      </c>
      <c r="E71" t="s">
        <v>385</v>
      </c>
      <c r="F71" s="561">
        <v>37408</v>
      </c>
      <c r="G71" s="561">
        <v>124587</v>
      </c>
      <c r="H71" s="561">
        <v>69875</v>
      </c>
      <c r="I71" s="561">
        <v>45083</v>
      </c>
      <c r="J71" s="561">
        <v>4078</v>
      </c>
      <c r="K71" s="561">
        <v>31882</v>
      </c>
      <c r="L71" s="561">
        <v>312913</v>
      </c>
      <c r="M71" s="561">
        <v>5230</v>
      </c>
      <c r="N71" s="561">
        <v>1390</v>
      </c>
      <c r="O71" s="561">
        <v>519</v>
      </c>
      <c r="P71" s="561">
        <v>1212</v>
      </c>
      <c r="Q71" s="561">
        <v>0</v>
      </c>
      <c r="R71" s="561">
        <v>353</v>
      </c>
      <c r="S71" s="561">
        <v>2267</v>
      </c>
      <c r="T71" s="561">
        <v>0</v>
      </c>
      <c r="U71" s="561">
        <v>1325</v>
      </c>
      <c r="V71" s="561">
        <v>3288</v>
      </c>
      <c r="W71" s="561">
        <v>0</v>
      </c>
      <c r="X71" s="561">
        <v>0</v>
      </c>
      <c r="Y71" s="561">
        <v>480</v>
      </c>
      <c r="Z71" s="561">
        <v>708</v>
      </c>
      <c r="AA71" s="561">
        <v>-114</v>
      </c>
      <c r="AB71" s="561">
        <v>-3011</v>
      </c>
      <c r="AC71" s="561">
        <v>2779</v>
      </c>
      <c r="AD71" s="561">
        <v>0</v>
      </c>
      <c r="AE71" s="561">
        <v>5287</v>
      </c>
      <c r="AF71" s="561">
        <v>0</v>
      </c>
      <c r="AG71" s="561">
        <v>0</v>
      </c>
      <c r="AH71" s="561">
        <v>2188</v>
      </c>
      <c r="AI71" s="561">
        <v>0</v>
      </c>
      <c r="AJ71" s="561">
        <v>18671</v>
      </c>
      <c r="AK71" s="561">
        <v>177</v>
      </c>
      <c r="AL71" s="561">
        <v>11</v>
      </c>
      <c r="AM71" s="561">
        <v>0</v>
      </c>
      <c r="AN71" s="561">
        <v>0</v>
      </c>
      <c r="AO71" s="561">
        <v>0</v>
      </c>
      <c r="AP71" s="561">
        <v>0</v>
      </c>
      <c r="AQ71" s="561">
        <v>0</v>
      </c>
      <c r="AR71" s="561">
        <v>0</v>
      </c>
      <c r="AS71" s="561">
        <v>148</v>
      </c>
      <c r="AT71" s="561">
        <v>0</v>
      </c>
      <c r="AU71" s="561">
        <v>0</v>
      </c>
      <c r="AV71" s="561">
        <v>0</v>
      </c>
      <c r="AW71" s="561">
        <v>0</v>
      </c>
      <c r="AX71" s="561">
        <v>669</v>
      </c>
      <c r="AY71" s="561">
        <v>61896</v>
      </c>
      <c r="AZ71" s="561">
        <v>1279</v>
      </c>
      <c r="BA71" s="561">
        <v>12753</v>
      </c>
      <c r="BB71" s="561">
        <v>504</v>
      </c>
      <c r="BC71" s="561">
        <v>15826</v>
      </c>
      <c r="BD71" s="561">
        <v>0</v>
      </c>
      <c r="BE71" s="561">
        <v>2015</v>
      </c>
      <c r="BF71" s="561">
        <v>94942</v>
      </c>
      <c r="BG71" s="561">
        <v>3951</v>
      </c>
      <c r="BH71" s="561">
        <v>10880</v>
      </c>
      <c r="BI71" s="561">
        <v>31650</v>
      </c>
      <c r="BJ71" s="561">
        <v>503</v>
      </c>
      <c r="BK71" s="561">
        <v>582</v>
      </c>
      <c r="BL71" s="561">
        <v>1455</v>
      </c>
      <c r="BM71" s="561">
        <v>16500</v>
      </c>
      <c r="BN71" s="561">
        <v>70040</v>
      </c>
      <c r="BO71" s="561">
        <v>6854</v>
      </c>
      <c r="BP71" s="561">
        <v>10150</v>
      </c>
      <c r="BQ71" s="561">
        <v>6750</v>
      </c>
      <c r="BR71" s="561">
        <v>110</v>
      </c>
      <c r="BS71" s="561">
        <v>630</v>
      </c>
      <c r="BT71" s="561">
        <v>0</v>
      </c>
      <c r="BU71" s="561">
        <v>3298</v>
      </c>
      <c r="BV71" s="561">
        <v>4523</v>
      </c>
      <c r="BW71" s="561">
        <v>15497</v>
      </c>
      <c r="BX71" s="561">
        <v>1828</v>
      </c>
      <c r="BY71" s="561">
        <v>6472</v>
      </c>
      <c r="BZ71" s="561">
        <v>187722</v>
      </c>
      <c r="CA71" s="561">
        <v>1321</v>
      </c>
      <c r="CB71" s="561">
        <v>1955</v>
      </c>
      <c r="CC71" s="561">
        <v>1568</v>
      </c>
      <c r="CD71" s="561">
        <v>69</v>
      </c>
      <c r="CE71" s="561">
        <v>266</v>
      </c>
      <c r="CF71" s="561">
        <v>193</v>
      </c>
      <c r="CG71" s="561">
        <v>61</v>
      </c>
      <c r="CH71" s="561">
        <v>582</v>
      </c>
      <c r="CI71" s="561">
        <v>27</v>
      </c>
      <c r="CJ71" s="561">
        <v>0</v>
      </c>
      <c r="CK71" s="561">
        <v>49</v>
      </c>
      <c r="CL71" s="561">
        <v>0</v>
      </c>
      <c r="CM71" s="561">
        <v>2799</v>
      </c>
      <c r="CN71" s="561">
        <v>1094</v>
      </c>
      <c r="CO71" s="561">
        <v>0</v>
      </c>
      <c r="CP71" s="561">
        <v>0</v>
      </c>
      <c r="CQ71" s="561">
        <v>215</v>
      </c>
      <c r="CR71" s="561">
        <v>469</v>
      </c>
      <c r="CS71" s="561">
        <v>0</v>
      </c>
      <c r="CT71" s="561">
        <v>1235</v>
      </c>
      <c r="CU71" s="561">
        <v>3705</v>
      </c>
      <c r="CV71" s="561">
        <v>367</v>
      </c>
      <c r="CW71" s="561">
        <v>0</v>
      </c>
      <c r="CX71" s="561">
        <v>156</v>
      </c>
      <c r="CY71" s="561">
        <v>6284</v>
      </c>
      <c r="CZ71" s="561">
        <v>21094</v>
      </c>
      <c r="DA71" s="561">
        <v>0</v>
      </c>
      <c r="DB71" s="561">
        <v>0</v>
      </c>
      <c r="DC71" s="561">
        <v>0</v>
      </c>
      <c r="DD71" s="561">
        <v>0</v>
      </c>
      <c r="DE71" s="561">
        <v>0</v>
      </c>
      <c r="DF71" s="561">
        <v>0</v>
      </c>
      <c r="DG71" s="561">
        <v>0</v>
      </c>
      <c r="DH71" s="561">
        <v>964</v>
      </c>
      <c r="DI71" s="561">
        <v>0</v>
      </c>
      <c r="DJ71" s="561">
        <v>0</v>
      </c>
      <c r="DK71" s="561">
        <v>-53</v>
      </c>
      <c r="DL71" s="561">
        <v>0</v>
      </c>
      <c r="DM71" s="561">
        <v>0</v>
      </c>
      <c r="DN71" s="561">
        <v>0</v>
      </c>
      <c r="DO71" s="561">
        <v>2926</v>
      </c>
      <c r="DP71" s="561">
        <v>420</v>
      </c>
      <c r="DQ71" s="561">
        <v>0</v>
      </c>
      <c r="DR71" s="561">
        <v>0</v>
      </c>
      <c r="DS71" s="561">
        <v>137</v>
      </c>
      <c r="DT71" s="561">
        <v>4538</v>
      </c>
      <c r="DU71" s="561">
        <v>8021</v>
      </c>
      <c r="DV71" s="561">
        <v>309</v>
      </c>
      <c r="DW71" s="561">
        <v>0</v>
      </c>
      <c r="DX71" s="561">
        <v>39</v>
      </c>
      <c r="DY71" s="561">
        <v>965</v>
      </c>
      <c r="DZ71" s="561">
        <v>-753</v>
      </c>
      <c r="EA71" s="561">
        <v>488</v>
      </c>
      <c r="EB71" s="561">
        <v>0</v>
      </c>
      <c r="EC71" s="561">
        <v>9980</v>
      </c>
      <c r="ED71" s="561">
        <v>93</v>
      </c>
      <c r="EE71" s="561">
        <v>27122</v>
      </c>
      <c r="EF71" s="561">
        <v>425</v>
      </c>
      <c r="EG71" s="561">
        <v>324</v>
      </c>
      <c r="EH71" s="561">
        <v>188</v>
      </c>
      <c r="EI71" s="561">
        <v>0</v>
      </c>
      <c r="EJ71" s="561">
        <v>207</v>
      </c>
      <c r="EK71" s="561">
        <v>0</v>
      </c>
      <c r="EL71" s="561">
        <v>0</v>
      </c>
      <c r="EM71" s="561">
        <v>0</v>
      </c>
      <c r="EN71" s="561">
        <v>6853</v>
      </c>
      <c r="EO71" s="561">
        <v>6369</v>
      </c>
      <c r="EP71" s="561">
        <v>131</v>
      </c>
      <c r="EQ71" s="561">
        <v>0</v>
      </c>
      <c r="ER71" s="561">
        <v>2040</v>
      </c>
      <c r="ES71" s="561" t="s">
        <v>4565</v>
      </c>
      <c r="ET71" s="561">
        <v>3688</v>
      </c>
      <c r="EU71" s="561">
        <v>0</v>
      </c>
      <c r="EV71" s="561">
        <v>0</v>
      </c>
      <c r="EW71" s="561">
        <v>0</v>
      </c>
      <c r="EX71" s="561">
        <v>8664</v>
      </c>
      <c r="EY71" s="561">
        <v>455</v>
      </c>
      <c r="EZ71" s="561">
        <v>66</v>
      </c>
      <c r="FA71" s="561">
        <v>737</v>
      </c>
      <c r="FB71" s="561">
        <v>543</v>
      </c>
      <c r="FC71" s="561">
        <v>274</v>
      </c>
      <c r="FD71" s="561">
        <v>219</v>
      </c>
      <c r="FE71" s="561">
        <v>1480</v>
      </c>
      <c r="FF71" s="561">
        <v>1146</v>
      </c>
      <c r="FG71" s="561">
        <v>224</v>
      </c>
      <c r="FH71" s="561">
        <v>0</v>
      </c>
      <c r="FI71" s="561">
        <v>0</v>
      </c>
      <c r="FJ71" s="561">
        <v>292</v>
      </c>
      <c r="FK71" s="561">
        <v>3347</v>
      </c>
      <c r="FL71" s="561">
        <v>16</v>
      </c>
      <c r="FM71" s="561">
        <v>84</v>
      </c>
      <c r="FN71" s="561">
        <v>5636</v>
      </c>
      <c r="FO71" s="561">
        <v>13261</v>
      </c>
      <c r="FP71" s="561">
        <v>12</v>
      </c>
      <c r="FQ71" s="561">
        <v>-322</v>
      </c>
      <c r="FR71" s="561">
        <v>1091</v>
      </c>
      <c r="FS71" s="561">
        <v>35</v>
      </c>
      <c r="FT71" s="561">
        <v>419</v>
      </c>
      <c r="FU71" s="561">
        <v>879</v>
      </c>
      <c r="FV71" s="561">
        <v>313</v>
      </c>
      <c r="FW71" s="561">
        <v>370</v>
      </c>
      <c r="FX71" s="561">
        <v>61</v>
      </c>
      <c r="FY71" s="561">
        <v>0</v>
      </c>
      <c r="FZ71" s="561">
        <v>170</v>
      </c>
      <c r="GA71" s="561">
        <v>279</v>
      </c>
      <c r="GB71" s="561">
        <v>415</v>
      </c>
      <c r="GC71" s="561">
        <v>55</v>
      </c>
      <c r="GD71" s="561">
        <v>8</v>
      </c>
      <c r="GE71" s="561">
        <v>734</v>
      </c>
      <c r="GF71" s="561">
        <v>739</v>
      </c>
      <c r="GG71" s="561">
        <v>260</v>
      </c>
      <c r="GH71" s="561">
        <v>0</v>
      </c>
      <c r="GI71" s="561">
        <v>0</v>
      </c>
      <c r="GJ71" s="561">
        <v>0</v>
      </c>
      <c r="GK71" s="561">
        <v>0</v>
      </c>
      <c r="GL71" s="561">
        <v>3010</v>
      </c>
      <c r="GM71" s="561">
        <v>12142</v>
      </c>
      <c r="GN71" s="561">
        <v>9546</v>
      </c>
      <c r="GO71" s="561">
        <v>0</v>
      </c>
      <c r="GP71" s="561">
        <v>3205</v>
      </c>
      <c r="GQ71" s="561">
        <v>0</v>
      </c>
      <c r="GR71" s="561">
        <v>-1</v>
      </c>
      <c r="GS71" s="561">
        <v>33408</v>
      </c>
      <c r="GT71" s="561">
        <v>64</v>
      </c>
      <c r="GU71" s="561">
        <v>10</v>
      </c>
      <c r="GV71" s="561">
        <v>1951</v>
      </c>
      <c r="GW71" s="561">
        <v>801</v>
      </c>
      <c r="GX71" s="561">
        <v>826</v>
      </c>
      <c r="GY71" s="561">
        <v>51791</v>
      </c>
      <c r="GZ71" s="561">
        <v>7689</v>
      </c>
      <c r="HA71" s="561">
        <v>0</v>
      </c>
      <c r="HB71" s="561">
        <v>6782</v>
      </c>
      <c r="HC71" s="561">
        <v>2146</v>
      </c>
      <c r="HD71" s="561">
        <v>71996</v>
      </c>
      <c r="HE71" s="561">
        <v>238</v>
      </c>
      <c r="HF71" s="561">
        <v>118665</v>
      </c>
      <c r="HG71" s="561">
        <v>0</v>
      </c>
      <c r="HH71" s="561">
        <v>0</v>
      </c>
      <c r="HI71" s="561">
        <v>0</v>
      </c>
      <c r="HJ71" s="561">
        <v>0</v>
      </c>
      <c r="HK71" s="561">
        <v>0</v>
      </c>
      <c r="HL71" s="561">
        <v>0</v>
      </c>
      <c r="HM71" s="561">
        <v>0</v>
      </c>
      <c r="HN71" s="561">
        <v>0</v>
      </c>
      <c r="HO71" s="561">
        <v>9860</v>
      </c>
      <c r="HP71" s="561">
        <v>392</v>
      </c>
      <c r="HQ71" s="561">
        <v>0</v>
      </c>
      <c r="HR71" s="561">
        <v>30</v>
      </c>
      <c r="HS71" s="561">
        <v>392</v>
      </c>
      <c r="HT71" s="561">
        <v>91</v>
      </c>
      <c r="HU71" s="561">
        <v>0</v>
      </c>
      <c r="HV71" s="561">
        <v>-35</v>
      </c>
      <c r="HW71" s="561">
        <v>573</v>
      </c>
      <c r="HX71" s="561">
        <v>169</v>
      </c>
      <c r="HY71" s="561">
        <v>198</v>
      </c>
      <c r="HZ71" s="561">
        <v>-313</v>
      </c>
      <c r="IA71" s="561">
        <v>6431</v>
      </c>
      <c r="IB71" s="561">
        <v>0</v>
      </c>
      <c r="IC71" s="561">
        <v>742</v>
      </c>
      <c r="ID71" s="561">
        <v>0</v>
      </c>
      <c r="IE71" s="561">
        <v>253</v>
      </c>
      <c r="IF71" s="561">
        <v>0</v>
      </c>
      <c r="IG71" s="561">
        <v>557</v>
      </c>
      <c r="IH71" s="561">
        <v>0</v>
      </c>
      <c r="II71" s="561">
        <v>19340</v>
      </c>
      <c r="IJ71" s="561">
        <v>794</v>
      </c>
      <c r="IK71" s="561">
        <v>0</v>
      </c>
      <c r="IL71" s="561">
        <v>0</v>
      </c>
      <c r="IM71" s="561">
        <v>0</v>
      </c>
      <c r="IN71" s="561">
        <v>0</v>
      </c>
      <c r="IO71" s="561">
        <v>0</v>
      </c>
      <c r="IP71" s="561">
        <v>0</v>
      </c>
      <c r="IQ71" s="561">
        <v>0</v>
      </c>
      <c r="IR71" s="561">
        <v>312913</v>
      </c>
      <c r="IS71" s="561">
        <v>18671</v>
      </c>
      <c r="IT71" s="561">
        <v>94942</v>
      </c>
      <c r="IU71" s="561">
        <v>187722</v>
      </c>
      <c r="IV71" s="561">
        <v>21094</v>
      </c>
      <c r="IW71" s="561">
        <v>9980</v>
      </c>
      <c r="IX71" s="561">
        <v>13261</v>
      </c>
      <c r="IY71" s="561">
        <v>33408</v>
      </c>
      <c r="IZ71" s="561">
        <v>71996</v>
      </c>
      <c r="JA71" s="561">
        <v>0</v>
      </c>
      <c r="JB71" s="561">
        <v>0</v>
      </c>
      <c r="JC71" s="561">
        <v>19340</v>
      </c>
      <c r="JD71" s="561">
        <v>0</v>
      </c>
      <c r="JE71" s="561">
        <v>783327</v>
      </c>
      <c r="JF71" s="561">
        <v>54736</v>
      </c>
      <c r="JG71" s="561">
        <v>852</v>
      </c>
      <c r="JH71" s="561">
        <v>5637</v>
      </c>
      <c r="JI71" s="561">
        <v>0</v>
      </c>
      <c r="JJ71" s="561">
        <v>0</v>
      </c>
      <c r="JK71" s="561">
        <v>5160</v>
      </c>
      <c r="JL71" s="561">
        <v>0</v>
      </c>
      <c r="JM71" s="561">
        <v>0</v>
      </c>
      <c r="JN71" s="561">
        <v>0</v>
      </c>
      <c r="JO71" s="561">
        <v>0</v>
      </c>
      <c r="JP71" s="561">
        <v>-7224</v>
      </c>
      <c r="JQ71" s="561">
        <v>-153</v>
      </c>
      <c r="JR71" s="561">
        <v>0</v>
      </c>
      <c r="JS71" s="561">
        <v>0</v>
      </c>
      <c r="JT71" s="561">
        <v>-923</v>
      </c>
      <c r="JU71" s="561">
        <v>0</v>
      </c>
      <c r="JV71" s="561">
        <v>841412</v>
      </c>
      <c r="JW71" s="561">
        <v>816</v>
      </c>
      <c r="JX71" s="561">
        <v>758</v>
      </c>
      <c r="JY71" s="561">
        <v>0</v>
      </c>
      <c r="JZ71" s="561">
        <v>-1362</v>
      </c>
      <c r="KA71" s="561">
        <v>0</v>
      </c>
      <c r="KB71" s="561">
        <v>1363</v>
      </c>
      <c r="KC71" s="561">
        <v>24527</v>
      </c>
      <c r="KD71" s="561">
        <v>452</v>
      </c>
      <c r="KE71" s="561">
        <v>9592</v>
      </c>
      <c r="KF71" s="561">
        <v>0</v>
      </c>
      <c r="KG71" s="561">
        <v>877558</v>
      </c>
      <c r="KH71" s="561">
        <v>-8030</v>
      </c>
      <c r="KI71" s="561">
        <v>0</v>
      </c>
      <c r="KJ71" s="561">
        <v>129</v>
      </c>
      <c r="KK71" s="561">
        <v>0</v>
      </c>
      <c r="KL71" s="561">
        <v>-141432</v>
      </c>
      <c r="KM71" s="561">
        <v>0</v>
      </c>
      <c r="KN71" s="561">
        <v>-1349</v>
      </c>
      <c r="KO71" s="561">
        <v>0</v>
      </c>
      <c r="KP71" s="561">
        <v>0</v>
      </c>
      <c r="KQ71" s="561">
        <v>-12220</v>
      </c>
      <c r="KR71" s="561">
        <v>714656</v>
      </c>
      <c r="KS71" s="561">
        <v>-712</v>
      </c>
      <c r="KT71" s="561">
        <v>-404461</v>
      </c>
      <c r="KU71" s="561">
        <v>309483</v>
      </c>
      <c r="KV71" s="561">
        <v>0</v>
      </c>
      <c r="KW71" s="561">
        <v>607</v>
      </c>
      <c r="KX71" s="561">
        <v>0</v>
      </c>
      <c r="KY71" s="561">
        <v>-43</v>
      </c>
      <c r="KZ71" s="561">
        <v>-22373</v>
      </c>
      <c r="LA71" s="561">
        <v>-3469</v>
      </c>
      <c r="LB71" s="561">
        <v>-4470</v>
      </c>
      <c r="LC71" s="561">
        <v>0</v>
      </c>
      <c r="LD71" s="561">
        <v>-27185</v>
      </c>
      <c r="LE71" s="561">
        <v>-1649</v>
      </c>
      <c r="LF71" s="561">
        <v>-2585</v>
      </c>
      <c r="LG71" s="561">
        <v>248316</v>
      </c>
      <c r="LH71" s="561">
        <v>8784</v>
      </c>
      <c r="LI71" s="561">
        <v>-7482</v>
      </c>
      <c r="LJ71" s="561">
        <v>0</v>
      </c>
      <c r="LK71" s="561">
        <v>144</v>
      </c>
      <c r="LL71" s="561">
        <v>76384</v>
      </c>
      <c r="LM71" s="561">
        <v>26198</v>
      </c>
      <c r="LN71" s="561">
        <v>9391</v>
      </c>
      <c r="LO71" s="561">
        <v>-19702</v>
      </c>
      <c r="LP71" s="561">
        <v>0</v>
      </c>
      <c r="LQ71" s="561">
        <v>101</v>
      </c>
      <c r="LR71" s="561">
        <v>54011</v>
      </c>
      <c r="LS71" s="561">
        <v>22729</v>
      </c>
      <c r="LT71" s="561">
        <v>0</v>
      </c>
      <c r="LU71" s="561">
        <v>60493</v>
      </c>
      <c r="LV71" s="561">
        <v>-13901</v>
      </c>
      <c r="LW71" s="561">
        <v>0</v>
      </c>
      <c r="LX71" s="561">
        <v>0</v>
      </c>
      <c r="LY71" s="561">
        <v>4957</v>
      </c>
      <c r="LZ71" s="561">
        <v>51549</v>
      </c>
      <c r="MA71" s="561">
        <v>0</v>
      </c>
      <c r="MB71" s="561">
        <v>0</v>
      </c>
      <c r="MC71" s="561">
        <v>28266</v>
      </c>
      <c r="MD71" s="561">
        <v>28200</v>
      </c>
      <c r="ME71" s="561">
        <v>66</v>
      </c>
      <c r="MF71" s="561">
        <v>737</v>
      </c>
      <c r="MG71" s="561">
        <v>803</v>
      </c>
      <c r="MH71" s="561">
        <v>10030</v>
      </c>
      <c r="MI71" s="561">
        <v>13573</v>
      </c>
      <c r="MJ71" s="561">
        <v>23603</v>
      </c>
      <c r="MK71" s="561">
        <v>0</v>
      </c>
      <c r="ML71" s="561">
        <v>6809</v>
      </c>
      <c r="MM71" s="561">
        <v>43177</v>
      </c>
      <c r="MN71" s="561">
        <v>4025</v>
      </c>
      <c r="MO71" s="561">
        <v>0</v>
      </c>
      <c r="MP71" s="561">
        <v>0</v>
      </c>
      <c r="MQ71" s="561">
        <v>312913</v>
      </c>
      <c r="MR71" s="561">
        <v>18671</v>
      </c>
      <c r="MS71" s="561">
        <v>94942</v>
      </c>
      <c r="MT71" s="561">
        <v>187722</v>
      </c>
      <c r="MU71" s="561">
        <v>21094</v>
      </c>
      <c r="MV71" s="561">
        <v>9980</v>
      </c>
      <c r="MW71" s="561">
        <v>13261</v>
      </c>
      <c r="MX71" s="561">
        <v>33408</v>
      </c>
      <c r="MY71" s="561">
        <v>71996</v>
      </c>
      <c r="MZ71" s="561">
        <v>0</v>
      </c>
      <c r="NA71" s="561">
        <v>0</v>
      </c>
      <c r="NB71" s="561">
        <v>19340</v>
      </c>
      <c r="NC71" s="561">
        <v>0</v>
      </c>
      <c r="ND71" s="561">
        <v>783327</v>
      </c>
      <c r="NE71" s="561">
        <v>0</v>
      </c>
      <c r="NF71" s="561">
        <v>0</v>
      </c>
      <c r="NG71" s="561">
        <v>0</v>
      </c>
      <c r="NH71" s="561">
        <v>0</v>
      </c>
      <c r="NI71" s="561">
        <v>0</v>
      </c>
      <c r="NJ71" s="561">
        <v>0</v>
      </c>
      <c r="NK71" s="561">
        <v>0</v>
      </c>
      <c r="NL71" s="561">
        <v>0</v>
      </c>
      <c r="NM71" s="561">
        <v>0</v>
      </c>
      <c r="NN71" s="561">
        <v>0</v>
      </c>
      <c r="NO71" s="561">
        <v>0</v>
      </c>
      <c r="NP71" s="561">
        <v>0</v>
      </c>
      <c r="NQ71" s="561">
        <v>0</v>
      </c>
      <c r="NR71" s="561">
        <v>0</v>
      </c>
      <c r="NS71" s="561">
        <v>0</v>
      </c>
      <c r="NT71" s="561">
        <v>0</v>
      </c>
      <c r="NU71" s="561">
        <v>-8005</v>
      </c>
      <c r="NV71" s="561">
        <v>0</v>
      </c>
      <c r="NW71" s="561">
        <v>-7224</v>
      </c>
      <c r="NX71" s="561">
        <v>0</v>
      </c>
      <c r="NY71" s="561">
        <v>-7224</v>
      </c>
      <c r="NZ71" s="561">
        <v>0</v>
      </c>
      <c r="OA71" s="561">
        <v>0</v>
      </c>
      <c r="OB71" s="561">
        <v>0</v>
      </c>
      <c r="OC71" s="561">
        <v>0</v>
      </c>
      <c r="OD71" s="561">
        <v>0</v>
      </c>
      <c r="OE71" s="561">
        <v>0</v>
      </c>
      <c r="OF71" s="561">
        <v>0</v>
      </c>
      <c r="OG71" s="561">
        <v>0</v>
      </c>
      <c r="OH71" s="561">
        <v>0</v>
      </c>
      <c r="OI71" s="561">
        <v>0</v>
      </c>
      <c r="OJ71" s="561">
        <v>0</v>
      </c>
      <c r="OK71" s="561">
        <v>0</v>
      </c>
      <c r="OL71" s="561">
        <v>0</v>
      </c>
      <c r="OM71" s="561">
        <v>0</v>
      </c>
      <c r="ON71" s="561">
        <v>-153</v>
      </c>
      <c r="OO71" s="561">
        <v>0</v>
      </c>
      <c r="OP71" s="561">
        <v>0</v>
      </c>
      <c r="OQ71" s="561">
        <v>0</v>
      </c>
      <c r="OR71" s="561">
        <v>0</v>
      </c>
      <c r="OS71" s="561">
        <v>0</v>
      </c>
      <c r="OT71" s="561">
        <v>0</v>
      </c>
      <c r="OU71" s="561">
        <v>0</v>
      </c>
      <c r="OV71" s="561">
        <v>280.03922</v>
      </c>
      <c r="OW71" s="561">
        <v>0</v>
      </c>
      <c r="OX71" s="561">
        <v>-153</v>
      </c>
      <c r="OY71" s="561">
        <v>0</v>
      </c>
      <c r="OZ71" s="561">
        <v>0</v>
      </c>
      <c r="PA71" s="561">
        <v>0</v>
      </c>
      <c r="PB71" s="561">
        <v>0</v>
      </c>
      <c r="PC71" s="561">
        <v>0</v>
      </c>
      <c r="PD71" s="561">
        <v>0</v>
      </c>
      <c r="PE71" s="561">
        <v>0</v>
      </c>
      <c r="PF71" s="561">
        <v>0</v>
      </c>
      <c r="PG71" s="561">
        <v>0</v>
      </c>
      <c r="PH71" s="561">
        <v>0</v>
      </c>
      <c r="PI71" s="561">
        <v>0</v>
      </c>
      <c r="PJ71" s="561">
        <v>0</v>
      </c>
    </row>
    <row r="72" spans="1:426" ht="14" x14ac:dyDescent="0.3">
      <c r="A72" t="s">
        <v>2645</v>
      </c>
      <c r="B72" t="s">
        <v>2646</v>
      </c>
      <c r="C72" t="s">
        <v>2647</v>
      </c>
      <c r="E72" t="s">
        <v>384</v>
      </c>
      <c r="F72" s="561">
        <v>0</v>
      </c>
      <c r="G72" s="561">
        <v>0</v>
      </c>
      <c r="H72" s="561">
        <v>0</v>
      </c>
      <c r="I72" s="561">
        <v>0</v>
      </c>
      <c r="J72" s="561">
        <v>0</v>
      </c>
      <c r="K72" s="561">
        <v>0</v>
      </c>
      <c r="L72" s="561">
        <v>0</v>
      </c>
      <c r="M72" s="561">
        <v>0</v>
      </c>
      <c r="N72" s="561">
        <v>0</v>
      </c>
      <c r="O72" s="561">
        <v>0</v>
      </c>
      <c r="P72" s="561">
        <v>0</v>
      </c>
      <c r="Q72" s="561">
        <v>0</v>
      </c>
      <c r="R72" s="561">
        <v>0</v>
      </c>
      <c r="S72" s="561">
        <v>176</v>
      </c>
      <c r="T72" s="561">
        <v>0</v>
      </c>
      <c r="U72" s="561">
        <v>0</v>
      </c>
      <c r="V72" s="561">
        <v>32</v>
      </c>
      <c r="W72" s="561">
        <v>0</v>
      </c>
      <c r="X72" s="561">
        <v>0</v>
      </c>
      <c r="Y72" s="561">
        <v>0</v>
      </c>
      <c r="Z72" s="561">
        <v>0</v>
      </c>
      <c r="AA72" s="561">
        <v>0</v>
      </c>
      <c r="AB72" s="561">
        <v>-1396</v>
      </c>
      <c r="AC72" s="561">
        <v>-11</v>
      </c>
      <c r="AD72" s="561">
        <v>0</v>
      </c>
      <c r="AE72" s="561">
        <v>0</v>
      </c>
      <c r="AF72" s="561">
        <v>0</v>
      </c>
      <c r="AG72" s="561">
        <v>0</v>
      </c>
      <c r="AH72" s="561">
        <v>163</v>
      </c>
      <c r="AI72" s="561">
        <v>0</v>
      </c>
      <c r="AJ72" s="561">
        <v>-1036</v>
      </c>
      <c r="AK72" s="561">
        <v>0</v>
      </c>
      <c r="AL72" s="561">
        <v>0</v>
      </c>
      <c r="AM72" s="561">
        <v>0</v>
      </c>
      <c r="AN72" s="561">
        <v>0</v>
      </c>
      <c r="AO72" s="561">
        <v>0</v>
      </c>
      <c r="AP72" s="561">
        <v>0</v>
      </c>
      <c r="AQ72" s="561">
        <v>0</v>
      </c>
      <c r="AR72" s="561">
        <v>0</v>
      </c>
      <c r="AS72" s="561">
        <v>0</v>
      </c>
      <c r="AT72" s="561">
        <v>0</v>
      </c>
      <c r="AU72" s="561">
        <v>0</v>
      </c>
      <c r="AV72" s="561">
        <v>0</v>
      </c>
      <c r="AW72" s="561">
        <v>0</v>
      </c>
      <c r="AX72" s="561">
        <v>0</v>
      </c>
      <c r="AY72" s="561">
        <v>0</v>
      </c>
      <c r="AZ72" s="561">
        <v>0</v>
      </c>
      <c r="BA72" s="561">
        <v>0</v>
      </c>
      <c r="BB72" s="561">
        <v>0</v>
      </c>
      <c r="BC72" s="561">
        <v>0</v>
      </c>
      <c r="BD72" s="561">
        <v>0</v>
      </c>
      <c r="BE72" s="561">
        <v>0</v>
      </c>
      <c r="BF72" s="561">
        <v>0</v>
      </c>
      <c r="BG72" s="561">
        <v>0</v>
      </c>
      <c r="BH72" s="561">
        <v>0</v>
      </c>
      <c r="BI72" s="561">
        <v>0</v>
      </c>
      <c r="BJ72" s="561">
        <v>0</v>
      </c>
      <c r="BK72" s="561">
        <v>0</v>
      </c>
      <c r="BL72" s="561">
        <v>0</v>
      </c>
      <c r="BM72" s="561">
        <v>0</v>
      </c>
      <c r="BN72" s="561">
        <v>0</v>
      </c>
      <c r="BO72" s="561">
        <v>0</v>
      </c>
      <c r="BP72" s="561">
        <v>0</v>
      </c>
      <c r="BQ72" s="561">
        <v>0</v>
      </c>
      <c r="BR72" s="561">
        <v>0</v>
      </c>
      <c r="BS72" s="561">
        <v>0</v>
      </c>
      <c r="BT72" s="561">
        <v>0</v>
      </c>
      <c r="BU72" s="561">
        <v>0</v>
      </c>
      <c r="BV72" s="561">
        <v>0</v>
      </c>
      <c r="BW72" s="561">
        <v>0</v>
      </c>
      <c r="BX72" s="561">
        <v>0</v>
      </c>
      <c r="BY72" s="561">
        <v>0</v>
      </c>
      <c r="BZ72" s="561">
        <v>0</v>
      </c>
      <c r="CA72" s="561">
        <v>0</v>
      </c>
      <c r="CB72" s="561">
        <v>0</v>
      </c>
      <c r="CC72" s="561">
        <v>0</v>
      </c>
      <c r="CD72" s="561">
        <v>0</v>
      </c>
      <c r="CE72" s="561">
        <v>0</v>
      </c>
      <c r="CF72" s="561">
        <v>0</v>
      </c>
      <c r="CG72" s="561">
        <v>0</v>
      </c>
      <c r="CH72" s="561">
        <v>0</v>
      </c>
      <c r="CI72" s="561">
        <v>0</v>
      </c>
      <c r="CJ72" s="561">
        <v>0</v>
      </c>
      <c r="CK72" s="561">
        <v>0</v>
      </c>
      <c r="CL72" s="561">
        <v>0</v>
      </c>
      <c r="CM72" s="561">
        <v>0</v>
      </c>
      <c r="CN72" s="561">
        <v>0</v>
      </c>
      <c r="CO72" s="561">
        <v>0</v>
      </c>
      <c r="CP72" s="561">
        <v>0</v>
      </c>
      <c r="CQ72" s="561">
        <v>0</v>
      </c>
      <c r="CR72" s="561">
        <v>0</v>
      </c>
      <c r="CS72" s="561">
        <v>0</v>
      </c>
      <c r="CT72" s="561">
        <v>0</v>
      </c>
      <c r="CU72" s="561">
        <v>0</v>
      </c>
      <c r="CV72" s="561">
        <v>0</v>
      </c>
      <c r="CW72" s="561">
        <v>0</v>
      </c>
      <c r="CX72" s="561">
        <v>0</v>
      </c>
      <c r="CY72" s="561">
        <v>0</v>
      </c>
      <c r="CZ72" s="561">
        <v>0</v>
      </c>
      <c r="DA72" s="561">
        <v>0</v>
      </c>
      <c r="DB72" s="561">
        <v>0</v>
      </c>
      <c r="DC72" s="561">
        <v>0</v>
      </c>
      <c r="DD72" s="561">
        <v>0</v>
      </c>
      <c r="DE72" s="561">
        <v>0</v>
      </c>
      <c r="DF72" s="561">
        <v>0</v>
      </c>
      <c r="DG72" s="561">
        <v>0</v>
      </c>
      <c r="DH72" s="561">
        <v>0</v>
      </c>
      <c r="DI72" s="561">
        <v>5</v>
      </c>
      <c r="DJ72" s="561">
        <v>69</v>
      </c>
      <c r="DK72" s="561">
        <v>0</v>
      </c>
      <c r="DL72" s="561">
        <v>0</v>
      </c>
      <c r="DM72" s="561">
        <v>0</v>
      </c>
      <c r="DN72" s="561">
        <v>0</v>
      </c>
      <c r="DO72" s="561">
        <v>299</v>
      </c>
      <c r="DP72" s="561">
        <v>0</v>
      </c>
      <c r="DQ72" s="561">
        <v>0</v>
      </c>
      <c r="DR72" s="561">
        <v>0</v>
      </c>
      <c r="DS72" s="561">
        <v>0</v>
      </c>
      <c r="DT72" s="561">
        <v>1400</v>
      </c>
      <c r="DU72" s="561">
        <v>1699</v>
      </c>
      <c r="DV72" s="561">
        <v>0</v>
      </c>
      <c r="DW72" s="561">
        <v>0</v>
      </c>
      <c r="DX72" s="561">
        <v>7</v>
      </c>
      <c r="DY72" s="561">
        <v>546</v>
      </c>
      <c r="DZ72" s="561">
        <v>8</v>
      </c>
      <c r="EA72" s="561">
        <v>0</v>
      </c>
      <c r="EB72" s="561">
        <v>212</v>
      </c>
      <c r="EC72" s="561">
        <v>2546</v>
      </c>
      <c r="ED72" s="561">
        <v>19</v>
      </c>
      <c r="EE72" s="561">
        <v>42157</v>
      </c>
      <c r="EF72" s="561">
        <v>1591</v>
      </c>
      <c r="EG72" s="561">
        <v>184</v>
      </c>
      <c r="EH72" s="561">
        <v>875</v>
      </c>
      <c r="EI72" s="561">
        <v>0</v>
      </c>
      <c r="EJ72" s="561">
        <v>542</v>
      </c>
      <c r="EK72" s="561">
        <v>0</v>
      </c>
      <c r="EL72" s="561">
        <v>0</v>
      </c>
      <c r="EM72" s="561">
        <v>0</v>
      </c>
      <c r="EN72" s="561">
        <v>12255</v>
      </c>
      <c r="EO72" s="561">
        <v>10948</v>
      </c>
      <c r="EP72" s="561">
        <v>2038</v>
      </c>
      <c r="EQ72" s="561">
        <v>719</v>
      </c>
      <c r="ER72" s="561">
        <v>4784</v>
      </c>
      <c r="ES72" s="561" t="s">
        <v>4565</v>
      </c>
      <c r="ET72" s="561">
        <v>13664</v>
      </c>
      <c r="EU72" s="561">
        <v>0</v>
      </c>
      <c r="EV72" s="561">
        <v>49</v>
      </c>
      <c r="EW72" s="561">
        <v>0</v>
      </c>
      <c r="EX72" s="561">
        <v>0</v>
      </c>
      <c r="EY72" s="561">
        <v>557</v>
      </c>
      <c r="EZ72" s="561">
        <v>335</v>
      </c>
      <c r="FA72" s="561">
        <v>6238</v>
      </c>
      <c r="FB72" s="561">
        <v>0</v>
      </c>
      <c r="FC72" s="561">
        <v>5</v>
      </c>
      <c r="FD72" s="561">
        <v>0</v>
      </c>
      <c r="FE72" s="561">
        <v>199</v>
      </c>
      <c r="FF72" s="561">
        <v>0</v>
      </c>
      <c r="FG72" s="561">
        <v>64</v>
      </c>
      <c r="FH72" s="561">
        <v>0</v>
      </c>
      <c r="FI72" s="561">
        <v>78</v>
      </c>
      <c r="FJ72" s="561">
        <v>-379</v>
      </c>
      <c r="FK72" s="561">
        <v>1952</v>
      </c>
      <c r="FL72" s="561">
        <v>3</v>
      </c>
      <c r="FM72" s="561">
        <v>159</v>
      </c>
      <c r="FN72" s="561">
        <v>0</v>
      </c>
      <c r="FO72" s="561">
        <v>2081</v>
      </c>
      <c r="FP72" s="561">
        <v>83</v>
      </c>
      <c r="FQ72" s="561">
        <v>-259</v>
      </c>
      <c r="FR72" s="561">
        <v>0</v>
      </c>
      <c r="FS72" s="561">
        <v>0</v>
      </c>
      <c r="FT72" s="561">
        <v>186</v>
      </c>
      <c r="FU72" s="561">
        <v>331</v>
      </c>
      <c r="FV72" s="561">
        <v>0</v>
      </c>
      <c r="FW72" s="561">
        <v>39</v>
      </c>
      <c r="FX72" s="561">
        <v>0</v>
      </c>
      <c r="FY72" s="561">
        <v>0</v>
      </c>
      <c r="FZ72" s="561">
        <v>0</v>
      </c>
      <c r="GA72" s="561">
        <v>89</v>
      </c>
      <c r="GB72" s="561">
        <v>160</v>
      </c>
      <c r="GC72" s="561">
        <v>-40</v>
      </c>
      <c r="GD72" s="561">
        <v>248</v>
      </c>
      <c r="GE72" s="561">
        <v>0</v>
      </c>
      <c r="GF72" s="561">
        <v>0</v>
      </c>
      <c r="GG72" s="561">
        <v>30</v>
      </c>
      <c r="GH72" s="561">
        <v>0</v>
      </c>
      <c r="GI72" s="561">
        <v>0</v>
      </c>
      <c r="GJ72" s="561">
        <v>0</v>
      </c>
      <c r="GK72" s="561">
        <v>0</v>
      </c>
      <c r="GL72" s="561">
        <v>23</v>
      </c>
      <c r="GM72" s="561">
        <v>1520</v>
      </c>
      <c r="GN72" s="561">
        <v>0</v>
      </c>
      <c r="GO72" s="561">
        <v>7</v>
      </c>
      <c r="GP72" s="561">
        <v>1235</v>
      </c>
      <c r="GQ72" s="561">
        <v>0</v>
      </c>
      <c r="GR72" s="561">
        <v>0</v>
      </c>
      <c r="GS72" s="561">
        <v>3569</v>
      </c>
      <c r="GT72" s="561">
        <v>37</v>
      </c>
      <c r="GU72" s="561">
        <v>52</v>
      </c>
      <c r="GV72" s="561">
        <v>212</v>
      </c>
      <c r="GW72" s="561">
        <v>0</v>
      </c>
      <c r="GX72" s="561">
        <v>317</v>
      </c>
      <c r="GY72" s="561">
        <v>122</v>
      </c>
      <c r="GZ72" s="561">
        <v>287</v>
      </c>
      <c r="HA72" s="561">
        <v>0</v>
      </c>
      <c r="HB72" s="561">
        <v>-706</v>
      </c>
      <c r="HC72" s="561">
        <v>0</v>
      </c>
      <c r="HD72" s="561">
        <v>284</v>
      </c>
      <c r="HE72" s="561">
        <v>124</v>
      </c>
      <c r="HF72" s="561">
        <v>5934</v>
      </c>
      <c r="HG72" s="561">
        <v>0</v>
      </c>
      <c r="HH72" s="561">
        <v>0</v>
      </c>
      <c r="HI72" s="561">
        <v>0</v>
      </c>
      <c r="HJ72" s="561">
        <v>0</v>
      </c>
      <c r="HK72" s="561">
        <v>0</v>
      </c>
      <c r="HL72" s="561">
        <v>0</v>
      </c>
      <c r="HM72" s="561">
        <v>0</v>
      </c>
      <c r="HN72" s="561">
        <v>0</v>
      </c>
      <c r="HO72" s="561">
        <v>2239</v>
      </c>
      <c r="HP72" s="561">
        <v>966</v>
      </c>
      <c r="HQ72" s="561">
        <v>0</v>
      </c>
      <c r="HR72" s="561">
        <v>0</v>
      </c>
      <c r="HS72" s="561">
        <v>454</v>
      </c>
      <c r="HT72" s="561">
        <v>301</v>
      </c>
      <c r="HU72" s="561">
        <v>0</v>
      </c>
      <c r="HV72" s="561">
        <v>0</v>
      </c>
      <c r="HW72" s="561">
        <v>185</v>
      </c>
      <c r="HX72" s="561">
        <v>24</v>
      </c>
      <c r="HY72" s="561">
        <v>19</v>
      </c>
      <c r="HZ72" s="561">
        <v>65</v>
      </c>
      <c r="IA72" s="561">
        <v>0</v>
      </c>
      <c r="IB72" s="561">
        <v>104</v>
      </c>
      <c r="IC72" s="561">
        <v>0</v>
      </c>
      <c r="ID72" s="561">
        <v>0</v>
      </c>
      <c r="IE72" s="561">
        <v>83</v>
      </c>
      <c r="IF72" s="561">
        <v>0</v>
      </c>
      <c r="IG72" s="561">
        <v>24</v>
      </c>
      <c r="IH72" s="561">
        <v>2821</v>
      </c>
      <c r="II72" s="561">
        <v>7285</v>
      </c>
      <c r="IJ72" s="561">
        <v>733</v>
      </c>
      <c r="IK72" s="561">
        <v>2314</v>
      </c>
      <c r="IL72" s="561">
        <v>6240</v>
      </c>
      <c r="IM72" s="561">
        <v>0</v>
      </c>
      <c r="IN72" s="561">
        <v>5374</v>
      </c>
      <c r="IO72" s="561">
        <v>1513</v>
      </c>
      <c r="IP72" s="561">
        <v>0</v>
      </c>
      <c r="IQ72" s="561">
        <v>0</v>
      </c>
      <c r="IR72" s="561">
        <v>0</v>
      </c>
      <c r="IS72" s="561">
        <v>-1036</v>
      </c>
      <c r="IT72" s="561">
        <v>0</v>
      </c>
      <c r="IU72" s="561">
        <v>0</v>
      </c>
      <c r="IV72" s="561">
        <v>0</v>
      </c>
      <c r="IW72" s="561">
        <v>2546</v>
      </c>
      <c r="IX72" s="561">
        <v>2081</v>
      </c>
      <c r="IY72" s="561">
        <v>3569</v>
      </c>
      <c r="IZ72" s="561">
        <v>284</v>
      </c>
      <c r="JA72" s="561">
        <v>0</v>
      </c>
      <c r="JB72" s="561">
        <v>0</v>
      </c>
      <c r="JC72" s="561">
        <v>7285</v>
      </c>
      <c r="JD72" s="561">
        <v>0</v>
      </c>
      <c r="JE72" s="561">
        <v>14729</v>
      </c>
      <c r="JF72" s="561">
        <v>11508</v>
      </c>
      <c r="JG72" s="561">
        <v>41</v>
      </c>
      <c r="JH72" s="561">
        <v>11685</v>
      </c>
      <c r="JI72" s="561">
        <v>0</v>
      </c>
      <c r="JJ72" s="561">
        <v>303</v>
      </c>
      <c r="JK72" s="561">
        <v>589</v>
      </c>
      <c r="JL72" s="561">
        <v>0</v>
      </c>
      <c r="JM72" s="561">
        <v>0</v>
      </c>
      <c r="JN72" s="561">
        <v>0</v>
      </c>
      <c r="JO72" s="561">
        <v>0</v>
      </c>
      <c r="JP72" s="561">
        <v>-1016</v>
      </c>
      <c r="JQ72" s="561">
        <v>0</v>
      </c>
      <c r="JR72" s="561">
        <v>-567</v>
      </c>
      <c r="JS72" s="561">
        <v>0</v>
      </c>
      <c r="JT72" s="561">
        <v>0</v>
      </c>
      <c r="JU72" s="561">
        <v>0</v>
      </c>
      <c r="JV72" s="561">
        <v>37272</v>
      </c>
      <c r="JW72" s="561">
        <v>0</v>
      </c>
      <c r="JX72" s="561">
        <v>74</v>
      </c>
      <c r="JY72" s="561">
        <v>0</v>
      </c>
      <c r="JZ72" s="561">
        <v>-471</v>
      </c>
      <c r="KA72" s="561">
        <v>0</v>
      </c>
      <c r="KB72" s="561">
        <v>58</v>
      </c>
      <c r="KC72" s="561">
        <v>1376</v>
      </c>
      <c r="KD72" s="561">
        <v>0</v>
      </c>
      <c r="KE72" s="561">
        <v>5129</v>
      </c>
      <c r="KF72" s="561">
        <v>-4242</v>
      </c>
      <c r="KG72" s="561">
        <v>39196</v>
      </c>
      <c r="KH72" s="561">
        <v>-1620</v>
      </c>
      <c r="KI72" s="561">
        <v>0</v>
      </c>
      <c r="KJ72" s="561">
        <v>0</v>
      </c>
      <c r="KK72" s="561">
        <v>0</v>
      </c>
      <c r="KL72" s="561">
        <v>-22992</v>
      </c>
      <c r="KM72" s="561">
        <v>0</v>
      </c>
      <c r="KN72" s="561">
        <v>-35</v>
      </c>
      <c r="KO72" s="561">
        <v>0</v>
      </c>
      <c r="KP72" s="561">
        <v>0</v>
      </c>
      <c r="KQ72" s="561">
        <v>0</v>
      </c>
      <c r="KR72" s="561">
        <v>14549</v>
      </c>
      <c r="KS72" s="561">
        <v>0</v>
      </c>
      <c r="KT72" s="561">
        <v>-2331</v>
      </c>
      <c r="KU72" s="561">
        <v>12218</v>
      </c>
      <c r="KV72" s="561">
        <v>0</v>
      </c>
      <c r="KW72" s="561">
        <v>0</v>
      </c>
      <c r="KX72" s="561">
        <v>0</v>
      </c>
      <c r="KY72" s="561">
        <v>0</v>
      </c>
      <c r="KZ72" s="561">
        <v>4303</v>
      </c>
      <c r="LA72" s="561">
        <v>0</v>
      </c>
      <c r="LB72" s="561">
        <v>-707</v>
      </c>
      <c r="LC72" s="561">
        <v>0</v>
      </c>
      <c r="LD72" s="561">
        <v>-10441</v>
      </c>
      <c r="LE72" s="561">
        <v>10</v>
      </c>
      <c r="LF72" s="561">
        <v>1015</v>
      </c>
      <c r="LG72" s="561">
        <v>6398</v>
      </c>
      <c r="LH72" s="561">
        <v>0</v>
      </c>
      <c r="LI72" s="561">
        <v>0</v>
      </c>
      <c r="LJ72" s="561">
        <v>0</v>
      </c>
      <c r="LK72" s="561">
        <v>0</v>
      </c>
      <c r="LL72" s="561">
        <v>12383</v>
      </c>
      <c r="LM72" s="561">
        <v>1500</v>
      </c>
      <c r="LN72" s="561">
        <v>0</v>
      </c>
      <c r="LO72" s="561">
        <v>0</v>
      </c>
      <c r="LP72" s="561">
        <v>0</v>
      </c>
      <c r="LQ72" s="561">
        <v>0</v>
      </c>
      <c r="LR72" s="561">
        <v>16686</v>
      </c>
      <c r="LS72" s="561">
        <v>1500</v>
      </c>
      <c r="LT72" s="561">
        <v>0</v>
      </c>
      <c r="LU72" s="561">
        <v>2959</v>
      </c>
      <c r="LV72" s="561">
        <v>0</v>
      </c>
      <c r="LW72" s="561">
        <v>0</v>
      </c>
      <c r="LX72" s="561">
        <v>-2478</v>
      </c>
      <c r="LY72" s="561">
        <v>2413</v>
      </c>
      <c r="LZ72" s="561">
        <v>2894</v>
      </c>
      <c r="MA72" s="561">
        <v>0</v>
      </c>
      <c r="MB72" s="561">
        <v>0</v>
      </c>
      <c r="MC72" s="561">
        <v>45349</v>
      </c>
      <c r="MD72" s="561">
        <v>45014</v>
      </c>
      <c r="ME72" s="561">
        <v>335</v>
      </c>
      <c r="MF72" s="561">
        <v>6238</v>
      </c>
      <c r="MG72" s="561">
        <v>6573</v>
      </c>
      <c r="MH72" s="561">
        <v>3538</v>
      </c>
      <c r="MI72" s="561">
        <v>5497</v>
      </c>
      <c r="MJ72" s="561">
        <v>9035</v>
      </c>
      <c r="MK72" s="561">
        <v>0</v>
      </c>
      <c r="ML72" s="561">
        <v>0</v>
      </c>
      <c r="MM72" s="561">
        <v>7522</v>
      </c>
      <c r="MN72" s="561">
        <v>1255</v>
      </c>
      <c r="MO72" s="561">
        <v>7909</v>
      </c>
      <c r="MP72" s="561">
        <v>0</v>
      </c>
      <c r="MQ72" s="561">
        <v>0</v>
      </c>
      <c r="MR72" s="561">
        <v>-1036</v>
      </c>
      <c r="MS72" s="561">
        <v>0</v>
      </c>
      <c r="MT72" s="561">
        <v>0</v>
      </c>
      <c r="MU72" s="561">
        <v>0</v>
      </c>
      <c r="MV72" s="561">
        <v>2546</v>
      </c>
      <c r="MW72" s="561">
        <v>2081</v>
      </c>
      <c r="MX72" s="561">
        <v>3569</v>
      </c>
      <c r="MY72" s="561">
        <v>284</v>
      </c>
      <c r="MZ72" s="561">
        <v>0</v>
      </c>
      <c r="NA72" s="561">
        <v>0</v>
      </c>
      <c r="NB72" s="561">
        <v>7285</v>
      </c>
      <c r="NC72" s="561">
        <v>0</v>
      </c>
      <c r="ND72" s="561">
        <v>14729</v>
      </c>
      <c r="NE72" s="561">
        <v>0</v>
      </c>
      <c r="NF72" s="561">
        <v>0</v>
      </c>
      <c r="NG72" s="561">
        <v>0</v>
      </c>
      <c r="NH72" s="561">
        <v>0</v>
      </c>
      <c r="NI72" s="561">
        <v>0</v>
      </c>
      <c r="NJ72" s="561">
        <v>0</v>
      </c>
      <c r="NK72" s="561">
        <v>371</v>
      </c>
      <c r="NL72" s="561">
        <v>0</v>
      </c>
      <c r="NM72" s="561">
        <v>0</v>
      </c>
      <c r="NN72" s="561">
        <v>0</v>
      </c>
      <c r="NO72" s="561">
        <v>0</v>
      </c>
      <c r="NP72" s="561">
        <v>0</v>
      </c>
      <c r="NQ72" s="561">
        <v>0</v>
      </c>
      <c r="NR72" s="561">
        <v>0</v>
      </c>
      <c r="NS72" s="561">
        <v>100</v>
      </c>
      <c r="NT72" s="561">
        <v>-2132</v>
      </c>
      <c r="NU72" s="561">
        <v>-670</v>
      </c>
      <c r="NV72" s="561">
        <v>78</v>
      </c>
      <c r="NW72" s="561">
        <v>-1583</v>
      </c>
      <c r="NX72" s="561">
        <v>567</v>
      </c>
      <c r="NY72" s="561">
        <v>-1016</v>
      </c>
      <c r="NZ72" s="561">
        <v>0</v>
      </c>
      <c r="OA72" s="561">
        <v>0</v>
      </c>
      <c r="OB72" s="561">
        <v>0</v>
      </c>
      <c r="OC72" s="561">
        <v>0</v>
      </c>
      <c r="OD72" s="561">
        <v>0</v>
      </c>
      <c r="OE72" s="561">
        <v>0</v>
      </c>
      <c r="OF72" s="561">
        <v>0</v>
      </c>
      <c r="OG72" s="561">
        <v>0</v>
      </c>
      <c r="OH72" s="561">
        <v>0</v>
      </c>
      <c r="OI72" s="561">
        <v>0</v>
      </c>
      <c r="OJ72" s="561">
        <v>0</v>
      </c>
      <c r="OK72" s="561">
        <v>0</v>
      </c>
      <c r="OL72" s="561">
        <v>0</v>
      </c>
      <c r="OM72" s="561">
        <v>0</v>
      </c>
      <c r="ON72" s="561">
        <v>0</v>
      </c>
      <c r="OO72" s="561">
        <v>0</v>
      </c>
      <c r="OP72" s="561">
        <v>0</v>
      </c>
      <c r="OQ72" s="561">
        <v>0</v>
      </c>
      <c r="OR72" s="561">
        <v>0</v>
      </c>
      <c r="OS72" s="561">
        <v>0</v>
      </c>
      <c r="OT72" s="561">
        <v>0</v>
      </c>
      <c r="OU72" s="561">
        <v>0</v>
      </c>
      <c r="OV72" s="561">
        <v>0</v>
      </c>
      <c r="OW72" s="561">
        <v>0</v>
      </c>
      <c r="OX72" s="561">
        <v>0</v>
      </c>
      <c r="OY72" s="561">
        <v>567</v>
      </c>
      <c r="OZ72" s="561">
        <v>0</v>
      </c>
      <c r="PA72" s="561">
        <v>0</v>
      </c>
      <c r="PB72" s="561">
        <v>0</v>
      </c>
      <c r="PC72" s="561">
        <v>0</v>
      </c>
      <c r="PD72" s="561">
        <v>567</v>
      </c>
      <c r="PE72" s="561">
        <v>0</v>
      </c>
      <c r="PF72" s="561">
        <v>0</v>
      </c>
      <c r="PG72" s="561">
        <v>0</v>
      </c>
      <c r="PH72" s="561">
        <v>0</v>
      </c>
      <c r="PI72" s="561">
        <v>0</v>
      </c>
      <c r="PJ72" s="561">
        <v>0</v>
      </c>
    </row>
    <row r="73" spans="1:426" ht="14" x14ac:dyDescent="0.3">
      <c r="A73" t="s">
        <v>2648</v>
      </c>
      <c r="B73" t="s">
        <v>2649</v>
      </c>
      <c r="C73" t="s">
        <v>2650</v>
      </c>
      <c r="E73" t="s">
        <v>384</v>
      </c>
      <c r="F73" s="561">
        <v>0</v>
      </c>
      <c r="G73" s="561">
        <v>0</v>
      </c>
      <c r="H73" s="561">
        <v>0</v>
      </c>
      <c r="I73" s="561">
        <v>0</v>
      </c>
      <c r="J73" s="561">
        <v>0</v>
      </c>
      <c r="K73" s="561">
        <v>0</v>
      </c>
      <c r="L73" s="561">
        <v>0</v>
      </c>
      <c r="M73" s="561">
        <v>0</v>
      </c>
      <c r="N73" s="561">
        <v>11</v>
      </c>
      <c r="O73" s="561">
        <v>12</v>
      </c>
      <c r="P73" s="561">
        <v>0</v>
      </c>
      <c r="Q73" s="561">
        <v>0</v>
      </c>
      <c r="R73" s="561">
        <v>0</v>
      </c>
      <c r="S73" s="561">
        <v>0</v>
      </c>
      <c r="T73" s="561">
        <v>0</v>
      </c>
      <c r="U73" s="561">
        <v>0</v>
      </c>
      <c r="V73" s="561">
        <v>0</v>
      </c>
      <c r="W73" s="561">
        <v>0</v>
      </c>
      <c r="X73" s="561">
        <v>0</v>
      </c>
      <c r="Y73" s="561">
        <v>0</v>
      </c>
      <c r="Z73" s="561">
        <v>42</v>
      </c>
      <c r="AA73" s="561">
        <v>100</v>
      </c>
      <c r="AB73" s="561">
        <v>-5183</v>
      </c>
      <c r="AC73" s="561">
        <v>0</v>
      </c>
      <c r="AD73" s="561">
        <v>0</v>
      </c>
      <c r="AE73" s="561">
        <v>0</v>
      </c>
      <c r="AF73" s="561">
        <v>0</v>
      </c>
      <c r="AG73" s="561">
        <v>0</v>
      </c>
      <c r="AH73" s="561">
        <v>0</v>
      </c>
      <c r="AI73" s="561">
        <v>0</v>
      </c>
      <c r="AJ73" s="561">
        <v>-5018</v>
      </c>
      <c r="AK73" s="561">
        <v>0</v>
      </c>
      <c r="AL73" s="561">
        <v>0</v>
      </c>
      <c r="AM73" s="561">
        <v>0</v>
      </c>
      <c r="AN73" s="561">
        <v>0</v>
      </c>
      <c r="AO73" s="561">
        <v>0</v>
      </c>
      <c r="AP73" s="561">
        <v>0</v>
      </c>
      <c r="AQ73" s="561">
        <v>0</v>
      </c>
      <c r="AR73" s="561">
        <v>0</v>
      </c>
      <c r="AS73" s="561">
        <v>222</v>
      </c>
      <c r="AT73" s="561">
        <v>281</v>
      </c>
      <c r="AU73" s="561">
        <v>0</v>
      </c>
      <c r="AV73" s="561">
        <v>0</v>
      </c>
      <c r="AW73" s="561">
        <v>0</v>
      </c>
      <c r="AX73" s="561">
        <v>0</v>
      </c>
      <c r="AY73" s="561">
        <v>0</v>
      </c>
      <c r="AZ73" s="561">
        <v>0</v>
      </c>
      <c r="BA73" s="561">
        <v>0</v>
      </c>
      <c r="BB73" s="561">
        <v>0</v>
      </c>
      <c r="BC73" s="561">
        <v>0</v>
      </c>
      <c r="BD73" s="561">
        <v>0</v>
      </c>
      <c r="BE73" s="561">
        <v>0</v>
      </c>
      <c r="BF73" s="561">
        <v>0</v>
      </c>
      <c r="BG73" s="561">
        <v>0</v>
      </c>
      <c r="BH73" s="561">
        <v>0</v>
      </c>
      <c r="BI73" s="561">
        <v>0</v>
      </c>
      <c r="BJ73" s="561">
        <v>0</v>
      </c>
      <c r="BK73" s="561">
        <v>0</v>
      </c>
      <c r="BL73" s="561">
        <v>0</v>
      </c>
      <c r="BM73" s="561">
        <v>0</v>
      </c>
      <c r="BN73" s="561">
        <v>0</v>
      </c>
      <c r="BO73" s="561">
        <v>0</v>
      </c>
      <c r="BP73" s="561">
        <v>0</v>
      </c>
      <c r="BQ73" s="561">
        <v>0</v>
      </c>
      <c r="BR73" s="561">
        <v>0</v>
      </c>
      <c r="BS73" s="561">
        <v>0</v>
      </c>
      <c r="BT73" s="561">
        <v>0</v>
      </c>
      <c r="BU73" s="561">
        <v>0</v>
      </c>
      <c r="BV73" s="561">
        <v>0</v>
      </c>
      <c r="BW73" s="561">
        <v>0</v>
      </c>
      <c r="BX73" s="561">
        <v>0</v>
      </c>
      <c r="BY73" s="561">
        <v>0</v>
      </c>
      <c r="BZ73" s="561">
        <v>0</v>
      </c>
      <c r="CA73" s="561">
        <v>0</v>
      </c>
      <c r="CB73" s="561">
        <v>0</v>
      </c>
      <c r="CC73" s="561">
        <v>0</v>
      </c>
      <c r="CD73" s="561">
        <v>0</v>
      </c>
      <c r="CE73" s="561">
        <v>0</v>
      </c>
      <c r="CF73" s="561">
        <v>163</v>
      </c>
      <c r="CG73" s="561">
        <v>0</v>
      </c>
      <c r="CH73" s="561">
        <v>148</v>
      </c>
      <c r="CI73" s="561">
        <v>0</v>
      </c>
      <c r="CJ73" s="561">
        <v>0</v>
      </c>
      <c r="CK73" s="561">
        <v>0</v>
      </c>
      <c r="CL73" s="561">
        <v>0</v>
      </c>
      <c r="CM73" s="561">
        <v>0</v>
      </c>
      <c r="CN73" s="561">
        <v>0</v>
      </c>
      <c r="CO73" s="561">
        <v>0</v>
      </c>
      <c r="CP73" s="561">
        <v>0</v>
      </c>
      <c r="CQ73" s="561">
        <v>0</v>
      </c>
      <c r="CR73" s="561">
        <v>0</v>
      </c>
      <c r="CS73" s="561">
        <v>0</v>
      </c>
      <c r="CT73" s="561">
        <v>0</v>
      </c>
      <c r="CU73" s="561">
        <v>0</v>
      </c>
      <c r="CV73" s="561">
        <v>0</v>
      </c>
      <c r="CW73" s="561">
        <v>0</v>
      </c>
      <c r="CX73" s="561">
        <v>0</v>
      </c>
      <c r="CY73" s="561">
        <v>78</v>
      </c>
      <c r="CZ73" s="561">
        <v>389</v>
      </c>
      <c r="DA73" s="561">
        <v>0</v>
      </c>
      <c r="DB73" s="561">
        <v>0</v>
      </c>
      <c r="DC73" s="561">
        <v>0</v>
      </c>
      <c r="DD73" s="561">
        <v>0</v>
      </c>
      <c r="DE73" s="561">
        <v>0</v>
      </c>
      <c r="DF73" s="561">
        <v>0</v>
      </c>
      <c r="DG73" s="561">
        <v>0</v>
      </c>
      <c r="DH73" s="561">
        <v>332</v>
      </c>
      <c r="DI73" s="561">
        <v>0</v>
      </c>
      <c r="DJ73" s="561">
        <v>181</v>
      </c>
      <c r="DK73" s="561">
        <v>117</v>
      </c>
      <c r="DL73" s="561">
        <v>0</v>
      </c>
      <c r="DM73" s="561">
        <v>0</v>
      </c>
      <c r="DN73" s="561">
        <v>0</v>
      </c>
      <c r="DO73" s="561">
        <v>863</v>
      </c>
      <c r="DP73" s="561">
        <v>-256</v>
      </c>
      <c r="DQ73" s="561">
        <v>0</v>
      </c>
      <c r="DR73" s="561">
        <v>106</v>
      </c>
      <c r="DS73" s="561">
        <v>1397</v>
      </c>
      <c r="DT73" s="561">
        <v>520</v>
      </c>
      <c r="DU73" s="561">
        <v>2630</v>
      </c>
      <c r="DV73" s="561">
        <v>0</v>
      </c>
      <c r="DW73" s="561">
        <v>0</v>
      </c>
      <c r="DX73" s="561">
        <v>0</v>
      </c>
      <c r="DY73" s="561">
        <v>944</v>
      </c>
      <c r="DZ73" s="561">
        <v>0</v>
      </c>
      <c r="EA73" s="561">
        <v>55</v>
      </c>
      <c r="EB73" s="561">
        <v>272</v>
      </c>
      <c r="EC73" s="561">
        <v>4531</v>
      </c>
      <c r="ED73" s="561">
        <v>0</v>
      </c>
      <c r="EE73" s="561">
        <v>0</v>
      </c>
      <c r="EF73" s="561">
        <v>0</v>
      </c>
      <c r="EG73" s="561">
        <v>0</v>
      </c>
      <c r="EH73" s="561">
        <v>0</v>
      </c>
      <c r="EI73" s="561">
        <v>0</v>
      </c>
      <c r="EJ73" s="561">
        <v>0</v>
      </c>
      <c r="EK73" s="561">
        <v>0</v>
      </c>
      <c r="EL73" s="561">
        <v>0</v>
      </c>
      <c r="EM73" s="561">
        <v>0</v>
      </c>
      <c r="EN73" s="561">
        <v>0</v>
      </c>
      <c r="EO73" s="561">
        <v>0</v>
      </c>
      <c r="EP73" s="561">
        <v>0</v>
      </c>
      <c r="EQ73" s="561">
        <v>0</v>
      </c>
      <c r="ER73" s="561">
        <v>0</v>
      </c>
      <c r="ES73" s="561" t="s">
        <v>4565</v>
      </c>
      <c r="ET73" s="561">
        <v>0</v>
      </c>
      <c r="EU73" s="561">
        <v>0</v>
      </c>
      <c r="EV73" s="561">
        <v>0</v>
      </c>
      <c r="EW73" s="561">
        <v>0</v>
      </c>
      <c r="EX73" s="561">
        <v>0</v>
      </c>
      <c r="EY73" s="561">
        <v>0</v>
      </c>
      <c r="EZ73" s="561">
        <v>0</v>
      </c>
      <c r="FA73" s="561">
        <v>0</v>
      </c>
      <c r="FB73" s="561">
        <v>0</v>
      </c>
      <c r="FC73" s="561">
        <v>1</v>
      </c>
      <c r="FD73" s="561">
        <v>2</v>
      </c>
      <c r="FE73" s="561">
        <v>1072</v>
      </c>
      <c r="FF73" s="561">
        <v>0</v>
      </c>
      <c r="FG73" s="561">
        <v>0</v>
      </c>
      <c r="FH73" s="561">
        <v>138</v>
      </c>
      <c r="FI73" s="561">
        <v>35</v>
      </c>
      <c r="FJ73" s="561">
        <v>16</v>
      </c>
      <c r="FK73" s="561">
        <v>801</v>
      </c>
      <c r="FL73" s="561">
        <v>0</v>
      </c>
      <c r="FM73" s="561">
        <v>226</v>
      </c>
      <c r="FN73" s="561">
        <v>0</v>
      </c>
      <c r="FO73" s="561">
        <v>2291</v>
      </c>
      <c r="FP73" s="561">
        <v>0</v>
      </c>
      <c r="FQ73" s="561">
        <v>50</v>
      </c>
      <c r="FR73" s="561">
        <v>0</v>
      </c>
      <c r="FS73" s="561">
        <v>50</v>
      </c>
      <c r="FT73" s="561">
        <v>486</v>
      </c>
      <c r="FU73" s="561">
        <v>438</v>
      </c>
      <c r="FV73" s="561">
        <v>132</v>
      </c>
      <c r="FW73" s="561">
        <v>73</v>
      </c>
      <c r="FX73" s="561">
        <v>0</v>
      </c>
      <c r="FY73" s="561">
        <v>0</v>
      </c>
      <c r="FZ73" s="561">
        <v>66</v>
      </c>
      <c r="GA73" s="561">
        <v>509</v>
      </c>
      <c r="GB73" s="561">
        <v>65</v>
      </c>
      <c r="GC73" s="561">
        <v>99</v>
      </c>
      <c r="GD73" s="561">
        <v>423</v>
      </c>
      <c r="GE73" s="561">
        <v>219</v>
      </c>
      <c r="GF73" s="561">
        <v>43</v>
      </c>
      <c r="GG73" s="561">
        <v>-2</v>
      </c>
      <c r="GH73" s="561">
        <v>0</v>
      </c>
      <c r="GI73" s="561">
        <v>0</v>
      </c>
      <c r="GJ73" s="561">
        <v>1041</v>
      </c>
      <c r="GK73" s="561">
        <v>0</v>
      </c>
      <c r="GL73" s="561">
        <v>1536</v>
      </c>
      <c r="GM73" s="561">
        <v>1729</v>
      </c>
      <c r="GN73" s="561">
        <v>0</v>
      </c>
      <c r="GO73" s="561">
        <v>-112</v>
      </c>
      <c r="GP73" s="561">
        <v>2234</v>
      </c>
      <c r="GQ73" s="561">
        <v>0</v>
      </c>
      <c r="GR73" s="561">
        <v>0</v>
      </c>
      <c r="GS73" s="561">
        <v>9079</v>
      </c>
      <c r="GT73" s="561">
        <v>0</v>
      </c>
      <c r="GU73" s="561">
        <v>230</v>
      </c>
      <c r="GV73" s="561">
        <v>2178</v>
      </c>
      <c r="GW73" s="561">
        <v>0</v>
      </c>
      <c r="GX73" s="561">
        <v>1009</v>
      </c>
      <c r="GY73" s="561">
        <v>-129</v>
      </c>
      <c r="GZ73" s="561">
        <v>358</v>
      </c>
      <c r="HA73" s="561">
        <v>0</v>
      </c>
      <c r="HB73" s="561">
        <v>-830</v>
      </c>
      <c r="HC73" s="561">
        <v>529</v>
      </c>
      <c r="HD73" s="561">
        <v>3345</v>
      </c>
      <c r="HE73" s="561">
        <v>0</v>
      </c>
      <c r="HF73" s="561">
        <v>14715</v>
      </c>
      <c r="HG73" s="561">
        <v>0</v>
      </c>
      <c r="HH73" s="561">
        <v>0</v>
      </c>
      <c r="HI73" s="561">
        <v>0</v>
      </c>
      <c r="HJ73" s="561">
        <v>0</v>
      </c>
      <c r="HK73" s="561">
        <v>0</v>
      </c>
      <c r="HL73" s="561">
        <v>0</v>
      </c>
      <c r="HM73" s="561">
        <v>0</v>
      </c>
      <c r="HN73" s="561">
        <v>0</v>
      </c>
      <c r="HO73" s="561">
        <v>1816</v>
      </c>
      <c r="HP73" s="561">
        <v>840</v>
      </c>
      <c r="HQ73" s="561">
        <v>0</v>
      </c>
      <c r="HR73" s="561">
        <v>0</v>
      </c>
      <c r="HS73" s="561">
        <v>248</v>
      </c>
      <c r="HT73" s="561">
        <v>283</v>
      </c>
      <c r="HU73" s="561">
        <v>15</v>
      </c>
      <c r="HV73" s="561">
        <v>0</v>
      </c>
      <c r="HW73" s="561">
        <v>124</v>
      </c>
      <c r="HX73" s="561">
        <v>331</v>
      </c>
      <c r="HY73" s="561">
        <v>76</v>
      </c>
      <c r="HZ73" s="561">
        <v>-58</v>
      </c>
      <c r="IA73" s="561">
        <v>0</v>
      </c>
      <c r="IB73" s="561">
        <v>18</v>
      </c>
      <c r="IC73" s="561">
        <v>0</v>
      </c>
      <c r="ID73" s="561">
        <v>0</v>
      </c>
      <c r="IE73" s="561">
        <v>0</v>
      </c>
      <c r="IF73" s="561">
        <v>0</v>
      </c>
      <c r="IG73" s="561">
        <v>16</v>
      </c>
      <c r="IH73" s="561">
        <v>129</v>
      </c>
      <c r="II73" s="561">
        <v>3838</v>
      </c>
      <c r="IJ73" s="561">
        <v>0</v>
      </c>
      <c r="IK73" s="561">
        <v>2294</v>
      </c>
      <c r="IL73" s="561">
        <v>10360</v>
      </c>
      <c r="IM73" s="561">
        <v>0</v>
      </c>
      <c r="IN73" s="561">
        <v>86</v>
      </c>
      <c r="IO73" s="561">
        <v>0</v>
      </c>
      <c r="IP73" s="561">
        <v>0</v>
      </c>
      <c r="IQ73" s="561">
        <v>0</v>
      </c>
      <c r="IR73" s="561">
        <v>0</v>
      </c>
      <c r="IS73" s="561">
        <v>-5018</v>
      </c>
      <c r="IT73" s="561">
        <v>0</v>
      </c>
      <c r="IU73" s="561">
        <v>0</v>
      </c>
      <c r="IV73" s="561">
        <v>389</v>
      </c>
      <c r="IW73" s="561">
        <v>4531</v>
      </c>
      <c r="IX73" s="561">
        <v>2291</v>
      </c>
      <c r="IY73" s="561">
        <v>9079</v>
      </c>
      <c r="IZ73" s="561">
        <v>3345</v>
      </c>
      <c r="JA73" s="561">
        <v>0</v>
      </c>
      <c r="JB73" s="561">
        <v>0</v>
      </c>
      <c r="JC73" s="561">
        <v>3838</v>
      </c>
      <c r="JD73" s="561">
        <v>0</v>
      </c>
      <c r="JE73" s="561">
        <v>18455</v>
      </c>
      <c r="JF73" s="561">
        <v>22652</v>
      </c>
      <c r="JG73" s="561">
        <v>1107</v>
      </c>
      <c r="JH73" s="561">
        <v>0</v>
      </c>
      <c r="JI73" s="561">
        <v>0</v>
      </c>
      <c r="JJ73" s="561">
        <v>0</v>
      </c>
      <c r="JK73" s="561">
        <v>4678</v>
      </c>
      <c r="JL73" s="561">
        <v>0</v>
      </c>
      <c r="JM73" s="561">
        <v>0</v>
      </c>
      <c r="JN73" s="561">
        <v>0</v>
      </c>
      <c r="JO73" s="561">
        <v>0</v>
      </c>
      <c r="JP73" s="561">
        <v>0</v>
      </c>
      <c r="JQ73" s="561">
        <v>0</v>
      </c>
      <c r="JR73" s="561">
        <v>0</v>
      </c>
      <c r="JS73" s="561">
        <v>0</v>
      </c>
      <c r="JT73" s="561">
        <v>0</v>
      </c>
      <c r="JU73" s="561">
        <v>0</v>
      </c>
      <c r="JV73" s="561">
        <v>46892</v>
      </c>
      <c r="JW73" s="561">
        <v>0</v>
      </c>
      <c r="JX73" s="561">
        <v>2221</v>
      </c>
      <c r="JY73" s="561">
        <v>0</v>
      </c>
      <c r="JZ73" s="561">
        <v>0</v>
      </c>
      <c r="KA73" s="561">
        <v>0</v>
      </c>
      <c r="KB73" s="561">
        <v>107</v>
      </c>
      <c r="KC73" s="561">
        <v>170</v>
      </c>
      <c r="KD73" s="561">
        <v>54</v>
      </c>
      <c r="KE73" s="561">
        <v>279</v>
      </c>
      <c r="KF73" s="561">
        <v>0</v>
      </c>
      <c r="KG73" s="561">
        <v>49723</v>
      </c>
      <c r="KH73" s="561">
        <v>-5756</v>
      </c>
      <c r="KI73" s="561">
        <v>0</v>
      </c>
      <c r="KJ73" s="561">
        <v>0</v>
      </c>
      <c r="KK73" s="561">
        <v>0</v>
      </c>
      <c r="KL73" s="561">
        <v>-23456</v>
      </c>
      <c r="KM73" s="561">
        <v>0</v>
      </c>
      <c r="KN73" s="561">
        <v>-114</v>
      </c>
      <c r="KO73" s="561">
        <v>0</v>
      </c>
      <c r="KP73" s="561">
        <v>0</v>
      </c>
      <c r="KQ73" s="561">
        <v>0</v>
      </c>
      <c r="KR73" s="561">
        <v>20397</v>
      </c>
      <c r="KS73" s="561">
        <v>0</v>
      </c>
      <c r="KT73" s="561">
        <v>-5574</v>
      </c>
      <c r="KU73" s="561">
        <v>14823</v>
      </c>
      <c r="KV73" s="561">
        <v>0</v>
      </c>
      <c r="KW73" s="561">
        <v>0</v>
      </c>
      <c r="KX73" s="561">
        <v>0</v>
      </c>
      <c r="KY73" s="561">
        <v>0</v>
      </c>
      <c r="KZ73" s="561">
        <v>2719</v>
      </c>
      <c r="LA73" s="561">
        <v>3135</v>
      </c>
      <c r="LB73" s="561">
        <v>-169</v>
      </c>
      <c r="LC73" s="561">
        <v>0</v>
      </c>
      <c r="LD73" s="561">
        <v>-5591</v>
      </c>
      <c r="LE73" s="561">
        <v>235</v>
      </c>
      <c r="LF73" s="561">
        <v>0</v>
      </c>
      <c r="LG73" s="561">
        <v>15152</v>
      </c>
      <c r="LH73" s="561">
        <v>0</v>
      </c>
      <c r="LI73" s="561">
        <v>0</v>
      </c>
      <c r="LJ73" s="561">
        <v>0</v>
      </c>
      <c r="LK73" s="561">
        <v>0</v>
      </c>
      <c r="LL73" s="561">
        <v>42915</v>
      </c>
      <c r="LM73" s="561">
        <v>16910</v>
      </c>
      <c r="LN73" s="561">
        <v>0</v>
      </c>
      <c r="LO73" s="561">
        <v>0</v>
      </c>
      <c r="LP73" s="561">
        <v>0</v>
      </c>
      <c r="LQ73" s="561">
        <v>0</v>
      </c>
      <c r="LR73" s="561">
        <v>45634</v>
      </c>
      <c r="LS73" s="561">
        <v>20045</v>
      </c>
      <c r="LT73" s="561">
        <v>0</v>
      </c>
      <c r="LU73" s="561">
        <v>0</v>
      </c>
      <c r="LV73" s="561">
        <v>0</v>
      </c>
      <c r="LW73" s="561">
        <v>0</v>
      </c>
      <c r="LX73" s="561">
        <v>0</v>
      </c>
      <c r="LY73" s="561">
        <v>0</v>
      </c>
      <c r="LZ73" s="561">
        <v>0</v>
      </c>
      <c r="MA73" s="561">
        <v>0</v>
      </c>
      <c r="MB73" s="561">
        <v>0</v>
      </c>
      <c r="MC73" s="561">
        <v>0</v>
      </c>
      <c r="MD73" s="561">
        <v>0</v>
      </c>
      <c r="ME73" s="561">
        <v>0</v>
      </c>
      <c r="MF73" s="561">
        <v>0</v>
      </c>
      <c r="MG73" s="561">
        <v>0</v>
      </c>
      <c r="MH73" s="561">
        <v>3870</v>
      </c>
      <c r="MI73" s="561">
        <v>4819</v>
      </c>
      <c r="MJ73" s="561">
        <v>8689</v>
      </c>
      <c r="MK73" s="561">
        <v>0</v>
      </c>
      <c r="ML73" s="561">
        <v>0</v>
      </c>
      <c r="MM73" s="561">
        <v>41347</v>
      </c>
      <c r="MN73" s="561">
        <v>4287</v>
      </c>
      <c r="MO73" s="561">
        <v>0</v>
      </c>
      <c r="MP73" s="561">
        <v>0</v>
      </c>
      <c r="MQ73" s="561">
        <v>0</v>
      </c>
      <c r="MR73" s="561">
        <v>-5018</v>
      </c>
      <c r="MS73" s="561">
        <v>0</v>
      </c>
      <c r="MT73" s="561">
        <v>0</v>
      </c>
      <c r="MU73" s="561">
        <v>389</v>
      </c>
      <c r="MV73" s="561">
        <v>4531</v>
      </c>
      <c r="MW73" s="561">
        <v>2291</v>
      </c>
      <c r="MX73" s="561">
        <v>9079</v>
      </c>
      <c r="MY73" s="561">
        <v>3345</v>
      </c>
      <c r="MZ73" s="561">
        <v>0</v>
      </c>
      <c r="NA73" s="561">
        <v>0</v>
      </c>
      <c r="NB73" s="561">
        <v>3838</v>
      </c>
      <c r="NC73" s="561">
        <v>0</v>
      </c>
      <c r="ND73" s="561">
        <v>18455</v>
      </c>
      <c r="NE73" s="561">
        <v>0</v>
      </c>
      <c r="NF73" s="561">
        <v>0</v>
      </c>
      <c r="NG73" s="561">
        <v>0</v>
      </c>
      <c r="NH73" s="561">
        <v>0</v>
      </c>
      <c r="NI73" s="561">
        <v>0</v>
      </c>
      <c r="NJ73" s="561">
        <v>0</v>
      </c>
      <c r="NK73" s="561">
        <v>0</v>
      </c>
      <c r="NL73" s="561">
        <v>0</v>
      </c>
      <c r="NM73" s="561">
        <v>0</v>
      </c>
      <c r="NN73" s="561">
        <v>0</v>
      </c>
      <c r="NO73" s="561">
        <v>0</v>
      </c>
      <c r="NP73" s="561">
        <v>0</v>
      </c>
      <c r="NQ73" s="561">
        <v>0</v>
      </c>
      <c r="NR73" s="561">
        <v>0</v>
      </c>
      <c r="NS73" s="561">
        <v>0</v>
      </c>
      <c r="NT73" s="561">
        <v>0</v>
      </c>
      <c r="NU73" s="561">
        <v>0</v>
      </c>
      <c r="NV73" s="561">
        <v>0</v>
      </c>
      <c r="NW73" s="561">
        <v>0</v>
      </c>
      <c r="NX73" s="561">
        <v>0</v>
      </c>
      <c r="NY73" s="561">
        <v>0</v>
      </c>
      <c r="NZ73" s="561">
        <v>0</v>
      </c>
      <c r="OA73" s="561">
        <v>0</v>
      </c>
      <c r="OB73" s="561">
        <v>0</v>
      </c>
      <c r="OC73" s="561">
        <v>0</v>
      </c>
      <c r="OD73" s="561">
        <v>0</v>
      </c>
      <c r="OE73" s="561">
        <v>0</v>
      </c>
      <c r="OF73" s="561">
        <v>0</v>
      </c>
      <c r="OG73" s="561">
        <v>0</v>
      </c>
      <c r="OH73" s="561">
        <v>0</v>
      </c>
      <c r="OI73" s="561">
        <v>0</v>
      </c>
      <c r="OJ73" s="561">
        <v>0</v>
      </c>
      <c r="OK73" s="561">
        <v>0</v>
      </c>
      <c r="OL73" s="561">
        <v>0</v>
      </c>
      <c r="OM73" s="561">
        <v>0</v>
      </c>
      <c r="ON73" s="561">
        <v>0</v>
      </c>
      <c r="OO73" s="561">
        <v>0</v>
      </c>
      <c r="OP73" s="561">
        <v>0</v>
      </c>
      <c r="OQ73" s="561">
        <v>0</v>
      </c>
      <c r="OR73" s="561">
        <v>0</v>
      </c>
      <c r="OS73" s="561">
        <v>0</v>
      </c>
      <c r="OT73" s="561">
        <v>0</v>
      </c>
      <c r="OU73" s="561">
        <v>0</v>
      </c>
      <c r="OV73" s="561">
        <v>0</v>
      </c>
      <c r="OW73" s="561">
        <v>0</v>
      </c>
      <c r="OX73" s="561">
        <v>0</v>
      </c>
      <c r="OY73" s="561">
        <v>0</v>
      </c>
      <c r="OZ73" s="561">
        <v>0</v>
      </c>
      <c r="PA73" s="561">
        <v>0</v>
      </c>
      <c r="PB73" s="561">
        <v>0</v>
      </c>
      <c r="PC73" s="561">
        <v>0</v>
      </c>
      <c r="PD73" s="561">
        <v>0</v>
      </c>
      <c r="PE73" s="561">
        <v>0</v>
      </c>
      <c r="PF73" s="561">
        <v>0</v>
      </c>
      <c r="PG73" s="561">
        <v>0</v>
      </c>
      <c r="PH73" s="561">
        <v>0</v>
      </c>
      <c r="PI73" s="561">
        <v>0</v>
      </c>
      <c r="PJ73" s="561">
        <v>0</v>
      </c>
    </row>
    <row r="74" spans="1:426" ht="14" x14ac:dyDescent="0.3">
      <c r="A74" t="s">
        <v>2651</v>
      </c>
      <c r="B74" t="s">
        <v>2652</v>
      </c>
      <c r="C74" t="s">
        <v>2653</v>
      </c>
      <c r="E74" t="s">
        <v>384</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97</v>
      </c>
      <c r="W74" s="561">
        <v>0</v>
      </c>
      <c r="X74" s="561">
        <v>0</v>
      </c>
      <c r="Y74" s="561">
        <v>0</v>
      </c>
      <c r="Z74" s="561">
        <v>0</v>
      </c>
      <c r="AA74" s="561">
        <v>0</v>
      </c>
      <c r="AB74" s="561">
        <v>-254</v>
      </c>
      <c r="AC74" s="561">
        <v>0</v>
      </c>
      <c r="AD74" s="561">
        <v>0</v>
      </c>
      <c r="AE74" s="561">
        <v>96</v>
      </c>
      <c r="AF74" s="561">
        <v>0</v>
      </c>
      <c r="AG74" s="561">
        <v>0</v>
      </c>
      <c r="AH74" s="561">
        <v>8</v>
      </c>
      <c r="AI74" s="561">
        <v>0</v>
      </c>
      <c r="AJ74" s="561">
        <v>-53</v>
      </c>
      <c r="AK74" s="561">
        <v>0</v>
      </c>
      <c r="AL74" s="561">
        <v>0</v>
      </c>
      <c r="AM74" s="561">
        <v>0</v>
      </c>
      <c r="AN74" s="561">
        <v>0</v>
      </c>
      <c r="AO74" s="561">
        <v>0</v>
      </c>
      <c r="AP74" s="561">
        <v>0</v>
      </c>
      <c r="AQ74" s="561">
        <v>0</v>
      </c>
      <c r="AR74" s="561">
        <v>0</v>
      </c>
      <c r="AS74" s="561">
        <v>0</v>
      </c>
      <c r="AT74" s="561">
        <v>0</v>
      </c>
      <c r="AU74" s="561">
        <v>0</v>
      </c>
      <c r="AV74" s="561">
        <v>0</v>
      </c>
      <c r="AW74" s="561">
        <v>0</v>
      </c>
      <c r="AX74" s="561">
        <v>0</v>
      </c>
      <c r="AY74" s="561">
        <v>0</v>
      </c>
      <c r="AZ74" s="561">
        <v>0</v>
      </c>
      <c r="BA74" s="561">
        <v>0</v>
      </c>
      <c r="BB74" s="561">
        <v>0</v>
      </c>
      <c r="BC74" s="561">
        <v>0</v>
      </c>
      <c r="BD74" s="561">
        <v>0</v>
      </c>
      <c r="BE74" s="561">
        <v>0</v>
      </c>
      <c r="BF74" s="561">
        <v>0</v>
      </c>
      <c r="BG74" s="561">
        <v>0</v>
      </c>
      <c r="BH74" s="561">
        <v>0</v>
      </c>
      <c r="BI74" s="561">
        <v>0</v>
      </c>
      <c r="BJ74" s="561">
        <v>0</v>
      </c>
      <c r="BK74" s="561">
        <v>0</v>
      </c>
      <c r="BL74" s="561">
        <v>0</v>
      </c>
      <c r="BM74" s="561">
        <v>0</v>
      </c>
      <c r="BN74" s="561">
        <v>0</v>
      </c>
      <c r="BO74" s="561">
        <v>0</v>
      </c>
      <c r="BP74" s="561">
        <v>0</v>
      </c>
      <c r="BQ74" s="561">
        <v>0</v>
      </c>
      <c r="BR74" s="561">
        <v>0</v>
      </c>
      <c r="BS74" s="561">
        <v>0</v>
      </c>
      <c r="BT74" s="561">
        <v>0</v>
      </c>
      <c r="BU74" s="561">
        <v>0</v>
      </c>
      <c r="BV74" s="561">
        <v>0</v>
      </c>
      <c r="BW74" s="561">
        <v>0</v>
      </c>
      <c r="BX74" s="561">
        <v>0</v>
      </c>
      <c r="BY74" s="561">
        <v>0</v>
      </c>
      <c r="BZ74" s="561">
        <v>0</v>
      </c>
      <c r="CA74" s="561">
        <v>0</v>
      </c>
      <c r="CB74" s="561">
        <v>0</v>
      </c>
      <c r="CC74" s="561">
        <v>0</v>
      </c>
      <c r="CD74" s="561">
        <v>0</v>
      </c>
      <c r="CE74" s="561">
        <v>0</v>
      </c>
      <c r="CF74" s="561">
        <v>0</v>
      </c>
      <c r="CG74" s="561">
        <v>0</v>
      </c>
      <c r="CH74" s="561">
        <v>0</v>
      </c>
      <c r="CI74" s="561">
        <v>0</v>
      </c>
      <c r="CJ74" s="561">
        <v>0</v>
      </c>
      <c r="CK74" s="561">
        <v>0</v>
      </c>
      <c r="CL74" s="561">
        <v>0</v>
      </c>
      <c r="CM74" s="561">
        <v>0</v>
      </c>
      <c r="CN74" s="561">
        <v>0</v>
      </c>
      <c r="CO74" s="561">
        <v>0</v>
      </c>
      <c r="CP74" s="561">
        <v>0</v>
      </c>
      <c r="CQ74" s="561">
        <v>0</v>
      </c>
      <c r="CR74" s="561">
        <v>0</v>
      </c>
      <c r="CS74" s="561">
        <v>0</v>
      </c>
      <c r="CT74" s="561">
        <v>0</v>
      </c>
      <c r="CU74" s="561">
        <v>0</v>
      </c>
      <c r="CV74" s="561">
        <v>0</v>
      </c>
      <c r="CW74" s="561">
        <v>0</v>
      </c>
      <c r="CX74" s="561">
        <v>0</v>
      </c>
      <c r="CY74" s="561">
        <v>93</v>
      </c>
      <c r="CZ74" s="561">
        <v>93</v>
      </c>
      <c r="DA74" s="561">
        <v>0</v>
      </c>
      <c r="DB74" s="561">
        <v>0</v>
      </c>
      <c r="DC74" s="561">
        <v>0</v>
      </c>
      <c r="DD74" s="561">
        <v>0</v>
      </c>
      <c r="DE74" s="561">
        <v>0</v>
      </c>
      <c r="DF74" s="561">
        <v>0</v>
      </c>
      <c r="DG74" s="561">
        <v>0</v>
      </c>
      <c r="DH74" s="561">
        <v>47</v>
      </c>
      <c r="DI74" s="561">
        <v>0</v>
      </c>
      <c r="DJ74" s="561">
        <v>25</v>
      </c>
      <c r="DK74" s="561">
        <v>0</v>
      </c>
      <c r="DL74" s="561">
        <v>0</v>
      </c>
      <c r="DM74" s="561">
        <v>0</v>
      </c>
      <c r="DN74" s="561">
        <v>0</v>
      </c>
      <c r="DO74" s="561">
        <v>70</v>
      </c>
      <c r="DP74" s="561">
        <v>-2</v>
      </c>
      <c r="DQ74" s="561">
        <v>0</v>
      </c>
      <c r="DR74" s="561">
        <v>0</v>
      </c>
      <c r="DS74" s="561">
        <v>573</v>
      </c>
      <c r="DT74" s="561">
        <v>0</v>
      </c>
      <c r="DU74" s="561">
        <v>641</v>
      </c>
      <c r="DV74" s="561">
        <v>0</v>
      </c>
      <c r="DW74" s="561">
        <v>0</v>
      </c>
      <c r="DX74" s="561">
        <v>0</v>
      </c>
      <c r="DY74" s="561">
        <v>493</v>
      </c>
      <c r="DZ74" s="561">
        <v>0</v>
      </c>
      <c r="EA74" s="561">
        <v>-233</v>
      </c>
      <c r="EB74" s="561">
        <v>-1</v>
      </c>
      <c r="EC74" s="561">
        <v>972</v>
      </c>
      <c r="ED74" s="561">
        <v>41</v>
      </c>
      <c r="EE74" s="561">
        <v>0</v>
      </c>
      <c r="EF74" s="561">
        <v>0</v>
      </c>
      <c r="EG74" s="561">
        <v>0</v>
      </c>
      <c r="EH74" s="561">
        <v>0</v>
      </c>
      <c r="EI74" s="561">
        <v>0</v>
      </c>
      <c r="EJ74" s="561">
        <v>0</v>
      </c>
      <c r="EK74" s="561">
        <v>0</v>
      </c>
      <c r="EL74" s="561">
        <v>0</v>
      </c>
      <c r="EM74" s="561">
        <v>0</v>
      </c>
      <c r="EN74" s="561">
        <v>0</v>
      </c>
      <c r="EO74" s="561">
        <v>0</v>
      </c>
      <c r="EP74" s="561">
        <v>0</v>
      </c>
      <c r="EQ74" s="561">
        <v>0</v>
      </c>
      <c r="ER74" s="561">
        <v>0</v>
      </c>
      <c r="ES74" s="561" t="s">
        <v>4565</v>
      </c>
      <c r="ET74" s="561">
        <v>0</v>
      </c>
      <c r="EU74" s="561">
        <v>0</v>
      </c>
      <c r="EV74" s="561">
        <v>0</v>
      </c>
      <c r="EW74" s="561">
        <v>0</v>
      </c>
      <c r="EX74" s="561">
        <v>0</v>
      </c>
      <c r="EY74" s="561">
        <v>0</v>
      </c>
      <c r="EZ74" s="561">
        <v>0</v>
      </c>
      <c r="FA74" s="561">
        <v>0</v>
      </c>
      <c r="FB74" s="561">
        <v>0</v>
      </c>
      <c r="FC74" s="561">
        <v>2</v>
      </c>
      <c r="FD74" s="561">
        <v>0</v>
      </c>
      <c r="FE74" s="561">
        <v>590</v>
      </c>
      <c r="FF74" s="561">
        <v>401</v>
      </c>
      <c r="FG74" s="561">
        <v>850</v>
      </c>
      <c r="FH74" s="561">
        <v>0</v>
      </c>
      <c r="FI74" s="561">
        <v>104</v>
      </c>
      <c r="FJ74" s="561">
        <v>701</v>
      </c>
      <c r="FK74" s="561">
        <v>2118</v>
      </c>
      <c r="FL74" s="561">
        <v>0</v>
      </c>
      <c r="FM74" s="561">
        <v>4</v>
      </c>
      <c r="FN74" s="561">
        <v>0</v>
      </c>
      <c r="FO74" s="561">
        <v>4770</v>
      </c>
      <c r="FP74" s="561">
        <v>1</v>
      </c>
      <c r="FQ74" s="561">
        <v>250</v>
      </c>
      <c r="FR74" s="561">
        <v>0</v>
      </c>
      <c r="FS74" s="561">
        <v>0</v>
      </c>
      <c r="FT74" s="561">
        <v>155</v>
      </c>
      <c r="FU74" s="561">
        <v>362</v>
      </c>
      <c r="FV74" s="561">
        <v>42</v>
      </c>
      <c r="FW74" s="561">
        <v>159</v>
      </c>
      <c r="FX74" s="561">
        <v>0</v>
      </c>
      <c r="FY74" s="561">
        <v>0</v>
      </c>
      <c r="FZ74" s="561">
        <v>85</v>
      </c>
      <c r="GA74" s="561">
        <v>26</v>
      </c>
      <c r="GB74" s="561">
        <v>83</v>
      </c>
      <c r="GC74" s="561">
        <v>7</v>
      </c>
      <c r="GD74" s="561">
        <v>288</v>
      </c>
      <c r="GE74" s="561">
        <v>0</v>
      </c>
      <c r="GF74" s="561">
        <v>293</v>
      </c>
      <c r="GG74" s="561">
        <v>0</v>
      </c>
      <c r="GH74" s="561">
        <v>0</v>
      </c>
      <c r="GI74" s="561">
        <v>0</v>
      </c>
      <c r="GJ74" s="561">
        <v>0</v>
      </c>
      <c r="GK74" s="561">
        <v>0</v>
      </c>
      <c r="GL74" s="561">
        <v>958</v>
      </c>
      <c r="GM74" s="561">
        <v>717</v>
      </c>
      <c r="GN74" s="561">
        <v>0</v>
      </c>
      <c r="GO74" s="561">
        <v>5</v>
      </c>
      <c r="GP74" s="561">
        <v>1741</v>
      </c>
      <c r="GQ74" s="561">
        <v>0</v>
      </c>
      <c r="GR74" s="561">
        <v>0</v>
      </c>
      <c r="GS74" s="561">
        <v>5171</v>
      </c>
      <c r="GT74" s="561">
        <v>30</v>
      </c>
      <c r="GU74" s="561">
        <v>214</v>
      </c>
      <c r="GV74" s="561">
        <v>576</v>
      </c>
      <c r="GW74" s="561">
        <v>0</v>
      </c>
      <c r="GX74" s="561">
        <v>581</v>
      </c>
      <c r="GY74" s="561">
        <v>0</v>
      </c>
      <c r="GZ74" s="561">
        <v>2322</v>
      </c>
      <c r="HA74" s="561">
        <v>0</v>
      </c>
      <c r="HB74" s="561">
        <v>-3916</v>
      </c>
      <c r="HC74" s="561">
        <v>786</v>
      </c>
      <c r="HD74" s="561">
        <v>563</v>
      </c>
      <c r="HE74" s="561">
        <v>160</v>
      </c>
      <c r="HF74" s="561">
        <v>10504</v>
      </c>
      <c r="HG74" s="561">
        <v>191</v>
      </c>
      <c r="HH74" s="561">
        <v>0</v>
      </c>
      <c r="HI74" s="561">
        <v>0</v>
      </c>
      <c r="HJ74" s="561">
        <v>0</v>
      </c>
      <c r="HK74" s="561">
        <v>0</v>
      </c>
      <c r="HL74" s="561">
        <v>0</v>
      </c>
      <c r="HM74" s="561">
        <v>0</v>
      </c>
      <c r="HN74" s="561">
        <v>0</v>
      </c>
      <c r="HO74" s="561">
        <v>2667</v>
      </c>
      <c r="HP74" s="561">
        <v>408</v>
      </c>
      <c r="HQ74" s="561">
        <v>0</v>
      </c>
      <c r="HR74" s="561">
        <v>0</v>
      </c>
      <c r="HS74" s="561">
        <v>722</v>
      </c>
      <c r="HT74" s="561">
        <v>18</v>
      </c>
      <c r="HU74" s="561">
        <v>0</v>
      </c>
      <c r="HV74" s="561">
        <v>0</v>
      </c>
      <c r="HW74" s="561">
        <v>109</v>
      </c>
      <c r="HX74" s="561">
        <v>187</v>
      </c>
      <c r="HY74" s="561">
        <v>1</v>
      </c>
      <c r="HZ74" s="561">
        <v>12</v>
      </c>
      <c r="IA74" s="561">
        <v>-8</v>
      </c>
      <c r="IB74" s="561">
        <v>0</v>
      </c>
      <c r="IC74" s="561">
        <v>0</v>
      </c>
      <c r="ID74" s="561">
        <v>0</v>
      </c>
      <c r="IE74" s="561">
        <v>237</v>
      </c>
      <c r="IF74" s="561">
        <v>0</v>
      </c>
      <c r="IG74" s="561">
        <v>0</v>
      </c>
      <c r="IH74" s="561">
        <v>71</v>
      </c>
      <c r="II74" s="561">
        <v>4424</v>
      </c>
      <c r="IJ74" s="561">
        <v>215</v>
      </c>
      <c r="IK74" s="561">
        <v>4551</v>
      </c>
      <c r="IL74" s="561">
        <v>7974</v>
      </c>
      <c r="IM74" s="561">
        <v>0</v>
      </c>
      <c r="IN74" s="561">
        <v>0</v>
      </c>
      <c r="IO74" s="561">
        <v>2555</v>
      </c>
      <c r="IP74" s="561">
        <v>0</v>
      </c>
      <c r="IQ74" s="561">
        <v>0</v>
      </c>
      <c r="IR74" s="561">
        <v>0</v>
      </c>
      <c r="IS74" s="561">
        <v>-53</v>
      </c>
      <c r="IT74" s="561">
        <v>0</v>
      </c>
      <c r="IU74" s="561">
        <v>0</v>
      </c>
      <c r="IV74" s="561">
        <v>93</v>
      </c>
      <c r="IW74" s="561">
        <v>972</v>
      </c>
      <c r="IX74" s="561">
        <v>4770</v>
      </c>
      <c r="IY74" s="561">
        <v>5171</v>
      </c>
      <c r="IZ74" s="561">
        <v>563</v>
      </c>
      <c r="JA74" s="561">
        <v>0</v>
      </c>
      <c r="JB74" s="561">
        <v>0</v>
      </c>
      <c r="JC74" s="561">
        <v>4424</v>
      </c>
      <c r="JD74" s="561">
        <v>0</v>
      </c>
      <c r="JE74" s="561">
        <v>15940</v>
      </c>
      <c r="JF74" s="561">
        <v>18221</v>
      </c>
      <c r="JG74" s="561">
        <v>1329</v>
      </c>
      <c r="JH74" s="561">
        <v>0</v>
      </c>
      <c r="JI74" s="561">
        <v>0</v>
      </c>
      <c r="JJ74" s="561">
        <v>0</v>
      </c>
      <c r="JK74" s="561">
        <v>876</v>
      </c>
      <c r="JL74" s="561">
        <v>0</v>
      </c>
      <c r="JM74" s="561">
        <v>0</v>
      </c>
      <c r="JN74" s="561">
        <v>0</v>
      </c>
      <c r="JO74" s="561">
        <v>79</v>
      </c>
      <c r="JP74" s="561">
        <v>0</v>
      </c>
      <c r="JQ74" s="561">
        <v>0</v>
      </c>
      <c r="JR74" s="561">
        <v>0</v>
      </c>
      <c r="JS74" s="561">
        <v>0</v>
      </c>
      <c r="JT74" s="561">
        <v>11</v>
      </c>
      <c r="JU74" s="561">
        <v>0</v>
      </c>
      <c r="JV74" s="561">
        <v>36456</v>
      </c>
      <c r="JW74" s="561">
        <v>0</v>
      </c>
      <c r="JX74" s="561">
        <v>44</v>
      </c>
      <c r="JY74" s="561">
        <v>0</v>
      </c>
      <c r="JZ74" s="561">
        <v>0</v>
      </c>
      <c r="KA74" s="561">
        <v>0</v>
      </c>
      <c r="KB74" s="561">
        <v>117</v>
      </c>
      <c r="KC74" s="561">
        <v>766</v>
      </c>
      <c r="KD74" s="561">
        <v>0</v>
      </c>
      <c r="KE74" s="561">
        <v>2525</v>
      </c>
      <c r="KF74" s="561">
        <v>0</v>
      </c>
      <c r="KG74" s="561">
        <v>39908</v>
      </c>
      <c r="KH74" s="561">
        <v>-715</v>
      </c>
      <c r="KI74" s="561">
        <v>0</v>
      </c>
      <c r="KJ74" s="561">
        <v>0</v>
      </c>
      <c r="KK74" s="561">
        <v>0</v>
      </c>
      <c r="KL74" s="561">
        <v>-19401</v>
      </c>
      <c r="KM74" s="561">
        <v>0</v>
      </c>
      <c r="KN74" s="561">
        <v>-260</v>
      </c>
      <c r="KO74" s="561">
        <v>0</v>
      </c>
      <c r="KP74" s="561">
        <v>0</v>
      </c>
      <c r="KQ74" s="561">
        <v>0</v>
      </c>
      <c r="KR74" s="561">
        <v>19532</v>
      </c>
      <c r="KS74" s="561">
        <v>0</v>
      </c>
      <c r="KT74" s="561">
        <v>-5463</v>
      </c>
      <c r="KU74" s="561">
        <v>14069</v>
      </c>
      <c r="KV74" s="561">
        <v>0</v>
      </c>
      <c r="KW74" s="561">
        <v>0</v>
      </c>
      <c r="KX74" s="561">
        <v>0</v>
      </c>
      <c r="KY74" s="561">
        <v>0</v>
      </c>
      <c r="KZ74" s="561">
        <v>1808</v>
      </c>
      <c r="LA74" s="561">
        <v>219</v>
      </c>
      <c r="LB74" s="561">
        <v>-127</v>
      </c>
      <c r="LC74" s="561">
        <v>0</v>
      </c>
      <c r="LD74" s="561">
        <v>-6989</v>
      </c>
      <c r="LE74" s="561">
        <v>0</v>
      </c>
      <c r="LF74" s="561">
        <v>0</v>
      </c>
      <c r="LG74" s="561">
        <v>8980</v>
      </c>
      <c r="LH74" s="561">
        <v>0</v>
      </c>
      <c r="LI74" s="561">
        <v>0</v>
      </c>
      <c r="LJ74" s="561">
        <v>0</v>
      </c>
      <c r="LK74" s="561">
        <v>0</v>
      </c>
      <c r="LL74" s="561">
        <v>5519</v>
      </c>
      <c r="LM74" s="561">
        <v>4092</v>
      </c>
      <c r="LN74" s="561">
        <v>0</v>
      </c>
      <c r="LO74" s="561">
        <v>0</v>
      </c>
      <c r="LP74" s="561">
        <v>0</v>
      </c>
      <c r="LQ74" s="561">
        <v>0</v>
      </c>
      <c r="LR74" s="561">
        <v>7327</v>
      </c>
      <c r="LS74" s="561">
        <v>4311</v>
      </c>
      <c r="LT74" s="561">
        <v>0</v>
      </c>
      <c r="LU74" s="561">
        <v>3069</v>
      </c>
      <c r="LV74" s="561">
        <v>0</v>
      </c>
      <c r="LW74" s="561">
        <v>-180</v>
      </c>
      <c r="LX74" s="561">
        <v>-5704</v>
      </c>
      <c r="LY74" s="561">
        <v>1996</v>
      </c>
      <c r="LZ74" s="561">
        <v>-1892</v>
      </c>
      <c r="MA74" s="561">
        <v>0</v>
      </c>
      <c r="MB74" s="561">
        <v>0</v>
      </c>
      <c r="MC74" s="561">
        <v>0</v>
      </c>
      <c r="MD74" s="561">
        <v>0</v>
      </c>
      <c r="ME74" s="561">
        <v>0</v>
      </c>
      <c r="MF74" s="561">
        <v>0</v>
      </c>
      <c r="MG74" s="561">
        <v>0</v>
      </c>
      <c r="MH74" s="561">
        <v>2959</v>
      </c>
      <c r="MI74" s="561">
        <v>4755</v>
      </c>
      <c r="MJ74" s="561">
        <v>7714</v>
      </c>
      <c r="MK74" s="561">
        <v>0</v>
      </c>
      <c r="ML74" s="561">
        <v>0</v>
      </c>
      <c r="MM74" s="561">
        <v>4852</v>
      </c>
      <c r="MN74" s="561">
        <v>915</v>
      </c>
      <c r="MO74" s="561">
        <v>1560</v>
      </c>
      <c r="MP74" s="561">
        <v>0</v>
      </c>
      <c r="MQ74" s="561">
        <v>0</v>
      </c>
      <c r="MR74" s="561">
        <v>-53</v>
      </c>
      <c r="MS74" s="561">
        <v>0</v>
      </c>
      <c r="MT74" s="561">
        <v>0</v>
      </c>
      <c r="MU74" s="561">
        <v>93</v>
      </c>
      <c r="MV74" s="561">
        <v>972</v>
      </c>
      <c r="MW74" s="561">
        <v>4770</v>
      </c>
      <c r="MX74" s="561">
        <v>5171</v>
      </c>
      <c r="MY74" s="561">
        <v>563</v>
      </c>
      <c r="MZ74" s="561">
        <v>0</v>
      </c>
      <c r="NA74" s="561">
        <v>0</v>
      </c>
      <c r="NB74" s="561">
        <v>4424</v>
      </c>
      <c r="NC74" s="561">
        <v>0</v>
      </c>
      <c r="ND74" s="561">
        <v>15940</v>
      </c>
      <c r="NE74" s="561">
        <v>0</v>
      </c>
      <c r="NF74" s="561">
        <v>0</v>
      </c>
      <c r="NG74" s="561">
        <v>0</v>
      </c>
      <c r="NH74" s="561">
        <v>0</v>
      </c>
      <c r="NI74" s="561">
        <v>0</v>
      </c>
      <c r="NJ74" s="561">
        <v>0</v>
      </c>
      <c r="NK74" s="561">
        <v>0</v>
      </c>
      <c r="NL74" s="561">
        <v>0</v>
      </c>
      <c r="NM74" s="561">
        <v>0</v>
      </c>
      <c r="NN74" s="561">
        <v>0</v>
      </c>
      <c r="NO74" s="561">
        <v>0</v>
      </c>
      <c r="NP74" s="561">
        <v>0</v>
      </c>
      <c r="NQ74" s="561">
        <v>0</v>
      </c>
      <c r="NR74" s="561">
        <v>0</v>
      </c>
      <c r="NS74" s="561">
        <v>0</v>
      </c>
      <c r="NT74" s="561">
        <v>0</v>
      </c>
      <c r="NU74" s="561">
        <v>0</v>
      </c>
      <c r="NV74" s="561">
        <v>0</v>
      </c>
      <c r="NW74" s="561">
        <v>0</v>
      </c>
      <c r="NX74" s="561">
        <v>0</v>
      </c>
      <c r="NY74" s="561">
        <v>0</v>
      </c>
      <c r="NZ74" s="561">
        <v>0</v>
      </c>
      <c r="OA74" s="561">
        <v>0</v>
      </c>
      <c r="OB74" s="561">
        <v>0</v>
      </c>
      <c r="OC74" s="561">
        <v>0</v>
      </c>
      <c r="OD74" s="561">
        <v>0</v>
      </c>
      <c r="OE74" s="561">
        <v>0</v>
      </c>
      <c r="OF74" s="561">
        <v>0</v>
      </c>
      <c r="OG74" s="561">
        <v>0</v>
      </c>
      <c r="OH74" s="561">
        <v>0</v>
      </c>
      <c r="OI74" s="561">
        <v>0</v>
      </c>
      <c r="OJ74" s="561">
        <v>0</v>
      </c>
      <c r="OK74" s="561">
        <v>0</v>
      </c>
      <c r="OL74" s="561">
        <v>0</v>
      </c>
      <c r="OM74" s="561">
        <v>0</v>
      </c>
      <c r="ON74" s="561">
        <v>0</v>
      </c>
      <c r="OO74" s="561">
        <v>0</v>
      </c>
      <c r="OP74" s="561">
        <v>0</v>
      </c>
      <c r="OQ74" s="561">
        <v>0</v>
      </c>
      <c r="OR74" s="561">
        <v>0</v>
      </c>
      <c r="OS74" s="561">
        <v>0</v>
      </c>
      <c r="OT74" s="561">
        <v>0</v>
      </c>
      <c r="OU74" s="561">
        <v>0</v>
      </c>
      <c r="OV74" s="561">
        <v>0</v>
      </c>
      <c r="OW74" s="561">
        <v>0</v>
      </c>
      <c r="OX74" s="561">
        <v>0</v>
      </c>
      <c r="OY74" s="561">
        <v>0</v>
      </c>
      <c r="OZ74" s="561">
        <v>0</v>
      </c>
      <c r="PA74" s="561">
        <v>0</v>
      </c>
      <c r="PB74" s="561">
        <v>0</v>
      </c>
      <c r="PC74" s="561">
        <v>0</v>
      </c>
      <c r="PD74" s="561">
        <v>0</v>
      </c>
      <c r="PE74" s="561">
        <v>0</v>
      </c>
      <c r="PF74" s="561">
        <v>0</v>
      </c>
      <c r="PG74" s="561">
        <v>0</v>
      </c>
      <c r="PH74" s="561">
        <v>0</v>
      </c>
      <c r="PI74" s="561">
        <v>0</v>
      </c>
      <c r="PJ74" s="561">
        <v>0</v>
      </c>
    </row>
    <row r="75" spans="1:426" ht="14" x14ac:dyDescent="0.3">
      <c r="A75" t="s">
        <v>2654</v>
      </c>
      <c r="B75" t="s">
        <v>2655</v>
      </c>
      <c r="C75" t="s">
        <v>2656</v>
      </c>
      <c r="E75" t="s">
        <v>2476</v>
      </c>
      <c r="F75" s="561">
        <v>2063</v>
      </c>
      <c r="G75" s="561">
        <v>4065</v>
      </c>
      <c r="H75" s="561">
        <v>221</v>
      </c>
      <c r="I75" s="561">
        <v>0</v>
      </c>
      <c r="J75" s="561">
        <v>0</v>
      </c>
      <c r="K75" s="561">
        <v>3683</v>
      </c>
      <c r="L75" s="561">
        <v>10032</v>
      </c>
      <c r="M75" s="561">
        <v>178</v>
      </c>
      <c r="N75" s="561">
        <v>-706</v>
      </c>
      <c r="O75" s="561">
        <v>451</v>
      </c>
      <c r="P75" s="561">
        <v>640</v>
      </c>
      <c r="Q75" s="561">
        <v>2862</v>
      </c>
      <c r="R75" s="561">
        <v>168</v>
      </c>
      <c r="S75" s="561">
        <v>559</v>
      </c>
      <c r="T75" s="561">
        <v>2496</v>
      </c>
      <c r="U75" s="561">
        <v>0</v>
      </c>
      <c r="V75" s="561">
        <v>1117</v>
      </c>
      <c r="W75" s="561">
        <v>0</v>
      </c>
      <c r="X75" s="561">
        <v>0</v>
      </c>
      <c r="Y75" s="561">
        <v>114</v>
      </c>
      <c r="Z75" s="561">
        <v>117</v>
      </c>
      <c r="AA75" s="561">
        <v>-10362</v>
      </c>
      <c r="AB75" s="561">
        <v>-236</v>
      </c>
      <c r="AC75" s="561">
        <v>496</v>
      </c>
      <c r="AD75" s="561">
        <v>0</v>
      </c>
      <c r="AE75" s="561">
        <v>0</v>
      </c>
      <c r="AF75" s="561">
        <v>0</v>
      </c>
      <c r="AG75" s="561">
        <v>0</v>
      </c>
      <c r="AH75" s="561">
        <v>0</v>
      </c>
      <c r="AI75" s="561">
        <v>0</v>
      </c>
      <c r="AJ75" s="561">
        <v>-2284</v>
      </c>
      <c r="AK75" s="561">
        <v>778</v>
      </c>
      <c r="AL75" s="561">
        <v>459</v>
      </c>
      <c r="AM75" s="561">
        <v>2050</v>
      </c>
      <c r="AN75" s="561">
        <v>21</v>
      </c>
      <c r="AO75" s="561">
        <v>94</v>
      </c>
      <c r="AP75" s="561">
        <v>0</v>
      </c>
      <c r="AQ75" s="561">
        <v>50</v>
      </c>
      <c r="AR75" s="561">
        <v>210</v>
      </c>
      <c r="AS75" s="561">
        <v>3128</v>
      </c>
      <c r="AT75" s="561">
        <v>7392</v>
      </c>
      <c r="AU75" s="561">
        <v>0</v>
      </c>
      <c r="AV75" s="561">
        <v>0</v>
      </c>
      <c r="AW75" s="561">
        <v>0</v>
      </c>
      <c r="AX75" s="561">
        <v>0</v>
      </c>
      <c r="AY75" s="561">
        <v>894</v>
      </c>
      <c r="AZ75" s="561">
        <v>0</v>
      </c>
      <c r="BA75" s="561">
        <v>141</v>
      </c>
      <c r="BB75" s="561">
        <v>0</v>
      </c>
      <c r="BC75" s="561">
        <v>754</v>
      </c>
      <c r="BD75" s="561">
        <v>1703</v>
      </c>
      <c r="BE75" s="561">
        <v>1579</v>
      </c>
      <c r="BF75" s="561">
        <v>5071</v>
      </c>
      <c r="BG75" s="561">
        <v>90</v>
      </c>
      <c r="BH75" s="561">
        <v>351</v>
      </c>
      <c r="BI75" s="561">
        <v>1492</v>
      </c>
      <c r="BJ75" s="561">
        <v>6</v>
      </c>
      <c r="BK75" s="561">
        <v>10</v>
      </c>
      <c r="BL75" s="561">
        <v>72</v>
      </c>
      <c r="BM75" s="561">
        <v>163</v>
      </c>
      <c r="BN75" s="561">
        <v>648</v>
      </c>
      <c r="BO75" s="561">
        <v>-4</v>
      </c>
      <c r="BP75" s="561">
        <v>1262</v>
      </c>
      <c r="BQ75" s="561">
        <v>358</v>
      </c>
      <c r="BR75" s="561">
        <v>12</v>
      </c>
      <c r="BS75" s="561">
        <v>231</v>
      </c>
      <c r="BT75" s="561">
        <v>20</v>
      </c>
      <c r="BU75" s="561">
        <v>8</v>
      </c>
      <c r="BV75" s="561">
        <v>59</v>
      </c>
      <c r="BW75" s="561">
        <v>2779</v>
      </c>
      <c r="BX75" s="561">
        <v>0</v>
      </c>
      <c r="BY75" s="561">
        <v>468</v>
      </c>
      <c r="BZ75" s="561">
        <v>7935</v>
      </c>
      <c r="CA75" s="561">
        <v>929</v>
      </c>
      <c r="CB75" s="561">
        <v>277</v>
      </c>
      <c r="CC75" s="561">
        <v>97</v>
      </c>
      <c r="CD75" s="561">
        <v>183</v>
      </c>
      <c r="CE75" s="561">
        <v>104</v>
      </c>
      <c r="CF75" s="561">
        <v>12</v>
      </c>
      <c r="CG75" s="561">
        <v>7</v>
      </c>
      <c r="CH75" s="561">
        <v>7</v>
      </c>
      <c r="CI75" s="561">
        <v>42</v>
      </c>
      <c r="CJ75" s="561">
        <v>36</v>
      </c>
      <c r="CK75" s="561">
        <v>32</v>
      </c>
      <c r="CL75" s="561">
        <v>25</v>
      </c>
      <c r="CM75" s="561">
        <v>170</v>
      </c>
      <c r="CN75" s="561">
        <v>155</v>
      </c>
      <c r="CO75" s="561">
        <v>1</v>
      </c>
      <c r="CP75" s="561">
        <v>1</v>
      </c>
      <c r="CQ75" s="561">
        <v>24</v>
      </c>
      <c r="CR75" s="561">
        <v>42</v>
      </c>
      <c r="CS75" s="561">
        <v>-25</v>
      </c>
      <c r="CT75" s="561">
        <v>354</v>
      </c>
      <c r="CU75" s="561">
        <v>1</v>
      </c>
      <c r="CV75" s="561">
        <v>1</v>
      </c>
      <c r="CW75" s="561">
        <v>12</v>
      </c>
      <c r="CX75" s="561">
        <v>130</v>
      </c>
      <c r="CY75" s="561">
        <v>70</v>
      </c>
      <c r="CZ75" s="561">
        <v>1758</v>
      </c>
      <c r="DA75" s="561">
        <v>0</v>
      </c>
      <c r="DB75" s="561">
        <v>0</v>
      </c>
      <c r="DC75" s="561">
        <v>0</v>
      </c>
      <c r="DD75" s="561">
        <v>0</v>
      </c>
      <c r="DE75" s="561">
        <v>0</v>
      </c>
      <c r="DF75" s="561">
        <v>0</v>
      </c>
      <c r="DG75" s="561">
        <v>0</v>
      </c>
      <c r="DH75" s="561">
        <v>276</v>
      </c>
      <c r="DI75" s="561">
        <v>0</v>
      </c>
      <c r="DJ75" s="561">
        <v>0</v>
      </c>
      <c r="DK75" s="561">
        <v>0</v>
      </c>
      <c r="DL75" s="561">
        <v>0</v>
      </c>
      <c r="DM75" s="561">
        <v>0</v>
      </c>
      <c r="DN75" s="561">
        <v>0</v>
      </c>
      <c r="DO75" s="561">
        <v>-252</v>
      </c>
      <c r="DP75" s="561">
        <v>0</v>
      </c>
      <c r="DQ75" s="561">
        <v>0</v>
      </c>
      <c r="DR75" s="561">
        <v>0</v>
      </c>
      <c r="DS75" s="561">
        <v>5468</v>
      </c>
      <c r="DT75" s="561">
        <v>0</v>
      </c>
      <c r="DU75" s="561">
        <v>5216</v>
      </c>
      <c r="DV75" s="561">
        <v>0</v>
      </c>
      <c r="DW75" s="561">
        <v>0</v>
      </c>
      <c r="DX75" s="561">
        <v>0</v>
      </c>
      <c r="DY75" s="561">
        <v>97</v>
      </c>
      <c r="DZ75" s="561">
        <v>-785</v>
      </c>
      <c r="EA75" s="561">
        <v>946</v>
      </c>
      <c r="EB75" s="561">
        <v>0</v>
      </c>
      <c r="EC75" s="561">
        <v>5750</v>
      </c>
      <c r="ED75" s="561">
        <v>255</v>
      </c>
      <c r="EE75" s="561">
        <v>12742</v>
      </c>
      <c r="EF75" s="561">
        <v>1969</v>
      </c>
      <c r="EG75" s="561">
        <v>2894</v>
      </c>
      <c r="EH75" s="561">
        <v>0</v>
      </c>
      <c r="EI75" s="561">
        <v>0</v>
      </c>
      <c r="EJ75" s="561">
        <v>0</v>
      </c>
      <c r="EK75" s="561">
        <v>0</v>
      </c>
      <c r="EL75" s="561">
        <v>0</v>
      </c>
      <c r="EM75" s="561">
        <v>0</v>
      </c>
      <c r="EN75" s="561">
        <v>7406</v>
      </c>
      <c r="EO75" s="561">
        <v>4874</v>
      </c>
      <c r="EP75" s="561">
        <v>3632</v>
      </c>
      <c r="EQ75" s="561">
        <v>136</v>
      </c>
      <c r="ER75" s="561">
        <v>0</v>
      </c>
      <c r="ES75" s="561" t="s">
        <v>4565</v>
      </c>
      <c r="ET75" s="561">
        <v>0</v>
      </c>
      <c r="EU75" s="561">
        <v>0</v>
      </c>
      <c r="EV75" s="561">
        <v>0</v>
      </c>
      <c r="EW75" s="561">
        <v>0</v>
      </c>
      <c r="EX75" s="561">
        <v>2062</v>
      </c>
      <c r="EY75" s="561">
        <v>-230</v>
      </c>
      <c r="EZ75" s="561">
        <v>-275</v>
      </c>
      <c r="FA75" s="561">
        <v>308</v>
      </c>
      <c r="FB75" s="561">
        <v>5089.46</v>
      </c>
      <c r="FC75" s="561">
        <v>0</v>
      </c>
      <c r="FD75" s="561">
        <v>0</v>
      </c>
      <c r="FE75" s="561">
        <v>7779.45</v>
      </c>
      <c r="FF75" s="561">
        <v>30032</v>
      </c>
      <c r="FG75" s="561">
        <v>87.14</v>
      </c>
      <c r="FH75" s="561">
        <v>0</v>
      </c>
      <c r="FI75" s="561">
        <v>365</v>
      </c>
      <c r="FJ75" s="561">
        <v>0</v>
      </c>
      <c r="FK75" s="561">
        <v>2839</v>
      </c>
      <c r="FL75" s="561">
        <v>0</v>
      </c>
      <c r="FM75" s="561">
        <v>2026</v>
      </c>
      <c r="FN75" s="561">
        <v>5445</v>
      </c>
      <c r="FO75" s="561">
        <v>53663.05</v>
      </c>
      <c r="FP75" s="561">
        <v>111</v>
      </c>
      <c r="FQ75" s="561">
        <v>216</v>
      </c>
      <c r="FR75" s="561">
        <v>499</v>
      </c>
      <c r="FS75" s="561">
        <v>0</v>
      </c>
      <c r="FT75" s="561">
        <v>578</v>
      </c>
      <c r="FU75" s="561">
        <v>1738</v>
      </c>
      <c r="FV75" s="561">
        <v>0</v>
      </c>
      <c r="FW75" s="561">
        <v>113</v>
      </c>
      <c r="FX75" s="561">
        <v>2387</v>
      </c>
      <c r="FY75" s="561">
        <v>0</v>
      </c>
      <c r="FZ75" s="561">
        <v>0</v>
      </c>
      <c r="GA75" s="561">
        <v>729</v>
      </c>
      <c r="GB75" s="561">
        <v>158</v>
      </c>
      <c r="GC75" s="561">
        <v>320</v>
      </c>
      <c r="GD75" s="561">
        <v>392</v>
      </c>
      <c r="GE75" s="561">
        <v>668</v>
      </c>
      <c r="GF75" s="561">
        <v>0</v>
      </c>
      <c r="GG75" s="561">
        <v>0</v>
      </c>
      <c r="GH75" s="561">
        <v>0</v>
      </c>
      <c r="GI75" s="561">
        <v>0</v>
      </c>
      <c r="GJ75" s="561">
        <v>0</v>
      </c>
      <c r="GK75" s="561">
        <v>0</v>
      </c>
      <c r="GL75" s="561">
        <v>8065</v>
      </c>
      <c r="GM75" s="561">
        <v>1675</v>
      </c>
      <c r="GN75" s="561">
        <v>1658</v>
      </c>
      <c r="GO75" s="561">
        <v>-588</v>
      </c>
      <c r="GP75" s="561">
        <v>1672</v>
      </c>
      <c r="GQ75" s="561">
        <v>0</v>
      </c>
      <c r="GR75" s="561">
        <v>0</v>
      </c>
      <c r="GS75" s="561">
        <v>20280</v>
      </c>
      <c r="GT75" s="561">
        <v>2033</v>
      </c>
      <c r="GU75" s="561">
        <v>1017</v>
      </c>
      <c r="GV75" s="561">
        <v>-618</v>
      </c>
      <c r="GW75" s="561">
        <v>166</v>
      </c>
      <c r="GX75" s="561">
        <v>1417</v>
      </c>
      <c r="GY75" s="561">
        <v>1789</v>
      </c>
      <c r="GZ75" s="561">
        <v>3612</v>
      </c>
      <c r="HA75" s="561">
        <v>1049</v>
      </c>
      <c r="HB75" s="561">
        <v>0</v>
      </c>
      <c r="HC75" s="561">
        <v>1906</v>
      </c>
      <c r="HD75" s="561">
        <v>10338</v>
      </c>
      <c r="HE75" s="561">
        <v>377</v>
      </c>
      <c r="HF75" s="561">
        <v>84281.05</v>
      </c>
      <c r="HG75" s="561">
        <v>0</v>
      </c>
      <c r="HH75" s="561">
        <v>222763</v>
      </c>
      <c r="HI75" s="561">
        <v>1733</v>
      </c>
      <c r="HJ75" s="561">
        <v>0</v>
      </c>
      <c r="HK75" s="561">
        <v>0</v>
      </c>
      <c r="HL75" s="561">
        <v>0</v>
      </c>
      <c r="HM75" s="561">
        <v>0</v>
      </c>
      <c r="HN75" s="561">
        <v>0</v>
      </c>
      <c r="HO75" s="561">
        <v>6320</v>
      </c>
      <c r="HP75" s="561">
        <v>592</v>
      </c>
      <c r="HQ75" s="561">
        <v>0</v>
      </c>
      <c r="HR75" s="561">
        <v>0</v>
      </c>
      <c r="HS75" s="561">
        <v>16</v>
      </c>
      <c r="HT75" s="561">
        <v>-201</v>
      </c>
      <c r="HU75" s="561">
        <v>0</v>
      </c>
      <c r="HV75" s="561">
        <v>79</v>
      </c>
      <c r="HW75" s="561">
        <v>101</v>
      </c>
      <c r="HX75" s="561">
        <v>489</v>
      </c>
      <c r="HY75" s="561">
        <v>0</v>
      </c>
      <c r="HZ75" s="561">
        <v>-47</v>
      </c>
      <c r="IA75" s="561">
        <v>0</v>
      </c>
      <c r="IB75" s="561">
        <v>2146</v>
      </c>
      <c r="IC75" s="561">
        <v>429</v>
      </c>
      <c r="ID75" s="561">
        <v>3943</v>
      </c>
      <c r="IE75" s="561">
        <v>0</v>
      </c>
      <c r="IF75" s="561">
        <v>0</v>
      </c>
      <c r="IG75" s="561">
        <v>0</v>
      </c>
      <c r="IH75" s="561">
        <v>4368</v>
      </c>
      <c r="II75" s="561">
        <v>18235</v>
      </c>
      <c r="IJ75" s="561">
        <v>0</v>
      </c>
      <c r="IK75" s="561">
        <v>0</v>
      </c>
      <c r="IL75" s="561">
        <v>0</v>
      </c>
      <c r="IM75" s="561">
        <v>0</v>
      </c>
      <c r="IN75" s="561">
        <v>0</v>
      </c>
      <c r="IO75" s="561">
        <v>609</v>
      </c>
      <c r="IP75" s="561">
        <v>0</v>
      </c>
      <c r="IQ75" s="561">
        <v>8</v>
      </c>
      <c r="IR75" s="561">
        <v>10032</v>
      </c>
      <c r="IS75" s="561">
        <v>-2284</v>
      </c>
      <c r="IT75" s="561">
        <v>5071</v>
      </c>
      <c r="IU75" s="561">
        <v>7935</v>
      </c>
      <c r="IV75" s="561">
        <v>1758</v>
      </c>
      <c r="IW75" s="561">
        <v>5750</v>
      </c>
      <c r="IX75" s="561">
        <v>53663.05</v>
      </c>
      <c r="IY75" s="561">
        <v>20280</v>
      </c>
      <c r="IZ75" s="561">
        <v>10338</v>
      </c>
      <c r="JA75" s="561">
        <v>222763</v>
      </c>
      <c r="JB75" s="561">
        <v>0</v>
      </c>
      <c r="JC75" s="561">
        <v>18235</v>
      </c>
      <c r="JD75" s="561">
        <v>0</v>
      </c>
      <c r="JE75" s="561">
        <v>353541.05</v>
      </c>
      <c r="JF75" s="561">
        <v>2732.8</v>
      </c>
      <c r="JG75" s="561">
        <v>1585.85</v>
      </c>
      <c r="JH75" s="561">
        <v>796.68</v>
      </c>
      <c r="JI75" s="561">
        <v>0</v>
      </c>
      <c r="JJ75" s="561">
        <v>0</v>
      </c>
      <c r="JK75" s="561">
        <v>364</v>
      </c>
      <c r="JL75" s="561">
        <v>0</v>
      </c>
      <c r="JM75" s="561">
        <v>0</v>
      </c>
      <c r="JN75" s="561">
        <v>118</v>
      </c>
      <c r="JO75" s="561">
        <v>393</v>
      </c>
      <c r="JP75" s="561">
        <v>-604</v>
      </c>
      <c r="JQ75" s="561">
        <v>0</v>
      </c>
      <c r="JR75" s="561">
        <v>-1223</v>
      </c>
      <c r="JS75" s="561">
        <v>0</v>
      </c>
      <c r="JT75" s="561">
        <v>0</v>
      </c>
      <c r="JU75" s="561">
        <v>0</v>
      </c>
      <c r="JV75" s="561">
        <v>357704.38</v>
      </c>
      <c r="JW75" s="561">
        <v>20</v>
      </c>
      <c r="JX75" s="561">
        <v>50863</v>
      </c>
      <c r="JY75" s="561">
        <v>0</v>
      </c>
      <c r="JZ75" s="561">
        <v>0</v>
      </c>
      <c r="KA75" s="561">
        <v>0</v>
      </c>
      <c r="KB75" s="561">
        <v>0</v>
      </c>
      <c r="KC75" s="561">
        <v>0</v>
      </c>
      <c r="KD75" s="561">
        <v>0</v>
      </c>
      <c r="KE75" s="561">
        <v>0</v>
      </c>
      <c r="KF75" s="561">
        <v>0</v>
      </c>
      <c r="KG75" s="561">
        <v>408587.38</v>
      </c>
      <c r="KH75" s="561">
        <v>-82232</v>
      </c>
      <c r="KI75" s="561">
        <v>0</v>
      </c>
      <c r="KJ75" s="561">
        <v>0</v>
      </c>
      <c r="KK75" s="561">
        <v>0</v>
      </c>
      <c r="KL75" s="561">
        <v>-4451</v>
      </c>
      <c r="KM75" s="561">
        <v>0</v>
      </c>
      <c r="KN75" s="561">
        <v>-20116</v>
      </c>
      <c r="KO75" s="561">
        <v>0</v>
      </c>
      <c r="KP75" s="561">
        <v>0</v>
      </c>
      <c r="KQ75" s="561">
        <v>0</v>
      </c>
      <c r="KR75" s="561">
        <v>301788.38</v>
      </c>
      <c r="KS75" s="561">
        <v>0</v>
      </c>
      <c r="KT75" s="561">
        <v>-130432.9</v>
      </c>
      <c r="KU75" s="561">
        <v>171355.48</v>
      </c>
      <c r="KV75" s="561">
        <v>0</v>
      </c>
      <c r="KW75" s="561">
        <v>-50</v>
      </c>
      <c r="KX75" s="561">
        <v>0</v>
      </c>
      <c r="KY75" s="561">
        <v>71</v>
      </c>
      <c r="KZ75" s="561">
        <v>103651</v>
      </c>
      <c r="LA75" s="561">
        <v>0</v>
      </c>
      <c r="LB75" s="561">
        <v>-7658</v>
      </c>
      <c r="LC75" s="561">
        <v>-67404</v>
      </c>
      <c r="LD75" s="561">
        <v>-56086</v>
      </c>
      <c r="LE75" s="561">
        <v>-49217</v>
      </c>
      <c r="LF75" s="561">
        <v>-85647</v>
      </c>
      <c r="LG75" s="561">
        <v>9015</v>
      </c>
      <c r="LH75" s="561">
        <v>157</v>
      </c>
      <c r="LI75" s="561">
        <v>0</v>
      </c>
      <c r="LJ75" s="561">
        <v>0</v>
      </c>
      <c r="LK75" s="561">
        <v>97</v>
      </c>
      <c r="LL75" s="561">
        <v>243421</v>
      </c>
      <c r="LM75" s="561">
        <v>20000</v>
      </c>
      <c r="LN75" s="561">
        <v>107</v>
      </c>
      <c r="LO75" s="561">
        <v>0</v>
      </c>
      <c r="LP75" s="561">
        <v>0</v>
      </c>
      <c r="LQ75" s="561">
        <v>168</v>
      </c>
      <c r="LR75" s="561">
        <v>347072</v>
      </c>
      <c r="LS75" s="561">
        <v>20000</v>
      </c>
      <c r="LT75" s="561">
        <v>0</v>
      </c>
      <c r="LU75" s="561">
        <v>31301</v>
      </c>
      <c r="LV75" s="561">
        <v>0</v>
      </c>
      <c r="LW75" s="561">
        <v>-4600</v>
      </c>
      <c r="LX75" s="561">
        <v>-113200</v>
      </c>
      <c r="LY75" s="561">
        <v>101800</v>
      </c>
      <c r="LZ75" s="561">
        <v>-999</v>
      </c>
      <c r="MA75" s="561">
        <v>0</v>
      </c>
      <c r="MB75" s="561">
        <v>0</v>
      </c>
      <c r="MC75" s="561">
        <v>17605</v>
      </c>
      <c r="MD75" s="561">
        <v>17880</v>
      </c>
      <c r="ME75" s="561">
        <v>-275</v>
      </c>
      <c r="MF75" s="561">
        <v>308</v>
      </c>
      <c r="MG75" s="561">
        <v>33</v>
      </c>
      <c r="MH75" s="561">
        <v>70</v>
      </c>
      <c r="MI75" s="561">
        <v>120</v>
      </c>
      <c r="MJ75" s="561">
        <v>190</v>
      </c>
      <c r="MK75" s="561">
        <v>0</v>
      </c>
      <c r="ML75" s="561">
        <v>0</v>
      </c>
      <c r="MM75" s="561">
        <v>341718</v>
      </c>
      <c r="MN75" s="561">
        <v>0</v>
      </c>
      <c r="MO75" s="561">
        <v>0</v>
      </c>
      <c r="MP75" s="561">
        <v>5354</v>
      </c>
      <c r="MQ75" s="561">
        <v>10032</v>
      </c>
      <c r="MR75" s="561">
        <v>-2284</v>
      </c>
      <c r="MS75" s="561">
        <v>5071</v>
      </c>
      <c r="MT75" s="561">
        <v>7935</v>
      </c>
      <c r="MU75" s="561">
        <v>1758</v>
      </c>
      <c r="MV75" s="561">
        <v>5750</v>
      </c>
      <c r="MW75" s="561">
        <v>53663.05</v>
      </c>
      <c r="MX75" s="561">
        <v>20280</v>
      </c>
      <c r="MY75" s="561">
        <v>10338</v>
      </c>
      <c r="MZ75" s="561">
        <v>222763</v>
      </c>
      <c r="NA75" s="561">
        <v>0</v>
      </c>
      <c r="NB75" s="561">
        <v>18235</v>
      </c>
      <c r="NC75" s="561">
        <v>0</v>
      </c>
      <c r="ND75" s="561">
        <v>353541.05</v>
      </c>
      <c r="NE75" s="561">
        <v>0</v>
      </c>
      <c r="NF75" s="561">
        <v>0</v>
      </c>
      <c r="NG75" s="561">
        <v>0</v>
      </c>
      <c r="NH75" s="561">
        <v>0</v>
      </c>
      <c r="NI75" s="561">
        <v>0</v>
      </c>
      <c r="NJ75" s="561">
        <v>0</v>
      </c>
      <c r="NK75" s="561">
        <v>0</v>
      </c>
      <c r="NL75" s="561">
        <v>0</v>
      </c>
      <c r="NM75" s="561">
        <v>0</v>
      </c>
      <c r="NN75" s="561">
        <v>0</v>
      </c>
      <c r="NO75" s="561">
        <v>0</v>
      </c>
      <c r="NP75" s="561">
        <v>0</v>
      </c>
      <c r="NQ75" s="561">
        <v>0</v>
      </c>
      <c r="NR75" s="561">
        <v>0</v>
      </c>
      <c r="NS75" s="561">
        <v>0</v>
      </c>
      <c r="NT75" s="561">
        <v>0</v>
      </c>
      <c r="NU75" s="561">
        <v>0</v>
      </c>
      <c r="NV75" s="561">
        <v>-1827</v>
      </c>
      <c r="NW75" s="561">
        <v>-1827</v>
      </c>
      <c r="NX75" s="561">
        <v>1223</v>
      </c>
      <c r="NY75" s="561">
        <v>-604</v>
      </c>
      <c r="NZ75" s="561">
        <v>0</v>
      </c>
      <c r="OA75" s="561">
        <v>0</v>
      </c>
      <c r="OB75" s="561">
        <v>0</v>
      </c>
      <c r="OC75" s="561">
        <v>0</v>
      </c>
      <c r="OD75" s="561">
        <v>0</v>
      </c>
      <c r="OE75" s="561">
        <v>0</v>
      </c>
      <c r="OF75" s="561">
        <v>0</v>
      </c>
      <c r="OG75" s="561">
        <v>0</v>
      </c>
      <c r="OH75" s="561">
        <v>0</v>
      </c>
      <c r="OI75" s="561">
        <v>0</v>
      </c>
      <c r="OJ75" s="561">
        <v>0</v>
      </c>
      <c r="OK75" s="561">
        <v>0</v>
      </c>
      <c r="OL75" s="561">
        <v>0</v>
      </c>
      <c r="OM75" s="561">
        <v>0</v>
      </c>
      <c r="ON75" s="561">
        <v>0</v>
      </c>
      <c r="OO75" s="561">
        <v>0</v>
      </c>
      <c r="OP75" s="561">
        <v>0</v>
      </c>
      <c r="OQ75" s="561">
        <v>0</v>
      </c>
      <c r="OR75" s="561">
        <v>0</v>
      </c>
      <c r="OS75" s="561">
        <v>0</v>
      </c>
      <c r="OT75" s="561">
        <v>0</v>
      </c>
      <c r="OU75" s="561">
        <v>0</v>
      </c>
      <c r="OV75" s="561">
        <v>0</v>
      </c>
      <c r="OW75" s="561">
        <v>0</v>
      </c>
      <c r="OX75" s="561">
        <v>0</v>
      </c>
      <c r="OY75" s="561">
        <v>1223</v>
      </c>
      <c r="OZ75" s="561">
        <v>0</v>
      </c>
      <c r="PA75" s="561">
        <v>0</v>
      </c>
      <c r="PB75" s="561">
        <v>0</v>
      </c>
      <c r="PC75" s="561">
        <v>0</v>
      </c>
      <c r="PD75" s="561">
        <v>1223</v>
      </c>
      <c r="PE75" s="561">
        <v>0</v>
      </c>
      <c r="PF75" s="561">
        <v>0</v>
      </c>
      <c r="PG75" s="561">
        <v>0</v>
      </c>
      <c r="PH75" s="561">
        <v>0</v>
      </c>
      <c r="PI75" s="561">
        <v>0</v>
      </c>
      <c r="PJ75" s="561">
        <v>0</v>
      </c>
    </row>
    <row r="76" spans="1:426" ht="14" x14ac:dyDescent="0.3">
      <c r="A76" t="s">
        <v>2657</v>
      </c>
      <c r="B76" t="s">
        <v>2658</v>
      </c>
      <c r="C76" t="s">
        <v>4588</v>
      </c>
      <c r="E76" t="s">
        <v>2466</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0</v>
      </c>
      <c r="W76" s="561">
        <v>0</v>
      </c>
      <c r="X76" s="561">
        <v>0</v>
      </c>
      <c r="Y76" s="561">
        <v>0</v>
      </c>
      <c r="Z76" s="561">
        <v>0</v>
      </c>
      <c r="AA76" s="561">
        <v>0</v>
      </c>
      <c r="AB76" s="561">
        <v>0</v>
      </c>
      <c r="AC76" s="561">
        <v>0</v>
      </c>
      <c r="AD76" s="561">
        <v>0</v>
      </c>
      <c r="AE76" s="561">
        <v>0</v>
      </c>
      <c r="AF76" s="561">
        <v>0</v>
      </c>
      <c r="AG76" s="561">
        <v>0</v>
      </c>
      <c r="AH76" s="561">
        <v>0</v>
      </c>
      <c r="AI76" s="561">
        <v>0</v>
      </c>
      <c r="AJ76" s="561">
        <v>0</v>
      </c>
      <c r="AK76" s="561">
        <v>0</v>
      </c>
      <c r="AL76" s="561">
        <v>0</v>
      </c>
      <c r="AM76" s="561">
        <v>0</v>
      </c>
      <c r="AN76" s="561">
        <v>0</v>
      </c>
      <c r="AO76" s="561">
        <v>0</v>
      </c>
      <c r="AP76" s="561">
        <v>0</v>
      </c>
      <c r="AQ76" s="561">
        <v>0</v>
      </c>
      <c r="AR76" s="561">
        <v>0</v>
      </c>
      <c r="AS76" s="561">
        <v>0</v>
      </c>
      <c r="AT76" s="561">
        <v>0</v>
      </c>
      <c r="AU76" s="561">
        <v>0</v>
      </c>
      <c r="AV76" s="561">
        <v>0</v>
      </c>
      <c r="AW76" s="561">
        <v>0</v>
      </c>
      <c r="AX76" s="561">
        <v>0</v>
      </c>
      <c r="AY76" s="561">
        <v>0</v>
      </c>
      <c r="AZ76" s="561">
        <v>0</v>
      </c>
      <c r="BA76" s="561">
        <v>0</v>
      </c>
      <c r="BB76" s="561">
        <v>0</v>
      </c>
      <c r="BC76" s="561">
        <v>0</v>
      </c>
      <c r="BD76" s="561">
        <v>0</v>
      </c>
      <c r="BE76" s="561">
        <v>0</v>
      </c>
      <c r="BF76" s="561">
        <v>0</v>
      </c>
      <c r="BG76" s="561">
        <v>0</v>
      </c>
      <c r="BH76" s="561">
        <v>0</v>
      </c>
      <c r="BI76" s="561">
        <v>0</v>
      </c>
      <c r="BJ76" s="561">
        <v>0</v>
      </c>
      <c r="BK76" s="561">
        <v>0</v>
      </c>
      <c r="BL76" s="561">
        <v>0</v>
      </c>
      <c r="BM76" s="561">
        <v>0</v>
      </c>
      <c r="BN76" s="561">
        <v>0</v>
      </c>
      <c r="BO76" s="561">
        <v>0</v>
      </c>
      <c r="BP76" s="561">
        <v>0</v>
      </c>
      <c r="BQ76" s="561">
        <v>0</v>
      </c>
      <c r="BR76" s="561">
        <v>0</v>
      </c>
      <c r="BS76" s="561">
        <v>0</v>
      </c>
      <c r="BT76" s="561">
        <v>0</v>
      </c>
      <c r="BU76" s="561">
        <v>0</v>
      </c>
      <c r="BV76" s="561">
        <v>0</v>
      </c>
      <c r="BW76" s="561">
        <v>0</v>
      </c>
      <c r="BX76" s="561">
        <v>0</v>
      </c>
      <c r="BY76" s="561">
        <v>0</v>
      </c>
      <c r="BZ76" s="561">
        <v>0</v>
      </c>
      <c r="CA76" s="561">
        <v>0</v>
      </c>
      <c r="CB76" s="561">
        <v>0</v>
      </c>
      <c r="CC76" s="561">
        <v>0</v>
      </c>
      <c r="CD76" s="561">
        <v>0</v>
      </c>
      <c r="CE76" s="561">
        <v>0</v>
      </c>
      <c r="CF76" s="561">
        <v>0</v>
      </c>
      <c r="CG76" s="561">
        <v>0</v>
      </c>
      <c r="CH76" s="561">
        <v>0</v>
      </c>
      <c r="CI76" s="561">
        <v>0</v>
      </c>
      <c r="CJ76" s="561">
        <v>0</v>
      </c>
      <c r="CK76" s="561">
        <v>0</v>
      </c>
      <c r="CL76" s="561">
        <v>0</v>
      </c>
      <c r="CM76" s="561">
        <v>0</v>
      </c>
      <c r="CN76" s="561">
        <v>0</v>
      </c>
      <c r="CO76" s="561">
        <v>0</v>
      </c>
      <c r="CP76" s="561">
        <v>0</v>
      </c>
      <c r="CQ76" s="561">
        <v>0</v>
      </c>
      <c r="CR76" s="561">
        <v>0</v>
      </c>
      <c r="CS76" s="561">
        <v>0</v>
      </c>
      <c r="CT76" s="561">
        <v>0</v>
      </c>
      <c r="CU76" s="561">
        <v>0</v>
      </c>
      <c r="CV76" s="561">
        <v>0</v>
      </c>
      <c r="CW76" s="561">
        <v>0</v>
      </c>
      <c r="CX76" s="561">
        <v>0</v>
      </c>
      <c r="CY76" s="561">
        <v>0</v>
      </c>
      <c r="CZ76" s="561">
        <v>0</v>
      </c>
      <c r="DA76" s="561">
        <v>0</v>
      </c>
      <c r="DB76" s="561">
        <v>0</v>
      </c>
      <c r="DC76" s="561">
        <v>0</v>
      </c>
      <c r="DD76" s="561">
        <v>0</v>
      </c>
      <c r="DE76" s="561">
        <v>0</v>
      </c>
      <c r="DF76" s="561">
        <v>0</v>
      </c>
      <c r="DG76" s="561">
        <v>0</v>
      </c>
      <c r="DH76" s="561">
        <v>0</v>
      </c>
      <c r="DI76" s="561">
        <v>0</v>
      </c>
      <c r="DJ76" s="561">
        <v>0</v>
      </c>
      <c r="DK76" s="561">
        <v>0</v>
      </c>
      <c r="DL76" s="561">
        <v>0</v>
      </c>
      <c r="DM76" s="561">
        <v>0</v>
      </c>
      <c r="DN76" s="561">
        <v>0</v>
      </c>
      <c r="DO76" s="561">
        <v>0</v>
      </c>
      <c r="DP76" s="561">
        <v>0</v>
      </c>
      <c r="DQ76" s="561">
        <v>0</v>
      </c>
      <c r="DR76" s="561">
        <v>0</v>
      </c>
      <c r="DS76" s="561">
        <v>0</v>
      </c>
      <c r="DT76" s="561">
        <v>0</v>
      </c>
      <c r="DU76" s="561">
        <v>0</v>
      </c>
      <c r="DV76" s="561">
        <v>0</v>
      </c>
      <c r="DW76" s="561">
        <v>0</v>
      </c>
      <c r="DX76" s="561">
        <v>0</v>
      </c>
      <c r="DY76" s="561">
        <v>0</v>
      </c>
      <c r="DZ76" s="561">
        <v>0</v>
      </c>
      <c r="EA76" s="561">
        <v>0</v>
      </c>
      <c r="EB76" s="561">
        <v>0</v>
      </c>
      <c r="EC76" s="561">
        <v>0</v>
      </c>
      <c r="ED76" s="561">
        <v>0</v>
      </c>
      <c r="EE76" s="561">
        <v>0</v>
      </c>
      <c r="EF76" s="561">
        <v>0</v>
      </c>
      <c r="EG76" s="561">
        <v>0</v>
      </c>
      <c r="EH76" s="561">
        <v>0</v>
      </c>
      <c r="EI76" s="561">
        <v>0</v>
      </c>
      <c r="EJ76" s="561">
        <v>0</v>
      </c>
      <c r="EK76" s="561">
        <v>0</v>
      </c>
      <c r="EL76" s="561">
        <v>0</v>
      </c>
      <c r="EM76" s="561">
        <v>0</v>
      </c>
      <c r="EN76" s="561">
        <v>0</v>
      </c>
      <c r="EO76" s="561">
        <v>0</v>
      </c>
      <c r="EP76" s="561">
        <v>0</v>
      </c>
      <c r="EQ76" s="561">
        <v>0</v>
      </c>
      <c r="ER76" s="561">
        <v>0</v>
      </c>
      <c r="ES76" s="561" t="s">
        <v>4565</v>
      </c>
      <c r="ET76" s="561">
        <v>0</v>
      </c>
      <c r="EU76" s="561">
        <v>0</v>
      </c>
      <c r="EV76" s="561">
        <v>0</v>
      </c>
      <c r="EW76" s="561">
        <v>0</v>
      </c>
      <c r="EX76" s="561">
        <v>0</v>
      </c>
      <c r="EY76" s="561">
        <v>0</v>
      </c>
      <c r="EZ76" s="561">
        <v>0</v>
      </c>
      <c r="FA76" s="561">
        <v>0</v>
      </c>
      <c r="FB76" s="561">
        <v>0</v>
      </c>
      <c r="FC76" s="561">
        <v>0</v>
      </c>
      <c r="FD76" s="561">
        <v>0</v>
      </c>
      <c r="FE76" s="561">
        <v>0</v>
      </c>
      <c r="FF76" s="561">
        <v>0</v>
      </c>
      <c r="FG76" s="561">
        <v>0</v>
      </c>
      <c r="FH76" s="561">
        <v>0</v>
      </c>
      <c r="FI76" s="561">
        <v>0</v>
      </c>
      <c r="FJ76" s="561">
        <v>0</v>
      </c>
      <c r="FK76" s="561">
        <v>0</v>
      </c>
      <c r="FL76" s="561">
        <v>0</v>
      </c>
      <c r="FM76" s="561">
        <v>0</v>
      </c>
      <c r="FN76" s="561">
        <v>0</v>
      </c>
      <c r="FO76" s="561">
        <v>0</v>
      </c>
      <c r="FP76" s="561">
        <v>0</v>
      </c>
      <c r="FQ76" s="561">
        <v>0</v>
      </c>
      <c r="FR76" s="561">
        <v>0</v>
      </c>
      <c r="FS76" s="561">
        <v>0</v>
      </c>
      <c r="FT76" s="561">
        <v>0</v>
      </c>
      <c r="FU76" s="561">
        <v>0</v>
      </c>
      <c r="FV76" s="561">
        <v>0</v>
      </c>
      <c r="FW76" s="561">
        <v>0</v>
      </c>
      <c r="FX76" s="561">
        <v>0</v>
      </c>
      <c r="FY76" s="561">
        <v>0</v>
      </c>
      <c r="FZ76" s="561">
        <v>0</v>
      </c>
      <c r="GA76" s="561">
        <v>0</v>
      </c>
      <c r="GB76" s="561">
        <v>0</v>
      </c>
      <c r="GC76" s="561">
        <v>0</v>
      </c>
      <c r="GD76" s="561">
        <v>0</v>
      </c>
      <c r="GE76" s="561">
        <v>0</v>
      </c>
      <c r="GF76" s="561">
        <v>0</v>
      </c>
      <c r="GG76" s="561">
        <v>0</v>
      </c>
      <c r="GH76" s="561">
        <v>0</v>
      </c>
      <c r="GI76" s="561">
        <v>0</v>
      </c>
      <c r="GJ76" s="561">
        <v>0</v>
      </c>
      <c r="GK76" s="561">
        <v>0</v>
      </c>
      <c r="GL76" s="561">
        <v>0</v>
      </c>
      <c r="GM76" s="561">
        <v>0</v>
      </c>
      <c r="GN76" s="561">
        <v>0</v>
      </c>
      <c r="GO76" s="561">
        <v>0</v>
      </c>
      <c r="GP76" s="561">
        <v>0</v>
      </c>
      <c r="GQ76" s="561">
        <v>0</v>
      </c>
      <c r="GR76" s="561">
        <v>0</v>
      </c>
      <c r="GS76" s="561">
        <v>0</v>
      </c>
      <c r="GT76" s="561">
        <v>0</v>
      </c>
      <c r="GU76" s="561">
        <v>0</v>
      </c>
      <c r="GV76" s="561">
        <v>0</v>
      </c>
      <c r="GW76" s="561">
        <v>0</v>
      </c>
      <c r="GX76" s="561">
        <v>0</v>
      </c>
      <c r="GY76" s="561">
        <v>0</v>
      </c>
      <c r="GZ76" s="561">
        <v>0</v>
      </c>
      <c r="HA76" s="561">
        <v>0</v>
      </c>
      <c r="HB76" s="561">
        <v>0</v>
      </c>
      <c r="HC76" s="561">
        <v>0</v>
      </c>
      <c r="HD76" s="561">
        <v>0</v>
      </c>
      <c r="HE76" s="561">
        <v>0</v>
      </c>
      <c r="HF76" s="561">
        <v>0</v>
      </c>
      <c r="HG76" s="561">
        <v>0</v>
      </c>
      <c r="HH76" s="561">
        <v>0</v>
      </c>
      <c r="HI76" s="561">
        <v>0</v>
      </c>
      <c r="HJ76" s="561">
        <v>3846</v>
      </c>
      <c r="HK76" s="561">
        <v>30914</v>
      </c>
      <c r="HL76" s="561">
        <v>-20</v>
      </c>
      <c r="HM76" s="561">
        <v>34740</v>
      </c>
      <c r="HN76" s="561">
        <v>78</v>
      </c>
      <c r="HO76" s="561">
        <v>89</v>
      </c>
      <c r="HP76" s="561">
        <v>0</v>
      </c>
      <c r="HQ76" s="561">
        <v>0</v>
      </c>
      <c r="HR76" s="561">
        <v>0</v>
      </c>
      <c r="HS76" s="561">
        <v>0</v>
      </c>
      <c r="HT76" s="561">
        <v>0</v>
      </c>
      <c r="HU76" s="561">
        <v>0</v>
      </c>
      <c r="HV76" s="561">
        <v>0</v>
      </c>
      <c r="HW76" s="561">
        <v>0</v>
      </c>
      <c r="HX76" s="561">
        <v>0</v>
      </c>
      <c r="HY76" s="561">
        <v>0</v>
      </c>
      <c r="HZ76" s="561">
        <v>0</v>
      </c>
      <c r="IA76" s="561">
        <v>0</v>
      </c>
      <c r="IB76" s="561">
        <v>0</v>
      </c>
      <c r="IC76" s="561">
        <v>0</v>
      </c>
      <c r="ID76" s="561">
        <v>0</v>
      </c>
      <c r="IE76" s="561">
        <v>0</v>
      </c>
      <c r="IF76" s="561">
        <v>0</v>
      </c>
      <c r="IG76" s="561">
        <v>0</v>
      </c>
      <c r="IH76" s="561">
        <v>0</v>
      </c>
      <c r="II76" s="561">
        <v>89</v>
      </c>
      <c r="IJ76" s="561">
        <v>0</v>
      </c>
      <c r="IK76" s="561">
        <v>0</v>
      </c>
      <c r="IL76" s="561">
        <v>0</v>
      </c>
      <c r="IM76" s="561">
        <v>0</v>
      </c>
      <c r="IN76" s="561">
        <v>0</v>
      </c>
      <c r="IO76" s="561">
        <v>0</v>
      </c>
      <c r="IP76" s="561">
        <v>0</v>
      </c>
      <c r="IQ76" s="561">
        <v>0</v>
      </c>
      <c r="IR76" s="561">
        <v>0</v>
      </c>
      <c r="IS76" s="561">
        <v>0</v>
      </c>
      <c r="IT76" s="561">
        <v>0</v>
      </c>
      <c r="IU76" s="561">
        <v>0</v>
      </c>
      <c r="IV76" s="561">
        <v>0</v>
      </c>
      <c r="IW76" s="561">
        <v>0</v>
      </c>
      <c r="IX76" s="561">
        <v>0</v>
      </c>
      <c r="IY76" s="561">
        <v>0</v>
      </c>
      <c r="IZ76" s="561">
        <v>0</v>
      </c>
      <c r="JA76" s="561">
        <v>0</v>
      </c>
      <c r="JB76" s="561">
        <v>34740</v>
      </c>
      <c r="JC76" s="561">
        <v>89</v>
      </c>
      <c r="JD76" s="561">
        <v>0</v>
      </c>
      <c r="JE76" s="561">
        <v>34829</v>
      </c>
      <c r="JF76" s="561">
        <v>0</v>
      </c>
      <c r="JG76" s="561">
        <v>0</v>
      </c>
      <c r="JH76" s="561">
        <v>0</v>
      </c>
      <c r="JI76" s="561">
        <v>0</v>
      </c>
      <c r="JJ76" s="561">
        <v>0</v>
      </c>
      <c r="JK76" s="561">
        <v>0</v>
      </c>
      <c r="JL76" s="561">
        <v>0</v>
      </c>
      <c r="JM76" s="561">
        <v>0</v>
      </c>
      <c r="JN76" s="561">
        <v>0</v>
      </c>
      <c r="JO76" s="561">
        <v>0</v>
      </c>
      <c r="JP76" s="561">
        <v>0</v>
      </c>
      <c r="JQ76" s="561">
        <v>0</v>
      </c>
      <c r="JR76" s="561">
        <v>0</v>
      </c>
      <c r="JS76" s="561">
        <v>0</v>
      </c>
      <c r="JT76" s="561">
        <v>59</v>
      </c>
      <c r="JU76" s="561">
        <v>0</v>
      </c>
      <c r="JV76" s="561">
        <v>34888</v>
      </c>
      <c r="JW76" s="561">
        <v>0</v>
      </c>
      <c r="JX76" s="561">
        <v>1137</v>
      </c>
      <c r="JY76" s="561">
        <v>0</v>
      </c>
      <c r="JZ76" s="561">
        <v>0</v>
      </c>
      <c r="KA76" s="561">
        <v>0</v>
      </c>
      <c r="KB76" s="561">
        <v>0</v>
      </c>
      <c r="KC76" s="561">
        <v>674</v>
      </c>
      <c r="KD76" s="561">
        <v>9</v>
      </c>
      <c r="KE76" s="561">
        <v>285</v>
      </c>
      <c r="KF76" s="561">
        <v>0</v>
      </c>
      <c r="KG76" s="561">
        <v>36993</v>
      </c>
      <c r="KH76" s="561">
        <v>-937</v>
      </c>
      <c r="KI76" s="561">
        <v>0</v>
      </c>
      <c r="KJ76" s="561">
        <v>0</v>
      </c>
      <c r="KK76" s="561">
        <v>0</v>
      </c>
      <c r="KL76" s="561">
        <v>0</v>
      </c>
      <c r="KM76" s="561">
        <v>0</v>
      </c>
      <c r="KN76" s="561">
        <v>0</v>
      </c>
      <c r="KO76" s="561">
        <v>0</v>
      </c>
      <c r="KP76" s="561">
        <v>0</v>
      </c>
      <c r="KQ76" s="561">
        <v>0</v>
      </c>
      <c r="KR76" s="561">
        <v>36056</v>
      </c>
      <c r="KS76" s="561">
        <v>0</v>
      </c>
      <c r="KT76" s="561">
        <v>-1958</v>
      </c>
      <c r="KU76" s="561">
        <v>34098</v>
      </c>
      <c r="KV76" s="561">
        <v>0</v>
      </c>
      <c r="KW76" s="561">
        <v>0</v>
      </c>
      <c r="KX76" s="561">
        <v>0</v>
      </c>
      <c r="KY76" s="561">
        <v>0</v>
      </c>
      <c r="KZ76" s="561">
        <v>1101</v>
      </c>
      <c r="LA76" s="561">
        <v>176</v>
      </c>
      <c r="LB76" s="561">
        <v>-7888</v>
      </c>
      <c r="LC76" s="561">
        <v>0</v>
      </c>
      <c r="LD76" s="561">
        <v>-12374</v>
      </c>
      <c r="LE76" s="561">
        <v>-559</v>
      </c>
      <c r="LF76" s="561">
        <v>0</v>
      </c>
      <c r="LG76" s="561">
        <v>14554</v>
      </c>
      <c r="LH76" s="561">
        <v>0</v>
      </c>
      <c r="LI76" s="561">
        <v>0</v>
      </c>
      <c r="LJ76" s="561">
        <v>0</v>
      </c>
      <c r="LK76" s="561">
        <v>0</v>
      </c>
      <c r="LL76" s="561">
        <v>12071</v>
      </c>
      <c r="LM76" s="561">
        <v>1897</v>
      </c>
      <c r="LN76" s="561">
        <v>0</v>
      </c>
      <c r="LO76" s="561">
        <v>0</v>
      </c>
      <c r="LP76" s="561">
        <v>0</v>
      </c>
      <c r="LQ76" s="561">
        <v>0</v>
      </c>
      <c r="LR76" s="561">
        <v>13172</v>
      </c>
      <c r="LS76" s="561">
        <v>2073</v>
      </c>
      <c r="LT76" s="561">
        <v>0</v>
      </c>
      <c r="LU76" s="561">
        <v>1605</v>
      </c>
      <c r="LV76" s="561">
        <v>0</v>
      </c>
      <c r="LW76" s="561">
        <v>26</v>
      </c>
      <c r="LX76" s="561">
        <v>0</v>
      </c>
      <c r="LY76" s="561">
        <v>0</v>
      </c>
      <c r="LZ76" s="561">
        <v>1571</v>
      </c>
      <c r="MA76" s="561">
        <v>0</v>
      </c>
      <c r="MB76" s="561">
        <v>0</v>
      </c>
      <c r="MC76" s="561">
        <v>0</v>
      </c>
      <c r="MD76" s="561">
        <v>0</v>
      </c>
      <c r="ME76" s="561">
        <v>0</v>
      </c>
      <c r="MF76" s="561">
        <v>0</v>
      </c>
      <c r="MG76" s="561">
        <v>0</v>
      </c>
      <c r="MH76" s="561">
        <v>0</v>
      </c>
      <c r="MI76" s="561">
        <v>0</v>
      </c>
      <c r="MJ76" s="561">
        <v>0</v>
      </c>
      <c r="MK76" s="561">
        <v>0</v>
      </c>
      <c r="ML76" s="561">
        <v>0</v>
      </c>
      <c r="MM76" s="561">
        <v>13172</v>
      </c>
      <c r="MN76" s="561">
        <v>0</v>
      </c>
      <c r="MO76" s="561">
        <v>0</v>
      </c>
      <c r="MP76" s="561">
        <v>0</v>
      </c>
      <c r="MQ76" s="561">
        <v>0</v>
      </c>
      <c r="MR76" s="561">
        <v>0</v>
      </c>
      <c r="MS76" s="561">
        <v>0</v>
      </c>
      <c r="MT76" s="561">
        <v>0</v>
      </c>
      <c r="MU76" s="561">
        <v>0</v>
      </c>
      <c r="MV76" s="561">
        <v>0</v>
      </c>
      <c r="MW76" s="561">
        <v>0</v>
      </c>
      <c r="MX76" s="561">
        <v>0</v>
      </c>
      <c r="MY76" s="561">
        <v>0</v>
      </c>
      <c r="MZ76" s="561">
        <v>0</v>
      </c>
      <c r="NA76" s="561">
        <v>34740</v>
      </c>
      <c r="NB76" s="561">
        <v>89</v>
      </c>
      <c r="NC76" s="561">
        <v>0</v>
      </c>
      <c r="ND76" s="561">
        <v>34829</v>
      </c>
      <c r="NE76" s="561">
        <v>0</v>
      </c>
      <c r="NF76" s="561">
        <v>0</v>
      </c>
      <c r="NG76" s="561">
        <v>0</v>
      </c>
      <c r="NH76" s="561">
        <v>0</v>
      </c>
      <c r="NI76" s="561">
        <v>0</v>
      </c>
      <c r="NJ76" s="561">
        <v>0</v>
      </c>
      <c r="NK76" s="561">
        <v>0</v>
      </c>
      <c r="NL76" s="561">
        <v>0</v>
      </c>
      <c r="NM76" s="561">
        <v>0</v>
      </c>
      <c r="NN76" s="561">
        <v>0</v>
      </c>
      <c r="NO76" s="561">
        <v>0</v>
      </c>
      <c r="NP76" s="561">
        <v>0</v>
      </c>
      <c r="NQ76" s="561">
        <v>0</v>
      </c>
      <c r="NR76" s="561">
        <v>0</v>
      </c>
      <c r="NS76" s="561">
        <v>0</v>
      </c>
      <c r="NT76" s="561">
        <v>0</v>
      </c>
      <c r="NU76" s="561">
        <v>0</v>
      </c>
      <c r="NV76" s="561">
        <v>0</v>
      </c>
      <c r="NW76" s="561">
        <v>0</v>
      </c>
      <c r="NX76" s="561">
        <v>0</v>
      </c>
      <c r="NY76" s="561">
        <v>0</v>
      </c>
      <c r="NZ76" s="561">
        <v>0</v>
      </c>
      <c r="OA76" s="561">
        <v>0</v>
      </c>
      <c r="OB76" s="561">
        <v>0</v>
      </c>
      <c r="OC76" s="561">
        <v>0</v>
      </c>
      <c r="OD76" s="561">
        <v>0</v>
      </c>
      <c r="OE76" s="561">
        <v>0</v>
      </c>
      <c r="OF76" s="561">
        <v>0</v>
      </c>
      <c r="OG76" s="561">
        <v>0</v>
      </c>
      <c r="OH76" s="561">
        <v>0</v>
      </c>
      <c r="OI76" s="561">
        <v>0</v>
      </c>
      <c r="OJ76" s="561">
        <v>0</v>
      </c>
      <c r="OK76" s="561">
        <v>0</v>
      </c>
      <c r="OL76" s="561">
        <v>0</v>
      </c>
      <c r="OM76" s="561">
        <v>0</v>
      </c>
      <c r="ON76" s="561">
        <v>0</v>
      </c>
      <c r="OO76" s="561">
        <v>0</v>
      </c>
      <c r="OP76" s="561">
        <v>0</v>
      </c>
      <c r="OQ76" s="561">
        <v>0</v>
      </c>
      <c r="OR76" s="561">
        <v>0</v>
      </c>
      <c r="OS76" s="561">
        <v>0</v>
      </c>
      <c r="OT76" s="561">
        <v>0</v>
      </c>
      <c r="OU76" s="561">
        <v>0</v>
      </c>
      <c r="OV76" s="561">
        <v>0</v>
      </c>
      <c r="OW76" s="561">
        <v>0</v>
      </c>
      <c r="OX76" s="561">
        <v>0</v>
      </c>
      <c r="OY76" s="561">
        <v>0</v>
      </c>
      <c r="OZ76" s="561">
        <v>0</v>
      </c>
      <c r="PA76" s="561">
        <v>0</v>
      </c>
      <c r="PB76" s="561">
        <v>0</v>
      </c>
      <c r="PC76" s="561">
        <v>0</v>
      </c>
      <c r="PD76" s="561">
        <v>0</v>
      </c>
      <c r="PE76" s="561">
        <v>0</v>
      </c>
      <c r="PF76" s="561">
        <v>0</v>
      </c>
      <c r="PG76" s="561">
        <v>0</v>
      </c>
      <c r="PH76" s="561">
        <v>0</v>
      </c>
      <c r="PI76" s="561">
        <v>0</v>
      </c>
      <c r="PJ76" s="561">
        <v>0</v>
      </c>
    </row>
    <row r="77" spans="1:426" ht="14" x14ac:dyDescent="0.3">
      <c r="A77" t="s">
        <v>2660</v>
      </c>
      <c r="B77" t="s">
        <v>2661</v>
      </c>
      <c r="C77" t="s">
        <v>2662</v>
      </c>
      <c r="E77" t="s">
        <v>2466</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0</v>
      </c>
      <c r="W77" s="561">
        <v>0</v>
      </c>
      <c r="X77" s="561">
        <v>0</v>
      </c>
      <c r="Y77" s="561">
        <v>0</v>
      </c>
      <c r="Z77" s="561">
        <v>0</v>
      </c>
      <c r="AA77" s="561">
        <v>0</v>
      </c>
      <c r="AB77" s="561">
        <v>0</v>
      </c>
      <c r="AC77" s="561">
        <v>0</v>
      </c>
      <c r="AD77" s="561">
        <v>0</v>
      </c>
      <c r="AE77" s="561">
        <v>0</v>
      </c>
      <c r="AF77" s="561">
        <v>0</v>
      </c>
      <c r="AG77" s="561">
        <v>0</v>
      </c>
      <c r="AH77" s="561">
        <v>0</v>
      </c>
      <c r="AI77" s="561">
        <v>0</v>
      </c>
      <c r="AJ77" s="561">
        <v>0</v>
      </c>
      <c r="AK77" s="561">
        <v>0</v>
      </c>
      <c r="AL77" s="561">
        <v>0</v>
      </c>
      <c r="AM77" s="561">
        <v>0</v>
      </c>
      <c r="AN77" s="561">
        <v>0</v>
      </c>
      <c r="AO77" s="561">
        <v>0</v>
      </c>
      <c r="AP77" s="561">
        <v>0</v>
      </c>
      <c r="AQ77" s="561">
        <v>0</v>
      </c>
      <c r="AR77" s="561">
        <v>0</v>
      </c>
      <c r="AS77" s="561">
        <v>0</v>
      </c>
      <c r="AT77" s="561">
        <v>0</v>
      </c>
      <c r="AU77" s="561">
        <v>0</v>
      </c>
      <c r="AV77" s="561">
        <v>0</v>
      </c>
      <c r="AW77" s="561">
        <v>0</v>
      </c>
      <c r="AX77" s="561">
        <v>0</v>
      </c>
      <c r="AY77" s="561">
        <v>0</v>
      </c>
      <c r="AZ77" s="561">
        <v>0</v>
      </c>
      <c r="BA77" s="561">
        <v>0</v>
      </c>
      <c r="BB77" s="561">
        <v>0</v>
      </c>
      <c r="BC77" s="561">
        <v>0</v>
      </c>
      <c r="BD77" s="561">
        <v>0</v>
      </c>
      <c r="BE77" s="561">
        <v>0</v>
      </c>
      <c r="BF77" s="561">
        <v>0</v>
      </c>
      <c r="BG77" s="561">
        <v>0</v>
      </c>
      <c r="BH77" s="561">
        <v>0</v>
      </c>
      <c r="BI77" s="561">
        <v>0</v>
      </c>
      <c r="BJ77" s="561">
        <v>0</v>
      </c>
      <c r="BK77" s="561">
        <v>0</v>
      </c>
      <c r="BL77" s="561">
        <v>0</v>
      </c>
      <c r="BM77" s="561">
        <v>0</v>
      </c>
      <c r="BN77" s="561">
        <v>0</v>
      </c>
      <c r="BO77" s="561">
        <v>0</v>
      </c>
      <c r="BP77" s="561">
        <v>0</v>
      </c>
      <c r="BQ77" s="561">
        <v>0</v>
      </c>
      <c r="BR77" s="561">
        <v>0</v>
      </c>
      <c r="BS77" s="561">
        <v>0</v>
      </c>
      <c r="BT77" s="561">
        <v>0</v>
      </c>
      <c r="BU77" s="561">
        <v>0</v>
      </c>
      <c r="BV77" s="561">
        <v>0</v>
      </c>
      <c r="BW77" s="561">
        <v>0</v>
      </c>
      <c r="BX77" s="561">
        <v>0</v>
      </c>
      <c r="BY77" s="561">
        <v>0</v>
      </c>
      <c r="BZ77" s="561">
        <v>0</v>
      </c>
      <c r="CA77" s="561">
        <v>0</v>
      </c>
      <c r="CB77" s="561">
        <v>0</v>
      </c>
      <c r="CC77" s="561">
        <v>0</v>
      </c>
      <c r="CD77" s="561">
        <v>0</v>
      </c>
      <c r="CE77" s="561">
        <v>0</v>
      </c>
      <c r="CF77" s="561">
        <v>0</v>
      </c>
      <c r="CG77" s="561">
        <v>0</v>
      </c>
      <c r="CH77" s="561">
        <v>0</v>
      </c>
      <c r="CI77" s="561">
        <v>0</v>
      </c>
      <c r="CJ77" s="561">
        <v>0</v>
      </c>
      <c r="CK77" s="561">
        <v>0</v>
      </c>
      <c r="CL77" s="561">
        <v>0</v>
      </c>
      <c r="CM77" s="561">
        <v>0</v>
      </c>
      <c r="CN77" s="561">
        <v>0</v>
      </c>
      <c r="CO77" s="561">
        <v>0</v>
      </c>
      <c r="CP77" s="561">
        <v>0</v>
      </c>
      <c r="CQ77" s="561">
        <v>0</v>
      </c>
      <c r="CR77" s="561">
        <v>0</v>
      </c>
      <c r="CS77" s="561">
        <v>0</v>
      </c>
      <c r="CT77" s="561">
        <v>0</v>
      </c>
      <c r="CU77" s="561">
        <v>0</v>
      </c>
      <c r="CV77" s="561">
        <v>0</v>
      </c>
      <c r="CW77" s="561">
        <v>0</v>
      </c>
      <c r="CX77" s="561">
        <v>0</v>
      </c>
      <c r="CY77" s="561">
        <v>0</v>
      </c>
      <c r="CZ77" s="561">
        <v>0</v>
      </c>
      <c r="DA77" s="561">
        <v>0</v>
      </c>
      <c r="DB77" s="561">
        <v>0</v>
      </c>
      <c r="DC77" s="561">
        <v>0</v>
      </c>
      <c r="DD77" s="561">
        <v>0</v>
      </c>
      <c r="DE77" s="561">
        <v>0</v>
      </c>
      <c r="DF77" s="561">
        <v>0</v>
      </c>
      <c r="DG77" s="561">
        <v>0</v>
      </c>
      <c r="DH77" s="561">
        <v>0</v>
      </c>
      <c r="DI77" s="561">
        <v>0</v>
      </c>
      <c r="DJ77" s="561">
        <v>0</v>
      </c>
      <c r="DK77" s="561">
        <v>0</v>
      </c>
      <c r="DL77" s="561">
        <v>0</v>
      </c>
      <c r="DM77" s="561">
        <v>0</v>
      </c>
      <c r="DN77" s="561">
        <v>0</v>
      </c>
      <c r="DO77" s="561">
        <v>0</v>
      </c>
      <c r="DP77" s="561">
        <v>0</v>
      </c>
      <c r="DQ77" s="561">
        <v>0</v>
      </c>
      <c r="DR77" s="561">
        <v>0</v>
      </c>
      <c r="DS77" s="561">
        <v>0</v>
      </c>
      <c r="DT77" s="561">
        <v>0</v>
      </c>
      <c r="DU77" s="561">
        <v>0</v>
      </c>
      <c r="DV77" s="561">
        <v>0</v>
      </c>
      <c r="DW77" s="561">
        <v>0</v>
      </c>
      <c r="DX77" s="561">
        <v>0</v>
      </c>
      <c r="DY77" s="561">
        <v>0</v>
      </c>
      <c r="DZ77" s="561">
        <v>0</v>
      </c>
      <c r="EA77" s="561">
        <v>0</v>
      </c>
      <c r="EB77" s="561">
        <v>0</v>
      </c>
      <c r="EC77" s="561">
        <v>0</v>
      </c>
      <c r="ED77" s="561">
        <v>0</v>
      </c>
      <c r="EE77" s="561">
        <v>0</v>
      </c>
      <c r="EF77" s="561">
        <v>0</v>
      </c>
      <c r="EG77" s="561">
        <v>0</v>
      </c>
      <c r="EH77" s="561">
        <v>0</v>
      </c>
      <c r="EI77" s="561">
        <v>0</v>
      </c>
      <c r="EJ77" s="561">
        <v>0</v>
      </c>
      <c r="EK77" s="561">
        <v>0</v>
      </c>
      <c r="EL77" s="561">
        <v>0</v>
      </c>
      <c r="EM77" s="561">
        <v>0</v>
      </c>
      <c r="EN77" s="561">
        <v>0</v>
      </c>
      <c r="EO77" s="561">
        <v>0</v>
      </c>
      <c r="EP77" s="561">
        <v>0</v>
      </c>
      <c r="EQ77" s="561">
        <v>0</v>
      </c>
      <c r="ER77" s="561">
        <v>0</v>
      </c>
      <c r="ES77" s="561" t="s">
        <v>4565</v>
      </c>
      <c r="ET77" s="561">
        <v>0</v>
      </c>
      <c r="EU77" s="561">
        <v>0</v>
      </c>
      <c r="EV77" s="561">
        <v>0</v>
      </c>
      <c r="EW77" s="561">
        <v>0</v>
      </c>
      <c r="EX77" s="561">
        <v>0</v>
      </c>
      <c r="EY77" s="561">
        <v>0</v>
      </c>
      <c r="EZ77" s="561">
        <v>0</v>
      </c>
      <c r="FA77" s="561">
        <v>0</v>
      </c>
      <c r="FB77" s="561">
        <v>0</v>
      </c>
      <c r="FC77" s="561">
        <v>0</v>
      </c>
      <c r="FD77" s="561">
        <v>0</v>
      </c>
      <c r="FE77" s="561">
        <v>0</v>
      </c>
      <c r="FF77" s="561">
        <v>0</v>
      </c>
      <c r="FG77" s="561">
        <v>0</v>
      </c>
      <c r="FH77" s="561">
        <v>0</v>
      </c>
      <c r="FI77" s="561">
        <v>0</v>
      </c>
      <c r="FJ77" s="561">
        <v>0</v>
      </c>
      <c r="FK77" s="561">
        <v>0</v>
      </c>
      <c r="FL77" s="561">
        <v>0</v>
      </c>
      <c r="FM77" s="561">
        <v>0</v>
      </c>
      <c r="FN77" s="561">
        <v>0</v>
      </c>
      <c r="FO77" s="561">
        <v>0</v>
      </c>
      <c r="FP77" s="561">
        <v>0</v>
      </c>
      <c r="FQ77" s="561">
        <v>0</v>
      </c>
      <c r="FR77" s="561">
        <v>0</v>
      </c>
      <c r="FS77" s="561">
        <v>0</v>
      </c>
      <c r="FT77" s="561">
        <v>0</v>
      </c>
      <c r="FU77" s="561">
        <v>0</v>
      </c>
      <c r="FV77" s="561">
        <v>0</v>
      </c>
      <c r="FW77" s="561">
        <v>0</v>
      </c>
      <c r="FX77" s="561">
        <v>0</v>
      </c>
      <c r="FY77" s="561">
        <v>0</v>
      </c>
      <c r="FZ77" s="561">
        <v>0</v>
      </c>
      <c r="GA77" s="561">
        <v>0</v>
      </c>
      <c r="GB77" s="561">
        <v>0</v>
      </c>
      <c r="GC77" s="561">
        <v>0</v>
      </c>
      <c r="GD77" s="561">
        <v>0</v>
      </c>
      <c r="GE77" s="561">
        <v>0</v>
      </c>
      <c r="GF77" s="561">
        <v>0</v>
      </c>
      <c r="GG77" s="561">
        <v>0</v>
      </c>
      <c r="GH77" s="561">
        <v>0</v>
      </c>
      <c r="GI77" s="561">
        <v>0</v>
      </c>
      <c r="GJ77" s="561">
        <v>0</v>
      </c>
      <c r="GK77" s="561">
        <v>0</v>
      </c>
      <c r="GL77" s="561">
        <v>0</v>
      </c>
      <c r="GM77" s="561">
        <v>0</v>
      </c>
      <c r="GN77" s="561">
        <v>0</v>
      </c>
      <c r="GO77" s="561">
        <v>0</v>
      </c>
      <c r="GP77" s="561">
        <v>0</v>
      </c>
      <c r="GQ77" s="561">
        <v>0</v>
      </c>
      <c r="GR77" s="561">
        <v>0</v>
      </c>
      <c r="GS77" s="561">
        <v>0</v>
      </c>
      <c r="GT77" s="561">
        <v>0</v>
      </c>
      <c r="GU77" s="561">
        <v>0</v>
      </c>
      <c r="GV77" s="561">
        <v>0</v>
      </c>
      <c r="GW77" s="561">
        <v>0</v>
      </c>
      <c r="GX77" s="561">
        <v>0</v>
      </c>
      <c r="GY77" s="561">
        <v>0</v>
      </c>
      <c r="GZ77" s="561">
        <v>0</v>
      </c>
      <c r="HA77" s="561">
        <v>0</v>
      </c>
      <c r="HB77" s="561">
        <v>0</v>
      </c>
      <c r="HC77" s="561">
        <v>0</v>
      </c>
      <c r="HD77" s="561">
        <v>0</v>
      </c>
      <c r="HE77" s="561">
        <v>0</v>
      </c>
      <c r="HF77" s="561">
        <v>0</v>
      </c>
      <c r="HG77" s="561">
        <v>0</v>
      </c>
      <c r="HH77" s="561">
        <v>191358</v>
      </c>
      <c r="HI77" s="561">
        <v>205</v>
      </c>
      <c r="HJ77" s="561">
        <v>0</v>
      </c>
      <c r="HK77" s="561">
        <v>0</v>
      </c>
      <c r="HL77" s="561">
        <v>0</v>
      </c>
      <c r="HM77" s="561">
        <v>0</v>
      </c>
      <c r="HN77" s="561">
        <v>0</v>
      </c>
      <c r="HO77" s="561">
        <v>9341</v>
      </c>
      <c r="HP77" s="561">
        <v>0</v>
      </c>
      <c r="HQ77" s="561">
        <v>0</v>
      </c>
      <c r="HR77" s="561">
        <v>0</v>
      </c>
      <c r="HS77" s="561">
        <v>0</v>
      </c>
      <c r="HT77" s="561">
        <v>0</v>
      </c>
      <c r="HU77" s="561">
        <v>0</v>
      </c>
      <c r="HV77" s="561">
        <v>0</v>
      </c>
      <c r="HW77" s="561">
        <v>0</v>
      </c>
      <c r="HX77" s="561">
        <v>0</v>
      </c>
      <c r="HY77" s="561">
        <v>0</v>
      </c>
      <c r="HZ77" s="561">
        <v>0</v>
      </c>
      <c r="IA77" s="561">
        <v>0</v>
      </c>
      <c r="IB77" s="561">
        <v>0</v>
      </c>
      <c r="IC77" s="561">
        <v>0</v>
      </c>
      <c r="ID77" s="561">
        <v>0</v>
      </c>
      <c r="IE77" s="561">
        <v>26</v>
      </c>
      <c r="IF77" s="561">
        <v>0</v>
      </c>
      <c r="IG77" s="561">
        <v>0</v>
      </c>
      <c r="IH77" s="561">
        <v>0</v>
      </c>
      <c r="II77" s="561">
        <v>9367</v>
      </c>
      <c r="IJ77" s="561">
        <v>0</v>
      </c>
      <c r="IK77" s="561">
        <v>0</v>
      </c>
      <c r="IL77" s="561">
        <v>0</v>
      </c>
      <c r="IM77" s="561">
        <v>0</v>
      </c>
      <c r="IN77" s="561">
        <v>0</v>
      </c>
      <c r="IO77" s="561">
        <v>0</v>
      </c>
      <c r="IP77" s="561">
        <v>0</v>
      </c>
      <c r="IQ77" s="561">
        <v>0</v>
      </c>
      <c r="IR77" s="561">
        <v>0</v>
      </c>
      <c r="IS77" s="561">
        <v>0</v>
      </c>
      <c r="IT77" s="561">
        <v>0</v>
      </c>
      <c r="IU77" s="561">
        <v>0</v>
      </c>
      <c r="IV77" s="561">
        <v>0</v>
      </c>
      <c r="IW77" s="561">
        <v>0</v>
      </c>
      <c r="IX77" s="561">
        <v>0</v>
      </c>
      <c r="IY77" s="561">
        <v>0</v>
      </c>
      <c r="IZ77" s="561">
        <v>0</v>
      </c>
      <c r="JA77" s="561">
        <v>191358</v>
      </c>
      <c r="JB77" s="561">
        <v>0</v>
      </c>
      <c r="JC77" s="561">
        <v>9367</v>
      </c>
      <c r="JD77" s="561">
        <v>0</v>
      </c>
      <c r="JE77" s="561">
        <v>200725</v>
      </c>
      <c r="JF77" s="561">
        <v>0</v>
      </c>
      <c r="JG77" s="561">
        <v>0</v>
      </c>
      <c r="JH77" s="561">
        <v>0</v>
      </c>
      <c r="JI77" s="561">
        <v>0</v>
      </c>
      <c r="JJ77" s="561">
        <v>0</v>
      </c>
      <c r="JK77" s="561">
        <v>0</v>
      </c>
      <c r="JL77" s="561">
        <v>0</v>
      </c>
      <c r="JM77" s="561">
        <v>0</v>
      </c>
      <c r="JN77" s="561">
        <v>0</v>
      </c>
      <c r="JO77" s="561">
        <v>0</v>
      </c>
      <c r="JP77" s="561">
        <v>0</v>
      </c>
      <c r="JQ77" s="561">
        <v>0</v>
      </c>
      <c r="JR77" s="561">
        <v>0</v>
      </c>
      <c r="JS77" s="561">
        <v>0</v>
      </c>
      <c r="JT77" s="561">
        <v>-1</v>
      </c>
      <c r="JU77" s="561">
        <v>0</v>
      </c>
      <c r="JV77" s="561">
        <v>200724</v>
      </c>
      <c r="JW77" s="561">
        <v>0</v>
      </c>
      <c r="JX77" s="561">
        <v>0</v>
      </c>
      <c r="JY77" s="561">
        <v>0</v>
      </c>
      <c r="JZ77" s="561">
        <v>0</v>
      </c>
      <c r="KA77" s="561">
        <v>0</v>
      </c>
      <c r="KB77" s="561">
        <v>0</v>
      </c>
      <c r="KC77" s="561">
        <v>-6133</v>
      </c>
      <c r="KD77" s="561">
        <v>112</v>
      </c>
      <c r="KE77" s="561">
        <v>506</v>
      </c>
      <c r="KF77" s="561">
        <v>0</v>
      </c>
      <c r="KG77" s="561">
        <v>195209</v>
      </c>
      <c r="KH77" s="561">
        <v>-884</v>
      </c>
      <c r="KI77" s="561">
        <v>0</v>
      </c>
      <c r="KJ77" s="561">
        <v>0</v>
      </c>
      <c r="KK77" s="561">
        <v>0</v>
      </c>
      <c r="KL77" s="561">
        <v>0</v>
      </c>
      <c r="KM77" s="561">
        <v>0</v>
      </c>
      <c r="KN77" s="561">
        <v>0</v>
      </c>
      <c r="KO77" s="561">
        <v>0</v>
      </c>
      <c r="KP77" s="561">
        <v>0</v>
      </c>
      <c r="KQ77" s="561">
        <v>0</v>
      </c>
      <c r="KR77" s="561">
        <v>194325</v>
      </c>
      <c r="KS77" s="561">
        <v>0</v>
      </c>
      <c r="KT77" s="561">
        <v>-26052</v>
      </c>
      <c r="KU77" s="561">
        <v>168273</v>
      </c>
      <c r="KV77" s="561">
        <v>0</v>
      </c>
      <c r="KW77" s="561">
        <v>0</v>
      </c>
      <c r="KX77" s="561">
        <v>0</v>
      </c>
      <c r="KY77" s="561">
        <v>0</v>
      </c>
      <c r="KZ77" s="561">
        <v>24</v>
      </c>
      <c r="LA77" s="561">
        <v>0</v>
      </c>
      <c r="LB77" s="561">
        <v>0</v>
      </c>
      <c r="LC77" s="561">
        <v>-117013</v>
      </c>
      <c r="LD77" s="561">
        <v>0</v>
      </c>
      <c r="LE77" s="561">
        <v>-1869</v>
      </c>
      <c r="LF77" s="561">
        <v>0</v>
      </c>
      <c r="LG77" s="561">
        <v>49415</v>
      </c>
      <c r="LH77" s="561">
        <v>0</v>
      </c>
      <c r="LI77" s="561">
        <v>0</v>
      </c>
      <c r="LJ77" s="561">
        <v>0</v>
      </c>
      <c r="LK77" s="561">
        <v>0</v>
      </c>
      <c r="LL77" s="561">
        <v>11850</v>
      </c>
      <c r="LM77" s="561">
        <v>5772</v>
      </c>
      <c r="LN77" s="561">
        <v>0</v>
      </c>
      <c r="LO77" s="561">
        <v>0</v>
      </c>
      <c r="LP77" s="561">
        <v>0</v>
      </c>
      <c r="LQ77" s="561">
        <v>0</v>
      </c>
      <c r="LR77" s="561">
        <v>11874</v>
      </c>
      <c r="LS77" s="561">
        <v>5772</v>
      </c>
      <c r="LT77" s="561">
        <v>0</v>
      </c>
      <c r="LU77" s="561">
        <v>5998</v>
      </c>
      <c r="LV77" s="561">
        <v>0</v>
      </c>
      <c r="LW77" s="561">
        <v>0</v>
      </c>
      <c r="LX77" s="561">
        <v>0</v>
      </c>
      <c r="LY77" s="561">
        <v>0</v>
      </c>
      <c r="LZ77" s="561">
        <v>5998</v>
      </c>
      <c r="MA77" s="561">
        <v>0</v>
      </c>
      <c r="MB77" s="561">
        <v>0</v>
      </c>
      <c r="MC77" s="561">
        <v>0</v>
      </c>
      <c r="MD77" s="561">
        <v>0</v>
      </c>
      <c r="ME77" s="561">
        <v>0</v>
      </c>
      <c r="MF77" s="561">
        <v>0</v>
      </c>
      <c r="MG77" s="561">
        <v>0</v>
      </c>
      <c r="MH77" s="561">
        <v>0</v>
      </c>
      <c r="MI77" s="561">
        <v>0</v>
      </c>
      <c r="MJ77" s="561">
        <v>0</v>
      </c>
      <c r="MK77" s="561">
        <v>0</v>
      </c>
      <c r="ML77" s="561">
        <v>0</v>
      </c>
      <c r="MM77" s="561">
        <v>11874</v>
      </c>
      <c r="MN77" s="561">
        <v>0</v>
      </c>
      <c r="MO77" s="561">
        <v>0</v>
      </c>
      <c r="MP77" s="561">
        <v>0</v>
      </c>
      <c r="MQ77" s="561">
        <v>0</v>
      </c>
      <c r="MR77" s="561">
        <v>0</v>
      </c>
      <c r="MS77" s="561">
        <v>0</v>
      </c>
      <c r="MT77" s="561">
        <v>0</v>
      </c>
      <c r="MU77" s="561">
        <v>0</v>
      </c>
      <c r="MV77" s="561">
        <v>0</v>
      </c>
      <c r="MW77" s="561">
        <v>0</v>
      </c>
      <c r="MX77" s="561">
        <v>0</v>
      </c>
      <c r="MY77" s="561">
        <v>0</v>
      </c>
      <c r="MZ77" s="561">
        <v>191358</v>
      </c>
      <c r="NA77" s="561">
        <v>0</v>
      </c>
      <c r="NB77" s="561">
        <v>9367</v>
      </c>
      <c r="NC77" s="561">
        <v>0</v>
      </c>
      <c r="ND77" s="561">
        <v>200725</v>
      </c>
      <c r="NE77" s="561">
        <v>0</v>
      </c>
      <c r="NF77" s="561">
        <v>0</v>
      </c>
      <c r="NG77" s="561">
        <v>0</v>
      </c>
      <c r="NH77" s="561">
        <v>0</v>
      </c>
      <c r="NI77" s="561">
        <v>0</v>
      </c>
      <c r="NJ77" s="561">
        <v>0</v>
      </c>
      <c r="NK77" s="561">
        <v>0</v>
      </c>
      <c r="NL77" s="561">
        <v>0</v>
      </c>
      <c r="NM77" s="561">
        <v>0</v>
      </c>
      <c r="NN77" s="561">
        <v>0</v>
      </c>
      <c r="NO77" s="561">
        <v>0</v>
      </c>
      <c r="NP77" s="561">
        <v>0</v>
      </c>
      <c r="NQ77" s="561">
        <v>0</v>
      </c>
      <c r="NR77" s="561">
        <v>0</v>
      </c>
      <c r="NS77" s="561">
        <v>0</v>
      </c>
      <c r="NT77" s="561">
        <v>0</v>
      </c>
      <c r="NU77" s="561">
        <v>0</v>
      </c>
      <c r="NV77" s="561">
        <v>0</v>
      </c>
      <c r="NW77" s="561">
        <v>0</v>
      </c>
      <c r="NX77" s="561">
        <v>0</v>
      </c>
      <c r="NY77" s="561">
        <v>0</v>
      </c>
      <c r="NZ77" s="561">
        <v>0</v>
      </c>
      <c r="OA77" s="561">
        <v>0</v>
      </c>
      <c r="OB77" s="561">
        <v>0</v>
      </c>
      <c r="OC77" s="561">
        <v>0</v>
      </c>
      <c r="OD77" s="561">
        <v>0</v>
      </c>
      <c r="OE77" s="561">
        <v>0</v>
      </c>
      <c r="OF77" s="561">
        <v>0</v>
      </c>
      <c r="OG77" s="561">
        <v>0</v>
      </c>
      <c r="OH77" s="561">
        <v>0</v>
      </c>
      <c r="OI77" s="561">
        <v>0</v>
      </c>
      <c r="OJ77" s="561">
        <v>0</v>
      </c>
      <c r="OK77" s="561">
        <v>0</v>
      </c>
      <c r="OL77" s="561">
        <v>0</v>
      </c>
      <c r="OM77" s="561">
        <v>0</v>
      </c>
      <c r="ON77" s="561">
        <v>0</v>
      </c>
      <c r="OO77" s="561">
        <v>0</v>
      </c>
      <c r="OP77" s="561">
        <v>0</v>
      </c>
      <c r="OQ77" s="561">
        <v>0</v>
      </c>
      <c r="OR77" s="561">
        <v>0</v>
      </c>
      <c r="OS77" s="561">
        <v>0</v>
      </c>
      <c r="OT77" s="561">
        <v>0</v>
      </c>
      <c r="OU77" s="561">
        <v>0</v>
      </c>
      <c r="OV77" s="561">
        <v>0</v>
      </c>
      <c r="OW77" s="561">
        <v>0</v>
      </c>
      <c r="OX77" s="561">
        <v>0</v>
      </c>
      <c r="OY77" s="561">
        <v>0</v>
      </c>
      <c r="OZ77" s="561">
        <v>0</v>
      </c>
      <c r="PA77" s="561">
        <v>0</v>
      </c>
      <c r="PB77" s="561">
        <v>0</v>
      </c>
      <c r="PC77" s="561">
        <v>0</v>
      </c>
      <c r="PD77" s="561">
        <v>0</v>
      </c>
      <c r="PE77" s="561">
        <v>0</v>
      </c>
      <c r="PF77" s="561">
        <v>0</v>
      </c>
      <c r="PG77" s="561">
        <v>0</v>
      </c>
      <c r="PH77" s="561">
        <v>0</v>
      </c>
      <c r="PI77" s="561">
        <v>0</v>
      </c>
      <c r="PJ77" s="561">
        <v>0</v>
      </c>
    </row>
    <row r="78" spans="1:426" ht="14" x14ac:dyDescent="0.3">
      <c r="A78" t="s">
        <v>2663</v>
      </c>
      <c r="B78" t="s">
        <v>2664</v>
      </c>
      <c r="C78" t="s">
        <v>2665</v>
      </c>
      <c r="E78" t="s">
        <v>384</v>
      </c>
      <c r="F78" s="561">
        <v>0</v>
      </c>
      <c r="G78" s="561">
        <v>0</v>
      </c>
      <c r="H78" s="561">
        <v>0</v>
      </c>
      <c r="I78" s="561">
        <v>0</v>
      </c>
      <c r="J78" s="561">
        <v>0</v>
      </c>
      <c r="K78" s="561">
        <v>0</v>
      </c>
      <c r="L78" s="561">
        <v>0</v>
      </c>
      <c r="M78" s="561">
        <v>0</v>
      </c>
      <c r="N78" s="561">
        <v>0</v>
      </c>
      <c r="O78" s="561">
        <v>394</v>
      </c>
      <c r="P78" s="561">
        <v>0</v>
      </c>
      <c r="Q78" s="561">
        <v>0</v>
      </c>
      <c r="R78" s="561">
        <v>0</v>
      </c>
      <c r="S78" s="561">
        <v>0</v>
      </c>
      <c r="T78" s="561">
        <v>1</v>
      </c>
      <c r="U78" s="561">
        <v>0</v>
      </c>
      <c r="V78" s="561">
        <v>24</v>
      </c>
      <c r="W78" s="561">
        <v>0</v>
      </c>
      <c r="X78" s="561">
        <v>0</v>
      </c>
      <c r="Y78" s="561">
        <v>0</v>
      </c>
      <c r="Z78" s="561">
        <v>0</v>
      </c>
      <c r="AA78" s="561">
        <v>-118</v>
      </c>
      <c r="AB78" s="561">
        <v>992</v>
      </c>
      <c r="AC78" s="561">
        <v>0</v>
      </c>
      <c r="AD78" s="561">
        <v>0</v>
      </c>
      <c r="AE78" s="561">
        <v>0</v>
      </c>
      <c r="AF78" s="561">
        <v>0</v>
      </c>
      <c r="AG78" s="561">
        <v>0</v>
      </c>
      <c r="AH78" s="561">
        <v>32</v>
      </c>
      <c r="AI78" s="561">
        <v>0</v>
      </c>
      <c r="AJ78" s="561">
        <v>1325</v>
      </c>
      <c r="AK78" s="561">
        <v>0</v>
      </c>
      <c r="AL78" s="561">
        <v>0</v>
      </c>
      <c r="AM78" s="561">
        <v>0</v>
      </c>
      <c r="AN78" s="561">
        <v>0</v>
      </c>
      <c r="AO78" s="561">
        <v>0</v>
      </c>
      <c r="AP78" s="561">
        <v>0</v>
      </c>
      <c r="AQ78" s="561">
        <v>0</v>
      </c>
      <c r="AR78" s="561">
        <v>0</v>
      </c>
      <c r="AS78" s="561">
        <v>0</v>
      </c>
      <c r="AT78" s="561">
        <v>0</v>
      </c>
      <c r="AU78" s="561">
        <v>0</v>
      </c>
      <c r="AV78" s="561">
        <v>0</v>
      </c>
      <c r="AW78" s="561">
        <v>0</v>
      </c>
      <c r="AX78" s="561">
        <v>0</v>
      </c>
      <c r="AY78" s="561">
        <v>0</v>
      </c>
      <c r="AZ78" s="561">
        <v>0</v>
      </c>
      <c r="BA78" s="561">
        <v>0</v>
      </c>
      <c r="BB78" s="561">
        <v>0</v>
      </c>
      <c r="BC78" s="561">
        <v>0</v>
      </c>
      <c r="BD78" s="561">
        <v>0</v>
      </c>
      <c r="BE78" s="561">
        <v>0</v>
      </c>
      <c r="BF78" s="561">
        <v>0</v>
      </c>
      <c r="BG78" s="561">
        <v>0</v>
      </c>
      <c r="BH78" s="561">
        <v>0</v>
      </c>
      <c r="BI78" s="561">
        <v>0</v>
      </c>
      <c r="BJ78" s="561">
        <v>0</v>
      </c>
      <c r="BK78" s="561">
        <v>0</v>
      </c>
      <c r="BL78" s="561">
        <v>0</v>
      </c>
      <c r="BM78" s="561">
        <v>0</v>
      </c>
      <c r="BN78" s="561">
        <v>0</v>
      </c>
      <c r="BO78" s="561">
        <v>0</v>
      </c>
      <c r="BP78" s="561">
        <v>0</v>
      </c>
      <c r="BQ78" s="561">
        <v>0</v>
      </c>
      <c r="BR78" s="561">
        <v>0</v>
      </c>
      <c r="BS78" s="561">
        <v>0</v>
      </c>
      <c r="BT78" s="561">
        <v>0</v>
      </c>
      <c r="BU78" s="561">
        <v>0</v>
      </c>
      <c r="BV78" s="561">
        <v>0</v>
      </c>
      <c r="BW78" s="561">
        <v>0</v>
      </c>
      <c r="BX78" s="561">
        <v>0</v>
      </c>
      <c r="BY78" s="561">
        <v>0</v>
      </c>
      <c r="BZ78" s="561">
        <v>0</v>
      </c>
      <c r="CA78" s="561">
        <v>0</v>
      </c>
      <c r="CB78" s="561">
        <v>0</v>
      </c>
      <c r="CC78" s="561">
        <v>0</v>
      </c>
      <c r="CD78" s="561">
        <v>0</v>
      </c>
      <c r="CE78" s="561">
        <v>0</v>
      </c>
      <c r="CF78" s="561">
        <v>0</v>
      </c>
      <c r="CG78" s="561">
        <v>0</v>
      </c>
      <c r="CH78" s="561">
        <v>0</v>
      </c>
      <c r="CI78" s="561">
        <v>0</v>
      </c>
      <c r="CJ78" s="561">
        <v>0</v>
      </c>
      <c r="CK78" s="561">
        <v>0</v>
      </c>
      <c r="CL78" s="561">
        <v>0</v>
      </c>
      <c r="CM78" s="561">
        <v>0</v>
      </c>
      <c r="CN78" s="561">
        <v>0</v>
      </c>
      <c r="CO78" s="561">
        <v>0</v>
      </c>
      <c r="CP78" s="561">
        <v>0</v>
      </c>
      <c r="CQ78" s="561">
        <v>0</v>
      </c>
      <c r="CR78" s="561">
        <v>0</v>
      </c>
      <c r="CS78" s="561">
        <v>0</v>
      </c>
      <c r="CT78" s="561">
        <v>0</v>
      </c>
      <c r="CU78" s="561">
        <v>0</v>
      </c>
      <c r="CV78" s="561">
        <v>0</v>
      </c>
      <c r="CW78" s="561">
        <v>0</v>
      </c>
      <c r="CX78" s="561">
        <v>0</v>
      </c>
      <c r="CY78" s="561">
        <v>0</v>
      </c>
      <c r="CZ78" s="561">
        <v>0</v>
      </c>
      <c r="DA78" s="561">
        <v>0</v>
      </c>
      <c r="DB78" s="561">
        <v>0</v>
      </c>
      <c r="DC78" s="561">
        <v>0</v>
      </c>
      <c r="DD78" s="561">
        <v>0</v>
      </c>
      <c r="DE78" s="561">
        <v>0</v>
      </c>
      <c r="DF78" s="561">
        <v>0</v>
      </c>
      <c r="DG78" s="561">
        <v>0</v>
      </c>
      <c r="DH78" s="561">
        <v>802</v>
      </c>
      <c r="DI78" s="561">
        <v>0</v>
      </c>
      <c r="DJ78" s="561">
        <v>0</v>
      </c>
      <c r="DK78" s="561">
        <v>0</v>
      </c>
      <c r="DL78" s="561">
        <v>1689</v>
      </c>
      <c r="DM78" s="561">
        <v>281</v>
      </c>
      <c r="DN78" s="561">
        <v>0</v>
      </c>
      <c r="DO78" s="561">
        <v>3316</v>
      </c>
      <c r="DP78" s="561">
        <v>0</v>
      </c>
      <c r="DQ78" s="561">
        <v>0</v>
      </c>
      <c r="DR78" s="561">
        <v>484</v>
      </c>
      <c r="DS78" s="561">
        <v>3382</v>
      </c>
      <c r="DT78" s="561">
        <v>-44</v>
      </c>
      <c r="DU78" s="561">
        <v>9108</v>
      </c>
      <c r="DV78" s="561">
        <v>0</v>
      </c>
      <c r="DW78" s="561">
        <v>2645</v>
      </c>
      <c r="DX78" s="561">
        <v>0</v>
      </c>
      <c r="DY78" s="561">
        <v>302</v>
      </c>
      <c r="DZ78" s="561">
        <v>0</v>
      </c>
      <c r="EA78" s="561">
        <v>0</v>
      </c>
      <c r="EB78" s="561">
        <v>0</v>
      </c>
      <c r="EC78" s="561">
        <v>12857</v>
      </c>
      <c r="ED78" s="561">
        <v>0</v>
      </c>
      <c r="EE78" s="561">
        <v>33841</v>
      </c>
      <c r="EF78" s="561">
        <v>1392</v>
      </c>
      <c r="EG78" s="561">
        <v>3932</v>
      </c>
      <c r="EH78" s="561">
        <v>66</v>
      </c>
      <c r="EI78" s="561">
        <v>0</v>
      </c>
      <c r="EJ78" s="561">
        <v>6</v>
      </c>
      <c r="EK78" s="561">
        <v>0</v>
      </c>
      <c r="EL78" s="561">
        <v>0</v>
      </c>
      <c r="EM78" s="561">
        <v>0</v>
      </c>
      <c r="EN78" s="561">
        <v>8100</v>
      </c>
      <c r="EO78" s="561">
        <v>12391</v>
      </c>
      <c r="EP78" s="561">
        <v>0</v>
      </c>
      <c r="EQ78" s="561">
        <v>263</v>
      </c>
      <c r="ER78" s="561">
        <v>0</v>
      </c>
      <c r="ES78" s="561" t="s">
        <v>4565</v>
      </c>
      <c r="ET78" s="561">
        <v>6000</v>
      </c>
      <c r="EU78" s="561">
        <v>10715</v>
      </c>
      <c r="EV78" s="561">
        <v>98</v>
      </c>
      <c r="EW78" s="561">
        <v>0</v>
      </c>
      <c r="EX78" s="561">
        <v>0</v>
      </c>
      <c r="EY78" s="561">
        <v>0</v>
      </c>
      <c r="EZ78" s="561">
        <v>1670</v>
      </c>
      <c r="FA78" s="561">
        <v>4379</v>
      </c>
      <c r="FB78" s="561">
        <v>0</v>
      </c>
      <c r="FC78" s="561">
        <v>0</v>
      </c>
      <c r="FD78" s="561">
        <v>155</v>
      </c>
      <c r="FE78" s="561">
        <v>1503</v>
      </c>
      <c r="FF78" s="561">
        <v>1591</v>
      </c>
      <c r="FG78" s="561">
        <v>98</v>
      </c>
      <c r="FH78" s="561">
        <v>127</v>
      </c>
      <c r="FI78" s="561">
        <v>0</v>
      </c>
      <c r="FJ78" s="561">
        <v>5519</v>
      </c>
      <c r="FK78" s="561">
        <v>2519</v>
      </c>
      <c r="FL78" s="561">
        <v>0</v>
      </c>
      <c r="FM78" s="561">
        <v>309</v>
      </c>
      <c r="FN78" s="561">
        <v>0</v>
      </c>
      <c r="FO78" s="561">
        <v>11821</v>
      </c>
      <c r="FP78" s="561">
        <v>0</v>
      </c>
      <c r="FQ78" s="561">
        <v>-327</v>
      </c>
      <c r="FR78" s="561">
        <v>0</v>
      </c>
      <c r="FS78" s="561">
        <v>0</v>
      </c>
      <c r="FT78" s="561">
        <v>558</v>
      </c>
      <c r="FU78" s="561">
        <v>493</v>
      </c>
      <c r="FV78" s="561">
        <v>637</v>
      </c>
      <c r="FW78" s="561">
        <v>0</v>
      </c>
      <c r="FX78" s="561">
        <v>0</v>
      </c>
      <c r="FY78" s="561">
        <v>50</v>
      </c>
      <c r="FZ78" s="561">
        <v>0</v>
      </c>
      <c r="GA78" s="561">
        <v>1</v>
      </c>
      <c r="GB78" s="561">
        <v>0</v>
      </c>
      <c r="GC78" s="561">
        <v>-62</v>
      </c>
      <c r="GD78" s="561">
        <v>0</v>
      </c>
      <c r="GE78" s="561">
        <v>153</v>
      </c>
      <c r="GF78" s="561">
        <v>761</v>
      </c>
      <c r="GG78" s="561">
        <v>0</v>
      </c>
      <c r="GH78" s="561">
        <v>0</v>
      </c>
      <c r="GI78" s="561">
        <v>0</v>
      </c>
      <c r="GJ78" s="561">
        <v>0</v>
      </c>
      <c r="GK78" s="561">
        <v>0</v>
      </c>
      <c r="GL78" s="561">
        <v>3765</v>
      </c>
      <c r="GM78" s="561">
        <v>0</v>
      </c>
      <c r="GN78" s="561">
        <v>0</v>
      </c>
      <c r="GO78" s="561">
        <v>-116</v>
      </c>
      <c r="GP78" s="561">
        <v>5817</v>
      </c>
      <c r="GQ78" s="561">
        <v>0</v>
      </c>
      <c r="GR78" s="561">
        <v>0</v>
      </c>
      <c r="GS78" s="561">
        <v>11730</v>
      </c>
      <c r="GT78" s="561">
        <v>0</v>
      </c>
      <c r="GU78" s="561">
        <v>499</v>
      </c>
      <c r="GV78" s="561">
        <v>-82</v>
      </c>
      <c r="GW78" s="561">
        <v>0</v>
      </c>
      <c r="GX78" s="561">
        <v>664</v>
      </c>
      <c r="GY78" s="561">
        <v>1008</v>
      </c>
      <c r="GZ78" s="561">
        <v>4064</v>
      </c>
      <c r="HA78" s="561">
        <v>0</v>
      </c>
      <c r="HB78" s="561">
        <v>0</v>
      </c>
      <c r="HC78" s="561">
        <v>4230</v>
      </c>
      <c r="HD78" s="561">
        <v>10383</v>
      </c>
      <c r="HE78" s="561">
        <v>0</v>
      </c>
      <c r="HF78" s="561">
        <v>33934</v>
      </c>
      <c r="HG78" s="561">
        <v>0</v>
      </c>
      <c r="HH78" s="561">
        <v>0</v>
      </c>
      <c r="HI78" s="561">
        <v>0</v>
      </c>
      <c r="HJ78" s="561">
        <v>0</v>
      </c>
      <c r="HK78" s="561">
        <v>0</v>
      </c>
      <c r="HL78" s="561">
        <v>0</v>
      </c>
      <c r="HM78" s="561">
        <v>0</v>
      </c>
      <c r="HN78" s="561">
        <v>0</v>
      </c>
      <c r="HO78" s="561">
        <v>4446</v>
      </c>
      <c r="HP78" s="561">
        <v>329</v>
      </c>
      <c r="HQ78" s="561">
        <v>0</v>
      </c>
      <c r="HR78" s="561">
        <v>0</v>
      </c>
      <c r="HS78" s="561">
        <v>12</v>
      </c>
      <c r="HT78" s="561">
        <v>53</v>
      </c>
      <c r="HU78" s="561">
        <v>0</v>
      </c>
      <c r="HV78" s="561">
        <v>0</v>
      </c>
      <c r="HW78" s="561">
        <v>203</v>
      </c>
      <c r="HX78" s="561">
        <v>396</v>
      </c>
      <c r="HY78" s="561">
        <v>74</v>
      </c>
      <c r="HZ78" s="561">
        <v>47</v>
      </c>
      <c r="IA78" s="561">
        <v>0</v>
      </c>
      <c r="IB78" s="561">
        <v>0</v>
      </c>
      <c r="IC78" s="561">
        <v>0</v>
      </c>
      <c r="ID78" s="561">
        <v>0</v>
      </c>
      <c r="IE78" s="561">
        <v>-2687</v>
      </c>
      <c r="IF78" s="561">
        <v>0</v>
      </c>
      <c r="IG78" s="561">
        <v>0</v>
      </c>
      <c r="IH78" s="561">
        <v>-1179</v>
      </c>
      <c r="II78" s="561">
        <v>1694</v>
      </c>
      <c r="IJ78" s="561">
        <v>0</v>
      </c>
      <c r="IK78" s="561">
        <v>5726</v>
      </c>
      <c r="IL78" s="561">
        <v>0</v>
      </c>
      <c r="IM78" s="561">
        <v>0</v>
      </c>
      <c r="IN78" s="561">
        <v>0</v>
      </c>
      <c r="IO78" s="561">
        <v>0</v>
      </c>
      <c r="IP78" s="561">
        <v>0</v>
      </c>
      <c r="IQ78" s="561">
        <v>0</v>
      </c>
      <c r="IR78" s="561">
        <v>0</v>
      </c>
      <c r="IS78" s="561">
        <v>1325</v>
      </c>
      <c r="IT78" s="561">
        <v>0</v>
      </c>
      <c r="IU78" s="561">
        <v>0</v>
      </c>
      <c r="IV78" s="561">
        <v>0</v>
      </c>
      <c r="IW78" s="561">
        <v>12857</v>
      </c>
      <c r="IX78" s="561">
        <v>11821</v>
      </c>
      <c r="IY78" s="561">
        <v>11730</v>
      </c>
      <c r="IZ78" s="561">
        <v>10383</v>
      </c>
      <c r="JA78" s="561">
        <v>0</v>
      </c>
      <c r="JB78" s="561">
        <v>0</v>
      </c>
      <c r="JC78" s="561">
        <v>1694</v>
      </c>
      <c r="JD78" s="561">
        <v>0</v>
      </c>
      <c r="JE78" s="561">
        <v>49810</v>
      </c>
      <c r="JF78" s="561">
        <v>20186</v>
      </c>
      <c r="JG78" s="561">
        <v>4436</v>
      </c>
      <c r="JH78" s="561">
        <v>11630</v>
      </c>
      <c r="JI78" s="561">
        <v>0</v>
      </c>
      <c r="JJ78" s="561">
        <v>0</v>
      </c>
      <c r="JK78" s="561">
        <v>2500</v>
      </c>
      <c r="JL78" s="561">
        <v>0</v>
      </c>
      <c r="JM78" s="561">
        <v>0</v>
      </c>
      <c r="JN78" s="561">
        <v>0</v>
      </c>
      <c r="JO78" s="561">
        <v>0</v>
      </c>
      <c r="JP78" s="561">
        <v>-800</v>
      </c>
      <c r="JQ78" s="561">
        <v>0</v>
      </c>
      <c r="JR78" s="561">
        <v>0</v>
      </c>
      <c r="JS78" s="561">
        <v>0</v>
      </c>
      <c r="JT78" s="561">
        <v>0</v>
      </c>
      <c r="JU78" s="561">
        <v>0</v>
      </c>
      <c r="JV78" s="561">
        <v>87762</v>
      </c>
      <c r="JW78" s="561">
        <v>0</v>
      </c>
      <c r="JX78" s="561">
        <v>0</v>
      </c>
      <c r="JY78" s="561">
        <v>0</v>
      </c>
      <c r="JZ78" s="561">
        <v>0</v>
      </c>
      <c r="KA78" s="561">
        <v>0</v>
      </c>
      <c r="KB78" s="561">
        <v>-210</v>
      </c>
      <c r="KC78" s="561">
        <v>2543</v>
      </c>
      <c r="KD78" s="561">
        <v>1406</v>
      </c>
      <c r="KE78" s="561">
        <v>7948</v>
      </c>
      <c r="KF78" s="561">
        <v>-6356</v>
      </c>
      <c r="KG78" s="561">
        <v>93093</v>
      </c>
      <c r="KH78" s="561">
        <v>0</v>
      </c>
      <c r="KI78" s="561">
        <v>0</v>
      </c>
      <c r="KJ78" s="561">
        <v>0</v>
      </c>
      <c r="KK78" s="561">
        <v>0</v>
      </c>
      <c r="KL78" s="561">
        <v>-36252</v>
      </c>
      <c r="KM78" s="561">
        <v>0</v>
      </c>
      <c r="KN78" s="561">
        <v>0</v>
      </c>
      <c r="KO78" s="561">
        <v>0</v>
      </c>
      <c r="KP78" s="561">
        <v>0</v>
      </c>
      <c r="KQ78" s="561">
        <v>0</v>
      </c>
      <c r="KR78" s="561">
        <v>56841</v>
      </c>
      <c r="KS78" s="561">
        <v>0</v>
      </c>
      <c r="KT78" s="561">
        <v>-4414.16</v>
      </c>
      <c r="KU78" s="561">
        <v>52426.84</v>
      </c>
      <c r="KV78" s="561">
        <v>0</v>
      </c>
      <c r="KW78" s="561">
        <v>0</v>
      </c>
      <c r="KX78" s="561">
        <v>0</v>
      </c>
      <c r="KY78" s="561">
        <v>0</v>
      </c>
      <c r="KZ78" s="561">
        <v>406</v>
      </c>
      <c r="LA78" s="561">
        <v>-1121</v>
      </c>
      <c r="LB78" s="561">
        <v>-218</v>
      </c>
      <c r="LC78" s="561">
        <v>0</v>
      </c>
      <c r="LD78" s="561">
        <v>-3493</v>
      </c>
      <c r="LE78" s="561">
        <v>-700</v>
      </c>
      <c r="LF78" s="561">
        <v>-30389</v>
      </c>
      <c r="LG78" s="561">
        <v>16912</v>
      </c>
      <c r="LH78" s="561">
        <v>0</v>
      </c>
      <c r="LI78" s="561">
        <v>0</v>
      </c>
      <c r="LJ78" s="561">
        <v>0</v>
      </c>
      <c r="LK78" s="561">
        <v>0</v>
      </c>
      <c r="LL78" s="561">
        <v>22710</v>
      </c>
      <c r="LM78" s="561">
        <v>6917</v>
      </c>
      <c r="LN78" s="561">
        <v>0</v>
      </c>
      <c r="LO78" s="561">
        <v>0</v>
      </c>
      <c r="LP78" s="561">
        <v>0</v>
      </c>
      <c r="LQ78" s="561">
        <v>0</v>
      </c>
      <c r="LR78" s="561">
        <v>23116</v>
      </c>
      <c r="LS78" s="561">
        <v>5796</v>
      </c>
      <c r="LT78" s="561">
        <v>0</v>
      </c>
      <c r="LU78" s="561">
        <v>14443</v>
      </c>
      <c r="LV78" s="561">
        <v>0</v>
      </c>
      <c r="LW78" s="561">
        <v>49170</v>
      </c>
      <c r="LX78" s="561">
        <v>-11835</v>
      </c>
      <c r="LY78" s="561">
        <v>4065</v>
      </c>
      <c r="LZ78" s="561">
        <v>94014</v>
      </c>
      <c r="MA78" s="561">
        <v>0</v>
      </c>
      <c r="MB78" s="561">
        <v>0</v>
      </c>
      <c r="MC78" s="561">
        <v>39237</v>
      </c>
      <c r="MD78" s="561">
        <v>37567</v>
      </c>
      <c r="ME78" s="561">
        <v>1670</v>
      </c>
      <c r="MF78" s="561">
        <v>4379</v>
      </c>
      <c r="MG78" s="561">
        <v>6049</v>
      </c>
      <c r="MH78" s="561" t="s">
        <v>4582</v>
      </c>
      <c r="MI78" s="561" t="s">
        <v>4582</v>
      </c>
      <c r="MJ78" s="561">
        <v>10849</v>
      </c>
      <c r="MK78" s="561">
        <v>0</v>
      </c>
      <c r="ML78" s="561">
        <v>0</v>
      </c>
      <c r="MM78" s="561">
        <v>5331</v>
      </c>
      <c r="MN78" s="561">
        <v>0</v>
      </c>
      <c r="MO78" s="561">
        <v>16845</v>
      </c>
      <c r="MP78" s="561">
        <v>940</v>
      </c>
      <c r="MQ78" s="561">
        <v>0</v>
      </c>
      <c r="MR78" s="561">
        <v>1325</v>
      </c>
      <c r="MS78" s="561">
        <v>0</v>
      </c>
      <c r="MT78" s="561">
        <v>0</v>
      </c>
      <c r="MU78" s="561">
        <v>0</v>
      </c>
      <c r="MV78" s="561">
        <v>12857</v>
      </c>
      <c r="MW78" s="561">
        <v>11821</v>
      </c>
      <c r="MX78" s="561">
        <v>11730</v>
      </c>
      <c r="MY78" s="561">
        <v>10383</v>
      </c>
      <c r="MZ78" s="561">
        <v>0</v>
      </c>
      <c r="NA78" s="561">
        <v>0</v>
      </c>
      <c r="NB78" s="561">
        <v>1694</v>
      </c>
      <c r="NC78" s="561">
        <v>0</v>
      </c>
      <c r="ND78" s="561">
        <v>49810</v>
      </c>
      <c r="NE78" s="561">
        <v>0</v>
      </c>
      <c r="NF78" s="561">
        <v>0</v>
      </c>
      <c r="NG78" s="561">
        <v>0</v>
      </c>
      <c r="NH78" s="561">
        <v>0</v>
      </c>
      <c r="NI78" s="561">
        <v>0</v>
      </c>
      <c r="NJ78" s="561">
        <v>0</v>
      </c>
      <c r="NK78" s="561">
        <v>0</v>
      </c>
      <c r="NL78" s="561">
        <v>0</v>
      </c>
      <c r="NM78" s="561">
        <v>0</v>
      </c>
      <c r="NN78" s="561">
        <v>0</v>
      </c>
      <c r="NO78" s="561">
        <v>0</v>
      </c>
      <c r="NP78" s="561">
        <v>0</v>
      </c>
      <c r="NQ78" s="561">
        <v>0</v>
      </c>
      <c r="NR78" s="561">
        <v>0</v>
      </c>
      <c r="NS78" s="561">
        <v>0</v>
      </c>
      <c r="NT78" s="561">
        <v>-814</v>
      </c>
      <c r="NU78" s="561">
        <v>0</v>
      </c>
      <c r="NV78" s="561">
        <v>46</v>
      </c>
      <c r="NW78" s="561">
        <v>-800</v>
      </c>
      <c r="NX78" s="561">
        <v>0</v>
      </c>
      <c r="NY78" s="561">
        <v>-800</v>
      </c>
      <c r="NZ78" s="561">
        <v>0</v>
      </c>
      <c r="OA78" s="561">
        <v>0</v>
      </c>
      <c r="OB78" s="561">
        <v>0</v>
      </c>
      <c r="OC78" s="561">
        <v>0</v>
      </c>
      <c r="OD78" s="561">
        <v>0</v>
      </c>
      <c r="OE78" s="561">
        <v>0</v>
      </c>
      <c r="OF78" s="561">
        <v>0</v>
      </c>
      <c r="OG78" s="561">
        <v>0</v>
      </c>
      <c r="OH78" s="561">
        <v>0</v>
      </c>
      <c r="OI78" s="561">
        <v>0</v>
      </c>
      <c r="OJ78" s="561">
        <v>0</v>
      </c>
      <c r="OK78" s="561">
        <v>0</v>
      </c>
      <c r="OL78" s="561">
        <v>0</v>
      </c>
      <c r="OM78" s="561">
        <v>0</v>
      </c>
      <c r="ON78" s="561">
        <v>0</v>
      </c>
      <c r="OO78" s="561">
        <v>0</v>
      </c>
      <c r="OP78" s="561">
        <v>0</v>
      </c>
      <c r="OQ78" s="561">
        <v>0</v>
      </c>
      <c r="OR78" s="561">
        <v>0</v>
      </c>
      <c r="OS78" s="561">
        <v>0</v>
      </c>
      <c r="OT78" s="561">
        <v>0</v>
      </c>
      <c r="OU78" s="561">
        <v>0</v>
      </c>
      <c r="OV78" s="561">
        <v>0</v>
      </c>
      <c r="OW78" s="561">
        <v>0</v>
      </c>
      <c r="OX78" s="561">
        <v>0</v>
      </c>
      <c r="OY78" s="561">
        <v>0</v>
      </c>
      <c r="OZ78" s="561">
        <v>0</v>
      </c>
      <c r="PA78" s="561">
        <v>0</v>
      </c>
      <c r="PB78" s="561">
        <v>0</v>
      </c>
      <c r="PC78" s="561">
        <v>0</v>
      </c>
      <c r="PD78" s="561">
        <v>0</v>
      </c>
      <c r="PE78" s="561">
        <v>0</v>
      </c>
      <c r="PF78" s="561">
        <v>0</v>
      </c>
      <c r="PG78" s="561">
        <v>0</v>
      </c>
      <c r="PH78" s="561">
        <v>0</v>
      </c>
      <c r="PI78" s="561">
        <v>0</v>
      </c>
      <c r="PJ78" s="561">
        <v>0</v>
      </c>
    </row>
    <row r="79" spans="1:426" ht="14" x14ac:dyDescent="0.3">
      <c r="A79" t="s">
        <v>2666</v>
      </c>
      <c r="B79" t="s">
        <v>2667</v>
      </c>
      <c r="C79" t="s">
        <v>4589</v>
      </c>
      <c r="E79" t="s">
        <v>385</v>
      </c>
      <c r="F79" s="561">
        <v>59577</v>
      </c>
      <c r="G79" s="561">
        <v>48543</v>
      </c>
      <c r="H79" s="561">
        <v>43853</v>
      </c>
      <c r="I79" s="561">
        <v>33933</v>
      </c>
      <c r="J79" s="561">
        <v>18403</v>
      </c>
      <c r="K79" s="561">
        <v>93007</v>
      </c>
      <c r="L79" s="561">
        <v>297316</v>
      </c>
      <c r="M79" s="561">
        <v>1990</v>
      </c>
      <c r="N79" s="561">
        <v>-4468</v>
      </c>
      <c r="O79" s="561">
        <v>993</v>
      </c>
      <c r="P79" s="561">
        <v>3122</v>
      </c>
      <c r="Q79" s="561">
        <v>949</v>
      </c>
      <c r="R79" s="561">
        <v>300</v>
      </c>
      <c r="S79" s="561">
        <v>1573</v>
      </c>
      <c r="T79" s="561">
        <v>13246</v>
      </c>
      <c r="U79" s="561">
        <v>2274</v>
      </c>
      <c r="V79" s="561">
        <v>3636</v>
      </c>
      <c r="W79" s="561">
        <v>0</v>
      </c>
      <c r="X79" s="561">
        <v>0</v>
      </c>
      <c r="Y79" s="561">
        <v>908</v>
      </c>
      <c r="Z79" s="561">
        <v>713</v>
      </c>
      <c r="AA79" s="561">
        <v>-1263</v>
      </c>
      <c r="AB79" s="561">
        <v>-9199</v>
      </c>
      <c r="AC79" s="561">
        <v>7185</v>
      </c>
      <c r="AD79" s="561">
        <v>0</v>
      </c>
      <c r="AE79" s="561">
        <v>14730</v>
      </c>
      <c r="AF79" s="561">
        <v>0</v>
      </c>
      <c r="AG79" s="561">
        <v>7819</v>
      </c>
      <c r="AH79" s="561">
        <v>1323</v>
      </c>
      <c r="AI79" s="561">
        <v>2657</v>
      </c>
      <c r="AJ79" s="561">
        <v>46498</v>
      </c>
      <c r="AK79" s="561">
        <v>70</v>
      </c>
      <c r="AL79" s="561">
        <v>0</v>
      </c>
      <c r="AM79" s="561">
        <v>0</v>
      </c>
      <c r="AN79" s="561">
        <v>0</v>
      </c>
      <c r="AO79" s="561">
        <v>0</v>
      </c>
      <c r="AP79" s="561">
        <v>8</v>
      </c>
      <c r="AQ79" s="561">
        <v>0</v>
      </c>
      <c r="AR79" s="561">
        <v>0</v>
      </c>
      <c r="AS79" s="561">
        <v>1241</v>
      </c>
      <c r="AT79" s="561">
        <v>1867</v>
      </c>
      <c r="AU79" s="561">
        <v>0</v>
      </c>
      <c r="AV79" s="561">
        <v>0</v>
      </c>
      <c r="AW79" s="561">
        <v>0</v>
      </c>
      <c r="AX79" s="561">
        <v>6423</v>
      </c>
      <c r="AY79" s="561">
        <v>66273</v>
      </c>
      <c r="AZ79" s="561">
        <v>377</v>
      </c>
      <c r="BA79" s="561">
        <v>20273</v>
      </c>
      <c r="BB79" s="561">
        <v>945</v>
      </c>
      <c r="BC79" s="561">
        <v>25152</v>
      </c>
      <c r="BD79" s="561">
        <v>-47</v>
      </c>
      <c r="BE79" s="561">
        <v>3867</v>
      </c>
      <c r="BF79" s="561">
        <v>123263</v>
      </c>
      <c r="BG79" s="561">
        <v>2218</v>
      </c>
      <c r="BH79" s="561">
        <v>33934</v>
      </c>
      <c r="BI79" s="561">
        <v>81523</v>
      </c>
      <c r="BJ79" s="561">
        <v>1032</v>
      </c>
      <c r="BK79" s="561">
        <v>2680</v>
      </c>
      <c r="BL79" s="561">
        <v>1271</v>
      </c>
      <c r="BM79" s="561">
        <v>16350</v>
      </c>
      <c r="BN79" s="561">
        <v>84600</v>
      </c>
      <c r="BO79" s="561">
        <v>13165</v>
      </c>
      <c r="BP79" s="561">
        <v>14165</v>
      </c>
      <c r="BQ79" s="561">
        <v>7317</v>
      </c>
      <c r="BR79" s="561">
        <v>1381</v>
      </c>
      <c r="BS79" s="561">
        <v>0</v>
      </c>
      <c r="BT79" s="561">
        <v>602</v>
      </c>
      <c r="BU79" s="561">
        <v>4018</v>
      </c>
      <c r="BV79" s="561">
        <v>2883</v>
      </c>
      <c r="BW79" s="561">
        <v>29897</v>
      </c>
      <c r="BX79" s="561">
        <v>4115</v>
      </c>
      <c r="BY79" s="561">
        <v>21497</v>
      </c>
      <c r="BZ79" s="561">
        <v>320430</v>
      </c>
      <c r="CA79" s="561">
        <v>3769</v>
      </c>
      <c r="CB79" s="561">
        <v>2083</v>
      </c>
      <c r="CC79" s="561">
        <v>2147</v>
      </c>
      <c r="CD79" s="561">
        <v>551</v>
      </c>
      <c r="CE79" s="561">
        <v>422</v>
      </c>
      <c r="CF79" s="561">
        <v>229</v>
      </c>
      <c r="CG79" s="561">
        <v>152</v>
      </c>
      <c r="CH79" s="561">
        <v>279</v>
      </c>
      <c r="CI79" s="561">
        <v>431</v>
      </c>
      <c r="CJ79" s="561">
        <v>333</v>
      </c>
      <c r="CK79" s="561">
        <v>232</v>
      </c>
      <c r="CL79" s="561">
        <v>245</v>
      </c>
      <c r="CM79" s="561">
        <v>3288</v>
      </c>
      <c r="CN79" s="561">
        <v>4648</v>
      </c>
      <c r="CO79" s="561">
        <v>608</v>
      </c>
      <c r="CP79" s="561">
        <v>1064</v>
      </c>
      <c r="CQ79" s="561">
        <v>588</v>
      </c>
      <c r="CR79" s="561">
        <v>1182</v>
      </c>
      <c r="CS79" s="561">
        <v>144</v>
      </c>
      <c r="CT79" s="561">
        <v>3792</v>
      </c>
      <c r="CU79" s="561">
        <v>7236</v>
      </c>
      <c r="CV79" s="561">
        <v>797</v>
      </c>
      <c r="CW79" s="561">
        <v>177</v>
      </c>
      <c r="CX79" s="561">
        <v>1937</v>
      </c>
      <c r="CY79" s="561">
        <v>4728</v>
      </c>
      <c r="CZ79" s="561">
        <v>37293</v>
      </c>
      <c r="DA79" s="561">
        <v>17</v>
      </c>
      <c r="DB79" s="561">
        <v>0</v>
      </c>
      <c r="DC79" s="561">
        <v>0</v>
      </c>
      <c r="DD79" s="561">
        <v>0</v>
      </c>
      <c r="DE79" s="561">
        <v>0</v>
      </c>
      <c r="DF79" s="561">
        <v>0</v>
      </c>
      <c r="DG79" s="561">
        <v>0</v>
      </c>
      <c r="DH79" s="561">
        <v>2245</v>
      </c>
      <c r="DI79" s="561">
        <v>0</v>
      </c>
      <c r="DJ79" s="561">
        <v>91</v>
      </c>
      <c r="DK79" s="561">
        <v>1559</v>
      </c>
      <c r="DL79" s="561">
        <v>0</v>
      </c>
      <c r="DM79" s="561">
        <v>1210</v>
      </c>
      <c r="DN79" s="561">
        <v>0</v>
      </c>
      <c r="DO79" s="561">
        <v>14750</v>
      </c>
      <c r="DP79" s="561">
        <v>346</v>
      </c>
      <c r="DQ79" s="561">
        <v>119</v>
      </c>
      <c r="DR79" s="561">
        <v>2327</v>
      </c>
      <c r="DS79" s="561">
        <v>4238</v>
      </c>
      <c r="DT79" s="561">
        <v>4344</v>
      </c>
      <c r="DU79" s="561">
        <v>27334</v>
      </c>
      <c r="DV79" s="561">
        <v>0</v>
      </c>
      <c r="DW79" s="561">
        <v>0</v>
      </c>
      <c r="DX79" s="561">
        <v>0</v>
      </c>
      <c r="DY79" s="561">
        <v>10654</v>
      </c>
      <c r="DZ79" s="561">
        <v>352</v>
      </c>
      <c r="EA79" s="561">
        <v>160</v>
      </c>
      <c r="EB79" s="561">
        <v>0</v>
      </c>
      <c r="EC79" s="561">
        <v>42395</v>
      </c>
      <c r="ED79" s="561">
        <v>275</v>
      </c>
      <c r="EE79" s="561">
        <v>47768</v>
      </c>
      <c r="EF79" s="561">
        <v>1411</v>
      </c>
      <c r="EG79" s="561">
        <v>2181</v>
      </c>
      <c r="EH79" s="561">
        <v>723</v>
      </c>
      <c r="EI79" s="561">
        <v>0</v>
      </c>
      <c r="EJ79" s="561">
        <v>69</v>
      </c>
      <c r="EK79" s="561">
        <v>0</v>
      </c>
      <c r="EL79" s="561">
        <v>0</v>
      </c>
      <c r="EM79" s="561">
        <v>0</v>
      </c>
      <c r="EN79" s="561">
        <v>12237</v>
      </c>
      <c r="EO79" s="561">
        <v>11051</v>
      </c>
      <c r="EP79" s="561">
        <v>3946</v>
      </c>
      <c r="EQ79" s="561">
        <v>1407</v>
      </c>
      <c r="ER79" s="561">
        <v>7585</v>
      </c>
      <c r="ES79" s="561" t="s">
        <v>4565</v>
      </c>
      <c r="ET79" s="561">
        <v>0</v>
      </c>
      <c r="EU79" s="561">
        <v>7356</v>
      </c>
      <c r="EV79" s="561">
        <v>0</v>
      </c>
      <c r="EW79" s="561">
        <v>0</v>
      </c>
      <c r="EX79" s="561">
        <v>12655</v>
      </c>
      <c r="EY79" s="561">
        <v>673</v>
      </c>
      <c r="EZ79" s="561">
        <v>-4758</v>
      </c>
      <c r="FA79" s="561">
        <v>8937</v>
      </c>
      <c r="FB79" s="561">
        <v>715</v>
      </c>
      <c r="FC79" s="561">
        <v>543</v>
      </c>
      <c r="FD79" s="561">
        <v>860</v>
      </c>
      <c r="FE79" s="561">
        <v>137</v>
      </c>
      <c r="FF79" s="561">
        <v>0</v>
      </c>
      <c r="FG79" s="561">
        <v>0</v>
      </c>
      <c r="FH79" s="561">
        <v>0</v>
      </c>
      <c r="FI79" s="561">
        <v>1765</v>
      </c>
      <c r="FJ79" s="561">
        <v>1714</v>
      </c>
      <c r="FK79" s="561">
        <v>8697</v>
      </c>
      <c r="FL79" s="561">
        <v>0</v>
      </c>
      <c r="FM79" s="561">
        <v>10</v>
      </c>
      <c r="FN79" s="561">
        <v>2185</v>
      </c>
      <c r="FO79" s="561">
        <v>16626</v>
      </c>
      <c r="FP79" s="561">
        <v>28</v>
      </c>
      <c r="FQ79" s="561">
        <v>544</v>
      </c>
      <c r="FR79" s="561">
        <v>1206</v>
      </c>
      <c r="FS79" s="561">
        <v>31</v>
      </c>
      <c r="FT79" s="561">
        <v>1505</v>
      </c>
      <c r="FU79" s="561">
        <v>1901</v>
      </c>
      <c r="FV79" s="561">
        <v>0</v>
      </c>
      <c r="FW79" s="561">
        <v>0</v>
      </c>
      <c r="FX79" s="561">
        <v>311</v>
      </c>
      <c r="FY79" s="561">
        <v>0</v>
      </c>
      <c r="FZ79" s="561">
        <v>0</v>
      </c>
      <c r="GA79" s="561">
        <v>191</v>
      </c>
      <c r="GB79" s="561">
        <v>31</v>
      </c>
      <c r="GC79" s="561">
        <v>-470</v>
      </c>
      <c r="GD79" s="561">
        <v>3359</v>
      </c>
      <c r="GE79" s="561">
        <v>1549</v>
      </c>
      <c r="GF79" s="561">
        <v>0</v>
      </c>
      <c r="GG79" s="561">
        <v>574</v>
      </c>
      <c r="GH79" s="561">
        <v>72</v>
      </c>
      <c r="GI79" s="561">
        <v>0</v>
      </c>
      <c r="GJ79" s="561">
        <v>132</v>
      </c>
      <c r="GK79" s="561">
        <v>-1295</v>
      </c>
      <c r="GL79" s="561">
        <v>9170</v>
      </c>
      <c r="GM79" s="561">
        <v>19461</v>
      </c>
      <c r="GN79" s="561">
        <v>38985</v>
      </c>
      <c r="GO79" s="561">
        <v>283</v>
      </c>
      <c r="GP79" s="561">
        <v>10576</v>
      </c>
      <c r="GQ79" s="561">
        <v>0</v>
      </c>
      <c r="GR79" s="561">
        <v>0</v>
      </c>
      <c r="GS79" s="561">
        <v>88116</v>
      </c>
      <c r="GT79" s="561">
        <v>69</v>
      </c>
      <c r="GU79" s="561">
        <v>59</v>
      </c>
      <c r="GV79" s="561">
        <v>-60</v>
      </c>
      <c r="GW79" s="561">
        <v>0</v>
      </c>
      <c r="GX79" s="561">
        <v>2816</v>
      </c>
      <c r="GY79" s="561">
        <v>-1579</v>
      </c>
      <c r="GZ79" s="561">
        <v>7356</v>
      </c>
      <c r="HA79" s="561">
        <v>0</v>
      </c>
      <c r="HB79" s="561">
        <v>-2508</v>
      </c>
      <c r="HC79" s="561">
        <v>2938</v>
      </c>
      <c r="HD79" s="561">
        <v>9022</v>
      </c>
      <c r="HE79" s="561">
        <v>85</v>
      </c>
      <c r="HF79" s="561">
        <v>113764</v>
      </c>
      <c r="HG79" s="561">
        <v>182</v>
      </c>
      <c r="HH79" s="561">
        <v>0</v>
      </c>
      <c r="HI79" s="561">
        <v>0</v>
      </c>
      <c r="HJ79" s="561">
        <v>3233</v>
      </c>
      <c r="HK79" s="561">
        <v>27565</v>
      </c>
      <c r="HL79" s="561">
        <v>372</v>
      </c>
      <c r="HM79" s="561">
        <v>31170</v>
      </c>
      <c r="HN79" s="561">
        <v>0</v>
      </c>
      <c r="HO79" s="561">
        <v>9025</v>
      </c>
      <c r="HP79" s="561">
        <v>-379</v>
      </c>
      <c r="HQ79" s="561">
        <v>0</v>
      </c>
      <c r="HR79" s="561">
        <v>0</v>
      </c>
      <c r="HS79" s="561">
        <v>1096</v>
      </c>
      <c r="HT79" s="561">
        <v>-4830</v>
      </c>
      <c r="HU79" s="561">
        <v>0</v>
      </c>
      <c r="HV79" s="561">
        <v>64</v>
      </c>
      <c r="HW79" s="561">
        <v>873</v>
      </c>
      <c r="HX79" s="561">
        <v>143</v>
      </c>
      <c r="HY79" s="561">
        <v>1494</v>
      </c>
      <c r="HZ79" s="561">
        <v>-1161</v>
      </c>
      <c r="IA79" s="561">
        <v>145</v>
      </c>
      <c r="IB79" s="561">
        <v>195</v>
      </c>
      <c r="IC79" s="561">
        <v>2420</v>
      </c>
      <c r="ID79" s="561">
        <v>0</v>
      </c>
      <c r="IE79" s="561">
        <v>11355</v>
      </c>
      <c r="IF79" s="561">
        <v>0</v>
      </c>
      <c r="IG79" s="561">
        <v>-42</v>
      </c>
      <c r="IH79" s="561">
        <v>0</v>
      </c>
      <c r="II79" s="561">
        <v>20398</v>
      </c>
      <c r="IJ79" s="561">
        <v>2635</v>
      </c>
      <c r="IK79" s="561">
        <v>5836</v>
      </c>
      <c r="IL79" s="561">
        <v>62728</v>
      </c>
      <c r="IM79" s="561">
        <v>0</v>
      </c>
      <c r="IN79" s="561">
        <v>0</v>
      </c>
      <c r="IO79" s="561">
        <v>10591</v>
      </c>
      <c r="IP79" s="561">
        <v>0</v>
      </c>
      <c r="IQ79" s="561">
        <v>0</v>
      </c>
      <c r="IR79" s="561">
        <v>297316</v>
      </c>
      <c r="IS79" s="561">
        <v>46498</v>
      </c>
      <c r="IT79" s="561">
        <v>123263</v>
      </c>
      <c r="IU79" s="561">
        <v>320430</v>
      </c>
      <c r="IV79" s="561">
        <v>37293</v>
      </c>
      <c r="IW79" s="561">
        <v>42395</v>
      </c>
      <c r="IX79" s="561">
        <v>16626</v>
      </c>
      <c r="IY79" s="561">
        <v>88116</v>
      </c>
      <c r="IZ79" s="561">
        <v>9022</v>
      </c>
      <c r="JA79" s="561">
        <v>0</v>
      </c>
      <c r="JB79" s="561">
        <v>31170</v>
      </c>
      <c r="JC79" s="561">
        <v>20398</v>
      </c>
      <c r="JD79" s="561">
        <v>0</v>
      </c>
      <c r="JE79" s="561">
        <v>1032527</v>
      </c>
      <c r="JF79" s="561">
        <v>91506</v>
      </c>
      <c r="JG79" s="561">
        <v>3955</v>
      </c>
      <c r="JH79" s="561">
        <v>18239</v>
      </c>
      <c r="JI79" s="561">
        <v>0</v>
      </c>
      <c r="JJ79" s="561">
        <v>0</v>
      </c>
      <c r="JK79" s="561">
        <v>36461</v>
      </c>
      <c r="JL79" s="561">
        <v>0</v>
      </c>
      <c r="JM79" s="561">
        <v>0</v>
      </c>
      <c r="JN79" s="561">
        <v>0</v>
      </c>
      <c r="JO79" s="561">
        <v>1443</v>
      </c>
      <c r="JP79" s="561">
        <v>0</v>
      </c>
      <c r="JQ79" s="561">
        <v>11</v>
      </c>
      <c r="JR79" s="561">
        <v>0</v>
      </c>
      <c r="JS79" s="561">
        <v>0</v>
      </c>
      <c r="JT79" s="561">
        <v>-160</v>
      </c>
      <c r="JU79" s="561">
        <v>0</v>
      </c>
      <c r="JV79" s="561">
        <v>1183982</v>
      </c>
      <c r="JW79" s="561">
        <v>445</v>
      </c>
      <c r="JX79" s="561">
        <v>15599</v>
      </c>
      <c r="JY79" s="561">
        <v>0</v>
      </c>
      <c r="JZ79" s="561">
        <v>0</v>
      </c>
      <c r="KA79" s="561">
        <v>0</v>
      </c>
      <c r="KB79" s="561">
        <v>1722</v>
      </c>
      <c r="KC79" s="561">
        <v>22291</v>
      </c>
      <c r="KD79" s="561">
        <v>0</v>
      </c>
      <c r="KE79" s="561">
        <v>66166</v>
      </c>
      <c r="KF79" s="561">
        <v>-7611</v>
      </c>
      <c r="KG79" s="561">
        <v>1282594</v>
      </c>
      <c r="KH79" s="561">
        <v>-29871</v>
      </c>
      <c r="KI79" s="561">
        <v>0</v>
      </c>
      <c r="KJ79" s="561">
        <v>1576</v>
      </c>
      <c r="KK79" s="561">
        <v>0</v>
      </c>
      <c r="KL79" s="561">
        <v>-118903</v>
      </c>
      <c r="KM79" s="561">
        <v>0</v>
      </c>
      <c r="KN79" s="561">
        <v>-192</v>
      </c>
      <c r="KO79" s="561">
        <v>0</v>
      </c>
      <c r="KP79" s="561">
        <v>0</v>
      </c>
      <c r="KQ79" s="561">
        <v>-22442</v>
      </c>
      <c r="KR79" s="561">
        <v>1112762</v>
      </c>
      <c r="KS79" s="561">
        <v>-2065</v>
      </c>
      <c r="KT79" s="561">
        <v>-388914</v>
      </c>
      <c r="KU79" s="561">
        <v>721783</v>
      </c>
      <c r="KV79" s="561">
        <v>0</v>
      </c>
      <c r="KW79" s="561">
        <v>-617</v>
      </c>
      <c r="KX79" s="561">
        <v>0</v>
      </c>
      <c r="KY79" s="561">
        <v>-626</v>
      </c>
      <c r="KZ79" s="561">
        <v>-40388</v>
      </c>
      <c r="LA79" s="561">
        <v>-2416</v>
      </c>
      <c r="LB79" s="561">
        <v>0</v>
      </c>
      <c r="LC79" s="561">
        <v>0</v>
      </c>
      <c r="LD79" s="561">
        <v>-241522</v>
      </c>
      <c r="LE79" s="561">
        <v>-6054</v>
      </c>
      <c r="LF79" s="561">
        <v>0</v>
      </c>
      <c r="LG79" s="561">
        <v>430160</v>
      </c>
      <c r="LH79" s="561">
        <v>10951</v>
      </c>
      <c r="LI79" s="561">
        <v>-22930</v>
      </c>
      <c r="LJ79" s="561">
        <v>0</v>
      </c>
      <c r="LK79" s="561">
        <v>6994</v>
      </c>
      <c r="LL79" s="561">
        <v>187059</v>
      </c>
      <c r="LM79" s="561">
        <v>41184</v>
      </c>
      <c r="LN79" s="561">
        <v>10334</v>
      </c>
      <c r="LO79" s="561">
        <v>-45372</v>
      </c>
      <c r="LP79" s="561">
        <v>0</v>
      </c>
      <c r="LQ79" s="561">
        <v>6368</v>
      </c>
      <c r="LR79" s="561">
        <v>146671</v>
      </c>
      <c r="LS79" s="561">
        <v>38768</v>
      </c>
      <c r="LT79" s="561">
        <v>0</v>
      </c>
      <c r="LU79" s="561">
        <v>59327</v>
      </c>
      <c r="LV79" s="561">
        <v>514</v>
      </c>
      <c r="LW79" s="561">
        <v>16305</v>
      </c>
      <c r="LX79" s="561">
        <v>-153756</v>
      </c>
      <c r="LY79" s="561">
        <v>84971</v>
      </c>
      <c r="LZ79" s="561">
        <v>7361</v>
      </c>
      <c r="MA79" s="561">
        <v>0</v>
      </c>
      <c r="MB79" s="561">
        <v>0</v>
      </c>
      <c r="MC79" s="561">
        <v>52152</v>
      </c>
      <c r="MD79" s="561">
        <v>56910</v>
      </c>
      <c r="ME79" s="561">
        <v>-4758</v>
      </c>
      <c r="MF79" s="561">
        <v>8937</v>
      </c>
      <c r="MG79" s="561">
        <v>4179</v>
      </c>
      <c r="MH79" s="561">
        <v>24880</v>
      </c>
      <c r="MI79" s="561">
        <v>19761</v>
      </c>
      <c r="MJ79" s="561">
        <v>44641</v>
      </c>
      <c r="MK79" s="561">
        <v>0</v>
      </c>
      <c r="ML79" s="561">
        <v>58880</v>
      </c>
      <c r="MM79" s="561">
        <v>82294</v>
      </c>
      <c r="MN79" s="561">
        <v>0</v>
      </c>
      <c r="MO79" s="561">
        <v>5497</v>
      </c>
      <c r="MP79" s="561">
        <v>0</v>
      </c>
      <c r="MQ79" s="561">
        <v>297316</v>
      </c>
      <c r="MR79" s="561">
        <v>46498</v>
      </c>
      <c r="MS79" s="561">
        <v>123263</v>
      </c>
      <c r="MT79" s="561">
        <v>320430</v>
      </c>
      <c r="MU79" s="561">
        <v>37293</v>
      </c>
      <c r="MV79" s="561">
        <v>42395</v>
      </c>
      <c r="MW79" s="561">
        <v>16626</v>
      </c>
      <c r="MX79" s="561">
        <v>88116</v>
      </c>
      <c r="MY79" s="561">
        <v>9022</v>
      </c>
      <c r="MZ79" s="561">
        <v>0</v>
      </c>
      <c r="NA79" s="561">
        <v>31170</v>
      </c>
      <c r="NB79" s="561">
        <v>20398</v>
      </c>
      <c r="NC79" s="561">
        <v>0</v>
      </c>
      <c r="ND79" s="561">
        <v>1032527</v>
      </c>
      <c r="NE79" s="561">
        <v>0</v>
      </c>
      <c r="NF79" s="561">
        <v>0</v>
      </c>
      <c r="NG79" s="561">
        <v>0</v>
      </c>
      <c r="NH79" s="561">
        <v>0</v>
      </c>
      <c r="NI79" s="561">
        <v>0</v>
      </c>
      <c r="NJ79" s="561">
        <v>0</v>
      </c>
      <c r="NK79" s="561">
        <v>0</v>
      </c>
      <c r="NL79" s="561">
        <v>0</v>
      </c>
      <c r="NM79" s="561">
        <v>0</v>
      </c>
      <c r="NN79" s="561">
        <v>0</v>
      </c>
      <c r="NO79" s="561">
        <v>0</v>
      </c>
      <c r="NP79" s="561">
        <v>0</v>
      </c>
      <c r="NQ79" s="561">
        <v>0</v>
      </c>
      <c r="NR79" s="561">
        <v>0</v>
      </c>
      <c r="NS79" s="561">
        <v>0</v>
      </c>
      <c r="NT79" s="561">
        <v>0</v>
      </c>
      <c r="NU79" s="561">
        <v>0</v>
      </c>
      <c r="NV79" s="561">
        <v>0</v>
      </c>
      <c r="NW79" s="561">
        <v>0</v>
      </c>
      <c r="NX79" s="561">
        <v>0</v>
      </c>
      <c r="NY79" s="561">
        <v>0</v>
      </c>
      <c r="NZ79" s="561">
        <v>0</v>
      </c>
      <c r="OA79" s="561">
        <v>0</v>
      </c>
      <c r="OB79" s="561">
        <v>0</v>
      </c>
      <c r="OC79" s="561">
        <v>0</v>
      </c>
      <c r="OD79" s="561">
        <v>0</v>
      </c>
      <c r="OE79" s="561">
        <v>0</v>
      </c>
      <c r="OF79" s="561">
        <v>0</v>
      </c>
      <c r="OG79" s="561">
        <v>0</v>
      </c>
      <c r="OH79" s="561">
        <v>0</v>
      </c>
      <c r="OI79" s="561">
        <v>0</v>
      </c>
      <c r="OJ79" s="561">
        <v>0</v>
      </c>
      <c r="OK79" s="561">
        <v>0</v>
      </c>
      <c r="OL79" s="561">
        <v>0</v>
      </c>
      <c r="OM79" s="561">
        <v>0</v>
      </c>
      <c r="ON79" s="561">
        <v>11</v>
      </c>
      <c r="OO79" s="561">
        <v>0</v>
      </c>
      <c r="OP79" s="561">
        <v>0</v>
      </c>
      <c r="OQ79" s="561">
        <v>0</v>
      </c>
      <c r="OR79" s="561">
        <v>0</v>
      </c>
      <c r="OS79" s="561">
        <v>0</v>
      </c>
      <c r="OT79" s="561">
        <v>0</v>
      </c>
      <c r="OU79" s="561">
        <v>0</v>
      </c>
      <c r="OV79" s="561">
        <v>0</v>
      </c>
      <c r="OW79" s="561">
        <v>0</v>
      </c>
      <c r="OX79" s="561">
        <v>11</v>
      </c>
      <c r="OY79" s="561">
        <v>0</v>
      </c>
      <c r="OZ79" s="561">
        <v>0</v>
      </c>
      <c r="PA79" s="561">
        <v>0</v>
      </c>
      <c r="PB79" s="561">
        <v>0</v>
      </c>
      <c r="PC79" s="561">
        <v>0</v>
      </c>
      <c r="PD79" s="561">
        <v>0</v>
      </c>
      <c r="PE79" s="561">
        <v>0</v>
      </c>
      <c r="PF79" s="561">
        <v>0</v>
      </c>
      <c r="PG79" s="561">
        <v>0</v>
      </c>
      <c r="PH79" s="561">
        <v>0</v>
      </c>
      <c r="PI79" s="561">
        <v>0</v>
      </c>
      <c r="PJ79" s="561">
        <v>0</v>
      </c>
    </row>
    <row r="80" spans="1:426" ht="14" x14ac:dyDescent="0.3">
      <c r="A80" t="s">
        <v>2669</v>
      </c>
      <c r="B80" t="s">
        <v>2670</v>
      </c>
      <c r="C80" t="s">
        <v>2671</v>
      </c>
      <c r="E80" t="s">
        <v>384</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0</v>
      </c>
      <c r="W80" s="561">
        <v>0</v>
      </c>
      <c r="X80" s="561">
        <v>0</v>
      </c>
      <c r="Y80" s="561">
        <v>0</v>
      </c>
      <c r="Z80" s="561">
        <v>-2</v>
      </c>
      <c r="AA80" s="561">
        <v>0</v>
      </c>
      <c r="AB80" s="561">
        <v>-2440</v>
      </c>
      <c r="AC80" s="561">
        <v>17</v>
      </c>
      <c r="AD80" s="561">
        <v>0</v>
      </c>
      <c r="AE80" s="561">
        <v>0</v>
      </c>
      <c r="AF80" s="561">
        <v>0</v>
      </c>
      <c r="AG80" s="561">
        <v>0</v>
      </c>
      <c r="AH80" s="561">
        <v>0</v>
      </c>
      <c r="AI80" s="561">
        <v>0</v>
      </c>
      <c r="AJ80" s="561">
        <v>-2425</v>
      </c>
      <c r="AK80" s="561">
        <v>0</v>
      </c>
      <c r="AL80" s="561">
        <v>0</v>
      </c>
      <c r="AM80" s="561">
        <v>0</v>
      </c>
      <c r="AN80" s="561">
        <v>0</v>
      </c>
      <c r="AO80" s="561">
        <v>0</v>
      </c>
      <c r="AP80" s="561">
        <v>0</v>
      </c>
      <c r="AQ80" s="561">
        <v>0</v>
      </c>
      <c r="AR80" s="561">
        <v>0</v>
      </c>
      <c r="AS80" s="561">
        <v>0</v>
      </c>
      <c r="AT80" s="561">
        <v>0</v>
      </c>
      <c r="AU80" s="561">
        <v>0</v>
      </c>
      <c r="AV80" s="561">
        <v>0</v>
      </c>
      <c r="AW80" s="561">
        <v>0</v>
      </c>
      <c r="AX80" s="561">
        <v>0</v>
      </c>
      <c r="AY80" s="561">
        <v>0</v>
      </c>
      <c r="AZ80" s="561">
        <v>0</v>
      </c>
      <c r="BA80" s="561">
        <v>0</v>
      </c>
      <c r="BB80" s="561">
        <v>0</v>
      </c>
      <c r="BC80" s="561">
        <v>0</v>
      </c>
      <c r="BD80" s="561">
        <v>0</v>
      </c>
      <c r="BE80" s="561">
        <v>0</v>
      </c>
      <c r="BF80" s="561">
        <v>0</v>
      </c>
      <c r="BG80" s="561">
        <v>0</v>
      </c>
      <c r="BH80" s="561">
        <v>0</v>
      </c>
      <c r="BI80" s="561">
        <v>0</v>
      </c>
      <c r="BJ80" s="561">
        <v>0</v>
      </c>
      <c r="BK80" s="561">
        <v>0</v>
      </c>
      <c r="BL80" s="561">
        <v>0</v>
      </c>
      <c r="BM80" s="561">
        <v>0</v>
      </c>
      <c r="BN80" s="561">
        <v>0</v>
      </c>
      <c r="BO80" s="561">
        <v>0</v>
      </c>
      <c r="BP80" s="561">
        <v>0</v>
      </c>
      <c r="BQ80" s="561">
        <v>0</v>
      </c>
      <c r="BR80" s="561">
        <v>0</v>
      </c>
      <c r="BS80" s="561">
        <v>0</v>
      </c>
      <c r="BT80" s="561">
        <v>0</v>
      </c>
      <c r="BU80" s="561">
        <v>0</v>
      </c>
      <c r="BV80" s="561">
        <v>0</v>
      </c>
      <c r="BW80" s="561">
        <v>0</v>
      </c>
      <c r="BX80" s="561">
        <v>0</v>
      </c>
      <c r="BY80" s="561">
        <v>0</v>
      </c>
      <c r="BZ80" s="561">
        <v>0</v>
      </c>
      <c r="CA80" s="561">
        <v>0</v>
      </c>
      <c r="CB80" s="561">
        <v>0</v>
      </c>
      <c r="CC80" s="561">
        <v>0</v>
      </c>
      <c r="CD80" s="561">
        <v>0</v>
      </c>
      <c r="CE80" s="561">
        <v>0</v>
      </c>
      <c r="CF80" s="561">
        <v>0</v>
      </c>
      <c r="CG80" s="561">
        <v>0</v>
      </c>
      <c r="CH80" s="561">
        <v>0</v>
      </c>
      <c r="CI80" s="561">
        <v>0</v>
      </c>
      <c r="CJ80" s="561">
        <v>0</v>
      </c>
      <c r="CK80" s="561">
        <v>0</v>
      </c>
      <c r="CL80" s="561">
        <v>0</v>
      </c>
      <c r="CM80" s="561">
        <v>0</v>
      </c>
      <c r="CN80" s="561">
        <v>0</v>
      </c>
      <c r="CO80" s="561">
        <v>0</v>
      </c>
      <c r="CP80" s="561">
        <v>0</v>
      </c>
      <c r="CQ80" s="561">
        <v>0</v>
      </c>
      <c r="CR80" s="561">
        <v>0</v>
      </c>
      <c r="CS80" s="561">
        <v>0</v>
      </c>
      <c r="CT80" s="561">
        <v>0</v>
      </c>
      <c r="CU80" s="561">
        <v>0</v>
      </c>
      <c r="CV80" s="561">
        <v>0</v>
      </c>
      <c r="CW80" s="561">
        <v>0</v>
      </c>
      <c r="CX80" s="561">
        <v>0</v>
      </c>
      <c r="CY80" s="561">
        <v>0</v>
      </c>
      <c r="CZ80" s="561">
        <v>0</v>
      </c>
      <c r="DA80" s="561">
        <v>0</v>
      </c>
      <c r="DB80" s="561">
        <v>0</v>
      </c>
      <c r="DC80" s="561">
        <v>0</v>
      </c>
      <c r="DD80" s="561">
        <v>0</v>
      </c>
      <c r="DE80" s="561">
        <v>0</v>
      </c>
      <c r="DF80" s="561">
        <v>0</v>
      </c>
      <c r="DG80" s="561">
        <v>0</v>
      </c>
      <c r="DH80" s="561">
        <v>224</v>
      </c>
      <c r="DI80" s="561">
        <v>0</v>
      </c>
      <c r="DJ80" s="561">
        <v>0</v>
      </c>
      <c r="DK80" s="561">
        <v>0</v>
      </c>
      <c r="DL80" s="561">
        <v>0</v>
      </c>
      <c r="DM80" s="561">
        <v>0</v>
      </c>
      <c r="DN80" s="561">
        <v>11</v>
      </c>
      <c r="DO80" s="561">
        <v>0</v>
      </c>
      <c r="DP80" s="561">
        <v>0</v>
      </c>
      <c r="DQ80" s="561">
        <v>114</v>
      </c>
      <c r="DR80" s="561">
        <v>0</v>
      </c>
      <c r="DS80" s="561">
        <v>815</v>
      </c>
      <c r="DT80" s="561">
        <v>0</v>
      </c>
      <c r="DU80" s="561">
        <v>940</v>
      </c>
      <c r="DV80" s="561">
        <v>0</v>
      </c>
      <c r="DW80" s="561">
        <v>0</v>
      </c>
      <c r="DX80" s="561">
        <v>0</v>
      </c>
      <c r="DY80" s="561">
        <v>330</v>
      </c>
      <c r="DZ80" s="561">
        <v>0</v>
      </c>
      <c r="EA80" s="561">
        <v>0</v>
      </c>
      <c r="EB80" s="561">
        <v>0</v>
      </c>
      <c r="EC80" s="561">
        <v>1494</v>
      </c>
      <c r="ED80" s="561">
        <v>0</v>
      </c>
      <c r="EE80" s="561">
        <v>0</v>
      </c>
      <c r="EF80" s="561">
        <v>0</v>
      </c>
      <c r="EG80" s="561">
        <v>0</v>
      </c>
      <c r="EH80" s="561">
        <v>0</v>
      </c>
      <c r="EI80" s="561">
        <v>0</v>
      </c>
      <c r="EJ80" s="561">
        <v>0</v>
      </c>
      <c r="EK80" s="561">
        <v>0</v>
      </c>
      <c r="EL80" s="561">
        <v>0</v>
      </c>
      <c r="EM80" s="561">
        <v>0</v>
      </c>
      <c r="EN80" s="561">
        <v>0</v>
      </c>
      <c r="EO80" s="561">
        <v>0</v>
      </c>
      <c r="EP80" s="561">
        <v>0</v>
      </c>
      <c r="EQ80" s="561">
        <v>0</v>
      </c>
      <c r="ER80" s="561">
        <v>0</v>
      </c>
      <c r="ES80" s="561" t="s">
        <v>4565</v>
      </c>
      <c r="ET80" s="561">
        <v>0</v>
      </c>
      <c r="EU80" s="561">
        <v>0</v>
      </c>
      <c r="EV80" s="561">
        <v>0</v>
      </c>
      <c r="EW80" s="561">
        <v>0</v>
      </c>
      <c r="EX80" s="561">
        <v>0</v>
      </c>
      <c r="EY80" s="561">
        <v>0</v>
      </c>
      <c r="EZ80" s="561">
        <v>0</v>
      </c>
      <c r="FA80" s="561">
        <v>0</v>
      </c>
      <c r="FB80" s="561">
        <v>0</v>
      </c>
      <c r="FC80" s="561">
        <v>0</v>
      </c>
      <c r="FD80" s="561">
        <v>0</v>
      </c>
      <c r="FE80" s="561">
        <v>288</v>
      </c>
      <c r="FF80" s="561">
        <v>0</v>
      </c>
      <c r="FG80" s="561">
        <v>0</v>
      </c>
      <c r="FH80" s="561">
        <v>0</v>
      </c>
      <c r="FI80" s="561">
        <v>0</v>
      </c>
      <c r="FJ80" s="561">
        <v>551</v>
      </c>
      <c r="FK80" s="561">
        <v>0</v>
      </c>
      <c r="FL80" s="561">
        <v>0</v>
      </c>
      <c r="FM80" s="561">
        <v>39</v>
      </c>
      <c r="FN80" s="561">
        <v>0</v>
      </c>
      <c r="FO80" s="561">
        <v>878</v>
      </c>
      <c r="FP80" s="561">
        <v>0</v>
      </c>
      <c r="FQ80" s="561">
        <v>145</v>
      </c>
      <c r="FR80" s="561">
        <v>0</v>
      </c>
      <c r="FS80" s="561">
        <v>0</v>
      </c>
      <c r="FT80" s="561">
        <v>170</v>
      </c>
      <c r="FU80" s="561">
        <v>421</v>
      </c>
      <c r="FV80" s="561">
        <v>0</v>
      </c>
      <c r="FW80" s="561">
        <v>0</v>
      </c>
      <c r="FX80" s="561">
        <v>0</v>
      </c>
      <c r="FY80" s="561">
        <v>0</v>
      </c>
      <c r="FZ80" s="561">
        <v>0</v>
      </c>
      <c r="GA80" s="561">
        <v>272</v>
      </c>
      <c r="GB80" s="561">
        <v>26</v>
      </c>
      <c r="GC80" s="561">
        <v>70</v>
      </c>
      <c r="GD80" s="561">
        <v>126</v>
      </c>
      <c r="GE80" s="561">
        <v>0</v>
      </c>
      <c r="GF80" s="561">
        <v>0</v>
      </c>
      <c r="GG80" s="561">
        <v>129</v>
      </c>
      <c r="GH80" s="561">
        <v>0</v>
      </c>
      <c r="GI80" s="561">
        <v>0</v>
      </c>
      <c r="GJ80" s="561">
        <v>0</v>
      </c>
      <c r="GK80" s="561">
        <v>0</v>
      </c>
      <c r="GL80" s="561">
        <v>1986</v>
      </c>
      <c r="GM80" s="561">
        <v>2121</v>
      </c>
      <c r="GN80" s="561">
        <v>0</v>
      </c>
      <c r="GO80" s="561">
        <v>0</v>
      </c>
      <c r="GP80" s="561">
        <v>0</v>
      </c>
      <c r="GQ80" s="561">
        <v>3942</v>
      </c>
      <c r="GR80" s="561">
        <v>172</v>
      </c>
      <c r="GS80" s="561">
        <v>9580</v>
      </c>
      <c r="GT80" s="561">
        <v>12</v>
      </c>
      <c r="GU80" s="561">
        <v>118</v>
      </c>
      <c r="GV80" s="561">
        <v>1561</v>
      </c>
      <c r="GW80" s="561">
        <v>0</v>
      </c>
      <c r="GX80" s="561">
        <v>649</v>
      </c>
      <c r="GY80" s="561">
        <v>0</v>
      </c>
      <c r="GZ80" s="561">
        <v>496</v>
      </c>
      <c r="HA80" s="561">
        <v>0</v>
      </c>
      <c r="HB80" s="561">
        <v>0</v>
      </c>
      <c r="HC80" s="561">
        <v>704</v>
      </c>
      <c r="HD80" s="561">
        <v>3528</v>
      </c>
      <c r="HE80" s="561">
        <v>437</v>
      </c>
      <c r="HF80" s="561">
        <v>13986</v>
      </c>
      <c r="HG80" s="561">
        <v>449</v>
      </c>
      <c r="HH80" s="561">
        <v>0</v>
      </c>
      <c r="HI80" s="561">
        <v>0</v>
      </c>
      <c r="HJ80" s="561">
        <v>0</v>
      </c>
      <c r="HK80" s="561">
        <v>0</v>
      </c>
      <c r="HL80" s="561">
        <v>0</v>
      </c>
      <c r="HM80" s="561">
        <v>0</v>
      </c>
      <c r="HN80" s="561">
        <v>0</v>
      </c>
      <c r="HO80" s="561">
        <v>1693</v>
      </c>
      <c r="HP80" s="561">
        <v>468</v>
      </c>
      <c r="HQ80" s="561">
        <v>0</v>
      </c>
      <c r="HR80" s="561">
        <v>0</v>
      </c>
      <c r="HS80" s="561">
        <v>0</v>
      </c>
      <c r="HT80" s="561">
        <v>-99</v>
      </c>
      <c r="HU80" s="561">
        <v>0</v>
      </c>
      <c r="HV80" s="561">
        <v>0</v>
      </c>
      <c r="HW80" s="561">
        <v>104</v>
      </c>
      <c r="HX80" s="561">
        <v>1113</v>
      </c>
      <c r="HY80" s="561">
        <v>27</v>
      </c>
      <c r="HZ80" s="561">
        <v>-2</v>
      </c>
      <c r="IA80" s="561">
        <v>0</v>
      </c>
      <c r="IB80" s="561">
        <v>183</v>
      </c>
      <c r="IC80" s="561">
        <v>0</v>
      </c>
      <c r="ID80" s="561">
        <v>0</v>
      </c>
      <c r="IE80" s="561">
        <v>0</v>
      </c>
      <c r="IF80" s="561">
        <v>0</v>
      </c>
      <c r="IG80" s="561">
        <v>0</v>
      </c>
      <c r="IH80" s="561">
        <v>0</v>
      </c>
      <c r="II80" s="561">
        <v>3487</v>
      </c>
      <c r="IJ80" s="561">
        <v>212</v>
      </c>
      <c r="IK80" s="561">
        <v>0</v>
      </c>
      <c r="IL80" s="561">
        <v>0</v>
      </c>
      <c r="IM80" s="561">
        <v>0</v>
      </c>
      <c r="IN80" s="561">
        <v>0</v>
      </c>
      <c r="IO80" s="561">
        <v>0</v>
      </c>
      <c r="IP80" s="561">
        <v>0</v>
      </c>
      <c r="IQ80" s="561">
        <v>0</v>
      </c>
      <c r="IR80" s="561">
        <v>0</v>
      </c>
      <c r="IS80" s="561">
        <v>-2425</v>
      </c>
      <c r="IT80" s="561">
        <v>0</v>
      </c>
      <c r="IU80" s="561">
        <v>0</v>
      </c>
      <c r="IV80" s="561">
        <v>0</v>
      </c>
      <c r="IW80" s="561">
        <v>1494</v>
      </c>
      <c r="IX80" s="561">
        <v>878</v>
      </c>
      <c r="IY80" s="561">
        <v>9580</v>
      </c>
      <c r="IZ80" s="561">
        <v>3528</v>
      </c>
      <c r="JA80" s="561">
        <v>0</v>
      </c>
      <c r="JB80" s="561">
        <v>0</v>
      </c>
      <c r="JC80" s="561">
        <v>3487</v>
      </c>
      <c r="JD80" s="561">
        <v>0</v>
      </c>
      <c r="JE80" s="561">
        <v>16542</v>
      </c>
      <c r="JF80" s="561">
        <v>11328</v>
      </c>
      <c r="JG80" s="561">
        <v>196</v>
      </c>
      <c r="JH80" s="561">
        <v>0</v>
      </c>
      <c r="JI80" s="561">
        <v>0</v>
      </c>
      <c r="JJ80" s="561">
        <v>0</v>
      </c>
      <c r="JK80" s="561">
        <v>4626</v>
      </c>
      <c r="JL80" s="561">
        <v>0</v>
      </c>
      <c r="JM80" s="561">
        <v>0</v>
      </c>
      <c r="JN80" s="561">
        <v>0</v>
      </c>
      <c r="JO80" s="561">
        <v>0</v>
      </c>
      <c r="JP80" s="561">
        <v>0</v>
      </c>
      <c r="JQ80" s="561">
        <v>0</v>
      </c>
      <c r="JR80" s="561">
        <v>0</v>
      </c>
      <c r="JS80" s="561">
        <v>0</v>
      </c>
      <c r="JT80" s="561">
        <v>62</v>
      </c>
      <c r="JU80" s="561">
        <v>0</v>
      </c>
      <c r="JV80" s="561">
        <v>32754</v>
      </c>
      <c r="JW80" s="561">
        <v>0</v>
      </c>
      <c r="JX80" s="561">
        <v>0</v>
      </c>
      <c r="JY80" s="561">
        <v>0</v>
      </c>
      <c r="JZ80" s="561">
        <v>0</v>
      </c>
      <c r="KA80" s="561">
        <v>0</v>
      </c>
      <c r="KB80" s="561">
        <v>67</v>
      </c>
      <c r="KC80" s="561">
        <v>4</v>
      </c>
      <c r="KD80" s="561">
        <v>0</v>
      </c>
      <c r="KE80" s="561">
        <v>8</v>
      </c>
      <c r="KF80" s="561">
        <v>0</v>
      </c>
      <c r="KG80" s="561">
        <v>32833</v>
      </c>
      <c r="KH80" s="561">
        <v>-1927</v>
      </c>
      <c r="KI80" s="561">
        <v>0</v>
      </c>
      <c r="KJ80" s="561">
        <v>188</v>
      </c>
      <c r="KK80" s="561">
        <v>0</v>
      </c>
      <c r="KL80" s="561">
        <v>-11745</v>
      </c>
      <c r="KM80" s="561">
        <v>0</v>
      </c>
      <c r="KN80" s="561">
        <v>-2444</v>
      </c>
      <c r="KO80" s="561">
        <v>0</v>
      </c>
      <c r="KP80" s="561">
        <v>0</v>
      </c>
      <c r="KQ80" s="561">
        <v>0</v>
      </c>
      <c r="KR80" s="561">
        <v>16905</v>
      </c>
      <c r="KS80" s="561">
        <v>0</v>
      </c>
      <c r="KT80" s="561">
        <v>-5642</v>
      </c>
      <c r="KU80" s="561">
        <v>11263</v>
      </c>
      <c r="KV80" s="561">
        <v>0</v>
      </c>
      <c r="KW80" s="561">
        <v>0</v>
      </c>
      <c r="KX80" s="561">
        <v>0</v>
      </c>
      <c r="KY80" s="561">
        <v>0</v>
      </c>
      <c r="KZ80" s="561">
        <v>3964</v>
      </c>
      <c r="LA80" s="561">
        <v>0</v>
      </c>
      <c r="LB80" s="561">
        <v>-144</v>
      </c>
      <c r="LC80" s="561">
        <v>0</v>
      </c>
      <c r="LD80" s="561">
        <v>-6139</v>
      </c>
      <c r="LE80" s="561">
        <v>-28</v>
      </c>
      <c r="LF80" s="561">
        <v>2306</v>
      </c>
      <c r="LG80" s="561">
        <v>11222</v>
      </c>
      <c r="LH80" s="561">
        <v>0</v>
      </c>
      <c r="LI80" s="561">
        <v>0</v>
      </c>
      <c r="LJ80" s="561">
        <v>0</v>
      </c>
      <c r="LK80" s="561">
        <v>0</v>
      </c>
      <c r="LL80" s="561">
        <v>8229</v>
      </c>
      <c r="LM80" s="561">
        <v>1760</v>
      </c>
      <c r="LN80" s="561">
        <v>0</v>
      </c>
      <c r="LO80" s="561">
        <v>0</v>
      </c>
      <c r="LP80" s="561">
        <v>0</v>
      </c>
      <c r="LQ80" s="561">
        <v>0</v>
      </c>
      <c r="LR80" s="561">
        <v>12193</v>
      </c>
      <c r="LS80" s="561">
        <v>1760</v>
      </c>
      <c r="LT80" s="561">
        <v>0</v>
      </c>
      <c r="LU80" s="561">
        <v>1797</v>
      </c>
      <c r="LV80" s="561">
        <v>0</v>
      </c>
      <c r="LW80" s="561">
        <v>131</v>
      </c>
      <c r="LX80" s="561">
        <v>-3402</v>
      </c>
      <c r="LY80" s="561">
        <v>3143</v>
      </c>
      <c r="LZ80" s="561">
        <v>2151</v>
      </c>
      <c r="MA80" s="561">
        <v>0</v>
      </c>
      <c r="MB80" s="561">
        <v>0</v>
      </c>
      <c r="MC80" s="561">
        <v>0</v>
      </c>
      <c r="MD80" s="561">
        <v>0</v>
      </c>
      <c r="ME80" s="561">
        <v>0</v>
      </c>
      <c r="MF80" s="561">
        <v>0</v>
      </c>
      <c r="MG80" s="561">
        <v>0</v>
      </c>
      <c r="MH80" s="561">
        <v>2498</v>
      </c>
      <c r="MI80" s="561">
        <v>2445</v>
      </c>
      <c r="MJ80" s="561">
        <v>4943</v>
      </c>
      <c r="MK80" s="561">
        <v>0</v>
      </c>
      <c r="ML80" s="561">
        <v>0</v>
      </c>
      <c r="MM80" s="561">
        <v>6293</v>
      </c>
      <c r="MN80" s="561">
        <v>2957</v>
      </c>
      <c r="MO80" s="561">
        <v>2943</v>
      </c>
      <c r="MP80" s="561">
        <v>0</v>
      </c>
      <c r="MQ80" s="561">
        <v>0</v>
      </c>
      <c r="MR80" s="561">
        <v>-2425</v>
      </c>
      <c r="MS80" s="561">
        <v>0</v>
      </c>
      <c r="MT80" s="561">
        <v>0</v>
      </c>
      <c r="MU80" s="561">
        <v>0</v>
      </c>
      <c r="MV80" s="561">
        <v>1494</v>
      </c>
      <c r="MW80" s="561">
        <v>878</v>
      </c>
      <c r="MX80" s="561">
        <v>9580</v>
      </c>
      <c r="MY80" s="561">
        <v>3528</v>
      </c>
      <c r="MZ80" s="561">
        <v>0</v>
      </c>
      <c r="NA80" s="561">
        <v>0</v>
      </c>
      <c r="NB80" s="561">
        <v>3487</v>
      </c>
      <c r="NC80" s="561">
        <v>0</v>
      </c>
      <c r="ND80" s="561">
        <v>16542</v>
      </c>
      <c r="NE80" s="561">
        <v>0</v>
      </c>
      <c r="NF80" s="561">
        <v>0</v>
      </c>
      <c r="NG80" s="561">
        <v>0</v>
      </c>
      <c r="NH80" s="561">
        <v>0</v>
      </c>
      <c r="NI80" s="561">
        <v>0</v>
      </c>
      <c r="NJ80" s="561">
        <v>0</v>
      </c>
      <c r="NK80" s="561">
        <v>0</v>
      </c>
      <c r="NL80" s="561">
        <v>0</v>
      </c>
      <c r="NM80" s="561">
        <v>0</v>
      </c>
      <c r="NN80" s="561">
        <v>0</v>
      </c>
      <c r="NO80" s="561">
        <v>0</v>
      </c>
      <c r="NP80" s="561">
        <v>0</v>
      </c>
      <c r="NQ80" s="561">
        <v>0</v>
      </c>
      <c r="NR80" s="561">
        <v>0</v>
      </c>
      <c r="NS80" s="561">
        <v>0</v>
      </c>
      <c r="NT80" s="561">
        <v>0</v>
      </c>
      <c r="NU80" s="561">
        <v>-382</v>
      </c>
      <c r="NV80" s="561">
        <v>0</v>
      </c>
      <c r="NW80" s="561">
        <v>0</v>
      </c>
      <c r="NX80" s="561">
        <v>0</v>
      </c>
      <c r="NY80" s="561">
        <v>0</v>
      </c>
      <c r="NZ80" s="561">
        <v>0</v>
      </c>
      <c r="OA80" s="561">
        <v>0</v>
      </c>
      <c r="OB80" s="561">
        <v>0</v>
      </c>
      <c r="OC80" s="561">
        <v>0</v>
      </c>
      <c r="OD80" s="561">
        <v>0</v>
      </c>
      <c r="OE80" s="561">
        <v>0</v>
      </c>
      <c r="OF80" s="561">
        <v>0</v>
      </c>
      <c r="OG80" s="561">
        <v>0</v>
      </c>
      <c r="OH80" s="561">
        <v>0</v>
      </c>
      <c r="OI80" s="561">
        <v>0</v>
      </c>
      <c r="OJ80" s="561">
        <v>0</v>
      </c>
      <c r="OK80" s="561">
        <v>0</v>
      </c>
      <c r="OL80" s="561">
        <v>0</v>
      </c>
      <c r="OM80" s="561">
        <v>0</v>
      </c>
      <c r="ON80" s="561">
        <v>0</v>
      </c>
      <c r="OO80" s="561">
        <v>0</v>
      </c>
      <c r="OP80" s="561">
        <v>0</v>
      </c>
      <c r="OQ80" s="561">
        <v>0</v>
      </c>
      <c r="OR80" s="561">
        <v>0</v>
      </c>
      <c r="OS80" s="561">
        <v>0</v>
      </c>
      <c r="OT80" s="561">
        <v>0</v>
      </c>
      <c r="OU80" s="561">
        <v>0</v>
      </c>
      <c r="OV80" s="561">
        <v>0</v>
      </c>
      <c r="OW80" s="561">
        <v>0</v>
      </c>
      <c r="OX80" s="561">
        <v>0</v>
      </c>
      <c r="OY80" s="561">
        <v>0</v>
      </c>
      <c r="OZ80" s="561">
        <v>0</v>
      </c>
      <c r="PA80" s="561">
        <v>0</v>
      </c>
      <c r="PB80" s="561">
        <v>0</v>
      </c>
      <c r="PC80" s="561">
        <v>0</v>
      </c>
      <c r="PD80" s="561">
        <v>0</v>
      </c>
      <c r="PE80" s="561">
        <v>0</v>
      </c>
      <c r="PF80" s="561">
        <v>0</v>
      </c>
      <c r="PG80" s="561">
        <v>0</v>
      </c>
      <c r="PH80" s="561">
        <v>0</v>
      </c>
      <c r="PI80" s="561">
        <v>0</v>
      </c>
      <c r="PJ80" s="561">
        <v>0</v>
      </c>
    </row>
    <row r="81" spans="1:426" ht="14" x14ac:dyDescent="0.3">
      <c r="A81" t="s">
        <v>2672</v>
      </c>
      <c r="B81" t="s">
        <v>2673</v>
      </c>
      <c r="C81" t="s">
        <v>2674</v>
      </c>
      <c r="E81" t="s">
        <v>379</v>
      </c>
      <c r="F81" s="561">
        <v>36756</v>
      </c>
      <c r="G81" s="561">
        <v>134625</v>
      </c>
      <c r="H81" s="561">
        <v>5130</v>
      </c>
      <c r="I81" s="561">
        <v>32940</v>
      </c>
      <c r="J81" s="561">
        <v>4611</v>
      </c>
      <c r="K81" s="561">
        <v>33929</v>
      </c>
      <c r="L81" s="561">
        <v>247991</v>
      </c>
      <c r="M81" s="561">
        <v>190</v>
      </c>
      <c r="N81" s="561">
        <v>-56</v>
      </c>
      <c r="O81" s="561">
        <v>1052</v>
      </c>
      <c r="P81" s="561">
        <v>0</v>
      </c>
      <c r="Q81" s="561">
        <v>0</v>
      </c>
      <c r="R81" s="561">
        <v>324</v>
      </c>
      <c r="S81" s="561">
        <v>0</v>
      </c>
      <c r="T81" s="561">
        <v>6370</v>
      </c>
      <c r="U81" s="561">
        <v>552</v>
      </c>
      <c r="V81" s="561">
        <v>8787</v>
      </c>
      <c r="W81" s="561">
        <v>0</v>
      </c>
      <c r="X81" s="561">
        <v>-1270</v>
      </c>
      <c r="Y81" s="561">
        <v>94</v>
      </c>
      <c r="Z81" s="561">
        <v>990</v>
      </c>
      <c r="AA81" s="561">
        <v>0</v>
      </c>
      <c r="AB81" s="561">
        <v>-3162</v>
      </c>
      <c r="AC81" s="561">
        <v>0</v>
      </c>
      <c r="AD81" s="561">
        <v>0</v>
      </c>
      <c r="AE81" s="561">
        <v>0</v>
      </c>
      <c r="AF81" s="561">
        <v>0</v>
      </c>
      <c r="AG81" s="561">
        <v>0</v>
      </c>
      <c r="AH81" s="561">
        <v>114</v>
      </c>
      <c r="AI81" s="561">
        <v>0</v>
      </c>
      <c r="AJ81" s="561">
        <v>13795</v>
      </c>
      <c r="AK81" s="561">
        <v>1507</v>
      </c>
      <c r="AL81" s="561">
        <v>0</v>
      </c>
      <c r="AM81" s="561">
        <v>0</v>
      </c>
      <c r="AN81" s="561">
        <v>0</v>
      </c>
      <c r="AO81" s="561">
        <v>0</v>
      </c>
      <c r="AP81" s="561">
        <v>0</v>
      </c>
      <c r="AQ81" s="561">
        <v>0</v>
      </c>
      <c r="AR81" s="561">
        <v>0</v>
      </c>
      <c r="AS81" s="561">
        <v>0</v>
      </c>
      <c r="AT81" s="561">
        <v>0</v>
      </c>
      <c r="AU81" s="561">
        <v>0</v>
      </c>
      <c r="AV81" s="561">
        <v>0</v>
      </c>
      <c r="AW81" s="561">
        <v>0</v>
      </c>
      <c r="AX81" s="561">
        <v>1</v>
      </c>
      <c r="AY81" s="561">
        <v>57080</v>
      </c>
      <c r="AZ81" s="561">
        <v>287</v>
      </c>
      <c r="BA81" s="561">
        <v>20505</v>
      </c>
      <c r="BB81" s="561">
        <v>1689</v>
      </c>
      <c r="BC81" s="561">
        <v>36596</v>
      </c>
      <c r="BD81" s="561">
        <v>6098</v>
      </c>
      <c r="BE81" s="561">
        <v>477</v>
      </c>
      <c r="BF81" s="561">
        <v>122733</v>
      </c>
      <c r="BG81" s="561">
        <v>3128</v>
      </c>
      <c r="BH81" s="561">
        <v>6119</v>
      </c>
      <c r="BI81" s="561">
        <v>26119</v>
      </c>
      <c r="BJ81" s="561">
        <v>1124</v>
      </c>
      <c r="BK81" s="561">
        <v>407</v>
      </c>
      <c r="BL81" s="561">
        <v>1778</v>
      </c>
      <c r="BM81" s="561">
        <v>10991</v>
      </c>
      <c r="BN81" s="561">
        <v>49354</v>
      </c>
      <c r="BO81" s="561">
        <v>2053</v>
      </c>
      <c r="BP81" s="561">
        <v>13689</v>
      </c>
      <c r="BQ81" s="561">
        <v>5028</v>
      </c>
      <c r="BR81" s="561">
        <v>110</v>
      </c>
      <c r="BS81" s="561">
        <v>107</v>
      </c>
      <c r="BT81" s="561">
        <v>742</v>
      </c>
      <c r="BU81" s="561">
        <v>376</v>
      </c>
      <c r="BV81" s="561">
        <v>1801</v>
      </c>
      <c r="BW81" s="561">
        <v>14209</v>
      </c>
      <c r="BX81" s="561">
        <v>1426</v>
      </c>
      <c r="BY81" s="561">
        <v>13081</v>
      </c>
      <c r="BZ81" s="561">
        <v>148514</v>
      </c>
      <c r="CA81" s="561">
        <v>1783</v>
      </c>
      <c r="CB81" s="561">
        <v>2841</v>
      </c>
      <c r="CC81" s="561">
        <v>780</v>
      </c>
      <c r="CD81" s="561">
        <v>215</v>
      </c>
      <c r="CE81" s="561">
        <v>249</v>
      </c>
      <c r="CF81" s="561">
        <v>327</v>
      </c>
      <c r="CG81" s="561">
        <v>26</v>
      </c>
      <c r="CH81" s="561">
        <v>205</v>
      </c>
      <c r="CI81" s="561">
        <v>381</v>
      </c>
      <c r="CJ81" s="561">
        <v>157</v>
      </c>
      <c r="CK81" s="561">
        <v>525</v>
      </c>
      <c r="CL81" s="561">
        <v>321</v>
      </c>
      <c r="CM81" s="561">
        <v>2817</v>
      </c>
      <c r="CN81" s="561">
        <v>1483</v>
      </c>
      <c r="CO81" s="561">
        <v>277</v>
      </c>
      <c r="CP81" s="561">
        <v>188</v>
      </c>
      <c r="CQ81" s="561">
        <v>431</v>
      </c>
      <c r="CR81" s="561">
        <v>619</v>
      </c>
      <c r="CS81" s="561">
        <v>387</v>
      </c>
      <c r="CT81" s="561">
        <v>1728</v>
      </c>
      <c r="CU81" s="561">
        <v>5292</v>
      </c>
      <c r="CV81" s="561">
        <v>1383</v>
      </c>
      <c r="CW81" s="561">
        <v>0</v>
      </c>
      <c r="CX81" s="561">
        <v>2586</v>
      </c>
      <c r="CY81" s="561">
        <v>7605</v>
      </c>
      <c r="CZ81" s="561">
        <v>30823</v>
      </c>
      <c r="DA81" s="561">
        <v>2</v>
      </c>
      <c r="DB81" s="561">
        <v>0</v>
      </c>
      <c r="DC81" s="561">
        <v>0</v>
      </c>
      <c r="DD81" s="561">
        <v>0</v>
      </c>
      <c r="DE81" s="561">
        <v>0</v>
      </c>
      <c r="DF81" s="561">
        <v>0</v>
      </c>
      <c r="DG81" s="561">
        <v>0</v>
      </c>
      <c r="DH81" s="561">
        <v>1161</v>
      </c>
      <c r="DI81" s="561">
        <v>0</v>
      </c>
      <c r="DJ81" s="561">
        <v>0</v>
      </c>
      <c r="DK81" s="561">
        <v>146</v>
      </c>
      <c r="DL81" s="561">
        <v>520</v>
      </c>
      <c r="DM81" s="561">
        <v>2854</v>
      </c>
      <c r="DN81" s="561">
        <v>131</v>
      </c>
      <c r="DO81" s="561">
        <v>547</v>
      </c>
      <c r="DP81" s="561">
        <v>-420</v>
      </c>
      <c r="DQ81" s="561">
        <v>0</v>
      </c>
      <c r="DR81" s="561">
        <v>0</v>
      </c>
      <c r="DS81" s="561">
        <v>9538</v>
      </c>
      <c r="DT81" s="561">
        <v>2530</v>
      </c>
      <c r="DU81" s="561">
        <v>15700</v>
      </c>
      <c r="DV81" s="561">
        <v>0</v>
      </c>
      <c r="DW81" s="561">
        <v>0</v>
      </c>
      <c r="DX81" s="561">
        <v>0</v>
      </c>
      <c r="DY81" s="561">
        <v>0</v>
      </c>
      <c r="DZ81" s="561">
        <v>0</v>
      </c>
      <c r="EA81" s="561">
        <v>0</v>
      </c>
      <c r="EB81" s="561">
        <v>0</v>
      </c>
      <c r="EC81" s="561">
        <v>17007</v>
      </c>
      <c r="ED81" s="561">
        <v>63</v>
      </c>
      <c r="EE81" s="561">
        <v>0</v>
      </c>
      <c r="EF81" s="561">
        <v>0</v>
      </c>
      <c r="EG81" s="561">
        <v>0</v>
      </c>
      <c r="EH81" s="561">
        <v>0</v>
      </c>
      <c r="EI81" s="561">
        <v>0</v>
      </c>
      <c r="EJ81" s="561">
        <v>0</v>
      </c>
      <c r="EK81" s="561">
        <v>0</v>
      </c>
      <c r="EL81" s="561">
        <v>0</v>
      </c>
      <c r="EM81" s="561">
        <v>0</v>
      </c>
      <c r="EN81" s="561">
        <v>0</v>
      </c>
      <c r="EO81" s="561">
        <v>0</v>
      </c>
      <c r="EP81" s="561">
        <v>0</v>
      </c>
      <c r="EQ81" s="561">
        <v>0</v>
      </c>
      <c r="ER81" s="561">
        <v>0</v>
      </c>
      <c r="ES81" s="561" t="s">
        <v>4565</v>
      </c>
      <c r="ET81" s="561">
        <v>0</v>
      </c>
      <c r="EU81" s="561">
        <v>0</v>
      </c>
      <c r="EV81" s="561">
        <v>0</v>
      </c>
      <c r="EW81" s="561">
        <v>0</v>
      </c>
      <c r="EX81" s="561">
        <v>0</v>
      </c>
      <c r="EY81" s="561">
        <v>0</v>
      </c>
      <c r="EZ81" s="561">
        <v>0</v>
      </c>
      <c r="FA81" s="561">
        <v>0</v>
      </c>
      <c r="FB81" s="561">
        <v>0</v>
      </c>
      <c r="FC81" s="561">
        <v>82</v>
      </c>
      <c r="FD81" s="561">
        <v>0</v>
      </c>
      <c r="FE81" s="561">
        <v>458</v>
      </c>
      <c r="FF81" s="561">
        <v>0</v>
      </c>
      <c r="FG81" s="561">
        <v>0</v>
      </c>
      <c r="FH81" s="561">
        <v>0</v>
      </c>
      <c r="FI81" s="561">
        <v>269</v>
      </c>
      <c r="FJ81" s="561">
        <v>-82</v>
      </c>
      <c r="FK81" s="561">
        <v>2879</v>
      </c>
      <c r="FL81" s="561">
        <v>0</v>
      </c>
      <c r="FM81" s="561">
        <v>3982</v>
      </c>
      <c r="FN81" s="561">
        <v>3797</v>
      </c>
      <c r="FO81" s="561">
        <v>11385</v>
      </c>
      <c r="FP81" s="561">
        <v>2</v>
      </c>
      <c r="FQ81" s="561">
        <v>-3136</v>
      </c>
      <c r="FR81" s="561">
        <v>290</v>
      </c>
      <c r="FS81" s="561">
        <v>0</v>
      </c>
      <c r="FT81" s="561">
        <v>390</v>
      </c>
      <c r="FU81" s="561">
        <v>1519</v>
      </c>
      <c r="FV81" s="561">
        <v>1</v>
      </c>
      <c r="FW81" s="561">
        <v>167</v>
      </c>
      <c r="FX81" s="561">
        <v>0</v>
      </c>
      <c r="FY81" s="561">
        <v>0</v>
      </c>
      <c r="FZ81" s="561">
        <v>297</v>
      </c>
      <c r="GA81" s="561">
        <v>68</v>
      </c>
      <c r="GB81" s="561">
        <v>90</v>
      </c>
      <c r="GC81" s="561">
        <v>446</v>
      </c>
      <c r="GD81" s="561">
        <v>858</v>
      </c>
      <c r="GE81" s="561">
        <v>295</v>
      </c>
      <c r="GF81" s="561">
        <v>0</v>
      </c>
      <c r="GG81" s="561">
        <v>0</v>
      </c>
      <c r="GH81" s="561">
        <v>0</v>
      </c>
      <c r="GI81" s="561">
        <v>0</v>
      </c>
      <c r="GJ81" s="561">
        <v>0</v>
      </c>
      <c r="GK81" s="561">
        <v>0</v>
      </c>
      <c r="GL81" s="561">
        <v>5200</v>
      </c>
      <c r="GM81" s="561">
        <v>4939</v>
      </c>
      <c r="GN81" s="561">
        <v>8142</v>
      </c>
      <c r="GO81" s="561">
        <v>0</v>
      </c>
      <c r="GP81" s="561">
        <v>8022</v>
      </c>
      <c r="GQ81" s="561">
        <v>0</v>
      </c>
      <c r="GR81" s="561">
        <v>635</v>
      </c>
      <c r="GS81" s="561">
        <v>28223</v>
      </c>
      <c r="GT81" s="561">
        <v>370</v>
      </c>
      <c r="GU81" s="561">
        <v>150</v>
      </c>
      <c r="GV81" s="561">
        <v>90</v>
      </c>
      <c r="GW81" s="561">
        <v>0</v>
      </c>
      <c r="GX81" s="561">
        <v>1186</v>
      </c>
      <c r="GY81" s="561">
        <v>0</v>
      </c>
      <c r="GZ81" s="561">
        <v>4596</v>
      </c>
      <c r="HA81" s="561">
        <v>0</v>
      </c>
      <c r="HB81" s="561">
        <v>0</v>
      </c>
      <c r="HC81" s="561">
        <v>2237</v>
      </c>
      <c r="HD81" s="561">
        <v>8259</v>
      </c>
      <c r="HE81" s="561">
        <v>70</v>
      </c>
      <c r="HF81" s="561">
        <v>47867</v>
      </c>
      <c r="HG81" s="561">
        <v>442</v>
      </c>
      <c r="HH81" s="561">
        <v>0</v>
      </c>
      <c r="HI81" s="561">
        <v>0</v>
      </c>
      <c r="HJ81" s="561">
        <v>0</v>
      </c>
      <c r="HK81" s="561">
        <v>0</v>
      </c>
      <c r="HL81" s="561">
        <v>0</v>
      </c>
      <c r="HM81" s="561">
        <v>0</v>
      </c>
      <c r="HN81" s="561">
        <v>0</v>
      </c>
      <c r="HO81" s="561">
        <v>8602</v>
      </c>
      <c r="HP81" s="561">
        <v>2313</v>
      </c>
      <c r="HQ81" s="561">
        <v>0</v>
      </c>
      <c r="HR81" s="561">
        <v>0</v>
      </c>
      <c r="HS81" s="561">
        <v>0</v>
      </c>
      <c r="HT81" s="561">
        <v>437</v>
      </c>
      <c r="HU81" s="561">
        <v>0</v>
      </c>
      <c r="HV81" s="561">
        <v>-537</v>
      </c>
      <c r="HW81" s="561">
        <v>669</v>
      </c>
      <c r="HX81" s="561">
        <v>1496</v>
      </c>
      <c r="HY81" s="561">
        <v>245</v>
      </c>
      <c r="HZ81" s="561">
        <v>-126</v>
      </c>
      <c r="IA81" s="561">
        <v>0</v>
      </c>
      <c r="IB81" s="561">
        <v>913</v>
      </c>
      <c r="IC81" s="561">
        <v>1083</v>
      </c>
      <c r="ID81" s="561">
        <v>0</v>
      </c>
      <c r="IE81" s="561">
        <v>1504</v>
      </c>
      <c r="IF81" s="561">
        <v>0</v>
      </c>
      <c r="IG81" s="561">
        <v>0</v>
      </c>
      <c r="IH81" s="561">
        <v>3111</v>
      </c>
      <c r="II81" s="561">
        <v>19710</v>
      </c>
      <c r="IJ81" s="561">
        <v>0</v>
      </c>
      <c r="IK81" s="561">
        <v>0</v>
      </c>
      <c r="IL81" s="561">
        <v>0</v>
      </c>
      <c r="IM81" s="561">
        <v>0</v>
      </c>
      <c r="IN81" s="561">
        <v>0</v>
      </c>
      <c r="IO81" s="561">
        <v>57897</v>
      </c>
      <c r="IP81" s="561">
        <v>0</v>
      </c>
      <c r="IQ81" s="561">
        <v>0</v>
      </c>
      <c r="IR81" s="561">
        <v>247991</v>
      </c>
      <c r="IS81" s="561">
        <v>13795</v>
      </c>
      <c r="IT81" s="561">
        <v>122733</v>
      </c>
      <c r="IU81" s="561">
        <v>148514</v>
      </c>
      <c r="IV81" s="561">
        <v>30823</v>
      </c>
      <c r="IW81" s="561">
        <v>17007</v>
      </c>
      <c r="IX81" s="561">
        <v>11385</v>
      </c>
      <c r="IY81" s="561">
        <v>28223</v>
      </c>
      <c r="IZ81" s="561">
        <v>8259</v>
      </c>
      <c r="JA81" s="561">
        <v>0</v>
      </c>
      <c r="JB81" s="561">
        <v>0</v>
      </c>
      <c r="JC81" s="561">
        <v>19710</v>
      </c>
      <c r="JD81" s="561">
        <v>0</v>
      </c>
      <c r="JE81" s="561">
        <v>648440</v>
      </c>
      <c r="JF81" s="561">
        <v>96744</v>
      </c>
      <c r="JG81" s="561">
        <v>0</v>
      </c>
      <c r="JH81" s="561">
        <v>0</v>
      </c>
      <c r="JI81" s="561">
        <v>0</v>
      </c>
      <c r="JJ81" s="561">
        <v>0</v>
      </c>
      <c r="JK81" s="561">
        <v>51</v>
      </c>
      <c r="JL81" s="561">
        <v>14369</v>
      </c>
      <c r="JM81" s="561">
        <v>0</v>
      </c>
      <c r="JN81" s="561">
        <v>0</v>
      </c>
      <c r="JO81" s="561">
        <v>1646</v>
      </c>
      <c r="JP81" s="561">
        <v>-9382</v>
      </c>
      <c r="JQ81" s="561">
        <v>2712</v>
      </c>
      <c r="JR81" s="561">
        <v>0</v>
      </c>
      <c r="JS81" s="561">
        <v>0</v>
      </c>
      <c r="JT81" s="561">
        <v>-1458</v>
      </c>
      <c r="JU81" s="561">
        <v>0</v>
      </c>
      <c r="JV81" s="561">
        <v>753122</v>
      </c>
      <c r="JW81" s="561">
        <v>108</v>
      </c>
      <c r="JX81" s="561">
        <v>1044</v>
      </c>
      <c r="JY81" s="561">
        <v>0</v>
      </c>
      <c r="JZ81" s="561">
        <v>0</v>
      </c>
      <c r="KA81" s="561">
        <v>0</v>
      </c>
      <c r="KB81" s="561">
        <v>2717</v>
      </c>
      <c r="KC81" s="561">
        <v>24361</v>
      </c>
      <c r="KD81" s="561">
        <v>236</v>
      </c>
      <c r="KE81" s="561">
        <v>13463</v>
      </c>
      <c r="KF81" s="561">
        <v>0</v>
      </c>
      <c r="KG81" s="561">
        <v>795051</v>
      </c>
      <c r="KH81" s="561">
        <v>-27666</v>
      </c>
      <c r="KI81" s="561">
        <v>0</v>
      </c>
      <c r="KJ81" s="561">
        <v>0</v>
      </c>
      <c r="KK81" s="561">
        <v>0</v>
      </c>
      <c r="KL81" s="561">
        <v>-81256</v>
      </c>
      <c r="KM81" s="561">
        <v>0</v>
      </c>
      <c r="KN81" s="561">
        <v>0</v>
      </c>
      <c r="KO81" s="561">
        <v>0</v>
      </c>
      <c r="KP81" s="561">
        <v>0</v>
      </c>
      <c r="KQ81" s="561">
        <v>0</v>
      </c>
      <c r="KR81" s="561">
        <v>686129</v>
      </c>
      <c r="KS81" s="561">
        <v>0</v>
      </c>
      <c r="KT81" s="561">
        <v>-374970</v>
      </c>
      <c r="KU81" s="561">
        <v>311159</v>
      </c>
      <c r="KV81" s="561">
        <v>0</v>
      </c>
      <c r="KW81" s="561">
        <v>357</v>
      </c>
      <c r="KX81" s="561">
        <v>1840</v>
      </c>
      <c r="KY81" s="561">
        <v>530</v>
      </c>
      <c r="KZ81" s="561">
        <v>805</v>
      </c>
      <c r="LA81" s="561">
        <v>0</v>
      </c>
      <c r="LB81" s="561">
        <v>0</v>
      </c>
      <c r="LC81" s="561">
        <v>0</v>
      </c>
      <c r="LD81" s="561">
        <v>-132882</v>
      </c>
      <c r="LE81" s="561">
        <v>-5911</v>
      </c>
      <c r="LF81" s="561">
        <v>0</v>
      </c>
      <c r="LG81" s="561">
        <v>175898</v>
      </c>
      <c r="LH81" s="561">
        <v>23539</v>
      </c>
      <c r="LI81" s="561">
        <v>0</v>
      </c>
      <c r="LJ81" s="561">
        <v>14290</v>
      </c>
      <c r="LK81" s="561">
        <v>4026</v>
      </c>
      <c r="LL81" s="561">
        <v>103760</v>
      </c>
      <c r="LM81" s="561">
        <v>10277</v>
      </c>
      <c r="LN81" s="561">
        <v>23896</v>
      </c>
      <c r="LO81" s="561">
        <v>0</v>
      </c>
      <c r="LP81" s="561">
        <v>16130</v>
      </c>
      <c r="LQ81" s="561">
        <v>4556</v>
      </c>
      <c r="LR81" s="561">
        <v>104565</v>
      </c>
      <c r="LS81" s="561">
        <v>10277</v>
      </c>
      <c r="LT81" s="561">
        <v>0</v>
      </c>
      <c r="LU81" s="561">
        <v>41155</v>
      </c>
      <c r="LV81" s="561">
        <v>0</v>
      </c>
      <c r="LW81" s="561">
        <v>-18421</v>
      </c>
      <c r="LX81" s="561">
        <v>-83033</v>
      </c>
      <c r="LY81" s="561">
        <v>38688</v>
      </c>
      <c r="LZ81" s="561">
        <v>-29534</v>
      </c>
      <c r="MA81" s="561">
        <v>0</v>
      </c>
      <c r="MB81" s="561">
        <v>0</v>
      </c>
      <c r="MC81" s="561">
        <v>0</v>
      </c>
      <c r="MD81" s="561">
        <v>0</v>
      </c>
      <c r="ME81" s="561">
        <v>0</v>
      </c>
      <c r="MF81" s="561">
        <v>0</v>
      </c>
      <c r="MG81" s="561">
        <v>0</v>
      </c>
      <c r="MH81" s="561">
        <v>10056</v>
      </c>
      <c r="MI81" s="561">
        <v>17113</v>
      </c>
      <c r="MJ81" s="561">
        <v>27169</v>
      </c>
      <c r="MK81" s="561">
        <v>7</v>
      </c>
      <c r="ML81" s="561">
        <v>4137</v>
      </c>
      <c r="MM81" s="561">
        <v>90459</v>
      </c>
      <c r="MN81" s="561">
        <v>9969</v>
      </c>
      <c r="MO81" s="561">
        <v>0</v>
      </c>
      <c r="MP81" s="561">
        <v>0</v>
      </c>
      <c r="MQ81" s="561">
        <v>247991</v>
      </c>
      <c r="MR81" s="561">
        <v>13795</v>
      </c>
      <c r="MS81" s="561">
        <v>122733</v>
      </c>
      <c r="MT81" s="561">
        <v>148514</v>
      </c>
      <c r="MU81" s="561">
        <v>30823</v>
      </c>
      <c r="MV81" s="561">
        <v>17007</v>
      </c>
      <c r="MW81" s="561">
        <v>11385</v>
      </c>
      <c r="MX81" s="561">
        <v>28223</v>
      </c>
      <c r="MY81" s="561">
        <v>8259</v>
      </c>
      <c r="MZ81" s="561">
        <v>0</v>
      </c>
      <c r="NA81" s="561">
        <v>0</v>
      </c>
      <c r="NB81" s="561">
        <v>19710</v>
      </c>
      <c r="NC81" s="561">
        <v>0</v>
      </c>
      <c r="ND81" s="561">
        <v>648440</v>
      </c>
      <c r="NE81" s="561">
        <v>0</v>
      </c>
      <c r="NF81" s="561">
        <v>0</v>
      </c>
      <c r="NG81" s="561">
        <v>0</v>
      </c>
      <c r="NH81" s="561">
        <v>0</v>
      </c>
      <c r="NI81" s="561">
        <v>0</v>
      </c>
      <c r="NJ81" s="561">
        <v>0</v>
      </c>
      <c r="NK81" s="561">
        <v>0</v>
      </c>
      <c r="NL81" s="561">
        <v>0</v>
      </c>
      <c r="NM81" s="561">
        <v>0</v>
      </c>
      <c r="NN81" s="561">
        <v>0</v>
      </c>
      <c r="NO81" s="561">
        <v>0</v>
      </c>
      <c r="NP81" s="561">
        <v>0</v>
      </c>
      <c r="NQ81" s="561">
        <v>279</v>
      </c>
      <c r="NR81" s="561">
        <v>0</v>
      </c>
      <c r="NS81" s="561">
        <v>-333</v>
      </c>
      <c r="NT81" s="561">
        <v>-9265</v>
      </c>
      <c r="NU81" s="561">
        <v>-10532</v>
      </c>
      <c r="NV81" s="561">
        <v>22</v>
      </c>
      <c r="NW81" s="561">
        <v>-9382</v>
      </c>
      <c r="NX81" s="561">
        <v>0</v>
      </c>
      <c r="NY81" s="561">
        <v>-9382</v>
      </c>
      <c r="NZ81" s="561">
        <v>0</v>
      </c>
      <c r="OA81" s="561">
        <v>0</v>
      </c>
      <c r="OB81" s="561">
        <v>229</v>
      </c>
      <c r="OC81" s="561">
        <v>0</v>
      </c>
      <c r="OD81" s="561">
        <v>0</v>
      </c>
      <c r="OE81" s="561">
        <v>0</v>
      </c>
      <c r="OF81" s="561">
        <v>0</v>
      </c>
      <c r="OG81" s="561">
        <v>0</v>
      </c>
      <c r="OH81" s="561">
        <v>0</v>
      </c>
      <c r="OI81" s="561">
        <v>407</v>
      </c>
      <c r="OJ81" s="561">
        <v>923</v>
      </c>
      <c r="OK81" s="561">
        <v>0</v>
      </c>
      <c r="OL81" s="561">
        <v>0</v>
      </c>
      <c r="OM81" s="561">
        <v>389</v>
      </c>
      <c r="ON81" s="561">
        <v>59</v>
      </c>
      <c r="OO81" s="561">
        <v>0</v>
      </c>
      <c r="OP81" s="561">
        <v>296</v>
      </c>
      <c r="OQ81" s="561">
        <v>0</v>
      </c>
      <c r="OR81" s="561">
        <v>0</v>
      </c>
      <c r="OS81" s="561">
        <v>-51</v>
      </c>
      <c r="OT81" s="561">
        <v>0</v>
      </c>
      <c r="OU81" s="561">
        <v>0</v>
      </c>
      <c r="OV81" s="561">
        <v>2843</v>
      </c>
      <c r="OW81" s="561">
        <v>0</v>
      </c>
      <c r="OX81" s="561">
        <v>2712</v>
      </c>
      <c r="OY81" s="561">
        <v>0</v>
      </c>
      <c r="OZ81" s="561">
        <v>0</v>
      </c>
      <c r="PA81" s="561">
        <v>0</v>
      </c>
      <c r="PB81" s="561">
        <v>0</v>
      </c>
      <c r="PC81" s="561">
        <v>0</v>
      </c>
      <c r="PD81" s="561">
        <v>0</v>
      </c>
      <c r="PE81" s="561">
        <v>0</v>
      </c>
      <c r="PF81" s="561">
        <v>0</v>
      </c>
      <c r="PG81" s="561">
        <v>0</v>
      </c>
      <c r="PH81" s="561">
        <v>0</v>
      </c>
      <c r="PI81" s="561">
        <v>0</v>
      </c>
      <c r="PJ81" s="561">
        <v>0</v>
      </c>
    </row>
    <row r="82" spans="1:426" ht="14" x14ac:dyDescent="0.3">
      <c r="A82" t="s">
        <v>2675</v>
      </c>
      <c r="B82" t="s">
        <v>2676</v>
      </c>
      <c r="C82" t="s">
        <v>2677</v>
      </c>
      <c r="E82" t="s">
        <v>384</v>
      </c>
      <c r="F82" s="561">
        <v>0</v>
      </c>
      <c r="G82" s="561">
        <v>0</v>
      </c>
      <c r="H82" s="561">
        <v>0</v>
      </c>
      <c r="I82" s="561">
        <v>0</v>
      </c>
      <c r="J82" s="561">
        <v>0</v>
      </c>
      <c r="K82" s="561">
        <v>0</v>
      </c>
      <c r="L82" s="561">
        <v>0</v>
      </c>
      <c r="M82" s="561">
        <v>0</v>
      </c>
      <c r="N82" s="561">
        <v>0</v>
      </c>
      <c r="O82" s="561">
        <v>0</v>
      </c>
      <c r="P82" s="561">
        <v>0</v>
      </c>
      <c r="Q82" s="561">
        <v>0</v>
      </c>
      <c r="R82" s="561">
        <v>0</v>
      </c>
      <c r="S82" s="561">
        <v>71</v>
      </c>
      <c r="T82" s="561">
        <v>-7</v>
      </c>
      <c r="U82" s="561">
        <v>0</v>
      </c>
      <c r="V82" s="561">
        <v>26</v>
      </c>
      <c r="W82" s="561">
        <v>0</v>
      </c>
      <c r="X82" s="561">
        <v>0</v>
      </c>
      <c r="Y82" s="561">
        <v>0</v>
      </c>
      <c r="Z82" s="561">
        <v>0</v>
      </c>
      <c r="AA82" s="561">
        <v>0</v>
      </c>
      <c r="AB82" s="561">
        <v>83</v>
      </c>
      <c r="AC82" s="561">
        <v>0</v>
      </c>
      <c r="AD82" s="561">
        <v>0</v>
      </c>
      <c r="AE82" s="561">
        <v>0</v>
      </c>
      <c r="AF82" s="561">
        <v>0</v>
      </c>
      <c r="AG82" s="561">
        <v>0</v>
      </c>
      <c r="AH82" s="561">
        <v>0</v>
      </c>
      <c r="AI82" s="561">
        <v>0</v>
      </c>
      <c r="AJ82" s="561">
        <v>173</v>
      </c>
      <c r="AK82" s="561">
        <v>0</v>
      </c>
      <c r="AL82" s="561">
        <v>0</v>
      </c>
      <c r="AM82" s="561">
        <v>0</v>
      </c>
      <c r="AN82" s="561">
        <v>0</v>
      </c>
      <c r="AO82" s="561">
        <v>0</v>
      </c>
      <c r="AP82" s="561">
        <v>0</v>
      </c>
      <c r="AQ82" s="561">
        <v>0</v>
      </c>
      <c r="AR82" s="561">
        <v>0</v>
      </c>
      <c r="AS82" s="561">
        <v>47</v>
      </c>
      <c r="AT82" s="561">
        <v>581</v>
      </c>
      <c r="AU82" s="561">
        <v>0</v>
      </c>
      <c r="AV82" s="561">
        <v>0</v>
      </c>
      <c r="AW82" s="561">
        <v>0</v>
      </c>
      <c r="AX82" s="561">
        <v>0</v>
      </c>
      <c r="AY82" s="561">
        <v>0</v>
      </c>
      <c r="AZ82" s="561">
        <v>0</v>
      </c>
      <c r="BA82" s="561">
        <v>0</v>
      </c>
      <c r="BB82" s="561">
        <v>0</v>
      </c>
      <c r="BC82" s="561">
        <v>0</v>
      </c>
      <c r="BD82" s="561">
        <v>0</v>
      </c>
      <c r="BE82" s="561">
        <v>0</v>
      </c>
      <c r="BF82" s="561">
        <v>0</v>
      </c>
      <c r="BG82" s="561">
        <v>0</v>
      </c>
      <c r="BH82" s="561">
        <v>0</v>
      </c>
      <c r="BI82" s="561">
        <v>0</v>
      </c>
      <c r="BJ82" s="561">
        <v>0</v>
      </c>
      <c r="BK82" s="561">
        <v>0</v>
      </c>
      <c r="BL82" s="561">
        <v>0</v>
      </c>
      <c r="BM82" s="561">
        <v>0</v>
      </c>
      <c r="BN82" s="561">
        <v>0</v>
      </c>
      <c r="BO82" s="561">
        <v>0</v>
      </c>
      <c r="BP82" s="561">
        <v>0</v>
      </c>
      <c r="BQ82" s="561">
        <v>0</v>
      </c>
      <c r="BR82" s="561">
        <v>0</v>
      </c>
      <c r="BS82" s="561">
        <v>-22</v>
      </c>
      <c r="BT82" s="561">
        <v>0</v>
      </c>
      <c r="BU82" s="561">
        <v>0</v>
      </c>
      <c r="BV82" s="561">
        <v>0</v>
      </c>
      <c r="BW82" s="561">
        <v>0</v>
      </c>
      <c r="BX82" s="561">
        <v>0</v>
      </c>
      <c r="BY82" s="561">
        <v>0</v>
      </c>
      <c r="BZ82" s="561">
        <v>-22</v>
      </c>
      <c r="CA82" s="561">
        <v>0</v>
      </c>
      <c r="CB82" s="561">
        <v>0</v>
      </c>
      <c r="CC82" s="561">
        <v>0</v>
      </c>
      <c r="CD82" s="561">
        <v>0</v>
      </c>
      <c r="CE82" s="561">
        <v>0</v>
      </c>
      <c r="CF82" s="561">
        <v>0</v>
      </c>
      <c r="CG82" s="561">
        <v>0</v>
      </c>
      <c r="CH82" s="561">
        <v>0</v>
      </c>
      <c r="CI82" s="561">
        <v>0</v>
      </c>
      <c r="CJ82" s="561">
        <v>0</v>
      </c>
      <c r="CK82" s="561">
        <v>0</v>
      </c>
      <c r="CL82" s="561">
        <v>0</v>
      </c>
      <c r="CM82" s="561">
        <v>0</v>
      </c>
      <c r="CN82" s="561">
        <v>0</v>
      </c>
      <c r="CO82" s="561">
        <v>0</v>
      </c>
      <c r="CP82" s="561">
        <v>0</v>
      </c>
      <c r="CQ82" s="561">
        <v>0</v>
      </c>
      <c r="CR82" s="561">
        <v>0</v>
      </c>
      <c r="CS82" s="561">
        <v>0</v>
      </c>
      <c r="CT82" s="561">
        <v>0</v>
      </c>
      <c r="CU82" s="561">
        <v>0</v>
      </c>
      <c r="CV82" s="561">
        <v>0</v>
      </c>
      <c r="CW82" s="561">
        <v>0</v>
      </c>
      <c r="CX82" s="561">
        <v>0</v>
      </c>
      <c r="CY82" s="561">
        <v>0</v>
      </c>
      <c r="CZ82" s="561">
        <v>0</v>
      </c>
      <c r="DA82" s="561">
        <v>0</v>
      </c>
      <c r="DB82" s="561">
        <v>0</v>
      </c>
      <c r="DC82" s="561">
        <v>0</v>
      </c>
      <c r="DD82" s="561">
        <v>0</v>
      </c>
      <c r="DE82" s="561">
        <v>0</v>
      </c>
      <c r="DF82" s="561">
        <v>0</v>
      </c>
      <c r="DG82" s="561">
        <v>0</v>
      </c>
      <c r="DH82" s="561">
        <v>1428</v>
      </c>
      <c r="DI82" s="561">
        <v>0</v>
      </c>
      <c r="DJ82" s="561">
        <v>119</v>
      </c>
      <c r="DK82" s="561">
        <v>0</v>
      </c>
      <c r="DL82" s="561">
        <v>881</v>
      </c>
      <c r="DM82" s="561">
        <v>0</v>
      </c>
      <c r="DN82" s="561">
        <v>0</v>
      </c>
      <c r="DO82" s="561">
        <v>6655</v>
      </c>
      <c r="DP82" s="561">
        <v>0</v>
      </c>
      <c r="DQ82" s="561">
        <v>-1258</v>
      </c>
      <c r="DR82" s="561">
        <v>0</v>
      </c>
      <c r="DS82" s="561">
        <v>1000</v>
      </c>
      <c r="DT82" s="561">
        <v>0</v>
      </c>
      <c r="DU82" s="561">
        <v>7278</v>
      </c>
      <c r="DV82" s="561">
        <v>115</v>
      </c>
      <c r="DW82" s="561">
        <v>0</v>
      </c>
      <c r="DX82" s="561">
        <v>113</v>
      </c>
      <c r="DY82" s="561">
        <v>504</v>
      </c>
      <c r="DZ82" s="561">
        <v>0</v>
      </c>
      <c r="EA82" s="561">
        <v>0</v>
      </c>
      <c r="EB82" s="561">
        <v>0</v>
      </c>
      <c r="EC82" s="561">
        <v>9557</v>
      </c>
      <c r="ED82" s="561">
        <v>203</v>
      </c>
      <c r="EE82" s="561">
        <v>55952.44</v>
      </c>
      <c r="EF82" s="561">
        <v>0</v>
      </c>
      <c r="EG82" s="561">
        <v>2707.34</v>
      </c>
      <c r="EH82" s="561">
        <v>0</v>
      </c>
      <c r="EI82" s="561">
        <v>0</v>
      </c>
      <c r="EJ82" s="561">
        <v>126.18</v>
      </c>
      <c r="EK82" s="561">
        <v>1168</v>
      </c>
      <c r="EL82" s="561">
        <v>0</v>
      </c>
      <c r="EM82" s="561">
        <v>0</v>
      </c>
      <c r="EN82" s="561">
        <v>18672.990000000002</v>
      </c>
      <c r="EO82" s="561">
        <v>11566.03</v>
      </c>
      <c r="EP82" s="561">
        <v>0</v>
      </c>
      <c r="EQ82" s="561">
        <v>311.73</v>
      </c>
      <c r="ER82" s="561">
        <v>7912</v>
      </c>
      <c r="ES82" s="561" t="s">
        <v>4565</v>
      </c>
      <c r="ET82" s="561">
        <v>0</v>
      </c>
      <c r="EU82" s="561">
        <v>0</v>
      </c>
      <c r="EV82" s="561">
        <v>0</v>
      </c>
      <c r="EW82" s="561">
        <v>0</v>
      </c>
      <c r="EX82" s="561">
        <v>19785.45</v>
      </c>
      <c r="EY82" s="561">
        <v>-57.04</v>
      </c>
      <c r="EZ82" s="561">
        <v>1762.8</v>
      </c>
      <c r="FA82" s="561">
        <v>3237</v>
      </c>
      <c r="FB82" s="561">
        <v>0</v>
      </c>
      <c r="FC82" s="561">
        <v>70</v>
      </c>
      <c r="FD82" s="561">
        <v>0</v>
      </c>
      <c r="FE82" s="561">
        <v>40</v>
      </c>
      <c r="FF82" s="561">
        <v>582</v>
      </c>
      <c r="FG82" s="561">
        <v>241</v>
      </c>
      <c r="FH82" s="561">
        <v>0</v>
      </c>
      <c r="FI82" s="561">
        <v>218</v>
      </c>
      <c r="FJ82" s="561">
        <v>523</v>
      </c>
      <c r="FK82" s="561">
        <v>4386</v>
      </c>
      <c r="FL82" s="561">
        <v>42</v>
      </c>
      <c r="FM82" s="561">
        <v>0</v>
      </c>
      <c r="FN82" s="561">
        <v>0</v>
      </c>
      <c r="FO82" s="561">
        <v>6102</v>
      </c>
      <c r="FP82" s="561">
        <v>0</v>
      </c>
      <c r="FQ82" s="561">
        <v>87</v>
      </c>
      <c r="FR82" s="561">
        <v>0</v>
      </c>
      <c r="FS82" s="561">
        <v>31</v>
      </c>
      <c r="FT82" s="561">
        <v>-1</v>
      </c>
      <c r="FU82" s="561">
        <v>964</v>
      </c>
      <c r="FV82" s="561">
        <v>-9</v>
      </c>
      <c r="FW82" s="561">
        <v>0</v>
      </c>
      <c r="FX82" s="561">
        <v>61</v>
      </c>
      <c r="FY82" s="561">
        <v>0</v>
      </c>
      <c r="FZ82" s="561">
        <v>28</v>
      </c>
      <c r="GA82" s="561">
        <v>158</v>
      </c>
      <c r="GB82" s="561">
        <v>20</v>
      </c>
      <c r="GC82" s="561">
        <v>-18</v>
      </c>
      <c r="GD82" s="561">
        <v>0</v>
      </c>
      <c r="GE82" s="561">
        <v>377</v>
      </c>
      <c r="GF82" s="561">
        <v>20</v>
      </c>
      <c r="GG82" s="561">
        <v>0</v>
      </c>
      <c r="GH82" s="561">
        <v>98</v>
      </c>
      <c r="GI82" s="561">
        <v>0</v>
      </c>
      <c r="GJ82" s="561">
        <v>0</v>
      </c>
      <c r="GK82" s="561">
        <v>0</v>
      </c>
      <c r="GL82" s="561">
        <v>2067</v>
      </c>
      <c r="GM82" s="561">
        <v>2130</v>
      </c>
      <c r="GN82" s="561">
        <v>0</v>
      </c>
      <c r="GO82" s="561">
        <v>0</v>
      </c>
      <c r="GP82" s="561">
        <v>494</v>
      </c>
      <c r="GQ82" s="561">
        <v>0</v>
      </c>
      <c r="GR82" s="561">
        <v>-176</v>
      </c>
      <c r="GS82" s="561">
        <v>6331</v>
      </c>
      <c r="GT82" s="561">
        <v>2</v>
      </c>
      <c r="GU82" s="561">
        <v>144</v>
      </c>
      <c r="GV82" s="561">
        <v>1341</v>
      </c>
      <c r="GW82" s="561">
        <v>0</v>
      </c>
      <c r="GX82" s="561">
        <v>591</v>
      </c>
      <c r="GY82" s="561">
        <v>181</v>
      </c>
      <c r="GZ82" s="561">
        <v>-676</v>
      </c>
      <c r="HA82" s="561">
        <v>0</v>
      </c>
      <c r="HB82" s="561">
        <v>0</v>
      </c>
      <c r="HC82" s="561">
        <v>675</v>
      </c>
      <c r="HD82" s="561">
        <v>2256</v>
      </c>
      <c r="HE82" s="561">
        <v>0</v>
      </c>
      <c r="HF82" s="561">
        <v>14689</v>
      </c>
      <c r="HG82" s="561">
        <v>0</v>
      </c>
      <c r="HH82" s="561">
        <v>0</v>
      </c>
      <c r="HI82" s="561">
        <v>0</v>
      </c>
      <c r="HJ82" s="561">
        <v>0</v>
      </c>
      <c r="HK82" s="561">
        <v>0</v>
      </c>
      <c r="HL82" s="561">
        <v>0</v>
      </c>
      <c r="HM82" s="561">
        <v>0</v>
      </c>
      <c r="HN82" s="561">
        <v>0</v>
      </c>
      <c r="HO82" s="561">
        <v>1320</v>
      </c>
      <c r="HP82" s="561">
        <v>1267</v>
      </c>
      <c r="HQ82" s="561">
        <v>0</v>
      </c>
      <c r="HR82" s="561">
        <v>0</v>
      </c>
      <c r="HS82" s="561">
        <v>972</v>
      </c>
      <c r="HT82" s="561">
        <v>-38</v>
      </c>
      <c r="HU82" s="561">
        <v>1</v>
      </c>
      <c r="HV82" s="561">
        <v>0</v>
      </c>
      <c r="HW82" s="561">
        <v>192</v>
      </c>
      <c r="HX82" s="561">
        <v>246</v>
      </c>
      <c r="HY82" s="561">
        <v>10</v>
      </c>
      <c r="HZ82" s="561">
        <v>30</v>
      </c>
      <c r="IA82" s="561">
        <v>0</v>
      </c>
      <c r="IB82" s="561">
        <v>471</v>
      </c>
      <c r="IC82" s="561">
        <v>0</v>
      </c>
      <c r="ID82" s="561">
        <v>0</v>
      </c>
      <c r="IE82" s="561">
        <v>178</v>
      </c>
      <c r="IF82" s="561">
        <v>0</v>
      </c>
      <c r="IG82" s="561">
        <v>0</v>
      </c>
      <c r="IH82" s="561">
        <v>1888</v>
      </c>
      <c r="II82" s="561">
        <v>6537</v>
      </c>
      <c r="IJ82" s="561">
        <v>95</v>
      </c>
      <c r="IK82" s="561">
        <v>229</v>
      </c>
      <c r="IL82" s="561">
        <v>7069</v>
      </c>
      <c r="IM82" s="561">
        <v>0</v>
      </c>
      <c r="IN82" s="561">
        <v>2870</v>
      </c>
      <c r="IO82" s="561">
        <v>2574</v>
      </c>
      <c r="IP82" s="561">
        <v>-6909</v>
      </c>
      <c r="IQ82" s="561">
        <v>0</v>
      </c>
      <c r="IR82" s="561">
        <v>0</v>
      </c>
      <c r="IS82" s="561">
        <v>173</v>
      </c>
      <c r="IT82" s="561">
        <v>0</v>
      </c>
      <c r="IU82" s="561">
        <v>-22</v>
      </c>
      <c r="IV82" s="561">
        <v>0</v>
      </c>
      <c r="IW82" s="561">
        <v>9557</v>
      </c>
      <c r="IX82" s="561">
        <v>6102</v>
      </c>
      <c r="IY82" s="561">
        <v>6331</v>
      </c>
      <c r="IZ82" s="561">
        <v>2256</v>
      </c>
      <c r="JA82" s="561">
        <v>0</v>
      </c>
      <c r="JB82" s="561">
        <v>0</v>
      </c>
      <c r="JC82" s="561">
        <v>6537</v>
      </c>
      <c r="JD82" s="561">
        <v>-6909</v>
      </c>
      <c r="JE82" s="561">
        <v>24025</v>
      </c>
      <c r="JF82" s="561">
        <v>11725</v>
      </c>
      <c r="JG82" s="561">
        <v>2612</v>
      </c>
      <c r="JH82" s="561">
        <v>11144</v>
      </c>
      <c r="JI82" s="561">
        <v>0</v>
      </c>
      <c r="JJ82" s="561">
        <v>0</v>
      </c>
      <c r="JK82" s="561">
        <v>0</v>
      </c>
      <c r="JL82" s="561">
        <v>0</v>
      </c>
      <c r="JM82" s="561">
        <v>0</v>
      </c>
      <c r="JN82" s="561">
        <v>0</v>
      </c>
      <c r="JO82" s="561">
        <v>0</v>
      </c>
      <c r="JP82" s="561">
        <v>143</v>
      </c>
      <c r="JQ82" s="561">
        <v>0</v>
      </c>
      <c r="JR82" s="561">
        <v>0</v>
      </c>
      <c r="JS82" s="561">
        <v>0</v>
      </c>
      <c r="JT82" s="561">
        <v>-15</v>
      </c>
      <c r="JU82" s="561">
        <v>0</v>
      </c>
      <c r="JV82" s="561">
        <v>49634</v>
      </c>
      <c r="JW82" s="561">
        <v>0</v>
      </c>
      <c r="JX82" s="561">
        <v>1</v>
      </c>
      <c r="JY82" s="561">
        <v>0</v>
      </c>
      <c r="JZ82" s="561">
        <v>0</v>
      </c>
      <c r="KA82" s="561">
        <v>0</v>
      </c>
      <c r="KB82" s="561">
        <v>14</v>
      </c>
      <c r="KC82" s="561">
        <v>0</v>
      </c>
      <c r="KD82" s="561">
        <v>0</v>
      </c>
      <c r="KE82" s="561">
        <v>779</v>
      </c>
      <c r="KF82" s="561">
        <v>1081</v>
      </c>
      <c r="KG82" s="561">
        <v>51509</v>
      </c>
      <c r="KH82" s="561">
        <v>-6102</v>
      </c>
      <c r="KI82" s="561">
        <v>0</v>
      </c>
      <c r="KJ82" s="561">
        <v>0</v>
      </c>
      <c r="KK82" s="561">
        <v>0</v>
      </c>
      <c r="KL82" s="561">
        <v>-26659</v>
      </c>
      <c r="KM82" s="561">
        <v>0</v>
      </c>
      <c r="KN82" s="561">
        <v>0</v>
      </c>
      <c r="KO82" s="561">
        <v>0</v>
      </c>
      <c r="KP82" s="561">
        <v>0</v>
      </c>
      <c r="KQ82" s="561">
        <v>0</v>
      </c>
      <c r="KR82" s="561">
        <v>18748</v>
      </c>
      <c r="KS82" s="561">
        <v>0</v>
      </c>
      <c r="KT82" s="561">
        <v>-2889</v>
      </c>
      <c r="KU82" s="561">
        <v>15859</v>
      </c>
      <c r="KV82" s="561">
        <v>0</v>
      </c>
      <c r="KW82" s="561">
        <v>0</v>
      </c>
      <c r="KX82" s="561">
        <v>0</v>
      </c>
      <c r="KY82" s="561">
        <v>0</v>
      </c>
      <c r="KZ82" s="561">
        <v>1138.28</v>
      </c>
      <c r="LA82" s="561">
        <v>367</v>
      </c>
      <c r="LB82" s="561">
        <v>-238</v>
      </c>
      <c r="LC82" s="561">
        <v>0</v>
      </c>
      <c r="LD82" s="561">
        <v>-8499</v>
      </c>
      <c r="LE82" s="561">
        <v>-124</v>
      </c>
      <c r="LF82" s="561">
        <v>0</v>
      </c>
      <c r="LG82" s="561">
        <v>8503</v>
      </c>
      <c r="LH82" s="561">
        <v>0</v>
      </c>
      <c r="LI82" s="561">
        <v>0</v>
      </c>
      <c r="LJ82" s="561">
        <v>0</v>
      </c>
      <c r="LK82" s="561">
        <v>0</v>
      </c>
      <c r="LL82" s="561">
        <v>11168</v>
      </c>
      <c r="LM82" s="561">
        <v>3810</v>
      </c>
      <c r="LN82" s="561">
        <v>0</v>
      </c>
      <c r="LO82" s="561">
        <v>0</v>
      </c>
      <c r="LP82" s="561">
        <v>0</v>
      </c>
      <c r="LQ82" s="561">
        <v>0</v>
      </c>
      <c r="LR82" s="561">
        <v>12306.28</v>
      </c>
      <c r="LS82" s="561">
        <v>4177</v>
      </c>
      <c r="LT82" s="561">
        <v>0</v>
      </c>
      <c r="LU82" s="561">
        <v>13216</v>
      </c>
      <c r="LV82" s="561">
        <v>0</v>
      </c>
      <c r="LW82" s="561">
        <v>27588</v>
      </c>
      <c r="LX82" s="561">
        <v>-5501</v>
      </c>
      <c r="LY82" s="561">
        <v>2696</v>
      </c>
      <c r="LZ82" s="561">
        <v>37943</v>
      </c>
      <c r="MA82" s="561">
        <v>0</v>
      </c>
      <c r="MB82" s="561">
        <v>0</v>
      </c>
      <c r="MC82" s="561">
        <v>59953.96</v>
      </c>
      <c r="MD82" s="561">
        <v>58191.16</v>
      </c>
      <c r="ME82" s="561">
        <v>1762.8</v>
      </c>
      <c r="MF82" s="561">
        <v>3237</v>
      </c>
      <c r="MG82" s="561">
        <v>4999.8</v>
      </c>
      <c r="MH82" s="561">
        <v>3081</v>
      </c>
      <c r="MI82" s="561">
        <v>6031</v>
      </c>
      <c r="MJ82" s="561">
        <v>9112</v>
      </c>
      <c r="MK82" s="561">
        <v>0</v>
      </c>
      <c r="ML82" s="561">
        <v>0</v>
      </c>
      <c r="MM82" s="561">
        <v>7063.61</v>
      </c>
      <c r="MN82" s="561">
        <v>1469.67</v>
      </c>
      <c r="MO82" s="561">
        <v>3773</v>
      </c>
      <c r="MP82" s="561">
        <v>0</v>
      </c>
      <c r="MQ82" s="561">
        <v>0</v>
      </c>
      <c r="MR82" s="561">
        <v>173</v>
      </c>
      <c r="MS82" s="561">
        <v>0</v>
      </c>
      <c r="MT82" s="561">
        <v>-22</v>
      </c>
      <c r="MU82" s="561">
        <v>0</v>
      </c>
      <c r="MV82" s="561">
        <v>9557</v>
      </c>
      <c r="MW82" s="561">
        <v>6102</v>
      </c>
      <c r="MX82" s="561">
        <v>6331</v>
      </c>
      <c r="MY82" s="561">
        <v>2256</v>
      </c>
      <c r="MZ82" s="561">
        <v>0</v>
      </c>
      <c r="NA82" s="561">
        <v>0</v>
      </c>
      <c r="NB82" s="561">
        <v>6537</v>
      </c>
      <c r="NC82" s="561">
        <v>-6909</v>
      </c>
      <c r="ND82" s="561">
        <v>24025</v>
      </c>
      <c r="NE82" s="561">
        <v>0</v>
      </c>
      <c r="NF82" s="561">
        <v>0</v>
      </c>
      <c r="NG82" s="561">
        <v>0</v>
      </c>
      <c r="NH82" s="561">
        <v>0</v>
      </c>
      <c r="NI82" s="561">
        <v>0</v>
      </c>
      <c r="NJ82" s="561">
        <v>0</v>
      </c>
      <c r="NK82" s="561">
        <v>0</v>
      </c>
      <c r="NL82" s="561">
        <v>0</v>
      </c>
      <c r="NM82" s="561">
        <v>0</v>
      </c>
      <c r="NN82" s="561">
        <v>0</v>
      </c>
      <c r="NO82" s="561">
        <v>0</v>
      </c>
      <c r="NP82" s="561">
        <v>0</v>
      </c>
      <c r="NQ82" s="561">
        <v>0</v>
      </c>
      <c r="NR82" s="561">
        <v>0</v>
      </c>
      <c r="NS82" s="561">
        <v>0</v>
      </c>
      <c r="NT82" s="561">
        <v>143</v>
      </c>
      <c r="NU82" s="561">
        <v>-873</v>
      </c>
      <c r="NV82" s="561">
        <v>0</v>
      </c>
      <c r="NW82" s="561">
        <v>143</v>
      </c>
      <c r="NX82" s="561">
        <v>0</v>
      </c>
      <c r="NY82" s="561">
        <v>143</v>
      </c>
      <c r="NZ82" s="561">
        <v>0</v>
      </c>
      <c r="OA82" s="561">
        <v>0</v>
      </c>
      <c r="OB82" s="561">
        <v>0</v>
      </c>
      <c r="OC82" s="561">
        <v>0</v>
      </c>
      <c r="OD82" s="561">
        <v>0</v>
      </c>
      <c r="OE82" s="561">
        <v>0</v>
      </c>
      <c r="OF82" s="561">
        <v>0</v>
      </c>
      <c r="OG82" s="561">
        <v>0</v>
      </c>
      <c r="OH82" s="561">
        <v>0</v>
      </c>
      <c r="OI82" s="561">
        <v>0</v>
      </c>
      <c r="OJ82" s="561">
        <v>0</v>
      </c>
      <c r="OK82" s="561">
        <v>0</v>
      </c>
      <c r="OL82" s="561">
        <v>0</v>
      </c>
      <c r="OM82" s="561">
        <v>0</v>
      </c>
      <c r="ON82" s="561">
        <v>0</v>
      </c>
      <c r="OO82" s="561">
        <v>0</v>
      </c>
      <c r="OP82" s="561">
        <v>0</v>
      </c>
      <c r="OQ82" s="561">
        <v>0</v>
      </c>
      <c r="OR82" s="561">
        <v>0</v>
      </c>
      <c r="OS82" s="561">
        <v>0</v>
      </c>
      <c r="OT82" s="561">
        <v>0</v>
      </c>
      <c r="OU82" s="561">
        <v>0</v>
      </c>
      <c r="OV82" s="561">
        <v>0</v>
      </c>
      <c r="OW82" s="561">
        <v>0</v>
      </c>
      <c r="OX82" s="561">
        <v>0</v>
      </c>
      <c r="OY82" s="561">
        <v>0</v>
      </c>
      <c r="OZ82" s="561">
        <v>0</v>
      </c>
      <c r="PA82" s="561">
        <v>0</v>
      </c>
      <c r="PB82" s="561">
        <v>0</v>
      </c>
      <c r="PC82" s="561">
        <v>0</v>
      </c>
      <c r="PD82" s="561">
        <v>0</v>
      </c>
      <c r="PE82" s="561">
        <v>0</v>
      </c>
      <c r="PF82" s="561">
        <v>0</v>
      </c>
      <c r="PG82" s="561">
        <v>0</v>
      </c>
      <c r="PH82" s="561">
        <v>0</v>
      </c>
      <c r="PI82" s="561">
        <v>0</v>
      </c>
      <c r="PJ82" s="561">
        <v>0</v>
      </c>
    </row>
    <row r="83" spans="1:426" ht="14" x14ac:dyDescent="0.3">
      <c r="A83" t="s">
        <v>2678</v>
      </c>
      <c r="B83" t="s">
        <v>2679</v>
      </c>
      <c r="C83" t="s">
        <v>2680</v>
      </c>
      <c r="E83" t="s">
        <v>2476</v>
      </c>
      <c r="F83" s="561">
        <v>54679</v>
      </c>
      <c r="G83" s="561">
        <v>57860</v>
      </c>
      <c r="H83" s="561">
        <v>15167</v>
      </c>
      <c r="I83" s="561">
        <v>87477</v>
      </c>
      <c r="J83" s="561">
        <v>4685.84</v>
      </c>
      <c r="K83" s="561">
        <v>48304.7</v>
      </c>
      <c r="L83" s="561">
        <v>268173.53999999998</v>
      </c>
      <c r="M83" s="561">
        <v>3604</v>
      </c>
      <c r="N83" s="561">
        <v>122.94</v>
      </c>
      <c r="O83" s="561">
        <v>0.01</v>
      </c>
      <c r="P83" s="561">
        <v>0</v>
      </c>
      <c r="Q83" s="561">
        <v>122.43</v>
      </c>
      <c r="R83" s="561">
        <v>0</v>
      </c>
      <c r="S83" s="561">
        <v>622.04999999999995</v>
      </c>
      <c r="T83" s="561">
        <v>2600.39</v>
      </c>
      <c r="U83" s="561">
        <v>266.35000000000002</v>
      </c>
      <c r="V83" s="561">
        <v>6902.46</v>
      </c>
      <c r="W83" s="561">
        <v>0</v>
      </c>
      <c r="X83" s="561">
        <v>0</v>
      </c>
      <c r="Y83" s="561">
        <v>78.599999999999994</v>
      </c>
      <c r="Z83" s="561">
        <v>807.41</v>
      </c>
      <c r="AA83" s="561">
        <v>-17760.46</v>
      </c>
      <c r="AB83" s="561">
        <v>-821.87</v>
      </c>
      <c r="AC83" s="561">
        <v>13137.55</v>
      </c>
      <c r="AD83" s="561">
        <v>0</v>
      </c>
      <c r="AE83" s="561">
        <v>0</v>
      </c>
      <c r="AF83" s="561">
        <v>0</v>
      </c>
      <c r="AG83" s="561">
        <v>0</v>
      </c>
      <c r="AH83" s="561">
        <v>0</v>
      </c>
      <c r="AI83" s="561">
        <v>0</v>
      </c>
      <c r="AJ83" s="561">
        <v>6077.86</v>
      </c>
      <c r="AK83" s="561">
        <v>1405</v>
      </c>
      <c r="AL83" s="561">
        <v>0</v>
      </c>
      <c r="AM83" s="561">
        <v>0</v>
      </c>
      <c r="AN83" s="561">
        <v>0</v>
      </c>
      <c r="AO83" s="561">
        <v>0</v>
      </c>
      <c r="AP83" s="561">
        <v>0</v>
      </c>
      <c r="AQ83" s="561">
        <v>0</v>
      </c>
      <c r="AR83" s="561">
        <v>0</v>
      </c>
      <c r="AS83" s="561">
        <v>17998.189999999999</v>
      </c>
      <c r="AT83" s="561">
        <v>8870.68</v>
      </c>
      <c r="AU83" s="561">
        <v>0</v>
      </c>
      <c r="AV83" s="561">
        <v>0</v>
      </c>
      <c r="AW83" s="561">
        <v>0</v>
      </c>
      <c r="AX83" s="561">
        <v>2866</v>
      </c>
      <c r="AY83" s="561">
        <v>61513.43</v>
      </c>
      <c r="AZ83" s="561">
        <v>4047</v>
      </c>
      <c r="BA83" s="561">
        <v>12416.24</v>
      </c>
      <c r="BB83" s="561">
        <v>2946.87</v>
      </c>
      <c r="BC83" s="561">
        <v>39780.199999999997</v>
      </c>
      <c r="BD83" s="561">
        <v>11474.49</v>
      </c>
      <c r="BE83" s="561">
        <v>4164.63</v>
      </c>
      <c r="BF83" s="561">
        <v>139208.85999999999</v>
      </c>
      <c r="BG83" s="561">
        <v>14345</v>
      </c>
      <c r="BH83" s="561">
        <v>20104.54</v>
      </c>
      <c r="BI83" s="561">
        <v>47788.6</v>
      </c>
      <c r="BJ83" s="561">
        <v>779.6</v>
      </c>
      <c r="BK83" s="561">
        <v>577.16999999999996</v>
      </c>
      <c r="BL83" s="561">
        <v>2509.41</v>
      </c>
      <c r="BM83" s="561">
        <v>4563.03</v>
      </c>
      <c r="BN83" s="561">
        <v>43574.16</v>
      </c>
      <c r="BO83" s="561">
        <v>6832.63</v>
      </c>
      <c r="BP83" s="561">
        <v>4888.1499999999996</v>
      </c>
      <c r="BQ83" s="561">
        <v>2997.15</v>
      </c>
      <c r="BR83" s="561">
        <v>230.35</v>
      </c>
      <c r="BS83" s="561">
        <v>2808.95</v>
      </c>
      <c r="BT83" s="561">
        <v>475.94</v>
      </c>
      <c r="BU83" s="561">
        <v>459.65</v>
      </c>
      <c r="BV83" s="561">
        <v>2321.64</v>
      </c>
      <c r="BW83" s="561">
        <v>19664.689999999999</v>
      </c>
      <c r="BX83" s="561">
        <v>1514.92</v>
      </c>
      <c r="BY83" s="561">
        <v>10263.66</v>
      </c>
      <c r="BZ83" s="561">
        <v>172354.24</v>
      </c>
      <c r="CA83" s="561">
        <v>4303</v>
      </c>
      <c r="CB83" s="561">
        <v>4505.01</v>
      </c>
      <c r="CC83" s="561">
        <v>140.51</v>
      </c>
      <c r="CD83" s="561">
        <v>56.44</v>
      </c>
      <c r="CE83" s="561">
        <v>187.58</v>
      </c>
      <c r="CF83" s="561">
        <v>347.81</v>
      </c>
      <c r="CG83" s="561">
        <v>100</v>
      </c>
      <c r="CH83" s="561">
        <v>606.1</v>
      </c>
      <c r="CI83" s="561">
        <v>121.41</v>
      </c>
      <c r="CJ83" s="561">
        <v>258</v>
      </c>
      <c r="CK83" s="561">
        <v>317.79000000000002</v>
      </c>
      <c r="CL83" s="561">
        <v>199.05</v>
      </c>
      <c r="CM83" s="561">
        <v>2168.9499999999998</v>
      </c>
      <c r="CN83" s="561">
        <v>2240.41</v>
      </c>
      <c r="CO83" s="561">
        <v>0</v>
      </c>
      <c r="CP83" s="561">
        <v>105.49</v>
      </c>
      <c r="CQ83" s="561">
        <v>81.709999999999994</v>
      </c>
      <c r="CR83" s="561">
        <v>462.84</v>
      </c>
      <c r="CS83" s="561">
        <v>0</v>
      </c>
      <c r="CT83" s="561">
        <v>2236.7199999999998</v>
      </c>
      <c r="CU83" s="561">
        <v>5251.25</v>
      </c>
      <c r="CV83" s="561">
        <v>2621.0700000000002</v>
      </c>
      <c r="CW83" s="561">
        <v>0</v>
      </c>
      <c r="CX83" s="561">
        <v>2916.67</v>
      </c>
      <c r="CY83" s="561">
        <v>6992.96</v>
      </c>
      <c r="CZ83" s="561">
        <v>31917.77</v>
      </c>
      <c r="DA83" s="561">
        <v>805</v>
      </c>
      <c r="DB83" s="561">
        <v>164</v>
      </c>
      <c r="DC83" s="561">
        <v>0</v>
      </c>
      <c r="DD83" s="561">
        <v>52</v>
      </c>
      <c r="DE83" s="561">
        <v>0</v>
      </c>
      <c r="DF83" s="561">
        <v>0</v>
      </c>
      <c r="DG83" s="561">
        <v>0</v>
      </c>
      <c r="DH83" s="561">
        <v>2374.2199999999998</v>
      </c>
      <c r="DI83" s="561">
        <v>0</v>
      </c>
      <c r="DJ83" s="561">
        <v>153.1</v>
      </c>
      <c r="DK83" s="561">
        <v>766.16</v>
      </c>
      <c r="DL83" s="561">
        <v>20855.740000000002</v>
      </c>
      <c r="DM83" s="561">
        <v>2465.59</v>
      </c>
      <c r="DN83" s="561">
        <v>1355.31</v>
      </c>
      <c r="DO83" s="561">
        <v>7686.54</v>
      </c>
      <c r="DP83" s="561">
        <v>69.94</v>
      </c>
      <c r="DQ83" s="561">
        <v>1954.36</v>
      </c>
      <c r="DR83" s="561">
        <v>1560</v>
      </c>
      <c r="DS83" s="561">
        <v>5725.04</v>
      </c>
      <c r="DT83" s="561">
        <v>1357.8</v>
      </c>
      <c r="DU83" s="561">
        <v>43030.32</v>
      </c>
      <c r="DV83" s="561">
        <v>0</v>
      </c>
      <c r="DW83" s="561">
        <v>0</v>
      </c>
      <c r="DX83" s="561">
        <v>0</v>
      </c>
      <c r="DY83" s="561">
        <v>2414.5700000000002</v>
      </c>
      <c r="DZ83" s="561">
        <v>23</v>
      </c>
      <c r="EA83" s="561">
        <v>2935.99</v>
      </c>
      <c r="EB83" s="561">
        <v>2231.27</v>
      </c>
      <c r="EC83" s="561">
        <v>53928.63</v>
      </c>
      <c r="ED83" s="561">
        <v>2349</v>
      </c>
      <c r="EE83" s="561">
        <v>89587</v>
      </c>
      <c r="EF83" s="561">
        <v>1420.13</v>
      </c>
      <c r="EG83" s="561">
        <v>10552</v>
      </c>
      <c r="EH83" s="561">
        <v>3779</v>
      </c>
      <c r="EI83" s="561">
        <v>0</v>
      </c>
      <c r="EJ83" s="561">
        <v>2409.73</v>
      </c>
      <c r="EK83" s="561">
        <v>0</v>
      </c>
      <c r="EL83" s="561">
        <v>0</v>
      </c>
      <c r="EM83" s="561">
        <v>1.58</v>
      </c>
      <c r="EN83" s="561">
        <v>26133.78</v>
      </c>
      <c r="EO83" s="561">
        <v>27259</v>
      </c>
      <c r="EP83" s="561">
        <v>12473</v>
      </c>
      <c r="EQ83" s="561">
        <v>3267</v>
      </c>
      <c r="ER83" s="561">
        <v>12166.73</v>
      </c>
      <c r="ES83" s="561" t="s">
        <v>4565</v>
      </c>
      <c r="ET83" s="561">
        <v>0</v>
      </c>
      <c r="EU83" s="561">
        <v>12196</v>
      </c>
      <c r="EV83" s="561">
        <v>0</v>
      </c>
      <c r="EW83" s="561">
        <v>0</v>
      </c>
      <c r="EX83" s="561">
        <v>14039.97</v>
      </c>
      <c r="EY83" s="561">
        <v>750</v>
      </c>
      <c r="EZ83" s="561">
        <v>-536.04</v>
      </c>
      <c r="FA83" s="561">
        <v>31362</v>
      </c>
      <c r="FB83" s="561">
        <v>5.07</v>
      </c>
      <c r="FC83" s="561">
        <v>0</v>
      </c>
      <c r="FD83" s="561">
        <v>0</v>
      </c>
      <c r="FE83" s="561">
        <v>141.6</v>
      </c>
      <c r="FF83" s="561">
        <v>46.98</v>
      </c>
      <c r="FG83" s="561">
        <v>20.97</v>
      </c>
      <c r="FH83" s="561">
        <v>0</v>
      </c>
      <c r="FI83" s="561">
        <v>-22.95</v>
      </c>
      <c r="FJ83" s="561">
        <v>-177.67</v>
      </c>
      <c r="FK83" s="561">
        <v>6092.88</v>
      </c>
      <c r="FL83" s="561">
        <v>-37</v>
      </c>
      <c r="FM83" s="561">
        <v>0</v>
      </c>
      <c r="FN83" s="561">
        <v>3418.19</v>
      </c>
      <c r="FO83" s="561">
        <v>9488.07</v>
      </c>
      <c r="FP83" s="561">
        <v>0</v>
      </c>
      <c r="FQ83" s="561">
        <v>-790.82</v>
      </c>
      <c r="FR83" s="561">
        <v>721.75</v>
      </c>
      <c r="FS83" s="561">
        <v>0</v>
      </c>
      <c r="FT83" s="561">
        <v>984.71</v>
      </c>
      <c r="FU83" s="561">
        <v>1613.1</v>
      </c>
      <c r="FV83" s="561">
        <v>493.86</v>
      </c>
      <c r="FW83" s="561">
        <v>0</v>
      </c>
      <c r="FX83" s="561">
        <v>0</v>
      </c>
      <c r="FY83" s="561">
        <v>0</v>
      </c>
      <c r="FZ83" s="561">
        <v>0</v>
      </c>
      <c r="GA83" s="561">
        <v>8.75</v>
      </c>
      <c r="GB83" s="561">
        <v>126.92</v>
      </c>
      <c r="GC83" s="561">
        <v>-4.43</v>
      </c>
      <c r="GD83" s="561">
        <v>1942.63</v>
      </c>
      <c r="GE83" s="561">
        <v>816.91</v>
      </c>
      <c r="GF83" s="561">
        <v>425.57</v>
      </c>
      <c r="GG83" s="561">
        <v>0</v>
      </c>
      <c r="GH83" s="561">
        <v>0</v>
      </c>
      <c r="GI83" s="561">
        <v>0</v>
      </c>
      <c r="GJ83" s="561">
        <v>0</v>
      </c>
      <c r="GK83" s="561">
        <v>0</v>
      </c>
      <c r="GL83" s="561">
        <v>6230.11</v>
      </c>
      <c r="GM83" s="561">
        <v>9897.5400000000009</v>
      </c>
      <c r="GN83" s="561">
        <v>15156.43</v>
      </c>
      <c r="GO83" s="561">
        <v>0</v>
      </c>
      <c r="GP83" s="561">
        <v>0</v>
      </c>
      <c r="GQ83" s="561">
        <v>0</v>
      </c>
      <c r="GR83" s="561">
        <v>35.24</v>
      </c>
      <c r="GS83" s="561">
        <v>37658.269999999997</v>
      </c>
      <c r="GT83" s="561">
        <v>730</v>
      </c>
      <c r="GU83" s="561">
        <v>995.65</v>
      </c>
      <c r="GV83" s="561">
        <v>2312.36</v>
      </c>
      <c r="GW83" s="561">
        <v>0</v>
      </c>
      <c r="GX83" s="561">
        <v>-827.6</v>
      </c>
      <c r="GY83" s="561">
        <v>0</v>
      </c>
      <c r="GZ83" s="561">
        <v>5340</v>
      </c>
      <c r="HA83" s="561">
        <v>0</v>
      </c>
      <c r="HB83" s="561">
        <v>0</v>
      </c>
      <c r="HC83" s="561">
        <v>0</v>
      </c>
      <c r="HD83" s="561">
        <v>7820.41</v>
      </c>
      <c r="HE83" s="561">
        <v>1431</v>
      </c>
      <c r="HF83" s="561">
        <v>54966.75</v>
      </c>
      <c r="HG83" s="561">
        <v>2161</v>
      </c>
      <c r="HH83" s="561">
        <v>0</v>
      </c>
      <c r="HI83" s="561">
        <v>0</v>
      </c>
      <c r="HJ83" s="561">
        <v>0</v>
      </c>
      <c r="HK83" s="561">
        <v>0</v>
      </c>
      <c r="HL83" s="561">
        <v>0</v>
      </c>
      <c r="HM83" s="561">
        <v>0</v>
      </c>
      <c r="HN83" s="561">
        <v>0</v>
      </c>
      <c r="HO83" s="561">
        <v>7983.93</v>
      </c>
      <c r="HP83" s="561">
        <v>-412.72</v>
      </c>
      <c r="HQ83" s="561">
        <v>0</v>
      </c>
      <c r="HR83" s="561">
        <v>510.26</v>
      </c>
      <c r="HS83" s="561">
        <v>1626</v>
      </c>
      <c r="HT83" s="561">
        <v>-442</v>
      </c>
      <c r="HU83" s="561">
        <v>0</v>
      </c>
      <c r="HV83" s="561">
        <v>83.81</v>
      </c>
      <c r="HW83" s="561">
        <v>769.45</v>
      </c>
      <c r="HX83" s="561">
        <v>205.13</v>
      </c>
      <c r="HY83" s="561">
        <v>448.24</v>
      </c>
      <c r="HZ83" s="561">
        <v>134.1</v>
      </c>
      <c r="IA83" s="561">
        <v>6027.4</v>
      </c>
      <c r="IB83" s="561">
        <v>270.14</v>
      </c>
      <c r="IC83" s="561">
        <v>848</v>
      </c>
      <c r="ID83" s="561">
        <v>0</v>
      </c>
      <c r="IE83" s="561">
        <v>875.2</v>
      </c>
      <c r="IF83" s="561">
        <v>533</v>
      </c>
      <c r="IG83" s="561">
        <v>0</v>
      </c>
      <c r="IH83" s="561">
        <v>-1399.22</v>
      </c>
      <c r="II83" s="561">
        <v>18060.72</v>
      </c>
      <c r="IJ83" s="561">
        <v>13042</v>
      </c>
      <c r="IK83" s="561">
        <v>0</v>
      </c>
      <c r="IL83" s="561">
        <v>57085.48</v>
      </c>
      <c r="IM83" s="561">
        <v>0</v>
      </c>
      <c r="IN83" s="561">
        <v>18795.16</v>
      </c>
      <c r="IO83" s="561">
        <v>772.58</v>
      </c>
      <c r="IP83" s="561">
        <v>6971.74</v>
      </c>
      <c r="IQ83" s="561">
        <v>6033</v>
      </c>
      <c r="IR83" s="561">
        <v>268173.53999999998</v>
      </c>
      <c r="IS83" s="561">
        <v>6077.86</v>
      </c>
      <c r="IT83" s="561">
        <v>139208.85999999999</v>
      </c>
      <c r="IU83" s="561">
        <v>172354.24</v>
      </c>
      <c r="IV83" s="561">
        <v>31917.77</v>
      </c>
      <c r="IW83" s="561">
        <v>53928.63</v>
      </c>
      <c r="IX83" s="561">
        <v>9488.07</v>
      </c>
      <c r="IY83" s="561">
        <v>37658.269999999997</v>
      </c>
      <c r="IZ83" s="561">
        <v>7820.41</v>
      </c>
      <c r="JA83" s="561">
        <v>0</v>
      </c>
      <c r="JB83" s="561">
        <v>0</v>
      </c>
      <c r="JC83" s="561">
        <v>18060.72</v>
      </c>
      <c r="JD83" s="561">
        <v>6971.74</v>
      </c>
      <c r="JE83" s="561">
        <v>751660.11</v>
      </c>
      <c r="JF83" s="561">
        <v>87226</v>
      </c>
      <c r="JG83" s="561">
        <v>28549</v>
      </c>
      <c r="JH83" s="561">
        <v>27688</v>
      </c>
      <c r="JI83" s="561">
        <v>0</v>
      </c>
      <c r="JJ83" s="561">
        <v>0</v>
      </c>
      <c r="JK83" s="561">
        <v>0</v>
      </c>
      <c r="JL83" s="561">
        <v>0</v>
      </c>
      <c r="JM83" s="561">
        <v>0</v>
      </c>
      <c r="JN83" s="561">
        <v>812</v>
      </c>
      <c r="JO83" s="561">
        <v>295</v>
      </c>
      <c r="JP83" s="561">
        <v>-33</v>
      </c>
      <c r="JQ83" s="561">
        <v>857</v>
      </c>
      <c r="JR83" s="561">
        <v>0</v>
      </c>
      <c r="JS83" s="561">
        <v>0</v>
      </c>
      <c r="JT83" s="561">
        <v>0</v>
      </c>
      <c r="JU83" s="561">
        <v>0</v>
      </c>
      <c r="JV83" s="561">
        <v>897054.11</v>
      </c>
      <c r="JW83" s="561">
        <v>326.35000000000002</v>
      </c>
      <c r="JX83" s="561">
        <v>1480.17</v>
      </c>
      <c r="JY83" s="561">
        <v>0</v>
      </c>
      <c r="JZ83" s="561">
        <v>0</v>
      </c>
      <c r="KA83" s="561">
        <v>-51000</v>
      </c>
      <c r="KB83" s="561">
        <v>1955.27</v>
      </c>
      <c r="KC83" s="561">
        <v>28899.69</v>
      </c>
      <c r="KD83" s="561">
        <v>0</v>
      </c>
      <c r="KE83" s="561">
        <v>58447</v>
      </c>
      <c r="KF83" s="561">
        <v>-11591</v>
      </c>
      <c r="KG83" s="561">
        <v>925571.59</v>
      </c>
      <c r="KH83" s="561">
        <v>-8567.99</v>
      </c>
      <c r="KI83" s="561">
        <v>0</v>
      </c>
      <c r="KJ83" s="561">
        <v>-40.75</v>
      </c>
      <c r="KK83" s="561">
        <v>0</v>
      </c>
      <c r="KL83" s="561">
        <v>-153856.78</v>
      </c>
      <c r="KM83" s="561">
        <v>0</v>
      </c>
      <c r="KN83" s="561">
        <v>-734</v>
      </c>
      <c r="KO83" s="561">
        <v>0</v>
      </c>
      <c r="KP83" s="561">
        <v>0</v>
      </c>
      <c r="KQ83" s="561">
        <v>-1400</v>
      </c>
      <c r="KR83" s="561">
        <v>760972.07</v>
      </c>
      <c r="KS83" s="561">
        <v>0</v>
      </c>
      <c r="KT83" s="561">
        <v>-345805.64</v>
      </c>
      <c r="KU83" s="561">
        <v>415166.43</v>
      </c>
      <c r="KV83" s="561">
        <v>0</v>
      </c>
      <c r="KW83" s="561">
        <v>-1991</v>
      </c>
      <c r="KX83" s="561">
        <v>0</v>
      </c>
      <c r="KY83" s="561">
        <v>-2673</v>
      </c>
      <c r="KZ83" s="561">
        <v>-30241</v>
      </c>
      <c r="LA83" s="561">
        <v>0</v>
      </c>
      <c r="LB83" s="561">
        <v>-19457</v>
      </c>
      <c r="LC83" s="561">
        <v>0</v>
      </c>
      <c r="LD83" s="561">
        <v>-99251</v>
      </c>
      <c r="LE83" s="561">
        <v>-1798</v>
      </c>
      <c r="LF83" s="561">
        <v>6</v>
      </c>
      <c r="LG83" s="561">
        <v>259761</v>
      </c>
      <c r="LH83" s="561">
        <v>7260</v>
      </c>
      <c r="LI83" s="561">
        <v>-21296</v>
      </c>
      <c r="LJ83" s="561">
        <v>9852</v>
      </c>
      <c r="LK83" s="561">
        <v>15206</v>
      </c>
      <c r="LL83" s="561">
        <v>136335</v>
      </c>
      <c r="LM83" s="561">
        <v>27500</v>
      </c>
      <c r="LN83" s="561">
        <v>5269</v>
      </c>
      <c r="LO83" s="561">
        <v>-22696</v>
      </c>
      <c r="LP83" s="561">
        <v>9852</v>
      </c>
      <c r="LQ83" s="561">
        <v>12533</v>
      </c>
      <c r="LR83" s="561">
        <v>106094</v>
      </c>
      <c r="LS83" s="561">
        <v>27500</v>
      </c>
      <c r="LT83" s="561">
        <v>0</v>
      </c>
      <c r="LU83" s="561">
        <v>32686.04</v>
      </c>
      <c r="LV83" s="561">
        <v>0</v>
      </c>
      <c r="LW83" s="561">
        <v>2604.92</v>
      </c>
      <c r="LX83" s="561">
        <v>-30103.360000000001</v>
      </c>
      <c r="LY83" s="561">
        <v>69377.289999999994</v>
      </c>
      <c r="LZ83" s="561">
        <v>93038.8</v>
      </c>
      <c r="MA83" s="561">
        <v>0</v>
      </c>
      <c r="MB83" s="561">
        <v>0</v>
      </c>
      <c r="MC83" s="561">
        <v>107749.44</v>
      </c>
      <c r="MD83" s="561">
        <v>108285.48</v>
      </c>
      <c r="ME83" s="561">
        <v>-536.04</v>
      </c>
      <c r="MF83" s="561">
        <v>31362</v>
      </c>
      <c r="MG83" s="561">
        <v>30825.96</v>
      </c>
      <c r="MH83" s="561">
        <v>13024</v>
      </c>
      <c r="MI83" s="561">
        <v>23249</v>
      </c>
      <c r="MJ83" s="561">
        <v>36273</v>
      </c>
      <c r="MK83" s="561">
        <v>0</v>
      </c>
      <c r="ML83" s="561">
        <v>10599</v>
      </c>
      <c r="MM83" s="561">
        <v>78716</v>
      </c>
      <c r="MN83" s="561">
        <v>16349</v>
      </c>
      <c r="MO83" s="561">
        <v>430</v>
      </c>
      <c r="MP83" s="561">
        <v>0</v>
      </c>
      <c r="MQ83" s="561">
        <v>268173.53999999998</v>
      </c>
      <c r="MR83" s="561">
        <v>6077.86</v>
      </c>
      <c r="MS83" s="561">
        <v>139208.85999999999</v>
      </c>
      <c r="MT83" s="561">
        <v>172354.24</v>
      </c>
      <c r="MU83" s="561">
        <v>31917.77</v>
      </c>
      <c r="MV83" s="561">
        <v>53928.63</v>
      </c>
      <c r="MW83" s="561">
        <v>9488.07</v>
      </c>
      <c r="MX83" s="561">
        <v>37658.269999999997</v>
      </c>
      <c r="MY83" s="561">
        <v>7820.41</v>
      </c>
      <c r="MZ83" s="561">
        <v>0</v>
      </c>
      <c r="NA83" s="561">
        <v>0</v>
      </c>
      <c r="NB83" s="561">
        <v>18060.72</v>
      </c>
      <c r="NC83" s="561">
        <v>6971.74</v>
      </c>
      <c r="ND83" s="561">
        <v>751660.11</v>
      </c>
      <c r="NE83" s="561">
        <v>0</v>
      </c>
      <c r="NF83" s="561">
        <v>0</v>
      </c>
      <c r="NG83" s="561">
        <v>0</v>
      </c>
      <c r="NH83" s="561">
        <v>0</v>
      </c>
      <c r="NI83" s="561">
        <v>0</v>
      </c>
      <c r="NJ83" s="561">
        <v>0</v>
      </c>
      <c r="NK83" s="561">
        <v>0</v>
      </c>
      <c r="NL83" s="561">
        <v>0</v>
      </c>
      <c r="NM83" s="561">
        <v>0</v>
      </c>
      <c r="NN83" s="561">
        <v>0</v>
      </c>
      <c r="NO83" s="561">
        <v>0</v>
      </c>
      <c r="NP83" s="561">
        <v>0</v>
      </c>
      <c r="NQ83" s="561">
        <v>0</v>
      </c>
      <c r="NR83" s="561">
        <v>0</v>
      </c>
      <c r="NS83" s="561">
        <v>0</v>
      </c>
      <c r="NT83" s="561">
        <v>0</v>
      </c>
      <c r="NU83" s="561">
        <v>0</v>
      </c>
      <c r="NV83" s="561">
        <v>-33</v>
      </c>
      <c r="NW83" s="561">
        <v>-33</v>
      </c>
      <c r="NX83" s="561">
        <v>0</v>
      </c>
      <c r="NY83" s="561">
        <v>-33</v>
      </c>
      <c r="NZ83" s="561">
        <v>0</v>
      </c>
      <c r="OA83" s="561">
        <v>0</v>
      </c>
      <c r="OB83" s="561">
        <v>0</v>
      </c>
      <c r="OC83" s="561">
        <v>0</v>
      </c>
      <c r="OD83" s="561">
        <v>0</v>
      </c>
      <c r="OE83" s="561">
        <v>0</v>
      </c>
      <c r="OF83" s="561">
        <v>0</v>
      </c>
      <c r="OG83" s="561">
        <v>0</v>
      </c>
      <c r="OH83" s="561">
        <v>0</v>
      </c>
      <c r="OI83" s="561">
        <v>0</v>
      </c>
      <c r="OJ83" s="561">
        <v>0</v>
      </c>
      <c r="OK83" s="561">
        <v>0</v>
      </c>
      <c r="OL83" s="561">
        <v>0</v>
      </c>
      <c r="OM83" s="561">
        <v>0</v>
      </c>
      <c r="ON83" s="561">
        <v>857</v>
      </c>
      <c r="OO83" s="561">
        <v>0</v>
      </c>
      <c r="OP83" s="561">
        <v>0</v>
      </c>
      <c r="OQ83" s="561">
        <v>0</v>
      </c>
      <c r="OR83" s="561">
        <v>0</v>
      </c>
      <c r="OS83" s="561">
        <v>0</v>
      </c>
      <c r="OT83" s="561">
        <v>0</v>
      </c>
      <c r="OU83" s="561">
        <v>0</v>
      </c>
      <c r="OV83" s="561">
        <v>4896</v>
      </c>
      <c r="OW83" s="561">
        <v>0</v>
      </c>
      <c r="OX83" s="561">
        <v>857</v>
      </c>
      <c r="OY83" s="561">
        <v>0</v>
      </c>
      <c r="OZ83" s="561">
        <v>0</v>
      </c>
      <c r="PA83" s="561">
        <v>0</v>
      </c>
      <c r="PB83" s="561">
        <v>0</v>
      </c>
      <c r="PC83" s="561">
        <v>0</v>
      </c>
      <c r="PD83" s="561">
        <v>0</v>
      </c>
      <c r="PE83" s="561">
        <v>0</v>
      </c>
      <c r="PF83" s="561">
        <v>0</v>
      </c>
      <c r="PG83" s="561">
        <v>0</v>
      </c>
      <c r="PH83" s="561">
        <v>0</v>
      </c>
      <c r="PI83" s="561">
        <v>0</v>
      </c>
      <c r="PJ83" s="561">
        <v>0</v>
      </c>
    </row>
    <row r="84" spans="1:426" ht="14" x14ac:dyDescent="0.3">
      <c r="A84" t="s">
        <v>2681</v>
      </c>
      <c r="B84" t="s">
        <v>2682</v>
      </c>
      <c r="C84" t="s">
        <v>2683</v>
      </c>
      <c r="E84" t="s">
        <v>385</v>
      </c>
      <c r="F84" s="561" t="s">
        <v>2453</v>
      </c>
      <c r="G84" s="561" t="s">
        <v>2453</v>
      </c>
      <c r="H84" s="561" t="s">
        <v>2453</v>
      </c>
      <c r="I84" s="561" t="s">
        <v>2453</v>
      </c>
      <c r="J84" s="561" t="s">
        <v>2453</v>
      </c>
      <c r="K84" s="561" t="s">
        <v>2453</v>
      </c>
      <c r="L84" s="561" t="s">
        <v>2453</v>
      </c>
      <c r="M84" s="561" t="s">
        <v>2453</v>
      </c>
      <c r="N84" s="561" t="s">
        <v>2453</v>
      </c>
      <c r="O84" s="561" t="s">
        <v>2453</v>
      </c>
      <c r="P84" s="561" t="s">
        <v>2453</v>
      </c>
      <c r="Q84" s="561" t="s">
        <v>2453</v>
      </c>
      <c r="R84" s="561" t="s">
        <v>2453</v>
      </c>
      <c r="S84" s="561" t="s">
        <v>2453</v>
      </c>
      <c r="T84" s="561" t="s">
        <v>2453</v>
      </c>
      <c r="U84" s="561" t="s">
        <v>2453</v>
      </c>
      <c r="V84" s="561" t="s">
        <v>2453</v>
      </c>
      <c r="W84" s="561" t="s">
        <v>2453</v>
      </c>
      <c r="X84" s="561" t="s">
        <v>2453</v>
      </c>
      <c r="Y84" s="561" t="s">
        <v>2453</v>
      </c>
      <c r="Z84" s="561" t="s">
        <v>2453</v>
      </c>
      <c r="AA84" s="561" t="s">
        <v>2453</v>
      </c>
      <c r="AB84" s="561" t="s">
        <v>2453</v>
      </c>
      <c r="AC84" s="561" t="s">
        <v>2453</v>
      </c>
      <c r="AD84" s="561" t="s">
        <v>2453</v>
      </c>
      <c r="AE84" s="561" t="s">
        <v>2453</v>
      </c>
      <c r="AF84" s="561" t="s">
        <v>2453</v>
      </c>
      <c r="AG84" s="561" t="s">
        <v>2453</v>
      </c>
      <c r="AH84" s="561" t="s">
        <v>2453</v>
      </c>
      <c r="AI84" s="561" t="s">
        <v>2453</v>
      </c>
      <c r="AJ84" s="561" t="s">
        <v>2453</v>
      </c>
      <c r="AK84" s="561" t="s">
        <v>2453</v>
      </c>
      <c r="AL84" s="561" t="s">
        <v>2453</v>
      </c>
      <c r="AM84" s="561" t="s">
        <v>2453</v>
      </c>
      <c r="AN84" s="561" t="s">
        <v>2453</v>
      </c>
      <c r="AO84" s="561" t="s">
        <v>2453</v>
      </c>
      <c r="AP84" s="561" t="s">
        <v>2453</v>
      </c>
      <c r="AQ84" s="561" t="s">
        <v>2453</v>
      </c>
      <c r="AR84" s="561" t="s">
        <v>2453</v>
      </c>
      <c r="AS84" s="561" t="s">
        <v>2453</v>
      </c>
      <c r="AT84" s="561" t="s">
        <v>2453</v>
      </c>
      <c r="AU84" s="561" t="s">
        <v>2453</v>
      </c>
      <c r="AV84" s="561" t="s">
        <v>2453</v>
      </c>
      <c r="AW84" s="561" t="s">
        <v>2453</v>
      </c>
      <c r="AX84" s="561" t="s">
        <v>2453</v>
      </c>
      <c r="AY84" s="561" t="s">
        <v>2453</v>
      </c>
      <c r="AZ84" s="561" t="s">
        <v>2453</v>
      </c>
      <c r="BA84" s="561" t="s">
        <v>2453</v>
      </c>
      <c r="BB84" s="561" t="s">
        <v>2453</v>
      </c>
      <c r="BC84" s="561" t="s">
        <v>2453</v>
      </c>
      <c r="BD84" s="561" t="s">
        <v>2453</v>
      </c>
      <c r="BE84" s="561" t="s">
        <v>2453</v>
      </c>
      <c r="BF84" s="561" t="s">
        <v>2453</v>
      </c>
      <c r="BG84" s="561" t="s">
        <v>2453</v>
      </c>
      <c r="BH84" s="561" t="s">
        <v>2453</v>
      </c>
      <c r="BI84" s="561" t="s">
        <v>2453</v>
      </c>
      <c r="BJ84" s="561" t="s">
        <v>2453</v>
      </c>
      <c r="BK84" s="561" t="s">
        <v>2453</v>
      </c>
      <c r="BL84" s="561" t="s">
        <v>2453</v>
      </c>
      <c r="BM84" s="561" t="s">
        <v>2453</v>
      </c>
      <c r="BN84" s="561" t="s">
        <v>2453</v>
      </c>
      <c r="BO84" s="561" t="s">
        <v>2453</v>
      </c>
      <c r="BP84" s="561" t="s">
        <v>2453</v>
      </c>
      <c r="BQ84" s="561" t="s">
        <v>2453</v>
      </c>
      <c r="BR84" s="561" t="s">
        <v>2453</v>
      </c>
      <c r="BS84" s="561" t="s">
        <v>2453</v>
      </c>
      <c r="BT84" s="561" t="s">
        <v>2453</v>
      </c>
      <c r="BU84" s="561" t="s">
        <v>2453</v>
      </c>
      <c r="BV84" s="561" t="s">
        <v>2453</v>
      </c>
      <c r="BW84" s="561" t="s">
        <v>2453</v>
      </c>
      <c r="BX84" s="561" t="s">
        <v>2453</v>
      </c>
      <c r="BY84" s="561" t="s">
        <v>2453</v>
      </c>
      <c r="BZ84" s="561" t="s">
        <v>2453</v>
      </c>
      <c r="CA84" s="561" t="s">
        <v>2453</v>
      </c>
      <c r="CB84" s="561" t="s">
        <v>2453</v>
      </c>
      <c r="CC84" s="561" t="s">
        <v>2453</v>
      </c>
      <c r="CD84" s="561" t="s">
        <v>2453</v>
      </c>
      <c r="CE84" s="561" t="s">
        <v>2453</v>
      </c>
      <c r="CF84" s="561" t="s">
        <v>2453</v>
      </c>
      <c r="CG84" s="561" t="s">
        <v>2453</v>
      </c>
      <c r="CH84" s="561" t="s">
        <v>2453</v>
      </c>
      <c r="CI84" s="561" t="s">
        <v>2453</v>
      </c>
      <c r="CJ84" s="561" t="s">
        <v>2453</v>
      </c>
      <c r="CK84" s="561" t="s">
        <v>2453</v>
      </c>
      <c r="CL84" s="561" t="s">
        <v>2453</v>
      </c>
      <c r="CM84" s="561" t="s">
        <v>2453</v>
      </c>
      <c r="CN84" s="561" t="s">
        <v>2453</v>
      </c>
      <c r="CO84" s="561" t="s">
        <v>2453</v>
      </c>
      <c r="CP84" s="561" t="s">
        <v>2453</v>
      </c>
      <c r="CQ84" s="561" t="s">
        <v>2453</v>
      </c>
      <c r="CR84" s="561" t="s">
        <v>2453</v>
      </c>
      <c r="CS84" s="561" t="s">
        <v>2453</v>
      </c>
      <c r="CT84" s="561" t="s">
        <v>2453</v>
      </c>
      <c r="CU84" s="561" t="s">
        <v>2453</v>
      </c>
      <c r="CV84" s="561" t="s">
        <v>2453</v>
      </c>
      <c r="CW84" s="561" t="s">
        <v>2453</v>
      </c>
      <c r="CX84" s="561" t="s">
        <v>2453</v>
      </c>
      <c r="CY84" s="561" t="s">
        <v>2453</v>
      </c>
      <c r="CZ84" s="561" t="s">
        <v>2453</v>
      </c>
      <c r="DA84" s="561" t="s">
        <v>2453</v>
      </c>
      <c r="DB84" s="561" t="s">
        <v>2453</v>
      </c>
      <c r="DC84" s="561" t="s">
        <v>2453</v>
      </c>
      <c r="DD84" s="561" t="s">
        <v>2453</v>
      </c>
      <c r="DE84" s="561" t="s">
        <v>2453</v>
      </c>
      <c r="DF84" s="561" t="s">
        <v>2453</v>
      </c>
      <c r="DG84" s="561" t="s">
        <v>2453</v>
      </c>
      <c r="DH84" s="561" t="s">
        <v>2453</v>
      </c>
      <c r="DI84" s="561" t="s">
        <v>2453</v>
      </c>
      <c r="DJ84" s="561" t="s">
        <v>2453</v>
      </c>
      <c r="DK84" s="561" t="s">
        <v>2453</v>
      </c>
      <c r="DL84" s="561" t="s">
        <v>2453</v>
      </c>
      <c r="DM84" s="561" t="s">
        <v>2453</v>
      </c>
      <c r="DN84" s="561" t="s">
        <v>2453</v>
      </c>
      <c r="DO84" s="561" t="s">
        <v>2453</v>
      </c>
      <c r="DP84" s="561" t="s">
        <v>2453</v>
      </c>
      <c r="DQ84" s="561" t="s">
        <v>2453</v>
      </c>
      <c r="DR84" s="561" t="s">
        <v>2453</v>
      </c>
      <c r="DS84" s="561" t="s">
        <v>2453</v>
      </c>
      <c r="DT84" s="561" t="s">
        <v>2453</v>
      </c>
      <c r="DU84" s="561" t="s">
        <v>2453</v>
      </c>
      <c r="DV84" s="561" t="s">
        <v>2453</v>
      </c>
      <c r="DW84" s="561" t="s">
        <v>2453</v>
      </c>
      <c r="DX84" s="561" t="s">
        <v>2453</v>
      </c>
      <c r="DY84" s="561" t="s">
        <v>2453</v>
      </c>
      <c r="DZ84" s="561" t="s">
        <v>2453</v>
      </c>
      <c r="EA84" s="561" t="s">
        <v>2453</v>
      </c>
      <c r="EB84" s="561" t="s">
        <v>2453</v>
      </c>
      <c r="EC84" s="561" t="s">
        <v>2453</v>
      </c>
      <c r="ED84" s="561" t="s">
        <v>2453</v>
      </c>
      <c r="EE84" s="561" t="s">
        <v>2453</v>
      </c>
      <c r="EF84" s="561" t="s">
        <v>2453</v>
      </c>
      <c r="EG84" s="561" t="s">
        <v>2453</v>
      </c>
      <c r="EH84" s="561" t="s">
        <v>2453</v>
      </c>
      <c r="EI84" s="561" t="s">
        <v>2453</v>
      </c>
      <c r="EJ84" s="561" t="s">
        <v>2453</v>
      </c>
      <c r="EK84" s="561" t="s">
        <v>2453</v>
      </c>
      <c r="EL84" s="561" t="s">
        <v>2453</v>
      </c>
      <c r="EM84" s="561" t="s">
        <v>2453</v>
      </c>
      <c r="EN84" s="561" t="s">
        <v>2453</v>
      </c>
      <c r="EO84" s="561" t="s">
        <v>2453</v>
      </c>
      <c r="EP84" s="561" t="s">
        <v>2453</v>
      </c>
      <c r="EQ84" s="561" t="s">
        <v>2453</v>
      </c>
      <c r="ER84" s="561" t="s">
        <v>2453</v>
      </c>
      <c r="ES84" s="561" t="s">
        <v>4565</v>
      </c>
      <c r="ET84" s="561" t="s">
        <v>2453</v>
      </c>
      <c r="EU84" s="561" t="s">
        <v>2453</v>
      </c>
      <c r="EV84" s="561" t="s">
        <v>2453</v>
      </c>
      <c r="EW84" s="561" t="s">
        <v>2453</v>
      </c>
      <c r="EX84" s="561" t="s">
        <v>2453</v>
      </c>
      <c r="EY84" s="561" t="s">
        <v>2453</v>
      </c>
      <c r="EZ84" s="561" t="s">
        <v>2453</v>
      </c>
      <c r="FA84" s="561" t="s">
        <v>2453</v>
      </c>
      <c r="FB84" s="561" t="s">
        <v>2453</v>
      </c>
      <c r="FC84" s="561" t="s">
        <v>2453</v>
      </c>
      <c r="FD84" s="561" t="s">
        <v>2453</v>
      </c>
      <c r="FE84" s="561" t="s">
        <v>2453</v>
      </c>
      <c r="FF84" s="561" t="s">
        <v>2453</v>
      </c>
      <c r="FG84" s="561" t="s">
        <v>2453</v>
      </c>
      <c r="FH84" s="561" t="s">
        <v>2453</v>
      </c>
      <c r="FI84" s="561" t="s">
        <v>2453</v>
      </c>
      <c r="FJ84" s="561" t="s">
        <v>2453</v>
      </c>
      <c r="FK84" s="561" t="s">
        <v>2453</v>
      </c>
      <c r="FL84" s="561" t="s">
        <v>2453</v>
      </c>
      <c r="FM84" s="561" t="s">
        <v>2453</v>
      </c>
      <c r="FN84" s="561" t="s">
        <v>2453</v>
      </c>
      <c r="FO84" s="561" t="s">
        <v>2453</v>
      </c>
      <c r="FP84" s="561" t="s">
        <v>2453</v>
      </c>
      <c r="FQ84" s="561" t="s">
        <v>2453</v>
      </c>
      <c r="FR84" s="561" t="s">
        <v>2453</v>
      </c>
      <c r="FS84" s="561" t="s">
        <v>2453</v>
      </c>
      <c r="FT84" s="561" t="s">
        <v>2453</v>
      </c>
      <c r="FU84" s="561" t="s">
        <v>2453</v>
      </c>
      <c r="FV84" s="561" t="s">
        <v>2453</v>
      </c>
      <c r="FW84" s="561" t="s">
        <v>2453</v>
      </c>
      <c r="FX84" s="561" t="s">
        <v>2453</v>
      </c>
      <c r="FY84" s="561" t="s">
        <v>2453</v>
      </c>
      <c r="FZ84" s="561" t="s">
        <v>2453</v>
      </c>
      <c r="GA84" s="561" t="s">
        <v>2453</v>
      </c>
      <c r="GB84" s="561" t="s">
        <v>2453</v>
      </c>
      <c r="GC84" s="561" t="s">
        <v>2453</v>
      </c>
      <c r="GD84" s="561" t="s">
        <v>2453</v>
      </c>
      <c r="GE84" s="561" t="s">
        <v>2453</v>
      </c>
      <c r="GF84" s="561" t="s">
        <v>2453</v>
      </c>
      <c r="GG84" s="561" t="s">
        <v>2453</v>
      </c>
      <c r="GH84" s="561" t="s">
        <v>2453</v>
      </c>
      <c r="GI84" s="561" t="s">
        <v>2453</v>
      </c>
      <c r="GJ84" s="561" t="s">
        <v>2453</v>
      </c>
      <c r="GK84" s="561" t="s">
        <v>2453</v>
      </c>
      <c r="GL84" s="561" t="s">
        <v>2453</v>
      </c>
      <c r="GM84" s="561" t="s">
        <v>2453</v>
      </c>
      <c r="GN84" s="561" t="s">
        <v>2453</v>
      </c>
      <c r="GO84" s="561" t="s">
        <v>2453</v>
      </c>
      <c r="GP84" s="561" t="s">
        <v>2453</v>
      </c>
      <c r="GQ84" s="561" t="s">
        <v>2453</v>
      </c>
      <c r="GR84" s="561" t="s">
        <v>2453</v>
      </c>
      <c r="GS84" s="561" t="s">
        <v>2453</v>
      </c>
      <c r="GT84" s="561" t="s">
        <v>2453</v>
      </c>
      <c r="GU84" s="561" t="s">
        <v>2453</v>
      </c>
      <c r="GV84" s="561" t="s">
        <v>2453</v>
      </c>
      <c r="GW84" s="561" t="s">
        <v>2453</v>
      </c>
      <c r="GX84" s="561" t="s">
        <v>2453</v>
      </c>
      <c r="GY84" s="561" t="s">
        <v>2453</v>
      </c>
      <c r="GZ84" s="561" t="s">
        <v>2453</v>
      </c>
      <c r="HA84" s="561" t="s">
        <v>2453</v>
      </c>
      <c r="HB84" s="561" t="s">
        <v>2453</v>
      </c>
      <c r="HC84" s="561" t="s">
        <v>2453</v>
      </c>
      <c r="HD84" s="561" t="s">
        <v>2453</v>
      </c>
      <c r="HE84" s="561" t="s">
        <v>2453</v>
      </c>
      <c r="HF84" s="561" t="s">
        <v>2453</v>
      </c>
      <c r="HG84" s="561" t="s">
        <v>2453</v>
      </c>
      <c r="HH84" s="561" t="s">
        <v>2453</v>
      </c>
      <c r="HI84" s="561" t="s">
        <v>2453</v>
      </c>
      <c r="HJ84" s="561" t="s">
        <v>2453</v>
      </c>
      <c r="HK84" s="561" t="s">
        <v>2453</v>
      </c>
      <c r="HL84" s="561" t="s">
        <v>2453</v>
      </c>
      <c r="HM84" s="561" t="s">
        <v>2453</v>
      </c>
      <c r="HN84" s="561" t="s">
        <v>2453</v>
      </c>
      <c r="HO84" s="561" t="s">
        <v>2453</v>
      </c>
      <c r="HP84" s="561" t="s">
        <v>2453</v>
      </c>
      <c r="HQ84" s="561" t="s">
        <v>2453</v>
      </c>
      <c r="HR84" s="561" t="s">
        <v>2453</v>
      </c>
      <c r="HS84" s="561" t="s">
        <v>2453</v>
      </c>
      <c r="HT84" s="561" t="s">
        <v>2453</v>
      </c>
      <c r="HU84" s="561" t="s">
        <v>2453</v>
      </c>
      <c r="HV84" s="561" t="s">
        <v>2453</v>
      </c>
      <c r="HW84" s="561" t="s">
        <v>2453</v>
      </c>
      <c r="HX84" s="561" t="s">
        <v>2453</v>
      </c>
      <c r="HY84" s="561" t="s">
        <v>2453</v>
      </c>
      <c r="HZ84" s="561" t="s">
        <v>2453</v>
      </c>
      <c r="IA84" s="561" t="s">
        <v>2453</v>
      </c>
      <c r="IB84" s="561" t="s">
        <v>2453</v>
      </c>
      <c r="IC84" s="561" t="s">
        <v>2453</v>
      </c>
      <c r="ID84" s="561" t="s">
        <v>2453</v>
      </c>
      <c r="IE84" s="561" t="s">
        <v>2453</v>
      </c>
      <c r="IF84" s="561" t="s">
        <v>2453</v>
      </c>
      <c r="IG84" s="561" t="s">
        <v>2453</v>
      </c>
      <c r="IH84" s="561" t="s">
        <v>2453</v>
      </c>
      <c r="II84" s="561" t="s">
        <v>2453</v>
      </c>
      <c r="IJ84" s="561" t="s">
        <v>2453</v>
      </c>
      <c r="IK84" s="561" t="s">
        <v>2453</v>
      </c>
      <c r="IL84" s="561" t="s">
        <v>2453</v>
      </c>
      <c r="IM84" s="561" t="s">
        <v>2453</v>
      </c>
      <c r="IN84" s="561" t="s">
        <v>2453</v>
      </c>
      <c r="IO84" s="561" t="s">
        <v>2453</v>
      </c>
      <c r="IP84" s="561" t="s">
        <v>2453</v>
      </c>
      <c r="IQ84" s="561" t="s">
        <v>2453</v>
      </c>
      <c r="IR84" s="561" t="s">
        <v>2453</v>
      </c>
      <c r="IS84" s="561" t="s">
        <v>2453</v>
      </c>
      <c r="IT84" s="561" t="s">
        <v>2453</v>
      </c>
      <c r="IU84" s="561" t="s">
        <v>2453</v>
      </c>
      <c r="IV84" s="561" t="s">
        <v>2453</v>
      </c>
      <c r="IW84" s="561" t="s">
        <v>2453</v>
      </c>
      <c r="IX84" s="561" t="s">
        <v>2453</v>
      </c>
      <c r="IY84" s="561" t="s">
        <v>2453</v>
      </c>
      <c r="IZ84" s="561" t="s">
        <v>2453</v>
      </c>
      <c r="JA84" s="561" t="s">
        <v>2453</v>
      </c>
      <c r="JB84" s="561" t="s">
        <v>2453</v>
      </c>
      <c r="JC84" s="561" t="s">
        <v>2453</v>
      </c>
      <c r="JD84" s="561" t="s">
        <v>2453</v>
      </c>
      <c r="JE84" s="561" t="s">
        <v>2453</v>
      </c>
      <c r="JF84" s="561" t="s">
        <v>2453</v>
      </c>
      <c r="JG84" s="561" t="s">
        <v>2453</v>
      </c>
      <c r="JH84" s="561" t="s">
        <v>2453</v>
      </c>
      <c r="JI84" s="561" t="s">
        <v>2453</v>
      </c>
      <c r="JJ84" s="561" t="s">
        <v>2453</v>
      </c>
      <c r="JK84" s="561" t="s">
        <v>2453</v>
      </c>
      <c r="JL84" s="561" t="s">
        <v>2453</v>
      </c>
      <c r="JM84" s="561" t="s">
        <v>2453</v>
      </c>
      <c r="JN84" s="561" t="s">
        <v>2453</v>
      </c>
      <c r="JO84" s="561" t="s">
        <v>2453</v>
      </c>
      <c r="JP84" s="561" t="s">
        <v>2453</v>
      </c>
      <c r="JQ84" s="561" t="s">
        <v>2453</v>
      </c>
      <c r="JR84" s="561" t="s">
        <v>2453</v>
      </c>
      <c r="JS84" s="561" t="s">
        <v>2453</v>
      </c>
      <c r="JT84" s="561" t="s">
        <v>2453</v>
      </c>
      <c r="JU84" s="561" t="s">
        <v>2453</v>
      </c>
      <c r="JV84" s="561" t="s">
        <v>2453</v>
      </c>
      <c r="JW84" s="561" t="s">
        <v>2453</v>
      </c>
      <c r="JX84" s="561" t="s">
        <v>2453</v>
      </c>
      <c r="JY84" s="561" t="s">
        <v>2453</v>
      </c>
      <c r="JZ84" s="561" t="s">
        <v>2453</v>
      </c>
      <c r="KA84" s="561" t="s">
        <v>2453</v>
      </c>
      <c r="KB84" s="561" t="s">
        <v>2453</v>
      </c>
      <c r="KC84" s="561" t="s">
        <v>2453</v>
      </c>
      <c r="KD84" s="561" t="s">
        <v>2453</v>
      </c>
      <c r="KE84" s="561" t="s">
        <v>2453</v>
      </c>
      <c r="KF84" s="561" t="s">
        <v>2453</v>
      </c>
      <c r="KG84" s="561" t="s">
        <v>2453</v>
      </c>
      <c r="KH84" s="561" t="s">
        <v>2453</v>
      </c>
      <c r="KI84" s="561" t="s">
        <v>2453</v>
      </c>
      <c r="KJ84" s="561" t="s">
        <v>2453</v>
      </c>
      <c r="KK84" s="561" t="s">
        <v>2453</v>
      </c>
      <c r="KL84" s="561" t="s">
        <v>2453</v>
      </c>
      <c r="KM84" s="561" t="s">
        <v>2453</v>
      </c>
      <c r="KN84" s="561" t="s">
        <v>2453</v>
      </c>
      <c r="KO84" s="561" t="s">
        <v>2453</v>
      </c>
      <c r="KP84" s="561" t="s">
        <v>2453</v>
      </c>
      <c r="KQ84" s="561" t="s">
        <v>2453</v>
      </c>
      <c r="KR84" s="561" t="s">
        <v>2453</v>
      </c>
      <c r="KS84" s="561" t="s">
        <v>2453</v>
      </c>
      <c r="KT84" s="561" t="s">
        <v>2453</v>
      </c>
      <c r="KU84" s="561" t="s">
        <v>2453</v>
      </c>
      <c r="KV84" s="561" t="s">
        <v>2453</v>
      </c>
      <c r="KW84" s="561" t="s">
        <v>2453</v>
      </c>
      <c r="KX84" s="561" t="s">
        <v>2453</v>
      </c>
      <c r="KY84" s="561" t="s">
        <v>2453</v>
      </c>
      <c r="KZ84" s="561" t="s">
        <v>2453</v>
      </c>
      <c r="LA84" s="561" t="s">
        <v>2453</v>
      </c>
      <c r="LB84" s="561" t="s">
        <v>2453</v>
      </c>
      <c r="LC84" s="561" t="s">
        <v>2453</v>
      </c>
      <c r="LD84" s="561" t="s">
        <v>2453</v>
      </c>
      <c r="LE84" s="561" t="s">
        <v>2453</v>
      </c>
      <c r="LF84" s="561" t="s">
        <v>2453</v>
      </c>
      <c r="LG84" s="561" t="s">
        <v>2453</v>
      </c>
      <c r="LH84" s="561" t="s">
        <v>2453</v>
      </c>
      <c r="LI84" s="561" t="s">
        <v>2453</v>
      </c>
      <c r="LJ84" s="561" t="s">
        <v>2453</v>
      </c>
      <c r="LK84" s="561" t="s">
        <v>2453</v>
      </c>
      <c r="LL84" s="561" t="s">
        <v>2453</v>
      </c>
      <c r="LM84" s="561" t="s">
        <v>2453</v>
      </c>
      <c r="LN84" s="561" t="s">
        <v>2453</v>
      </c>
      <c r="LO84" s="561" t="s">
        <v>2453</v>
      </c>
      <c r="LP84" s="561" t="s">
        <v>2453</v>
      </c>
      <c r="LQ84" s="561" t="s">
        <v>2453</v>
      </c>
      <c r="LR84" s="561" t="s">
        <v>2453</v>
      </c>
      <c r="LS84" s="561" t="s">
        <v>2453</v>
      </c>
      <c r="LT84" s="561" t="s">
        <v>2453</v>
      </c>
      <c r="LU84" s="561" t="s">
        <v>2453</v>
      </c>
      <c r="LV84" s="561" t="s">
        <v>2453</v>
      </c>
      <c r="LW84" s="561" t="s">
        <v>2453</v>
      </c>
      <c r="LX84" s="561" t="s">
        <v>2453</v>
      </c>
      <c r="LY84" s="561" t="s">
        <v>2453</v>
      </c>
      <c r="LZ84" s="561" t="s">
        <v>2453</v>
      </c>
      <c r="MA84" s="561" t="s">
        <v>2453</v>
      </c>
      <c r="MB84" s="561" t="s">
        <v>2453</v>
      </c>
      <c r="MC84" s="561" t="s">
        <v>2453</v>
      </c>
      <c r="MD84" s="561" t="s">
        <v>2453</v>
      </c>
      <c r="ME84" s="561" t="s">
        <v>2453</v>
      </c>
      <c r="MF84" s="561" t="s">
        <v>2453</v>
      </c>
      <c r="MG84" s="561" t="s">
        <v>2453</v>
      </c>
      <c r="MH84" s="561" t="s">
        <v>2453</v>
      </c>
      <c r="MI84" s="561" t="s">
        <v>2453</v>
      </c>
      <c r="MJ84" s="561" t="s">
        <v>2453</v>
      </c>
      <c r="MK84" s="561" t="s">
        <v>2453</v>
      </c>
      <c r="ML84" s="561" t="s">
        <v>2453</v>
      </c>
      <c r="MM84" s="561" t="s">
        <v>2453</v>
      </c>
      <c r="MN84" s="561" t="s">
        <v>2453</v>
      </c>
      <c r="MO84" s="561" t="s">
        <v>2453</v>
      </c>
      <c r="MP84" s="561" t="s">
        <v>2453</v>
      </c>
      <c r="MQ84" s="561" t="s">
        <v>2453</v>
      </c>
      <c r="MR84" s="561" t="s">
        <v>2453</v>
      </c>
      <c r="MS84" s="561" t="s">
        <v>2453</v>
      </c>
      <c r="MT84" s="561" t="s">
        <v>2453</v>
      </c>
      <c r="MU84" s="561" t="s">
        <v>2453</v>
      </c>
      <c r="MV84" s="561" t="s">
        <v>2453</v>
      </c>
      <c r="MW84" s="561" t="s">
        <v>2453</v>
      </c>
      <c r="MX84" s="561" t="s">
        <v>2453</v>
      </c>
      <c r="MY84" s="561" t="s">
        <v>2453</v>
      </c>
      <c r="MZ84" s="561" t="s">
        <v>2453</v>
      </c>
      <c r="NA84" s="561" t="s">
        <v>2453</v>
      </c>
      <c r="NB84" s="561" t="s">
        <v>2453</v>
      </c>
      <c r="NC84" s="561" t="s">
        <v>2453</v>
      </c>
      <c r="ND84" s="561" t="s">
        <v>2453</v>
      </c>
      <c r="NE84" s="561" t="s">
        <v>2453</v>
      </c>
      <c r="NF84" s="561" t="s">
        <v>2453</v>
      </c>
      <c r="NG84" s="561" t="s">
        <v>2453</v>
      </c>
      <c r="NH84" s="561" t="s">
        <v>2453</v>
      </c>
      <c r="NI84" s="561" t="s">
        <v>2453</v>
      </c>
      <c r="NJ84" s="561" t="s">
        <v>2453</v>
      </c>
      <c r="NK84" s="561" t="s">
        <v>2453</v>
      </c>
      <c r="NL84" s="561" t="s">
        <v>2453</v>
      </c>
      <c r="NM84" s="561" t="s">
        <v>2453</v>
      </c>
      <c r="NN84" s="561" t="s">
        <v>2453</v>
      </c>
      <c r="NO84" s="561" t="s">
        <v>2453</v>
      </c>
      <c r="NP84" s="561" t="s">
        <v>2453</v>
      </c>
      <c r="NQ84" s="561" t="s">
        <v>2453</v>
      </c>
      <c r="NR84" s="561" t="s">
        <v>2453</v>
      </c>
      <c r="NS84" s="561" t="s">
        <v>2453</v>
      </c>
      <c r="NT84" s="561" t="s">
        <v>2453</v>
      </c>
      <c r="NU84" s="561">
        <v>-3692</v>
      </c>
      <c r="NV84" s="561" t="s">
        <v>2453</v>
      </c>
      <c r="NW84" s="561" t="s">
        <v>2453</v>
      </c>
      <c r="NX84" s="561" t="s">
        <v>2453</v>
      </c>
      <c r="NY84" s="561" t="s">
        <v>2453</v>
      </c>
      <c r="NZ84" s="561" t="s">
        <v>2453</v>
      </c>
      <c r="OA84" s="561" t="s">
        <v>2453</v>
      </c>
      <c r="OB84" s="561" t="s">
        <v>2453</v>
      </c>
      <c r="OC84" s="561" t="s">
        <v>2453</v>
      </c>
      <c r="OD84" s="561" t="s">
        <v>2453</v>
      </c>
      <c r="OE84" s="561" t="s">
        <v>2453</v>
      </c>
      <c r="OF84" s="561" t="s">
        <v>2453</v>
      </c>
      <c r="OG84" s="561" t="s">
        <v>2453</v>
      </c>
      <c r="OH84" s="561" t="s">
        <v>2453</v>
      </c>
      <c r="OI84" s="561" t="s">
        <v>2453</v>
      </c>
      <c r="OJ84" s="561" t="s">
        <v>2453</v>
      </c>
      <c r="OK84" s="561" t="s">
        <v>2453</v>
      </c>
      <c r="OL84" s="561" t="s">
        <v>2453</v>
      </c>
      <c r="OM84" s="561" t="s">
        <v>2453</v>
      </c>
      <c r="ON84" s="561" t="s">
        <v>2453</v>
      </c>
      <c r="OO84" s="561" t="s">
        <v>2453</v>
      </c>
      <c r="OP84" s="561" t="s">
        <v>2453</v>
      </c>
      <c r="OQ84" s="561" t="s">
        <v>2453</v>
      </c>
      <c r="OR84" s="561" t="s">
        <v>2453</v>
      </c>
      <c r="OS84" s="561" t="s">
        <v>2453</v>
      </c>
      <c r="OT84" s="561" t="s">
        <v>2453</v>
      </c>
      <c r="OU84" s="561" t="s">
        <v>2453</v>
      </c>
      <c r="OV84" s="561">
        <v>8925</v>
      </c>
      <c r="OW84" s="561" t="s">
        <v>2453</v>
      </c>
      <c r="OX84" s="561" t="s">
        <v>2453</v>
      </c>
      <c r="OY84" s="561" t="s">
        <v>2453</v>
      </c>
      <c r="OZ84" s="561" t="s">
        <v>2453</v>
      </c>
      <c r="PA84" s="561" t="s">
        <v>2453</v>
      </c>
      <c r="PB84" s="561" t="s">
        <v>2453</v>
      </c>
      <c r="PC84" s="561" t="s">
        <v>2453</v>
      </c>
      <c r="PD84" s="561" t="s">
        <v>2453</v>
      </c>
      <c r="PE84" s="561" t="s">
        <v>2453</v>
      </c>
      <c r="PF84" s="561" t="s">
        <v>2453</v>
      </c>
      <c r="PG84" s="561" t="s">
        <v>2453</v>
      </c>
      <c r="PH84" s="561" t="s">
        <v>2453</v>
      </c>
      <c r="PI84" s="561" t="s">
        <v>2453</v>
      </c>
      <c r="PJ84" s="561" t="s">
        <v>2453</v>
      </c>
    </row>
    <row r="85" spans="1:426" ht="14" x14ac:dyDescent="0.3">
      <c r="A85" t="s">
        <v>2684</v>
      </c>
      <c r="B85" t="s">
        <v>2685</v>
      </c>
      <c r="C85" t="s">
        <v>2686</v>
      </c>
      <c r="E85" t="s">
        <v>2466</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0</v>
      </c>
      <c r="W85" s="561">
        <v>0</v>
      </c>
      <c r="X85" s="561">
        <v>0</v>
      </c>
      <c r="Y85" s="561">
        <v>0</v>
      </c>
      <c r="Z85" s="561">
        <v>0</v>
      </c>
      <c r="AA85" s="561">
        <v>0</v>
      </c>
      <c r="AB85" s="561">
        <v>0</v>
      </c>
      <c r="AC85" s="561">
        <v>0</v>
      </c>
      <c r="AD85" s="561">
        <v>0</v>
      </c>
      <c r="AE85" s="561">
        <v>0</v>
      </c>
      <c r="AF85" s="561">
        <v>0</v>
      </c>
      <c r="AG85" s="561">
        <v>0</v>
      </c>
      <c r="AH85" s="561">
        <v>0</v>
      </c>
      <c r="AI85" s="561">
        <v>0</v>
      </c>
      <c r="AJ85" s="561">
        <v>0</v>
      </c>
      <c r="AK85" s="561">
        <v>0</v>
      </c>
      <c r="AL85" s="561">
        <v>0</v>
      </c>
      <c r="AM85" s="561">
        <v>0</v>
      </c>
      <c r="AN85" s="561">
        <v>0</v>
      </c>
      <c r="AO85" s="561">
        <v>0</v>
      </c>
      <c r="AP85" s="561">
        <v>0</v>
      </c>
      <c r="AQ85" s="561">
        <v>0</v>
      </c>
      <c r="AR85" s="561">
        <v>0</v>
      </c>
      <c r="AS85" s="561">
        <v>0</v>
      </c>
      <c r="AT85" s="561">
        <v>0</v>
      </c>
      <c r="AU85" s="561">
        <v>0</v>
      </c>
      <c r="AV85" s="561">
        <v>0</v>
      </c>
      <c r="AW85" s="561">
        <v>0</v>
      </c>
      <c r="AX85" s="561">
        <v>0</v>
      </c>
      <c r="AY85" s="561">
        <v>0</v>
      </c>
      <c r="AZ85" s="561">
        <v>0</v>
      </c>
      <c r="BA85" s="561">
        <v>0</v>
      </c>
      <c r="BB85" s="561">
        <v>0</v>
      </c>
      <c r="BC85" s="561">
        <v>0</v>
      </c>
      <c r="BD85" s="561">
        <v>0</v>
      </c>
      <c r="BE85" s="561">
        <v>0</v>
      </c>
      <c r="BF85" s="561">
        <v>0</v>
      </c>
      <c r="BG85" s="561">
        <v>0</v>
      </c>
      <c r="BH85" s="561">
        <v>0</v>
      </c>
      <c r="BI85" s="561">
        <v>0</v>
      </c>
      <c r="BJ85" s="561">
        <v>0</v>
      </c>
      <c r="BK85" s="561">
        <v>0</v>
      </c>
      <c r="BL85" s="561">
        <v>0</v>
      </c>
      <c r="BM85" s="561">
        <v>0</v>
      </c>
      <c r="BN85" s="561">
        <v>0</v>
      </c>
      <c r="BO85" s="561">
        <v>0</v>
      </c>
      <c r="BP85" s="561">
        <v>0</v>
      </c>
      <c r="BQ85" s="561">
        <v>0</v>
      </c>
      <c r="BR85" s="561">
        <v>0</v>
      </c>
      <c r="BS85" s="561">
        <v>0</v>
      </c>
      <c r="BT85" s="561">
        <v>0</v>
      </c>
      <c r="BU85" s="561">
        <v>0</v>
      </c>
      <c r="BV85" s="561">
        <v>0</v>
      </c>
      <c r="BW85" s="561">
        <v>0</v>
      </c>
      <c r="BX85" s="561">
        <v>0</v>
      </c>
      <c r="BY85" s="561">
        <v>0</v>
      </c>
      <c r="BZ85" s="561">
        <v>0</v>
      </c>
      <c r="CA85" s="561">
        <v>0</v>
      </c>
      <c r="CB85" s="561">
        <v>0</v>
      </c>
      <c r="CC85" s="561">
        <v>0</v>
      </c>
      <c r="CD85" s="561">
        <v>0</v>
      </c>
      <c r="CE85" s="561">
        <v>0</v>
      </c>
      <c r="CF85" s="561">
        <v>0</v>
      </c>
      <c r="CG85" s="561">
        <v>0</v>
      </c>
      <c r="CH85" s="561">
        <v>0</v>
      </c>
      <c r="CI85" s="561">
        <v>0</v>
      </c>
      <c r="CJ85" s="561">
        <v>0</v>
      </c>
      <c r="CK85" s="561">
        <v>0</v>
      </c>
      <c r="CL85" s="561">
        <v>0</v>
      </c>
      <c r="CM85" s="561">
        <v>0</v>
      </c>
      <c r="CN85" s="561">
        <v>0</v>
      </c>
      <c r="CO85" s="561">
        <v>0</v>
      </c>
      <c r="CP85" s="561">
        <v>0</v>
      </c>
      <c r="CQ85" s="561">
        <v>0</v>
      </c>
      <c r="CR85" s="561">
        <v>0</v>
      </c>
      <c r="CS85" s="561">
        <v>0</v>
      </c>
      <c r="CT85" s="561">
        <v>0</v>
      </c>
      <c r="CU85" s="561">
        <v>0</v>
      </c>
      <c r="CV85" s="561">
        <v>0</v>
      </c>
      <c r="CW85" s="561">
        <v>0</v>
      </c>
      <c r="CX85" s="561">
        <v>0</v>
      </c>
      <c r="CY85" s="561">
        <v>0</v>
      </c>
      <c r="CZ85" s="561">
        <v>0</v>
      </c>
      <c r="DA85" s="561">
        <v>0</v>
      </c>
      <c r="DB85" s="561">
        <v>0</v>
      </c>
      <c r="DC85" s="561">
        <v>0</v>
      </c>
      <c r="DD85" s="561">
        <v>0</v>
      </c>
      <c r="DE85" s="561">
        <v>0</v>
      </c>
      <c r="DF85" s="561">
        <v>0</v>
      </c>
      <c r="DG85" s="561">
        <v>0</v>
      </c>
      <c r="DH85" s="561">
        <v>0</v>
      </c>
      <c r="DI85" s="561">
        <v>0</v>
      </c>
      <c r="DJ85" s="561">
        <v>0</v>
      </c>
      <c r="DK85" s="561">
        <v>0</v>
      </c>
      <c r="DL85" s="561">
        <v>0</v>
      </c>
      <c r="DM85" s="561">
        <v>0</v>
      </c>
      <c r="DN85" s="561">
        <v>0</v>
      </c>
      <c r="DO85" s="561">
        <v>0</v>
      </c>
      <c r="DP85" s="561">
        <v>0</v>
      </c>
      <c r="DQ85" s="561">
        <v>0</v>
      </c>
      <c r="DR85" s="561">
        <v>0</v>
      </c>
      <c r="DS85" s="561">
        <v>0</v>
      </c>
      <c r="DT85" s="561">
        <v>0</v>
      </c>
      <c r="DU85" s="561">
        <v>0</v>
      </c>
      <c r="DV85" s="561">
        <v>0</v>
      </c>
      <c r="DW85" s="561">
        <v>0</v>
      </c>
      <c r="DX85" s="561">
        <v>0</v>
      </c>
      <c r="DY85" s="561">
        <v>0</v>
      </c>
      <c r="DZ85" s="561">
        <v>0</v>
      </c>
      <c r="EA85" s="561">
        <v>0</v>
      </c>
      <c r="EB85" s="561">
        <v>0</v>
      </c>
      <c r="EC85" s="561">
        <v>0</v>
      </c>
      <c r="ED85" s="561">
        <v>0</v>
      </c>
      <c r="EE85" s="561">
        <v>0</v>
      </c>
      <c r="EF85" s="561">
        <v>0</v>
      </c>
      <c r="EG85" s="561">
        <v>0</v>
      </c>
      <c r="EH85" s="561">
        <v>0</v>
      </c>
      <c r="EI85" s="561">
        <v>0</v>
      </c>
      <c r="EJ85" s="561">
        <v>0</v>
      </c>
      <c r="EK85" s="561">
        <v>0</v>
      </c>
      <c r="EL85" s="561">
        <v>0</v>
      </c>
      <c r="EM85" s="561">
        <v>0</v>
      </c>
      <c r="EN85" s="561">
        <v>0</v>
      </c>
      <c r="EO85" s="561">
        <v>0</v>
      </c>
      <c r="EP85" s="561">
        <v>0</v>
      </c>
      <c r="EQ85" s="561">
        <v>0</v>
      </c>
      <c r="ER85" s="561">
        <v>0</v>
      </c>
      <c r="ES85" s="561" t="s">
        <v>4565</v>
      </c>
      <c r="ET85" s="561">
        <v>0</v>
      </c>
      <c r="EU85" s="561">
        <v>0</v>
      </c>
      <c r="EV85" s="561">
        <v>0</v>
      </c>
      <c r="EW85" s="561">
        <v>0</v>
      </c>
      <c r="EX85" s="561">
        <v>0</v>
      </c>
      <c r="EY85" s="561">
        <v>0</v>
      </c>
      <c r="EZ85" s="561">
        <v>0</v>
      </c>
      <c r="FA85" s="561">
        <v>0</v>
      </c>
      <c r="FB85" s="561">
        <v>0</v>
      </c>
      <c r="FC85" s="561">
        <v>0</v>
      </c>
      <c r="FD85" s="561">
        <v>0</v>
      </c>
      <c r="FE85" s="561">
        <v>0</v>
      </c>
      <c r="FF85" s="561">
        <v>0</v>
      </c>
      <c r="FG85" s="561">
        <v>0</v>
      </c>
      <c r="FH85" s="561">
        <v>0</v>
      </c>
      <c r="FI85" s="561">
        <v>0</v>
      </c>
      <c r="FJ85" s="561">
        <v>0</v>
      </c>
      <c r="FK85" s="561">
        <v>0</v>
      </c>
      <c r="FL85" s="561">
        <v>0</v>
      </c>
      <c r="FM85" s="561">
        <v>0</v>
      </c>
      <c r="FN85" s="561">
        <v>0</v>
      </c>
      <c r="FO85" s="561">
        <v>0</v>
      </c>
      <c r="FP85" s="561">
        <v>0</v>
      </c>
      <c r="FQ85" s="561">
        <v>0</v>
      </c>
      <c r="FR85" s="561">
        <v>0</v>
      </c>
      <c r="FS85" s="561">
        <v>0</v>
      </c>
      <c r="FT85" s="561">
        <v>0</v>
      </c>
      <c r="FU85" s="561">
        <v>0</v>
      </c>
      <c r="FV85" s="561">
        <v>0</v>
      </c>
      <c r="FW85" s="561">
        <v>0</v>
      </c>
      <c r="FX85" s="561">
        <v>0</v>
      </c>
      <c r="FY85" s="561">
        <v>0</v>
      </c>
      <c r="FZ85" s="561">
        <v>0</v>
      </c>
      <c r="GA85" s="561">
        <v>0</v>
      </c>
      <c r="GB85" s="561">
        <v>0</v>
      </c>
      <c r="GC85" s="561">
        <v>0</v>
      </c>
      <c r="GD85" s="561">
        <v>0</v>
      </c>
      <c r="GE85" s="561">
        <v>0</v>
      </c>
      <c r="GF85" s="561">
        <v>0</v>
      </c>
      <c r="GG85" s="561">
        <v>0</v>
      </c>
      <c r="GH85" s="561">
        <v>0</v>
      </c>
      <c r="GI85" s="561">
        <v>0</v>
      </c>
      <c r="GJ85" s="561">
        <v>0</v>
      </c>
      <c r="GK85" s="561">
        <v>0</v>
      </c>
      <c r="GL85" s="561">
        <v>0</v>
      </c>
      <c r="GM85" s="561">
        <v>0</v>
      </c>
      <c r="GN85" s="561">
        <v>0</v>
      </c>
      <c r="GO85" s="561">
        <v>0</v>
      </c>
      <c r="GP85" s="561">
        <v>0</v>
      </c>
      <c r="GQ85" s="561">
        <v>0</v>
      </c>
      <c r="GR85" s="561">
        <v>0</v>
      </c>
      <c r="GS85" s="561">
        <v>0</v>
      </c>
      <c r="GT85" s="561">
        <v>0</v>
      </c>
      <c r="GU85" s="561">
        <v>0</v>
      </c>
      <c r="GV85" s="561">
        <v>0</v>
      </c>
      <c r="GW85" s="561">
        <v>0</v>
      </c>
      <c r="GX85" s="561">
        <v>0</v>
      </c>
      <c r="GY85" s="561">
        <v>0</v>
      </c>
      <c r="GZ85" s="561">
        <v>0</v>
      </c>
      <c r="HA85" s="561">
        <v>0</v>
      </c>
      <c r="HB85" s="561">
        <v>0</v>
      </c>
      <c r="HC85" s="561">
        <v>0</v>
      </c>
      <c r="HD85" s="561">
        <v>0</v>
      </c>
      <c r="HE85" s="561">
        <v>0</v>
      </c>
      <c r="HF85" s="561">
        <v>0</v>
      </c>
      <c r="HG85" s="561">
        <v>0</v>
      </c>
      <c r="HH85" s="561">
        <v>0</v>
      </c>
      <c r="HI85" s="561">
        <v>0</v>
      </c>
      <c r="HJ85" s="561">
        <v>7007</v>
      </c>
      <c r="HK85" s="561">
        <v>14563</v>
      </c>
      <c r="HL85" s="561">
        <v>0</v>
      </c>
      <c r="HM85" s="561">
        <v>21570</v>
      </c>
      <c r="HN85" s="561">
        <v>0</v>
      </c>
      <c r="HO85" s="561">
        <v>277</v>
      </c>
      <c r="HP85" s="561">
        <v>0</v>
      </c>
      <c r="HQ85" s="561">
        <v>0</v>
      </c>
      <c r="HR85" s="561">
        <v>0</v>
      </c>
      <c r="HS85" s="561">
        <v>0</v>
      </c>
      <c r="HT85" s="561">
        <v>0</v>
      </c>
      <c r="HU85" s="561">
        <v>0</v>
      </c>
      <c r="HV85" s="561">
        <v>0</v>
      </c>
      <c r="HW85" s="561">
        <v>0</v>
      </c>
      <c r="HX85" s="561">
        <v>0</v>
      </c>
      <c r="HY85" s="561">
        <v>0</v>
      </c>
      <c r="HZ85" s="561">
        <v>0</v>
      </c>
      <c r="IA85" s="561">
        <v>0</v>
      </c>
      <c r="IB85" s="561">
        <v>0</v>
      </c>
      <c r="IC85" s="561">
        <v>0</v>
      </c>
      <c r="ID85" s="561">
        <v>0</v>
      </c>
      <c r="IE85" s="561">
        <v>0</v>
      </c>
      <c r="IF85" s="561">
        <v>0</v>
      </c>
      <c r="IG85" s="561">
        <v>0</v>
      </c>
      <c r="IH85" s="561">
        <v>10571</v>
      </c>
      <c r="II85" s="561">
        <v>10848</v>
      </c>
      <c r="IJ85" s="561">
        <v>0</v>
      </c>
      <c r="IK85" s="561">
        <v>0</v>
      </c>
      <c r="IL85" s="561">
        <v>0</v>
      </c>
      <c r="IM85" s="561">
        <v>0</v>
      </c>
      <c r="IN85" s="561">
        <v>0</v>
      </c>
      <c r="IO85" s="561">
        <v>502</v>
      </c>
      <c r="IP85" s="561">
        <v>0</v>
      </c>
      <c r="IQ85" s="561">
        <v>0</v>
      </c>
      <c r="IR85" s="561">
        <v>0</v>
      </c>
      <c r="IS85" s="561">
        <v>0</v>
      </c>
      <c r="IT85" s="561">
        <v>0</v>
      </c>
      <c r="IU85" s="561">
        <v>0</v>
      </c>
      <c r="IV85" s="561">
        <v>0</v>
      </c>
      <c r="IW85" s="561">
        <v>0</v>
      </c>
      <c r="IX85" s="561">
        <v>0</v>
      </c>
      <c r="IY85" s="561">
        <v>0</v>
      </c>
      <c r="IZ85" s="561">
        <v>0</v>
      </c>
      <c r="JA85" s="561">
        <v>0</v>
      </c>
      <c r="JB85" s="561">
        <v>21570</v>
      </c>
      <c r="JC85" s="561">
        <v>10848</v>
      </c>
      <c r="JD85" s="561">
        <v>0</v>
      </c>
      <c r="JE85" s="561">
        <v>32418</v>
      </c>
      <c r="JF85" s="561">
        <v>0</v>
      </c>
      <c r="JG85" s="561">
        <v>0</v>
      </c>
      <c r="JH85" s="561">
        <v>0</v>
      </c>
      <c r="JI85" s="561">
        <v>0</v>
      </c>
      <c r="JJ85" s="561">
        <v>0</v>
      </c>
      <c r="JK85" s="561">
        <v>0</v>
      </c>
      <c r="JL85" s="561">
        <v>0</v>
      </c>
      <c r="JM85" s="561">
        <v>0</v>
      </c>
      <c r="JN85" s="561">
        <v>0</v>
      </c>
      <c r="JO85" s="561">
        <v>0</v>
      </c>
      <c r="JP85" s="561">
        <v>0</v>
      </c>
      <c r="JQ85" s="561">
        <v>0</v>
      </c>
      <c r="JR85" s="561">
        <v>0</v>
      </c>
      <c r="JS85" s="561">
        <v>0</v>
      </c>
      <c r="JT85" s="561">
        <v>0</v>
      </c>
      <c r="JU85" s="561">
        <v>0</v>
      </c>
      <c r="JV85" s="561">
        <v>32418</v>
      </c>
      <c r="JW85" s="561">
        <v>0</v>
      </c>
      <c r="JX85" s="561">
        <v>1913</v>
      </c>
      <c r="JY85" s="561">
        <v>0</v>
      </c>
      <c r="JZ85" s="561">
        <v>0</v>
      </c>
      <c r="KA85" s="561">
        <v>0</v>
      </c>
      <c r="KB85" s="561">
        <v>0</v>
      </c>
      <c r="KC85" s="561">
        <v>670</v>
      </c>
      <c r="KD85" s="561">
        <v>0</v>
      </c>
      <c r="KE85" s="561">
        <v>195</v>
      </c>
      <c r="KF85" s="561">
        <v>0</v>
      </c>
      <c r="KG85" s="561">
        <v>35196</v>
      </c>
      <c r="KH85" s="561">
        <v>-892</v>
      </c>
      <c r="KI85" s="561">
        <v>0</v>
      </c>
      <c r="KJ85" s="561">
        <v>0</v>
      </c>
      <c r="KK85" s="561">
        <v>0</v>
      </c>
      <c r="KL85" s="561">
        <v>0</v>
      </c>
      <c r="KM85" s="561">
        <v>0</v>
      </c>
      <c r="KN85" s="561">
        <v>0</v>
      </c>
      <c r="KO85" s="561">
        <v>0</v>
      </c>
      <c r="KP85" s="561">
        <v>0</v>
      </c>
      <c r="KQ85" s="561">
        <v>0</v>
      </c>
      <c r="KR85" s="561">
        <v>34304</v>
      </c>
      <c r="KS85" s="561">
        <v>0</v>
      </c>
      <c r="KT85" s="561">
        <v>-4192.03</v>
      </c>
      <c r="KU85" s="561">
        <v>30111.97</v>
      </c>
      <c r="KV85" s="561">
        <v>0</v>
      </c>
      <c r="KW85" s="561">
        <v>0</v>
      </c>
      <c r="KX85" s="561">
        <v>0</v>
      </c>
      <c r="KY85" s="561">
        <v>0</v>
      </c>
      <c r="KZ85" s="561">
        <v>-2306</v>
      </c>
      <c r="LA85" s="561">
        <v>1225</v>
      </c>
      <c r="LB85" s="561">
        <v>-4679</v>
      </c>
      <c r="LC85" s="561">
        <v>0</v>
      </c>
      <c r="LD85" s="561">
        <v>-7640</v>
      </c>
      <c r="LE85" s="561">
        <v>24</v>
      </c>
      <c r="LF85" s="561">
        <v>0</v>
      </c>
      <c r="LG85" s="561">
        <v>16737</v>
      </c>
      <c r="LH85" s="561">
        <v>0</v>
      </c>
      <c r="LI85" s="561">
        <v>0</v>
      </c>
      <c r="LJ85" s="561">
        <v>0</v>
      </c>
      <c r="LK85" s="561">
        <v>0</v>
      </c>
      <c r="LL85" s="561">
        <v>5708</v>
      </c>
      <c r="LM85" s="561">
        <v>3266</v>
      </c>
      <c r="LN85" s="561">
        <v>0</v>
      </c>
      <c r="LO85" s="561">
        <v>0</v>
      </c>
      <c r="LP85" s="561">
        <v>0</v>
      </c>
      <c r="LQ85" s="561">
        <v>0</v>
      </c>
      <c r="LR85" s="561">
        <v>3402</v>
      </c>
      <c r="LS85" s="561">
        <v>4491</v>
      </c>
      <c r="LT85" s="561">
        <v>0</v>
      </c>
      <c r="LU85" s="561">
        <v>2486</v>
      </c>
      <c r="LV85" s="561">
        <v>0</v>
      </c>
      <c r="LW85" s="561">
        <v>-483</v>
      </c>
      <c r="LX85" s="561">
        <v>0</v>
      </c>
      <c r="LY85" s="561">
        <v>0</v>
      </c>
      <c r="LZ85" s="561">
        <v>2003</v>
      </c>
      <c r="MA85" s="561">
        <v>0</v>
      </c>
      <c r="MB85" s="561">
        <v>0</v>
      </c>
      <c r="MC85" s="561">
        <v>0</v>
      </c>
      <c r="MD85" s="561">
        <v>0</v>
      </c>
      <c r="ME85" s="561">
        <v>0</v>
      </c>
      <c r="MF85" s="561">
        <v>0</v>
      </c>
      <c r="MG85" s="561">
        <v>0</v>
      </c>
      <c r="MH85" s="561">
        <v>0</v>
      </c>
      <c r="MI85" s="561">
        <v>0</v>
      </c>
      <c r="MJ85" s="561">
        <v>0</v>
      </c>
      <c r="MK85" s="561">
        <v>0</v>
      </c>
      <c r="ML85" s="561">
        <v>1862</v>
      </c>
      <c r="MM85" s="561">
        <v>1103</v>
      </c>
      <c r="MN85" s="561">
        <v>437</v>
      </c>
      <c r="MO85" s="561">
        <v>0</v>
      </c>
      <c r="MP85" s="561">
        <v>0</v>
      </c>
      <c r="MQ85" s="561">
        <v>0</v>
      </c>
      <c r="MR85" s="561">
        <v>0</v>
      </c>
      <c r="MS85" s="561">
        <v>0</v>
      </c>
      <c r="MT85" s="561">
        <v>0</v>
      </c>
      <c r="MU85" s="561">
        <v>0</v>
      </c>
      <c r="MV85" s="561">
        <v>0</v>
      </c>
      <c r="MW85" s="561">
        <v>0</v>
      </c>
      <c r="MX85" s="561">
        <v>0</v>
      </c>
      <c r="MY85" s="561">
        <v>0</v>
      </c>
      <c r="MZ85" s="561">
        <v>0</v>
      </c>
      <c r="NA85" s="561">
        <v>21570</v>
      </c>
      <c r="NB85" s="561">
        <v>10848</v>
      </c>
      <c r="NC85" s="561">
        <v>0</v>
      </c>
      <c r="ND85" s="561">
        <v>32418</v>
      </c>
      <c r="NE85" s="561">
        <v>0</v>
      </c>
      <c r="NF85" s="561">
        <v>0</v>
      </c>
      <c r="NG85" s="561">
        <v>0</v>
      </c>
      <c r="NH85" s="561">
        <v>0</v>
      </c>
      <c r="NI85" s="561">
        <v>0</v>
      </c>
      <c r="NJ85" s="561">
        <v>0</v>
      </c>
      <c r="NK85" s="561">
        <v>0</v>
      </c>
      <c r="NL85" s="561">
        <v>0</v>
      </c>
      <c r="NM85" s="561">
        <v>0</v>
      </c>
      <c r="NN85" s="561">
        <v>0</v>
      </c>
      <c r="NO85" s="561">
        <v>0</v>
      </c>
      <c r="NP85" s="561">
        <v>0</v>
      </c>
      <c r="NQ85" s="561">
        <v>0</v>
      </c>
      <c r="NR85" s="561">
        <v>0</v>
      </c>
      <c r="NS85" s="561">
        <v>0</v>
      </c>
      <c r="NT85" s="561">
        <v>0</v>
      </c>
      <c r="NU85" s="561">
        <v>0</v>
      </c>
      <c r="NV85" s="561">
        <v>0</v>
      </c>
      <c r="NW85" s="561">
        <v>0</v>
      </c>
      <c r="NX85" s="561">
        <v>0</v>
      </c>
      <c r="NY85" s="561">
        <v>0</v>
      </c>
      <c r="NZ85" s="561">
        <v>0</v>
      </c>
      <c r="OA85" s="561">
        <v>0</v>
      </c>
      <c r="OB85" s="561">
        <v>0</v>
      </c>
      <c r="OC85" s="561">
        <v>0</v>
      </c>
      <c r="OD85" s="561">
        <v>0</v>
      </c>
      <c r="OE85" s="561">
        <v>0</v>
      </c>
      <c r="OF85" s="561">
        <v>0</v>
      </c>
      <c r="OG85" s="561">
        <v>0</v>
      </c>
      <c r="OH85" s="561">
        <v>0</v>
      </c>
      <c r="OI85" s="561">
        <v>0</v>
      </c>
      <c r="OJ85" s="561">
        <v>0</v>
      </c>
      <c r="OK85" s="561">
        <v>0</v>
      </c>
      <c r="OL85" s="561">
        <v>0</v>
      </c>
      <c r="OM85" s="561">
        <v>0</v>
      </c>
      <c r="ON85" s="561">
        <v>0</v>
      </c>
      <c r="OO85" s="561">
        <v>0</v>
      </c>
      <c r="OP85" s="561">
        <v>0</v>
      </c>
      <c r="OQ85" s="561">
        <v>0</v>
      </c>
      <c r="OR85" s="561">
        <v>0</v>
      </c>
      <c r="OS85" s="561">
        <v>0</v>
      </c>
      <c r="OT85" s="561">
        <v>0</v>
      </c>
      <c r="OU85" s="561">
        <v>0</v>
      </c>
      <c r="OV85" s="561">
        <v>0</v>
      </c>
      <c r="OW85" s="561">
        <v>0</v>
      </c>
      <c r="OX85" s="561">
        <v>0</v>
      </c>
      <c r="OY85" s="561">
        <v>0</v>
      </c>
      <c r="OZ85" s="561">
        <v>0</v>
      </c>
      <c r="PA85" s="561">
        <v>0</v>
      </c>
      <c r="PB85" s="561">
        <v>0</v>
      </c>
      <c r="PC85" s="561">
        <v>0</v>
      </c>
      <c r="PD85" s="561">
        <v>0</v>
      </c>
      <c r="PE85" s="561">
        <v>0</v>
      </c>
      <c r="PF85" s="561">
        <v>0</v>
      </c>
      <c r="PG85" s="561">
        <v>0</v>
      </c>
      <c r="PH85" s="561">
        <v>0</v>
      </c>
      <c r="PI85" s="561">
        <v>0</v>
      </c>
      <c r="PJ85" s="561">
        <v>0</v>
      </c>
    </row>
    <row r="86" spans="1:426" ht="14" x14ac:dyDescent="0.3">
      <c r="A86" t="s">
        <v>2687</v>
      </c>
      <c r="B86" t="s">
        <v>2688</v>
      </c>
      <c r="C86" t="s">
        <v>2689</v>
      </c>
      <c r="E86" t="s">
        <v>2466</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0</v>
      </c>
      <c r="W86" s="561">
        <v>0</v>
      </c>
      <c r="X86" s="561">
        <v>0</v>
      </c>
      <c r="Y86" s="561">
        <v>0</v>
      </c>
      <c r="Z86" s="561">
        <v>0</v>
      </c>
      <c r="AA86" s="561">
        <v>0</v>
      </c>
      <c r="AB86" s="561">
        <v>0</v>
      </c>
      <c r="AC86" s="561">
        <v>0</v>
      </c>
      <c r="AD86" s="561">
        <v>0</v>
      </c>
      <c r="AE86" s="561">
        <v>0</v>
      </c>
      <c r="AF86" s="561">
        <v>0</v>
      </c>
      <c r="AG86" s="561">
        <v>0</v>
      </c>
      <c r="AH86" s="561">
        <v>0</v>
      </c>
      <c r="AI86" s="561">
        <v>0</v>
      </c>
      <c r="AJ86" s="561">
        <v>0</v>
      </c>
      <c r="AK86" s="561">
        <v>0</v>
      </c>
      <c r="AL86" s="561">
        <v>0</v>
      </c>
      <c r="AM86" s="561">
        <v>0</v>
      </c>
      <c r="AN86" s="561">
        <v>0</v>
      </c>
      <c r="AO86" s="561">
        <v>0</v>
      </c>
      <c r="AP86" s="561">
        <v>0</v>
      </c>
      <c r="AQ86" s="561">
        <v>0</v>
      </c>
      <c r="AR86" s="561">
        <v>0</v>
      </c>
      <c r="AS86" s="561">
        <v>0</v>
      </c>
      <c r="AT86" s="561">
        <v>0</v>
      </c>
      <c r="AU86" s="561">
        <v>0</v>
      </c>
      <c r="AV86" s="561">
        <v>0</v>
      </c>
      <c r="AW86" s="561">
        <v>0</v>
      </c>
      <c r="AX86" s="561">
        <v>0</v>
      </c>
      <c r="AY86" s="561">
        <v>0</v>
      </c>
      <c r="AZ86" s="561">
        <v>0</v>
      </c>
      <c r="BA86" s="561">
        <v>0</v>
      </c>
      <c r="BB86" s="561">
        <v>0</v>
      </c>
      <c r="BC86" s="561">
        <v>0</v>
      </c>
      <c r="BD86" s="561">
        <v>0</v>
      </c>
      <c r="BE86" s="561">
        <v>0</v>
      </c>
      <c r="BF86" s="561">
        <v>0</v>
      </c>
      <c r="BG86" s="561">
        <v>0</v>
      </c>
      <c r="BH86" s="561">
        <v>0</v>
      </c>
      <c r="BI86" s="561">
        <v>0</v>
      </c>
      <c r="BJ86" s="561">
        <v>0</v>
      </c>
      <c r="BK86" s="561">
        <v>0</v>
      </c>
      <c r="BL86" s="561">
        <v>0</v>
      </c>
      <c r="BM86" s="561">
        <v>0</v>
      </c>
      <c r="BN86" s="561">
        <v>0</v>
      </c>
      <c r="BO86" s="561">
        <v>0</v>
      </c>
      <c r="BP86" s="561">
        <v>0</v>
      </c>
      <c r="BQ86" s="561">
        <v>0</v>
      </c>
      <c r="BR86" s="561">
        <v>0</v>
      </c>
      <c r="BS86" s="561">
        <v>0</v>
      </c>
      <c r="BT86" s="561">
        <v>0</v>
      </c>
      <c r="BU86" s="561">
        <v>0</v>
      </c>
      <c r="BV86" s="561">
        <v>0</v>
      </c>
      <c r="BW86" s="561">
        <v>0</v>
      </c>
      <c r="BX86" s="561">
        <v>0</v>
      </c>
      <c r="BY86" s="561">
        <v>0</v>
      </c>
      <c r="BZ86" s="561">
        <v>0</v>
      </c>
      <c r="CA86" s="561">
        <v>0</v>
      </c>
      <c r="CB86" s="561">
        <v>0</v>
      </c>
      <c r="CC86" s="561">
        <v>0</v>
      </c>
      <c r="CD86" s="561">
        <v>0</v>
      </c>
      <c r="CE86" s="561">
        <v>0</v>
      </c>
      <c r="CF86" s="561">
        <v>0</v>
      </c>
      <c r="CG86" s="561">
        <v>0</v>
      </c>
      <c r="CH86" s="561">
        <v>0</v>
      </c>
      <c r="CI86" s="561">
        <v>0</v>
      </c>
      <c r="CJ86" s="561">
        <v>0</v>
      </c>
      <c r="CK86" s="561">
        <v>0</v>
      </c>
      <c r="CL86" s="561">
        <v>0</v>
      </c>
      <c r="CM86" s="561">
        <v>0</v>
      </c>
      <c r="CN86" s="561">
        <v>0</v>
      </c>
      <c r="CO86" s="561">
        <v>0</v>
      </c>
      <c r="CP86" s="561">
        <v>0</v>
      </c>
      <c r="CQ86" s="561">
        <v>0</v>
      </c>
      <c r="CR86" s="561">
        <v>0</v>
      </c>
      <c r="CS86" s="561">
        <v>0</v>
      </c>
      <c r="CT86" s="561">
        <v>0</v>
      </c>
      <c r="CU86" s="561">
        <v>0</v>
      </c>
      <c r="CV86" s="561">
        <v>0</v>
      </c>
      <c r="CW86" s="561">
        <v>0</v>
      </c>
      <c r="CX86" s="561">
        <v>0</v>
      </c>
      <c r="CY86" s="561">
        <v>0</v>
      </c>
      <c r="CZ86" s="561">
        <v>0</v>
      </c>
      <c r="DA86" s="561">
        <v>0</v>
      </c>
      <c r="DB86" s="561">
        <v>0</v>
      </c>
      <c r="DC86" s="561">
        <v>0</v>
      </c>
      <c r="DD86" s="561">
        <v>0</v>
      </c>
      <c r="DE86" s="561">
        <v>0</v>
      </c>
      <c r="DF86" s="561">
        <v>0</v>
      </c>
      <c r="DG86" s="561">
        <v>0</v>
      </c>
      <c r="DH86" s="561">
        <v>0</v>
      </c>
      <c r="DI86" s="561">
        <v>0</v>
      </c>
      <c r="DJ86" s="561">
        <v>0</v>
      </c>
      <c r="DK86" s="561">
        <v>0</v>
      </c>
      <c r="DL86" s="561">
        <v>0</v>
      </c>
      <c r="DM86" s="561">
        <v>0</v>
      </c>
      <c r="DN86" s="561">
        <v>0</v>
      </c>
      <c r="DO86" s="561">
        <v>0</v>
      </c>
      <c r="DP86" s="561">
        <v>0</v>
      </c>
      <c r="DQ86" s="561">
        <v>0</v>
      </c>
      <c r="DR86" s="561">
        <v>0</v>
      </c>
      <c r="DS86" s="561">
        <v>0</v>
      </c>
      <c r="DT86" s="561">
        <v>0</v>
      </c>
      <c r="DU86" s="561">
        <v>0</v>
      </c>
      <c r="DV86" s="561">
        <v>0</v>
      </c>
      <c r="DW86" s="561">
        <v>0</v>
      </c>
      <c r="DX86" s="561">
        <v>0</v>
      </c>
      <c r="DY86" s="561">
        <v>0</v>
      </c>
      <c r="DZ86" s="561">
        <v>0</v>
      </c>
      <c r="EA86" s="561">
        <v>0</v>
      </c>
      <c r="EB86" s="561">
        <v>0</v>
      </c>
      <c r="EC86" s="561">
        <v>0</v>
      </c>
      <c r="ED86" s="561">
        <v>0</v>
      </c>
      <c r="EE86" s="561">
        <v>0</v>
      </c>
      <c r="EF86" s="561">
        <v>0</v>
      </c>
      <c r="EG86" s="561">
        <v>0</v>
      </c>
      <c r="EH86" s="561">
        <v>0</v>
      </c>
      <c r="EI86" s="561">
        <v>0</v>
      </c>
      <c r="EJ86" s="561">
        <v>0</v>
      </c>
      <c r="EK86" s="561">
        <v>0</v>
      </c>
      <c r="EL86" s="561">
        <v>0</v>
      </c>
      <c r="EM86" s="561">
        <v>0</v>
      </c>
      <c r="EN86" s="561">
        <v>0</v>
      </c>
      <c r="EO86" s="561">
        <v>0</v>
      </c>
      <c r="EP86" s="561">
        <v>0</v>
      </c>
      <c r="EQ86" s="561">
        <v>0</v>
      </c>
      <c r="ER86" s="561">
        <v>0</v>
      </c>
      <c r="ES86" s="561" t="s">
        <v>4565</v>
      </c>
      <c r="ET86" s="561">
        <v>0</v>
      </c>
      <c r="EU86" s="561">
        <v>0</v>
      </c>
      <c r="EV86" s="561">
        <v>0</v>
      </c>
      <c r="EW86" s="561">
        <v>0</v>
      </c>
      <c r="EX86" s="561">
        <v>0</v>
      </c>
      <c r="EY86" s="561">
        <v>0</v>
      </c>
      <c r="EZ86" s="561">
        <v>0</v>
      </c>
      <c r="FA86" s="561">
        <v>0</v>
      </c>
      <c r="FB86" s="561">
        <v>0</v>
      </c>
      <c r="FC86" s="561">
        <v>0</v>
      </c>
      <c r="FD86" s="561">
        <v>0</v>
      </c>
      <c r="FE86" s="561">
        <v>0</v>
      </c>
      <c r="FF86" s="561">
        <v>0</v>
      </c>
      <c r="FG86" s="561">
        <v>0</v>
      </c>
      <c r="FH86" s="561">
        <v>0</v>
      </c>
      <c r="FI86" s="561">
        <v>0</v>
      </c>
      <c r="FJ86" s="561">
        <v>0</v>
      </c>
      <c r="FK86" s="561">
        <v>0</v>
      </c>
      <c r="FL86" s="561">
        <v>0</v>
      </c>
      <c r="FM86" s="561">
        <v>0</v>
      </c>
      <c r="FN86" s="561">
        <v>0</v>
      </c>
      <c r="FO86" s="561">
        <v>0</v>
      </c>
      <c r="FP86" s="561">
        <v>0</v>
      </c>
      <c r="FQ86" s="561">
        <v>0</v>
      </c>
      <c r="FR86" s="561">
        <v>0</v>
      </c>
      <c r="FS86" s="561">
        <v>0</v>
      </c>
      <c r="FT86" s="561">
        <v>0</v>
      </c>
      <c r="FU86" s="561">
        <v>0</v>
      </c>
      <c r="FV86" s="561">
        <v>0</v>
      </c>
      <c r="FW86" s="561">
        <v>0</v>
      </c>
      <c r="FX86" s="561">
        <v>0</v>
      </c>
      <c r="FY86" s="561">
        <v>0</v>
      </c>
      <c r="FZ86" s="561">
        <v>0</v>
      </c>
      <c r="GA86" s="561">
        <v>0</v>
      </c>
      <c r="GB86" s="561">
        <v>0</v>
      </c>
      <c r="GC86" s="561">
        <v>0</v>
      </c>
      <c r="GD86" s="561">
        <v>0</v>
      </c>
      <c r="GE86" s="561">
        <v>0</v>
      </c>
      <c r="GF86" s="561">
        <v>0</v>
      </c>
      <c r="GG86" s="561">
        <v>0</v>
      </c>
      <c r="GH86" s="561">
        <v>0</v>
      </c>
      <c r="GI86" s="561">
        <v>0</v>
      </c>
      <c r="GJ86" s="561">
        <v>0</v>
      </c>
      <c r="GK86" s="561">
        <v>0</v>
      </c>
      <c r="GL86" s="561">
        <v>0</v>
      </c>
      <c r="GM86" s="561">
        <v>0</v>
      </c>
      <c r="GN86" s="561">
        <v>0</v>
      </c>
      <c r="GO86" s="561">
        <v>0</v>
      </c>
      <c r="GP86" s="561">
        <v>0</v>
      </c>
      <c r="GQ86" s="561">
        <v>0</v>
      </c>
      <c r="GR86" s="561">
        <v>0</v>
      </c>
      <c r="GS86" s="561">
        <v>0</v>
      </c>
      <c r="GT86" s="561">
        <v>0</v>
      </c>
      <c r="GU86" s="561">
        <v>0</v>
      </c>
      <c r="GV86" s="561">
        <v>0</v>
      </c>
      <c r="GW86" s="561">
        <v>0</v>
      </c>
      <c r="GX86" s="561">
        <v>0</v>
      </c>
      <c r="GY86" s="561">
        <v>0</v>
      </c>
      <c r="GZ86" s="561">
        <v>0</v>
      </c>
      <c r="HA86" s="561">
        <v>0</v>
      </c>
      <c r="HB86" s="561">
        <v>0</v>
      </c>
      <c r="HC86" s="561">
        <v>0</v>
      </c>
      <c r="HD86" s="561">
        <v>0</v>
      </c>
      <c r="HE86" s="561">
        <v>0</v>
      </c>
      <c r="HF86" s="561">
        <v>0</v>
      </c>
      <c r="HG86" s="561">
        <v>0</v>
      </c>
      <c r="HH86" s="561">
        <v>138905</v>
      </c>
      <c r="HI86" s="561">
        <v>13</v>
      </c>
      <c r="HJ86" s="561">
        <v>0</v>
      </c>
      <c r="HK86" s="561">
        <v>0</v>
      </c>
      <c r="HL86" s="561">
        <v>0</v>
      </c>
      <c r="HM86" s="561">
        <v>0</v>
      </c>
      <c r="HN86" s="561">
        <v>0</v>
      </c>
      <c r="HO86" s="561">
        <v>2364</v>
      </c>
      <c r="HP86" s="561">
        <v>0</v>
      </c>
      <c r="HQ86" s="561">
        <v>0</v>
      </c>
      <c r="HR86" s="561">
        <v>0</v>
      </c>
      <c r="HS86" s="561">
        <v>0</v>
      </c>
      <c r="HT86" s="561">
        <v>0</v>
      </c>
      <c r="HU86" s="561">
        <v>0</v>
      </c>
      <c r="HV86" s="561">
        <v>0</v>
      </c>
      <c r="HW86" s="561">
        <v>0</v>
      </c>
      <c r="HX86" s="561">
        <v>0</v>
      </c>
      <c r="HY86" s="561">
        <v>0</v>
      </c>
      <c r="HZ86" s="561">
        <v>0</v>
      </c>
      <c r="IA86" s="561">
        <v>0</v>
      </c>
      <c r="IB86" s="561">
        <v>0</v>
      </c>
      <c r="IC86" s="561">
        <v>0</v>
      </c>
      <c r="ID86" s="561">
        <v>0</v>
      </c>
      <c r="IE86" s="561">
        <v>0</v>
      </c>
      <c r="IF86" s="561">
        <v>0</v>
      </c>
      <c r="IG86" s="561">
        <v>0</v>
      </c>
      <c r="IH86" s="561">
        <v>0</v>
      </c>
      <c r="II86" s="561">
        <v>2364</v>
      </c>
      <c r="IJ86" s="561">
        <v>0</v>
      </c>
      <c r="IK86" s="561">
        <v>0</v>
      </c>
      <c r="IL86" s="561">
        <v>0</v>
      </c>
      <c r="IM86" s="561">
        <v>0</v>
      </c>
      <c r="IN86" s="561">
        <v>0</v>
      </c>
      <c r="IO86" s="561">
        <v>0</v>
      </c>
      <c r="IP86" s="561">
        <v>0</v>
      </c>
      <c r="IQ86" s="561">
        <v>0</v>
      </c>
      <c r="IR86" s="561">
        <v>0</v>
      </c>
      <c r="IS86" s="561">
        <v>0</v>
      </c>
      <c r="IT86" s="561">
        <v>0</v>
      </c>
      <c r="IU86" s="561">
        <v>0</v>
      </c>
      <c r="IV86" s="561">
        <v>0</v>
      </c>
      <c r="IW86" s="561">
        <v>0</v>
      </c>
      <c r="IX86" s="561">
        <v>0</v>
      </c>
      <c r="IY86" s="561">
        <v>0</v>
      </c>
      <c r="IZ86" s="561">
        <v>0</v>
      </c>
      <c r="JA86" s="561">
        <v>138905</v>
      </c>
      <c r="JB86" s="561">
        <v>0</v>
      </c>
      <c r="JC86" s="561">
        <v>2364</v>
      </c>
      <c r="JD86" s="561">
        <v>0</v>
      </c>
      <c r="JE86" s="561">
        <v>141269</v>
      </c>
      <c r="JF86" s="561">
        <v>0</v>
      </c>
      <c r="JG86" s="561">
        <v>0</v>
      </c>
      <c r="JH86" s="561">
        <v>0</v>
      </c>
      <c r="JI86" s="561">
        <v>0</v>
      </c>
      <c r="JJ86" s="561">
        <v>0</v>
      </c>
      <c r="JK86" s="561">
        <v>0</v>
      </c>
      <c r="JL86" s="561">
        <v>0</v>
      </c>
      <c r="JM86" s="561">
        <v>0</v>
      </c>
      <c r="JN86" s="561">
        <v>0</v>
      </c>
      <c r="JO86" s="561">
        <v>0</v>
      </c>
      <c r="JP86" s="561">
        <v>0</v>
      </c>
      <c r="JQ86" s="561">
        <v>0</v>
      </c>
      <c r="JR86" s="561">
        <v>0</v>
      </c>
      <c r="JS86" s="561">
        <v>0</v>
      </c>
      <c r="JT86" s="561">
        <v>410</v>
      </c>
      <c r="JU86" s="561">
        <v>0</v>
      </c>
      <c r="JV86" s="561">
        <v>141679</v>
      </c>
      <c r="JW86" s="561">
        <v>0</v>
      </c>
      <c r="JX86" s="561">
        <v>3177</v>
      </c>
      <c r="JY86" s="561">
        <v>0</v>
      </c>
      <c r="JZ86" s="561">
        <v>0</v>
      </c>
      <c r="KA86" s="561">
        <v>0</v>
      </c>
      <c r="KB86" s="561">
        <v>5</v>
      </c>
      <c r="KC86" s="561">
        <v>572</v>
      </c>
      <c r="KD86" s="561">
        <v>0</v>
      </c>
      <c r="KE86" s="561">
        <v>0</v>
      </c>
      <c r="KF86" s="561">
        <v>0</v>
      </c>
      <c r="KG86" s="561">
        <v>145433</v>
      </c>
      <c r="KH86" s="561">
        <v>-1145</v>
      </c>
      <c r="KI86" s="561">
        <v>0</v>
      </c>
      <c r="KJ86" s="561">
        <v>0</v>
      </c>
      <c r="KK86" s="561">
        <v>0</v>
      </c>
      <c r="KL86" s="561">
        <v>0</v>
      </c>
      <c r="KM86" s="561">
        <v>0</v>
      </c>
      <c r="KN86" s="561">
        <v>0</v>
      </c>
      <c r="KO86" s="561">
        <v>0</v>
      </c>
      <c r="KP86" s="561">
        <v>0</v>
      </c>
      <c r="KQ86" s="561">
        <v>0</v>
      </c>
      <c r="KR86" s="561">
        <v>144288</v>
      </c>
      <c r="KS86" s="561">
        <v>0</v>
      </c>
      <c r="KT86" s="561">
        <v>-5251</v>
      </c>
      <c r="KU86" s="561">
        <v>139037</v>
      </c>
      <c r="KV86" s="561">
        <v>0</v>
      </c>
      <c r="KW86" s="561">
        <v>0</v>
      </c>
      <c r="KX86" s="561">
        <v>0</v>
      </c>
      <c r="KY86" s="561">
        <v>0</v>
      </c>
      <c r="KZ86" s="561">
        <v>-1419</v>
      </c>
      <c r="LA86" s="561">
        <v>0</v>
      </c>
      <c r="LB86" s="561">
        <v>0</v>
      </c>
      <c r="LC86" s="561">
        <v>-82041</v>
      </c>
      <c r="LD86" s="561">
        <v>0</v>
      </c>
      <c r="LE86" s="561">
        <v>79</v>
      </c>
      <c r="LF86" s="561">
        <v>0</v>
      </c>
      <c r="LG86" s="561">
        <v>55657</v>
      </c>
      <c r="LH86" s="561">
        <v>0</v>
      </c>
      <c r="LI86" s="561">
        <v>0</v>
      </c>
      <c r="LJ86" s="561">
        <v>0</v>
      </c>
      <c r="LK86" s="561">
        <v>0</v>
      </c>
      <c r="LL86" s="561">
        <v>25171</v>
      </c>
      <c r="LM86" s="561">
        <v>4000</v>
      </c>
      <c r="LN86" s="561">
        <v>0</v>
      </c>
      <c r="LO86" s="561">
        <v>0</v>
      </c>
      <c r="LP86" s="561">
        <v>0</v>
      </c>
      <c r="LQ86" s="561">
        <v>0</v>
      </c>
      <c r="LR86" s="561">
        <v>23752</v>
      </c>
      <c r="LS86" s="561">
        <v>4000</v>
      </c>
      <c r="LT86" s="561">
        <v>0</v>
      </c>
      <c r="LU86" s="561">
        <v>5351</v>
      </c>
      <c r="LV86" s="561">
        <v>0</v>
      </c>
      <c r="LW86" s="561">
        <v>-728</v>
      </c>
      <c r="LX86" s="561">
        <v>-310</v>
      </c>
      <c r="LY86" s="561">
        <v>0</v>
      </c>
      <c r="LZ86" s="561">
        <v>4313</v>
      </c>
      <c r="MA86" s="561">
        <v>0</v>
      </c>
      <c r="MB86" s="561">
        <v>0</v>
      </c>
      <c r="MC86" s="561">
        <v>0</v>
      </c>
      <c r="MD86" s="561">
        <v>0</v>
      </c>
      <c r="ME86" s="561">
        <v>0</v>
      </c>
      <c r="MF86" s="561">
        <v>0</v>
      </c>
      <c r="MG86" s="561">
        <v>0</v>
      </c>
      <c r="MH86" s="561">
        <v>0</v>
      </c>
      <c r="MI86" s="561">
        <v>0</v>
      </c>
      <c r="MJ86" s="561">
        <v>0</v>
      </c>
      <c r="MK86" s="561">
        <v>0</v>
      </c>
      <c r="ML86" s="561">
        <v>0</v>
      </c>
      <c r="MM86" s="561">
        <v>11872</v>
      </c>
      <c r="MN86" s="561">
        <v>4133</v>
      </c>
      <c r="MO86" s="561">
        <v>7747</v>
      </c>
      <c r="MP86" s="561">
        <v>0</v>
      </c>
      <c r="MQ86" s="561">
        <v>0</v>
      </c>
      <c r="MR86" s="561">
        <v>0</v>
      </c>
      <c r="MS86" s="561">
        <v>0</v>
      </c>
      <c r="MT86" s="561">
        <v>0</v>
      </c>
      <c r="MU86" s="561">
        <v>0</v>
      </c>
      <c r="MV86" s="561">
        <v>0</v>
      </c>
      <c r="MW86" s="561">
        <v>0</v>
      </c>
      <c r="MX86" s="561">
        <v>0</v>
      </c>
      <c r="MY86" s="561">
        <v>0</v>
      </c>
      <c r="MZ86" s="561">
        <v>138905</v>
      </c>
      <c r="NA86" s="561">
        <v>0</v>
      </c>
      <c r="NB86" s="561">
        <v>2364</v>
      </c>
      <c r="NC86" s="561">
        <v>0</v>
      </c>
      <c r="ND86" s="561">
        <v>141269</v>
      </c>
      <c r="NE86" s="561">
        <v>0</v>
      </c>
      <c r="NF86" s="561">
        <v>0</v>
      </c>
      <c r="NG86" s="561">
        <v>0</v>
      </c>
      <c r="NH86" s="561">
        <v>0</v>
      </c>
      <c r="NI86" s="561">
        <v>0</v>
      </c>
      <c r="NJ86" s="561">
        <v>0</v>
      </c>
      <c r="NK86" s="561">
        <v>0</v>
      </c>
      <c r="NL86" s="561">
        <v>0</v>
      </c>
      <c r="NM86" s="561">
        <v>0</v>
      </c>
      <c r="NN86" s="561">
        <v>0</v>
      </c>
      <c r="NO86" s="561">
        <v>0</v>
      </c>
      <c r="NP86" s="561">
        <v>0</v>
      </c>
      <c r="NQ86" s="561">
        <v>0</v>
      </c>
      <c r="NR86" s="561">
        <v>0</v>
      </c>
      <c r="NS86" s="561">
        <v>0</v>
      </c>
      <c r="NT86" s="561">
        <v>0</v>
      </c>
      <c r="NU86" s="561">
        <v>0</v>
      </c>
      <c r="NV86" s="561">
        <v>0</v>
      </c>
      <c r="NW86" s="561">
        <v>0</v>
      </c>
      <c r="NX86" s="561">
        <v>0</v>
      </c>
      <c r="NY86" s="561">
        <v>0</v>
      </c>
      <c r="NZ86" s="561">
        <v>0</v>
      </c>
      <c r="OA86" s="561">
        <v>0</v>
      </c>
      <c r="OB86" s="561">
        <v>0</v>
      </c>
      <c r="OC86" s="561">
        <v>0</v>
      </c>
      <c r="OD86" s="561">
        <v>0</v>
      </c>
      <c r="OE86" s="561">
        <v>0</v>
      </c>
      <c r="OF86" s="561">
        <v>0</v>
      </c>
      <c r="OG86" s="561">
        <v>0</v>
      </c>
      <c r="OH86" s="561">
        <v>0</v>
      </c>
      <c r="OI86" s="561">
        <v>0</v>
      </c>
      <c r="OJ86" s="561">
        <v>0</v>
      </c>
      <c r="OK86" s="561">
        <v>0</v>
      </c>
      <c r="OL86" s="561">
        <v>0</v>
      </c>
      <c r="OM86" s="561">
        <v>0</v>
      </c>
      <c r="ON86" s="561">
        <v>0</v>
      </c>
      <c r="OO86" s="561">
        <v>0</v>
      </c>
      <c r="OP86" s="561">
        <v>0</v>
      </c>
      <c r="OQ86" s="561">
        <v>0</v>
      </c>
      <c r="OR86" s="561">
        <v>0</v>
      </c>
      <c r="OS86" s="561">
        <v>0</v>
      </c>
      <c r="OT86" s="561">
        <v>0</v>
      </c>
      <c r="OU86" s="561">
        <v>0</v>
      </c>
      <c r="OV86" s="561">
        <v>0</v>
      </c>
      <c r="OW86" s="561">
        <v>0</v>
      </c>
      <c r="OX86" s="561">
        <v>0</v>
      </c>
      <c r="OY86" s="561">
        <v>0</v>
      </c>
      <c r="OZ86" s="561">
        <v>0</v>
      </c>
      <c r="PA86" s="561">
        <v>0</v>
      </c>
      <c r="PB86" s="561">
        <v>0</v>
      </c>
      <c r="PC86" s="561">
        <v>0</v>
      </c>
      <c r="PD86" s="561">
        <v>0</v>
      </c>
      <c r="PE86" s="561">
        <v>0</v>
      </c>
      <c r="PF86" s="561">
        <v>0</v>
      </c>
      <c r="PG86" s="561">
        <v>0</v>
      </c>
      <c r="PH86" s="561">
        <v>0</v>
      </c>
      <c r="PI86" s="561">
        <v>0</v>
      </c>
      <c r="PJ86" s="561">
        <v>0</v>
      </c>
    </row>
    <row r="87" spans="1:426" ht="14" x14ac:dyDescent="0.3">
      <c r="A87" t="s">
        <v>2690</v>
      </c>
      <c r="B87" t="s">
        <v>2691</v>
      </c>
      <c r="C87" t="s">
        <v>2692</v>
      </c>
      <c r="E87" t="s">
        <v>384</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351</v>
      </c>
      <c r="AB87" s="561">
        <v>-735</v>
      </c>
      <c r="AC87" s="561">
        <v>0</v>
      </c>
      <c r="AD87" s="561">
        <v>0</v>
      </c>
      <c r="AE87" s="561">
        <v>0</v>
      </c>
      <c r="AF87" s="561">
        <v>0</v>
      </c>
      <c r="AG87" s="561">
        <v>0</v>
      </c>
      <c r="AH87" s="561">
        <v>0</v>
      </c>
      <c r="AI87" s="561">
        <v>0</v>
      </c>
      <c r="AJ87" s="561">
        <v>-384</v>
      </c>
      <c r="AK87" s="561">
        <v>39</v>
      </c>
      <c r="AL87" s="561">
        <v>0</v>
      </c>
      <c r="AM87" s="561">
        <v>0</v>
      </c>
      <c r="AN87" s="561">
        <v>0</v>
      </c>
      <c r="AO87" s="561">
        <v>0</v>
      </c>
      <c r="AP87" s="561">
        <v>0</v>
      </c>
      <c r="AQ87" s="561">
        <v>0</v>
      </c>
      <c r="AR87" s="561">
        <v>0</v>
      </c>
      <c r="AS87" s="561">
        <v>346</v>
      </c>
      <c r="AT87" s="561">
        <v>277</v>
      </c>
      <c r="AU87" s="561">
        <v>0</v>
      </c>
      <c r="AV87" s="561">
        <v>0</v>
      </c>
      <c r="AW87" s="561">
        <v>0</v>
      </c>
      <c r="AX87" s="561">
        <v>0</v>
      </c>
      <c r="AY87" s="561">
        <v>0</v>
      </c>
      <c r="AZ87" s="561">
        <v>0</v>
      </c>
      <c r="BA87" s="561">
        <v>0</v>
      </c>
      <c r="BB87" s="561">
        <v>0</v>
      </c>
      <c r="BC87" s="561">
        <v>0</v>
      </c>
      <c r="BD87" s="561">
        <v>0</v>
      </c>
      <c r="BE87" s="561">
        <v>0</v>
      </c>
      <c r="BF87" s="561">
        <v>0</v>
      </c>
      <c r="BG87" s="561">
        <v>0</v>
      </c>
      <c r="BH87" s="561">
        <v>0</v>
      </c>
      <c r="BI87" s="561">
        <v>0</v>
      </c>
      <c r="BJ87" s="561">
        <v>0</v>
      </c>
      <c r="BK87" s="561">
        <v>0</v>
      </c>
      <c r="BL87" s="561">
        <v>0</v>
      </c>
      <c r="BM87" s="561">
        <v>0</v>
      </c>
      <c r="BN87" s="561">
        <v>0</v>
      </c>
      <c r="BO87" s="561">
        <v>0</v>
      </c>
      <c r="BP87" s="561">
        <v>0</v>
      </c>
      <c r="BQ87" s="561">
        <v>0</v>
      </c>
      <c r="BR87" s="561">
        <v>0</v>
      </c>
      <c r="BS87" s="561">
        <v>0</v>
      </c>
      <c r="BT87" s="561">
        <v>0</v>
      </c>
      <c r="BU87" s="561">
        <v>0</v>
      </c>
      <c r="BV87" s="561">
        <v>0</v>
      </c>
      <c r="BW87" s="561">
        <v>0</v>
      </c>
      <c r="BX87" s="561">
        <v>0</v>
      </c>
      <c r="BY87" s="561">
        <v>0</v>
      </c>
      <c r="BZ87" s="561">
        <v>0</v>
      </c>
      <c r="CA87" s="561">
        <v>0</v>
      </c>
      <c r="CB87" s="561">
        <v>0</v>
      </c>
      <c r="CC87" s="561">
        <v>0</v>
      </c>
      <c r="CD87" s="561">
        <v>0</v>
      </c>
      <c r="CE87" s="561">
        <v>0</v>
      </c>
      <c r="CF87" s="561">
        <v>0</v>
      </c>
      <c r="CG87" s="561">
        <v>0</v>
      </c>
      <c r="CH87" s="561">
        <v>0</v>
      </c>
      <c r="CI87" s="561">
        <v>0</v>
      </c>
      <c r="CJ87" s="561">
        <v>0</v>
      </c>
      <c r="CK87" s="561">
        <v>0</v>
      </c>
      <c r="CL87" s="561">
        <v>0</v>
      </c>
      <c r="CM87" s="561">
        <v>0</v>
      </c>
      <c r="CN87" s="561">
        <v>0</v>
      </c>
      <c r="CO87" s="561">
        <v>0</v>
      </c>
      <c r="CP87" s="561">
        <v>0</v>
      </c>
      <c r="CQ87" s="561">
        <v>0</v>
      </c>
      <c r="CR87" s="561">
        <v>0</v>
      </c>
      <c r="CS87" s="561">
        <v>0</v>
      </c>
      <c r="CT87" s="561">
        <v>0</v>
      </c>
      <c r="CU87" s="561">
        <v>0</v>
      </c>
      <c r="CV87" s="561">
        <v>0</v>
      </c>
      <c r="CW87" s="561">
        <v>0</v>
      </c>
      <c r="CX87" s="561">
        <v>0</v>
      </c>
      <c r="CY87" s="561">
        <v>0</v>
      </c>
      <c r="CZ87" s="561">
        <v>0</v>
      </c>
      <c r="DA87" s="561">
        <v>0</v>
      </c>
      <c r="DB87" s="561">
        <v>0</v>
      </c>
      <c r="DC87" s="561">
        <v>0</v>
      </c>
      <c r="DD87" s="561">
        <v>0</v>
      </c>
      <c r="DE87" s="561">
        <v>0</v>
      </c>
      <c r="DF87" s="561">
        <v>0</v>
      </c>
      <c r="DG87" s="561">
        <v>0</v>
      </c>
      <c r="DH87" s="561">
        <v>204.46</v>
      </c>
      <c r="DI87" s="561">
        <v>0</v>
      </c>
      <c r="DJ87" s="561">
        <v>0</v>
      </c>
      <c r="DK87" s="561">
        <v>487.77</v>
      </c>
      <c r="DL87" s="561">
        <v>0</v>
      </c>
      <c r="DM87" s="561">
        <v>0</v>
      </c>
      <c r="DN87" s="561">
        <v>-394.84</v>
      </c>
      <c r="DO87" s="561">
        <v>0</v>
      </c>
      <c r="DP87" s="561">
        <v>0</v>
      </c>
      <c r="DQ87" s="561">
        <v>0</v>
      </c>
      <c r="DR87" s="561">
        <v>0</v>
      </c>
      <c r="DS87" s="561">
        <v>778</v>
      </c>
      <c r="DT87" s="561">
        <v>1386.26</v>
      </c>
      <c r="DU87" s="561">
        <v>1769.42</v>
      </c>
      <c r="DV87" s="561">
        <v>0</v>
      </c>
      <c r="DW87" s="561">
        <v>0</v>
      </c>
      <c r="DX87" s="561">
        <v>0</v>
      </c>
      <c r="DY87" s="561">
        <v>1908</v>
      </c>
      <c r="DZ87" s="561">
        <v>-2527</v>
      </c>
      <c r="EA87" s="561">
        <v>432</v>
      </c>
      <c r="EB87" s="561">
        <v>0</v>
      </c>
      <c r="EC87" s="561">
        <v>2274.65</v>
      </c>
      <c r="ED87" s="561">
        <v>214</v>
      </c>
      <c r="EE87" s="561">
        <v>69304</v>
      </c>
      <c r="EF87" s="561">
        <v>104</v>
      </c>
      <c r="EG87" s="561">
        <v>2260</v>
      </c>
      <c r="EH87" s="561">
        <v>1551</v>
      </c>
      <c r="EI87" s="561">
        <v>0</v>
      </c>
      <c r="EJ87" s="561">
        <v>1027</v>
      </c>
      <c r="EK87" s="561">
        <v>0</v>
      </c>
      <c r="EL87" s="561">
        <v>0</v>
      </c>
      <c r="EM87" s="561">
        <v>0</v>
      </c>
      <c r="EN87" s="561">
        <v>18166</v>
      </c>
      <c r="EO87" s="561">
        <v>21486</v>
      </c>
      <c r="EP87" s="561">
        <v>0</v>
      </c>
      <c r="EQ87" s="561">
        <v>117</v>
      </c>
      <c r="ER87" s="561">
        <v>11204</v>
      </c>
      <c r="ES87" s="561" t="s">
        <v>4565</v>
      </c>
      <c r="ET87" s="561">
        <v>0</v>
      </c>
      <c r="EU87" s="561">
        <v>2655</v>
      </c>
      <c r="EV87" s="561">
        <v>0</v>
      </c>
      <c r="EW87" s="561">
        <v>0</v>
      </c>
      <c r="EX87" s="561">
        <v>14844</v>
      </c>
      <c r="EY87" s="561">
        <v>624</v>
      </c>
      <c r="EZ87" s="561">
        <v>5150</v>
      </c>
      <c r="FA87" s="561">
        <v>7495</v>
      </c>
      <c r="FB87" s="561">
        <v>0</v>
      </c>
      <c r="FC87" s="561">
        <v>0</v>
      </c>
      <c r="FD87" s="561">
        <v>65</v>
      </c>
      <c r="FE87" s="561">
        <v>0</v>
      </c>
      <c r="FF87" s="561">
        <v>500</v>
      </c>
      <c r="FG87" s="561">
        <v>653</v>
      </c>
      <c r="FH87" s="561">
        <v>0</v>
      </c>
      <c r="FI87" s="561">
        <v>-606</v>
      </c>
      <c r="FJ87" s="561">
        <v>703</v>
      </c>
      <c r="FK87" s="561">
        <v>2310</v>
      </c>
      <c r="FL87" s="561">
        <v>2</v>
      </c>
      <c r="FM87" s="561">
        <v>0</v>
      </c>
      <c r="FN87" s="561">
        <v>0</v>
      </c>
      <c r="FO87" s="561">
        <v>3627</v>
      </c>
      <c r="FP87" s="561">
        <v>59</v>
      </c>
      <c r="FQ87" s="561">
        <v>220</v>
      </c>
      <c r="FR87" s="561">
        <v>0</v>
      </c>
      <c r="FS87" s="561">
        <v>0</v>
      </c>
      <c r="FT87" s="561">
        <v>356</v>
      </c>
      <c r="FU87" s="561">
        <v>744</v>
      </c>
      <c r="FV87" s="561">
        <v>70</v>
      </c>
      <c r="FW87" s="561">
        <v>-50</v>
      </c>
      <c r="FX87" s="561">
        <v>0</v>
      </c>
      <c r="FY87" s="561">
        <v>0</v>
      </c>
      <c r="FZ87" s="561">
        <v>172</v>
      </c>
      <c r="GA87" s="561">
        <v>170</v>
      </c>
      <c r="GB87" s="561">
        <v>239</v>
      </c>
      <c r="GC87" s="561">
        <v>173</v>
      </c>
      <c r="GD87" s="561">
        <v>0</v>
      </c>
      <c r="GE87" s="561">
        <v>0</v>
      </c>
      <c r="GF87" s="561">
        <v>-29</v>
      </c>
      <c r="GG87" s="561">
        <v>0</v>
      </c>
      <c r="GH87" s="561">
        <v>0</v>
      </c>
      <c r="GI87" s="561">
        <v>0</v>
      </c>
      <c r="GJ87" s="561">
        <v>0</v>
      </c>
      <c r="GK87" s="561">
        <v>0</v>
      </c>
      <c r="GL87" s="561">
        <v>1777</v>
      </c>
      <c r="GM87" s="561">
        <v>4898</v>
      </c>
      <c r="GN87" s="561">
        <v>0</v>
      </c>
      <c r="GO87" s="561">
        <v>55</v>
      </c>
      <c r="GP87" s="561">
        <v>0</v>
      </c>
      <c r="GQ87" s="561">
        <v>0</v>
      </c>
      <c r="GR87" s="561">
        <v>0</v>
      </c>
      <c r="GS87" s="561">
        <v>8795</v>
      </c>
      <c r="GT87" s="561">
        <v>621</v>
      </c>
      <c r="GU87" s="561">
        <v>67</v>
      </c>
      <c r="GV87" s="561">
        <v>975</v>
      </c>
      <c r="GW87" s="561">
        <v>107</v>
      </c>
      <c r="GX87" s="561">
        <v>1852</v>
      </c>
      <c r="GY87" s="561">
        <v>8</v>
      </c>
      <c r="GZ87" s="561">
        <v>1050</v>
      </c>
      <c r="HA87" s="561">
        <v>0</v>
      </c>
      <c r="HB87" s="561">
        <v>0</v>
      </c>
      <c r="HC87" s="561">
        <v>653</v>
      </c>
      <c r="HD87" s="561">
        <v>4712</v>
      </c>
      <c r="HE87" s="561">
        <v>416</v>
      </c>
      <c r="HF87" s="561">
        <v>17134</v>
      </c>
      <c r="HG87" s="561">
        <v>1096</v>
      </c>
      <c r="HH87" s="561">
        <v>0</v>
      </c>
      <c r="HI87" s="561">
        <v>0</v>
      </c>
      <c r="HJ87" s="561">
        <v>0</v>
      </c>
      <c r="HK87" s="561">
        <v>0</v>
      </c>
      <c r="HL87" s="561">
        <v>0</v>
      </c>
      <c r="HM87" s="561">
        <v>0</v>
      </c>
      <c r="HN87" s="561">
        <v>0</v>
      </c>
      <c r="HO87" s="561">
        <v>2525</v>
      </c>
      <c r="HP87" s="561">
        <v>1040</v>
      </c>
      <c r="HQ87" s="561">
        <v>0</v>
      </c>
      <c r="HR87" s="561">
        <v>0</v>
      </c>
      <c r="HS87" s="561">
        <v>0</v>
      </c>
      <c r="HT87" s="561">
        <v>0</v>
      </c>
      <c r="HU87" s="561">
        <v>0</v>
      </c>
      <c r="HV87" s="561">
        <v>0</v>
      </c>
      <c r="HW87" s="561">
        <v>374</v>
      </c>
      <c r="HX87" s="561">
        <v>31</v>
      </c>
      <c r="HY87" s="561">
        <v>46</v>
      </c>
      <c r="HZ87" s="561">
        <v>23</v>
      </c>
      <c r="IA87" s="561">
        <v>0</v>
      </c>
      <c r="IB87" s="561">
        <v>975</v>
      </c>
      <c r="IC87" s="561">
        <v>0</v>
      </c>
      <c r="ID87" s="561">
        <v>0</v>
      </c>
      <c r="IE87" s="561">
        <v>912</v>
      </c>
      <c r="IF87" s="561">
        <v>0</v>
      </c>
      <c r="IG87" s="561">
        <v>0</v>
      </c>
      <c r="IH87" s="561">
        <v>-1419</v>
      </c>
      <c r="II87" s="561">
        <v>4507</v>
      </c>
      <c r="IJ87" s="561">
        <v>942</v>
      </c>
      <c r="IK87" s="561">
        <v>10925</v>
      </c>
      <c r="IL87" s="561">
        <v>12256</v>
      </c>
      <c r="IM87" s="561">
        <v>0</v>
      </c>
      <c r="IN87" s="561">
        <v>6213</v>
      </c>
      <c r="IO87" s="561">
        <v>2157</v>
      </c>
      <c r="IP87" s="561">
        <v>0</v>
      </c>
      <c r="IQ87" s="561">
        <v>0</v>
      </c>
      <c r="IR87" s="561">
        <v>0</v>
      </c>
      <c r="IS87" s="561">
        <v>-384</v>
      </c>
      <c r="IT87" s="561">
        <v>0</v>
      </c>
      <c r="IU87" s="561">
        <v>0</v>
      </c>
      <c r="IV87" s="561">
        <v>0</v>
      </c>
      <c r="IW87" s="561">
        <v>2274.65</v>
      </c>
      <c r="IX87" s="561">
        <v>3627</v>
      </c>
      <c r="IY87" s="561">
        <v>8795</v>
      </c>
      <c r="IZ87" s="561">
        <v>4712</v>
      </c>
      <c r="JA87" s="561">
        <v>0</v>
      </c>
      <c r="JB87" s="561">
        <v>0</v>
      </c>
      <c r="JC87" s="561">
        <v>4507</v>
      </c>
      <c r="JD87" s="561">
        <v>0</v>
      </c>
      <c r="JE87" s="561">
        <v>23531.65</v>
      </c>
      <c r="JF87" s="561">
        <v>13504</v>
      </c>
      <c r="JG87" s="561">
        <v>0</v>
      </c>
      <c r="JH87" s="561">
        <v>17740</v>
      </c>
      <c r="JI87" s="561">
        <v>0</v>
      </c>
      <c r="JJ87" s="561">
        <v>0</v>
      </c>
      <c r="JK87" s="561">
        <v>1323</v>
      </c>
      <c r="JL87" s="561">
        <v>0</v>
      </c>
      <c r="JM87" s="561">
        <v>0</v>
      </c>
      <c r="JN87" s="561">
        <v>0</v>
      </c>
      <c r="JO87" s="561">
        <v>0</v>
      </c>
      <c r="JP87" s="561">
        <v>-8673</v>
      </c>
      <c r="JQ87" s="561">
        <v>0</v>
      </c>
      <c r="JR87" s="561">
        <v>5088</v>
      </c>
      <c r="JS87" s="561">
        <v>0</v>
      </c>
      <c r="JT87" s="561">
        <v>-36</v>
      </c>
      <c r="JU87" s="561">
        <v>0</v>
      </c>
      <c r="JV87" s="561">
        <v>52477.65</v>
      </c>
      <c r="JW87" s="561">
        <v>0</v>
      </c>
      <c r="JX87" s="561">
        <v>0</v>
      </c>
      <c r="JY87" s="561">
        <v>0</v>
      </c>
      <c r="JZ87" s="561">
        <v>0</v>
      </c>
      <c r="KA87" s="561">
        <v>0</v>
      </c>
      <c r="KB87" s="561">
        <v>347</v>
      </c>
      <c r="KC87" s="561">
        <v>332</v>
      </c>
      <c r="KD87" s="561">
        <v>0</v>
      </c>
      <c r="KE87" s="561">
        <v>205</v>
      </c>
      <c r="KF87" s="561">
        <v>0</v>
      </c>
      <c r="KG87" s="561">
        <v>53361.65</v>
      </c>
      <c r="KH87" s="561">
        <v>-3972</v>
      </c>
      <c r="KI87" s="561">
        <v>0</v>
      </c>
      <c r="KJ87" s="561">
        <v>0</v>
      </c>
      <c r="KK87" s="561">
        <v>0</v>
      </c>
      <c r="KL87" s="561">
        <v>-31065</v>
      </c>
      <c r="KM87" s="561">
        <v>0</v>
      </c>
      <c r="KN87" s="561">
        <v>-2</v>
      </c>
      <c r="KO87" s="561">
        <v>0</v>
      </c>
      <c r="KP87" s="561">
        <v>0</v>
      </c>
      <c r="KQ87" s="561">
        <v>0</v>
      </c>
      <c r="KR87" s="561">
        <v>18322.650000000001</v>
      </c>
      <c r="KS87" s="561">
        <v>0</v>
      </c>
      <c r="KT87" s="561">
        <v>-4383</v>
      </c>
      <c r="KU87" s="561">
        <v>13939.65</v>
      </c>
      <c r="KV87" s="561">
        <v>0</v>
      </c>
      <c r="KW87" s="561">
        <v>0</v>
      </c>
      <c r="KX87" s="561">
        <v>0</v>
      </c>
      <c r="KY87" s="561">
        <v>0</v>
      </c>
      <c r="KZ87" s="561">
        <v>4662</v>
      </c>
      <c r="LA87" s="561">
        <v>0</v>
      </c>
      <c r="LB87" s="561">
        <v>-150</v>
      </c>
      <c r="LC87" s="561">
        <v>0</v>
      </c>
      <c r="LD87" s="561">
        <v>-3230</v>
      </c>
      <c r="LE87" s="561">
        <v>-78</v>
      </c>
      <c r="LF87" s="561">
        <v>0</v>
      </c>
      <c r="LG87" s="561">
        <v>15144</v>
      </c>
      <c r="LH87" s="561">
        <v>0</v>
      </c>
      <c r="LI87" s="561">
        <v>0</v>
      </c>
      <c r="LJ87" s="561">
        <v>0</v>
      </c>
      <c r="LK87" s="561">
        <v>0</v>
      </c>
      <c r="LL87" s="561">
        <v>27134</v>
      </c>
      <c r="LM87" s="561">
        <v>2500</v>
      </c>
      <c r="LN87" s="561">
        <v>0</v>
      </c>
      <c r="LO87" s="561">
        <v>0</v>
      </c>
      <c r="LP87" s="561">
        <v>0</v>
      </c>
      <c r="LQ87" s="561">
        <v>0</v>
      </c>
      <c r="LR87" s="561">
        <v>31796</v>
      </c>
      <c r="LS87" s="561">
        <v>2500</v>
      </c>
      <c r="LT87" s="561">
        <v>0</v>
      </c>
      <c r="LU87" s="561">
        <v>3583</v>
      </c>
      <c r="LV87" s="561">
        <v>-1421</v>
      </c>
      <c r="LW87" s="561">
        <v>0</v>
      </c>
      <c r="LX87" s="561">
        <v>-5548</v>
      </c>
      <c r="LY87" s="561">
        <v>1183</v>
      </c>
      <c r="LZ87" s="561">
        <v>-2203</v>
      </c>
      <c r="MA87" s="561">
        <v>0</v>
      </c>
      <c r="MB87" s="561">
        <v>0</v>
      </c>
      <c r="MC87" s="561">
        <v>74246</v>
      </c>
      <c r="MD87" s="561">
        <v>69096</v>
      </c>
      <c r="ME87" s="561">
        <v>5150</v>
      </c>
      <c r="MF87" s="561">
        <v>7495</v>
      </c>
      <c r="MG87" s="561">
        <v>12645</v>
      </c>
      <c r="MH87" s="561">
        <v>3887</v>
      </c>
      <c r="MI87" s="561">
        <v>6483</v>
      </c>
      <c r="MJ87" s="561">
        <v>10370</v>
      </c>
      <c r="MK87" s="561">
        <v>0</v>
      </c>
      <c r="ML87" s="561">
        <v>0</v>
      </c>
      <c r="MM87" s="561">
        <v>26689</v>
      </c>
      <c r="MN87" s="561">
        <v>0</v>
      </c>
      <c r="MO87" s="561">
        <v>0</v>
      </c>
      <c r="MP87" s="561">
        <v>5107</v>
      </c>
      <c r="MQ87" s="561">
        <v>0</v>
      </c>
      <c r="MR87" s="561">
        <v>-384</v>
      </c>
      <c r="MS87" s="561">
        <v>0</v>
      </c>
      <c r="MT87" s="561">
        <v>0</v>
      </c>
      <c r="MU87" s="561">
        <v>0</v>
      </c>
      <c r="MV87" s="561">
        <v>2274.65</v>
      </c>
      <c r="MW87" s="561">
        <v>3627</v>
      </c>
      <c r="MX87" s="561">
        <v>8795</v>
      </c>
      <c r="MY87" s="561">
        <v>4712</v>
      </c>
      <c r="MZ87" s="561">
        <v>0</v>
      </c>
      <c r="NA87" s="561">
        <v>0</v>
      </c>
      <c r="NB87" s="561">
        <v>4507</v>
      </c>
      <c r="NC87" s="561">
        <v>0</v>
      </c>
      <c r="ND87" s="561">
        <v>23531.65</v>
      </c>
      <c r="NE87" s="561">
        <v>0</v>
      </c>
      <c r="NF87" s="561">
        <v>0</v>
      </c>
      <c r="NG87" s="561">
        <v>0</v>
      </c>
      <c r="NH87" s="561">
        <v>0</v>
      </c>
      <c r="NI87" s="561">
        <v>0</v>
      </c>
      <c r="NJ87" s="561">
        <v>0</v>
      </c>
      <c r="NK87" s="561">
        <v>0</v>
      </c>
      <c r="NL87" s="561">
        <v>0</v>
      </c>
      <c r="NM87" s="561">
        <v>0</v>
      </c>
      <c r="NN87" s="561">
        <v>0</v>
      </c>
      <c r="NO87" s="561">
        <v>0</v>
      </c>
      <c r="NP87" s="561">
        <v>0</v>
      </c>
      <c r="NQ87" s="561">
        <v>0</v>
      </c>
      <c r="NR87" s="561">
        <v>0</v>
      </c>
      <c r="NS87" s="561">
        <v>0</v>
      </c>
      <c r="NT87" s="561">
        <v>-3585</v>
      </c>
      <c r="NU87" s="561">
        <v>-3584</v>
      </c>
      <c r="NV87" s="561">
        <v>0</v>
      </c>
      <c r="NW87" s="561">
        <v>-3585</v>
      </c>
      <c r="NX87" s="561">
        <v>-5088</v>
      </c>
      <c r="NY87" s="561">
        <v>-8673</v>
      </c>
      <c r="NZ87" s="561">
        <v>0</v>
      </c>
      <c r="OA87" s="561">
        <v>0</v>
      </c>
      <c r="OB87" s="561">
        <v>0</v>
      </c>
      <c r="OC87" s="561">
        <v>0</v>
      </c>
      <c r="OD87" s="561">
        <v>0</v>
      </c>
      <c r="OE87" s="561">
        <v>0</v>
      </c>
      <c r="OF87" s="561">
        <v>0</v>
      </c>
      <c r="OG87" s="561">
        <v>0</v>
      </c>
      <c r="OH87" s="561">
        <v>0</v>
      </c>
      <c r="OI87" s="561">
        <v>0</v>
      </c>
      <c r="OJ87" s="561">
        <v>0</v>
      </c>
      <c r="OK87" s="561">
        <v>0</v>
      </c>
      <c r="OL87" s="561">
        <v>0</v>
      </c>
      <c r="OM87" s="561">
        <v>0</v>
      </c>
      <c r="ON87" s="561">
        <v>0</v>
      </c>
      <c r="OO87" s="561">
        <v>0</v>
      </c>
      <c r="OP87" s="561">
        <v>0</v>
      </c>
      <c r="OQ87" s="561">
        <v>0</v>
      </c>
      <c r="OR87" s="561">
        <v>0</v>
      </c>
      <c r="OS87" s="561">
        <v>0</v>
      </c>
      <c r="OT87" s="561">
        <v>0</v>
      </c>
      <c r="OU87" s="561">
        <v>0</v>
      </c>
      <c r="OV87" s="561">
        <v>0</v>
      </c>
      <c r="OW87" s="561">
        <v>0</v>
      </c>
      <c r="OX87" s="561">
        <v>0</v>
      </c>
      <c r="OY87" s="561">
        <v>0</v>
      </c>
      <c r="OZ87" s="561">
        <v>0</v>
      </c>
      <c r="PA87" s="561">
        <v>-5088</v>
      </c>
      <c r="PB87" s="561">
        <v>0</v>
      </c>
      <c r="PC87" s="561">
        <v>0</v>
      </c>
      <c r="PD87" s="561">
        <v>-5088</v>
      </c>
      <c r="PE87" s="561">
        <v>0</v>
      </c>
      <c r="PF87" s="561">
        <v>0</v>
      </c>
      <c r="PG87" s="561">
        <v>0</v>
      </c>
      <c r="PH87" s="561">
        <v>0</v>
      </c>
      <c r="PI87" s="561">
        <v>0</v>
      </c>
      <c r="PJ87" s="561">
        <v>0</v>
      </c>
    </row>
    <row r="88" spans="1:426" ht="14" x14ac:dyDescent="0.3">
      <c r="A88" t="s">
        <v>2693</v>
      </c>
      <c r="B88" t="s">
        <v>2694</v>
      </c>
      <c r="C88" t="s">
        <v>4590</v>
      </c>
      <c r="E88" t="s">
        <v>385</v>
      </c>
      <c r="F88" s="561">
        <v>10132</v>
      </c>
      <c r="G88" s="561">
        <v>12640</v>
      </c>
      <c r="H88" s="561">
        <v>3869</v>
      </c>
      <c r="I88" s="561">
        <v>11040</v>
      </c>
      <c r="J88" s="561">
        <v>1287</v>
      </c>
      <c r="K88" s="561">
        <v>6665</v>
      </c>
      <c r="L88" s="561">
        <v>45633</v>
      </c>
      <c r="M88" s="561">
        <v>236</v>
      </c>
      <c r="N88" s="561">
        <v>731</v>
      </c>
      <c r="O88" s="561">
        <v>61</v>
      </c>
      <c r="P88" s="561">
        <v>162</v>
      </c>
      <c r="Q88" s="561">
        <v>284</v>
      </c>
      <c r="R88" s="561">
        <v>72</v>
      </c>
      <c r="S88" s="561">
        <v>85</v>
      </c>
      <c r="T88" s="561">
        <v>907</v>
      </c>
      <c r="U88" s="561">
        <v>588</v>
      </c>
      <c r="V88" s="561">
        <v>1286</v>
      </c>
      <c r="W88" s="561">
        <v>0</v>
      </c>
      <c r="X88" s="561">
        <v>0</v>
      </c>
      <c r="Y88" s="561">
        <v>176</v>
      </c>
      <c r="Z88" s="561">
        <v>403</v>
      </c>
      <c r="AA88" s="561">
        <v>-431</v>
      </c>
      <c r="AB88" s="561">
        <v>-1040</v>
      </c>
      <c r="AC88" s="561">
        <v>2550</v>
      </c>
      <c r="AD88" s="561">
        <v>15</v>
      </c>
      <c r="AE88" s="561">
        <v>67</v>
      </c>
      <c r="AF88" s="561">
        <v>0</v>
      </c>
      <c r="AG88" s="561">
        <v>0</v>
      </c>
      <c r="AH88" s="561">
        <v>273</v>
      </c>
      <c r="AI88" s="561">
        <v>0</v>
      </c>
      <c r="AJ88" s="561">
        <v>6189</v>
      </c>
      <c r="AK88" s="561">
        <v>375</v>
      </c>
      <c r="AL88" s="561">
        <v>0</v>
      </c>
      <c r="AM88" s="561">
        <v>0</v>
      </c>
      <c r="AN88" s="561">
        <v>0</v>
      </c>
      <c r="AO88" s="561">
        <v>0</v>
      </c>
      <c r="AP88" s="561">
        <v>0</v>
      </c>
      <c r="AQ88" s="561">
        <v>0</v>
      </c>
      <c r="AR88" s="561">
        <v>0</v>
      </c>
      <c r="AS88" s="561">
        <v>208</v>
      </c>
      <c r="AT88" s="561">
        <v>404</v>
      </c>
      <c r="AU88" s="561">
        <v>0</v>
      </c>
      <c r="AV88" s="561">
        <v>0</v>
      </c>
      <c r="AW88" s="561">
        <v>0</v>
      </c>
      <c r="AX88" s="561">
        <v>464</v>
      </c>
      <c r="AY88" s="561">
        <v>24959</v>
      </c>
      <c r="AZ88" s="561">
        <v>137</v>
      </c>
      <c r="BA88" s="561">
        <v>3648</v>
      </c>
      <c r="BB88" s="561">
        <v>850</v>
      </c>
      <c r="BC88" s="561">
        <v>8425</v>
      </c>
      <c r="BD88" s="561">
        <v>0</v>
      </c>
      <c r="BE88" s="561">
        <v>872</v>
      </c>
      <c r="BF88" s="561">
        <v>39355</v>
      </c>
      <c r="BG88" s="561">
        <v>1251</v>
      </c>
      <c r="BH88" s="561">
        <v>3282</v>
      </c>
      <c r="BI88" s="561">
        <v>11152</v>
      </c>
      <c r="BJ88" s="561">
        <v>7</v>
      </c>
      <c r="BK88" s="561">
        <v>31</v>
      </c>
      <c r="BL88" s="561">
        <v>254</v>
      </c>
      <c r="BM88" s="561">
        <v>1874</v>
      </c>
      <c r="BN88" s="561">
        <v>14123</v>
      </c>
      <c r="BO88" s="561">
        <v>4170</v>
      </c>
      <c r="BP88" s="561">
        <v>2553</v>
      </c>
      <c r="BQ88" s="561">
        <v>2122</v>
      </c>
      <c r="BR88" s="561">
        <v>96</v>
      </c>
      <c r="BS88" s="561">
        <v>0</v>
      </c>
      <c r="BT88" s="561">
        <v>395</v>
      </c>
      <c r="BU88" s="561">
        <v>75</v>
      </c>
      <c r="BV88" s="561">
        <v>320</v>
      </c>
      <c r="BW88" s="561">
        <v>4199</v>
      </c>
      <c r="BX88" s="561">
        <v>946</v>
      </c>
      <c r="BY88" s="561">
        <v>4252</v>
      </c>
      <c r="BZ88" s="561">
        <v>49851</v>
      </c>
      <c r="CA88" s="561">
        <v>445</v>
      </c>
      <c r="CB88" s="561">
        <v>841</v>
      </c>
      <c r="CC88" s="561">
        <v>342</v>
      </c>
      <c r="CD88" s="561">
        <v>35</v>
      </c>
      <c r="CE88" s="561">
        <v>178</v>
      </c>
      <c r="CF88" s="561">
        <v>63</v>
      </c>
      <c r="CG88" s="561">
        <v>132</v>
      </c>
      <c r="CH88" s="561">
        <v>29</v>
      </c>
      <c r="CI88" s="561">
        <v>94</v>
      </c>
      <c r="CJ88" s="561">
        <v>65</v>
      </c>
      <c r="CK88" s="561">
        <v>299</v>
      </c>
      <c r="CL88" s="561">
        <v>286</v>
      </c>
      <c r="CM88" s="561">
        <v>1343</v>
      </c>
      <c r="CN88" s="561">
        <v>1265</v>
      </c>
      <c r="CO88" s="561">
        <v>33</v>
      </c>
      <c r="CP88" s="561">
        <v>33</v>
      </c>
      <c r="CQ88" s="561">
        <v>158</v>
      </c>
      <c r="CR88" s="561">
        <v>275</v>
      </c>
      <c r="CS88" s="561">
        <v>121</v>
      </c>
      <c r="CT88" s="561">
        <v>693</v>
      </c>
      <c r="CU88" s="561">
        <v>1913</v>
      </c>
      <c r="CV88" s="561">
        <v>561</v>
      </c>
      <c r="CW88" s="561">
        <v>81</v>
      </c>
      <c r="CX88" s="561">
        <v>402</v>
      </c>
      <c r="CY88" s="561">
        <v>1227</v>
      </c>
      <c r="CZ88" s="561">
        <v>10469</v>
      </c>
      <c r="DA88" s="561">
        <v>0</v>
      </c>
      <c r="DB88" s="561">
        <v>0</v>
      </c>
      <c r="DC88" s="561">
        <v>0</v>
      </c>
      <c r="DD88" s="561">
        <v>0</v>
      </c>
      <c r="DE88" s="561">
        <v>0</v>
      </c>
      <c r="DF88" s="561">
        <v>0</v>
      </c>
      <c r="DG88" s="561">
        <v>0</v>
      </c>
      <c r="DH88" s="561">
        <v>246</v>
      </c>
      <c r="DI88" s="561">
        <v>0</v>
      </c>
      <c r="DJ88" s="561">
        <v>331</v>
      </c>
      <c r="DK88" s="561">
        <v>31</v>
      </c>
      <c r="DL88" s="561">
        <v>0</v>
      </c>
      <c r="DM88" s="561">
        <v>48</v>
      </c>
      <c r="DN88" s="561">
        <v>268</v>
      </c>
      <c r="DO88" s="561">
        <v>0</v>
      </c>
      <c r="DP88" s="561">
        <v>0</v>
      </c>
      <c r="DQ88" s="561">
        <v>0</v>
      </c>
      <c r="DR88" s="561">
        <v>0</v>
      </c>
      <c r="DS88" s="561">
        <v>900</v>
      </c>
      <c r="DT88" s="561">
        <v>294</v>
      </c>
      <c r="DU88" s="561">
        <v>1510</v>
      </c>
      <c r="DV88" s="561">
        <v>154</v>
      </c>
      <c r="DW88" s="561">
        <v>0</v>
      </c>
      <c r="DX88" s="561">
        <v>0</v>
      </c>
      <c r="DY88" s="561">
        <v>624</v>
      </c>
      <c r="DZ88" s="561">
        <v>-10</v>
      </c>
      <c r="EA88" s="561">
        <v>683</v>
      </c>
      <c r="EB88" s="561">
        <v>0</v>
      </c>
      <c r="EC88" s="561">
        <v>3569</v>
      </c>
      <c r="ED88" s="561">
        <v>1</v>
      </c>
      <c r="EE88" s="561">
        <v>23562</v>
      </c>
      <c r="EF88" s="561">
        <v>581</v>
      </c>
      <c r="EG88" s="561">
        <v>4398</v>
      </c>
      <c r="EH88" s="561">
        <v>1273</v>
      </c>
      <c r="EI88" s="561">
        <v>18</v>
      </c>
      <c r="EJ88" s="561">
        <v>933</v>
      </c>
      <c r="EK88" s="561">
        <v>0</v>
      </c>
      <c r="EL88" s="561">
        <v>0</v>
      </c>
      <c r="EM88" s="561">
        <v>0</v>
      </c>
      <c r="EN88" s="561">
        <v>7137</v>
      </c>
      <c r="EO88" s="561">
        <v>5306</v>
      </c>
      <c r="EP88" s="561">
        <v>4018</v>
      </c>
      <c r="EQ88" s="561">
        <v>264</v>
      </c>
      <c r="ER88" s="561">
        <v>2674</v>
      </c>
      <c r="ES88" s="561" t="s">
        <v>4565</v>
      </c>
      <c r="ET88" s="561">
        <v>427</v>
      </c>
      <c r="EU88" s="561">
        <v>13455</v>
      </c>
      <c r="EV88" s="561">
        <v>0</v>
      </c>
      <c r="EW88" s="561">
        <v>0</v>
      </c>
      <c r="EX88" s="561">
        <v>0</v>
      </c>
      <c r="EY88" s="561">
        <v>85</v>
      </c>
      <c r="EZ88" s="561">
        <v>-2601</v>
      </c>
      <c r="FA88" s="561">
        <v>25947</v>
      </c>
      <c r="FB88" s="561">
        <v>63</v>
      </c>
      <c r="FC88" s="561">
        <v>198</v>
      </c>
      <c r="FD88" s="561">
        <v>0</v>
      </c>
      <c r="FE88" s="561">
        <v>2202</v>
      </c>
      <c r="FF88" s="561">
        <v>1220</v>
      </c>
      <c r="FG88" s="561">
        <v>0</v>
      </c>
      <c r="FH88" s="561">
        <v>0</v>
      </c>
      <c r="FI88" s="561">
        <v>2</v>
      </c>
      <c r="FJ88" s="561">
        <v>2582</v>
      </c>
      <c r="FK88" s="561">
        <v>1374</v>
      </c>
      <c r="FL88" s="561">
        <v>23</v>
      </c>
      <c r="FM88" s="561">
        <v>0</v>
      </c>
      <c r="FN88" s="561">
        <v>1321</v>
      </c>
      <c r="FO88" s="561">
        <v>8985</v>
      </c>
      <c r="FP88" s="561">
        <v>150</v>
      </c>
      <c r="FQ88" s="561">
        <v>678</v>
      </c>
      <c r="FR88" s="561">
        <v>188</v>
      </c>
      <c r="FS88" s="561">
        <v>0</v>
      </c>
      <c r="FT88" s="561">
        <v>81</v>
      </c>
      <c r="FU88" s="561">
        <v>117</v>
      </c>
      <c r="FV88" s="561">
        <v>118</v>
      </c>
      <c r="FW88" s="561">
        <v>11</v>
      </c>
      <c r="FX88" s="561">
        <v>0</v>
      </c>
      <c r="FY88" s="561">
        <v>0</v>
      </c>
      <c r="FZ88" s="561">
        <v>36</v>
      </c>
      <c r="GA88" s="561">
        <v>0</v>
      </c>
      <c r="GB88" s="561">
        <v>223</v>
      </c>
      <c r="GC88" s="561">
        <v>105</v>
      </c>
      <c r="GD88" s="561">
        <v>0</v>
      </c>
      <c r="GE88" s="561">
        <v>896</v>
      </c>
      <c r="GF88" s="561">
        <v>366</v>
      </c>
      <c r="GG88" s="561">
        <v>45</v>
      </c>
      <c r="GH88" s="561">
        <v>0</v>
      </c>
      <c r="GI88" s="561">
        <v>0</v>
      </c>
      <c r="GJ88" s="561">
        <v>0</v>
      </c>
      <c r="GK88" s="561">
        <v>-16</v>
      </c>
      <c r="GL88" s="561">
        <v>2780</v>
      </c>
      <c r="GM88" s="561">
        <v>1295</v>
      </c>
      <c r="GN88" s="561">
        <v>3957</v>
      </c>
      <c r="GO88" s="561">
        <v>0</v>
      </c>
      <c r="GP88" s="561">
        <v>2418</v>
      </c>
      <c r="GQ88" s="561">
        <v>0</v>
      </c>
      <c r="GR88" s="561">
        <v>133</v>
      </c>
      <c r="GS88" s="561">
        <v>13431</v>
      </c>
      <c r="GT88" s="561">
        <v>577</v>
      </c>
      <c r="GU88" s="561">
        <v>201</v>
      </c>
      <c r="GV88" s="561">
        <v>201</v>
      </c>
      <c r="GW88" s="561">
        <v>32</v>
      </c>
      <c r="GX88" s="561">
        <v>361</v>
      </c>
      <c r="GY88" s="561">
        <v>29</v>
      </c>
      <c r="GZ88" s="561">
        <v>589</v>
      </c>
      <c r="HA88" s="561">
        <v>93</v>
      </c>
      <c r="HB88" s="561">
        <v>94</v>
      </c>
      <c r="HC88" s="561">
        <v>281</v>
      </c>
      <c r="HD88" s="561">
        <v>1881</v>
      </c>
      <c r="HE88" s="561">
        <v>0</v>
      </c>
      <c r="HF88" s="561">
        <v>24297</v>
      </c>
      <c r="HG88" s="561">
        <v>727</v>
      </c>
      <c r="HH88" s="561">
        <v>0</v>
      </c>
      <c r="HI88" s="561">
        <v>0</v>
      </c>
      <c r="HJ88" s="561">
        <v>0</v>
      </c>
      <c r="HK88" s="561">
        <v>0</v>
      </c>
      <c r="HL88" s="561">
        <v>0</v>
      </c>
      <c r="HM88" s="561">
        <v>0</v>
      </c>
      <c r="HN88" s="561">
        <v>0</v>
      </c>
      <c r="HO88" s="561">
        <v>3713</v>
      </c>
      <c r="HP88" s="561">
        <v>77</v>
      </c>
      <c r="HQ88" s="561">
        <v>0</v>
      </c>
      <c r="HR88" s="561">
        <v>0</v>
      </c>
      <c r="HS88" s="561">
        <v>624</v>
      </c>
      <c r="HT88" s="561">
        <v>245</v>
      </c>
      <c r="HU88" s="561">
        <v>0</v>
      </c>
      <c r="HV88" s="561">
        <v>47</v>
      </c>
      <c r="HW88" s="561">
        <v>85</v>
      </c>
      <c r="HX88" s="561">
        <v>148</v>
      </c>
      <c r="HY88" s="561">
        <v>93</v>
      </c>
      <c r="HZ88" s="561">
        <v>15</v>
      </c>
      <c r="IA88" s="561">
        <v>1717</v>
      </c>
      <c r="IB88" s="561">
        <v>0</v>
      </c>
      <c r="IC88" s="561">
        <v>371</v>
      </c>
      <c r="ID88" s="561">
        <v>0</v>
      </c>
      <c r="IE88" s="561">
        <v>631</v>
      </c>
      <c r="IF88" s="561">
        <v>0</v>
      </c>
      <c r="IG88" s="561">
        <v>0</v>
      </c>
      <c r="IH88" s="561">
        <v>1469</v>
      </c>
      <c r="II88" s="561">
        <v>9235</v>
      </c>
      <c r="IJ88" s="561">
        <v>378</v>
      </c>
      <c r="IK88" s="561">
        <v>6328</v>
      </c>
      <c r="IL88" s="561">
        <v>6197</v>
      </c>
      <c r="IM88" s="561">
        <v>0</v>
      </c>
      <c r="IN88" s="561">
        <v>1994</v>
      </c>
      <c r="IO88" s="561">
        <v>86</v>
      </c>
      <c r="IP88" s="561">
        <v>-1109</v>
      </c>
      <c r="IQ88" s="561">
        <v>0</v>
      </c>
      <c r="IR88" s="561">
        <v>45633</v>
      </c>
      <c r="IS88" s="561">
        <v>6189</v>
      </c>
      <c r="IT88" s="561">
        <v>39355</v>
      </c>
      <c r="IU88" s="561">
        <v>49851</v>
      </c>
      <c r="IV88" s="561">
        <v>10469</v>
      </c>
      <c r="IW88" s="561">
        <v>3569</v>
      </c>
      <c r="IX88" s="561">
        <v>8985</v>
      </c>
      <c r="IY88" s="561">
        <v>13431</v>
      </c>
      <c r="IZ88" s="561">
        <v>1881</v>
      </c>
      <c r="JA88" s="561">
        <v>0</v>
      </c>
      <c r="JB88" s="561">
        <v>0</v>
      </c>
      <c r="JC88" s="561">
        <v>9235</v>
      </c>
      <c r="JD88" s="561">
        <v>-1109</v>
      </c>
      <c r="JE88" s="561">
        <v>187489</v>
      </c>
      <c r="JF88" s="561">
        <v>15429</v>
      </c>
      <c r="JG88" s="561">
        <v>0</v>
      </c>
      <c r="JH88" s="561">
        <v>8780</v>
      </c>
      <c r="JI88" s="561">
        <v>0</v>
      </c>
      <c r="JJ88" s="561">
        <v>287</v>
      </c>
      <c r="JK88" s="561">
        <v>229</v>
      </c>
      <c r="JL88" s="561">
        <v>0</v>
      </c>
      <c r="JM88" s="561">
        <v>0</v>
      </c>
      <c r="JN88" s="561">
        <v>0</v>
      </c>
      <c r="JO88" s="561">
        <v>279</v>
      </c>
      <c r="JP88" s="561">
        <v>-238</v>
      </c>
      <c r="JQ88" s="561">
        <v>-532</v>
      </c>
      <c r="JR88" s="561">
        <v>0</v>
      </c>
      <c r="JS88" s="561">
        <v>0</v>
      </c>
      <c r="JT88" s="561">
        <v>16</v>
      </c>
      <c r="JU88" s="561">
        <v>0</v>
      </c>
      <c r="JV88" s="561">
        <v>211739</v>
      </c>
      <c r="JW88" s="561">
        <v>126</v>
      </c>
      <c r="JX88" s="561">
        <v>105</v>
      </c>
      <c r="JY88" s="561">
        <v>0</v>
      </c>
      <c r="JZ88" s="561">
        <v>0</v>
      </c>
      <c r="KA88" s="561">
        <v>0</v>
      </c>
      <c r="KB88" s="561">
        <v>1074</v>
      </c>
      <c r="KC88" s="561">
        <v>2251</v>
      </c>
      <c r="KD88" s="561">
        <v>0</v>
      </c>
      <c r="KE88" s="561">
        <v>7550</v>
      </c>
      <c r="KF88" s="561">
        <v>-2498</v>
      </c>
      <c r="KG88" s="561">
        <v>220347</v>
      </c>
      <c r="KH88" s="561">
        <v>-4924</v>
      </c>
      <c r="KI88" s="561">
        <v>0</v>
      </c>
      <c r="KJ88" s="561">
        <v>-440</v>
      </c>
      <c r="KK88" s="561">
        <v>0</v>
      </c>
      <c r="KL88" s="561">
        <v>-23084</v>
      </c>
      <c r="KM88" s="561">
        <v>0</v>
      </c>
      <c r="KN88" s="561">
        <v>0</v>
      </c>
      <c r="KO88" s="561">
        <v>0</v>
      </c>
      <c r="KP88" s="561">
        <v>0</v>
      </c>
      <c r="KQ88" s="561">
        <v>1515</v>
      </c>
      <c r="KR88" s="561">
        <v>193414</v>
      </c>
      <c r="KS88" s="561">
        <v>0</v>
      </c>
      <c r="KT88" s="561">
        <v>-77982</v>
      </c>
      <c r="KU88" s="561">
        <v>115432</v>
      </c>
      <c r="KV88" s="561">
        <v>0</v>
      </c>
      <c r="KW88" s="561">
        <v>-578</v>
      </c>
      <c r="KX88" s="561">
        <v>0</v>
      </c>
      <c r="KY88" s="561">
        <v>251</v>
      </c>
      <c r="KZ88" s="561">
        <v>-7764</v>
      </c>
      <c r="LA88" s="561">
        <v>-4103</v>
      </c>
      <c r="LB88" s="561">
        <v>-4572</v>
      </c>
      <c r="LC88" s="561">
        <v>0</v>
      </c>
      <c r="LD88" s="561">
        <v>-33361</v>
      </c>
      <c r="LE88" s="561">
        <v>796</v>
      </c>
      <c r="LF88" s="561">
        <v>0</v>
      </c>
      <c r="LG88" s="561">
        <v>66101</v>
      </c>
      <c r="LH88" s="561">
        <v>1075</v>
      </c>
      <c r="LI88" s="561">
        <v>-1848</v>
      </c>
      <c r="LJ88" s="561">
        <v>0</v>
      </c>
      <c r="LK88" s="561">
        <v>1180</v>
      </c>
      <c r="LL88" s="561">
        <v>44273</v>
      </c>
      <c r="LM88" s="561">
        <v>13312</v>
      </c>
      <c r="LN88" s="561">
        <v>497</v>
      </c>
      <c r="LO88" s="561">
        <v>-333</v>
      </c>
      <c r="LP88" s="561">
        <v>0</v>
      </c>
      <c r="LQ88" s="561">
        <v>1431</v>
      </c>
      <c r="LR88" s="561">
        <v>36509</v>
      </c>
      <c r="LS88" s="561">
        <v>9209</v>
      </c>
      <c r="LT88" s="561">
        <v>0</v>
      </c>
      <c r="LU88" s="561">
        <v>7089</v>
      </c>
      <c r="LV88" s="561">
        <v>5420</v>
      </c>
      <c r="LW88" s="561">
        <v>37790</v>
      </c>
      <c r="LX88" s="561">
        <v>-2714</v>
      </c>
      <c r="LY88" s="561">
        <v>2630</v>
      </c>
      <c r="LZ88" s="561">
        <v>49471</v>
      </c>
      <c r="MA88" s="561">
        <v>0</v>
      </c>
      <c r="MB88" s="561">
        <v>0</v>
      </c>
      <c r="MC88" s="561">
        <v>30765</v>
      </c>
      <c r="MD88" s="561">
        <v>33366</v>
      </c>
      <c r="ME88" s="561">
        <v>-2601</v>
      </c>
      <c r="MF88" s="561">
        <v>25947</v>
      </c>
      <c r="MG88" s="561">
        <v>23346</v>
      </c>
      <c r="MH88" s="561">
        <v>3996</v>
      </c>
      <c r="MI88" s="561">
        <v>5280</v>
      </c>
      <c r="MJ88" s="561">
        <v>9276</v>
      </c>
      <c r="MK88" s="561">
        <v>0</v>
      </c>
      <c r="ML88" s="561">
        <v>10634</v>
      </c>
      <c r="MM88" s="561">
        <v>6996</v>
      </c>
      <c r="MN88" s="561">
        <v>13651</v>
      </c>
      <c r="MO88" s="561">
        <v>5228</v>
      </c>
      <c r="MP88" s="561">
        <v>0</v>
      </c>
      <c r="MQ88" s="561">
        <v>45633</v>
      </c>
      <c r="MR88" s="561">
        <v>6189</v>
      </c>
      <c r="MS88" s="561">
        <v>39355</v>
      </c>
      <c r="MT88" s="561">
        <v>49851</v>
      </c>
      <c r="MU88" s="561">
        <v>10469</v>
      </c>
      <c r="MV88" s="561">
        <v>3569</v>
      </c>
      <c r="MW88" s="561">
        <v>8985</v>
      </c>
      <c r="MX88" s="561">
        <v>13431</v>
      </c>
      <c r="MY88" s="561">
        <v>1881</v>
      </c>
      <c r="MZ88" s="561">
        <v>0</v>
      </c>
      <c r="NA88" s="561">
        <v>0</v>
      </c>
      <c r="NB88" s="561">
        <v>9235</v>
      </c>
      <c r="NC88" s="561">
        <v>-1109</v>
      </c>
      <c r="ND88" s="561">
        <v>187489</v>
      </c>
      <c r="NE88" s="561">
        <v>0</v>
      </c>
      <c r="NF88" s="561">
        <v>0</v>
      </c>
      <c r="NG88" s="561">
        <v>0</v>
      </c>
      <c r="NH88" s="561">
        <v>0</v>
      </c>
      <c r="NI88" s="561">
        <v>0</v>
      </c>
      <c r="NJ88" s="561">
        <v>0</v>
      </c>
      <c r="NK88" s="561">
        <v>0</v>
      </c>
      <c r="NL88" s="561">
        <v>0</v>
      </c>
      <c r="NM88" s="561">
        <v>-66</v>
      </c>
      <c r="NN88" s="561">
        <v>0</v>
      </c>
      <c r="NO88" s="561">
        <v>0</v>
      </c>
      <c r="NP88" s="561">
        <v>0</v>
      </c>
      <c r="NQ88" s="561">
        <v>-172</v>
      </c>
      <c r="NR88" s="561">
        <v>0</v>
      </c>
      <c r="NS88" s="561">
        <v>0</v>
      </c>
      <c r="NT88" s="561">
        <v>0</v>
      </c>
      <c r="NU88" s="561">
        <v>0</v>
      </c>
      <c r="NV88" s="561">
        <v>0</v>
      </c>
      <c r="NW88" s="561">
        <v>-238</v>
      </c>
      <c r="NX88" s="561">
        <v>0</v>
      </c>
      <c r="NY88" s="561">
        <v>-238</v>
      </c>
      <c r="NZ88" s="561">
        <v>0</v>
      </c>
      <c r="OA88" s="561">
        <v>0</v>
      </c>
      <c r="OB88" s="561">
        <v>-373</v>
      </c>
      <c r="OC88" s="561">
        <v>0</v>
      </c>
      <c r="OD88" s="561">
        <v>0</v>
      </c>
      <c r="OE88" s="561">
        <v>0</v>
      </c>
      <c r="OF88" s="561">
        <v>0</v>
      </c>
      <c r="OG88" s="561">
        <v>0</v>
      </c>
      <c r="OH88" s="561">
        <v>0</v>
      </c>
      <c r="OI88" s="561">
        <v>-337</v>
      </c>
      <c r="OJ88" s="561">
        <v>141</v>
      </c>
      <c r="OK88" s="561">
        <v>0</v>
      </c>
      <c r="OL88" s="561">
        <v>2</v>
      </c>
      <c r="OM88" s="561">
        <v>-14</v>
      </c>
      <c r="ON88" s="561">
        <v>0</v>
      </c>
      <c r="OO88" s="561">
        <v>0</v>
      </c>
      <c r="OP88" s="561">
        <v>49</v>
      </c>
      <c r="OQ88" s="561">
        <v>0</v>
      </c>
      <c r="OR88" s="561">
        <v>0</v>
      </c>
      <c r="OS88" s="561">
        <v>0</v>
      </c>
      <c r="OT88" s="561">
        <v>0</v>
      </c>
      <c r="OU88" s="561">
        <v>0</v>
      </c>
      <c r="OV88" s="561">
        <v>-2526</v>
      </c>
      <c r="OW88" s="561">
        <v>0</v>
      </c>
      <c r="OX88" s="561">
        <v>-532</v>
      </c>
      <c r="OY88" s="561">
        <v>0</v>
      </c>
      <c r="OZ88" s="561">
        <v>0</v>
      </c>
      <c r="PA88" s="561">
        <v>0</v>
      </c>
      <c r="PB88" s="561">
        <v>0</v>
      </c>
      <c r="PC88" s="561">
        <v>0</v>
      </c>
      <c r="PD88" s="561">
        <v>0</v>
      </c>
      <c r="PE88" s="561">
        <v>0</v>
      </c>
      <c r="PF88" s="561">
        <v>0</v>
      </c>
      <c r="PG88" s="561">
        <v>0</v>
      </c>
      <c r="PH88" s="561">
        <v>0</v>
      </c>
      <c r="PI88" s="561">
        <v>0</v>
      </c>
      <c r="PJ88" s="561">
        <v>0</v>
      </c>
    </row>
    <row r="89" spans="1:426" ht="14" x14ac:dyDescent="0.3">
      <c r="A89" t="s">
        <v>2696</v>
      </c>
      <c r="B89" t="s">
        <v>2697</v>
      </c>
      <c r="C89" t="s">
        <v>2698</v>
      </c>
      <c r="E89" t="s">
        <v>384</v>
      </c>
      <c r="F89" s="561">
        <v>0</v>
      </c>
      <c r="G89" s="561">
        <v>0</v>
      </c>
      <c r="H89" s="561">
        <v>0</v>
      </c>
      <c r="I89" s="561">
        <v>0</v>
      </c>
      <c r="J89" s="561">
        <v>0</v>
      </c>
      <c r="K89" s="561">
        <v>0</v>
      </c>
      <c r="L89" s="561">
        <v>0</v>
      </c>
      <c r="M89" s="561">
        <v>0</v>
      </c>
      <c r="N89" s="561">
        <v>0</v>
      </c>
      <c r="O89" s="561">
        <v>0</v>
      </c>
      <c r="P89" s="561">
        <v>6</v>
      </c>
      <c r="Q89" s="561">
        <v>0</v>
      </c>
      <c r="R89" s="561">
        <v>0</v>
      </c>
      <c r="S89" s="561">
        <v>0</v>
      </c>
      <c r="T89" s="561">
        <v>-132</v>
      </c>
      <c r="U89" s="561">
        <v>5</v>
      </c>
      <c r="V89" s="561">
        <v>0</v>
      </c>
      <c r="W89" s="561">
        <v>0</v>
      </c>
      <c r="X89" s="561">
        <v>0</v>
      </c>
      <c r="Y89" s="561">
        <v>0</v>
      </c>
      <c r="Z89" s="561">
        <v>1</v>
      </c>
      <c r="AA89" s="561">
        <v>341</v>
      </c>
      <c r="AB89" s="561">
        <v>-218</v>
      </c>
      <c r="AC89" s="561">
        <v>0</v>
      </c>
      <c r="AD89" s="561">
        <v>0</v>
      </c>
      <c r="AE89" s="561">
        <v>0</v>
      </c>
      <c r="AF89" s="561">
        <v>0</v>
      </c>
      <c r="AG89" s="561">
        <v>0</v>
      </c>
      <c r="AH89" s="561">
        <v>0</v>
      </c>
      <c r="AI89" s="561">
        <v>0</v>
      </c>
      <c r="AJ89" s="561">
        <v>3</v>
      </c>
      <c r="AK89" s="561">
        <v>0</v>
      </c>
      <c r="AL89" s="561">
        <v>0</v>
      </c>
      <c r="AM89" s="561">
        <v>0</v>
      </c>
      <c r="AN89" s="561">
        <v>0</v>
      </c>
      <c r="AO89" s="561">
        <v>0</v>
      </c>
      <c r="AP89" s="561">
        <v>0</v>
      </c>
      <c r="AQ89" s="561">
        <v>0</v>
      </c>
      <c r="AR89" s="561">
        <v>0</v>
      </c>
      <c r="AS89" s="561">
        <v>21</v>
      </c>
      <c r="AT89" s="561">
        <v>397</v>
      </c>
      <c r="AU89" s="561">
        <v>0</v>
      </c>
      <c r="AV89" s="561">
        <v>0</v>
      </c>
      <c r="AW89" s="561">
        <v>0</v>
      </c>
      <c r="AX89" s="561">
        <v>0</v>
      </c>
      <c r="AY89" s="561">
        <v>0</v>
      </c>
      <c r="AZ89" s="561">
        <v>0</v>
      </c>
      <c r="BA89" s="561">
        <v>0</v>
      </c>
      <c r="BB89" s="561">
        <v>0</v>
      </c>
      <c r="BC89" s="561">
        <v>0</v>
      </c>
      <c r="BD89" s="561">
        <v>0</v>
      </c>
      <c r="BE89" s="561">
        <v>0</v>
      </c>
      <c r="BF89" s="561">
        <v>0</v>
      </c>
      <c r="BG89" s="561">
        <v>0</v>
      </c>
      <c r="BH89" s="561">
        <v>0</v>
      </c>
      <c r="BI89" s="561">
        <v>0</v>
      </c>
      <c r="BJ89" s="561">
        <v>0</v>
      </c>
      <c r="BK89" s="561">
        <v>0</v>
      </c>
      <c r="BL89" s="561">
        <v>0</v>
      </c>
      <c r="BM89" s="561">
        <v>0</v>
      </c>
      <c r="BN89" s="561">
        <v>0</v>
      </c>
      <c r="BO89" s="561">
        <v>0</v>
      </c>
      <c r="BP89" s="561">
        <v>0</v>
      </c>
      <c r="BQ89" s="561">
        <v>0</v>
      </c>
      <c r="BR89" s="561">
        <v>0</v>
      </c>
      <c r="BS89" s="561">
        <v>0</v>
      </c>
      <c r="BT89" s="561">
        <v>0</v>
      </c>
      <c r="BU89" s="561">
        <v>0</v>
      </c>
      <c r="BV89" s="561">
        <v>0</v>
      </c>
      <c r="BW89" s="561">
        <v>0</v>
      </c>
      <c r="BX89" s="561">
        <v>0</v>
      </c>
      <c r="BY89" s="561">
        <v>0</v>
      </c>
      <c r="BZ89" s="561">
        <v>0</v>
      </c>
      <c r="CA89" s="561">
        <v>0</v>
      </c>
      <c r="CB89" s="561">
        <v>0</v>
      </c>
      <c r="CC89" s="561">
        <v>0</v>
      </c>
      <c r="CD89" s="561">
        <v>0</v>
      </c>
      <c r="CE89" s="561">
        <v>0</v>
      </c>
      <c r="CF89" s="561">
        <v>0</v>
      </c>
      <c r="CG89" s="561">
        <v>0</v>
      </c>
      <c r="CH89" s="561">
        <v>0</v>
      </c>
      <c r="CI89" s="561">
        <v>0</v>
      </c>
      <c r="CJ89" s="561">
        <v>0</v>
      </c>
      <c r="CK89" s="561">
        <v>21</v>
      </c>
      <c r="CL89" s="561">
        <v>0</v>
      </c>
      <c r="CM89" s="561">
        <v>0</v>
      </c>
      <c r="CN89" s="561">
        <v>0</v>
      </c>
      <c r="CO89" s="561">
        <v>0</v>
      </c>
      <c r="CP89" s="561">
        <v>0</v>
      </c>
      <c r="CQ89" s="561">
        <v>0</v>
      </c>
      <c r="CR89" s="561">
        <v>0</v>
      </c>
      <c r="CS89" s="561">
        <v>0</v>
      </c>
      <c r="CT89" s="561">
        <v>0</v>
      </c>
      <c r="CU89" s="561">
        <v>0</v>
      </c>
      <c r="CV89" s="561">
        <v>0</v>
      </c>
      <c r="CW89" s="561">
        <v>0</v>
      </c>
      <c r="CX89" s="561">
        <v>0</v>
      </c>
      <c r="CY89" s="561">
        <v>34</v>
      </c>
      <c r="CZ89" s="561">
        <v>55</v>
      </c>
      <c r="DA89" s="561">
        <v>0</v>
      </c>
      <c r="DB89" s="561">
        <v>0</v>
      </c>
      <c r="DC89" s="561">
        <v>0</v>
      </c>
      <c r="DD89" s="561">
        <v>0</v>
      </c>
      <c r="DE89" s="561">
        <v>0</v>
      </c>
      <c r="DF89" s="561">
        <v>0</v>
      </c>
      <c r="DG89" s="561">
        <v>0</v>
      </c>
      <c r="DH89" s="561">
        <v>443</v>
      </c>
      <c r="DI89" s="561">
        <v>0</v>
      </c>
      <c r="DJ89" s="561">
        <v>0</v>
      </c>
      <c r="DK89" s="561">
        <v>0</v>
      </c>
      <c r="DL89" s="561">
        <v>3799</v>
      </c>
      <c r="DM89" s="561">
        <v>1114</v>
      </c>
      <c r="DN89" s="561">
        <v>0</v>
      </c>
      <c r="DO89" s="561">
        <v>0</v>
      </c>
      <c r="DP89" s="561">
        <v>0</v>
      </c>
      <c r="DQ89" s="561">
        <v>0</v>
      </c>
      <c r="DR89" s="561">
        <v>376</v>
      </c>
      <c r="DS89" s="561">
        <v>0</v>
      </c>
      <c r="DT89" s="561">
        <v>1138</v>
      </c>
      <c r="DU89" s="561">
        <v>6427</v>
      </c>
      <c r="DV89" s="561">
        <v>0</v>
      </c>
      <c r="DW89" s="561">
        <v>0</v>
      </c>
      <c r="DX89" s="561">
        <v>0</v>
      </c>
      <c r="DY89" s="561">
        <v>217</v>
      </c>
      <c r="DZ89" s="561">
        <v>15</v>
      </c>
      <c r="EA89" s="561">
        <v>11</v>
      </c>
      <c r="EB89" s="561">
        <v>0</v>
      </c>
      <c r="EC89" s="561">
        <v>7113</v>
      </c>
      <c r="ED89" s="561">
        <v>20</v>
      </c>
      <c r="EE89" s="561">
        <v>22142</v>
      </c>
      <c r="EF89" s="561">
        <v>820</v>
      </c>
      <c r="EG89" s="561">
        <v>1545</v>
      </c>
      <c r="EH89" s="561">
        <v>85</v>
      </c>
      <c r="EI89" s="561">
        <v>169</v>
      </c>
      <c r="EJ89" s="561">
        <v>753</v>
      </c>
      <c r="EK89" s="561">
        <v>0</v>
      </c>
      <c r="EL89" s="561">
        <v>0</v>
      </c>
      <c r="EM89" s="561">
        <v>0</v>
      </c>
      <c r="EN89" s="561">
        <v>4808</v>
      </c>
      <c r="EO89" s="561">
        <v>5906</v>
      </c>
      <c r="EP89" s="561">
        <v>1567</v>
      </c>
      <c r="EQ89" s="561">
        <v>191</v>
      </c>
      <c r="ER89" s="561">
        <v>756</v>
      </c>
      <c r="ES89" s="561" t="s">
        <v>4565</v>
      </c>
      <c r="ET89" s="561">
        <v>3543</v>
      </c>
      <c r="EU89" s="561">
        <v>967</v>
      </c>
      <c r="EV89" s="561">
        <v>0</v>
      </c>
      <c r="EW89" s="561">
        <v>0</v>
      </c>
      <c r="EX89" s="561">
        <v>4558</v>
      </c>
      <c r="EY89" s="561">
        <v>40</v>
      </c>
      <c r="EZ89" s="561">
        <v>3178</v>
      </c>
      <c r="FA89" s="561">
        <v>8797</v>
      </c>
      <c r="FB89" s="561">
        <v>0</v>
      </c>
      <c r="FC89" s="561">
        <v>302</v>
      </c>
      <c r="FD89" s="561">
        <v>0</v>
      </c>
      <c r="FE89" s="561">
        <v>88</v>
      </c>
      <c r="FF89" s="561">
        <v>1778</v>
      </c>
      <c r="FG89" s="561">
        <v>0</v>
      </c>
      <c r="FH89" s="561">
        <v>0</v>
      </c>
      <c r="FI89" s="561">
        <v>101</v>
      </c>
      <c r="FJ89" s="561">
        <v>-468</v>
      </c>
      <c r="FK89" s="561">
        <v>680</v>
      </c>
      <c r="FL89" s="561">
        <v>6</v>
      </c>
      <c r="FM89" s="561">
        <v>4</v>
      </c>
      <c r="FN89" s="561">
        <v>0</v>
      </c>
      <c r="FO89" s="561">
        <v>2491</v>
      </c>
      <c r="FP89" s="561">
        <v>0</v>
      </c>
      <c r="FQ89" s="561">
        <v>282</v>
      </c>
      <c r="FR89" s="561">
        <v>0</v>
      </c>
      <c r="FS89" s="561">
        <v>0</v>
      </c>
      <c r="FT89" s="561">
        <v>154</v>
      </c>
      <c r="FU89" s="561">
        <v>585</v>
      </c>
      <c r="FV89" s="561">
        <v>289</v>
      </c>
      <c r="FW89" s="561">
        <v>582</v>
      </c>
      <c r="FX89" s="561">
        <v>0</v>
      </c>
      <c r="FY89" s="561">
        <v>0</v>
      </c>
      <c r="FZ89" s="561">
        <v>120</v>
      </c>
      <c r="GA89" s="561">
        <v>50</v>
      </c>
      <c r="GB89" s="561">
        <v>227</v>
      </c>
      <c r="GC89" s="561">
        <v>94</v>
      </c>
      <c r="GD89" s="561">
        <v>441</v>
      </c>
      <c r="GE89" s="561">
        <v>286</v>
      </c>
      <c r="GF89" s="561">
        <v>336</v>
      </c>
      <c r="GG89" s="561">
        <v>0</v>
      </c>
      <c r="GH89" s="561">
        <v>0</v>
      </c>
      <c r="GI89" s="561">
        <v>0</v>
      </c>
      <c r="GJ89" s="561">
        <v>0</v>
      </c>
      <c r="GK89" s="561">
        <v>0</v>
      </c>
      <c r="GL89" s="561">
        <v>1566</v>
      </c>
      <c r="GM89" s="561">
        <v>2697</v>
      </c>
      <c r="GN89" s="561">
        <v>0</v>
      </c>
      <c r="GO89" s="561">
        <v>0</v>
      </c>
      <c r="GP89" s="561">
        <v>1364</v>
      </c>
      <c r="GQ89" s="561">
        <v>0</v>
      </c>
      <c r="GR89" s="561">
        <v>240</v>
      </c>
      <c r="GS89" s="561">
        <v>9313</v>
      </c>
      <c r="GT89" s="561">
        <v>47</v>
      </c>
      <c r="GU89" s="561">
        <v>201</v>
      </c>
      <c r="GV89" s="561">
        <v>951</v>
      </c>
      <c r="GW89" s="561">
        <v>0</v>
      </c>
      <c r="GX89" s="561">
        <v>1643</v>
      </c>
      <c r="GY89" s="561">
        <v>148</v>
      </c>
      <c r="GZ89" s="561">
        <v>758</v>
      </c>
      <c r="HA89" s="561">
        <v>0</v>
      </c>
      <c r="HB89" s="561">
        <v>51</v>
      </c>
      <c r="HC89" s="561">
        <v>305</v>
      </c>
      <c r="HD89" s="561">
        <v>4057</v>
      </c>
      <c r="HE89" s="561">
        <v>104</v>
      </c>
      <c r="HF89" s="561">
        <v>15861</v>
      </c>
      <c r="HG89" s="561">
        <v>0</v>
      </c>
      <c r="HH89" s="561">
        <v>0</v>
      </c>
      <c r="HI89" s="561">
        <v>0</v>
      </c>
      <c r="HJ89" s="561">
        <v>0</v>
      </c>
      <c r="HK89" s="561">
        <v>0</v>
      </c>
      <c r="HL89" s="561">
        <v>0</v>
      </c>
      <c r="HM89" s="561">
        <v>0</v>
      </c>
      <c r="HN89" s="561">
        <v>0</v>
      </c>
      <c r="HO89" s="561">
        <v>2469</v>
      </c>
      <c r="HP89" s="561">
        <v>119</v>
      </c>
      <c r="HQ89" s="561">
        <v>0</v>
      </c>
      <c r="HR89" s="561">
        <v>0</v>
      </c>
      <c r="HS89" s="561">
        <v>923</v>
      </c>
      <c r="HT89" s="561">
        <v>-82</v>
      </c>
      <c r="HU89" s="561">
        <v>0</v>
      </c>
      <c r="HV89" s="561">
        <v>0</v>
      </c>
      <c r="HW89" s="561">
        <v>387</v>
      </c>
      <c r="HX89" s="561">
        <v>133</v>
      </c>
      <c r="HY89" s="561">
        <v>92</v>
      </c>
      <c r="HZ89" s="561">
        <v>82</v>
      </c>
      <c r="IA89" s="561">
        <v>0</v>
      </c>
      <c r="IB89" s="561">
        <v>214</v>
      </c>
      <c r="IC89" s="561">
        <v>0</v>
      </c>
      <c r="ID89" s="561">
        <v>0</v>
      </c>
      <c r="IE89" s="561">
        <v>127</v>
      </c>
      <c r="IF89" s="561">
        <v>0</v>
      </c>
      <c r="IG89" s="561">
        <v>0</v>
      </c>
      <c r="IH89" s="561">
        <v>545</v>
      </c>
      <c r="II89" s="561">
        <v>5009</v>
      </c>
      <c r="IJ89" s="561">
        <v>311</v>
      </c>
      <c r="IK89" s="561">
        <v>0</v>
      </c>
      <c r="IL89" s="561">
        <v>9185</v>
      </c>
      <c r="IM89" s="561">
        <v>0</v>
      </c>
      <c r="IN89" s="561">
        <v>1335</v>
      </c>
      <c r="IO89" s="561">
        <v>0</v>
      </c>
      <c r="IP89" s="561">
        <v>236</v>
      </c>
      <c r="IQ89" s="561">
        <v>0</v>
      </c>
      <c r="IR89" s="561">
        <v>0</v>
      </c>
      <c r="IS89" s="561">
        <v>3</v>
      </c>
      <c r="IT89" s="561">
        <v>0</v>
      </c>
      <c r="IU89" s="561">
        <v>0</v>
      </c>
      <c r="IV89" s="561">
        <v>55</v>
      </c>
      <c r="IW89" s="561">
        <v>7113</v>
      </c>
      <c r="IX89" s="561">
        <v>2491</v>
      </c>
      <c r="IY89" s="561">
        <v>9313</v>
      </c>
      <c r="IZ89" s="561">
        <v>4057</v>
      </c>
      <c r="JA89" s="561">
        <v>0</v>
      </c>
      <c r="JB89" s="561">
        <v>0</v>
      </c>
      <c r="JC89" s="561">
        <v>5009</v>
      </c>
      <c r="JD89" s="561">
        <v>236</v>
      </c>
      <c r="JE89" s="561">
        <v>28277</v>
      </c>
      <c r="JF89" s="561">
        <v>6895</v>
      </c>
      <c r="JG89" s="561">
        <v>2189</v>
      </c>
      <c r="JH89" s="561">
        <v>5910</v>
      </c>
      <c r="JI89" s="561">
        <v>0</v>
      </c>
      <c r="JJ89" s="561">
        <v>0</v>
      </c>
      <c r="JK89" s="561">
        <v>1348</v>
      </c>
      <c r="JL89" s="561">
        <v>0</v>
      </c>
      <c r="JM89" s="561">
        <v>0</v>
      </c>
      <c r="JN89" s="561">
        <v>0</v>
      </c>
      <c r="JO89" s="561">
        <v>0</v>
      </c>
      <c r="JP89" s="561">
        <v>-49</v>
      </c>
      <c r="JQ89" s="561">
        <v>-36</v>
      </c>
      <c r="JR89" s="561">
        <v>0</v>
      </c>
      <c r="JS89" s="561">
        <v>0</v>
      </c>
      <c r="JT89" s="561">
        <v>0</v>
      </c>
      <c r="JU89" s="561">
        <v>0</v>
      </c>
      <c r="JV89" s="561">
        <v>44534</v>
      </c>
      <c r="JW89" s="561">
        <v>0</v>
      </c>
      <c r="JX89" s="561">
        <v>4246</v>
      </c>
      <c r="JY89" s="561">
        <v>0</v>
      </c>
      <c r="JZ89" s="561">
        <v>0</v>
      </c>
      <c r="KA89" s="561">
        <v>0</v>
      </c>
      <c r="KB89" s="561">
        <v>81</v>
      </c>
      <c r="KC89" s="561">
        <v>0</v>
      </c>
      <c r="KD89" s="561">
        <v>0</v>
      </c>
      <c r="KE89" s="561">
        <v>0</v>
      </c>
      <c r="KF89" s="561">
        <v>0</v>
      </c>
      <c r="KG89" s="561">
        <v>48861</v>
      </c>
      <c r="KH89" s="561">
        <v>-8851</v>
      </c>
      <c r="KI89" s="561">
        <v>0</v>
      </c>
      <c r="KJ89" s="561">
        <v>0</v>
      </c>
      <c r="KK89" s="561">
        <v>0</v>
      </c>
      <c r="KL89" s="561">
        <v>-14817</v>
      </c>
      <c r="KM89" s="561">
        <v>0</v>
      </c>
      <c r="KN89" s="561">
        <v>-167</v>
      </c>
      <c r="KO89" s="561">
        <v>0</v>
      </c>
      <c r="KP89" s="561">
        <v>0</v>
      </c>
      <c r="KQ89" s="561">
        <v>0</v>
      </c>
      <c r="KR89" s="561">
        <v>25026</v>
      </c>
      <c r="KS89" s="561">
        <v>0</v>
      </c>
      <c r="KT89" s="561">
        <v>-6758</v>
      </c>
      <c r="KU89" s="561">
        <v>18268</v>
      </c>
      <c r="KV89" s="561">
        <v>0</v>
      </c>
      <c r="KW89" s="561">
        <v>0</v>
      </c>
      <c r="KX89" s="561">
        <v>0</v>
      </c>
      <c r="KY89" s="561">
        <v>0</v>
      </c>
      <c r="KZ89" s="561">
        <v>9581</v>
      </c>
      <c r="LA89" s="561">
        <v>500</v>
      </c>
      <c r="LB89" s="561">
        <v>-145</v>
      </c>
      <c r="LC89" s="561">
        <v>0</v>
      </c>
      <c r="LD89" s="561">
        <v>-19048</v>
      </c>
      <c r="LE89" s="561">
        <v>-220</v>
      </c>
      <c r="LF89" s="561">
        <v>0</v>
      </c>
      <c r="LG89" s="561">
        <v>8936</v>
      </c>
      <c r="LH89" s="561">
        <v>0</v>
      </c>
      <c r="LI89" s="561">
        <v>0</v>
      </c>
      <c r="LJ89" s="561">
        <v>0</v>
      </c>
      <c r="LK89" s="561">
        <v>0</v>
      </c>
      <c r="LL89" s="561">
        <v>68260</v>
      </c>
      <c r="LM89" s="561">
        <v>3000</v>
      </c>
      <c r="LN89" s="561">
        <v>0</v>
      </c>
      <c r="LO89" s="561">
        <v>0</v>
      </c>
      <c r="LP89" s="561">
        <v>0</v>
      </c>
      <c r="LQ89" s="561">
        <v>0</v>
      </c>
      <c r="LR89" s="561">
        <v>77841</v>
      </c>
      <c r="LS89" s="561">
        <v>3500</v>
      </c>
      <c r="LT89" s="561">
        <v>0</v>
      </c>
      <c r="LU89" s="561">
        <v>5258</v>
      </c>
      <c r="LV89" s="561">
        <v>0</v>
      </c>
      <c r="LW89" s="561">
        <v>2021</v>
      </c>
      <c r="LX89" s="561">
        <v>-1915</v>
      </c>
      <c r="LY89" s="561">
        <v>5254</v>
      </c>
      <c r="LZ89" s="561">
        <v>10618</v>
      </c>
      <c r="MA89" s="561">
        <v>0</v>
      </c>
      <c r="MB89" s="561">
        <v>0</v>
      </c>
      <c r="MC89" s="561">
        <v>25514</v>
      </c>
      <c r="MD89" s="561">
        <v>22336</v>
      </c>
      <c r="ME89" s="561">
        <v>3178</v>
      </c>
      <c r="MF89" s="561">
        <v>8797</v>
      </c>
      <c r="MG89" s="561">
        <v>11975</v>
      </c>
      <c r="MH89" s="561">
        <v>2145</v>
      </c>
      <c r="MI89" s="561">
        <v>4855</v>
      </c>
      <c r="MJ89" s="561">
        <v>7000</v>
      </c>
      <c r="MK89" s="561">
        <v>28</v>
      </c>
      <c r="ML89" s="561">
        <v>0</v>
      </c>
      <c r="MM89" s="561">
        <v>23386</v>
      </c>
      <c r="MN89" s="561">
        <v>15091</v>
      </c>
      <c r="MO89" s="561">
        <v>39364</v>
      </c>
      <c r="MP89" s="561">
        <v>0</v>
      </c>
      <c r="MQ89" s="561">
        <v>0</v>
      </c>
      <c r="MR89" s="561">
        <v>3</v>
      </c>
      <c r="MS89" s="561">
        <v>0</v>
      </c>
      <c r="MT89" s="561">
        <v>0</v>
      </c>
      <c r="MU89" s="561">
        <v>55</v>
      </c>
      <c r="MV89" s="561">
        <v>7113</v>
      </c>
      <c r="MW89" s="561">
        <v>2491</v>
      </c>
      <c r="MX89" s="561">
        <v>9313</v>
      </c>
      <c r="MY89" s="561">
        <v>4057</v>
      </c>
      <c r="MZ89" s="561">
        <v>0</v>
      </c>
      <c r="NA89" s="561">
        <v>0</v>
      </c>
      <c r="NB89" s="561">
        <v>5009</v>
      </c>
      <c r="NC89" s="561">
        <v>236</v>
      </c>
      <c r="ND89" s="561">
        <v>28277</v>
      </c>
      <c r="NE89" s="561">
        <v>0</v>
      </c>
      <c r="NF89" s="561">
        <v>0</v>
      </c>
      <c r="NG89" s="561">
        <v>0</v>
      </c>
      <c r="NH89" s="561">
        <v>0</v>
      </c>
      <c r="NI89" s="561">
        <v>0</v>
      </c>
      <c r="NJ89" s="561">
        <v>0</v>
      </c>
      <c r="NK89" s="561">
        <v>0</v>
      </c>
      <c r="NL89" s="561">
        <v>0</v>
      </c>
      <c r="NM89" s="561">
        <v>0</v>
      </c>
      <c r="NN89" s="561">
        <v>0</v>
      </c>
      <c r="NO89" s="561">
        <v>0</v>
      </c>
      <c r="NP89" s="561">
        <v>0</v>
      </c>
      <c r="NQ89" s="561">
        <v>0</v>
      </c>
      <c r="NR89" s="561">
        <v>0</v>
      </c>
      <c r="NS89" s="561">
        <v>0</v>
      </c>
      <c r="NT89" s="561">
        <v>0</v>
      </c>
      <c r="NU89" s="561">
        <v>-61</v>
      </c>
      <c r="NV89" s="561">
        <v>-49</v>
      </c>
      <c r="NW89" s="561">
        <v>-49</v>
      </c>
      <c r="NX89" s="561">
        <v>0</v>
      </c>
      <c r="NY89" s="561">
        <v>-49</v>
      </c>
      <c r="NZ89" s="561">
        <v>0</v>
      </c>
      <c r="OA89" s="561">
        <v>0</v>
      </c>
      <c r="OB89" s="561">
        <v>0</v>
      </c>
      <c r="OC89" s="561">
        <v>0</v>
      </c>
      <c r="OD89" s="561">
        <v>0</v>
      </c>
      <c r="OE89" s="561">
        <v>0</v>
      </c>
      <c r="OF89" s="561">
        <v>0</v>
      </c>
      <c r="OG89" s="561">
        <v>0</v>
      </c>
      <c r="OH89" s="561">
        <v>0</v>
      </c>
      <c r="OI89" s="561">
        <v>-36</v>
      </c>
      <c r="OJ89" s="561">
        <v>0</v>
      </c>
      <c r="OK89" s="561">
        <v>0</v>
      </c>
      <c r="OL89" s="561">
        <v>0</v>
      </c>
      <c r="OM89" s="561">
        <v>0</v>
      </c>
      <c r="ON89" s="561">
        <v>0</v>
      </c>
      <c r="OO89" s="561">
        <v>0</v>
      </c>
      <c r="OP89" s="561">
        <v>0</v>
      </c>
      <c r="OQ89" s="561">
        <v>0</v>
      </c>
      <c r="OR89" s="561">
        <v>0</v>
      </c>
      <c r="OS89" s="561">
        <v>0</v>
      </c>
      <c r="OT89" s="561">
        <v>0</v>
      </c>
      <c r="OU89" s="561">
        <v>0</v>
      </c>
      <c r="OV89" s="561">
        <v>0</v>
      </c>
      <c r="OW89" s="561">
        <v>0</v>
      </c>
      <c r="OX89" s="561">
        <v>-36</v>
      </c>
      <c r="OY89" s="561">
        <v>0</v>
      </c>
      <c r="OZ89" s="561">
        <v>0</v>
      </c>
      <c r="PA89" s="561">
        <v>0</v>
      </c>
      <c r="PB89" s="561">
        <v>0</v>
      </c>
      <c r="PC89" s="561">
        <v>0</v>
      </c>
      <c r="PD89" s="561">
        <v>0</v>
      </c>
      <c r="PE89" s="561">
        <v>0</v>
      </c>
      <c r="PF89" s="561">
        <v>0</v>
      </c>
      <c r="PG89" s="561">
        <v>0</v>
      </c>
      <c r="PH89" s="561">
        <v>0</v>
      </c>
      <c r="PI89" s="561">
        <v>0</v>
      </c>
      <c r="PJ89" s="561">
        <v>0</v>
      </c>
    </row>
    <row r="90" spans="1:426" ht="14" x14ac:dyDescent="0.3">
      <c r="A90" t="s">
        <v>2699</v>
      </c>
      <c r="B90" t="s">
        <v>2700</v>
      </c>
      <c r="C90" t="s">
        <v>2701</v>
      </c>
      <c r="E90" t="s">
        <v>2466</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-188</v>
      </c>
      <c r="AC90" s="561">
        <v>0</v>
      </c>
      <c r="AD90" s="561">
        <v>0</v>
      </c>
      <c r="AE90" s="561">
        <v>0</v>
      </c>
      <c r="AF90" s="561">
        <v>0</v>
      </c>
      <c r="AG90" s="561">
        <v>0</v>
      </c>
      <c r="AH90" s="561">
        <v>0</v>
      </c>
      <c r="AI90" s="561">
        <v>0</v>
      </c>
      <c r="AJ90" s="561">
        <v>-188</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561">
        <v>0</v>
      </c>
      <c r="BI90" s="561">
        <v>0</v>
      </c>
      <c r="BJ90" s="561">
        <v>0</v>
      </c>
      <c r="BK90" s="561">
        <v>0</v>
      </c>
      <c r="BL90" s="561">
        <v>0</v>
      </c>
      <c r="BM90" s="561">
        <v>0</v>
      </c>
      <c r="BN90" s="561">
        <v>0</v>
      </c>
      <c r="BO90" s="561">
        <v>0</v>
      </c>
      <c r="BP90" s="561">
        <v>0</v>
      </c>
      <c r="BQ90" s="561">
        <v>0</v>
      </c>
      <c r="BR90" s="561">
        <v>0</v>
      </c>
      <c r="BS90" s="561">
        <v>0</v>
      </c>
      <c r="BT90" s="561">
        <v>0</v>
      </c>
      <c r="BU90" s="561">
        <v>0</v>
      </c>
      <c r="BV90" s="561">
        <v>0</v>
      </c>
      <c r="BW90" s="561">
        <v>0</v>
      </c>
      <c r="BX90" s="561">
        <v>0</v>
      </c>
      <c r="BY90" s="561">
        <v>0</v>
      </c>
      <c r="BZ90" s="561">
        <v>0</v>
      </c>
      <c r="CA90" s="561">
        <v>0</v>
      </c>
      <c r="CB90" s="561">
        <v>0</v>
      </c>
      <c r="CC90" s="561">
        <v>0</v>
      </c>
      <c r="CD90" s="561">
        <v>0</v>
      </c>
      <c r="CE90" s="561">
        <v>0</v>
      </c>
      <c r="CF90" s="561">
        <v>0</v>
      </c>
      <c r="CG90" s="561">
        <v>0</v>
      </c>
      <c r="CH90" s="561">
        <v>0</v>
      </c>
      <c r="CI90" s="561">
        <v>0</v>
      </c>
      <c r="CJ90" s="561">
        <v>0</v>
      </c>
      <c r="CK90" s="561">
        <v>0</v>
      </c>
      <c r="CL90" s="561">
        <v>0</v>
      </c>
      <c r="CM90" s="561">
        <v>0</v>
      </c>
      <c r="CN90" s="561">
        <v>0</v>
      </c>
      <c r="CO90" s="561">
        <v>0</v>
      </c>
      <c r="CP90" s="561">
        <v>0</v>
      </c>
      <c r="CQ90" s="561">
        <v>0</v>
      </c>
      <c r="CR90" s="561">
        <v>0</v>
      </c>
      <c r="CS90" s="561">
        <v>0</v>
      </c>
      <c r="CT90" s="561">
        <v>0</v>
      </c>
      <c r="CU90" s="561">
        <v>0</v>
      </c>
      <c r="CV90" s="561">
        <v>0</v>
      </c>
      <c r="CW90" s="561">
        <v>0</v>
      </c>
      <c r="CX90" s="561">
        <v>0</v>
      </c>
      <c r="CY90" s="561">
        <v>0</v>
      </c>
      <c r="CZ90" s="561">
        <v>0</v>
      </c>
      <c r="DA90" s="561">
        <v>0</v>
      </c>
      <c r="DB90" s="561">
        <v>0</v>
      </c>
      <c r="DC90" s="561">
        <v>0</v>
      </c>
      <c r="DD90" s="561">
        <v>0</v>
      </c>
      <c r="DE90" s="561">
        <v>0</v>
      </c>
      <c r="DF90" s="561">
        <v>0</v>
      </c>
      <c r="DG90" s="561">
        <v>0</v>
      </c>
      <c r="DH90" s="561">
        <v>0</v>
      </c>
      <c r="DI90" s="561">
        <v>0</v>
      </c>
      <c r="DJ90" s="561">
        <v>0</v>
      </c>
      <c r="DK90" s="561">
        <v>0</v>
      </c>
      <c r="DL90" s="561">
        <v>0</v>
      </c>
      <c r="DM90" s="561">
        <v>0</v>
      </c>
      <c r="DN90" s="561">
        <v>0</v>
      </c>
      <c r="DO90" s="561">
        <v>0</v>
      </c>
      <c r="DP90" s="561">
        <v>0</v>
      </c>
      <c r="DQ90" s="561">
        <v>0</v>
      </c>
      <c r="DR90" s="561">
        <v>0</v>
      </c>
      <c r="DS90" s="561">
        <v>0</v>
      </c>
      <c r="DT90" s="561">
        <v>0</v>
      </c>
      <c r="DU90" s="561">
        <v>0</v>
      </c>
      <c r="DV90" s="561">
        <v>0</v>
      </c>
      <c r="DW90" s="561">
        <v>0</v>
      </c>
      <c r="DX90" s="561">
        <v>0</v>
      </c>
      <c r="DY90" s="561">
        <v>0</v>
      </c>
      <c r="DZ90" s="561">
        <v>0</v>
      </c>
      <c r="EA90" s="561">
        <v>0</v>
      </c>
      <c r="EB90" s="561">
        <v>0</v>
      </c>
      <c r="EC90" s="561">
        <v>0</v>
      </c>
      <c r="ED90" s="561">
        <v>0</v>
      </c>
      <c r="EE90" s="561">
        <v>0</v>
      </c>
      <c r="EF90" s="561">
        <v>0</v>
      </c>
      <c r="EG90" s="561">
        <v>0</v>
      </c>
      <c r="EH90" s="561">
        <v>0</v>
      </c>
      <c r="EI90" s="561">
        <v>0</v>
      </c>
      <c r="EJ90" s="561">
        <v>0</v>
      </c>
      <c r="EK90" s="561">
        <v>0</v>
      </c>
      <c r="EL90" s="561">
        <v>0</v>
      </c>
      <c r="EM90" s="561">
        <v>0</v>
      </c>
      <c r="EN90" s="561">
        <v>0</v>
      </c>
      <c r="EO90" s="561">
        <v>0</v>
      </c>
      <c r="EP90" s="561">
        <v>0</v>
      </c>
      <c r="EQ90" s="561">
        <v>0</v>
      </c>
      <c r="ER90" s="561">
        <v>0</v>
      </c>
      <c r="ES90" s="561" t="s">
        <v>4565</v>
      </c>
      <c r="ET90" s="561">
        <v>0</v>
      </c>
      <c r="EU90" s="561">
        <v>0</v>
      </c>
      <c r="EV90" s="561">
        <v>0</v>
      </c>
      <c r="EW90" s="561">
        <v>0</v>
      </c>
      <c r="EX90" s="561">
        <v>0</v>
      </c>
      <c r="EY90" s="561">
        <v>0</v>
      </c>
      <c r="EZ90" s="561">
        <v>0</v>
      </c>
      <c r="FA90" s="561">
        <v>0</v>
      </c>
      <c r="FB90" s="561">
        <v>0</v>
      </c>
      <c r="FC90" s="561">
        <v>0</v>
      </c>
      <c r="FD90" s="561">
        <v>290</v>
      </c>
      <c r="FE90" s="561">
        <v>0</v>
      </c>
      <c r="FF90" s="561">
        <v>0</v>
      </c>
      <c r="FG90" s="561">
        <v>0</v>
      </c>
      <c r="FH90" s="561">
        <v>0</v>
      </c>
      <c r="FI90" s="561">
        <v>0</v>
      </c>
      <c r="FJ90" s="561">
        <v>0</v>
      </c>
      <c r="FK90" s="561">
        <v>2105</v>
      </c>
      <c r="FL90" s="561">
        <v>0</v>
      </c>
      <c r="FM90" s="561">
        <v>277</v>
      </c>
      <c r="FN90" s="561">
        <v>0</v>
      </c>
      <c r="FO90" s="561">
        <v>2672</v>
      </c>
      <c r="FP90" s="561">
        <v>0</v>
      </c>
      <c r="FQ90" s="561">
        <v>0</v>
      </c>
      <c r="FR90" s="561">
        <v>0</v>
      </c>
      <c r="FS90" s="561">
        <v>0</v>
      </c>
      <c r="FT90" s="561">
        <v>0</v>
      </c>
      <c r="FU90" s="561">
        <v>0</v>
      </c>
      <c r="FV90" s="561">
        <v>0</v>
      </c>
      <c r="FW90" s="561">
        <v>0</v>
      </c>
      <c r="FX90" s="561">
        <v>0</v>
      </c>
      <c r="FY90" s="561">
        <v>0</v>
      </c>
      <c r="FZ90" s="561">
        <v>0</v>
      </c>
      <c r="GA90" s="561">
        <v>69</v>
      </c>
      <c r="GB90" s="561">
        <v>0</v>
      </c>
      <c r="GC90" s="561">
        <v>0</v>
      </c>
      <c r="GD90" s="561">
        <v>0</v>
      </c>
      <c r="GE90" s="561">
        <v>0</v>
      </c>
      <c r="GF90" s="561">
        <v>0</v>
      </c>
      <c r="GG90" s="561">
        <v>0</v>
      </c>
      <c r="GH90" s="561">
        <v>0</v>
      </c>
      <c r="GI90" s="561">
        <v>0</v>
      </c>
      <c r="GJ90" s="561">
        <v>0</v>
      </c>
      <c r="GK90" s="561">
        <v>0</v>
      </c>
      <c r="GL90" s="561">
        <v>0</v>
      </c>
      <c r="GM90" s="561">
        <v>0</v>
      </c>
      <c r="GN90" s="561">
        <v>0</v>
      </c>
      <c r="GO90" s="561">
        <v>0</v>
      </c>
      <c r="GP90" s="561">
        <v>0</v>
      </c>
      <c r="GQ90" s="561">
        <v>0</v>
      </c>
      <c r="GR90" s="561">
        <v>0</v>
      </c>
      <c r="GS90" s="561">
        <v>69</v>
      </c>
      <c r="GT90" s="561">
        <v>0</v>
      </c>
      <c r="GU90" s="561">
        <v>0</v>
      </c>
      <c r="GV90" s="561">
        <v>769</v>
      </c>
      <c r="GW90" s="561">
        <v>0</v>
      </c>
      <c r="GX90" s="561">
        <v>276</v>
      </c>
      <c r="GY90" s="561">
        <v>0</v>
      </c>
      <c r="GZ90" s="561">
        <v>0</v>
      </c>
      <c r="HA90" s="561">
        <v>0</v>
      </c>
      <c r="HB90" s="561">
        <v>0</v>
      </c>
      <c r="HC90" s="561">
        <v>0</v>
      </c>
      <c r="HD90" s="561">
        <v>1045</v>
      </c>
      <c r="HE90" s="561">
        <v>0</v>
      </c>
      <c r="HF90" s="561">
        <v>3786</v>
      </c>
      <c r="HG90" s="561">
        <v>0</v>
      </c>
      <c r="HH90" s="561">
        <v>0</v>
      </c>
      <c r="HI90" s="561">
        <v>0</v>
      </c>
      <c r="HJ90" s="561">
        <v>0</v>
      </c>
      <c r="HK90" s="561">
        <v>0</v>
      </c>
      <c r="HL90" s="561">
        <v>0</v>
      </c>
      <c r="HM90" s="561">
        <v>0</v>
      </c>
      <c r="HN90" s="561">
        <v>0</v>
      </c>
      <c r="HO90" s="561">
        <v>495</v>
      </c>
      <c r="HP90" s="561">
        <v>0</v>
      </c>
      <c r="HQ90" s="561">
        <v>0</v>
      </c>
      <c r="HR90" s="561">
        <v>0</v>
      </c>
      <c r="HS90" s="561">
        <v>0</v>
      </c>
      <c r="HT90" s="561">
        <v>0</v>
      </c>
      <c r="HU90" s="561">
        <v>0</v>
      </c>
      <c r="HV90" s="561">
        <v>0</v>
      </c>
      <c r="HW90" s="561">
        <v>0</v>
      </c>
      <c r="HX90" s="561">
        <v>0</v>
      </c>
      <c r="HY90" s="561">
        <v>0</v>
      </c>
      <c r="HZ90" s="561">
        <v>0</v>
      </c>
      <c r="IA90" s="561">
        <v>0</v>
      </c>
      <c r="IB90" s="561">
        <v>0</v>
      </c>
      <c r="IC90" s="561">
        <v>0</v>
      </c>
      <c r="ID90" s="561">
        <v>0</v>
      </c>
      <c r="IE90" s="561">
        <v>0</v>
      </c>
      <c r="IF90" s="561">
        <v>0</v>
      </c>
      <c r="IG90" s="561">
        <v>0</v>
      </c>
      <c r="IH90" s="561">
        <v>0</v>
      </c>
      <c r="II90" s="561">
        <v>495</v>
      </c>
      <c r="IJ90" s="561">
        <v>0</v>
      </c>
      <c r="IK90" s="561">
        <v>0</v>
      </c>
      <c r="IL90" s="561">
        <v>1181</v>
      </c>
      <c r="IM90" s="561">
        <v>0</v>
      </c>
      <c r="IN90" s="561">
        <v>0</v>
      </c>
      <c r="IO90" s="561">
        <v>0</v>
      </c>
      <c r="IP90" s="561">
        <v>0</v>
      </c>
      <c r="IQ90" s="561">
        <v>0</v>
      </c>
      <c r="IR90" s="561">
        <v>0</v>
      </c>
      <c r="IS90" s="561">
        <v>-188</v>
      </c>
      <c r="IT90" s="561">
        <v>0</v>
      </c>
      <c r="IU90" s="561">
        <v>0</v>
      </c>
      <c r="IV90" s="561">
        <v>0</v>
      </c>
      <c r="IW90" s="561">
        <v>0</v>
      </c>
      <c r="IX90" s="561">
        <v>2672</v>
      </c>
      <c r="IY90" s="561">
        <v>69</v>
      </c>
      <c r="IZ90" s="561">
        <v>1045</v>
      </c>
      <c r="JA90" s="561">
        <v>0</v>
      </c>
      <c r="JB90" s="561">
        <v>0</v>
      </c>
      <c r="JC90" s="561">
        <v>495</v>
      </c>
      <c r="JD90" s="561">
        <v>0</v>
      </c>
      <c r="JE90" s="561">
        <v>4093</v>
      </c>
      <c r="JF90" s="561">
        <v>0</v>
      </c>
      <c r="JG90" s="561">
        <v>0</v>
      </c>
      <c r="JH90" s="561">
        <v>0</v>
      </c>
      <c r="JI90" s="561">
        <v>0</v>
      </c>
      <c r="JJ90" s="561">
        <v>0</v>
      </c>
      <c r="JK90" s="561">
        <v>0</v>
      </c>
      <c r="JL90" s="561">
        <v>0</v>
      </c>
      <c r="JM90" s="561">
        <v>0</v>
      </c>
      <c r="JN90" s="561">
        <v>0</v>
      </c>
      <c r="JO90" s="561">
        <v>0</v>
      </c>
      <c r="JP90" s="561">
        <v>0</v>
      </c>
      <c r="JQ90" s="561">
        <v>0</v>
      </c>
      <c r="JR90" s="561">
        <v>0</v>
      </c>
      <c r="JS90" s="561">
        <v>0</v>
      </c>
      <c r="JT90" s="561">
        <v>0</v>
      </c>
      <c r="JU90" s="561">
        <v>0</v>
      </c>
      <c r="JV90" s="561">
        <v>4093</v>
      </c>
      <c r="JW90" s="561">
        <v>0</v>
      </c>
      <c r="JX90" s="561">
        <v>0</v>
      </c>
      <c r="JY90" s="561">
        <v>0</v>
      </c>
      <c r="JZ90" s="561">
        <v>0</v>
      </c>
      <c r="KA90" s="561">
        <v>0</v>
      </c>
      <c r="KB90" s="561">
        <v>0</v>
      </c>
      <c r="KC90" s="561">
        <v>13</v>
      </c>
      <c r="KD90" s="561">
        <v>0</v>
      </c>
      <c r="KE90" s="561">
        <v>0</v>
      </c>
      <c r="KF90" s="561">
        <v>0</v>
      </c>
      <c r="KG90" s="561">
        <v>4106</v>
      </c>
      <c r="KH90" s="561">
        <v>-117</v>
      </c>
      <c r="KI90" s="561">
        <v>0</v>
      </c>
      <c r="KJ90" s="561">
        <v>0</v>
      </c>
      <c r="KK90" s="561">
        <v>0</v>
      </c>
      <c r="KL90" s="561">
        <v>0</v>
      </c>
      <c r="KM90" s="561">
        <v>0</v>
      </c>
      <c r="KN90" s="561">
        <v>0</v>
      </c>
      <c r="KO90" s="561">
        <v>0</v>
      </c>
      <c r="KP90" s="561">
        <v>0</v>
      </c>
      <c r="KQ90" s="561">
        <v>0</v>
      </c>
      <c r="KR90" s="561">
        <v>3989</v>
      </c>
      <c r="KS90" s="561">
        <v>0</v>
      </c>
      <c r="KT90" s="561">
        <v>-4076</v>
      </c>
      <c r="KU90" s="561">
        <v>-87</v>
      </c>
      <c r="KV90" s="561">
        <v>0</v>
      </c>
      <c r="KW90" s="561">
        <v>0</v>
      </c>
      <c r="KX90" s="561">
        <v>0</v>
      </c>
      <c r="KY90" s="561">
        <v>0</v>
      </c>
      <c r="KZ90" s="561">
        <v>87</v>
      </c>
      <c r="LA90" s="561">
        <v>0</v>
      </c>
      <c r="LB90" s="561">
        <v>0</v>
      </c>
      <c r="LC90" s="561">
        <v>0</v>
      </c>
      <c r="LD90" s="561">
        <v>0</v>
      </c>
      <c r="LE90" s="561">
        <v>0</v>
      </c>
      <c r="LF90" s="561">
        <v>0</v>
      </c>
      <c r="LG90" s="561">
        <v>0</v>
      </c>
      <c r="LH90" s="561">
        <v>0</v>
      </c>
      <c r="LI90" s="561">
        <v>0</v>
      </c>
      <c r="LJ90" s="561">
        <v>0</v>
      </c>
      <c r="LK90" s="561">
        <v>0</v>
      </c>
      <c r="LL90" s="561">
        <v>3051</v>
      </c>
      <c r="LM90" s="561">
        <v>500</v>
      </c>
      <c r="LN90" s="561">
        <v>0</v>
      </c>
      <c r="LO90" s="561">
        <v>0</v>
      </c>
      <c r="LP90" s="561">
        <v>0</v>
      </c>
      <c r="LQ90" s="561">
        <v>0</v>
      </c>
      <c r="LR90" s="561">
        <v>3138</v>
      </c>
      <c r="LS90" s="561">
        <v>500</v>
      </c>
      <c r="LT90" s="561">
        <v>0</v>
      </c>
      <c r="LU90" s="561">
        <v>870</v>
      </c>
      <c r="LV90" s="561">
        <v>0</v>
      </c>
      <c r="LW90" s="561">
        <v>0</v>
      </c>
      <c r="LX90" s="561">
        <v>10</v>
      </c>
      <c r="LY90" s="561">
        <v>94</v>
      </c>
      <c r="LZ90" s="561">
        <v>974</v>
      </c>
      <c r="MA90" s="561">
        <v>0</v>
      </c>
      <c r="MB90" s="561">
        <v>0</v>
      </c>
      <c r="MC90" s="561">
        <v>0</v>
      </c>
      <c r="MD90" s="561">
        <v>0</v>
      </c>
      <c r="ME90" s="561">
        <v>0</v>
      </c>
      <c r="MF90" s="561">
        <v>0</v>
      </c>
      <c r="MG90" s="561">
        <v>0</v>
      </c>
      <c r="MH90" s="561">
        <v>0</v>
      </c>
      <c r="MI90" s="561">
        <v>0</v>
      </c>
      <c r="MJ90" s="561">
        <v>0</v>
      </c>
      <c r="MK90" s="561">
        <v>0</v>
      </c>
      <c r="ML90" s="561">
        <v>516</v>
      </c>
      <c r="MM90" s="561">
        <v>445</v>
      </c>
      <c r="MN90" s="561">
        <v>1406</v>
      </c>
      <c r="MO90" s="561">
        <v>771</v>
      </c>
      <c r="MP90" s="561">
        <v>0</v>
      </c>
      <c r="MQ90" s="561">
        <v>0</v>
      </c>
      <c r="MR90" s="561">
        <v>-188</v>
      </c>
      <c r="MS90" s="561">
        <v>0</v>
      </c>
      <c r="MT90" s="561">
        <v>0</v>
      </c>
      <c r="MU90" s="561">
        <v>0</v>
      </c>
      <c r="MV90" s="561">
        <v>0</v>
      </c>
      <c r="MW90" s="561">
        <v>2672</v>
      </c>
      <c r="MX90" s="561">
        <v>69</v>
      </c>
      <c r="MY90" s="561">
        <v>1045</v>
      </c>
      <c r="MZ90" s="561">
        <v>0</v>
      </c>
      <c r="NA90" s="561">
        <v>0</v>
      </c>
      <c r="NB90" s="561">
        <v>495</v>
      </c>
      <c r="NC90" s="561">
        <v>0</v>
      </c>
      <c r="ND90" s="561">
        <v>4093</v>
      </c>
      <c r="NE90" s="561">
        <v>0</v>
      </c>
      <c r="NF90" s="561">
        <v>0</v>
      </c>
      <c r="NG90" s="561">
        <v>0</v>
      </c>
      <c r="NH90" s="561">
        <v>0</v>
      </c>
      <c r="NI90" s="561">
        <v>0</v>
      </c>
      <c r="NJ90" s="561">
        <v>0</v>
      </c>
      <c r="NK90" s="561">
        <v>0</v>
      </c>
      <c r="NL90" s="561">
        <v>0</v>
      </c>
      <c r="NM90" s="561">
        <v>0</v>
      </c>
      <c r="NN90" s="561">
        <v>0</v>
      </c>
      <c r="NO90" s="561">
        <v>0</v>
      </c>
      <c r="NP90" s="561">
        <v>0</v>
      </c>
      <c r="NQ90" s="561">
        <v>0</v>
      </c>
      <c r="NR90" s="561">
        <v>0</v>
      </c>
      <c r="NS90" s="561">
        <v>0</v>
      </c>
      <c r="NT90" s="561">
        <v>0</v>
      </c>
      <c r="NU90" s="561">
        <v>0</v>
      </c>
      <c r="NV90" s="561">
        <v>0</v>
      </c>
      <c r="NW90" s="561">
        <v>0</v>
      </c>
      <c r="NX90" s="561">
        <v>0</v>
      </c>
      <c r="NY90" s="561">
        <v>0</v>
      </c>
      <c r="NZ90" s="561">
        <v>0</v>
      </c>
      <c r="OA90" s="561">
        <v>0</v>
      </c>
      <c r="OB90" s="561">
        <v>0</v>
      </c>
      <c r="OC90" s="561">
        <v>0</v>
      </c>
      <c r="OD90" s="561">
        <v>0</v>
      </c>
      <c r="OE90" s="561">
        <v>0</v>
      </c>
      <c r="OF90" s="561">
        <v>0</v>
      </c>
      <c r="OG90" s="561">
        <v>0</v>
      </c>
      <c r="OH90" s="561">
        <v>0</v>
      </c>
      <c r="OI90" s="561">
        <v>0</v>
      </c>
      <c r="OJ90" s="561">
        <v>0</v>
      </c>
      <c r="OK90" s="561">
        <v>0</v>
      </c>
      <c r="OL90" s="561">
        <v>0</v>
      </c>
      <c r="OM90" s="561">
        <v>0</v>
      </c>
      <c r="ON90" s="561">
        <v>0</v>
      </c>
      <c r="OO90" s="561">
        <v>0</v>
      </c>
      <c r="OP90" s="561">
        <v>0</v>
      </c>
      <c r="OQ90" s="561">
        <v>0</v>
      </c>
      <c r="OR90" s="561">
        <v>0</v>
      </c>
      <c r="OS90" s="561">
        <v>0</v>
      </c>
      <c r="OT90" s="561">
        <v>0</v>
      </c>
      <c r="OU90" s="561">
        <v>0</v>
      </c>
      <c r="OV90" s="561">
        <v>0</v>
      </c>
      <c r="OW90" s="561">
        <v>0</v>
      </c>
      <c r="OX90" s="561">
        <v>0</v>
      </c>
      <c r="OY90" s="561">
        <v>0</v>
      </c>
      <c r="OZ90" s="561">
        <v>0</v>
      </c>
      <c r="PA90" s="561">
        <v>0</v>
      </c>
      <c r="PB90" s="561">
        <v>0</v>
      </c>
      <c r="PC90" s="561">
        <v>0</v>
      </c>
      <c r="PD90" s="561">
        <v>0</v>
      </c>
      <c r="PE90" s="561">
        <v>0</v>
      </c>
      <c r="PF90" s="561">
        <v>0</v>
      </c>
      <c r="PG90" s="561">
        <v>0</v>
      </c>
      <c r="PH90" s="561">
        <v>0</v>
      </c>
      <c r="PI90" s="561">
        <v>0</v>
      </c>
      <c r="PJ90" s="561">
        <v>0</v>
      </c>
    </row>
    <row r="91" spans="1:426" ht="14" x14ac:dyDescent="0.3">
      <c r="A91" t="s">
        <v>2702</v>
      </c>
      <c r="B91" t="s">
        <v>2703</v>
      </c>
      <c r="C91" t="s">
        <v>4591</v>
      </c>
      <c r="E91" t="s">
        <v>385</v>
      </c>
      <c r="F91" s="561">
        <v>29785</v>
      </c>
      <c r="G91" s="561">
        <v>57027</v>
      </c>
      <c r="H91" s="561">
        <v>38493</v>
      </c>
      <c r="I91" s="561">
        <v>37520</v>
      </c>
      <c r="J91" s="561">
        <v>4965</v>
      </c>
      <c r="K91" s="561">
        <v>18950</v>
      </c>
      <c r="L91" s="561">
        <v>186740</v>
      </c>
      <c r="M91" s="561">
        <v>3173</v>
      </c>
      <c r="N91" s="561">
        <v>2842</v>
      </c>
      <c r="O91" s="561">
        <v>257</v>
      </c>
      <c r="P91" s="561">
        <v>0</v>
      </c>
      <c r="Q91" s="561">
        <v>173</v>
      </c>
      <c r="R91" s="561">
        <v>63</v>
      </c>
      <c r="S91" s="561">
        <v>301</v>
      </c>
      <c r="T91" s="561">
        <v>544</v>
      </c>
      <c r="U91" s="561">
        <v>101</v>
      </c>
      <c r="V91" s="561">
        <v>10176</v>
      </c>
      <c r="W91" s="561">
        <v>0</v>
      </c>
      <c r="X91" s="561">
        <v>0</v>
      </c>
      <c r="Y91" s="561">
        <v>285</v>
      </c>
      <c r="Z91" s="561">
        <v>871</v>
      </c>
      <c r="AA91" s="561">
        <v>-1248</v>
      </c>
      <c r="AB91" s="561">
        <v>-1874</v>
      </c>
      <c r="AC91" s="561">
        <v>5154</v>
      </c>
      <c r="AD91" s="561">
        <v>0</v>
      </c>
      <c r="AE91" s="561">
        <v>0</v>
      </c>
      <c r="AF91" s="561">
        <v>0</v>
      </c>
      <c r="AG91" s="561">
        <v>0</v>
      </c>
      <c r="AH91" s="561">
        <v>188</v>
      </c>
      <c r="AI91" s="561">
        <v>0</v>
      </c>
      <c r="AJ91" s="561">
        <v>17833</v>
      </c>
      <c r="AK91" s="561">
        <v>472</v>
      </c>
      <c r="AL91" s="561">
        <v>0</v>
      </c>
      <c r="AM91" s="561">
        <v>0</v>
      </c>
      <c r="AN91" s="561">
        <v>0</v>
      </c>
      <c r="AO91" s="561">
        <v>0</v>
      </c>
      <c r="AP91" s="561">
        <v>0</v>
      </c>
      <c r="AQ91" s="561">
        <v>0</v>
      </c>
      <c r="AR91" s="561">
        <v>0</v>
      </c>
      <c r="AS91" s="561">
        <v>1714</v>
      </c>
      <c r="AT91" s="561">
        <v>1624</v>
      </c>
      <c r="AU91" s="561">
        <v>0</v>
      </c>
      <c r="AV91" s="561">
        <v>0</v>
      </c>
      <c r="AW91" s="561">
        <v>0</v>
      </c>
      <c r="AX91" s="561">
        <v>2735</v>
      </c>
      <c r="AY91" s="561">
        <v>51981</v>
      </c>
      <c r="AZ91" s="561">
        <v>1036</v>
      </c>
      <c r="BA91" s="561">
        <v>3637</v>
      </c>
      <c r="BB91" s="561">
        <v>959</v>
      </c>
      <c r="BC91" s="561">
        <v>27000</v>
      </c>
      <c r="BD91" s="561">
        <v>2254</v>
      </c>
      <c r="BE91" s="561">
        <v>2429</v>
      </c>
      <c r="BF91" s="561">
        <v>92031</v>
      </c>
      <c r="BG91" s="561">
        <v>1121</v>
      </c>
      <c r="BH91" s="561">
        <v>7367</v>
      </c>
      <c r="BI91" s="561">
        <v>19717</v>
      </c>
      <c r="BJ91" s="561">
        <v>1133</v>
      </c>
      <c r="BK91" s="561">
        <v>152</v>
      </c>
      <c r="BL91" s="561">
        <v>295</v>
      </c>
      <c r="BM91" s="561">
        <v>3137</v>
      </c>
      <c r="BN91" s="561">
        <v>31800</v>
      </c>
      <c r="BO91" s="561">
        <v>3449</v>
      </c>
      <c r="BP91" s="561">
        <v>4018</v>
      </c>
      <c r="BQ91" s="561">
        <v>4383</v>
      </c>
      <c r="BR91" s="561">
        <v>259</v>
      </c>
      <c r="BS91" s="561">
        <v>0</v>
      </c>
      <c r="BT91" s="561">
        <v>-212</v>
      </c>
      <c r="BU91" s="561">
        <v>0</v>
      </c>
      <c r="BV91" s="561">
        <v>-256</v>
      </c>
      <c r="BW91" s="561">
        <v>9585</v>
      </c>
      <c r="BX91" s="561">
        <v>932</v>
      </c>
      <c r="BY91" s="561">
        <v>6319</v>
      </c>
      <c r="BZ91" s="561">
        <v>92078</v>
      </c>
      <c r="CA91" s="561">
        <v>1021</v>
      </c>
      <c r="CB91" s="561">
        <v>2889</v>
      </c>
      <c r="CC91" s="561">
        <v>543</v>
      </c>
      <c r="CD91" s="561">
        <v>77</v>
      </c>
      <c r="CE91" s="561">
        <v>442</v>
      </c>
      <c r="CF91" s="561">
        <v>150</v>
      </c>
      <c r="CG91" s="561">
        <v>361</v>
      </c>
      <c r="CH91" s="561">
        <v>198</v>
      </c>
      <c r="CI91" s="561">
        <v>860.3</v>
      </c>
      <c r="CJ91" s="561">
        <v>1153.3</v>
      </c>
      <c r="CK91" s="561">
        <v>830.3</v>
      </c>
      <c r="CL91" s="561">
        <v>651.29999999999995</v>
      </c>
      <c r="CM91" s="561">
        <v>3214</v>
      </c>
      <c r="CN91" s="561">
        <v>3651</v>
      </c>
      <c r="CO91" s="561">
        <v>534</v>
      </c>
      <c r="CP91" s="561">
        <v>67</v>
      </c>
      <c r="CQ91" s="561">
        <v>225</v>
      </c>
      <c r="CR91" s="561">
        <v>294</v>
      </c>
      <c r="CS91" s="561">
        <v>285</v>
      </c>
      <c r="CT91" s="561">
        <v>2060</v>
      </c>
      <c r="CU91" s="561">
        <v>3186</v>
      </c>
      <c r="CV91" s="561">
        <v>1623</v>
      </c>
      <c r="CW91" s="561">
        <v>45</v>
      </c>
      <c r="CX91" s="561">
        <v>83</v>
      </c>
      <c r="CY91" s="561">
        <v>2432.71</v>
      </c>
      <c r="CZ91" s="561">
        <v>25854.91</v>
      </c>
      <c r="DA91" s="561">
        <v>0</v>
      </c>
      <c r="DB91" s="561">
        <v>0</v>
      </c>
      <c r="DC91" s="561">
        <v>0</v>
      </c>
      <c r="DD91" s="561">
        <v>0</v>
      </c>
      <c r="DE91" s="561">
        <v>0</v>
      </c>
      <c r="DF91" s="561">
        <v>0</v>
      </c>
      <c r="DG91" s="561">
        <v>0</v>
      </c>
      <c r="DH91" s="561">
        <v>395</v>
      </c>
      <c r="DI91" s="561">
        <v>0</v>
      </c>
      <c r="DJ91" s="561">
        <v>389</v>
      </c>
      <c r="DK91" s="561">
        <v>135</v>
      </c>
      <c r="DL91" s="561">
        <v>0</v>
      </c>
      <c r="DM91" s="561">
        <v>0</v>
      </c>
      <c r="DN91" s="561">
        <v>-750</v>
      </c>
      <c r="DO91" s="561">
        <v>1635</v>
      </c>
      <c r="DP91" s="561">
        <v>-136</v>
      </c>
      <c r="DQ91" s="561">
        <v>0</v>
      </c>
      <c r="DR91" s="561">
        <v>0</v>
      </c>
      <c r="DS91" s="561">
        <v>3266</v>
      </c>
      <c r="DT91" s="561">
        <v>55</v>
      </c>
      <c r="DU91" s="561">
        <v>4070</v>
      </c>
      <c r="DV91" s="561">
        <v>0</v>
      </c>
      <c r="DW91" s="561">
        <v>0</v>
      </c>
      <c r="DX91" s="561">
        <v>0</v>
      </c>
      <c r="DY91" s="561">
        <v>3024</v>
      </c>
      <c r="DZ91" s="561">
        <v>-78</v>
      </c>
      <c r="EA91" s="561">
        <v>0</v>
      </c>
      <c r="EB91" s="561">
        <v>0</v>
      </c>
      <c r="EC91" s="561">
        <v>7935</v>
      </c>
      <c r="ED91" s="561">
        <v>37</v>
      </c>
      <c r="EE91" s="561">
        <v>65068.31</v>
      </c>
      <c r="EF91" s="561">
        <v>684</v>
      </c>
      <c r="EG91" s="561">
        <v>7803.45</v>
      </c>
      <c r="EH91" s="561">
        <v>543.12</v>
      </c>
      <c r="EI91" s="561">
        <v>0</v>
      </c>
      <c r="EJ91" s="561">
        <v>1689.89</v>
      </c>
      <c r="EK91" s="561">
        <v>0</v>
      </c>
      <c r="EL91" s="561">
        <v>0</v>
      </c>
      <c r="EM91" s="561">
        <v>0</v>
      </c>
      <c r="EN91" s="561">
        <v>19277.62</v>
      </c>
      <c r="EO91" s="561">
        <v>19602</v>
      </c>
      <c r="EP91" s="561">
        <v>3182.71</v>
      </c>
      <c r="EQ91" s="561">
        <v>0</v>
      </c>
      <c r="ER91" s="561">
        <v>9342.77</v>
      </c>
      <c r="ES91" s="561" t="s">
        <v>4565</v>
      </c>
      <c r="ET91" s="561">
        <v>15938.67</v>
      </c>
      <c r="EU91" s="561">
        <v>68.33</v>
      </c>
      <c r="EV91" s="561">
        <v>122.37</v>
      </c>
      <c r="EW91" s="561">
        <v>0</v>
      </c>
      <c r="EX91" s="561">
        <v>0</v>
      </c>
      <c r="EY91" s="561">
        <v>1006.57</v>
      </c>
      <c r="EZ91" s="561">
        <v>7247.73</v>
      </c>
      <c r="FA91" s="561">
        <v>40440</v>
      </c>
      <c r="FB91" s="561">
        <v>0</v>
      </c>
      <c r="FC91" s="561">
        <v>1079</v>
      </c>
      <c r="FD91" s="561">
        <v>0</v>
      </c>
      <c r="FE91" s="561">
        <v>740</v>
      </c>
      <c r="FF91" s="561">
        <v>304</v>
      </c>
      <c r="FG91" s="561">
        <v>5</v>
      </c>
      <c r="FH91" s="561">
        <v>0</v>
      </c>
      <c r="FI91" s="561">
        <v>556</v>
      </c>
      <c r="FJ91" s="561">
        <v>673</v>
      </c>
      <c r="FK91" s="561">
        <v>1026</v>
      </c>
      <c r="FL91" s="561">
        <v>-15</v>
      </c>
      <c r="FM91" s="561">
        <v>219</v>
      </c>
      <c r="FN91" s="561">
        <v>1887</v>
      </c>
      <c r="FO91" s="561">
        <v>6474</v>
      </c>
      <c r="FP91" s="561">
        <v>102</v>
      </c>
      <c r="FQ91" s="561">
        <v>-696</v>
      </c>
      <c r="FR91" s="561">
        <v>556</v>
      </c>
      <c r="FS91" s="561">
        <v>0</v>
      </c>
      <c r="FT91" s="561">
        <v>411</v>
      </c>
      <c r="FU91" s="561">
        <v>1574</v>
      </c>
      <c r="FV91" s="561">
        <v>339</v>
      </c>
      <c r="FW91" s="561">
        <v>-16.920000000000002</v>
      </c>
      <c r="FX91" s="561">
        <v>0</v>
      </c>
      <c r="FY91" s="561">
        <v>0</v>
      </c>
      <c r="FZ91" s="561">
        <v>61</v>
      </c>
      <c r="GA91" s="561">
        <v>9</v>
      </c>
      <c r="GB91" s="561">
        <v>0</v>
      </c>
      <c r="GC91" s="561">
        <v>-55</v>
      </c>
      <c r="GD91" s="561">
        <v>879</v>
      </c>
      <c r="GE91" s="561">
        <v>0</v>
      </c>
      <c r="GF91" s="561">
        <v>119</v>
      </c>
      <c r="GG91" s="561">
        <v>250</v>
      </c>
      <c r="GH91" s="561">
        <v>0</v>
      </c>
      <c r="GI91" s="561">
        <v>0</v>
      </c>
      <c r="GJ91" s="561">
        <v>0</v>
      </c>
      <c r="GK91" s="561">
        <v>0</v>
      </c>
      <c r="GL91" s="561">
        <v>2912</v>
      </c>
      <c r="GM91" s="561">
        <v>3808</v>
      </c>
      <c r="GN91" s="561">
        <v>13627</v>
      </c>
      <c r="GO91" s="561">
        <v>0</v>
      </c>
      <c r="GP91" s="561">
        <v>3808</v>
      </c>
      <c r="GQ91" s="561">
        <v>0</v>
      </c>
      <c r="GR91" s="561">
        <v>126</v>
      </c>
      <c r="GS91" s="561">
        <v>27711.08</v>
      </c>
      <c r="GT91" s="561">
        <v>1519</v>
      </c>
      <c r="GU91" s="561">
        <v>83</v>
      </c>
      <c r="GV91" s="561">
        <v>538</v>
      </c>
      <c r="GW91" s="561">
        <v>2</v>
      </c>
      <c r="GX91" s="561">
        <v>751</v>
      </c>
      <c r="GY91" s="561">
        <v>0</v>
      </c>
      <c r="GZ91" s="561">
        <v>1350.61</v>
      </c>
      <c r="HA91" s="561">
        <v>0</v>
      </c>
      <c r="HB91" s="561">
        <v>0</v>
      </c>
      <c r="HC91" s="561">
        <v>7433</v>
      </c>
      <c r="HD91" s="561">
        <v>10157.61</v>
      </c>
      <c r="HE91" s="561">
        <v>361</v>
      </c>
      <c r="HF91" s="561">
        <v>44342.69</v>
      </c>
      <c r="HG91" s="561">
        <v>570</v>
      </c>
      <c r="HH91" s="561">
        <v>0</v>
      </c>
      <c r="HI91" s="561">
        <v>0</v>
      </c>
      <c r="HJ91" s="561">
        <v>0</v>
      </c>
      <c r="HK91" s="561">
        <v>0</v>
      </c>
      <c r="HL91" s="561">
        <v>0</v>
      </c>
      <c r="HM91" s="561">
        <v>0</v>
      </c>
      <c r="HN91" s="561">
        <v>0</v>
      </c>
      <c r="HO91" s="561">
        <v>3100</v>
      </c>
      <c r="HP91" s="561">
        <v>1236</v>
      </c>
      <c r="HQ91" s="561">
        <v>0</v>
      </c>
      <c r="HR91" s="561">
        <v>0</v>
      </c>
      <c r="HS91" s="561">
        <v>0</v>
      </c>
      <c r="HT91" s="561">
        <v>-229</v>
      </c>
      <c r="HU91" s="561">
        <v>0</v>
      </c>
      <c r="HV91" s="561">
        <v>-58</v>
      </c>
      <c r="HW91" s="561">
        <v>287</v>
      </c>
      <c r="HX91" s="561">
        <v>1064</v>
      </c>
      <c r="HY91" s="561">
        <v>183</v>
      </c>
      <c r="HZ91" s="561">
        <v>-12</v>
      </c>
      <c r="IA91" s="561">
        <v>54</v>
      </c>
      <c r="IB91" s="561">
        <v>0</v>
      </c>
      <c r="IC91" s="561">
        <v>1638</v>
      </c>
      <c r="ID91" s="561">
        <v>0</v>
      </c>
      <c r="IE91" s="561">
        <v>768</v>
      </c>
      <c r="IF91" s="561">
        <v>0</v>
      </c>
      <c r="IG91" s="561">
        <v>0</v>
      </c>
      <c r="IH91" s="561">
        <v>6149.64</v>
      </c>
      <c r="II91" s="561">
        <v>14180.64</v>
      </c>
      <c r="IJ91" s="561">
        <v>0</v>
      </c>
      <c r="IK91" s="561">
        <v>28</v>
      </c>
      <c r="IL91" s="561">
        <v>26773</v>
      </c>
      <c r="IM91" s="561">
        <v>0</v>
      </c>
      <c r="IN91" s="561">
        <v>646.74</v>
      </c>
      <c r="IO91" s="561">
        <v>14819.62</v>
      </c>
      <c r="IP91" s="561">
        <v>0</v>
      </c>
      <c r="IQ91" s="561">
        <v>0</v>
      </c>
      <c r="IR91" s="561">
        <v>186740</v>
      </c>
      <c r="IS91" s="561">
        <v>17833</v>
      </c>
      <c r="IT91" s="561">
        <v>92031</v>
      </c>
      <c r="IU91" s="561">
        <v>92078</v>
      </c>
      <c r="IV91" s="561">
        <v>25854.91</v>
      </c>
      <c r="IW91" s="561">
        <v>7935</v>
      </c>
      <c r="IX91" s="561">
        <v>6474</v>
      </c>
      <c r="IY91" s="561">
        <v>27711.08</v>
      </c>
      <c r="IZ91" s="561">
        <v>10157.61</v>
      </c>
      <c r="JA91" s="561">
        <v>0</v>
      </c>
      <c r="JB91" s="561">
        <v>0</v>
      </c>
      <c r="JC91" s="561">
        <v>14180.64</v>
      </c>
      <c r="JD91" s="561">
        <v>0</v>
      </c>
      <c r="JE91" s="561">
        <v>480995.24</v>
      </c>
      <c r="JF91" s="561">
        <v>39128</v>
      </c>
      <c r="JG91" s="561">
        <v>8157</v>
      </c>
      <c r="JH91" s="561">
        <v>22257</v>
      </c>
      <c r="JI91" s="561">
        <v>0</v>
      </c>
      <c r="JJ91" s="561">
        <v>0</v>
      </c>
      <c r="JK91" s="561">
        <v>0</v>
      </c>
      <c r="JL91" s="561">
        <v>0</v>
      </c>
      <c r="JM91" s="561">
        <v>0</v>
      </c>
      <c r="JN91" s="561">
        <v>0</v>
      </c>
      <c r="JO91" s="561">
        <v>720</v>
      </c>
      <c r="JP91" s="561">
        <v>0</v>
      </c>
      <c r="JQ91" s="561">
        <v>0</v>
      </c>
      <c r="JR91" s="561">
        <v>0</v>
      </c>
      <c r="JS91" s="561">
        <v>0</v>
      </c>
      <c r="JT91" s="561">
        <v>0</v>
      </c>
      <c r="JU91" s="561">
        <v>0</v>
      </c>
      <c r="JV91" s="561">
        <v>551257.24</v>
      </c>
      <c r="JW91" s="561">
        <v>86</v>
      </c>
      <c r="JX91" s="561">
        <v>3711</v>
      </c>
      <c r="JY91" s="561">
        <v>0</v>
      </c>
      <c r="JZ91" s="561">
        <v>-883</v>
      </c>
      <c r="KA91" s="561">
        <v>0</v>
      </c>
      <c r="KB91" s="561">
        <v>0</v>
      </c>
      <c r="KC91" s="561">
        <v>5245</v>
      </c>
      <c r="KD91" s="561">
        <v>-12</v>
      </c>
      <c r="KE91" s="561">
        <v>26282</v>
      </c>
      <c r="KF91" s="561">
        <v>-8936</v>
      </c>
      <c r="KG91" s="561">
        <v>576750.24</v>
      </c>
      <c r="KH91" s="561">
        <v>-3837</v>
      </c>
      <c r="KI91" s="561">
        <v>-6257</v>
      </c>
      <c r="KJ91" s="561">
        <v>0</v>
      </c>
      <c r="KK91" s="561">
        <v>0</v>
      </c>
      <c r="KL91" s="561">
        <v>-81014</v>
      </c>
      <c r="KM91" s="561">
        <v>0</v>
      </c>
      <c r="KN91" s="561">
        <v>0</v>
      </c>
      <c r="KO91" s="561">
        <v>0</v>
      </c>
      <c r="KP91" s="561">
        <v>0</v>
      </c>
      <c r="KQ91" s="561">
        <v>-3500</v>
      </c>
      <c r="KR91" s="561">
        <v>482142.24</v>
      </c>
      <c r="KS91" s="561">
        <v>-196</v>
      </c>
      <c r="KT91" s="561">
        <v>-257249</v>
      </c>
      <c r="KU91" s="561">
        <v>224697.24</v>
      </c>
      <c r="KV91" s="561">
        <v>0</v>
      </c>
      <c r="KW91" s="561">
        <v>-107</v>
      </c>
      <c r="KX91" s="561">
        <v>0</v>
      </c>
      <c r="KY91" s="561">
        <v>-389</v>
      </c>
      <c r="KZ91" s="561">
        <v>-49</v>
      </c>
      <c r="LA91" s="561">
        <v>2146</v>
      </c>
      <c r="LB91" s="561">
        <v>-15835</v>
      </c>
      <c r="LC91" s="561">
        <v>0</v>
      </c>
      <c r="LD91" s="561">
        <v>-87496</v>
      </c>
      <c r="LE91" s="561">
        <v>1994</v>
      </c>
      <c r="LF91" s="561">
        <v>0</v>
      </c>
      <c r="LG91" s="561">
        <v>124961</v>
      </c>
      <c r="LH91" s="561">
        <v>8901</v>
      </c>
      <c r="LI91" s="561">
        <v>-8247</v>
      </c>
      <c r="LJ91" s="561">
        <v>0</v>
      </c>
      <c r="LK91" s="561">
        <v>1365</v>
      </c>
      <c r="LL91" s="561">
        <v>64259</v>
      </c>
      <c r="LM91" s="561">
        <v>6511</v>
      </c>
      <c r="LN91" s="561">
        <v>8794</v>
      </c>
      <c r="LO91" s="561">
        <v>-11747</v>
      </c>
      <c r="LP91" s="561">
        <v>0</v>
      </c>
      <c r="LQ91" s="561">
        <v>976</v>
      </c>
      <c r="LR91" s="561">
        <v>64210</v>
      </c>
      <c r="LS91" s="561">
        <v>8657</v>
      </c>
      <c r="LT91" s="561">
        <v>0</v>
      </c>
      <c r="LU91" s="561">
        <v>42426</v>
      </c>
      <c r="LV91" s="561">
        <v>1154</v>
      </c>
      <c r="LW91" s="561">
        <v>22179</v>
      </c>
      <c r="LX91" s="561">
        <v>-26336</v>
      </c>
      <c r="LY91" s="561">
        <v>15530</v>
      </c>
      <c r="LZ91" s="561">
        <v>55564</v>
      </c>
      <c r="MA91" s="561">
        <v>0</v>
      </c>
      <c r="MB91" s="561">
        <v>0</v>
      </c>
      <c r="MC91" s="561">
        <v>75788.77</v>
      </c>
      <c r="MD91" s="561">
        <v>68541.039999999994</v>
      </c>
      <c r="ME91" s="561">
        <v>7247.73</v>
      </c>
      <c r="MF91" s="561">
        <v>40440</v>
      </c>
      <c r="MG91" s="561">
        <v>47687.73</v>
      </c>
      <c r="MH91" s="561">
        <v>7105</v>
      </c>
      <c r="MI91" s="561">
        <v>7788</v>
      </c>
      <c r="MJ91" s="561">
        <v>14893</v>
      </c>
      <c r="MK91" s="561">
        <v>0</v>
      </c>
      <c r="ML91" s="561">
        <v>27279</v>
      </c>
      <c r="MM91" s="561">
        <v>31937</v>
      </c>
      <c r="MN91" s="561">
        <v>4994</v>
      </c>
      <c r="MO91" s="561">
        <v>0</v>
      </c>
      <c r="MP91" s="561">
        <v>0</v>
      </c>
      <c r="MQ91" s="561">
        <v>186740</v>
      </c>
      <c r="MR91" s="561">
        <v>17833</v>
      </c>
      <c r="MS91" s="561">
        <v>92031</v>
      </c>
      <c r="MT91" s="561">
        <v>92078</v>
      </c>
      <c r="MU91" s="561">
        <v>25854.91</v>
      </c>
      <c r="MV91" s="561">
        <v>7935</v>
      </c>
      <c r="MW91" s="561">
        <v>6474</v>
      </c>
      <c r="MX91" s="561">
        <v>27711.08</v>
      </c>
      <c r="MY91" s="561">
        <v>10157.61</v>
      </c>
      <c r="MZ91" s="561">
        <v>0</v>
      </c>
      <c r="NA91" s="561">
        <v>0</v>
      </c>
      <c r="NB91" s="561">
        <v>14180.64</v>
      </c>
      <c r="NC91" s="561">
        <v>0</v>
      </c>
      <c r="ND91" s="561">
        <v>480995.24</v>
      </c>
      <c r="NE91" s="561">
        <v>0</v>
      </c>
      <c r="NF91" s="561">
        <v>0</v>
      </c>
      <c r="NG91" s="561">
        <v>0</v>
      </c>
      <c r="NH91" s="561">
        <v>0</v>
      </c>
      <c r="NI91" s="561">
        <v>0</v>
      </c>
      <c r="NJ91" s="561">
        <v>0</v>
      </c>
      <c r="NK91" s="561">
        <v>0</v>
      </c>
      <c r="NL91" s="561">
        <v>0</v>
      </c>
      <c r="NM91" s="561">
        <v>0</v>
      </c>
      <c r="NN91" s="561">
        <v>0</v>
      </c>
      <c r="NO91" s="561">
        <v>0</v>
      </c>
      <c r="NP91" s="561">
        <v>0</v>
      </c>
      <c r="NQ91" s="561">
        <v>0</v>
      </c>
      <c r="NR91" s="561">
        <v>0</v>
      </c>
      <c r="NS91" s="561">
        <v>0</v>
      </c>
      <c r="NT91" s="561">
        <v>0</v>
      </c>
      <c r="NU91" s="561">
        <v>0</v>
      </c>
      <c r="NV91" s="561">
        <v>0</v>
      </c>
      <c r="NW91" s="561">
        <v>0</v>
      </c>
      <c r="NX91" s="561">
        <v>0</v>
      </c>
      <c r="NY91" s="561">
        <v>0</v>
      </c>
      <c r="NZ91" s="561">
        <v>0</v>
      </c>
      <c r="OA91" s="561">
        <v>0</v>
      </c>
      <c r="OB91" s="561">
        <v>0</v>
      </c>
      <c r="OC91" s="561">
        <v>0</v>
      </c>
      <c r="OD91" s="561">
        <v>0</v>
      </c>
      <c r="OE91" s="561">
        <v>0</v>
      </c>
      <c r="OF91" s="561">
        <v>0</v>
      </c>
      <c r="OG91" s="561">
        <v>0</v>
      </c>
      <c r="OH91" s="561">
        <v>0</v>
      </c>
      <c r="OI91" s="561">
        <v>0</v>
      </c>
      <c r="OJ91" s="561">
        <v>0</v>
      </c>
      <c r="OK91" s="561">
        <v>0</v>
      </c>
      <c r="OL91" s="561">
        <v>0</v>
      </c>
      <c r="OM91" s="561">
        <v>0</v>
      </c>
      <c r="ON91" s="561">
        <v>0</v>
      </c>
      <c r="OO91" s="561">
        <v>0</v>
      </c>
      <c r="OP91" s="561">
        <v>0</v>
      </c>
      <c r="OQ91" s="561">
        <v>0</v>
      </c>
      <c r="OR91" s="561">
        <v>0</v>
      </c>
      <c r="OS91" s="561">
        <v>0</v>
      </c>
      <c r="OT91" s="561">
        <v>0</v>
      </c>
      <c r="OU91" s="561">
        <v>0</v>
      </c>
      <c r="OV91" s="561">
        <v>0</v>
      </c>
      <c r="OW91" s="561">
        <v>0</v>
      </c>
      <c r="OX91" s="561">
        <v>0</v>
      </c>
      <c r="OY91" s="561">
        <v>0</v>
      </c>
      <c r="OZ91" s="561">
        <v>0</v>
      </c>
      <c r="PA91" s="561">
        <v>0</v>
      </c>
      <c r="PB91" s="561">
        <v>0</v>
      </c>
      <c r="PC91" s="561">
        <v>0</v>
      </c>
      <c r="PD91" s="561">
        <v>0</v>
      </c>
      <c r="PE91" s="561">
        <v>0</v>
      </c>
      <c r="PF91" s="561">
        <v>0</v>
      </c>
      <c r="PG91" s="561">
        <v>0</v>
      </c>
      <c r="PH91" s="561">
        <v>0</v>
      </c>
      <c r="PI91" s="561">
        <v>0</v>
      </c>
      <c r="PJ91" s="561">
        <v>0</v>
      </c>
    </row>
    <row r="92" spans="1:426" ht="14" x14ac:dyDescent="0.3">
      <c r="A92" t="s">
        <v>2705</v>
      </c>
      <c r="B92" t="s">
        <v>2706</v>
      </c>
      <c r="C92" t="s">
        <v>4592</v>
      </c>
      <c r="E92" t="s">
        <v>2595</v>
      </c>
      <c r="F92" s="561">
        <v>81539</v>
      </c>
      <c r="G92" s="561">
        <v>290217</v>
      </c>
      <c r="H92" s="561">
        <v>92129</v>
      </c>
      <c r="I92" s="561">
        <v>44015</v>
      </c>
      <c r="J92" s="561">
        <v>7458</v>
      </c>
      <c r="K92" s="561">
        <v>60909</v>
      </c>
      <c r="L92" s="561">
        <v>576267</v>
      </c>
      <c r="M92" s="561">
        <v>11488</v>
      </c>
      <c r="N92" s="561">
        <v>2110</v>
      </c>
      <c r="O92" s="561">
        <v>-29</v>
      </c>
      <c r="P92" s="561">
        <v>311</v>
      </c>
      <c r="Q92" s="561">
        <v>153</v>
      </c>
      <c r="R92" s="561">
        <v>726</v>
      </c>
      <c r="S92" s="561">
        <v>2580</v>
      </c>
      <c r="T92" s="561">
        <v>11339</v>
      </c>
      <c r="U92" s="561">
        <v>4064</v>
      </c>
      <c r="V92" s="561">
        <v>3075</v>
      </c>
      <c r="W92" s="561">
        <v>0</v>
      </c>
      <c r="X92" s="561">
        <v>0</v>
      </c>
      <c r="Y92" s="561">
        <v>680</v>
      </c>
      <c r="Z92" s="561">
        <v>155</v>
      </c>
      <c r="AA92" s="561">
        <v>174</v>
      </c>
      <c r="AB92" s="561">
        <v>33</v>
      </c>
      <c r="AC92" s="561">
        <v>10558</v>
      </c>
      <c r="AD92" s="561">
        <v>-64</v>
      </c>
      <c r="AE92" s="561">
        <v>16631</v>
      </c>
      <c r="AF92" s="561">
        <v>13</v>
      </c>
      <c r="AG92" s="561">
        <v>0</v>
      </c>
      <c r="AH92" s="561">
        <v>562</v>
      </c>
      <c r="AI92" s="561">
        <v>0</v>
      </c>
      <c r="AJ92" s="561">
        <v>53071</v>
      </c>
      <c r="AK92" s="561">
        <v>1655</v>
      </c>
      <c r="AL92" s="561">
        <v>0</v>
      </c>
      <c r="AM92" s="561">
        <v>0</v>
      </c>
      <c r="AN92" s="561">
        <v>0</v>
      </c>
      <c r="AO92" s="561">
        <v>0</v>
      </c>
      <c r="AP92" s="561">
        <v>0</v>
      </c>
      <c r="AQ92" s="561">
        <v>0</v>
      </c>
      <c r="AR92" s="561">
        <v>0</v>
      </c>
      <c r="AS92" s="561">
        <v>644</v>
      </c>
      <c r="AT92" s="561">
        <v>130</v>
      </c>
      <c r="AU92" s="561">
        <v>0</v>
      </c>
      <c r="AV92" s="561">
        <v>0</v>
      </c>
      <c r="AW92" s="561">
        <v>0</v>
      </c>
      <c r="AX92" s="561">
        <v>-161</v>
      </c>
      <c r="AY92" s="561">
        <v>136973</v>
      </c>
      <c r="AZ92" s="561">
        <v>1563</v>
      </c>
      <c r="BA92" s="561">
        <v>20539</v>
      </c>
      <c r="BB92" s="561">
        <v>2649</v>
      </c>
      <c r="BC92" s="561">
        <v>27637</v>
      </c>
      <c r="BD92" s="561">
        <v>1939</v>
      </c>
      <c r="BE92" s="561">
        <v>5626</v>
      </c>
      <c r="BF92" s="561">
        <v>196765</v>
      </c>
      <c r="BG92" s="561">
        <v>5754</v>
      </c>
      <c r="BH92" s="561">
        <v>13697</v>
      </c>
      <c r="BI92" s="561">
        <v>119041</v>
      </c>
      <c r="BJ92" s="561">
        <v>1775</v>
      </c>
      <c r="BK92" s="561">
        <v>2658</v>
      </c>
      <c r="BL92" s="561">
        <v>1983</v>
      </c>
      <c r="BM92" s="561">
        <v>20381</v>
      </c>
      <c r="BN92" s="561">
        <v>124481</v>
      </c>
      <c r="BO92" s="561">
        <v>14446</v>
      </c>
      <c r="BP92" s="561">
        <v>15887</v>
      </c>
      <c r="BQ92" s="561">
        <v>11769</v>
      </c>
      <c r="BR92" s="561">
        <v>81</v>
      </c>
      <c r="BS92" s="561">
        <v>2337</v>
      </c>
      <c r="BT92" s="561">
        <v>3072</v>
      </c>
      <c r="BU92" s="561">
        <v>554</v>
      </c>
      <c r="BV92" s="561">
        <v>10814</v>
      </c>
      <c r="BW92" s="561">
        <v>30808</v>
      </c>
      <c r="BX92" s="561">
        <v>3762</v>
      </c>
      <c r="BY92" s="561">
        <v>16705</v>
      </c>
      <c r="BZ92" s="561">
        <v>394251</v>
      </c>
      <c r="CA92" s="561">
        <v>6739</v>
      </c>
      <c r="CB92" s="561">
        <v>3746</v>
      </c>
      <c r="CC92" s="561">
        <v>2514</v>
      </c>
      <c r="CD92" s="561">
        <v>854</v>
      </c>
      <c r="CE92" s="561">
        <v>757</v>
      </c>
      <c r="CF92" s="561">
        <v>1119</v>
      </c>
      <c r="CG92" s="561">
        <v>254</v>
      </c>
      <c r="CH92" s="561">
        <v>122</v>
      </c>
      <c r="CI92" s="561">
        <v>1270</v>
      </c>
      <c r="CJ92" s="561">
        <v>513</v>
      </c>
      <c r="CK92" s="561">
        <v>1981</v>
      </c>
      <c r="CL92" s="561">
        <v>431</v>
      </c>
      <c r="CM92" s="561">
        <v>7686</v>
      </c>
      <c r="CN92" s="561">
        <v>920</v>
      </c>
      <c r="CO92" s="561">
        <v>307</v>
      </c>
      <c r="CP92" s="561">
        <v>971</v>
      </c>
      <c r="CQ92" s="561">
        <v>680</v>
      </c>
      <c r="CR92" s="561">
        <v>2706</v>
      </c>
      <c r="CS92" s="561">
        <v>40</v>
      </c>
      <c r="CT92" s="561">
        <v>3891</v>
      </c>
      <c r="CU92" s="561">
        <v>11161</v>
      </c>
      <c r="CV92" s="561">
        <v>2451</v>
      </c>
      <c r="CW92" s="561">
        <v>548</v>
      </c>
      <c r="CX92" s="561">
        <v>4287</v>
      </c>
      <c r="CY92" s="561">
        <v>6731</v>
      </c>
      <c r="CZ92" s="561">
        <v>55940</v>
      </c>
      <c r="DA92" s="561">
        <v>81</v>
      </c>
      <c r="DB92" s="561">
        <v>351</v>
      </c>
      <c r="DC92" s="561">
        <v>0</v>
      </c>
      <c r="DD92" s="561">
        <v>287</v>
      </c>
      <c r="DE92" s="561">
        <v>0</v>
      </c>
      <c r="DF92" s="561">
        <v>0</v>
      </c>
      <c r="DG92" s="561">
        <v>0</v>
      </c>
      <c r="DH92" s="561">
        <v>0</v>
      </c>
      <c r="DI92" s="561">
        <v>0</v>
      </c>
      <c r="DJ92" s="561">
        <v>0</v>
      </c>
      <c r="DK92" s="561">
        <v>0</v>
      </c>
      <c r="DL92" s="561">
        <v>0</v>
      </c>
      <c r="DM92" s="561">
        <v>0</v>
      </c>
      <c r="DN92" s="561">
        <v>0</v>
      </c>
      <c r="DO92" s="561">
        <v>0</v>
      </c>
      <c r="DP92" s="561">
        <v>0</v>
      </c>
      <c r="DQ92" s="561">
        <v>0</v>
      </c>
      <c r="DR92" s="561">
        <v>0</v>
      </c>
      <c r="DS92" s="561">
        <v>0</v>
      </c>
      <c r="DT92" s="561">
        <v>0</v>
      </c>
      <c r="DU92" s="561">
        <v>0</v>
      </c>
      <c r="DV92" s="561">
        <v>0</v>
      </c>
      <c r="DW92" s="561">
        <v>0</v>
      </c>
      <c r="DX92" s="561">
        <v>0</v>
      </c>
      <c r="DY92" s="561">
        <v>0</v>
      </c>
      <c r="DZ92" s="561">
        <v>18</v>
      </c>
      <c r="EA92" s="561">
        <v>0</v>
      </c>
      <c r="EB92" s="561">
        <v>2071</v>
      </c>
      <c r="EC92" s="561">
        <v>2089</v>
      </c>
      <c r="ED92" s="561">
        <v>0</v>
      </c>
      <c r="EE92" s="561">
        <v>0</v>
      </c>
      <c r="EF92" s="561">
        <v>0</v>
      </c>
      <c r="EG92" s="561">
        <v>0</v>
      </c>
      <c r="EH92" s="561">
        <v>0</v>
      </c>
      <c r="EI92" s="561">
        <v>0</v>
      </c>
      <c r="EJ92" s="561">
        <v>0</v>
      </c>
      <c r="EK92" s="561">
        <v>0</v>
      </c>
      <c r="EL92" s="561">
        <v>0</v>
      </c>
      <c r="EM92" s="561">
        <v>0</v>
      </c>
      <c r="EN92" s="561">
        <v>0</v>
      </c>
      <c r="EO92" s="561">
        <v>0</v>
      </c>
      <c r="EP92" s="561">
        <v>0</v>
      </c>
      <c r="EQ92" s="561">
        <v>0</v>
      </c>
      <c r="ER92" s="561">
        <v>0</v>
      </c>
      <c r="ES92" s="561" t="s">
        <v>4565</v>
      </c>
      <c r="ET92" s="561">
        <v>0</v>
      </c>
      <c r="EU92" s="561">
        <v>0</v>
      </c>
      <c r="EV92" s="561">
        <v>0</v>
      </c>
      <c r="EW92" s="561">
        <v>0</v>
      </c>
      <c r="EX92" s="561">
        <v>0</v>
      </c>
      <c r="EY92" s="561">
        <v>0</v>
      </c>
      <c r="EZ92" s="561">
        <v>0</v>
      </c>
      <c r="FA92" s="561">
        <v>0</v>
      </c>
      <c r="FB92" s="561">
        <v>736</v>
      </c>
      <c r="FC92" s="561">
        <v>411</v>
      </c>
      <c r="FD92" s="561">
        <v>207</v>
      </c>
      <c r="FE92" s="561">
        <v>435</v>
      </c>
      <c r="FF92" s="561">
        <v>0</v>
      </c>
      <c r="FG92" s="561">
        <v>0</v>
      </c>
      <c r="FH92" s="561">
        <v>0</v>
      </c>
      <c r="FI92" s="561">
        <v>0</v>
      </c>
      <c r="FJ92" s="561">
        <v>0</v>
      </c>
      <c r="FK92" s="561">
        <v>4476</v>
      </c>
      <c r="FL92" s="561">
        <v>0</v>
      </c>
      <c r="FM92" s="561">
        <v>180</v>
      </c>
      <c r="FN92" s="561">
        <v>7350</v>
      </c>
      <c r="FO92" s="561">
        <v>13795</v>
      </c>
      <c r="FP92" s="561">
        <v>298</v>
      </c>
      <c r="FQ92" s="561">
        <v>0</v>
      </c>
      <c r="FR92" s="561">
        <v>1659</v>
      </c>
      <c r="FS92" s="561">
        <v>0</v>
      </c>
      <c r="FT92" s="561">
        <v>0</v>
      </c>
      <c r="FU92" s="561">
        <v>0</v>
      </c>
      <c r="FV92" s="561">
        <v>0</v>
      </c>
      <c r="FW92" s="561">
        <v>0</v>
      </c>
      <c r="FX92" s="561">
        <v>0</v>
      </c>
      <c r="FY92" s="561">
        <v>0</v>
      </c>
      <c r="FZ92" s="561">
        <v>0</v>
      </c>
      <c r="GA92" s="561">
        <v>0</v>
      </c>
      <c r="GB92" s="561">
        <v>0</v>
      </c>
      <c r="GC92" s="561">
        <v>-233</v>
      </c>
      <c r="GD92" s="561">
        <v>316</v>
      </c>
      <c r="GE92" s="561">
        <v>2149</v>
      </c>
      <c r="GF92" s="561">
        <v>0</v>
      </c>
      <c r="GG92" s="561">
        <v>1580</v>
      </c>
      <c r="GH92" s="561">
        <v>2511</v>
      </c>
      <c r="GI92" s="561">
        <v>0</v>
      </c>
      <c r="GJ92" s="561">
        <v>0</v>
      </c>
      <c r="GK92" s="561">
        <v>0</v>
      </c>
      <c r="GL92" s="561">
        <v>0</v>
      </c>
      <c r="GM92" s="561">
        <v>0</v>
      </c>
      <c r="GN92" s="561">
        <v>37220</v>
      </c>
      <c r="GO92" s="561">
        <v>0</v>
      </c>
      <c r="GP92" s="561">
        <v>15635</v>
      </c>
      <c r="GQ92" s="561">
        <v>11</v>
      </c>
      <c r="GR92" s="561">
        <v>291</v>
      </c>
      <c r="GS92" s="561">
        <v>61139</v>
      </c>
      <c r="GT92" s="561">
        <v>549</v>
      </c>
      <c r="GU92" s="561">
        <v>0</v>
      </c>
      <c r="GV92" s="561">
        <v>1031</v>
      </c>
      <c r="GW92" s="561">
        <v>720</v>
      </c>
      <c r="GX92" s="561">
        <v>0</v>
      </c>
      <c r="GY92" s="561">
        <v>25</v>
      </c>
      <c r="GZ92" s="561">
        <v>1411</v>
      </c>
      <c r="HA92" s="561">
        <v>0</v>
      </c>
      <c r="HB92" s="561">
        <v>1774</v>
      </c>
      <c r="HC92" s="561">
        <v>0</v>
      </c>
      <c r="HD92" s="561">
        <v>4961</v>
      </c>
      <c r="HE92" s="561">
        <v>634</v>
      </c>
      <c r="HF92" s="561">
        <v>79895</v>
      </c>
      <c r="HG92" s="561">
        <v>1480</v>
      </c>
      <c r="HH92" s="561">
        <v>0</v>
      </c>
      <c r="HI92" s="561">
        <v>0</v>
      </c>
      <c r="HJ92" s="561">
        <v>0</v>
      </c>
      <c r="HK92" s="561">
        <v>0</v>
      </c>
      <c r="HL92" s="561">
        <v>0</v>
      </c>
      <c r="HM92" s="561">
        <v>0</v>
      </c>
      <c r="HN92" s="561">
        <v>0</v>
      </c>
      <c r="HO92" s="561">
        <v>5889</v>
      </c>
      <c r="HP92" s="561">
        <v>0</v>
      </c>
      <c r="HQ92" s="561">
        <v>0</v>
      </c>
      <c r="HR92" s="561">
        <v>0</v>
      </c>
      <c r="HS92" s="561">
        <v>0</v>
      </c>
      <c r="HT92" s="561">
        <v>0</v>
      </c>
      <c r="HU92" s="561">
        <v>0</v>
      </c>
      <c r="HV92" s="561">
        <v>-843</v>
      </c>
      <c r="HW92" s="561">
        <v>0</v>
      </c>
      <c r="HX92" s="561">
        <v>0</v>
      </c>
      <c r="HY92" s="561">
        <v>544</v>
      </c>
      <c r="HZ92" s="561">
        <v>0</v>
      </c>
      <c r="IA92" s="561">
        <v>533</v>
      </c>
      <c r="IB92" s="561">
        <v>0</v>
      </c>
      <c r="IC92" s="561">
        <v>2391</v>
      </c>
      <c r="ID92" s="561">
        <v>0</v>
      </c>
      <c r="IE92" s="561">
        <v>19</v>
      </c>
      <c r="IF92" s="561">
        <v>3</v>
      </c>
      <c r="IG92" s="561">
        <v>0</v>
      </c>
      <c r="IH92" s="561">
        <v>-850</v>
      </c>
      <c r="II92" s="561">
        <v>7686</v>
      </c>
      <c r="IJ92" s="561">
        <v>1736</v>
      </c>
      <c r="IK92" s="561">
        <v>29158</v>
      </c>
      <c r="IL92" s="561">
        <v>80335</v>
      </c>
      <c r="IM92" s="561">
        <v>0</v>
      </c>
      <c r="IN92" s="561">
        <v>0</v>
      </c>
      <c r="IO92" s="561">
        <v>0</v>
      </c>
      <c r="IP92" s="561">
        <v>6919</v>
      </c>
      <c r="IQ92" s="561">
        <v>0</v>
      </c>
      <c r="IR92" s="561">
        <v>576267</v>
      </c>
      <c r="IS92" s="561">
        <v>53071</v>
      </c>
      <c r="IT92" s="561">
        <v>196765</v>
      </c>
      <c r="IU92" s="561">
        <v>394251</v>
      </c>
      <c r="IV92" s="561">
        <v>55940</v>
      </c>
      <c r="IW92" s="561">
        <v>2089</v>
      </c>
      <c r="IX92" s="561">
        <v>13795</v>
      </c>
      <c r="IY92" s="561">
        <v>61139</v>
      </c>
      <c r="IZ92" s="561">
        <v>4961</v>
      </c>
      <c r="JA92" s="561">
        <v>0</v>
      </c>
      <c r="JB92" s="561">
        <v>0</v>
      </c>
      <c r="JC92" s="561">
        <v>7686</v>
      </c>
      <c r="JD92" s="561">
        <v>6919</v>
      </c>
      <c r="JE92" s="561">
        <v>1372883</v>
      </c>
      <c r="JF92" s="561">
        <v>0</v>
      </c>
      <c r="JG92" s="561">
        <v>0</v>
      </c>
      <c r="JH92" s="561">
        <v>0</v>
      </c>
      <c r="JI92" s="561">
        <v>0</v>
      </c>
      <c r="JJ92" s="561">
        <v>0</v>
      </c>
      <c r="JK92" s="561">
        <v>0</v>
      </c>
      <c r="JL92" s="561">
        <v>0</v>
      </c>
      <c r="JM92" s="561">
        <v>0</v>
      </c>
      <c r="JN92" s="561">
        <v>0</v>
      </c>
      <c r="JO92" s="561">
        <v>6</v>
      </c>
      <c r="JP92" s="561">
        <v>-1328</v>
      </c>
      <c r="JQ92" s="561">
        <v>140</v>
      </c>
      <c r="JR92" s="561">
        <v>0</v>
      </c>
      <c r="JS92" s="561">
        <v>0</v>
      </c>
      <c r="JT92" s="561">
        <v>-1924</v>
      </c>
      <c r="JU92" s="561">
        <v>0</v>
      </c>
      <c r="JV92" s="561">
        <v>1369777</v>
      </c>
      <c r="JW92" s="561">
        <v>377</v>
      </c>
      <c r="JX92" s="561">
        <v>0</v>
      </c>
      <c r="JY92" s="561">
        <v>96</v>
      </c>
      <c r="JZ92" s="561">
        <v>0</v>
      </c>
      <c r="KA92" s="561">
        <v>0</v>
      </c>
      <c r="KB92" s="561">
        <v>0</v>
      </c>
      <c r="KC92" s="561">
        <v>12887</v>
      </c>
      <c r="KD92" s="561">
        <v>845</v>
      </c>
      <c r="KE92" s="561">
        <v>24615</v>
      </c>
      <c r="KF92" s="561">
        <v>0</v>
      </c>
      <c r="KG92" s="561">
        <v>1408597</v>
      </c>
      <c r="KH92" s="561">
        <v>-15222</v>
      </c>
      <c r="KI92" s="561">
        <v>0</v>
      </c>
      <c r="KJ92" s="561">
        <v>279</v>
      </c>
      <c r="KK92" s="561">
        <v>0</v>
      </c>
      <c r="KL92" s="561">
        <v>-12195</v>
      </c>
      <c r="KM92" s="561">
        <v>0</v>
      </c>
      <c r="KN92" s="561">
        <v>0</v>
      </c>
      <c r="KO92" s="561">
        <v>0</v>
      </c>
      <c r="KP92" s="561">
        <v>0</v>
      </c>
      <c r="KQ92" s="561">
        <v>-27902</v>
      </c>
      <c r="KR92" s="561">
        <v>1353557</v>
      </c>
      <c r="KS92" s="561">
        <v>-2019</v>
      </c>
      <c r="KT92" s="561">
        <v>-755408</v>
      </c>
      <c r="KU92" s="561">
        <v>596130</v>
      </c>
      <c r="KV92" s="561">
        <v>0</v>
      </c>
      <c r="KW92" s="561">
        <v>-1612</v>
      </c>
      <c r="KX92" s="561">
        <v>0</v>
      </c>
      <c r="KY92" s="561">
        <v>-208</v>
      </c>
      <c r="KZ92" s="561">
        <v>-10533</v>
      </c>
      <c r="LA92" s="561">
        <v>-616</v>
      </c>
      <c r="LB92" s="561">
        <v>-16755</v>
      </c>
      <c r="LC92" s="561">
        <v>0</v>
      </c>
      <c r="LD92" s="561">
        <v>-156295</v>
      </c>
      <c r="LE92" s="561">
        <v>212</v>
      </c>
      <c r="LF92" s="561">
        <v>0</v>
      </c>
      <c r="LG92" s="561">
        <v>410323</v>
      </c>
      <c r="LH92" s="561">
        <v>31096</v>
      </c>
      <c r="LI92" s="561">
        <v>-16945</v>
      </c>
      <c r="LJ92" s="561">
        <v>0</v>
      </c>
      <c r="LK92" s="561">
        <v>7493</v>
      </c>
      <c r="LL92" s="561">
        <v>166578</v>
      </c>
      <c r="LM92" s="561">
        <v>40182</v>
      </c>
      <c r="LN92" s="561">
        <v>29484</v>
      </c>
      <c r="LO92" s="561">
        <v>-44847</v>
      </c>
      <c r="LP92" s="561">
        <v>0</v>
      </c>
      <c r="LQ92" s="561">
        <v>7285</v>
      </c>
      <c r="LR92" s="561">
        <v>156045</v>
      </c>
      <c r="LS92" s="561">
        <v>39566</v>
      </c>
      <c r="LT92" s="561">
        <v>0</v>
      </c>
      <c r="LU92" s="561">
        <v>39980</v>
      </c>
      <c r="LV92" s="561">
        <v>0</v>
      </c>
      <c r="LW92" s="561">
        <v>20399</v>
      </c>
      <c r="LX92" s="561">
        <v>-76063</v>
      </c>
      <c r="LY92" s="561">
        <v>24308</v>
      </c>
      <c r="LZ92" s="561">
        <v>6818</v>
      </c>
      <c r="MA92" s="561">
        <v>0</v>
      </c>
      <c r="MB92" s="561">
        <v>0</v>
      </c>
      <c r="MC92" s="561">
        <v>0</v>
      </c>
      <c r="MD92" s="561">
        <v>0</v>
      </c>
      <c r="ME92" s="561">
        <v>0</v>
      </c>
      <c r="MF92" s="561">
        <v>0</v>
      </c>
      <c r="MG92" s="561">
        <v>0</v>
      </c>
      <c r="MH92" s="561">
        <v>0</v>
      </c>
      <c r="MI92" s="561">
        <v>0</v>
      </c>
      <c r="MJ92" s="561">
        <v>0</v>
      </c>
      <c r="MK92" s="561">
        <v>0</v>
      </c>
      <c r="ML92" s="561">
        <v>30400</v>
      </c>
      <c r="MM92" s="561">
        <v>11973</v>
      </c>
      <c r="MN92" s="561">
        <v>16499</v>
      </c>
      <c r="MO92" s="561">
        <v>61919</v>
      </c>
      <c r="MP92" s="561">
        <v>35254</v>
      </c>
      <c r="MQ92" s="561">
        <v>576267</v>
      </c>
      <c r="MR92" s="561">
        <v>53071</v>
      </c>
      <c r="MS92" s="561">
        <v>196765</v>
      </c>
      <c r="MT92" s="561">
        <v>394251</v>
      </c>
      <c r="MU92" s="561">
        <v>55940</v>
      </c>
      <c r="MV92" s="561">
        <v>2089</v>
      </c>
      <c r="MW92" s="561">
        <v>13795</v>
      </c>
      <c r="MX92" s="561">
        <v>61139</v>
      </c>
      <c r="MY92" s="561">
        <v>4961</v>
      </c>
      <c r="MZ92" s="561">
        <v>0</v>
      </c>
      <c r="NA92" s="561">
        <v>0</v>
      </c>
      <c r="NB92" s="561">
        <v>7686</v>
      </c>
      <c r="NC92" s="561">
        <v>6919</v>
      </c>
      <c r="ND92" s="561">
        <v>1372883</v>
      </c>
      <c r="NE92" s="561">
        <v>0</v>
      </c>
      <c r="NF92" s="561">
        <v>0</v>
      </c>
      <c r="NG92" s="561">
        <v>0</v>
      </c>
      <c r="NH92" s="561">
        <v>0</v>
      </c>
      <c r="NI92" s="561">
        <v>0</v>
      </c>
      <c r="NJ92" s="561">
        <v>0</v>
      </c>
      <c r="NK92" s="561">
        <v>0</v>
      </c>
      <c r="NL92" s="561">
        <v>0</v>
      </c>
      <c r="NM92" s="561">
        <v>0</v>
      </c>
      <c r="NN92" s="561">
        <v>0</v>
      </c>
      <c r="NO92" s="561">
        <v>0</v>
      </c>
      <c r="NP92" s="561">
        <v>0</v>
      </c>
      <c r="NQ92" s="561">
        <v>0</v>
      </c>
      <c r="NR92" s="561">
        <v>0</v>
      </c>
      <c r="NS92" s="561">
        <v>0</v>
      </c>
      <c r="NT92" s="561">
        <v>-1328</v>
      </c>
      <c r="NU92" s="561">
        <v>0</v>
      </c>
      <c r="NV92" s="561">
        <v>0</v>
      </c>
      <c r="NW92" s="561">
        <v>-1328</v>
      </c>
      <c r="NX92" s="561">
        <v>0</v>
      </c>
      <c r="NY92" s="561">
        <v>-1328</v>
      </c>
      <c r="NZ92" s="561">
        <v>0</v>
      </c>
      <c r="OA92" s="561">
        <v>0</v>
      </c>
      <c r="OB92" s="561">
        <v>0</v>
      </c>
      <c r="OC92" s="561">
        <v>0</v>
      </c>
      <c r="OD92" s="561">
        <v>0</v>
      </c>
      <c r="OE92" s="561">
        <v>0</v>
      </c>
      <c r="OF92" s="561">
        <v>0</v>
      </c>
      <c r="OG92" s="561">
        <v>0</v>
      </c>
      <c r="OH92" s="561">
        <v>0</v>
      </c>
      <c r="OI92" s="561">
        <v>0</v>
      </c>
      <c r="OJ92" s="561">
        <v>0</v>
      </c>
      <c r="OK92" s="561">
        <v>0</v>
      </c>
      <c r="OL92" s="561">
        <v>0</v>
      </c>
      <c r="OM92" s="561">
        <v>0</v>
      </c>
      <c r="ON92" s="561">
        <v>0</v>
      </c>
      <c r="OO92" s="561">
        <v>0</v>
      </c>
      <c r="OP92" s="561">
        <v>140</v>
      </c>
      <c r="OQ92" s="561">
        <v>0</v>
      </c>
      <c r="OR92" s="561">
        <v>0</v>
      </c>
      <c r="OS92" s="561">
        <v>0</v>
      </c>
      <c r="OT92" s="561">
        <v>0</v>
      </c>
      <c r="OU92" s="561">
        <v>0</v>
      </c>
      <c r="OV92" s="561">
        <v>926</v>
      </c>
      <c r="OW92" s="561">
        <v>0</v>
      </c>
      <c r="OX92" s="561">
        <v>140</v>
      </c>
      <c r="OY92" s="561">
        <v>0</v>
      </c>
      <c r="OZ92" s="561">
        <v>0</v>
      </c>
      <c r="PA92" s="561">
        <v>0</v>
      </c>
      <c r="PB92" s="561">
        <v>0</v>
      </c>
      <c r="PC92" s="561">
        <v>0</v>
      </c>
      <c r="PD92" s="561">
        <v>0</v>
      </c>
      <c r="PE92" s="561">
        <v>0</v>
      </c>
      <c r="PF92" s="561">
        <v>0</v>
      </c>
      <c r="PG92" s="561">
        <v>0</v>
      </c>
      <c r="PH92" s="561">
        <v>0</v>
      </c>
      <c r="PI92" s="561">
        <v>0</v>
      </c>
      <c r="PJ92" s="561">
        <v>0</v>
      </c>
    </row>
    <row r="93" spans="1:426" ht="14" x14ac:dyDescent="0.3">
      <c r="A93" t="s">
        <v>2708</v>
      </c>
      <c r="B93" t="s">
        <v>2709</v>
      </c>
      <c r="C93" t="s">
        <v>4593</v>
      </c>
      <c r="E93" t="s">
        <v>2466</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561">
        <v>0</v>
      </c>
      <c r="BG93" s="561">
        <v>0</v>
      </c>
      <c r="BH93" s="561">
        <v>0</v>
      </c>
      <c r="BI93" s="561">
        <v>0</v>
      </c>
      <c r="BJ93" s="561">
        <v>0</v>
      </c>
      <c r="BK93" s="561">
        <v>0</v>
      </c>
      <c r="BL93" s="561">
        <v>0</v>
      </c>
      <c r="BM93" s="561">
        <v>0</v>
      </c>
      <c r="BN93" s="561">
        <v>0</v>
      </c>
      <c r="BO93" s="561">
        <v>0</v>
      </c>
      <c r="BP93" s="561">
        <v>0</v>
      </c>
      <c r="BQ93" s="561">
        <v>0</v>
      </c>
      <c r="BR93" s="561">
        <v>0</v>
      </c>
      <c r="BS93" s="561">
        <v>0</v>
      </c>
      <c r="BT93" s="561">
        <v>0</v>
      </c>
      <c r="BU93" s="561">
        <v>0</v>
      </c>
      <c r="BV93" s="561">
        <v>0</v>
      </c>
      <c r="BW93" s="561">
        <v>0</v>
      </c>
      <c r="BX93" s="561">
        <v>0</v>
      </c>
      <c r="BY93" s="561">
        <v>0</v>
      </c>
      <c r="BZ93" s="561">
        <v>0</v>
      </c>
      <c r="CA93" s="561">
        <v>0</v>
      </c>
      <c r="CB93" s="561">
        <v>0</v>
      </c>
      <c r="CC93" s="561">
        <v>0</v>
      </c>
      <c r="CD93" s="561">
        <v>0</v>
      </c>
      <c r="CE93" s="561">
        <v>0</v>
      </c>
      <c r="CF93" s="561">
        <v>0</v>
      </c>
      <c r="CG93" s="561">
        <v>0</v>
      </c>
      <c r="CH93" s="561">
        <v>0</v>
      </c>
      <c r="CI93" s="561">
        <v>0</v>
      </c>
      <c r="CJ93" s="561">
        <v>0</v>
      </c>
      <c r="CK93" s="561">
        <v>0</v>
      </c>
      <c r="CL93" s="561">
        <v>0</v>
      </c>
      <c r="CM93" s="561">
        <v>0</v>
      </c>
      <c r="CN93" s="561">
        <v>0</v>
      </c>
      <c r="CO93" s="561">
        <v>0</v>
      </c>
      <c r="CP93" s="561">
        <v>0</v>
      </c>
      <c r="CQ93" s="561">
        <v>0</v>
      </c>
      <c r="CR93" s="561">
        <v>0</v>
      </c>
      <c r="CS93" s="561">
        <v>0</v>
      </c>
      <c r="CT93" s="561">
        <v>0</v>
      </c>
      <c r="CU93" s="561">
        <v>0</v>
      </c>
      <c r="CV93" s="561">
        <v>0</v>
      </c>
      <c r="CW93" s="561">
        <v>0</v>
      </c>
      <c r="CX93" s="561">
        <v>0</v>
      </c>
      <c r="CY93" s="561">
        <v>0</v>
      </c>
      <c r="CZ93" s="561">
        <v>0</v>
      </c>
      <c r="DA93" s="561">
        <v>0</v>
      </c>
      <c r="DB93" s="561">
        <v>0</v>
      </c>
      <c r="DC93" s="561">
        <v>0</v>
      </c>
      <c r="DD93" s="561">
        <v>0</v>
      </c>
      <c r="DE93" s="561">
        <v>0</v>
      </c>
      <c r="DF93" s="561">
        <v>0</v>
      </c>
      <c r="DG93" s="561">
        <v>0</v>
      </c>
      <c r="DH93" s="561">
        <v>0</v>
      </c>
      <c r="DI93" s="561">
        <v>0</v>
      </c>
      <c r="DJ93" s="561">
        <v>0</v>
      </c>
      <c r="DK93" s="561">
        <v>0</v>
      </c>
      <c r="DL93" s="561">
        <v>0</v>
      </c>
      <c r="DM93" s="561">
        <v>0</v>
      </c>
      <c r="DN93" s="561">
        <v>0</v>
      </c>
      <c r="DO93" s="561">
        <v>0</v>
      </c>
      <c r="DP93" s="561">
        <v>0</v>
      </c>
      <c r="DQ93" s="561">
        <v>0</v>
      </c>
      <c r="DR93" s="561">
        <v>0</v>
      </c>
      <c r="DS93" s="561">
        <v>0</v>
      </c>
      <c r="DT93" s="561">
        <v>0</v>
      </c>
      <c r="DU93" s="561">
        <v>0</v>
      </c>
      <c r="DV93" s="561">
        <v>0</v>
      </c>
      <c r="DW93" s="561">
        <v>0</v>
      </c>
      <c r="DX93" s="561">
        <v>0</v>
      </c>
      <c r="DY93" s="561">
        <v>0</v>
      </c>
      <c r="DZ93" s="561">
        <v>0</v>
      </c>
      <c r="EA93" s="561">
        <v>0</v>
      </c>
      <c r="EB93" s="561">
        <v>0</v>
      </c>
      <c r="EC93" s="561">
        <v>0</v>
      </c>
      <c r="ED93" s="561">
        <v>0</v>
      </c>
      <c r="EE93" s="561">
        <v>0</v>
      </c>
      <c r="EF93" s="561">
        <v>0</v>
      </c>
      <c r="EG93" s="561">
        <v>0</v>
      </c>
      <c r="EH93" s="561">
        <v>0</v>
      </c>
      <c r="EI93" s="561">
        <v>0</v>
      </c>
      <c r="EJ93" s="561">
        <v>0</v>
      </c>
      <c r="EK93" s="561">
        <v>0</v>
      </c>
      <c r="EL93" s="561">
        <v>0</v>
      </c>
      <c r="EM93" s="561">
        <v>0</v>
      </c>
      <c r="EN93" s="561">
        <v>0</v>
      </c>
      <c r="EO93" s="561">
        <v>0</v>
      </c>
      <c r="EP93" s="561">
        <v>0</v>
      </c>
      <c r="EQ93" s="561">
        <v>0</v>
      </c>
      <c r="ER93" s="561">
        <v>0</v>
      </c>
      <c r="ES93" s="561" t="s">
        <v>4565</v>
      </c>
      <c r="ET93" s="561">
        <v>0</v>
      </c>
      <c r="EU93" s="561">
        <v>0</v>
      </c>
      <c r="EV93" s="561">
        <v>0</v>
      </c>
      <c r="EW93" s="561">
        <v>0</v>
      </c>
      <c r="EX93" s="561">
        <v>0</v>
      </c>
      <c r="EY93" s="561">
        <v>0</v>
      </c>
      <c r="EZ93" s="561">
        <v>0</v>
      </c>
      <c r="FA93" s="561">
        <v>0</v>
      </c>
      <c r="FB93" s="561">
        <v>0</v>
      </c>
      <c r="FC93" s="561">
        <v>0</v>
      </c>
      <c r="FD93" s="561">
        <v>0</v>
      </c>
      <c r="FE93" s="561">
        <v>0</v>
      </c>
      <c r="FF93" s="561">
        <v>0</v>
      </c>
      <c r="FG93" s="561">
        <v>0</v>
      </c>
      <c r="FH93" s="561">
        <v>0</v>
      </c>
      <c r="FI93" s="561">
        <v>0</v>
      </c>
      <c r="FJ93" s="561">
        <v>0</v>
      </c>
      <c r="FK93" s="561">
        <v>0</v>
      </c>
      <c r="FL93" s="561">
        <v>0</v>
      </c>
      <c r="FM93" s="561">
        <v>0</v>
      </c>
      <c r="FN93" s="561">
        <v>0</v>
      </c>
      <c r="FO93" s="561">
        <v>0</v>
      </c>
      <c r="FP93" s="561">
        <v>0</v>
      </c>
      <c r="FQ93" s="561">
        <v>0</v>
      </c>
      <c r="FR93" s="561">
        <v>0</v>
      </c>
      <c r="FS93" s="561">
        <v>0</v>
      </c>
      <c r="FT93" s="561">
        <v>0</v>
      </c>
      <c r="FU93" s="561">
        <v>0</v>
      </c>
      <c r="FV93" s="561">
        <v>0</v>
      </c>
      <c r="FW93" s="561">
        <v>0</v>
      </c>
      <c r="FX93" s="561">
        <v>0</v>
      </c>
      <c r="FY93" s="561">
        <v>0</v>
      </c>
      <c r="FZ93" s="561">
        <v>0</v>
      </c>
      <c r="GA93" s="561">
        <v>0</v>
      </c>
      <c r="GB93" s="561">
        <v>0</v>
      </c>
      <c r="GC93" s="561">
        <v>0</v>
      </c>
      <c r="GD93" s="561">
        <v>0</v>
      </c>
      <c r="GE93" s="561">
        <v>0</v>
      </c>
      <c r="GF93" s="561">
        <v>0</v>
      </c>
      <c r="GG93" s="561">
        <v>0</v>
      </c>
      <c r="GH93" s="561">
        <v>0</v>
      </c>
      <c r="GI93" s="561">
        <v>0</v>
      </c>
      <c r="GJ93" s="561">
        <v>0</v>
      </c>
      <c r="GK93" s="561">
        <v>0</v>
      </c>
      <c r="GL93" s="561">
        <v>0</v>
      </c>
      <c r="GM93" s="561">
        <v>0</v>
      </c>
      <c r="GN93" s="561">
        <v>0</v>
      </c>
      <c r="GO93" s="561">
        <v>0</v>
      </c>
      <c r="GP93" s="561">
        <v>0</v>
      </c>
      <c r="GQ93" s="561">
        <v>0</v>
      </c>
      <c r="GR93" s="561">
        <v>0</v>
      </c>
      <c r="GS93" s="561">
        <v>0</v>
      </c>
      <c r="GT93" s="561">
        <v>0</v>
      </c>
      <c r="GU93" s="561">
        <v>0</v>
      </c>
      <c r="GV93" s="561">
        <v>0</v>
      </c>
      <c r="GW93" s="561">
        <v>0</v>
      </c>
      <c r="GX93" s="561">
        <v>0</v>
      </c>
      <c r="GY93" s="561">
        <v>0</v>
      </c>
      <c r="GZ93" s="561">
        <v>0</v>
      </c>
      <c r="HA93" s="561">
        <v>0</v>
      </c>
      <c r="HB93" s="561">
        <v>0</v>
      </c>
      <c r="HC93" s="561">
        <v>0</v>
      </c>
      <c r="HD93" s="561">
        <v>0</v>
      </c>
      <c r="HE93" s="561">
        <v>0</v>
      </c>
      <c r="HF93" s="561">
        <v>0</v>
      </c>
      <c r="HG93" s="561">
        <v>0</v>
      </c>
      <c r="HH93" s="561">
        <v>0</v>
      </c>
      <c r="HI93" s="561">
        <v>0</v>
      </c>
      <c r="HJ93" s="561">
        <v>7510</v>
      </c>
      <c r="HK93" s="561">
        <v>40834</v>
      </c>
      <c r="HL93" s="561">
        <v>151</v>
      </c>
      <c r="HM93" s="561">
        <v>48495</v>
      </c>
      <c r="HN93" s="561">
        <v>79</v>
      </c>
      <c r="HO93" s="561">
        <v>671</v>
      </c>
      <c r="HP93" s="561">
        <v>0</v>
      </c>
      <c r="HQ93" s="561">
        <v>0</v>
      </c>
      <c r="HR93" s="561">
        <v>0</v>
      </c>
      <c r="HS93" s="561">
        <v>0</v>
      </c>
      <c r="HT93" s="561">
        <v>0</v>
      </c>
      <c r="HU93" s="561">
        <v>0</v>
      </c>
      <c r="HV93" s="561">
        <v>0</v>
      </c>
      <c r="HW93" s="561">
        <v>0</v>
      </c>
      <c r="HX93" s="561">
        <v>0</v>
      </c>
      <c r="HY93" s="561">
        <v>0</v>
      </c>
      <c r="HZ93" s="561">
        <v>0</v>
      </c>
      <c r="IA93" s="561">
        <v>0</v>
      </c>
      <c r="IB93" s="561">
        <v>0</v>
      </c>
      <c r="IC93" s="561">
        <v>0</v>
      </c>
      <c r="ID93" s="561">
        <v>0</v>
      </c>
      <c r="IE93" s="561">
        <v>0</v>
      </c>
      <c r="IF93" s="561">
        <v>0</v>
      </c>
      <c r="IG93" s="561">
        <v>0</v>
      </c>
      <c r="IH93" s="561">
        <v>0</v>
      </c>
      <c r="II93" s="561">
        <v>671</v>
      </c>
      <c r="IJ93" s="561">
        <v>10</v>
      </c>
      <c r="IK93" s="561">
        <v>0</v>
      </c>
      <c r="IL93" s="561">
        <v>0</v>
      </c>
      <c r="IM93" s="561">
        <v>0</v>
      </c>
      <c r="IN93" s="561">
        <v>0</v>
      </c>
      <c r="IO93" s="561">
        <v>0</v>
      </c>
      <c r="IP93" s="561">
        <v>0</v>
      </c>
      <c r="IQ93" s="561">
        <v>0</v>
      </c>
      <c r="IR93" s="561">
        <v>0</v>
      </c>
      <c r="IS93" s="561">
        <v>0</v>
      </c>
      <c r="IT93" s="561">
        <v>0</v>
      </c>
      <c r="IU93" s="561">
        <v>0</v>
      </c>
      <c r="IV93" s="561">
        <v>0</v>
      </c>
      <c r="IW93" s="561">
        <v>0</v>
      </c>
      <c r="IX93" s="561">
        <v>0</v>
      </c>
      <c r="IY93" s="561">
        <v>0</v>
      </c>
      <c r="IZ93" s="561">
        <v>0</v>
      </c>
      <c r="JA93" s="561">
        <v>0</v>
      </c>
      <c r="JB93" s="561">
        <v>48495</v>
      </c>
      <c r="JC93" s="561">
        <v>671</v>
      </c>
      <c r="JD93" s="561">
        <v>0</v>
      </c>
      <c r="JE93" s="561">
        <v>49166</v>
      </c>
      <c r="JF93" s="561">
        <v>0</v>
      </c>
      <c r="JG93" s="561">
        <v>0</v>
      </c>
      <c r="JH93" s="561">
        <v>0</v>
      </c>
      <c r="JI93" s="561">
        <v>0</v>
      </c>
      <c r="JJ93" s="561">
        <v>0</v>
      </c>
      <c r="JK93" s="561">
        <v>0</v>
      </c>
      <c r="JL93" s="561">
        <v>0</v>
      </c>
      <c r="JM93" s="561">
        <v>0</v>
      </c>
      <c r="JN93" s="561">
        <v>0</v>
      </c>
      <c r="JO93" s="561">
        <v>0</v>
      </c>
      <c r="JP93" s="561">
        <v>0</v>
      </c>
      <c r="JQ93" s="561">
        <v>0</v>
      </c>
      <c r="JR93" s="561">
        <v>0</v>
      </c>
      <c r="JS93" s="561">
        <v>0</v>
      </c>
      <c r="JT93" s="561">
        <v>-30</v>
      </c>
      <c r="JU93" s="561">
        <v>0</v>
      </c>
      <c r="JV93" s="561">
        <v>49136</v>
      </c>
      <c r="JW93" s="561">
        <v>0</v>
      </c>
      <c r="JX93" s="561">
        <v>5421</v>
      </c>
      <c r="JY93" s="561">
        <v>0</v>
      </c>
      <c r="JZ93" s="561">
        <v>0</v>
      </c>
      <c r="KA93" s="561">
        <v>0</v>
      </c>
      <c r="KB93" s="561">
        <v>0</v>
      </c>
      <c r="KC93" s="561">
        <v>590</v>
      </c>
      <c r="KD93" s="561">
        <v>218</v>
      </c>
      <c r="KE93" s="561">
        <v>275</v>
      </c>
      <c r="KF93" s="561">
        <v>0</v>
      </c>
      <c r="KG93" s="561">
        <v>55640</v>
      </c>
      <c r="KH93" s="561">
        <v>-672</v>
      </c>
      <c r="KI93" s="561">
        <v>0</v>
      </c>
      <c r="KJ93" s="561">
        <v>0</v>
      </c>
      <c r="KK93" s="561">
        <v>0</v>
      </c>
      <c r="KL93" s="561">
        <v>0</v>
      </c>
      <c r="KM93" s="561">
        <v>0</v>
      </c>
      <c r="KN93" s="561">
        <v>0</v>
      </c>
      <c r="KO93" s="561">
        <v>0</v>
      </c>
      <c r="KP93" s="561">
        <v>0</v>
      </c>
      <c r="KQ93" s="561">
        <v>0</v>
      </c>
      <c r="KR93" s="561">
        <v>54968</v>
      </c>
      <c r="KS93" s="561">
        <v>0</v>
      </c>
      <c r="KT93" s="561">
        <v>-2598</v>
      </c>
      <c r="KU93" s="561">
        <v>52370</v>
      </c>
      <c r="KV93" s="561">
        <v>0</v>
      </c>
      <c r="KW93" s="561">
        <v>0</v>
      </c>
      <c r="KX93" s="561">
        <v>0</v>
      </c>
      <c r="KY93" s="561">
        <v>0</v>
      </c>
      <c r="KZ93" s="561">
        <v>-2534</v>
      </c>
      <c r="LA93" s="561">
        <v>0</v>
      </c>
      <c r="LB93" s="561">
        <v>-7034</v>
      </c>
      <c r="LC93" s="561">
        <v>0</v>
      </c>
      <c r="LD93" s="561">
        <v>-13041</v>
      </c>
      <c r="LE93" s="561">
        <v>-31</v>
      </c>
      <c r="LF93" s="561">
        <v>0</v>
      </c>
      <c r="LG93" s="561">
        <v>29730</v>
      </c>
      <c r="LH93" s="561">
        <v>0</v>
      </c>
      <c r="LI93" s="561">
        <v>0</v>
      </c>
      <c r="LJ93" s="561">
        <v>0</v>
      </c>
      <c r="LK93" s="561">
        <v>0</v>
      </c>
      <c r="LL93" s="561">
        <v>10504</v>
      </c>
      <c r="LM93" s="561">
        <v>0</v>
      </c>
      <c r="LN93" s="561">
        <v>0</v>
      </c>
      <c r="LO93" s="561">
        <v>0</v>
      </c>
      <c r="LP93" s="561">
        <v>0</v>
      </c>
      <c r="LQ93" s="561">
        <v>0</v>
      </c>
      <c r="LR93" s="561">
        <v>7970</v>
      </c>
      <c r="LS93" s="561">
        <v>0</v>
      </c>
      <c r="LT93" s="561">
        <v>0</v>
      </c>
      <c r="LU93" s="561">
        <v>5359</v>
      </c>
      <c r="LV93" s="561">
        <v>0</v>
      </c>
      <c r="LW93" s="561">
        <v>-519</v>
      </c>
      <c r="LX93" s="561">
        <v>0</v>
      </c>
      <c r="LY93" s="561">
        <v>0</v>
      </c>
      <c r="LZ93" s="561">
        <v>4840</v>
      </c>
      <c r="MA93" s="561">
        <v>0</v>
      </c>
      <c r="MB93" s="561">
        <v>0</v>
      </c>
      <c r="MC93" s="561">
        <v>0</v>
      </c>
      <c r="MD93" s="561">
        <v>0</v>
      </c>
      <c r="ME93" s="561">
        <v>0</v>
      </c>
      <c r="MF93" s="561">
        <v>0</v>
      </c>
      <c r="MG93" s="561">
        <v>0</v>
      </c>
      <c r="MH93" s="561">
        <v>0</v>
      </c>
      <c r="MI93" s="561">
        <v>0</v>
      </c>
      <c r="MJ93" s="561">
        <v>0</v>
      </c>
      <c r="MK93" s="561">
        <v>0</v>
      </c>
      <c r="ML93" s="561">
        <v>0</v>
      </c>
      <c r="MM93" s="561">
        <v>7970</v>
      </c>
      <c r="MN93" s="561">
        <v>0</v>
      </c>
      <c r="MO93" s="561">
        <v>0</v>
      </c>
      <c r="MP93" s="561">
        <v>0</v>
      </c>
      <c r="MQ93" s="561">
        <v>0</v>
      </c>
      <c r="MR93" s="561">
        <v>0</v>
      </c>
      <c r="MS93" s="561">
        <v>0</v>
      </c>
      <c r="MT93" s="561">
        <v>0</v>
      </c>
      <c r="MU93" s="561">
        <v>0</v>
      </c>
      <c r="MV93" s="561">
        <v>0</v>
      </c>
      <c r="MW93" s="561">
        <v>0</v>
      </c>
      <c r="MX93" s="561">
        <v>0</v>
      </c>
      <c r="MY93" s="561">
        <v>0</v>
      </c>
      <c r="MZ93" s="561">
        <v>0</v>
      </c>
      <c r="NA93" s="561">
        <v>48495</v>
      </c>
      <c r="NB93" s="561">
        <v>671</v>
      </c>
      <c r="NC93" s="561">
        <v>0</v>
      </c>
      <c r="ND93" s="561">
        <v>49166</v>
      </c>
      <c r="NE93" s="561">
        <v>0</v>
      </c>
      <c r="NF93" s="561">
        <v>0</v>
      </c>
      <c r="NG93" s="561">
        <v>0</v>
      </c>
      <c r="NH93" s="561">
        <v>0</v>
      </c>
      <c r="NI93" s="561">
        <v>0</v>
      </c>
      <c r="NJ93" s="561">
        <v>0</v>
      </c>
      <c r="NK93" s="561">
        <v>0</v>
      </c>
      <c r="NL93" s="561">
        <v>0</v>
      </c>
      <c r="NM93" s="561">
        <v>0</v>
      </c>
      <c r="NN93" s="561">
        <v>0</v>
      </c>
      <c r="NO93" s="561">
        <v>0</v>
      </c>
      <c r="NP93" s="561">
        <v>0</v>
      </c>
      <c r="NQ93" s="561">
        <v>0</v>
      </c>
      <c r="NR93" s="561">
        <v>0</v>
      </c>
      <c r="NS93" s="561">
        <v>0</v>
      </c>
      <c r="NT93" s="561">
        <v>0</v>
      </c>
      <c r="NU93" s="561">
        <v>0</v>
      </c>
      <c r="NV93" s="561">
        <v>0</v>
      </c>
      <c r="NW93" s="561">
        <v>0</v>
      </c>
      <c r="NX93" s="561">
        <v>0</v>
      </c>
      <c r="NY93" s="561">
        <v>0</v>
      </c>
      <c r="NZ93" s="561">
        <v>0</v>
      </c>
      <c r="OA93" s="561">
        <v>0</v>
      </c>
      <c r="OB93" s="561">
        <v>0</v>
      </c>
      <c r="OC93" s="561">
        <v>0</v>
      </c>
      <c r="OD93" s="561">
        <v>0</v>
      </c>
      <c r="OE93" s="561">
        <v>0</v>
      </c>
      <c r="OF93" s="561">
        <v>0</v>
      </c>
      <c r="OG93" s="561">
        <v>0</v>
      </c>
      <c r="OH93" s="561">
        <v>0</v>
      </c>
      <c r="OI93" s="561">
        <v>0</v>
      </c>
      <c r="OJ93" s="561">
        <v>0</v>
      </c>
      <c r="OK93" s="561">
        <v>0</v>
      </c>
      <c r="OL93" s="561">
        <v>0</v>
      </c>
      <c r="OM93" s="561">
        <v>0</v>
      </c>
      <c r="ON93" s="561">
        <v>0</v>
      </c>
      <c r="OO93" s="561">
        <v>0</v>
      </c>
      <c r="OP93" s="561">
        <v>0</v>
      </c>
      <c r="OQ93" s="561">
        <v>0</v>
      </c>
      <c r="OR93" s="561">
        <v>0</v>
      </c>
      <c r="OS93" s="561">
        <v>0</v>
      </c>
      <c r="OT93" s="561">
        <v>0</v>
      </c>
      <c r="OU93" s="561">
        <v>0</v>
      </c>
      <c r="OV93" s="561">
        <v>0</v>
      </c>
      <c r="OW93" s="561">
        <v>0</v>
      </c>
      <c r="OX93" s="561">
        <v>0</v>
      </c>
      <c r="OY93" s="561">
        <v>0</v>
      </c>
      <c r="OZ93" s="561">
        <v>0</v>
      </c>
      <c r="PA93" s="561">
        <v>0</v>
      </c>
      <c r="PB93" s="561">
        <v>0</v>
      </c>
      <c r="PC93" s="561">
        <v>0</v>
      </c>
      <c r="PD93" s="561">
        <v>0</v>
      </c>
      <c r="PE93" s="561">
        <v>0</v>
      </c>
      <c r="PF93" s="561">
        <v>0</v>
      </c>
      <c r="PG93" s="561">
        <v>0</v>
      </c>
      <c r="PH93" s="561">
        <v>0</v>
      </c>
      <c r="PI93" s="561">
        <v>0</v>
      </c>
      <c r="PJ93" s="561">
        <v>0</v>
      </c>
    </row>
    <row r="94" spans="1:426" ht="14" x14ac:dyDescent="0.3">
      <c r="A94" t="s">
        <v>2711</v>
      </c>
      <c r="B94" t="s">
        <v>2712</v>
      </c>
      <c r="C94" t="s">
        <v>2713</v>
      </c>
      <c r="E94" t="s">
        <v>384</v>
      </c>
      <c r="F94" s="561">
        <v>0</v>
      </c>
      <c r="G94" s="561">
        <v>0</v>
      </c>
      <c r="H94" s="561">
        <v>0</v>
      </c>
      <c r="I94" s="561">
        <v>0</v>
      </c>
      <c r="J94" s="561">
        <v>0</v>
      </c>
      <c r="K94" s="561">
        <v>0</v>
      </c>
      <c r="L94" s="561">
        <v>0</v>
      </c>
      <c r="M94" s="561">
        <v>0</v>
      </c>
      <c r="N94" s="561">
        <v>0</v>
      </c>
      <c r="O94" s="561">
        <v>3</v>
      </c>
      <c r="P94" s="561">
        <v>0</v>
      </c>
      <c r="Q94" s="561">
        <v>0</v>
      </c>
      <c r="R94" s="561">
        <v>0</v>
      </c>
      <c r="S94" s="561">
        <v>0</v>
      </c>
      <c r="T94" s="561">
        <v>-19</v>
      </c>
      <c r="U94" s="561">
        <v>0</v>
      </c>
      <c r="V94" s="561">
        <v>0</v>
      </c>
      <c r="W94" s="561">
        <v>0</v>
      </c>
      <c r="X94" s="561">
        <v>0</v>
      </c>
      <c r="Y94" s="561">
        <v>0</v>
      </c>
      <c r="Z94" s="561">
        <v>-18.579999999999998</v>
      </c>
      <c r="AA94" s="561">
        <v>0</v>
      </c>
      <c r="AB94" s="561">
        <v>-1901.6</v>
      </c>
      <c r="AC94" s="561">
        <v>-13.66</v>
      </c>
      <c r="AD94" s="561">
        <v>0</v>
      </c>
      <c r="AE94" s="561">
        <v>0</v>
      </c>
      <c r="AF94" s="561">
        <v>0</v>
      </c>
      <c r="AG94" s="561">
        <v>0</v>
      </c>
      <c r="AH94" s="561">
        <v>51.77</v>
      </c>
      <c r="AI94" s="561">
        <v>0</v>
      </c>
      <c r="AJ94" s="561">
        <v>-1898.07</v>
      </c>
      <c r="AK94" s="561">
        <v>0</v>
      </c>
      <c r="AL94" s="561">
        <v>0</v>
      </c>
      <c r="AM94" s="561">
        <v>0</v>
      </c>
      <c r="AN94" s="561">
        <v>0</v>
      </c>
      <c r="AO94" s="561">
        <v>0</v>
      </c>
      <c r="AP94" s="561">
        <v>0</v>
      </c>
      <c r="AQ94" s="561">
        <v>0</v>
      </c>
      <c r="AR94" s="561">
        <v>0</v>
      </c>
      <c r="AS94" s="561">
        <v>0</v>
      </c>
      <c r="AT94" s="561">
        <v>0</v>
      </c>
      <c r="AU94" s="561">
        <v>0</v>
      </c>
      <c r="AV94" s="561">
        <v>0</v>
      </c>
      <c r="AW94" s="561">
        <v>0</v>
      </c>
      <c r="AX94" s="561">
        <v>0</v>
      </c>
      <c r="AY94" s="561">
        <v>0</v>
      </c>
      <c r="AZ94" s="561">
        <v>0</v>
      </c>
      <c r="BA94" s="561">
        <v>0</v>
      </c>
      <c r="BB94" s="561">
        <v>0</v>
      </c>
      <c r="BC94" s="561">
        <v>0</v>
      </c>
      <c r="BD94" s="561">
        <v>0</v>
      </c>
      <c r="BE94" s="561">
        <v>0</v>
      </c>
      <c r="BF94" s="561">
        <v>0</v>
      </c>
      <c r="BG94" s="561">
        <v>0</v>
      </c>
      <c r="BH94" s="561">
        <v>0</v>
      </c>
      <c r="BI94" s="561">
        <v>0</v>
      </c>
      <c r="BJ94" s="561">
        <v>0</v>
      </c>
      <c r="BK94" s="561">
        <v>0</v>
      </c>
      <c r="BL94" s="561">
        <v>0</v>
      </c>
      <c r="BM94" s="561">
        <v>0</v>
      </c>
      <c r="BN94" s="561">
        <v>0</v>
      </c>
      <c r="BO94" s="561">
        <v>0</v>
      </c>
      <c r="BP94" s="561">
        <v>0</v>
      </c>
      <c r="BQ94" s="561">
        <v>0</v>
      </c>
      <c r="BR94" s="561">
        <v>0</v>
      </c>
      <c r="BS94" s="561">
        <v>0</v>
      </c>
      <c r="BT94" s="561">
        <v>0</v>
      </c>
      <c r="BU94" s="561">
        <v>0</v>
      </c>
      <c r="BV94" s="561">
        <v>0</v>
      </c>
      <c r="BW94" s="561">
        <v>0</v>
      </c>
      <c r="BX94" s="561">
        <v>0</v>
      </c>
      <c r="BY94" s="561">
        <v>0</v>
      </c>
      <c r="BZ94" s="561">
        <v>0</v>
      </c>
      <c r="CA94" s="561">
        <v>0</v>
      </c>
      <c r="CB94" s="561">
        <v>0</v>
      </c>
      <c r="CC94" s="561">
        <v>0</v>
      </c>
      <c r="CD94" s="561">
        <v>0</v>
      </c>
      <c r="CE94" s="561">
        <v>0</v>
      </c>
      <c r="CF94" s="561">
        <v>0</v>
      </c>
      <c r="CG94" s="561">
        <v>0</v>
      </c>
      <c r="CH94" s="561">
        <v>0</v>
      </c>
      <c r="CI94" s="561">
        <v>0</v>
      </c>
      <c r="CJ94" s="561">
        <v>0</v>
      </c>
      <c r="CK94" s="561">
        <v>0</v>
      </c>
      <c r="CL94" s="561">
        <v>0</v>
      </c>
      <c r="CM94" s="561">
        <v>0</v>
      </c>
      <c r="CN94" s="561">
        <v>0</v>
      </c>
      <c r="CO94" s="561">
        <v>0</v>
      </c>
      <c r="CP94" s="561">
        <v>0</v>
      </c>
      <c r="CQ94" s="561">
        <v>0</v>
      </c>
      <c r="CR94" s="561">
        <v>0</v>
      </c>
      <c r="CS94" s="561">
        <v>0</v>
      </c>
      <c r="CT94" s="561">
        <v>0</v>
      </c>
      <c r="CU94" s="561">
        <v>0</v>
      </c>
      <c r="CV94" s="561">
        <v>0</v>
      </c>
      <c r="CW94" s="561">
        <v>0</v>
      </c>
      <c r="CX94" s="561">
        <v>0</v>
      </c>
      <c r="CY94" s="561">
        <v>0</v>
      </c>
      <c r="CZ94" s="561">
        <v>0</v>
      </c>
      <c r="DA94" s="561">
        <v>0</v>
      </c>
      <c r="DB94" s="561">
        <v>0</v>
      </c>
      <c r="DC94" s="561">
        <v>0</v>
      </c>
      <c r="DD94" s="561">
        <v>0</v>
      </c>
      <c r="DE94" s="561">
        <v>0</v>
      </c>
      <c r="DF94" s="561">
        <v>0</v>
      </c>
      <c r="DG94" s="561">
        <v>0</v>
      </c>
      <c r="DH94" s="561">
        <v>959.83</v>
      </c>
      <c r="DI94" s="561">
        <v>0</v>
      </c>
      <c r="DJ94" s="561">
        <v>330.17</v>
      </c>
      <c r="DK94" s="561">
        <v>0</v>
      </c>
      <c r="DL94" s="561">
        <v>0</v>
      </c>
      <c r="DM94" s="561">
        <v>0</v>
      </c>
      <c r="DN94" s="561">
        <v>0</v>
      </c>
      <c r="DO94" s="561">
        <v>36.08</v>
      </c>
      <c r="DP94" s="561">
        <v>18.7</v>
      </c>
      <c r="DQ94" s="561">
        <v>368.62</v>
      </c>
      <c r="DR94" s="561">
        <v>37.840000000000003</v>
      </c>
      <c r="DS94" s="561">
        <v>359.59</v>
      </c>
      <c r="DT94" s="561">
        <v>0</v>
      </c>
      <c r="DU94" s="561">
        <v>820.83</v>
      </c>
      <c r="DV94" s="561">
        <v>96.18</v>
      </c>
      <c r="DW94" s="561">
        <v>0</v>
      </c>
      <c r="DX94" s="561">
        <v>0</v>
      </c>
      <c r="DY94" s="561">
        <v>220.64</v>
      </c>
      <c r="DZ94" s="561">
        <v>-171</v>
      </c>
      <c r="EA94" s="561">
        <v>0</v>
      </c>
      <c r="EB94" s="561">
        <v>0</v>
      </c>
      <c r="EC94" s="561">
        <v>2256.65</v>
      </c>
      <c r="ED94" s="561">
        <v>0</v>
      </c>
      <c r="EE94" s="561">
        <v>0</v>
      </c>
      <c r="EF94" s="561">
        <v>0</v>
      </c>
      <c r="EG94" s="561">
        <v>0</v>
      </c>
      <c r="EH94" s="561">
        <v>0</v>
      </c>
      <c r="EI94" s="561">
        <v>0</v>
      </c>
      <c r="EJ94" s="561">
        <v>0</v>
      </c>
      <c r="EK94" s="561">
        <v>0</v>
      </c>
      <c r="EL94" s="561">
        <v>0</v>
      </c>
      <c r="EM94" s="561">
        <v>0</v>
      </c>
      <c r="EN94" s="561">
        <v>0</v>
      </c>
      <c r="EO94" s="561">
        <v>0</v>
      </c>
      <c r="EP94" s="561">
        <v>0</v>
      </c>
      <c r="EQ94" s="561">
        <v>0</v>
      </c>
      <c r="ER94" s="561">
        <v>0</v>
      </c>
      <c r="ES94" s="561" t="s">
        <v>4565</v>
      </c>
      <c r="ET94" s="561">
        <v>0</v>
      </c>
      <c r="EU94" s="561">
        <v>0</v>
      </c>
      <c r="EV94" s="561">
        <v>0</v>
      </c>
      <c r="EW94" s="561">
        <v>0</v>
      </c>
      <c r="EX94" s="561">
        <v>0</v>
      </c>
      <c r="EY94" s="561">
        <v>0</v>
      </c>
      <c r="EZ94" s="561">
        <v>0</v>
      </c>
      <c r="FA94" s="561">
        <v>0</v>
      </c>
      <c r="FB94" s="561">
        <v>0</v>
      </c>
      <c r="FC94" s="561">
        <v>0</v>
      </c>
      <c r="FD94" s="561">
        <v>15.58</v>
      </c>
      <c r="FE94" s="561">
        <v>0</v>
      </c>
      <c r="FF94" s="561">
        <v>189.7</v>
      </c>
      <c r="FG94" s="561">
        <v>0</v>
      </c>
      <c r="FH94" s="561">
        <v>0</v>
      </c>
      <c r="FI94" s="561">
        <v>393.59</v>
      </c>
      <c r="FJ94" s="561">
        <v>109.29</v>
      </c>
      <c r="FK94" s="561">
        <v>987.67</v>
      </c>
      <c r="FL94" s="561">
        <v>0</v>
      </c>
      <c r="FM94" s="561">
        <v>86.66</v>
      </c>
      <c r="FN94" s="561">
        <v>0</v>
      </c>
      <c r="FO94" s="561">
        <v>1782.49</v>
      </c>
      <c r="FP94" s="561">
        <v>0</v>
      </c>
      <c r="FQ94" s="561">
        <v>533.80999999999995</v>
      </c>
      <c r="FR94" s="561">
        <v>0</v>
      </c>
      <c r="FS94" s="561">
        <v>57.78</v>
      </c>
      <c r="FT94" s="561">
        <v>288.83</v>
      </c>
      <c r="FU94" s="561">
        <v>187.87</v>
      </c>
      <c r="FV94" s="561">
        <v>282.19</v>
      </c>
      <c r="FW94" s="561">
        <v>76.02</v>
      </c>
      <c r="FX94" s="561">
        <v>0</v>
      </c>
      <c r="FY94" s="561">
        <v>0</v>
      </c>
      <c r="FZ94" s="561">
        <v>83.57</v>
      </c>
      <c r="GA94" s="561">
        <v>539.79</v>
      </c>
      <c r="GB94" s="561">
        <v>149.46</v>
      </c>
      <c r="GC94" s="561">
        <v>35.78</v>
      </c>
      <c r="GD94" s="561">
        <v>41.91</v>
      </c>
      <c r="GE94" s="561">
        <v>41.91</v>
      </c>
      <c r="GF94" s="561">
        <v>68.05</v>
      </c>
      <c r="GG94" s="561">
        <v>1</v>
      </c>
      <c r="GH94" s="561">
        <v>0</v>
      </c>
      <c r="GI94" s="561">
        <v>0</v>
      </c>
      <c r="GJ94" s="561">
        <v>0</v>
      </c>
      <c r="GK94" s="561">
        <v>0</v>
      </c>
      <c r="GL94" s="561">
        <v>1423.6</v>
      </c>
      <c r="GM94" s="561">
        <v>1399.81</v>
      </c>
      <c r="GN94" s="561">
        <v>0</v>
      </c>
      <c r="GO94" s="561">
        <v>84.2</v>
      </c>
      <c r="GP94" s="561">
        <v>1454.47</v>
      </c>
      <c r="GQ94" s="561">
        <v>0</v>
      </c>
      <c r="GR94" s="561">
        <v>335.99</v>
      </c>
      <c r="GS94" s="561">
        <v>7086.04</v>
      </c>
      <c r="GT94" s="561">
        <v>0</v>
      </c>
      <c r="GU94" s="561">
        <v>75</v>
      </c>
      <c r="GV94" s="561">
        <v>1163.23</v>
      </c>
      <c r="GW94" s="561">
        <v>19.55</v>
      </c>
      <c r="GX94" s="561">
        <v>416.77</v>
      </c>
      <c r="GY94" s="561">
        <v>0</v>
      </c>
      <c r="GZ94" s="561">
        <v>7.05</v>
      </c>
      <c r="HA94" s="561">
        <v>0</v>
      </c>
      <c r="HB94" s="561">
        <v>1368.69</v>
      </c>
      <c r="HC94" s="561">
        <v>27.73</v>
      </c>
      <c r="HD94" s="561">
        <v>3078.02</v>
      </c>
      <c r="HE94" s="561">
        <v>453</v>
      </c>
      <c r="HF94" s="561">
        <v>11946.55</v>
      </c>
      <c r="HG94" s="561">
        <v>0</v>
      </c>
      <c r="HH94" s="561">
        <v>0</v>
      </c>
      <c r="HI94" s="561">
        <v>0</v>
      </c>
      <c r="HJ94" s="561">
        <v>0</v>
      </c>
      <c r="HK94" s="561">
        <v>0</v>
      </c>
      <c r="HL94" s="561">
        <v>0</v>
      </c>
      <c r="HM94" s="561">
        <v>0</v>
      </c>
      <c r="HN94" s="561">
        <v>0</v>
      </c>
      <c r="HO94" s="561">
        <v>817.3</v>
      </c>
      <c r="HP94" s="561">
        <v>497.44</v>
      </c>
      <c r="HQ94" s="561">
        <v>0</v>
      </c>
      <c r="HR94" s="561">
        <v>52.34</v>
      </c>
      <c r="HS94" s="561">
        <v>228.6</v>
      </c>
      <c r="HT94" s="561">
        <v>95.72</v>
      </c>
      <c r="HU94" s="561">
        <v>0</v>
      </c>
      <c r="HV94" s="561">
        <v>0</v>
      </c>
      <c r="HW94" s="561">
        <v>206.96</v>
      </c>
      <c r="HX94" s="561">
        <v>12.14</v>
      </c>
      <c r="HY94" s="561">
        <v>24</v>
      </c>
      <c r="HZ94" s="561">
        <v>46.87</v>
      </c>
      <c r="IA94" s="561">
        <v>0</v>
      </c>
      <c r="IB94" s="561">
        <v>81</v>
      </c>
      <c r="IC94" s="561">
        <v>0</v>
      </c>
      <c r="ID94" s="561">
        <v>0</v>
      </c>
      <c r="IE94" s="561">
        <v>368.75</v>
      </c>
      <c r="IF94" s="561">
        <v>0</v>
      </c>
      <c r="IG94" s="561">
        <v>0</v>
      </c>
      <c r="IH94" s="561">
        <v>-0.24</v>
      </c>
      <c r="II94" s="561">
        <v>2430.88</v>
      </c>
      <c r="IJ94" s="561">
        <v>139</v>
      </c>
      <c r="IK94" s="561">
        <v>0</v>
      </c>
      <c r="IL94" s="561">
        <v>4696.91</v>
      </c>
      <c r="IM94" s="561">
        <v>0</v>
      </c>
      <c r="IN94" s="561">
        <v>16.07</v>
      </c>
      <c r="IO94" s="561">
        <v>0</v>
      </c>
      <c r="IP94" s="561">
        <v>0</v>
      </c>
      <c r="IQ94" s="561">
        <v>0</v>
      </c>
      <c r="IR94" s="561">
        <v>0</v>
      </c>
      <c r="IS94" s="561">
        <v>-1898.07</v>
      </c>
      <c r="IT94" s="561">
        <v>0</v>
      </c>
      <c r="IU94" s="561">
        <v>0</v>
      </c>
      <c r="IV94" s="561">
        <v>0</v>
      </c>
      <c r="IW94" s="561">
        <v>2256.65</v>
      </c>
      <c r="IX94" s="561">
        <v>1782.49</v>
      </c>
      <c r="IY94" s="561">
        <v>7086.04</v>
      </c>
      <c r="IZ94" s="561">
        <v>3078.02</v>
      </c>
      <c r="JA94" s="561">
        <v>0</v>
      </c>
      <c r="JB94" s="561">
        <v>0</v>
      </c>
      <c r="JC94" s="561">
        <v>2430.88</v>
      </c>
      <c r="JD94" s="561">
        <v>0</v>
      </c>
      <c r="JE94" s="561">
        <v>14736.01</v>
      </c>
      <c r="JF94" s="561">
        <v>8567.1200000000008</v>
      </c>
      <c r="JG94" s="561">
        <v>0</v>
      </c>
      <c r="JH94" s="561">
        <v>0</v>
      </c>
      <c r="JI94" s="561">
        <v>0</v>
      </c>
      <c r="JJ94" s="561">
        <v>0</v>
      </c>
      <c r="JK94" s="561">
        <v>2075</v>
      </c>
      <c r="JL94" s="561">
        <v>0</v>
      </c>
      <c r="JM94" s="561">
        <v>0</v>
      </c>
      <c r="JN94" s="561">
        <v>0</v>
      </c>
      <c r="JO94" s="561">
        <v>0</v>
      </c>
      <c r="JP94" s="561">
        <v>-101</v>
      </c>
      <c r="JQ94" s="561">
        <v>0</v>
      </c>
      <c r="JR94" s="561">
        <v>0</v>
      </c>
      <c r="JS94" s="561">
        <v>0</v>
      </c>
      <c r="JT94" s="561">
        <v>0</v>
      </c>
      <c r="JU94" s="561">
        <v>0</v>
      </c>
      <c r="JV94" s="561">
        <v>25277.13</v>
      </c>
      <c r="JW94" s="561">
        <v>0</v>
      </c>
      <c r="JX94" s="561">
        <v>1731</v>
      </c>
      <c r="JY94" s="561">
        <v>0</v>
      </c>
      <c r="JZ94" s="561">
        <v>0</v>
      </c>
      <c r="KA94" s="561">
        <v>0</v>
      </c>
      <c r="KB94" s="561">
        <v>0</v>
      </c>
      <c r="KC94" s="561">
        <v>107.61</v>
      </c>
      <c r="KD94" s="561">
        <v>0</v>
      </c>
      <c r="KE94" s="561">
        <v>233.54</v>
      </c>
      <c r="KF94" s="561">
        <v>0</v>
      </c>
      <c r="KG94" s="561">
        <v>27349.279999999999</v>
      </c>
      <c r="KH94" s="561">
        <v>-1335.76</v>
      </c>
      <c r="KI94" s="561">
        <v>0</v>
      </c>
      <c r="KJ94" s="561">
        <v>111</v>
      </c>
      <c r="KK94" s="561">
        <v>0</v>
      </c>
      <c r="KL94" s="561">
        <v>-8511.94</v>
      </c>
      <c r="KM94" s="561">
        <v>0</v>
      </c>
      <c r="KN94" s="561">
        <v>0</v>
      </c>
      <c r="KO94" s="561">
        <v>0</v>
      </c>
      <c r="KP94" s="561">
        <v>0</v>
      </c>
      <c r="KQ94" s="561">
        <v>0</v>
      </c>
      <c r="KR94" s="561">
        <v>17612.580000000002</v>
      </c>
      <c r="KS94" s="561">
        <v>0</v>
      </c>
      <c r="KT94" s="561">
        <v>-4158.25</v>
      </c>
      <c r="KU94" s="561">
        <v>13454.33</v>
      </c>
      <c r="KV94" s="561">
        <v>0</v>
      </c>
      <c r="KW94" s="561">
        <v>0</v>
      </c>
      <c r="KX94" s="561">
        <v>0</v>
      </c>
      <c r="KY94" s="561">
        <v>0</v>
      </c>
      <c r="KZ94" s="561">
        <v>1007.15</v>
      </c>
      <c r="LA94" s="561">
        <v>-424.19</v>
      </c>
      <c r="LB94" s="561">
        <v>-69</v>
      </c>
      <c r="LC94" s="561">
        <v>0</v>
      </c>
      <c r="LD94" s="561">
        <v>-4771.04</v>
      </c>
      <c r="LE94" s="561">
        <v>180.72</v>
      </c>
      <c r="LF94" s="561">
        <v>0</v>
      </c>
      <c r="LG94" s="561">
        <v>9378</v>
      </c>
      <c r="LH94" s="561">
        <v>0</v>
      </c>
      <c r="LI94" s="561">
        <v>0</v>
      </c>
      <c r="LJ94" s="561">
        <v>0</v>
      </c>
      <c r="LK94" s="561">
        <v>0</v>
      </c>
      <c r="LL94" s="561">
        <v>15027</v>
      </c>
      <c r="LM94" s="561">
        <v>5363</v>
      </c>
      <c r="LN94" s="561">
        <v>0</v>
      </c>
      <c r="LO94" s="561">
        <v>0</v>
      </c>
      <c r="LP94" s="561">
        <v>0</v>
      </c>
      <c r="LQ94" s="561">
        <v>0</v>
      </c>
      <c r="LR94" s="561">
        <v>16034.15</v>
      </c>
      <c r="LS94" s="561">
        <v>4938.8100000000004</v>
      </c>
      <c r="LT94" s="561">
        <v>0</v>
      </c>
      <c r="LU94" s="561">
        <v>2304</v>
      </c>
      <c r="LV94" s="561">
        <v>997</v>
      </c>
      <c r="LW94" s="561">
        <v>1466</v>
      </c>
      <c r="LX94" s="561">
        <v>0</v>
      </c>
      <c r="LY94" s="561">
        <v>6253</v>
      </c>
      <c r="LZ94" s="561">
        <v>11020</v>
      </c>
      <c r="MA94" s="561">
        <v>0</v>
      </c>
      <c r="MB94" s="561">
        <v>0</v>
      </c>
      <c r="MC94" s="561">
        <v>0</v>
      </c>
      <c r="MD94" s="561">
        <v>0</v>
      </c>
      <c r="ME94" s="561">
        <v>0</v>
      </c>
      <c r="MF94" s="561">
        <v>0</v>
      </c>
      <c r="MG94" s="561">
        <v>0</v>
      </c>
      <c r="MH94" s="561">
        <v>1856</v>
      </c>
      <c r="MI94" s="561">
        <v>1992</v>
      </c>
      <c r="MJ94" s="561">
        <v>3848</v>
      </c>
      <c r="MK94" s="561">
        <v>0</v>
      </c>
      <c r="ML94" s="561">
        <v>0</v>
      </c>
      <c r="MM94" s="561">
        <v>12442.69</v>
      </c>
      <c r="MN94" s="561">
        <v>489.47</v>
      </c>
      <c r="MO94" s="561">
        <v>3101.99</v>
      </c>
      <c r="MP94" s="561">
        <v>0</v>
      </c>
      <c r="MQ94" s="561">
        <v>0</v>
      </c>
      <c r="MR94" s="561">
        <v>-1898.07</v>
      </c>
      <c r="MS94" s="561">
        <v>0</v>
      </c>
      <c r="MT94" s="561">
        <v>0</v>
      </c>
      <c r="MU94" s="561">
        <v>0</v>
      </c>
      <c r="MV94" s="561">
        <v>2256.65</v>
      </c>
      <c r="MW94" s="561">
        <v>1782.49</v>
      </c>
      <c r="MX94" s="561">
        <v>7086.04</v>
      </c>
      <c r="MY94" s="561">
        <v>3078.02</v>
      </c>
      <c r="MZ94" s="561">
        <v>0</v>
      </c>
      <c r="NA94" s="561">
        <v>0</v>
      </c>
      <c r="NB94" s="561">
        <v>2430.88</v>
      </c>
      <c r="NC94" s="561">
        <v>0</v>
      </c>
      <c r="ND94" s="561">
        <v>14736.01</v>
      </c>
      <c r="NE94" s="561">
        <v>0</v>
      </c>
      <c r="NF94" s="561">
        <v>0</v>
      </c>
      <c r="NG94" s="561">
        <v>0</v>
      </c>
      <c r="NH94" s="561">
        <v>0</v>
      </c>
      <c r="NI94" s="561">
        <v>0</v>
      </c>
      <c r="NJ94" s="561">
        <v>0</v>
      </c>
      <c r="NK94" s="561">
        <v>0</v>
      </c>
      <c r="NL94" s="561">
        <v>0</v>
      </c>
      <c r="NM94" s="561">
        <v>0</v>
      </c>
      <c r="NN94" s="561">
        <v>0</v>
      </c>
      <c r="NO94" s="561">
        <v>0</v>
      </c>
      <c r="NP94" s="561">
        <v>0</v>
      </c>
      <c r="NQ94" s="561">
        <v>0</v>
      </c>
      <c r="NR94" s="561">
        <v>0</v>
      </c>
      <c r="NS94" s="561">
        <v>0</v>
      </c>
      <c r="NT94" s="561">
        <v>0</v>
      </c>
      <c r="NU94" s="561">
        <v>-101</v>
      </c>
      <c r="NV94" s="561">
        <v>0</v>
      </c>
      <c r="NW94" s="561">
        <v>-101</v>
      </c>
      <c r="NX94" s="561">
        <v>0</v>
      </c>
      <c r="NY94" s="561">
        <v>-101</v>
      </c>
      <c r="NZ94" s="561">
        <v>0</v>
      </c>
      <c r="OA94" s="561">
        <v>0</v>
      </c>
      <c r="OB94" s="561">
        <v>0</v>
      </c>
      <c r="OC94" s="561">
        <v>0</v>
      </c>
      <c r="OD94" s="561">
        <v>0</v>
      </c>
      <c r="OE94" s="561">
        <v>0</v>
      </c>
      <c r="OF94" s="561">
        <v>0</v>
      </c>
      <c r="OG94" s="561">
        <v>0</v>
      </c>
      <c r="OH94" s="561">
        <v>0</v>
      </c>
      <c r="OI94" s="561">
        <v>0</v>
      </c>
      <c r="OJ94" s="561">
        <v>0</v>
      </c>
      <c r="OK94" s="561">
        <v>0</v>
      </c>
      <c r="OL94" s="561">
        <v>0</v>
      </c>
      <c r="OM94" s="561">
        <v>0</v>
      </c>
      <c r="ON94" s="561">
        <v>0</v>
      </c>
      <c r="OO94" s="561">
        <v>0</v>
      </c>
      <c r="OP94" s="561">
        <v>0</v>
      </c>
      <c r="OQ94" s="561">
        <v>0</v>
      </c>
      <c r="OR94" s="561">
        <v>0</v>
      </c>
      <c r="OS94" s="561">
        <v>0</v>
      </c>
      <c r="OT94" s="561">
        <v>0</v>
      </c>
      <c r="OU94" s="561">
        <v>0</v>
      </c>
      <c r="OV94" s="561">
        <v>0</v>
      </c>
      <c r="OW94" s="561">
        <v>0</v>
      </c>
      <c r="OX94" s="561">
        <v>0</v>
      </c>
      <c r="OY94" s="561">
        <v>0</v>
      </c>
      <c r="OZ94" s="561">
        <v>0</v>
      </c>
      <c r="PA94" s="561">
        <v>0</v>
      </c>
      <c r="PB94" s="561">
        <v>0</v>
      </c>
      <c r="PC94" s="561">
        <v>0</v>
      </c>
      <c r="PD94" s="561">
        <v>0</v>
      </c>
      <c r="PE94" s="561">
        <v>0</v>
      </c>
      <c r="PF94" s="561">
        <v>0</v>
      </c>
      <c r="PG94" s="561">
        <v>0</v>
      </c>
      <c r="PH94" s="561">
        <v>0</v>
      </c>
      <c r="PI94" s="561">
        <v>0</v>
      </c>
      <c r="PJ94" s="561">
        <v>0</v>
      </c>
    </row>
    <row r="95" spans="1:426" ht="14" x14ac:dyDescent="0.3">
      <c r="A95" t="s">
        <v>2714</v>
      </c>
      <c r="B95" t="s">
        <v>2715</v>
      </c>
      <c r="C95" t="s">
        <v>2716</v>
      </c>
      <c r="E95" t="s">
        <v>2466</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0</v>
      </c>
      <c r="W95" s="561">
        <v>0</v>
      </c>
      <c r="X95" s="561">
        <v>0</v>
      </c>
      <c r="Y95" s="561">
        <v>0</v>
      </c>
      <c r="Z95" s="561">
        <v>0</v>
      </c>
      <c r="AA95" s="561">
        <v>0</v>
      </c>
      <c r="AB95" s="561">
        <v>0</v>
      </c>
      <c r="AC95" s="561">
        <v>0</v>
      </c>
      <c r="AD95" s="561">
        <v>0</v>
      </c>
      <c r="AE95" s="561">
        <v>0</v>
      </c>
      <c r="AF95" s="561">
        <v>0</v>
      </c>
      <c r="AG95" s="561">
        <v>0</v>
      </c>
      <c r="AH95" s="561">
        <v>0</v>
      </c>
      <c r="AI95" s="561">
        <v>0</v>
      </c>
      <c r="AJ95" s="561">
        <v>0</v>
      </c>
      <c r="AK95" s="561">
        <v>0</v>
      </c>
      <c r="AL95" s="561">
        <v>0</v>
      </c>
      <c r="AM95" s="561">
        <v>0</v>
      </c>
      <c r="AN95" s="561">
        <v>0</v>
      </c>
      <c r="AO95" s="561">
        <v>0</v>
      </c>
      <c r="AP95" s="561">
        <v>0</v>
      </c>
      <c r="AQ95" s="561">
        <v>0</v>
      </c>
      <c r="AR95" s="561">
        <v>0</v>
      </c>
      <c r="AS95" s="561">
        <v>0</v>
      </c>
      <c r="AT95" s="561">
        <v>0</v>
      </c>
      <c r="AU95" s="561">
        <v>0</v>
      </c>
      <c r="AV95" s="561">
        <v>0</v>
      </c>
      <c r="AW95" s="561">
        <v>0</v>
      </c>
      <c r="AX95" s="561">
        <v>0</v>
      </c>
      <c r="AY95" s="561">
        <v>0</v>
      </c>
      <c r="AZ95" s="561">
        <v>0</v>
      </c>
      <c r="BA95" s="561">
        <v>0</v>
      </c>
      <c r="BB95" s="561">
        <v>0</v>
      </c>
      <c r="BC95" s="561">
        <v>0</v>
      </c>
      <c r="BD95" s="561">
        <v>0</v>
      </c>
      <c r="BE95" s="561">
        <v>0</v>
      </c>
      <c r="BF95" s="561">
        <v>0</v>
      </c>
      <c r="BG95" s="561">
        <v>0</v>
      </c>
      <c r="BH95" s="561">
        <v>0</v>
      </c>
      <c r="BI95" s="561">
        <v>0</v>
      </c>
      <c r="BJ95" s="561">
        <v>0</v>
      </c>
      <c r="BK95" s="561">
        <v>0</v>
      </c>
      <c r="BL95" s="561">
        <v>0</v>
      </c>
      <c r="BM95" s="561">
        <v>0</v>
      </c>
      <c r="BN95" s="561">
        <v>0</v>
      </c>
      <c r="BO95" s="561">
        <v>0</v>
      </c>
      <c r="BP95" s="561">
        <v>0</v>
      </c>
      <c r="BQ95" s="561">
        <v>0</v>
      </c>
      <c r="BR95" s="561">
        <v>0</v>
      </c>
      <c r="BS95" s="561">
        <v>0</v>
      </c>
      <c r="BT95" s="561">
        <v>0</v>
      </c>
      <c r="BU95" s="561">
        <v>0</v>
      </c>
      <c r="BV95" s="561">
        <v>0</v>
      </c>
      <c r="BW95" s="561">
        <v>0</v>
      </c>
      <c r="BX95" s="561">
        <v>0</v>
      </c>
      <c r="BY95" s="561">
        <v>0</v>
      </c>
      <c r="BZ95" s="561">
        <v>0</v>
      </c>
      <c r="CA95" s="561">
        <v>0</v>
      </c>
      <c r="CB95" s="561">
        <v>0</v>
      </c>
      <c r="CC95" s="561">
        <v>0</v>
      </c>
      <c r="CD95" s="561">
        <v>0</v>
      </c>
      <c r="CE95" s="561">
        <v>0</v>
      </c>
      <c r="CF95" s="561">
        <v>0</v>
      </c>
      <c r="CG95" s="561">
        <v>0</v>
      </c>
      <c r="CH95" s="561">
        <v>0</v>
      </c>
      <c r="CI95" s="561">
        <v>0</v>
      </c>
      <c r="CJ95" s="561">
        <v>0</v>
      </c>
      <c r="CK95" s="561">
        <v>0</v>
      </c>
      <c r="CL95" s="561">
        <v>0</v>
      </c>
      <c r="CM95" s="561">
        <v>0</v>
      </c>
      <c r="CN95" s="561">
        <v>0</v>
      </c>
      <c r="CO95" s="561">
        <v>0</v>
      </c>
      <c r="CP95" s="561">
        <v>0</v>
      </c>
      <c r="CQ95" s="561">
        <v>0</v>
      </c>
      <c r="CR95" s="561">
        <v>0</v>
      </c>
      <c r="CS95" s="561">
        <v>0</v>
      </c>
      <c r="CT95" s="561">
        <v>0</v>
      </c>
      <c r="CU95" s="561">
        <v>0</v>
      </c>
      <c r="CV95" s="561">
        <v>0</v>
      </c>
      <c r="CW95" s="561">
        <v>0</v>
      </c>
      <c r="CX95" s="561">
        <v>0</v>
      </c>
      <c r="CY95" s="561">
        <v>0</v>
      </c>
      <c r="CZ95" s="561">
        <v>0</v>
      </c>
      <c r="DA95" s="561">
        <v>0</v>
      </c>
      <c r="DB95" s="561">
        <v>0</v>
      </c>
      <c r="DC95" s="561">
        <v>0</v>
      </c>
      <c r="DD95" s="561">
        <v>0</v>
      </c>
      <c r="DE95" s="561">
        <v>0</v>
      </c>
      <c r="DF95" s="561">
        <v>0</v>
      </c>
      <c r="DG95" s="561">
        <v>0</v>
      </c>
      <c r="DH95" s="561">
        <v>0</v>
      </c>
      <c r="DI95" s="561">
        <v>0</v>
      </c>
      <c r="DJ95" s="561">
        <v>0</v>
      </c>
      <c r="DK95" s="561">
        <v>0</v>
      </c>
      <c r="DL95" s="561">
        <v>0</v>
      </c>
      <c r="DM95" s="561">
        <v>0</v>
      </c>
      <c r="DN95" s="561">
        <v>0</v>
      </c>
      <c r="DO95" s="561">
        <v>0</v>
      </c>
      <c r="DP95" s="561">
        <v>0</v>
      </c>
      <c r="DQ95" s="561">
        <v>0</v>
      </c>
      <c r="DR95" s="561">
        <v>0</v>
      </c>
      <c r="DS95" s="561">
        <v>0</v>
      </c>
      <c r="DT95" s="561">
        <v>0</v>
      </c>
      <c r="DU95" s="561">
        <v>0</v>
      </c>
      <c r="DV95" s="561">
        <v>0</v>
      </c>
      <c r="DW95" s="561">
        <v>0</v>
      </c>
      <c r="DX95" s="561">
        <v>0</v>
      </c>
      <c r="DY95" s="561">
        <v>0</v>
      </c>
      <c r="DZ95" s="561">
        <v>0</v>
      </c>
      <c r="EA95" s="561">
        <v>0</v>
      </c>
      <c r="EB95" s="561">
        <v>0</v>
      </c>
      <c r="EC95" s="561">
        <v>0</v>
      </c>
      <c r="ED95" s="561">
        <v>0</v>
      </c>
      <c r="EE95" s="561">
        <v>0</v>
      </c>
      <c r="EF95" s="561">
        <v>0</v>
      </c>
      <c r="EG95" s="561">
        <v>0</v>
      </c>
      <c r="EH95" s="561">
        <v>0</v>
      </c>
      <c r="EI95" s="561">
        <v>0</v>
      </c>
      <c r="EJ95" s="561">
        <v>0</v>
      </c>
      <c r="EK95" s="561">
        <v>0</v>
      </c>
      <c r="EL95" s="561">
        <v>0</v>
      </c>
      <c r="EM95" s="561">
        <v>0</v>
      </c>
      <c r="EN95" s="561">
        <v>0</v>
      </c>
      <c r="EO95" s="561">
        <v>0</v>
      </c>
      <c r="EP95" s="561">
        <v>0</v>
      </c>
      <c r="EQ95" s="561">
        <v>0</v>
      </c>
      <c r="ER95" s="561">
        <v>0</v>
      </c>
      <c r="ES95" s="561" t="s">
        <v>4565</v>
      </c>
      <c r="ET95" s="561">
        <v>0</v>
      </c>
      <c r="EU95" s="561">
        <v>0</v>
      </c>
      <c r="EV95" s="561">
        <v>0</v>
      </c>
      <c r="EW95" s="561">
        <v>0</v>
      </c>
      <c r="EX95" s="561">
        <v>0</v>
      </c>
      <c r="EY95" s="561">
        <v>0</v>
      </c>
      <c r="EZ95" s="561">
        <v>0</v>
      </c>
      <c r="FA95" s="561">
        <v>0</v>
      </c>
      <c r="FB95" s="561">
        <v>0</v>
      </c>
      <c r="FC95" s="561">
        <v>0</v>
      </c>
      <c r="FD95" s="561">
        <v>0</v>
      </c>
      <c r="FE95" s="561">
        <v>0</v>
      </c>
      <c r="FF95" s="561">
        <v>0</v>
      </c>
      <c r="FG95" s="561">
        <v>0</v>
      </c>
      <c r="FH95" s="561">
        <v>0</v>
      </c>
      <c r="FI95" s="561">
        <v>0</v>
      </c>
      <c r="FJ95" s="561">
        <v>0</v>
      </c>
      <c r="FK95" s="561">
        <v>0</v>
      </c>
      <c r="FL95" s="561">
        <v>0</v>
      </c>
      <c r="FM95" s="561">
        <v>0</v>
      </c>
      <c r="FN95" s="561">
        <v>0</v>
      </c>
      <c r="FO95" s="561">
        <v>0</v>
      </c>
      <c r="FP95" s="561">
        <v>0</v>
      </c>
      <c r="FQ95" s="561">
        <v>0</v>
      </c>
      <c r="FR95" s="561">
        <v>0</v>
      </c>
      <c r="FS95" s="561">
        <v>0</v>
      </c>
      <c r="FT95" s="561">
        <v>0</v>
      </c>
      <c r="FU95" s="561">
        <v>0</v>
      </c>
      <c r="FV95" s="561">
        <v>0</v>
      </c>
      <c r="FW95" s="561">
        <v>0</v>
      </c>
      <c r="FX95" s="561">
        <v>0</v>
      </c>
      <c r="FY95" s="561">
        <v>0</v>
      </c>
      <c r="FZ95" s="561">
        <v>0</v>
      </c>
      <c r="GA95" s="561">
        <v>0</v>
      </c>
      <c r="GB95" s="561">
        <v>0</v>
      </c>
      <c r="GC95" s="561">
        <v>0</v>
      </c>
      <c r="GD95" s="561">
        <v>0</v>
      </c>
      <c r="GE95" s="561">
        <v>0</v>
      </c>
      <c r="GF95" s="561">
        <v>0</v>
      </c>
      <c r="GG95" s="561">
        <v>0</v>
      </c>
      <c r="GH95" s="561">
        <v>0</v>
      </c>
      <c r="GI95" s="561">
        <v>0</v>
      </c>
      <c r="GJ95" s="561">
        <v>0</v>
      </c>
      <c r="GK95" s="561">
        <v>0</v>
      </c>
      <c r="GL95" s="561">
        <v>0</v>
      </c>
      <c r="GM95" s="561">
        <v>0</v>
      </c>
      <c r="GN95" s="561">
        <v>0</v>
      </c>
      <c r="GO95" s="561">
        <v>0</v>
      </c>
      <c r="GP95" s="561">
        <v>0</v>
      </c>
      <c r="GQ95" s="561">
        <v>0</v>
      </c>
      <c r="GR95" s="561">
        <v>0</v>
      </c>
      <c r="GS95" s="561">
        <v>0</v>
      </c>
      <c r="GT95" s="561">
        <v>0</v>
      </c>
      <c r="GU95" s="561">
        <v>0</v>
      </c>
      <c r="GV95" s="561">
        <v>0</v>
      </c>
      <c r="GW95" s="561">
        <v>0</v>
      </c>
      <c r="GX95" s="561">
        <v>0</v>
      </c>
      <c r="GY95" s="561">
        <v>0</v>
      </c>
      <c r="GZ95" s="561">
        <v>0</v>
      </c>
      <c r="HA95" s="561">
        <v>0</v>
      </c>
      <c r="HB95" s="561">
        <v>0</v>
      </c>
      <c r="HC95" s="561">
        <v>0</v>
      </c>
      <c r="HD95" s="561">
        <v>0</v>
      </c>
      <c r="HE95" s="561">
        <v>0</v>
      </c>
      <c r="HF95" s="561">
        <v>0</v>
      </c>
      <c r="HG95" s="561">
        <v>0</v>
      </c>
      <c r="HH95" s="561">
        <v>251678</v>
      </c>
      <c r="HI95" s="561">
        <v>0</v>
      </c>
      <c r="HJ95" s="561">
        <v>0</v>
      </c>
      <c r="HK95" s="561">
        <v>0</v>
      </c>
      <c r="HL95" s="561">
        <v>0</v>
      </c>
      <c r="HM95" s="561">
        <v>0</v>
      </c>
      <c r="HN95" s="561">
        <v>0</v>
      </c>
      <c r="HO95" s="561">
        <v>2106</v>
      </c>
      <c r="HP95" s="561">
        <v>0</v>
      </c>
      <c r="HQ95" s="561">
        <v>0</v>
      </c>
      <c r="HR95" s="561">
        <v>0</v>
      </c>
      <c r="HS95" s="561">
        <v>0</v>
      </c>
      <c r="HT95" s="561">
        <v>0</v>
      </c>
      <c r="HU95" s="561">
        <v>0</v>
      </c>
      <c r="HV95" s="561">
        <v>0</v>
      </c>
      <c r="HW95" s="561">
        <v>0</v>
      </c>
      <c r="HX95" s="561">
        <v>0</v>
      </c>
      <c r="HY95" s="561">
        <v>0</v>
      </c>
      <c r="HZ95" s="561">
        <v>0</v>
      </c>
      <c r="IA95" s="561">
        <v>0</v>
      </c>
      <c r="IB95" s="561">
        <v>0</v>
      </c>
      <c r="IC95" s="561">
        <v>0</v>
      </c>
      <c r="ID95" s="561">
        <v>0</v>
      </c>
      <c r="IE95" s="561">
        <v>0</v>
      </c>
      <c r="IF95" s="561">
        <v>0</v>
      </c>
      <c r="IG95" s="561">
        <v>0</v>
      </c>
      <c r="IH95" s="561">
        <v>0</v>
      </c>
      <c r="II95" s="561">
        <v>2106</v>
      </c>
      <c r="IJ95" s="561">
        <v>0</v>
      </c>
      <c r="IK95" s="561">
        <v>0</v>
      </c>
      <c r="IL95" s="561">
        <v>0</v>
      </c>
      <c r="IM95" s="561">
        <v>0</v>
      </c>
      <c r="IN95" s="561">
        <v>0</v>
      </c>
      <c r="IO95" s="561">
        <v>0</v>
      </c>
      <c r="IP95" s="561">
        <v>0</v>
      </c>
      <c r="IQ95" s="561">
        <v>0</v>
      </c>
      <c r="IR95" s="561">
        <v>0</v>
      </c>
      <c r="IS95" s="561">
        <v>0</v>
      </c>
      <c r="IT95" s="561">
        <v>0</v>
      </c>
      <c r="IU95" s="561">
        <v>0</v>
      </c>
      <c r="IV95" s="561">
        <v>0</v>
      </c>
      <c r="IW95" s="561">
        <v>0</v>
      </c>
      <c r="IX95" s="561">
        <v>0</v>
      </c>
      <c r="IY95" s="561">
        <v>0</v>
      </c>
      <c r="IZ95" s="561">
        <v>0</v>
      </c>
      <c r="JA95" s="561">
        <v>251678</v>
      </c>
      <c r="JB95" s="561">
        <v>0</v>
      </c>
      <c r="JC95" s="561">
        <v>2106</v>
      </c>
      <c r="JD95" s="561">
        <v>0</v>
      </c>
      <c r="JE95" s="561">
        <v>253784</v>
      </c>
      <c r="JF95" s="561">
        <v>0</v>
      </c>
      <c r="JG95" s="561">
        <v>0</v>
      </c>
      <c r="JH95" s="561">
        <v>0</v>
      </c>
      <c r="JI95" s="561">
        <v>0</v>
      </c>
      <c r="JJ95" s="561">
        <v>0</v>
      </c>
      <c r="JK95" s="561">
        <v>0</v>
      </c>
      <c r="JL95" s="561">
        <v>0</v>
      </c>
      <c r="JM95" s="561">
        <v>0</v>
      </c>
      <c r="JN95" s="561">
        <v>0</v>
      </c>
      <c r="JO95" s="561">
        <v>0</v>
      </c>
      <c r="JP95" s="561">
        <v>0</v>
      </c>
      <c r="JQ95" s="561">
        <v>0</v>
      </c>
      <c r="JR95" s="561">
        <v>0</v>
      </c>
      <c r="JS95" s="561">
        <v>0</v>
      </c>
      <c r="JT95" s="561">
        <v>31</v>
      </c>
      <c r="JU95" s="561">
        <v>0</v>
      </c>
      <c r="JV95" s="561">
        <v>253815</v>
      </c>
      <c r="JW95" s="561">
        <v>0</v>
      </c>
      <c r="JX95" s="561">
        <v>723</v>
      </c>
      <c r="JY95" s="561">
        <v>0</v>
      </c>
      <c r="JZ95" s="561">
        <v>0</v>
      </c>
      <c r="KA95" s="561">
        <v>0</v>
      </c>
      <c r="KB95" s="561">
        <v>0</v>
      </c>
      <c r="KC95" s="561">
        <v>535</v>
      </c>
      <c r="KD95" s="561">
        <v>0</v>
      </c>
      <c r="KE95" s="561">
        <v>834</v>
      </c>
      <c r="KF95" s="561">
        <v>0</v>
      </c>
      <c r="KG95" s="561">
        <v>255907</v>
      </c>
      <c r="KH95" s="561">
        <v>-1514</v>
      </c>
      <c r="KI95" s="561">
        <v>0</v>
      </c>
      <c r="KJ95" s="561">
        <v>0</v>
      </c>
      <c r="KK95" s="561">
        <v>0</v>
      </c>
      <c r="KL95" s="561">
        <v>0</v>
      </c>
      <c r="KM95" s="561">
        <v>0</v>
      </c>
      <c r="KN95" s="561">
        <v>0</v>
      </c>
      <c r="KO95" s="561">
        <v>0</v>
      </c>
      <c r="KP95" s="561">
        <v>0</v>
      </c>
      <c r="KQ95" s="561">
        <v>0</v>
      </c>
      <c r="KR95" s="561">
        <v>254393</v>
      </c>
      <c r="KS95" s="561">
        <v>0</v>
      </c>
      <c r="KT95" s="561">
        <v>-25852</v>
      </c>
      <c r="KU95" s="561">
        <v>228541</v>
      </c>
      <c r="KV95" s="561">
        <v>0</v>
      </c>
      <c r="KW95" s="561">
        <v>0</v>
      </c>
      <c r="KX95" s="561">
        <v>0</v>
      </c>
      <c r="KY95" s="561">
        <v>0</v>
      </c>
      <c r="KZ95" s="561">
        <v>4699.51</v>
      </c>
      <c r="LA95" s="561">
        <v>-1482</v>
      </c>
      <c r="LB95" s="561">
        <v>0</v>
      </c>
      <c r="LC95" s="561">
        <v>-137644</v>
      </c>
      <c r="LD95" s="561">
        <v>0</v>
      </c>
      <c r="LE95" s="561">
        <v>-94</v>
      </c>
      <c r="LF95" s="561">
        <v>0</v>
      </c>
      <c r="LG95" s="561">
        <v>94022</v>
      </c>
      <c r="LH95" s="561">
        <v>0</v>
      </c>
      <c r="LI95" s="561">
        <v>0</v>
      </c>
      <c r="LJ95" s="561">
        <v>0</v>
      </c>
      <c r="LK95" s="561">
        <v>0</v>
      </c>
      <c r="LL95" s="561">
        <v>11917.7</v>
      </c>
      <c r="LM95" s="561">
        <v>10443</v>
      </c>
      <c r="LN95" s="561">
        <v>0</v>
      </c>
      <c r="LO95" s="561">
        <v>0</v>
      </c>
      <c r="LP95" s="561">
        <v>0</v>
      </c>
      <c r="LQ95" s="561">
        <v>0</v>
      </c>
      <c r="LR95" s="561">
        <v>16617.21</v>
      </c>
      <c r="LS95" s="561">
        <v>8961</v>
      </c>
      <c r="LT95" s="561">
        <v>0</v>
      </c>
      <c r="LU95" s="561">
        <v>6075</v>
      </c>
      <c r="LV95" s="561">
        <v>896</v>
      </c>
      <c r="LW95" s="561">
        <v>0</v>
      </c>
      <c r="LX95" s="561">
        <v>0</v>
      </c>
      <c r="LY95" s="561">
        <v>0</v>
      </c>
      <c r="LZ95" s="561">
        <v>6971</v>
      </c>
      <c r="MA95" s="561">
        <v>0</v>
      </c>
      <c r="MB95" s="561">
        <v>0</v>
      </c>
      <c r="MC95" s="561">
        <v>0</v>
      </c>
      <c r="MD95" s="561">
        <v>0</v>
      </c>
      <c r="ME95" s="561">
        <v>0</v>
      </c>
      <c r="MF95" s="561">
        <v>0</v>
      </c>
      <c r="MG95" s="561">
        <v>0</v>
      </c>
      <c r="MH95" s="561">
        <v>0</v>
      </c>
      <c r="MI95" s="561">
        <v>0</v>
      </c>
      <c r="MJ95" s="561">
        <v>0</v>
      </c>
      <c r="MK95" s="561">
        <v>0</v>
      </c>
      <c r="ML95" s="561">
        <v>1315.93</v>
      </c>
      <c r="MM95" s="561">
        <v>6218.21</v>
      </c>
      <c r="MN95" s="561">
        <v>9083.07</v>
      </c>
      <c r="MO95" s="561">
        <v>0</v>
      </c>
      <c r="MP95" s="561">
        <v>0</v>
      </c>
      <c r="MQ95" s="561">
        <v>0</v>
      </c>
      <c r="MR95" s="561">
        <v>0</v>
      </c>
      <c r="MS95" s="561">
        <v>0</v>
      </c>
      <c r="MT95" s="561">
        <v>0</v>
      </c>
      <c r="MU95" s="561">
        <v>0</v>
      </c>
      <c r="MV95" s="561">
        <v>0</v>
      </c>
      <c r="MW95" s="561">
        <v>0</v>
      </c>
      <c r="MX95" s="561">
        <v>0</v>
      </c>
      <c r="MY95" s="561">
        <v>0</v>
      </c>
      <c r="MZ95" s="561">
        <v>251678</v>
      </c>
      <c r="NA95" s="561">
        <v>0</v>
      </c>
      <c r="NB95" s="561">
        <v>2106</v>
      </c>
      <c r="NC95" s="561">
        <v>0</v>
      </c>
      <c r="ND95" s="561">
        <v>253784</v>
      </c>
      <c r="NE95" s="561">
        <v>0</v>
      </c>
      <c r="NF95" s="561">
        <v>0</v>
      </c>
      <c r="NG95" s="561">
        <v>0</v>
      </c>
      <c r="NH95" s="561">
        <v>0</v>
      </c>
      <c r="NI95" s="561">
        <v>0</v>
      </c>
      <c r="NJ95" s="561">
        <v>0</v>
      </c>
      <c r="NK95" s="561">
        <v>0</v>
      </c>
      <c r="NL95" s="561">
        <v>0</v>
      </c>
      <c r="NM95" s="561">
        <v>0</v>
      </c>
      <c r="NN95" s="561">
        <v>0</v>
      </c>
      <c r="NO95" s="561">
        <v>0</v>
      </c>
      <c r="NP95" s="561">
        <v>0</v>
      </c>
      <c r="NQ95" s="561">
        <v>0</v>
      </c>
      <c r="NR95" s="561">
        <v>0</v>
      </c>
      <c r="NS95" s="561">
        <v>0</v>
      </c>
      <c r="NT95" s="561">
        <v>0</v>
      </c>
      <c r="NU95" s="561">
        <v>0</v>
      </c>
      <c r="NV95" s="561">
        <v>0</v>
      </c>
      <c r="NW95" s="561">
        <v>0</v>
      </c>
      <c r="NX95" s="561">
        <v>0</v>
      </c>
      <c r="NY95" s="561">
        <v>0</v>
      </c>
      <c r="NZ95" s="561">
        <v>0</v>
      </c>
      <c r="OA95" s="561">
        <v>0</v>
      </c>
      <c r="OB95" s="561">
        <v>0</v>
      </c>
      <c r="OC95" s="561">
        <v>0</v>
      </c>
      <c r="OD95" s="561">
        <v>0</v>
      </c>
      <c r="OE95" s="561">
        <v>0</v>
      </c>
      <c r="OF95" s="561">
        <v>0</v>
      </c>
      <c r="OG95" s="561">
        <v>0</v>
      </c>
      <c r="OH95" s="561">
        <v>0</v>
      </c>
      <c r="OI95" s="561">
        <v>0</v>
      </c>
      <c r="OJ95" s="561">
        <v>0</v>
      </c>
      <c r="OK95" s="561">
        <v>0</v>
      </c>
      <c r="OL95" s="561">
        <v>0</v>
      </c>
      <c r="OM95" s="561">
        <v>0</v>
      </c>
      <c r="ON95" s="561">
        <v>0</v>
      </c>
      <c r="OO95" s="561">
        <v>0</v>
      </c>
      <c r="OP95" s="561">
        <v>0</v>
      </c>
      <c r="OQ95" s="561">
        <v>0</v>
      </c>
      <c r="OR95" s="561">
        <v>0</v>
      </c>
      <c r="OS95" s="561">
        <v>0</v>
      </c>
      <c r="OT95" s="561">
        <v>0</v>
      </c>
      <c r="OU95" s="561">
        <v>0</v>
      </c>
      <c r="OV95" s="561">
        <v>0</v>
      </c>
      <c r="OW95" s="561">
        <v>0</v>
      </c>
      <c r="OX95" s="561">
        <v>0</v>
      </c>
      <c r="OY95" s="561">
        <v>0</v>
      </c>
      <c r="OZ95" s="561">
        <v>0</v>
      </c>
      <c r="PA95" s="561">
        <v>0</v>
      </c>
      <c r="PB95" s="561">
        <v>0</v>
      </c>
      <c r="PC95" s="561">
        <v>0</v>
      </c>
      <c r="PD95" s="561">
        <v>0</v>
      </c>
      <c r="PE95" s="561">
        <v>0</v>
      </c>
      <c r="PF95" s="561">
        <v>0</v>
      </c>
      <c r="PG95" s="561">
        <v>0</v>
      </c>
      <c r="PH95" s="561">
        <v>0</v>
      </c>
      <c r="PI95" s="561">
        <v>0</v>
      </c>
      <c r="PJ95" s="561">
        <v>0</v>
      </c>
    </row>
    <row r="96" spans="1:426" ht="14" x14ac:dyDescent="0.3">
      <c r="A96" t="s">
        <v>2720</v>
      </c>
      <c r="B96" t="s">
        <v>2721</v>
      </c>
      <c r="C96" t="s">
        <v>2722</v>
      </c>
      <c r="E96" t="s">
        <v>2466</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561">
        <v>0</v>
      </c>
      <c r="BG96" s="561">
        <v>0</v>
      </c>
      <c r="BH96" s="561">
        <v>0</v>
      </c>
      <c r="BI96" s="561">
        <v>0</v>
      </c>
      <c r="BJ96" s="561">
        <v>0</v>
      </c>
      <c r="BK96" s="561">
        <v>0</v>
      </c>
      <c r="BL96" s="561">
        <v>0</v>
      </c>
      <c r="BM96" s="561">
        <v>0</v>
      </c>
      <c r="BN96" s="561">
        <v>0</v>
      </c>
      <c r="BO96" s="561">
        <v>0</v>
      </c>
      <c r="BP96" s="561">
        <v>0</v>
      </c>
      <c r="BQ96" s="561">
        <v>0</v>
      </c>
      <c r="BR96" s="561">
        <v>0</v>
      </c>
      <c r="BS96" s="561">
        <v>0</v>
      </c>
      <c r="BT96" s="561">
        <v>0</v>
      </c>
      <c r="BU96" s="561">
        <v>0</v>
      </c>
      <c r="BV96" s="561">
        <v>0</v>
      </c>
      <c r="BW96" s="561">
        <v>0</v>
      </c>
      <c r="BX96" s="561">
        <v>0</v>
      </c>
      <c r="BY96" s="561">
        <v>0</v>
      </c>
      <c r="BZ96" s="561">
        <v>0</v>
      </c>
      <c r="CA96" s="561">
        <v>0</v>
      </c>
      <c r="CB96" s="561">
        <v>0</v>
      </c>
      <c r="CC96" s="561">
        <v>0</v>
      </c>
      <c r="CD96" s="561">
        <v>0</v>
      </c>
      <c r="CE96" s="561">
        <v>0</v>
      </c>
      <c r="CF96" s="561">
        <v>0</v>
      </c>
      <c r="CG96" s="561">
        <v>0</v>
      </c>
      <c r="CH96" s="561">
        <v>0</v>
      </c>
      <c r="CI96" s="561">
        <v>0</v>
      </c>
      <c r="CJ96" s="561">
        <v>0</v>
      </c>
      <c r="CK96" s="561">
        <v>0</v>
      </c>
      <c r="CL96" s="561">
        <v>0</v>
      </c>
      <c r="CM96" s="561">
        <v>0</v>
      </c>
      <c r="CN96" s="561">
        <v>0</v>
      </c>
      <c r="CO96" s="561">
        <v>0</v>
      </c>
      <c r="CP96" s="561">
        <v>0</v>
      </c>
      <c r="CQ96" s="561">
        <v>0</v>
      </c>
      <c r="CR96" s="561">
        <v>0</v>
      </c>
      <c r="CS96" s="561">
        <v>0</v>
      </c>
      <c r="CT96" s="561">
        <v>0</v>
      </c>
      <c r="CU96" s="561">
        <v>0</v>
      </c>
      <c r="CV96" s="561">
        <v>0</v>
      </c>
      <c r="CW96" s="561">
        <v>0</v>
      </c>
      <c r="CX96" s="561">
        <v>0</v>
      </c>
      <c r="CY96" s="561">
        <v>0</v>
      </c>
      <c r="CZ96" s="561">
        <v>0</v>
      </c>
      <c r="DA96" s="561">
        <v>0</v>
      </c>
      <c r="DB96" s="561">
        <v>0</v>
      </c>
      <c r="DC96" s="561">
        <v>0</v>
      </c>
      <c r="DD96" s="561">
        <v>0</v>
      </c>
      <c r="DE96" s="561">
        <v>0</v>
      </c>
      <c r="DF96" s="561">
        <v>0</v>
      </c>
      <c r="DG96" s="561">
        <v>0</v>
      </c>
      <c r="DH96" s="561">
        <v>0</v>
      </c>
      <c r="DI96" s="561">
        <v>0</v>
      </c>
      <c r="DJ96" s="561">
        <v>0</v>
      </c>
      <c r="DK96" s="561">
        <v>0</v>
      </c>
      <c r="DL96" s="561">
        <v>0</v>
      </c>
      <c r="DM96" s="561">
        <v>0</v>
      </c>
      <c r="DN96" s="561">
        <v>0</v>
      </c>
      <c r="DO96" s="561">
        <v>0</v>
      </c>
      <c r="DP96" s="561">
        <v>0</v>
      </c>
      <c r="DQ96" s="561">
        <v>0</v>
      </c>
      <c r="DR96" s="561">
        <v>0</v>
      </c>
      <c r="DS96" s="561">
        <v>0</v>
      </c>
      <c r="DT96" s="561">
        <v>0</v>
      </c>
      <c r="DU96" s="561">
        <v>0</v>
      </c>
      <c r="DV96" s="561">
        <v>0</v>
      </c>
      <c r="DW96" s="561">
        <v>0</v>
      </c>
      <c r="DX96" s="561">
        <v>0</v>
      </c>
      <c r="DY96" s="561">
        <v>0</v>
      </c>
      <c r="DZ96" s="561">
        <v>0</v>
      </c>
      <c r="EA96" s="561">
        <v>0</v>
      </c>
      <c r="EB96" s="561">
        <v>0</v>
      </c>
      <c r="EC96" s="561">
        <v>0</v>
      </c>
      <c r="ED96" s="561">
        <v>0</v>
      </c>
      <c r="EE96" s="561">
        <v>0</v>
      </c>
      <c r="EF96" s="561">
        <v>0</v>
      </c>
      <c r="EG96" s="561">
        <v>0</v>
      </c>
      <c r="EH96" s="561">
        <v>0</v>
      </c>
      <c r="EI96" s="561">
        <v>0</v>
      </c>
      <c r="EJ96" s="561">
        <v>0</v>
      </c>
      <c r="EK96" s="561">
        <v>0</v>
      </c>
      <c r="EL96" s="561">
        <v>0</v>
      </c>
      <c r="EM96" s="561">
        <v>0</v>
      </c>
      <c r="EN96" s="561">
        <v>0</v>
      </c>
      <c r="EO96" s="561">
        <v>0</v>
      </c>
      <c r="EP96" s="561">
        <v>0</v>
      </c>
      <c r="EQ96" s="561">
        <v>0</v>
      </c>
      <c r="ER96" s="561">
        <v>0</v>
      </c>
      <c r="ES96" s="561" t="s">
        <v>4565</v>
      </c>
      <c r="ET96" s="561">
        <v>0</v>
      </c>
      <c r="EU96" s="561">
        <v>0</v>
      </c>
      <c r="EV96" s="561">
        <v>0</v>
      </c>
      <c r="EW96" s="561">
        <v>0</v>
      </c>
      <c r="EX96" s="561">
        <v>0</v>
      </c>
      <c r="EY96" s="561">
        <v>0</v>
      </c>
      <c r="EZ96" s="561">
        <v>0</v>
      </c>
      <c r="FA96" s="561">
        <v>0</v>
      </c>
      <c r="FB96" s="561">
        <v>0</v>
      </c>
      <c r="FC96" s="561">
        <v>0</v>
      </c>
      <c r="FD96" s="561">
        <v>0</v>
      </c>
      <c r="FE96" s="561">
        <v>0</v>
      </c>
      <c r="FF96" s="561">
        <v>0</v>
      </c>
      <c r="FG96" s="561">
        <v>0</v>
      </c>
      <c r="FH96" s="561">
        <v>0</v>
      </c>
      <c r="FI96" s="561">
        <v>0</v>
      </c>
      <c r="FJ96" s="561">
        <v>0</v>
      </c>
      <c r="FK96" s="561">
        <v>0</v>
      </c>
      <c r="FL96" s="561">
        <v>0</v>
      </c>
      <c r="FM96" s="561">
        <v>0</v>
      </c>
      <c r="FN96" s="561">
        <v>0</v>
      </c>
      <c r="FO96" s="561">
        <v>0</v>
      </c>
      <c r="FP96" s="561">
        <v>0</v>
      </c>
      <c r="FQ96" s="561">
        <v>0</v>
      </c>
      <c r="FR96" s="561">
        <v>0</v>
      </c>
      <c r="FS96" s="561">
        <v>0</v>
      </c>
      <c r="FT96" s="561">
        <v>0</v>
      </c>
      <c r="FU96" s="561">
        <v>0</v>
      </c>
      <c r="FV96" s="561">
        <v>0</v>
      </c>
      <c r="FW96" s="561">
        <v>0</v>
      </c>
      <c r="FX96" s="561">
        <v>0</v>
      </c>
      <c r="FY96" s="561">
        <v>0</v>
      </c>
      <c r="FZ96" s="561">
        <v>0</v>
      </c>
      <c r="GA96" s="561">
        <v>0</v>
      </c>
      <c r="GB96" s="561">
        <v>0</v>
      </c>
      <c r="GC96" s="561">
        <v>0</v>
      </c>
      <c r="GD96" s="561">
        <v>0</v>
      </c>
      <c r="GE96" s="561">
        <v>0</v>
      </c>
      <c r="GF96" s="561">
        <v>0</v>
      </c>
      <c r="GG96" s="561">
        <v>0</v>
      </c>
      <c r="GH96" s="561">
        <v>0</v>
      </c>
      <c r="GI96" s="561">
        <v>0</v>
      </c>
      <c r="GJ96" s="561">
        <v>0</v>
      </c>
      <c r="GK96" s="561">
        <v>0</v>
      </c>
      <c r="GL96" s="561">
        <v>0</v>
      </c>
      <c r="GM96" s="561">
        <v>0</v>
      </c>
      <c r="GN96" s="561">
        <v>0</v>
      </c>
      <c r="GO96" s="561">
        <v>0</v>
      </c>
      <c r="GP96" s="561">
        <v>0</v>
      </c>
      <c r="GQ96" s="561">
        <v>0</v>
      </c>
      <c r="GR96" s="561">
        <v>0</v>
      </c>
      <c r="GS96" s="561">
        <v>0</v>
      </c>
      <c r="GT96" s="561">
        <v>0</v>
      </c>
      <c r="GU96" s="561">
        <v>0</v>
      </c>
      <c r="GV96" s="561">
        <v>0</v>
      </c>
      <c r="GW96" s="561">
        <v>0</v>
      </c>
      <c r="GX96" s="561">
        <v>0</v>
      </c>
      <c r="GY96" s="561">
        <v>0</v>
      </c>
      <c r="GZ96" s="561">
        <v>0</v>
      </c>
      <c r="HA96" s="561">
        <v>0</v>
      </c>
      <c r="HB96" s="561">
        <v>0</v>
      </c>
      <c r="HC96" s="561">
        <v>0</v>
      </c>
      <c r="HD96" s="561">
        <v>0</v>
      </c>
      <c r="HE96" s="561">
        <v>0</v>
      </c>
      <c r="HF96" s="561">
        <v>0</v>
      </c>
      <c r="HG96" s="561">
        <v>0</v>
      </c>
      <c r="HH96" s="561">
        <v>445453.01</v>
      </c>
      <c r="HI96" s="561">
        <v>4376</v>
      </c>
      <c r="HJ96" s="561">
        <v>0</v>
      </c>
      <c r="HK96" s="561">
        <v>0</v>
      </c>
      <c r="HL96" s="561">
        <v>0</v>
      </c>
      <c r="HM96" s="561">
        <v>0</v>
      </c>
      <c r="HN96" s="561">
        <v>0</v>
      </c>
      <c r="HO96" s="561">
        <v>2269</v>
      </c>
      <c r="HP96" s="561">
        <v>0</v>
      </c>
      <c r="HQ96" s="561">
        <v>0</v>
      </c>
      <c r="HR96" s="561">
        <v>0</v>
      </c>
      <c r="HS96" s="561">
        <v>0</v>
      </c>
      <c r="HT96" s="561">
        <v>0</v>
      </c>
      <c r="HU96" s="561">
        <v>0</v>
      </c>
      <c r="HV96" s="561">
        <v>0</v>
      </c>
      <c r="HW96" s="561">
        <v>0</v>
      </c>
      <c r="HX96" s="561">
        <v>0</v>
      </c>
      <c r="HY96" s="561">
        <v>0</v>
      </c>
      <c r="HZ96" s="561">
        <v>0</v>
      </c>
      <c r="IA96" s="561">
        <v>0</v>
      </c>
      <c r="IB96" s="561">
        <v>0</v>
      </c>
      <c r="IC96" s="561">
        <v>0</v>
      </c>
      <c r="ID96" s="561">
        <v>0</v>
      </c>
      <c r="IE96" s="561">
        <v>0</v>
      </c>
      <c r="IF96" s="561">
        <v>0</v>
      </c>
      <c r="IG96" s="561">
        <v>0</v>
      </c>
      <c r="IH96" s="561">
        <v>0</v>
      </c>
      <c r="II96" s="561">
        <v>2269</v>
      </c>
      <c r="IJ96" s="561">
        <v>0</v>
      </c>
      <c r="IK96" s="561">
        <v>0</v>
      </c>
      <c r="IL96" s="561">
        <v>0</v>
      </c>
      <c r="IM96" s="561">
        <v>0</v>
      </c>
      <c r="IN96" s="561">
        <v>0</v>
      </c>
      <c r="IO96" s="561">
        <v>0</v>
      </c>
      <c r="IP96" s="561">
        <v>0</v>
      </c>
      <c r="IQ96" s="561">
        <v>0</v>
      </c>
      <c r="IR96" s="561">
        <v>0</v>
      </c>
      <c r="IS96" s="561">
        <v>0</v>
      </c>
      <c r="IT96" s="561">
        <v>0</v>
      </c>
      <c r="IU96" s="561">
        <v>0</v>
      </c>
      <c r="IV96" s="561">
        <v>0</v>
      </c>
      <c r="IW96" s="561">
        <v>0</v>
      </c>
      <c r="IX96" s="561">
        <v>0</v>
      </c>
      <c r="IY96" s="561">
        <v>0</v>
      </c>
      <c r="IZ96" s="561">
        <v>0</v>
      </c>
      <c r="JA96" s="561">
        <v>445453.01</v>
      </c>
      <c r="JB96" s="561">
        <v>0</v>
      </c>
      <c r="JC96" s="561">
        <v>2269</v>
      </c>
      <c r="JD96" s="561">
        <v>0</v>
      </c>
      <c r="JE96" s="561">
        <v>447722.01</v>
      </c>
      <c r="JF96" s="561">
        <v>0</v>
      </c>
      <c r="JG96" s="561">
        <v>0</v>
      </c>
      <c r="JH96" s="561">
        <v>0</v>
      </c>
      <c r="JI96" s="561">
        <v>0</v>
      </c>
      <c r="JJ96" s="561">
        <v>0</v>
      </c>
      <c r="JK96" s="561">
        <v>0</v>
      </c>
      <c r="JL96" s="561">
        <v>0</v>
      </c>
      <c r="JM96" s="561">
        <v>0</v>
      </c>
      <c r="JN96" s="561">
        <v>0</v>
      </c>
      <c r="JO96" s="561">
        <v>0</v>
      </c>
      <c r="JP96" s="561">
        <v>0</v>
      </c>
      <c r="JQ96" s="561">
        <v>0</v>
      </c>
      <c r="JR96" s="561">
        <v>0</v>
      </c>
      <c r="JS96" s="561">
        <v>0</v>
      </c>
      <c r="JT96" s="561">
        <v>0</v>
      </c>
      <c r="JU96" s="561">
        <v>0</v>
      </c>
      <c r="JV96" s="561">
        <v>447722.01</v>
      </c>
      <c r="JW96" s="561">
        <v>0</v>
      </c>
      <c r="JX96" s="561">
        <v>5331</v>
      </c>
      <c r="JY96" s="561">
        <v>0</v>
      </c>
      <c r="JZ96" s="561">
        <v>0</v>
      </c>
      <c r="KA96" s="561">
        <v>0</v>
      </c>
      <c r="KB96" s="561">
        <v>0</v>
      </c>
      <c r="KC96" s="561">
        <v>3594</v>
      </c>
      <c r="KD96" s="561">
        <v>0</v>
      </c>
      <c r="KE96" s="561">
        <v>1745</v>
      </c>
      <c r="KF96" s="561">
        <v>0</v>
      </c>
      <c r="KG96" s="561">
        <v>458392.01</v>
      </c>
      <c r="KH96" s="561">
        <v>-1835</v>
      </c>
      <c r="KI96" s="561">
        <v>0</v>
      </c>
      <c r="KJ96" s="561">
        <v>0</v>
      </c>
      <c r="KK96" s="561">
        <v>0</v>
      </c>
      <c r="KL96" s="561">
        <v>0</v>
      </c>
      <c r="KM96" s="561">
        <v>0</v>
      </c>
      <c r="KN96" s="561">
        <v>0</v>
      </c>
      <c r="KO96" s="561">
        <v>0</v>
      </c>
      <c r="KP96" s="561">
        <v>0</v>
      </c>
      <c r="KQ96" s="561">
        <v>0</v>
      </c>
      <c r="KR96" s="561">
        <v>456557.01</v>
      </c>
      <c r="KS96" s="561">
        <v>0</v>
      </c>
      <c r="KT96" s="561">
        <v>-48462.61</v>
      </c>
      <c r="KU96" s="561">
        <v>408094.4</v>
      </c>
      <c r="KV96" s="561">
        <v>0</v>
      </c>
      <c r="KW96" s="561">
        <v>0</v>
      </c>
      <c r="KX96" s="561">
        <v>0</v>
      </c>
      <c r="KY96" s="561">
        <v>0</v>
      </c>
      <c r="KZ96" s="561">
        <v>-2706</v>
      </c>
      <c r="LA96" s="561">
        <v>1133</v>
      </c>
      <c r="LB96" s="561">
        <v>0</v>
      </c>
      <c r="LC96" s="561">
        <v>-214687</v>
      </c>
      <c r="LD96" s="561">
        <v>0</v>
      </c>
      <c r="LE96" s="561">
        <v>-1402</v>
      </c>
      <c r="LF96" s="561">
        <v>-15461</v>
      </c>
      <c r="LG96" s="561">
        <v>174971</v>
      </c>
      <c r="LH96" s="561">
        <v>0</v>
      </c>
      <c r="LI96" s="561">
        <v>0</v>
      </c>
      <c r="LJ96" s="561">
        <v>0</v>
      </c>
      <c r="LK96" s="561">
        <v>0</v>
      </c>
      <c r="LL96" s="561">
        <v>19849</v>
      </c>
      <c r="LM96" s="561">
        <v>17236</v>
      </c>
      <c r="LN96" s="561">
        <v>0</v>
      </c>
      <c r="LO96" s="561">
        <v>0</v>
      </c>
      <c r="LP96" s="561">
        <v>0</v>
      </c>
      <c r="LQ96" s="561">
        <v>0</v>
      </c>
      <c r="LR96" s="561">
        <v>17143</v>
      </c>
      <c r="LS96" s="561">
        <v>18369</v>
      </c>
      <c r="LT96" s="561">
        <v>0</v>
      </c>
      <c r="LU96" s="561">
        <v>13637</v>
      </c>
      <c r="LV96" s="561">
        <v>0</v>
      </c>
      <c r="LW96" s="561">
        <v>0</v>
      </c>
      <c r="LX96" s="561">
        <v>0</v>
      </c>
      <c r="LY96" s="561">
        <v>0</v>
      </c>
      <c r="LZ96" s="561">
        <v>13583</v>
      </c>
      <c r="MA96" s="561">
        <v>0</v>
      </c>
      <c r="MB96" s="561">
        <v>0</v>
      </c>
      <c r="MC96" s="561">
        <v>0</v>
      </c>
      <c r="MD96" s="561">
        <v>0</v>
      </c>
      <c r="ME96" s="561">
        <v>0</v>
      </c>
      <c r="MF96" s="561">
        <v>0</v>
      </c>
      <c r="MG96" s="561">
        <v>0</v>
      </c>
      <c r="MH96" s="561">
        <v>0</v>
      </c>
      <c r="MI96" s="561">
        <v>0</v>
      </c>
      <c r="MJ96" s="561">
        <v>0</v>
      </c>
      <c r="MK96" s="561">
        <v>0</v>
      </c>
      <c r="ML96" s="561">
        <v>0</v>
      </c>
      <c r="MM96" s="561">
        <v>17143</v>
      </c>
      <c r="MN96" s="561">
        <v>0</v>
      </c>
      <c r="MO96" s="561">
        <v>0</v>
      </c>
      <c r="MP96" s="561">
        <v>0</v>
      </c>
      <c r="MQ96" s="561">
        <v>0</v>
      </c>
      <c r="MR96" s="561">
        <v>0</v>
      </c>
      <c r="MS96" s="561">
        <v>0</v>
      </c>
      <c r="MT96" s="561">
        <v>0</v>
      </c>
      <c r="MU96" s="561">
        <v>0</v>
      </c>
      <c r="MV96" s="561">
        <v>0</v>
      </c>
      <c r="MW96" s="561">
        <v>0</v>
      </c>
      <c r="MX96" s="561">
        <v>0</v>
      </c>
      <c r="MY96" s="561">
        <v>0</v>
      </c>
      <c r="MZ96" s="561">
        <v>445453.01</v>
      </c>
      <c r="NA96" s="561">
        <v>0</v>
      </c>
      <c r="NB96" s="561">
        <v>2269</v>
      </c>
      <c r="NC96" s="561">
        <v>0</v>
      </c>
      <c r="ND96" s="561">
        <v>447722.01</v>
      </c>
      <c r="NE96" s="561">
        <v>0</v>
      </c>
      <c r="NF96" s="561">
        <v>0</v>
      </c>
      <c r="NG96" s="561">
        <v>0</v>
      </c>
      <c r="NH96" s="561">
        <v>0</v>
      </c>
      <c r="NI96" s="561">
        <v>0</v>
      </c>
      <c r="NJ96" s="561">
        <v>0</v>
      </c>
      <c r="NK96" s="561">
        <v>0</v>
      </c>
      <c r="NL96" s="561">
        <v>0</v>
      </c>
      <c r="NM96" s="561">
        <v>0</v>
      </c>
      <c r="NN96" s="561">
        <v>0</v>
      </c>
      <c r="NO96" s="561">
        <v>0</v>
      </c>
      <c r="NP96" s="561">
        <v>0</v>
      </c>
      <c r="NQ96" s="561">
        <v>0</v>
      </c>
      <c r="NR96" s="561">
        <v>0</v>
      </c>
      <c r="NS96" s="561">
        <v>0</v>
      </c>
      <c r="NT96" s="561">
        <v>0</v>
      </c>
      <c r="NU96" s="561">
        <v>0</v>
      </c>
      <c r="NV96" s="561">
        <v>0</v>
      </c>
      <c r="NW96" s="561">
        <v>0</v>
      </c>
      <c r="NX96" s="561">
        <v>0</v>
      </c>
      <c r="NY96" s="561">
        <v>0</v>
      </c>
      <c r="NZ96" s="561">
        <v>0</v>
      </c>
      <c r="OA96" s="561">
        <v>0</v>
      </c>
      <c r="OB96" s="561">
        <v>0</v>
      </c>
      <c r="OC96" s="561">
        <v>0</v>
      </c>
      <c r="OD96" s="561">
        <v>0</v>
      </c>
      <c r="OE96" s="561">
        <v>0</v>
      </c>
      <c r="OF96" s="561">
        <v>0</v>
      </c>
      <c r="OG96" s="561">
        <v>0</v>
      </c>
      <c r="OH96" s="561">
        <v>0</v>
      </c>
      <c r="OI96" s="561">
        <v>0</v>
      </c>
      <c r="OJ96" s="561">
        <v>0</v>
      </c>
      <c r="OK96" s="561">
        <v>0</v>
      </c>
      <c r="OL96" s="561">
        <v>0</v>
      </c>
      <c r="OM96" s="561">
        <v>0</v>
      </c>
      <c r="ON96" s="561">
        <v>0</v>
      </c>
      <c r="OO96" s="561">
        <v>0</v>
      </c>
      <c r="OP96" s="561">
        <v>0</v>
      </c>
      <c r="OQ96" s="561">
        <v>0</v>
      </c>
      <c r="OR96" s="561">
        <v>0</v>
      </c>
      <c r="OS96" s="561">
        <v>0</v>
      </c>
      <c r="OT96" s="561">
        <v>0</v>
      </c>
      <c r="OU96" s="561">
        <v>0</v>
      </c>
      <c r="OV96" s="561">
        <v>0</v>
      </c>
      <c r="OW96" s="561">
        <v>0</v>
      </c>
      <c r="OX96" s="561">
        <v>0</v>
      </c>
      <c r="OY96" s="561">
        <v>0</v>
      </c>
      <c r="OZ96" s="561">
        <v>0</v>
      </c>
      <c r="PA96" s="561">
        <v>0</v>
      </c>
      <c r="PB96" s="561">
        <v>0</v>
      </c>
      <c r="PC96" s="561">
        <v>0</v>
      </c>
      <c r="PD96" s="561">
        <v>0</v>
      </c>
      <c r="PE96" s="561">
        <v>0</v>
      </c>
      <c r="PF96" s="561">
        <v>0</v>
      </c>
      <c r="PG96" s="561">
        <v>0</v>
      </c>
      <c r="PH96" s="561">
        <v>0</v>
      </c>
      <c r="PI96" s="561">
        <v>0</v>
      </c>
      <c r="PJ96" s="561">
        <v>0</v>
      </c>
    </row>
    <row r="97" spans="1:426" ht="14" x14ac:dyDescent="0.3">
      <c r="A97" t="s">
        <v>2723</v>
      </c>
      <c r="B97" t="s">
        <v>2724</v>
      </c>
      <c r="C97" t="s">
        <v>4594</v>
      </c>
      <c r="E97" t="s">
        <v>2466</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0</v>
      </c>
      <c r="W97" s="561">
        <v>0</v>
      </c>
      <c r="X97" s="561">
        <v>0</v>
      </c>
      <c r="Y97" s="561">
        <v>0</v>
      </c>
      <c r="Z97" s="561">
        <v>0</v>
      </c>
      <c r="AA97" s="561">
        <v>0</v>
      </c>
      <c r="AB97" s="561">
        <v>0</v>
      </c>
      <c r="AC97" s="561">
        <v>0</v>
      </c>
      <c r="AD97" s="561">
        <v>0</v>
      </c>
      <c r="AE97" s="561">
        <v>0</v>
      </c>
      <c r="AF97" s="561">
        <v>0</v>
      </c>
      <c r="AG97" s="561">
        <v>0</v>
      </c>
      <c r="AH97" s="561">
        <v>0</v>
      </c>
      <c r="AI97" s="561">
        <v>0</v>
      </c>
      <c r="AJ97" s="561">
        <v>0</v>
      </c>
      <c r="AK97" s="561">
        <v>0</v>
      </c>
      <c r="AL97" s="561">
        <v>0</v>
      </c>
      <c r="AM97" s="561">
        <v>0</v>
      </c>
      <c r="AN97" s="561">
        <v>0</v>
      </c>
      <c r="AO97" s="561">
        <v>0</v>
      </c>
      <c r="AP97" s="561">
        <v>0</v>
      </c>
      <c r="AQ97" s="561">
        <v>0</v>
      </c>
      <c r="AR97" s="561">
        <v>0</v>
      </c>
      <c r="AS97" s="561">
        <v>0</v>
      </c>
      <c r="AT97" s="561">
        <v>0</v>
      </c>
      <c r="AU97" s="561">
        <v>0</v>
      </c>
      <c r="AV97" s="561">
        <v>0</v>
      </c>
      <c r="AW97" s="561">
        <v>0</v>
      </c>
      <c r="AX97" s="561">
        <v>0</v>
      </c>
      <c r="AY97" s="561">
        <v>0</v>
      </c>
      <c r="AZ97" s="561">
        <v>0</v>
      </c>
      <c r="BA97" s="561">
        <v>0</v>
      </c>
      <c r="BB97" s="561">
        <v>0</v>
      </c>
      <c r="BC97" s="561">
        <v>0</v>
      </c>
      <c r="BD97" s="561">
        <v>0</v>
      </c>
      <c r="BE97" s="561">
        <v>0</v>
      </c>
      <c r="BF97" s="561">
        <v>0</v>
      </c>
      <c r="BG97" s="561">
        <v>0</v>
      </c>
      <c r="BH97" s="561">
        <v>0</v>
      </c>
      <c r="BI97" s="561">
        <v>0</v>
      </c>
      <c r="BJ97" s="561">
        <v>0</v>
      </c>
      <c r="BK97" s="561">
        <v>0</v>
      </c>
      <c r="BL97" s="561">
        <v>0</v>
      </c>
      <c r="BM97" s="561">
        <v>0</v>
      </c>
      <c r="BN97" s="561">
        <v>0</v>
      </c>
      <c r="BO97" s="561">
        <v>0</v>
      </c>
      <c r="BP97" s="561">
        <v>0</v>
      </c>
      <c r="BQ97" s="561">
        <v>0</v>
      </c>
      <c r="BR97" s="561">
        <v>0</v>
      </c>
      <c r="BS97" s="561">
        <v>0</v>
      </c>
      <c r="BT97" s="561">
        <v>0</v>
      </c>
      <c r="BU97" s="561">
        <v>0</v>
      </c>
      <c r="BV97" s="561">
        <v>0</v>
      </c>
      <c r="BW97" s="561">
        <v>0</v>
      </c>
      <c r="BX97" s="561">
        <v>0</v>
      </c>
      <c r="BY97" s="561">
        <v>0</v>
      </c>
      <c r="BZ97" s="561">
        <v>0</v>
      </c>
      <c r="CA97" s="561">
        <v>0</v>
      </c>
      <c r="CB97" s="561">
        <v>0</v>
      </c>
      <c r="CC97" s="561">
        <v>0</v>
      </c>
      <c r="CD97" s="561">
        <v>0</v>
      </c>
      <c r="CE97" s="561">
        <v>0</v>
      </c>
      <c r="CF97" s="561">
        <v>0</v>
      </c>
      <c r="CG97" s="561">
        <v>0</v>
      </c>
      <c r="CH97" s="561">
        <v>0</v>
      </c>
      <c r="CI97" s="561">
        <v>0</v>
      </c>
      <c r="CJ97" s="561">
        <v>0</v>
      </c>
      <c r="CK97" s="561">
        <v>0</v>
      </c>
      <c r="CL97" s="561">
        <v>0</v>
      </c>
      <c r="CM97" s="561">
        <v>0</v>
      </c>
      <c r="CN97" s="561">
        <v>0</v>
      </c>
      <c r="CO97" s="561">
        <v>0</v>
      </c>
      <c r="CP97" s="561">
        <v>0</v>
      </c>
      <c r="CQ97" s="561">
        <v>0</v>
      </c>
      <c r="CR97" s="561">
        <v>0</v>
      </c>
      <c r="CS97" s="561">
        <v>0</v>
      </c>
      <c r="CT97" s="561">
        <v>0</v>
      </c>
      <c r="CU97" s="561">
        <v>0</v>
      </c>
      <c r="CV97" s="561">
        <v>0</v>
      </c>
      <c r="CW97" s="561">
        <v>0</v>
      </c>
      <c r="CX97" s="561">
        <v>0</v>
      </c>
      <c r="CY97" s="561">
        <v>0</v>
      </c>
      <c r="CZ97" s="561">
        <v>0</v>
      </c>
      <c r="DA97" s="561">
        <v>0</v>
      </c>
      <c r="DB97" s="561">
        <v>0</v>
      </c>
      <c r="DC97" s="561">
        <v>0</v>
      </c>
      <c r="DD97" s="561">
        <v>0</v>
      </c>
      <c r="DE97" s="561">
        <v>0</v>
      </c>
      <c r="DF97" s="561">
        <v>0</v>
      </c>
      <c r="DG97" s="561">
        <v>0</v>
      </c>
      <c r="DH97" s="561">
        <v>0</v>
      </c>
      <c r="DI97" s="561">
        <v>0</v>
      </c>
      <c r="DJ97" s="561">
        <v>0</v>
      </c>
      <c r="DK97" s="561">
        <v>0</v>
      </c>
      <c r="DL97" s="561">
        <v>0</v>
      </c>
      <c r="DM97" s="561">
        <v>0</v>
      </c>
      <c r="DN97" s="561">
        <v>0</v>
      </c>
      <c r="DO97" s="561">
        <v>0</v>
      </c>
      <c r="DP97" s="561">
        <v>0</v>
      </c>
      <c r="DQ97" s="561">
        <v>0</v>
      </c>
      <c r="DR97" s="561">
        <v>0</v>
      </c>
      <c r="DS97" s="561">
        <v>0</v>
      </c>
      <c r="DT97" s="561">
        <v>0</v>
      </c>
      <c r="DU97" s="561">
        <v>0</v>
      </c>
      <c r="DV97" s="561">
        <v>0</v>
      </c>
      <c r="DW97" s="561">
        <v>0</v>
      </c>
      <c r="DX97" s="561">
        <v>0</v>
      </c>
      <c r="DY97" s="561">
        <v>0</v>
      </c>
      <c r="DZ97" s="561">
        <v>0</v>
      </c>
      <c r="EA97" s="561">
        <v>0</v>
      </c>
      <c r="EB97" s="561">
        <v>0</v>
      </c>
      <c r="EC97" s="561">
        <v>0</v>
      </c>
      <c r="ED97" s="561">
        <v>0</v>
      </c>
      <c r="EE97" s="561">
        <v>0</v>
      </c>
      <c r="EF97" s="561">
        <v>0</v>
      </c>
      <c r="EG97" s="561">
        <v>0</v>
      </c>
      <c r="EH97" s="561">
        <v>0</v>
      </c>
      <c r="EI97" s="561">
        <v>0</v>
      </c>
      <c r="EJ97" s="561">
        <v>0</v>
      </c>
      <c r="EK97" s="561">
        <v>0</v>
      </c>
      <c r="EL97" s="561">
        <v>0</v>
      </c>
      <c r="EM97" s="561">
        <v>0</v>
      </c>
      <c r="EN97" s="561">
        <v>0</v>
      </c>
      <c r="EO97" s="561">
        <v>0</v>
      </c>
      <c r="EP97" s="561">
        <v>0</v>
      </c>
      <c r="EQ97" s="561">
        <v>0</v>
      </c>
      <c r="ER97" s="561">
        <v>0</v>
      </c>
      <c r="ES97" s="561" t="s">
        <v>4565</v>
      </c>
      <c r="ET97" s="561">
        <v>0</v>
      </c>
      <c r="EU97" s="561">
        <v>0</v>
      </c>
      <c r="EV97" s="561">
        <v>0</v>
      </c>
      <c r="EW97" s="561">
        <v>0</v>
      </c>
      <c r="EX97" s="561">
        <v>0</v>
      </c>
      <c r="EY97" s="561">
        <v>0</v>
      </c>
      <c r="EZ97" s="561">
        <v>0</v>
      </c>
      <c r="FA97" s="561">
        <v>0</v>
      </c>
      <c r="FB97" s="561">
        <v>0</v>
      </c>
      <c r="FC97" s="561">
        <v>0</v>
      </c>
      <c r="FD97" s="561">
        <v>0</v>
      </c>
      <c r="FE97" s="561">
        <v>0</v>
      </c>
      <c r="FF97" s="561">
        <v>0</v>
      </c>
      <c r="FG97" s="561">
        <v>0</v>
      </c>
      <c r="FH97" s="561">
        <v>0</v>
      </c>
      <c r="FI97" s="561">
        <v>0</v>
      </c>
      <c r="FJ97" s="561">
        <v>0</v>
      </c>
      <c r="FK97" s="561">
        <v>0</v>
      </c>
      <c r="FL97" s="561">
        <v>0</v>
      </c>
      <c r="FM97" s="561">
        <v>0</v>
      </c>
      <c r="FN97" s="561">
        <v>0</v>
      </c>
      <c r="FO97" s="561">
        <v>0</v>
      </c>
      <c r="FP97" s="561">
        <v>0</v>
      </c>
      <c r="FQ97" s="561">
        <v>0</v>
      </c>
      <c r="FR97" s="561">
        <v>0</v>
      </c>
      <c r="FS97" s="561">
        <v>0</v>
      </c>
      <c r="FT97" s="561">
        <v>0</v>
      </c>
      <c r="FU97" s="561">
        <v>0</v>
      </c>
      <c r="FV97" s="561">
        <v>0</v>
      </c>
      <c r="FW97" s="561">
        <v>0</v>
      </c>
      <c r="FX97" s="561">
        <v>0</v>
      </c>
      <c r="FY97" s="561">
        <v>0</v>
      </c>
      <c r="FZ97" s="561">
        <v>0</v>
      </c>
      <c r="GA97" s="561">
        <v>0</v>
      </c>
      <c r="GB97" s="561">
        <v>0</v>
      </c>
      <c r="GC97" s="561">
        <v>0</v>
      </c>
      <c r="GD97" s="561">
        <v>0</v>
      </c>
      <c r="GE97" s="561">
        <v>0</v>
      </c>
      <c r="GF97" s="561">
        <v>0</v>
      </c>
      <c r="GG97" s="561">
        <v>0</v>
      </c>
      <c r="GH97" s="561">
        <v>0</v>
      </c>
      <c r="GI97" s="561">
        <v>0</v>
      </c>
      <c r="GJ97" s="561">
        <v>0</v>
      </c>
      <c r="GK97" s="561">
        <v>0</v>
      </c>
      <c r="GL97" s="561">
        <v>0</v>
      </c>
      <c r="GM97" s="561">
        <v>0</v>
      </c>
      <c r="GN97" s="561">
        <v>0</v>
      </c>
      <c r="GO97" s="561">
        <v>0</v>
      </c>
      <c r="GP97" s="561">
        <v>0</v>
      </c>
      <c r="GQ97" s="561">
        <v>0</v>
      </c>
      <c r="GR97" s="561">
        <v>0</v>
      </c>
      <c r="GS97" s="561">
        <v>0</v>
      </c>
      <c r="GT97" s="561">
        <v>0</v>
      </c>
      <c r="GU97" s="561">
        <v>0</v>
      </c>
      <c r="GV97" s="561">
        <v>0</v>
      </c>
      <c r="GW97" s="561">
        <v>0</v>
      </c>
      <c r="GX97" s="561">
        <v>0</v>
      </c>
      <c r="GY97" s="561">
        <v>0</v>
      </c>
      <c r="GZ97" s="561">
        <v>0</v>
      </c>
      <c r="HA97" s="561">
        <v>0</v>
      </c>
      <c r="HB97" s="561">
        <v>0</v>
      </c>
      <c r="HC97" s="561">
        <v>0</v>
      </c>
      <c r="HD97" s="561">
        <v>0</v>
      </c>
      <c r="HE97" s="561">
        <v>0</v>
      </c>
      <c r="HF97" s="561">
        <v>0</v>
      </c>
      <c r="HG97" s="561">
        <v>0</v>
      </c>
      <c r="HH97" s="561">
        <v>0</v>
      </c>
      <c r="HI97" s="561">
        <v>0</v>
      </c>
      <c r="HJ97" s="561">
        <v>8426</v>
      </c>
      <c r="HK97" s="561">
        <v>87864</v>
      </c>
      <c r="HL97" s="561">
        <v>192</v>
      </c>
      <c r="HM97" s="561">
        <v>96482</v>
      </c>
      <c r="HN97" s="561">
        <v>159</v>
      </c>
      <c r="HO97" s="561">
        <v>777</v>
      </c>
      <c r="HP97" s="561">
        <v>0</v>
      </c>
      <c r="HQ97" s="561">
        <v>0</v>
      </c>
      <c r="HR97" s="561">
        <v>0</v>
      </c>
      <c r="HS97" s="561">
        <v>0</v>
      </c>
      <c r="HT97" s="561">
        <v>0</v>
      </c>
      <c r="HU97" s="561">
        <v>0</v>
      </c>
      <c r="HV97" s="561">
        <v>0</v>
      </c>
      <c r="HW97" s="561">
        <v>0</v>
      </c>
      <c r="HX97" s="561">
        <v>0</v>
      </c>
      <c r="HY97" s="561">
        <v>0</v>
      </c>
      <c r="HZ97" s="561">
        <v>0</v>
      </c>
      <c r="IA97" s="561">
        <v>0</v>
      </c>
      <c r="IB97" s="561">
        <v>0</v>
      </c>
      <c r="IC97" s="561">
        <v>0</v>
      </c>
      <c r="ID97" s="561">
        <v>0</v>
      </c>
      <c r="IE97" s="561">
        <v>0</v>
      </c>
      <c r="IF97" s="561">
        <v>0</v>
      </c>
      <c r="IG97" s="561">
        <v>0</v>
      </c>
      <c r="IH97" s="561">
        <v>0</v>
      </c>
      <c r="II97" s="561">
        <v>777</v>
      </c>
      <c r="IJ97" s="561">
        <v>2</v>
      </c>
      <c r="IK97" s="561">
        <v>435</v>
      </c>
      <c r="IL97" s="561">
        <v>28218</v>
      </c>
      <c r="IM97" s="561">
        <v>0</v>
      </c>
      <c r="IN97" s="561">
        <v>0</v>
      </c>
      <c r="IO97" s="561">
        <v>507</v>
      </c>
      <c r="IP97" s="561">
        <v>0</v>
      </c>
      <c r="IQ97" s="561">
        <v>0</v>
      </c>
      <c r="IR97" s="561">
        <v>0</v>
      </c>
      <c r="IS97" s="561">
        <v>0</v>
      </c>
      <c r="IT97" s="561">
        <v>0</v>
      </c>
      <c r="IU97" s="561">
        <v>0</v>
      </c>
      <c r="IV97" s="561">
        <v>0</v>
      </c>
      <c r="IW97" s="561">
        <v>0</v>
      </c>
      <c r="IX97" s="561">
        <v>0</v>
      </c>
      <c r="IY97" s="561">
        <v>0</v>
      </c>
      <c r="IZ97" s="561">
        <v>0</v>
      </c>
      <c r="JA97" s="561">
        <v>0</v>
      </c>
      <c r="JB97" s="561">
        <v>96482</v>
      </c>
      <c r="JC97" s="561">
        <v>777</v>
      </c>
      <c r="JD97" s="561">
        <v>0</v>
      </c>
      <c r="JE97" s="561">
        <v>97259</v>
      </c>
      <c r="JF97" s="561">
        <v>0</v>
      </c>
      <c r="JG97" s="561">
        <v>0</v>
      </c>
      <c r="JH97" s="561">
        <v>0</v>
      </c>
      <c r="JI97" s="561">
        <v>0</v>
      </c>
      <c r="JJ97" s="561">
        <v>0</v>
      </c>
      <c r="JK97" s="561">
        <v>0</v>
      </c>
      <c r="JL97" s="561">
        <v>0</v>
      </c>
      <c r="JM97" s="561">
        <v>0</v>
      </c>
      <c r="JN97" s="561">
        <v>0</v>
      </c>
      <c r="JO97" s="561">
        <v>0</v>
      </c>
      <c r="JP97" s="561">
        <v>0</v>
      </c>
      <c r="JQ97" s="561">
        <v>0</v>
      </c>
      <c r="JR97" s="561">
        <v>0</v>
      </c>
      <c r="JS97" s="561">
        <v>0</v>
      </c>
      <c r="JT97" s="561">
        <v>98</v>
      </c>
      <c r="JU97" s="561">
        <v>0</v>
      </c>
      <c r="JV97" s="561">
        <v>97357</v>
      </c>
      <c r="JW97" s="561">
        <v>0</v>
      </c>
      <c r="JX97" s="561">
        <v>2445</v>
      </c>
      <c r="JY97" s="561">
        <v>0</v>
      </c>
      <c r="JZ97" s="561">
        <v>0</v>
      </c>
      <c r="KA97" s="561">
        <v>0</v>
      </c>
      <c r="KB97" s="561">
        <v>0</v>
      </c>
      <c r="KC97" s="561">
        <v>3076</v>
      </c>
      <c r="KD97" s="561">
        <v>345</v>
      </c>
      <c r="KE97" s="561">
        <v>1009</v>
      </c>
      <c r="KF97" s="561">
        <v>0</v>
      </c>
      <c r="KG97" s="561">
        <v>104232</v>
      </c>
      <c r="KH97" s="561">
        <v>-2520</v>
      </c>
      <c r="KI97" s="561">
        <v>0</v>
      </c>
      <c r="KJ97" s="561">
        <v>0</v>
      </c>
      <c r="KK97" s="561">
        <v>0</v>
      </c>
      <c r="KL97" s="561">
        <v>0</v>
      </c>
      <c r="KM97" s="561">
        <v>0</v>
      </c>
      <c r="KN97" s="561">
        <v>0</v>
      </c>
      <c r="KO97" s="561">
        <v>0</v>
      </c>
      <c r="KP97" s="561">
        <v>0</v>
      </c>
      <c r="KQ97" s="561">
        <v>0</v>
      </c>
      <c r="KR97" s="561">
        <v>101712</v>
      </c>
      <c r="KS97" s="561">
        <v>0</v>
      </c>
      <c r="KT97" s="561">
        <v>-7673</v>
      </c>
      <c r="KU97" s="561">
        <v>94039</v>
      </c>
      <c r="KV97" s="561">
        <v>0</v>
      </c>
      <c r="KW97" s="561">
        <v>0</v>
      </c>
      <c r="KX97" s="561">
        <v>0</v>
      </c>
      <c r="KY97" s="561">
        <v>0</v>
      </c>
      <c r="KZ97" s="561">
        <v>3070</v>
      </c>
      <c r="LA97" s="561">
        <v>618</v>
      </c>
      <c r="LB97" s="561">
        <v>-11680</v>
      </c>
      <c r="LC97" s="561">
        <v>0</v>
      </c>
      <c r="LD97" s="561">
        <v>-21698</v>
      </c>
      <c r="LE97" s="561">
        <v>-856</v>
      </c>
      <c r="LF97" s="561">
        <v>0</v>
      </c>
      <c r="LG97" s="561">
        <v>63493</v>
      </c>
      <c r="LH97" s="561">
        <v>0</v>
      </c>
      <c r="LI97" s="561">
        <v>0</v>
      </c>
      <c r="LJ97" s="561">
        <v>0</v>
      </c>
      <c r="LK97" s="561">
        <v>0</v>
      </c>
      <c r="LL97" s="561">
        <v>21554</v>
      </c>
      <c r="LM97" s="561">
        <v>4631</v>
      </c>
      <c r="LN97" s="561">
        <v>0</v>
      </c>
      <c r="LO97" s="561">
        <v>0</v>
      </c>
      <c r="LP97" s="561">
        <v>0</v>
      </c>
      <c r="LQ97" s="561">
        <v>0</v>
      </c>
      <c r="LR97" s="561">
        <v>24624</v>
      </c>
      <c r="LS97" s="561">
        <v>5249</v>
      </c>
      <c r="LT97" s="561">
        <v>0</v>
      </c>
      <c r="LU97" s="561">
        <v>9669</v>
      </c>
      <c r="LV97" s="561">
        <v>0</v>
      </c>
      <c r="LW97" s="561">
        <v>15</v>
      </c>
      <c r="LX97" s="561">
        <v>-79</v>
      </c>
      <c r="LY97" s="561">
        <v>0</v>
      </c>
      <c r="LZ97" s="561">
        <v>9605</v>
      </c>
      <c r="MA97" s="561">
        <v>0</v>
      </c>
      <c r="MB97" s="561">
        <v>0</v>
      </c>
      <c r="MC97" s="561">
        <v>0</v>
      </c>
      <c r="MD97" s="561">
        <v>0</v>
      </c>
      <c r="ME97" s="561">
        <v>0</v>
      </c>
      <c r="MF97" s="561">
        <v>0</v>
      </c>
      <c r="MG97" s="561">
        <v>0</v>
      </c>
      <c r="MH97" s="561">
        <v>0</v>
      </c>
      <c r="MI97" s="561">
        <v>0</v>
      </c>
      <c r="MJ97" s="561">
        <v>0</v>
      </c>
      <c r="MK97" s="561">
        <v>0</v>
      </c>
      <c r="ML97" s="561">
        <v>0</v>
      </c>
      <c r="MM97" s="561">
        <v>22180</v>
      </c>
      <c r="MN97" s="561">
        <v>1272</v>
      </c>
      <c r="MO97" s="561">
        <v>666</v>
      </c>
      <c r="MP97" s="561">
        <v>506</v>
      </c>
      <c r="MQ97" s="561">
        <v>0</v>
      </c>
      <c r="MR97" s="561">
        <v>0</v>
      </c>
      <c r="MS97" s="561">
        <v>0</v>
      </c>
      <c r="MT97" s="561">
        <v>0</v>
      </c>
      <c r="MU97" s="561">
        <v>0</v>
      </c>
      <c r="MV97" s="561">
        <v>0</v>
      </c>
      <c r="MW97" s="561">
        <v>0</v>
      </c>
      <c r="MX97" s="561">
        <v>0</v>
      </c>
      <c r="MY97" s="561">
        <v>0</v>
      </c>
      <c r="MZ97" s="561">
        <v>0</v>
      </c>
      <c r="NA97" s="561">
        <v>96482</v>
      </c>
      <c r="NB97" s="561">
        <v>777</v>
      </c>
      <c r="NC97" s="561">
        <v>0</v>
      </c>
      <c r="ND97" s="561">
        <v>97259</v>
      </c>
      <c r="NE97" s="561">
        <v>0</v>
      </c>
      <c r="NF97" s="561">
        <v>0</v>
      </c>
      <c r="NG97" s="561">
        <v>0</v>
      </c>
      <c r="NH97" s="561">
        <v>0</v>
      </c>
      <c r="NI97" s="561">
        <v>0</v>
      </c>
      <c r="NJ97" s="561">
        <v>0</v>
      </c>
      <c r="NK97" s="561">
        <v>0</v>
      </c>
      <c r="NL97" s="561">
        <v>0</v>
      </c>
      <c r="NM97" s="561">
        <v>0</v>
      </c>
      <c r="NN97" s="561">
        <v>0</v>
      </c>
      <c r="NO97" s="561">
        <v>0</v>
      </c>
      <c r="NP97" s="561">
        <v>0</v>
      </c>
      <c r="NQ97" s="561">
        <v>0</v>
      </c>
      <c r="NR97" s="561">
        <v>0</v>
      </c>
      <c r="NS97" s="561">
        <v>0</v>
      </c>
      <c r="NT97" s="561">
        <v>0</v>
      </c>
      <c r="NU97" s="561">
        <v>0</v>
      </c>
      <c r="NV97" s="561">
        <v>0</v>
      </c>
      <c r="NW97" s="561">
        <v>0</v>
      </c>
      <c r="NX97" s="561">
        <v>0</v>
      </c>
      <c r="NY97" s="561">
        <v>0</v>
      </c>
      <c r="NZ97" s="561">
        <v>0</v>
      </c>
      <c r="OA97" s="561">
        <v>0</v>
      </c>
      <c r="OB97" s="561">
        <v>0</v>
      </c>
      <c r="OC97" s="561">
        <v>0</v>
      </c>
      <c r="OD97" s="561">
        <v>0</v>
      </c>
      <c r="OE97" s="561">
        <v>0</v>
      </c>
      <c r="OF97" s="561">
        <v>0</v>
      </c>
      <c r="OG97" s="561">
        <v>0</v>
      </c>
      <c r="OH97" s="561">
        <v>0</v>
      </c>
      <c r="OI97" s="561">
        <v>0</v>
      </c>
      <c r="OJ97" s="561">
        <v>0</v>
      </c>
      <c r="OK97" s="561">
        <v>0</v>
      </c>
      <c r="OL97" s="561">
        <v>0</v>
      </c>
      <c r="OM97" s="561">
        <v>0</v>
      </c>
      <c r="ON97" s="561">
        <v>0</v>
      </c>
      <c r="OO97" s="561">
        <v>0</v>
      </c>
      <c r="OP97" s="561">
        <v>0</v>
      </c>
      <c r="OQ97" s="561">
        <v>0</v>
      </c>
      <c r="OR97" s="561">
        <v>0</v>
      </c>
      <c r="OS97" s="561">
        <v>0</v>
      </c>
      <c r="OT97" s="561">
        <v>0</v>
      </c>
      <c r="OU97" s="561">
        <v>0</v>
      </c>
      <c r="OV97" s="561">
        <v>0</v>
      </c>
      <c r="OW97" s="561">
        <v>0</v>
      </c>
      <c r="OX97" s="561">
        <v>0</v>
      </c>
      <c r="OY97" s="561">
        <v>0</v>
      </c>
      <c r="OZ97" s="561">
        <v>0</v>
      </c>
      <c r="PA97" s="561">
        <v>0</v>
      </c>
      <c r="PB97" s="561">
        <v>0</v>
      </c>
      <c r="PC97" s="561">
        <v>0</v>
      </c>
      <c r="PD97" s="561">
        <v>0</v>
      </c>
      <c r="PE97" s="561">
        <v>0</v>
      </c>
      <c r="PF97" s="561">
        <v>0</v>
      </c>
      <c r="PG97" s="561">
        <v>0</v>
      </c>
      <c r="PH97" s="561">
        <v>0</v>
      </c>
      <c r="PI97" s="561">
        <v>0</v>
      </c>
      <c r="PJ97" s="561">
        <v>0</v>
      </c>
    </row>
    <row r="98" spans="1:426" ht="14" x14ac:dyDescent="0.3">
      <c r="A98" t="s">
        <v>2717</v>
      </c>
      <c r="B98" t="s">
        <v>2718</v>
      </c>
      <c r="C98" t="s">
        <v>4595</v>
      </c>
      <c r="E98" t="s">
        <v>2595</v>
      </c>
      <c r="F98" s="561">
        <v>67074</v>
      </c>
      <c r="G98" s="561">
        <v>187470</v>
      </c>
      <c r="H98" s="561">
        <v>44128</v>
      </c>
      <c r="I98" s="561">
        <v>96542</v>
      </c>
      <c r="J98" s="561">
        <v>28203</v>
      </c>
      <c r="K98" s="561">
        <v>70599</v>
      </c>
      <c r="L98" s="561">
        <v>494016</v>
      </c>
      <c r="M98" s="561">
        <v>4065</v>
      </c>
      <c r="N98" s="561">
        <v>0</v>
      </c>
      <c r="O98" s="561">
        <v>1538</v>
      </c>
      <c r="P98" s="561">
        <v>232</v>
      </c>
      <c r="Q98" s="561">
        <v>1283</v>
      </c>
      <c r="R98" s="561">
        <v>427</v>
      </c>
      <c r="S98" s="561">
        <v>2692</v>
      </c>
      <c r="T98" s="561">
        <v>25793</v>
      </c>
      <c r="U98" s="561">
        <v>3172</v>
      </c>
      <c r="V98" s="561">
        <v>4426</v>
      </c>
      <c r="W98" s="561">
        <v>0</v>
      </c>
      <c r="X98" s="561">
        <v>0</v>
      </c>
      <c r="Y98" s="561">
        <v>605</v>
      </c>
      <c r="Z98" s="561">
        <v>-250</v>
      </c>
      <c r="AA98" s="561">
        <v>-4031</v>
      </c>
      <c r="AB98" s="561">
        <v>131</v>
      </c>
      <c r="AC98" s="561">
        <v>7721</v>
      </c>
      <c r="AD98" s="561">
        <v>0</v>
      </c>
      <c r="AE98" s="561">
        <v>16173</v>
      </c>
      <c r="AF98" s="561">
        <v>41</v>
      </c>
      <c r="AG98" s="561">
        <v>146</v>
      </c>
      <c r="AH98" s="561">
        <v>1879</v>
      </c>
      <c r="AI98" s="561">
        <v>0</v>
      </c>
      <c r="AJ98" s="561">
        <v>61978</v>
      </c>
      <c r="AK98" s="561">
        <v>57</v>
      </c>
      <c r="AL98" s="561">
        <v>0</v>
      </c>
      <c r="AM98" s="561">
        <v>0</v>
      </c>
      <c r="AN98" s="561">
        <v>0</v>
      </c>
      <c r="AO98" s="561">
        <v>0</v>
      </c>
      <c r="AP98" s="561">
        <v>0</v>
      </c>
      <c r="AQ98" s="561">
        <v>0</v>
      </c>
      <c r="AR98" s="561">
        <v>0</v>
      </c>
      <c r="AS98" s="561">
        <v>2877</v>
      </c>
      <c r="AT98" s="561">
        <v>5563</v>
      </c>
      <c r="AU98" s="561">
        <v>0</v>
      </c>
      <c r="AV98" s="561">
        <v>0</v>
      </c>
      <c r="AW98" s="561">
        <v>0</v>
      </c>
      <c r="AX98" s="561">
        <v>4566</v>
      </c>
      <c r="AY98" s="561">
        <v>114478</v>
      </c>
      <c r="AZ98" s="561">
        <v>2557</v>
      </c>
      <c r="BA98" s="561">
        <v>30046</v>
      </c>
      <c r="BB98" s="561">
        <v>1295</v>
      </c>
      <c r="BC98" s="561">
        <v>54518</v>
      </c>
      <c r="BD98" s="561">
        <v>0</v>
      </c>
      <c r="BE98" s="561">
        <v>2447</v>
      </c>
      <c r="BF98" s="561">
        <v>209907</v>
      </c>
      <c r="BG98" s="561">
        <v>15055</v>
      </c>
      <c r="BH98" s="561">
        <v>22044</v>
      </c>
      <c r="BI98" s="561">
        <v>85721</v>
      </c>
      <c r="BJ98" s="561">
        <v>1741</v>
      </c>
      <c r="BK98" s="561">
        <v>1512</v>
      </c>
      <c r="BL98" s="561">
        <v>3321</v>
      </c>
      <c r="BM98" s="561">
        <v>46684</v>
      </c>
      <c r="BN98" s="561">
        <v>103191</v>
      </c>
      <c r="BO98" s="561">
        <v>12962</v>
      </c>
      <c r="BP98" s="561">
        <v>20443</v>
      </c>
      <c r="BQ98" s="561">
        <v>13058</v>
      </c>
      <c r="BR98" s="561">
        <v>1073</v>
      </c>
      <c r="BS98" s="561">
        <v>4695</v>
      </c>
      <c r="BT98" s="561">
        <v>5691</v>
      </c>
      <c r="BU98" s="561">
        <v>643</v>
      </c>
      <c r="BV98" s="561">
        <v>425</v>
      </c>
      <c r="BW98" s="561">
        <v>37737</v>
      </c>
      <c r="BX98" s="561">
        <v>1931</v>
      </c>
      <c r="BY98" s="561">
        <v>29481</v>
      </c>
      <c r="BZ98" s="561">
        <v>392353</v>
      </c>
      <c r="CA98" s="561">
        <v>1071</v>
      </c>
      <c r="CB98" s="561">
        <v>4096</v>
      </c>
      <c r="CC98" s="561">
        <v>2448</v>
      </c>
      <c r="CD98" s="561">
        <v>362</v>
      </c>
      <c r="CE98" s="561">
        <v>648</v>
      </c>
      <c r="CF98" s="561">
        <v>181</v>
      </c>
      <c r="CG98" s="561">
        <v>92</v>
      </c>
      <c r="CH98" s="561">
        <v>336</v>
      </c>
      <c r="CI98" s="561">
        <v>170</v>
      </c>
      <c r="CJ98" s="561">
        <v>80</v>
      </c>
      <c r="CK98" s="561">
        <v>55</v>
      </c>
      <c r="CL98" s="561">
        <v>55</v>
      </c>
      <c r="CM98" s="561">
        <v>4319</v>
      </c>
      <c r="CN98" s="561">
        <v>2390</v>
      </c>
      <c r="CO98" s="561">
        <v>0</v>
      </c>
      <c r="CP98" s="561">
        <v>0</v>
      </c>
      <c r="CQ98" s="561">
        <v>779</v>
      </c>
      <c r="CR98" s="561">
        <v>2108</v>
      </c>
      <c r="CS98" s="561">
        <v>81</v>
      </c>
      <c r="CT98" s="561">
        <v>4511</v>
      </c>
      <c r="CU98" s="561">
        <v>11222</v>
      </c>
      <c r="CV98" s="561">
        <v>0</v>
      </c>
      <c r="CW98" s="561">
        <v>67</v>
      </c>
      <c r="CX98" s="561">
        <v>833</v>
      </c>
      <c r="CY98" s="561">
        <v>2894</v>
      </c>
      <c r="CZ98" s="561">
        <v>37727</v>
      </c>
      <c r="DA98" s="561">
        <v>937</v>
      </c>
      <c r="DB98" s="561">
        <v>0</v>
      </c>
      <c r="DC98" s="561">
        <v>0</v>
      </c>
      <c r="DD98" s="561">
        <v>0</v>
      </c>
      <c r="DE98" s="561">
        <v>0</v>
      </c>
      <c r="DF98" s="561">
        <v>0</v>
      </c>
      <c r="DG98" s="561">
        <v>0</v>
      </c>
      <c r="DH98" s="561">
        <v>134</v>
      </c>
      <c r="DI98" s="561">
        <v>0</v>
      </c>
      <c r="DJ98" s="561">
        <v>0</v>
      </c>
      <c r="DK98" s="561">
        <v>0</v>
      </c>
      <c r="DL98" s="561">
        <v>0</v>
      </c>
      <c r="DM98" s="561">
        <v>0</v>
      </c>
      <c r="DN98" s="561">
        <v>0</v>
      </c>
      <c r="DO98" s="561">
        <v>0</v>
      </c>
      <c r="DP98" s="561">
        <v>0</v>
      </c>
      <c r="DQ98" s="561">
        <v>0</v>
      </c>
      <c r="DR98" s="561">
        <v>0</v>
      </c>
      <c r="DS98" s="561">
        <v>1495</v>
      </c>
      <c r="DT98" s="561">
        <v>0</v>
      </c>
      <c r="DU98" s="561">
        <v>1495</v>
      </c>
      <c r="DV98" s="561">
        <v>0</v>
      </c>
      <c r="DW98" s="561">
        <v>0</v>
      </c>
      <c r="DX98" s="561">
        <v>0</v>
      </c>
      <c r="DY98" s="561">
        <v>0</v>
      </c>
      <c r="DZ98" s="561">
        <v>41</v>
      </c>
      <c r="EA98" s="561">
        <v>0</v>
      </c>
      <c r="EB98" s="561">
        <v>0</v>
      </c>
      <c r="EC98" s="561">
        <v>1670</v>
      </c>
      <c r="ED98" s="561">
        <v>0</v>
      </c>
      <c r="EE98" s="561">
        <v>0</v>
      </c>
      <c r="EF98" s="561">
        <v>0</v>
      </c>
      <c r="EG98" s="561">
        <v>0</v>
      </c>
      <c r="EH98" s="561">
        <v>0</v>
      </c>
      <c r="EI98" s="561">
        <v>0</v>
      </c>
      <c r="EJ98" s="561">
        <v>0</v>
      </c>
      <c r="EK98" s="561">
        <v>0</v>
      </c>
      <c r="EL98" s="561">
        <v>0</v>
      </c>
      <c r="EM98" s="561">
        <v>0</v>
      </c>
      <c r="EN98" s="561">
        <v>0</v>
      </c>
      <c r="EO98" s="561">
        <v>0</v>
      </c>
      <c r="EP98" s="561">
        <v>0</v>
      </c>
      <c r="EQ98" s="561">
        <v>0</v>
      </c>
      <c r="ER98" s="561">
        <v>0</v>
      </c>
      <c r="ES98" s="561" t="s">
        <v>4565</v>
      </c>
      <c r="ET98" s="561">
        <v>0</v>
      </c>
      <c r="EU98" s="561">
        <v>0</v>
      </c>
      <c r="EV98" s="561">
        <v>0</v>
      </c>
      <c r="EW98" s="561">
        <v>0</v>
      </c>
      <c r="EX98" s="561">
        <v>0</v>
      </c>
      <c r="EY98" s="561">
        <v>0</v>
      </c>
      <c r="EZ98" s="561">
        <v>0</v>
      </c>
      <c r="FA98" s="561">
        <v>0</v>
      </c>
      <c r="FB98" s="561">
        <v>807</v>
      </c>
      <c r="FC98" s="561">
        <v>0</v>
      </c>
      <c r="FD98" s="561">
        <v>26</v>
      </c>
      <c r="FE98" s="561">
        <v>0</v>
      </c>
      <c r="FF98" s="561">
        <v>0</v>
      </c>
      <c r="FG98" s="561">
        <v>72</v>
      </c>
      <c r="FH98" s="561">
        <v>0</v>
      </c>
      <c r="FI98" s="561">
        <v>1055</v>
      </c>
      <c r="FJ98" s="561">
        <v>0</v>
      </c>
      <c r="FK98" s="561">
        <v>1595</v>
      </c>
      <c r="FL98" s="561">
        <v>0</v>
      </c>
      <c r="FM98" s="561">
        <v>62</v>
      </c>
      <c r="FN98" s="561">
        <v>6745</v>
      </c>
      <c r="FO98" s="561">
        <v>10362</v>
      </c>
      <c r="FP98" s="561">
        <v>5</v>
      </c>
      <c r="FQ98" s="561">
        <v>0</v>
      </c>
      <c r="FR98" s="561">
        <v>2371</v>
      </c>
      <c r="FS98" s="561">
        <v>0</v>
      </c>
      <c r="FT98" s="561">
        <v>0</v>
      </c>
      <c r="FU98" s="561">
        <v>0</v>
      </c>
      <c r="FV98" s="561">
        <v>0</v>
      </c>
      <c r="FW98" s="561">
        <v>0</v>
      </c>
      <c r="FX98" s="561">
        <v>0</v>
      </c>
      <c r="FY98" s="561">
        <v>0</v>
      </c>
      <c r="FZ98" s="561">
        <v>0</v>
      </c>
      <c r="GA98" s="561">
        <v>0</v>
      </c>
      <c r="GB98" s="561">
        <v>0</v>
      </c>
      <c r="GC98" s="561">
        <v>0</v>
      </c>
      <c r="GD98" s="561">
        <v>0</v>
      </c>
      <c r="GE98" s="561">
        <v>1</v>
      </c>
      <c r="GF98" s="561">
        <v>0</v>
      </c>
      <c r="GG98" s="561">
        <v>767</v>
      </c>
      <c r="GH98" s="561">
        <v>17</v>
      </c>
      <c r="GI98" s="561">
        <v>0</v>
      </c>
      <c r="GJ98" s="561">
        <v>12</v>
      </c>
      <c r="GK98" s="561">
        <v>-426</v>
      </c>
      <c r="GL98" s="561">
        <v>0</v>
      </c>
      <c r="GM98" s="561">
        <v>0</v>
      </c>
      <c r="GN98" s="561">
        <v>24723</v>
      </c>
      <c r="GO98" s="561">
        <v>-1682</v>
      </c>
      <c r="GP98" s="561">
        <v>18485</v>
      </c>
      <c r="GQ98" s="561">
        <v>277</v>
      </c>
      <c r="GR98" s="561">
        <v>190</v>
      </c>
      <c r="GS98" s="561">
        <v>44735</v>
      </c>
      <c r="GT98" s="561">
        <v>18</v>
      </c>
      <c r="GU98" s="561">
        <v>0</v>
      </c>
      <c r="GV98" s="561">
        <v>668</v>
      </c>
      <c r="GW98" s="561">
        <v>0</v>
      </c>
      <c r="GX98" s="561">
        <v>471</v>
      </c>
      <c r="GY98" s="561">
        <v>3023</v>
      </c>
      <c r="GZ98" s="561">
        <v>5995</v>
      </c>
      <c r="HA98" s="561">
        <v>86</v>
      </c>
      <c r="HB98" s="561">
        <v>1498</v>
      </c>
      <c r="HC98" s="561">
        <v>1108</v>
      </c>
      <c r="HD98" s="561">
        <v>12849</v>
      </c>
      <c r="HE98" s="561">
        <v>15</v>
      </c>
      <c r="HF98" s="561">
        <v>67946</v>
      </c>
      <c r="HG98" s="561">
        <v>5</v>
      </c>
      <c r="HH98" s="561">
        <v>0</v>
      </c>
      <c r="HI98" s="561">
        <v>0</v>
      </c>
      <c r="HJ98" s="561">
        <v>0</v>
      </c>
      <c r="HK98" s="561">
        <v>0</v>
      </c>
      <c r="HL98" s="561">
        <v>0</v>
      </c>
      <c r="HM98" s="561">
        <v>0</v>
      </c>
      <c r="HN98" s="561">
        <v>0</v>
      </c>
      <c r="HO98" s="561">
        <v>5701</v>
      </c>
      <c r="HP98" s="561">
        <v>0</v>
      </c>
      <c r="HQ98" s="561">
        <v>0</v>
      </c>
      <c r="HR98" s="561">
        <v>0</v>
      </c>
      <c r="HS98" s="561">
        <v>135</v>
      </c>
      <c r="HT98" s="561">
        <v>0</v>
      </c>
      <c r="HU98" s="561">
        <v>0</v>
      </c>
      <c r="HV98" s="561">
        <v>-1288</v>
      </c>
      <c r="HW98" s="561">
        <v>0</v>
      </c>
      <c r="HX98" s="561">
        <v>0</v>
      </c>
      <c r="HY98" s="561">
        <v>273</v>
      </c>
      <c r="HZ98" s="561">
        <v>-159</v>
      </c>
      <c r="IA98" s="561">
        <v>0</v>
      </c>
      <c r="IB98" s="561">
        <v>507</v>
      </c>
      <c r="IC98" s="561">
        <v>1820</v>
      </c>
      <c r="ID98" s="561">
        <v>0</v>
      </c>
      <c r="IE98" s="561">
        <v>6314</v>
      </c>
      <c r="IF98" s="561">
        <v>0</v>
      </c>
      <c r="IG98" s="561">
        <v>159</v>
      </c>
      <c r="IH98" s="561">
        <v>-205</v>
      </c>
      <c r="II98" s="561">
        <v>13257</v>
      </c>
      <c r="IJ98" s="561">
        <v>31</v>
      </c>
      <c r="IK98" s="561">
        <v>0</v>
      </c>
      <c r="IL98" s="561">
        <v>20169</v>
      </c>
      <c r="IM98" s="561">
        <v>0</v>
      </c>
      <c r="IN98" s="561">
        <v>0</v>
      </c>
      <c r="IO98" s="561">
        <v>0</v>
      </c>
      <c r="IP98" s="561">
        <v>0</v>
      </c>
      <c r="IQ98" s="561">
        <v>0</v>
      </c>
      <c r="IR98" s="561">
        <v>494016</v>
      </c>
      <c r="IS98" s="561">
        <v>61978</v>
      </c>
      <c r="IT98" s="561">
        <v>209907</v>
      </c>
      <c r="IU98" s="561">
        <v>392353</v>
      </c>
      <c r="IV98" s="561">
        <v>37727</v>
      </c>
      <c r="IW98" s="561">
        <v>1670</v>
      </c>
      <c r="IX98" s="561">
        <v>10362</v>
      </c>
      <c r="IY98" s="561">
        <v>44735</v>
      </c>
      <c r="IZ98" s="561">
        <v>12849</v>
      </c>
      <c r="JA98" s="561">
        <v>0</v>
      </c>
      <c r="JB98" s="561">
        <v>0</v>
      </c>
      <c r="JC98" s="561">
        <v>13257</v>
      </c>
      <c r="JD98" s="561">
        <v>0</v>
      </c>
      <c r="JE98" s="561">
        <v>1278854</v>
      </c>
      <c r="JF98" s="561">
        <v>0</v>
      </c>
      <c r="JG98" s="561">
        <v>0</v>
      </c>
      <c r="JH98" s="561">
        <v>0</v>
      </c>
      <c r="JI98" s="561">
        <v>0</v>
      </c>
      <c r="JJ98" s="561">
        <v>0</v>
      </c>
      <c r="JK98" s="561">
        <v>0</v>
      </c>
      <c r="JL98" s="561">
        <v>0</v>
      </c>
      <c r="JM98" s="561">
        <v>0</v>
      </c>
      <c r="JN98" s="561">
        <v>0</v>
      </c>
      <c r="JO98" s="561">
        <v>370</v>
      </c>
      <c r="JP98" s="561">
        <v>0</v>
      </c>
      <c r="JQ98" s="561">
        <v>0</v>
      </c>
      <c r="JR98" s="561">
        <v>0</v>
      </c>
      <c r="JS98" s="561">
        <v>0</v>
      </c>
      <c r="JT98" s="561">
        <v>-28</v>
      </c>
      <c r="JU98" s="561">
        <v>0</v>
      </c>
      <c r="JV98" s="561">
        <v>1279196</v>
      </c>
      <c r="JW98" s="561">
        <v>655</v>
      </c>
      <c r="JX98" s="561">
        <v>304</v>
      </c>
      <c r="JY98" s="561">
        <v>0</v>
      </c>
      <c r="JZ98" s="561">
        <v>0</v>
      </c>
      <c r="KA98" s="561">
        <v>0</v>
      </c>
      <c r="KB98" s="561">
        <v>0</v>
      </c>
      <c r="KC98" s="561">
        <v>11220</v>
      </c>
      <c r="KD98" s="561">
        <v>0</v>
      </c>
      <c r="KE98" s="561">
        <v>26037</v>
      </c>
      <c r="KF98" s="561">
        <v>0</v>
      </c>
      <c r="KG98" s="561">
        <v>1317412</v>
      </c>
      <c r="KH98" s="561">
        <v>-7076</v>
      </c>
      <c r="KI98" s="561">
        <v>0</v>
      </c>
      <c r="KJ98" s="561">
        <v>652</v>
      </c>
      <c r="KK98" s="561">
        <v>0</v>
      </c>
      <c r="KL98" s="561">
        <v>-7981</v>
      </c>
      <c r="KM98" s="561">
        <v>0</v>
      </c>
      <c r="KN98" s="561">
        <v>0</v>
      </c>
      <c r="KO98" s="561">
        <v>37</v>
      </c>
      <c r="KP98" s="561">
        <v>0</v>
      </c>
      <c r="KQ98" s="561">
        <v>-55758</v>
      </c>
      <c r="KR98" s="561">
        <v>1247286</v>
      </c>
      <c r="KS98" s="561">
        <v>-1199</v>
      </c>
      <c r="KT98" s="561">
        <v>-585116</v>
      </c>
      <c r="KU98" s="561">
        <v>660971</v>
      </c>
      <c r="KV98" s="561">
        <v>0</v>
      </c>
      <c r="KW98" s="561">
        <v>-4511</v>
      </c>
      <c r="KX98" s="561">
        <v>0</v>
      </c>
      <c r="KY98" s="561">
        <v>-1311</v>
      </c>
      <c r="KZ98" s="561">
        <v>16557</v>
      </c>
      <c r="LA98" s="561">
        <v>0</v>
      </c>
      <c r="LB98" s="561">
        <v>-713</v>
      </c>
      <c r="LC98" s="561">
        <v>0</v>
      </c>
      <c r="LD98" s="561">
        <v>-141795</v>
      </c>
      <c r="LE98" s="561">
        <v>-5224</v>
      </c>
      <c r="LF98" s="561">
        <v>0</v>
      </c>
      <c r="LG98" s="561">
        <v>523974</v>
      </c>
      <c r="LH98" s="561">
        <v>18102</v>
      </c>
      <c r="LI98" s="561">
        <v>-111548</v>
      </c>
      <c r="LJ98" s="561">
        <v>0</v>
      </c>
      <c r="LK98" s="561">
        <v>12941</v>
      </c>
      <c r="LL98" s="561">
        <v>109499</v>
      </c>
      <c r="LM98" s="561">
        <v>16036</v>
      </c>
      <c r="LN98" s="561">
        <v>13591</v>
      </c>
      <c r="LO98" s="561">
        <v>-167306</v>
      </c>
      <c r="LP98" s="561">
        <v>0</v>
      </c>
      <c r="LQ98" s="561">
        <v>11630</v>
      </c>
      <c r="LR98" s="561">
        <v>126056</v>
      </c>
      <c r="LS98" s="561">
        <v>16036</v>
      </c>
      <c r="LT98" s="561">
        <v>0</v>
      </c>
      <c r="LU98" s="561">
        <v>99664</v>
      </c>
      <c r="LV98" s="561">
        <v>0</v>
      </c>
      <c r="LW98" s="561">
        <v>1487</v>
      </c>
      <c r="LX98" s="561">
        <v>0</v>
      </c>
      <c r="LY98" s="561">
        <v>35139</v>
      </c>
      <c r="LZ98" s="561">
        <v>136290</v>
      </c>
      <c r="MA98" s="561">
        <v>0</v>
      </c>
      <c r="MB98" s="561">
        <v>0</v>
      </c>
      <c r="MC98" s="561">
        <v>0</v>
      </c>
      <c r="MD98" s="561">
        <v>0</v>
      </c>
      <c r="ME98" s="561">
        <v>0</v>
      </c>
      <c r="MF98" s="561">
        <v>0</v>
      </c>
      <c r="MG98" s="561">
        <v>0</v>
      </c>
      <c r="MH98" s="561">
        <v>0</v>
      </c>
      <c r="MI98" s="561">
        <v>0</v>
      </c>
      <c r="MJ98" s="561">
        <v>0</v>
      </c>
      <c r="MK98" s="561">
        <v>0</v>
      </c>
      <c r="ML98" s="561">
        <v>0</v>
      </c>
      <c r="MM98" s="561">
        <v>28664</v>
      </c>
      <c r="MN98" s="561">
        <v>6775</v>
      </c>
      <c r="MO98" s="561">
        <v>90617</v>
      </c>
      <c r="MP98" s="561">
        <v>0</v>
      </c>
      <c r="MQ98" s="561">
        <v>494016</v>
      </c>
      <c r="MR98" s="561">
        <v>61978</v>
      </c>
      <c r="MS98" s="561">
        <v>209907</v>
      </c>
      <c r="MT98" s="561">
        <v>392353</v>
      </c>
      <c r="MU98" s="561">
        <v>37727</v>
      </c>
      <c r="MV98" s="561">
        <v>1670</v>
      </c>
      <c r="MW98" s="561">
        <v>10362</v>
      </c>
      <c r="MX98" s="561">
        <v>44735</v>
      </c>
      <c r="MY98" s="561">
        <v>12849</v>
      </c>
      <c r="MZ98" s="561">
        <v>0</v>
      </c>
      <c r="NA98" s="561">
        <v>0</v>
      </c>
      <c r="NB98" s="561">
        <v>13257</v>
      </c>
      <c r="NC98" s="561">
        <v>0</v>
      </c>
      <c r="ND98" s="561">
        <v>1278854</v>
      </c>
      <c r="NE98" s="561">
        <v>0</v>
      </c>
      <c r="NF98" s="561">
        <v>0</v>
      </c>
      <c r="NG98" s="561">
        <v>0</v>
      </c>
      <c r="NH98" s="561">
        <v>0</v>
      </c>
      <c r="NI98" s="561">
        <v>0</v>
      </c>
      <c r="NJ98" s="561">
        <v>0</v>
      </c>
      <c r="NK98" s="561">
        <v>0</v>
      </c>
      <c r="NL98" s="561">
        <v>0</v>
      </c>
      <c r="NM98" s="561">
        <v>0</v>
      </c>
      <c r="NN98" s="561">
        <v>0</v>
      </c>
      <c r="NO98" s="561">
        <v>0</v>
      </c>
      <c r="NP98" s="561">
        <v>0</v>
      </c>
      <c r="NQ98" s="561">
        <v>0</v>
      </c>
      <c r="NR98" s="561">
        <v>0</v>
      </c>
      <c r="NS98" s="561">
        <v>0</v>
      </c>
      <c r="NT98" s="561">
        <v>0</v>
      </c>
      <c r="NU98" s="561">
        <v>0</v>
      </c>
      <c r="NV98" s="561">
        <v>0</v>
      </c>
      <c r="NW98" s="561">
        <v>0</v>
      </c>
      <c r="NX98" s="561">
        <v>0</v>
      </c>
      <c r="NY98" s="561">
        <v>0</v>
      </c>
      <c r="NZ98" s="561">
        <v>0</v>
      </c>
      <c r="OA98" s="561">
        <v>0</v>
      </c>
      <c r="OB98" s="561">
        <v>0</v>
      </c>
      <c r="OC98" s="561">
        <v>0</v>
      </c>
      <c r="OD98" s="561">
        <v>0</v>
      </c>
      <c r="OE98" s="561">
        <v>0</v>
      </c>
      <c r="OF98" s="561">
        <v>0</v>
      </c>
      <c r="OG98" s="561">
        <v>0</v>
      </c>
      <c r="OH98" s="561">
        <v>0</v>
      </c>
      <c r="OI98" s="561">
        <v>0</v>
      </c>
      <c r="OJ98" s="561">
        <v>0</v>
      </c>
      <c r="OK98" s="561">
        <v>0</v>
      </c>
      <c r="OL98" s="561">
        <v>0</v>
      </c>
      <c r="OM98" s="561">
        <v>0</v>
      </c>
      <c r="ON98" s="561">
        <v>0</v>
      </c>
      <c r="OO98" s="561">
        <v>0</v>
      </c>
      <c r="OP98" s="561">
        <v>0</v>
      </c>
      <c r="OQ98" s="561">
        <v>0</v>
      </c>
      <c r="OR98" s="561">
        <v>0</v>
      </c>
      <c r="OS98" s="561">
        <v>0</v>
      </c>
      <c r="OT98" s="561">
        <v>0</v>
      </c>
      <c r="OU98" s="561">
        <v>0</v>
      </c>
      <c r="OV98" s="561">
        <v>0</v>
      </c>
      <c r="OW98" s="561">
        <v>0</v>
      </c>
      <c r="OX98" s="561">
        <v>0</v>
      </c>
      <c r="OY98" s="561">
        <v>0</v>
      </c>
      <c r="OZ98" s="561">
        <v>0</v>
      </c>
      <c r="PA98" s="561">
        <v>0</v>
      </c>
      <c r="PB98" s="561">
        <v>0</v>
      </c>
      <c r="PC98" s="561">
        <v>0</v>
      </c>
      <c r="PD98" s="561">
        <v>0</v>
      </c>
      <c r="PE98" s="561">
        <v>0</v>
      </c>
      <c r="PF98" s="561">
        <v>0</v>
      </c>
      <c r="PG98" s="561">
        <v>0</v>
      </c>
      <c r="PH98" s="561">
        <v>0</v>
      </c>
      <c r="PI98" s="561">
        <v>0</v>
      </c>
      <c r="PJ98" s="561">
        <v>0</v>
      </c>
    </row>
    <row r="99" spans="1:426" ht="14" x14ac:dyDescent="0.3">
      <c r="A99" t="s">
        <v>2729</v>
      </c>
      <c r="B99" t="s">
        <v>2730</v>
      </c>
      <c r="C99" t="s">
        <v>2731</v>
      </c>
      <c r="E99" t="s">
        <v>379</v>
      </c>
      <c r="F99" s="561">
        <v>35874</v>
      </c>
      <c r="G99" s="561">
        <v>44748</v>
      </c>
      <c r="H99" s="561">
        <v>6247</v>
      </c>
      <c r="I99" s="561">
        <v>40325</v>
      </c>
      <c r="J99" s="561">
        <v>8377</v>
      </c>
      <c r="K99" s="561">
        <v>20296</v>
      </c>
      <c r="L99" s="561">
        <v>155867</v>
      </c>
      <c r="M99" s="561">
        <v>1279</v>
      </c>
      <c r="N99" s="561">
        <v>1007</v>
      </c>
      <c r="O99" s="561">
        <v>901</v>
      </c>
      <c r="P99" s="561">
        <v>0</v>
      </c>
      <c r="Q99" s="561">
        <v>1691</v>
      </c>
      <c r="R99" s="561">
        <v>100</v>
      </c>
      <c r="S99" s="561">
        <v>0</v>
      </c>
      <c r="T99" s="561">
        <v>2713</v>
      </c>
      <c r="U99" s="561">
        <v>1420</v>
      </c>
      <c r="V99" s="561">
        <v>4429</v>
      </c>
      <c r="W99" s="561">
        <v>0</v>
      </c>
      <c r="X99" s="561">
        <v>-474</v>
      </c>
      <c r="Y99" s="561">
        <v>627</v>
      </c>
      <c r="Z99" s="561">
        <v>291</v>
      </c>
      <c r="AA99" s="561">
        <v>-332</v>
      </c>
      <c r="AB99" s="561">
        <v>-131</v>
      </c>
      <c r="AC99" s="561">
        <v>0</v>
      </c>
      <c r="AD99" s="561">
        <v>0</v>
      </c>
      <c r="AE99" s="561">
        <v>0</v>
      </c>
      <c r="AF99" s="561">
        <v>0</v>
      </c>
      <c r="AG99" s="561">
        <v>0</v>
      </c>
      <c r="AH99" s="561">
        <v>0</v>
      </c>
      <c r="AI99" s="561">
        <v>0</v>
      </c>
      <c r="AJ99" s="561">
        <v>12242</v>
      </c>
      <c r="AK99" s="561">
        <v>207</v>
      </c>
      <c r="AL99" s="561">
        <v>0</v>
      </c>
      <c r="AM99" s="561">
        <v>0</v>
      </c>
      <c r="AN99" s="561">
        <v>0</v>
      </c>
      <c r="AO99" s="561">
        <v>0</v>
      </c>
      <c r="AP99" s="561">
        <v>0</v>
      </c>
      <c r="AQ99" s="561">
        <v>0</v>
      </c>
      <c r="AR99" s="561">
        <v>0</v>
      </c>
      <c r="AS99" s="561">
        <v>844</v>
      </c>
      <c r="AT99" s="561">
        <v>0</v>
      </c>
      <c r="AU99" s="561">
        <v>0</v>
      </c>
      <c r="AV99" s="561">
        <v>0</v>
      </c>
      <c r="AW99" s="561">
        <v>0</v>
      </c>
      <c r="AX99" s="561">
        <v>5590</v>
      </c>
      <c r="AY99" s="561">
        <v>52828</v>
      </c>
      <c r="AZ99" s="561">
        <v>3042</v>
      </c>
      <c r="BA99" s="561">
        <v>10870</v>
      </c>
      <c r="BB99" s="561">
        <v>1835</v>
      </c>
      <c r="BC99" s="561">
        <v>22880</v>
      </c>
      <c r="BD99" s="561">
        <v>103</v>
      </c>
      <c r="BE99" s="561">
        <v>1308</v>
      </c>
      <c r="BF99" s="561">
        <v>98456</v>
      </c>
      <c r="BG99" s="561">
        <v>3419</v>
      </c>
      <c r="BH99" s="561">
        <v>5978</v>
      </c>
      <c r="BI99" s="561">
        <v>39562</v>
      </c>
      <c r="BJ99" s="561">
        <v>607</v>
      </c>
      <c r="BK99" s="561">
        <v>1595</v>
      </c>
      <c r="BL99" s="561">
        <v>302</v>
      </c>
      <c r="BM99" s="561">
        <v>4732</v>
      </c>
      <c r="BN99" s="561">
        <v>44860</v>
      </c>
      <c r="BO99" s="561">
        <v>676</v>
      </c>
      <c r="BP99" s="561">
        <v>5337</v>
      </c>
      <c r="BQ99" s="561">
        <v>4949</v>
      </c>
      <c r="BR99" s="561">
        <v>0</v>
      </c>
      <c r="BS99" s="561">
        <v>1757</v>
      </c>
      <c r="BT99" s="561">
        <v>0</v>
      </c>
      <c r="BU99" s="561">
        <v>3761</v>
      </c>
      <c r="BV99" s="561">
        <v>2804</v>
      </c>
      <c r="BW99" s="561">
        <v>13813</v>
      </c>
      <c r="BX99" s="561">
        <v>220</v>
      </c>
      <c r="BY99" s="561">
        <v>11193</v>
      </c>
      <c r="BZ99" s="561">
        <v>142146</v>
      </c>
      <c r="CA99" s="561">
        <v>2589</v>
      </c>
      <c r="CB99" s="561">
        <v>530</v>
      </c>
      <c r="CC99" s="561">
        <v>1654</v>
      </c>
      <c r="CD99" s="561">
        <v>316</v>
      </c>
      <c r="CE99" s="561">
        <v>265</v>
      </c>
      <c r="CF99" s="561">
        <v>865</v>
      </c>
      <c r="CG99" s="561">
        <v>5</v>
      </c>
      <c r="CH99" s="561">
        <v>1941</v>
      </c>
      <c r="CI99" s="561">
        <v>98</v>
      </c>
      <c r="CJ99" s="561">
        <v>0</v>
      </c>
      <c r="CK99" s="561">
        <v>704</v>
      </c>
      <c r="CL99" s="561">
        <v>244</v>
      </c>
      <c r="CM99" s="561">
        <v>3459</v>
      </c>
      <c r="CN99" s="561">
        <v>3459</v>
      </c>
      <c r="CO99" s="561">
        <v>1153</v>
      </c>
      <c r="CP99" s="561">
        <v>1153</v>
      </c>
      <c r="CQ99" s="561">
        <v>71</v>
      </c>
      <c r="CR99" s="561">
        <v>1097</v>
      </c>
      <c r="CS99" s="561">
        <v>105</v>
      </c>
      <c r="CT99" s="561">
        <v>2292</v>
      </c>
      <c r="CU99" s="561">
        <v>7162</v>
      </c>
      <c r="CV99" s="561">
        <v>404</v>
      </c>
      <c r="CW99" s="561">
        <v>0</v>
      </c>
      <c r="CX99" s="561">
        <v>669</v>
      </c>
      <c r="CY99" s="561">
        <v>6776</v>
      </c>
      <c r="CZ99" s="561">
        <v>34422</v>
      </c>
      <c r="DA99" s="561">
        <v>0</v>
      </c>
      <c r="DB99" s="561">
        <v>186</v>
      </c>
      <c r="DC99" s="561">
        <v>0</v>
      </c>
      <c r="DD99" s="561">
        <v>124</v>
      </c>
      <c r="DE99" s="561">
        <v>0</v>
      </c>
      <c r="DF99" s="561">
        <v>0</v>
      </c>
      <c r="DG99" s="561">
        <v>0</v>
      </c>
      <c r="DH99" s="561">
        <v>98</v>
      </c>
      <c r="DI99" s="561">
        <v>0</v>
      </c>
      <c r="DJ99" s="561">
        <v>-121</v>
      </c>
      <c r="DK99" s="561">
        <v>0</v>
      </c>
      <c r="DL99" s="561">
        <v>0</v>
      </c>
      <c r="DM99" s="561">
        <v>0</v>
      </c>
      <c r="DN99" s="561">
        <v>0</v>
      </c>
      <c r="DO99" s="561">
        <v>2666</v>
      </c>
      <c r="DP99" s="561">
        <v>0</v>
      </c>
      <c r="DQ99" s="561">
        <v>0</v>
      </c>
      <c r="DR99" s="561">
        <v>0</v>
      </c>
      <c r="DS99" s="561">
        <v>498</v>
      </c>
      <c r="DT99" s="561">
        <v>1106</v>
      </c>
      <c r="DU99" s="561">
        <v>4270</v>
      </c>
      <c r="DV99" s="561">
        <v>538</v>
      </c>
      <c r="DW99" s="561">
        <v>0</v>
      </c>
      <c r="DX99" s="561">
        <v>0</v>
      </c>
      <c r="DY99" s="561">
        <v>1099</v>
      </c>
      <c r="DZ99" s="561">
        <v>-1</v>
      </c>
      <c r="EA99" s="561">
        <v>2221</v>
      </c>
      <c r="EB99" s="561">
        <v>0</v>
      </c>
      <c r="EC99" s="561">
        <v>8104</v>
      </c>
      <c r="ED99" s="561">
        <v>0</v>
      </c>
      <c r="EE99" s="561">
        <v>91037</v>
      </c>
      <c r="EF99" s="561">
        <v>792</v>
      </c>
      <c r="EG99" s="561">
        <v>806</v>
      </c>
      <c r="EH99" s="561">
        <v>530</v>
      </c>
      <c r="EI99" s="561">
        <v>0</v>
      </c>
      <c r="EJ99" s="561">
        <v>0</v>
      </c>
      <c r="EK99" s="561">
        <v>387</v>
      </c>
      <c r="EL99" s="561">
        <v>0</v>
      </c>
      <c r="EM99" s="561">
        <v>0</v>
      </c>
      <c r="EN99" s="561">
        <v>22270</v>
      </c>
      <c r="EO99" s="561">
        <v>18302</v>
      </c>
      <c r="EP99" s="561">
        <v>5200</v>
      </c>
      <c r="EQ99" s="561">
        <v>1496</v>
      </c>
      <c r="ER99" s="561">
        <v>0</v>
      </c>
      <c r="ES99" s="561" t="s">
        <v>4565</v>
      </c>
      <c r="ET99" s="561">
        <v>23031</v>
      </c>
      <c r="EU99" s="561">
        <v>10952</v>
      </c>
      <c r="EV99" s="561">
        <v>11</v>
      </c>
      <c r="EW99" s="561">
        <v>14188</v>
      </c>
      <c r="EX99" s="561">
        <v>0</v>
      </c>
      <c r="EY99" s="561">
        <v>390</v>
      </c>
      <c r="EZ99" s="561">
        <v>-2288</v>
      </c>
      <c r="FA99" s="561">
        <v>7837</v>
      </c>
      <c r="FB99" s="561">
        <v>218</v>
      </c>
      <c r="FC99" s="561">
        <v>95</v>
      </c>
      <c r="FD99" s="561">
        <v>1636</v>
      </c>
      <c r="FE99" s="561">
        <v>730</v>
      </c>
      <c r="FF99" s="561">
        <v>216</v>
      </c>
      <c r="FG99" s="561">
        <v>0</v>
      </c>
      <c r="FH99" s="561">
        <v>0</v>
      </c>
      <c r="FI99" s="561">
        <v>198</v>
      </c>
      <c r="FJ99" s="561">
        <v>2331</v>
      </c>
      <c r="FK99" s="561">
        <v>7677</v>
      </c>
      <c r="FL99" s="561">
        <v>0</v>
      </c>
      <c r="FM99" s="561">
        <v>803</v>
      </c>
      <c r="FN99" s="561">
        <v>3508</v>
      </c>
      <c r="FO99" s="561">
        <v>17412</v>
      </c>
      <c r="FP99" s="561">
        <v>42</v>
      </c>
      <c r="FQ99" s="561">
        <v>-120</v>
      </c>
      <c r="FR99" s="561">
        <v>171</v>
      </c>
      <c r="FS99" s="561">
        <v>0</v>
      </c>
      <c r="FT99" s="561">
        <v>215</v>
      </c>
      <c r="FU99" s="561">
        <v>1133</v>
      </c>
      <c r="FV99" s="561">
        <v>0</v>
      </c>
      <c r="FW99" s="561">
        <v>109</v>
      </c>
      <c r="FX99" s="561">
        <v>0</v>
      </c>
      <c r="FY99" s="561">
        <v>0</v>
      </c>
      <c r="FZ99" s="561">
        <v>306</v>
      </c>
      <c r="GA99" s="561">
        <v>37</v>
      </c>
      <c r="GB99" s="561">
        <v>557</v>
      </c>
      <c r="GC99" s="561">
        <v>-142</v>
      </c>
      <c r="GD99" s="561">
        <v>1921</v>
      </c>
      <c r="GE99" s="561">
        <v>1251</v>
      </c>
      <c r="GF99" s="561">
        <v>0</v>
      </c>
      <c r="GG99" s="561">
        <v>385</v>
      </c>
      <c r="GH99" s="561">
        <v>681</v>
      </c>
      <c r="GI99" s="561">
        <v>1944</v>
      </c>
      <c r="GJ99" s="561">
        <v>0</v>
      </c>
      <c r="GK99" s="561">
        <v>0</v>
      </c>
      <c r="GL99" s="561">
        <v>3819</v>
      </c>
      <c r="GM99" s="561">
        <v>6814</v>
      </c>
      <c r="GN99" s="561">
        <v>11182</v>
      </c>
      <c r="GO99" s="561">
        <v>0</v>
      </c>
      <c r="GP99" s="561">
        <v>4535</v>
      </c>
      <c r="GQ99" s="561">
        <v>0</v>
      </c>
      <c r="GR99" s="561">
        <v>0</v>
      </c>
      <c r="GS99" s="561">
        <v>34798</v>
      </c>
      <c r="GT99" s="561">
        <v>21</v>
      </c>
      <c r="GU99" s="561">
        <v>249</v>
      </c>
      <c r="GV99" s="561">
        <v>-335</v>
      </c>
      <c r="GW99" s="561">
        <v>0</v>
      </c>
      <c r="GX99" s="561">
        <v>416</v>
      </c>
      <c r="GY99" s="561">
        <v>198</v>
      </c>
      <c r="GZ99" s="561">
        <v>6434</v>
      </c>
      <c r="HA99" s="561">
        <v>0</v>
      </c>
      <c r="HB99" s="561">
        <v>-230</v>
      </c>
      <c r="HC99" s="561">
        <v>3601</v>
      </c>
      <c r="HD99" s="561">
        <v>10333</v>
      </c>
      <c r="HE99" s="561">
        <v>289</v>
      </c>
      <c r="HF99" s="561">
        <v>62543</v>
      </c>
      <c r="HG99" s="561">
        <v>352</v>
      </c>
      <c r="HH99" s="561">
        <v>0</v>
      </c>
      <c r="HI99" s="561">
        <v>0</v>
      </c>
      <c r="HJ99" s="561">
        <v>0</v>
      </c>
      <c r="HK99" s="561">
        <v>0</v>
      </c>
      <c r="HL99" s="561">
        <v>0</v>
      </c>
      <c r="HM99" s="561">
        <v>0</v>
      </c>
      <c r="HN99" s="561">
        <v>0</v>
      </c>
      <c r="HO99" s="561">
        <v>5070</v>
      </c>
      <c r="HP99" s="561">
        <v>1758</v>
      </c>
      <c r="HQ99" s="561">
        <v>0</v>
      </c>
      <c r="HR99" s="561">
        <v>175</v>
      </c>
      <c r="HS99" s="561">
        <v>1064</v>
      </c>
      <c r="HT99" s="561">
        <v>-67</v>
      </c>
      <c r="HU99" s="561">
        <v>0</v>
      </c>
      <c r="HV99" s="561">
        <v>-53</v>
      </c>
      <c r="HW99" s="561">
        <v>629</v>
      </c>
      <c r="HX99" s="561">
        <v>1</v>
      </c>
      <c r="HY99" s="561">
        <v>821</v>
      </c>
      <c r="HZ99" s="561">
        <v>-21</v>
      </c>
      <c r="IA99" s="561">
        <v>6500</v>
      </c>
      <c r="IB99" s="561">
        <v>306</v>
      </c>
      <c r="IC99" s="561">
        <v>1275</v>
      </c>
      <c r="ID99" s="561">
        <v>0</v>
      </c>
      <c r="IE99" s="561">
        <v>5388</v>
      </c>
      <c r="IF99" s="561">
        <v>0</v>
      </c>
      <c r="IG99" s="561">
        <v>712</v>
      </c>
      <c r="IH99" s="561">
        <v>-2363</v>
      </c>
      <c r="II99" s="561">
        <v>21195</v>
      </c>
      <c r="IJ99" s="561">
        <v>269</v>
      </c>
      <c r="IK99" s="561">
        <v>3163</v>
      </c>
      <c r="IL99" s="561">
        <v>38739</v>
      </c>
      <c r="IM99" s="561">
        <v>0</v>
      </c>
      <c r="IN99" s="561">
        <v>0</v>
      </c>
      <c r="IO99" s="561">
        <v>0</v>
      </c>
      <c r="IP99" s="561">
        <v>0</v>
      </c>
      <c r="IQ99" s="561">
        <v>0</v>
      </c>
      <c r="IR99" s="561">
        <v>155867</v>
      </c>
      <c r="IS99" s="561">
        <v>12242</v>
      </c>
      <c r="IT99" s="561">
        <v>98456</v>
      </c>
      <c r="IU99" s="561">
        <v>142146</v>
      </c>
      <c r="IV99" s="561">
        <v>34422</v>
      </c>
      <c r="IW99" s="561">
        <v>8104</v>
      </c>
      <c r="IX99" s="561">
        <v>17412</v>
      </c>
      <c r="IY99" s="561">
        <v>34798</v>
      </c>
      <c r="IZ99" s="561">
        <v>10333</v>
      </c>
      <c r="JA99" s="561">
        <v>0</v>
      </c>
      <c r="JB99" s="561">
        <v>0</v>
      </c>
      <c r="JC99" s="561">
        <v>21195</v>
      </c>
      <c r="JD99" s="561">
        <v>0</v>
      </c>
      <c r="JE99" s="561">
        <v>534975</v>
      </c>
      <c r="JF99" s="561">
        <v>31679</v>
      </c>
      <c r="JG99" s="561">
        <v>0</v>
      </c>
      <c r="JH99" s="561">
        <v>26558</v>
      </c>
      <c r="JI99" s="561">
        <v>0</v>
      </c>
      <c r="JJ99" s="561">
        <v>0</v>
      </c>
      <c r="JK99" s="561">
        <v>3321</v>
      </c>
      <c r="JL99" s="561">
        <v>12723</v>
      </c>
      <c r="JM99" s="561">
        <v>0</v>
      </c>
      <c r="JN99" s="561">
        <v>0</v>
      </c>
      <c r="JO99" s="561">
        <v>67</v>
      </c>
      <c r="JP99" s="561">
        <v>-666</v>
      </c>
      <c r="JQ99" s="561">
        <v>2012</v>
      </c>
      <c r="JR99" s="561">
        <v>0</v>
      </c>
      <c r="JS99" s="561">
        <v>0</v>
      </c>
      <c r="JT99" s="561">
        <v>-149</v>
      </c>
      <c r="JU99" s="561">
        <v>0</v>
      </c>
      <c r="JV99" s="561">
        <v>610520</v>
      </c>
      <c r="JW99" s="561">
        <v>148</v>
      </c>
      <c r="JX99" s="561">
        <v>6649</v>
      </c>
      <c r="JY99" s="561">
        <v>0</v>
      </c>
      <c r="JZ99" s="561">
        <v>0</v>
      </c>
      <c r="KA99" s="561">
        <v>0</v>
      </c>
      <c r="KB99" s="561">
        <v>2576</v>
      </c>
      <c r="KC99" s="561">
        <v>7430</v>
      </c>
      <c r="KD99" s="561">
        <v>0</v>
      </c>
      <c r="KE99" s="561">
        <v>12094</v>
      </c>
      <c r="KF99" s="561">
        <v>0</v>
      </c>
      <c r="KG99" s="561">
        <v>639417</v>
      </c>
      <c r="KH99" s="561">
        <v>-1351</v>
      </c>
      <c r="KI99" s="561">
        <v>0</v>
      </c>
      <c r="KJ99" s="561">
        <v>37</v>
      </c>
      <c r="KK99" s="561">
        <v>0</v>
      </c>
      <c r="KL99" s="561">
        <v>-58315</v>
      </c>
      <c r="KM99" s="561">
        <v>0</v>
      </c>
      <c r="KN99" s="561">
        <v>0</v>
      </c>
      <c r="KO99" s="561">
        <v>0</v>
      </c>
      <c r="KP99" s="561">
        <v>0</v>
      </c>
      <c r="KQ99" s="561">
        <v>-12315</v>
      </c>
      <c r="KR99" s="561">
        <v>567473</v>
      </c>
      <c r="KS99" s="561">
        <v>-557</v>
      </c>
      <c r="KT99" s="561">
        <v>-265415</v>
      </c>
      <c r="KU99" s="561">
        <v>301501</v>
      </c>
      <c r="KV99" s="561">
        <v>0</v>
      </c>
      <c r="KW99" s="561">
        <v>535</v>
      </c>
      <c r="KX99" s="561">
        <v>0</v>
      </c>
      <c r="KY99" s="561">
        <v>526</v>
      </c>
      <c r="KZ99" s="561">
        <v>-10897</v>
      </c>
      <c r="LA99" s="561">
        <v>-3300</v>
      </c>
      <c r="LB99" s="561">
        <v>-25244</v>
      </c>
      <c r="LC99" s="561">
        <v>0</v>
      </c>
      <c r="LD99" s="561">
        <v>-116469</v>
      </c>
      <c r="LE99" s="561">
        <v>-250</v>
      </c>
      <c r="LF99" s="561">
        <v>0</v>
      </c>
      <c r="LG99" s="561">
        <v>146402</v>
      </c>
      <c r="LH99" s="561">
        <v>2825</v>
      </c>
      <c r="LI99" s="561">
        <v>-25321</v>
      </c>
      <c r="LJ99" s="561">
        <v>0</v>
      </c>
      <c r="LK99" s="561">
        <v>7314</v>
      </c>
      <c r="LL99" s="561">
        <v>77378</v>
      </c>
      <c r="LM99" s="561">
        <v>15963</v>
      </c>
      <c r="LN99" s="561">
        <v>3360</v>
      </c>
      <c r="LO99" s="561">
        <v>-37636</v>
      </c>
      <c r="LP99" s="561">
        <v>0</v>
      </c>
      <c r="LQ99" s="561">
        <v>7840</v>
      </c>
      <c r="LR99" s="561">
        <v>66481</v>
      </c>
      <c r="LS99" s="561">
        <v>12663</v>
      </c>
      <c r="LT99" s="561">
        <v>0</v>
      </c>
      <c r="LU99" s="561">
        <v>47924</v>
      </c>
      <c r="LV99" s="561">
        <v>12054</v>
      </c>
      <c r="LW99" s="561">
        <v>0</v>
      </c>
      <c r="LX99" s="561">
        <v>0</v>
      </c>
      <c r="LY99" s="561">
        <v>12418</v>
      </c>
      <c r="LZ99" s="561">
        <v>72396</v>
      </c>
      <c r="MA99" s="561">
        <v>0</v>
      </c>
      <c r="MB99" s="561">
        <v>0</v>
      </c>
      <c r="MC99" s="561">
        <v>93552</v>
      </c>
      <c r="MD99" s="561">
        <v>95840</v>
      </c>
      <c r="ME99" s="561">
        <v>-2288</v>
      </c>
      <c r="MF99" s="561">
        <v>7837</v>
      </c>
      <c r="MG99" s="561">
        <v>5549</v>
      </c>
      <c r="MH99" s="561">
        <v>9682</v>
      </c>
      <c r="MI99" s="561">
        <v>17278</v>
      </c>
      <c r="MJ99" s="561">
        <v>26960</v>
      </c>
      <c r="MK99" s="561">
        <v>0</v>
      </c>
      <c r="ML99" s="561">
        <v>8055</v>
      </c>
      <c r="MM99" s="561">
        <v>51029</v>
      </c>
      <c r="MN99" s="561">
        <v>6923</v>
      </c>
      <c r="MO99" s="561">
        <v>474</v>
      </c>
      <c r="MP99" s="561">
        <v>0</v>
      </c>
      <c r="MQ99" s="561">
        <v>155867</v>
      </c>
      <c r="MR99" s="561">
        <v>12242</v>
      </c>
      <c r="MS99" s="561">
        <v>98456</v>
      </c>
      <c r="MT99" s="561">
        <v>142146</v>
      </c>
      <c r="MU99" s="561">
        <v>34422</v>
      </c>
      <c r="MV99" s="561">
        <v>8104</v>
      </c>
      <c r="MW99" s="561">
        <v>17412</v>
      </c>
      <c r="MX99" s="561">
        <v>34798</v>
      </c>
      <c r="MY99" s="561">
        <v>10333</v>
      </c>
      <c r="MZ99" s="561">
        <v>0</v>
      </c>
      <c r="NA99" s="561">
        <v>0</v>
      </c>
      <c r="NB99" s="561">
        <v>21195</v>
      </c>
      <c r="NC99" s="561">
        <v>0</v>
      </c>
      <c r="ND99" s="561">
        <v>534975</v>
      </c>
      <c r="NE99" s="561">
        <v>0</v>
      </c>
      <c r="NF99" s="561">
        <v>0</v>
      </c>
      <c r="NG99" s="561">
        <v>0</v>
      </c>
      <c r="NH99" s="561">
        <v>0</v>
      </c>
      <c r="NI99" s="561">
        <v>0</v>
      </c>
      <c r="NJ99" s="561">
        <v>0</v>
      </c>
      <c r="NK99" s="561">
        <v>0</v>
      </c>
      <c r="NL99" s="561">
        <v>0</v>
      </c>
      <c r="NM99" s="561">
        <v>0</v>
      </c>
      <c r="NN99" s="561">
        <v>0</v>
      </c>
      <c r="NO99" s="561">
        <v>0</v>
      </c>
      <c r="NP99" s="561">
        <v>0</v>
      </c>
      <c r="NQ99" s="561">
        <v>-555</v>
      </c>
      <c r="NR99" s="561">
        <v>0</v>
      </c>
      <c r="NS99" s="561">
        <v>0</v>
      </c>
      <c r="NT99" s="561">
        <v>0</v>
      </c>
      <c r="NU99" s="561">
        <v>-152</v>
      </c>
      <c r="NV99" s="561">
        <v>15</v>
      </c>
      <c r="NW99" s="561">
        <v>-666</v>
      </c>
      <c r="NX99" s="561">
        <v>0</v>
      </c>
      <c r="NY99" s="561">
        <v>-666</v>
      </c>
      <c r="NZ99" s="561">
        <v>0</v>
      </c>
      <c r="OA99" s="561">
        <v>0</v>
      </c>
      <c r="OB99" s="561">
        <v>0</v>
      </c>
      <c r="OC99" s="561">
        <v>0</v>
      </c>
      <c r="OD99" s="561">
        <v>0</v>
      </c>
      <c r="OE99" s="561">
        <v>0</v>
      </c>
      <c r="OF99" s="561">
        <v>0</v>
      </c>
      <c r="OG99" s="561">
        <v>0</v>
      </c>
      <c r="OH99" s="561">
        <v>0</v>
      </c>
      <c r="OI99" s="561">
        <v>0</v>
      </c>
      <c r="OJ99" s="561">
        <v>926</v>
      </c>
      <c r="OK99" s="561">
        <v>0</v>
      </c>
      <c r="OL99" s="561">
        <v>0</v>
      </c>
      <c r="OM99" s="561">
        <v>0</v>
      </c>
      <c r="ON99" s="561">
        <v>0</v>
      </c>
      <c r="OO99" s="561">
        <v>0</v>
      </c>
      <c r="OP99" s="561">
        <v>865</v>
      </c>
      <c r="OQ99" s="561">
        <v>221</v>
      </c>
      <c r="OR99" s="561">
        <v>0</v>
      </c>
      <c r="OS99" s="561">
        <v>0</v>
      </c>
      <c r="OT99" s="561">
        <v>0</v>
      </c>
      <c r="OU99" s="561">
        <v>0</v>
      </c>
      <c r="OV99" s="561">
        <v>1717</v>
      </c>
      <c r="OW99" s="561">
        <v>0</v>
      </c>
      <c r="OX99" s="561">
        <v>2012</v>
      </c>
      <c r="OY99" s="561">
        <v>0</v>
      </c>
      <c r="OZ99" s="561">
        <v>0</v>
      </c>
      <c r="PA99" s="561">
        <v>0</v>
      </c>
      <c r="PB99" s="561">
        <v>0</v>
      </c>
      <c r="PC99" s="561">
        <v>0</v>
      </c>
      <c r="PD99" s="561">
        <v>0</v>
      </c>
      <c r="PE99" s="561">
        <v>0</v>
      </c>
      <c r="PF99" s="561">
        <v>0</v>
      </c>
      <c r="PG99" s="561">
        <v>0</v>
      </c>
      <c r="PH99" s="561">
        <v>0</v>
      </c>
      <c r="PI99" s="561">
        <v>0</v>
      </c>
      <c r="PJ99" s="561">
        <v>0</v>
      </c>
    </row>
    <row r="100" spans="1:426" ht="14" x14ac:dyDescent="0.3">
      <c r="A100" t="s">
        <v>2732</v>
      </c>
      <c r="B100" t="s">
        <v>2733</v>
      </c>
      <c r="C100" t="s">
        <v>3727</v>
      </c>
      <c r="E100" t="s">
        <v>2466</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561">
        <v>0</v>
      </c>
      <c r="BG100" s="561">
        <v>0</v>
      </c>
      <c r="BH100" s="561">
        <v>0</v>
      </c>
      <c r="BI100" s="561">
        <v>0</v>
      </c>
      <c r="BJ100" s="561">
        <v>0</v>
      </c>
      <c r="BK100" s="561">
        <v>0</v>
      </c>
      <c r="BL100" s="561">
        <v>0</v>
      </c>
      <c r="BM100" s="561">
        <v>0</v>
      </c>
      <c r="BN100" s="561">
        <v>0</v>
      </c>
      <c r="BO100" s="561">
        <v>0</v>
      </c>
      <c r="BP100" s="561">
        <v>0</v>
      </c>
      <c r="BQ100" s="561">
        <v>0</v>
      </c>
      <c r="BR100" s="561">
        <v>0</v>
      </c>
      <c r="BS100" s="561">
        <v>0</v>
      </c>
      <c r="BT100" s="561">
        <v>0</v>
      </c>
      <c r="BU100" s="561">
        <v>0</v>
      </c>
      <c r="BV100" s="561">
        <v>0</v>
      </c>
      <c r="BW100" s="561">
        <v>0</v>
      </c>
      <c r="BX100" s="561">
        <v>0</v>
      </c>
      <c r="BY100" s="561">
        <v>0</v>
      </c>
      <c r="BZ100" s="561">
        <v>0</v>
      </c>
      <c r="CA100" s="561">
        <v>0</v>
      </c>
      <c r="CB100" s="561">
        <v>0</v>
      </c>
      <c r="CC100" s="561">
        <v>0</v>
      </c>
      <c r="CD100" s="561">
        <v>0</v>
      </c>
      <c r="CE100" s="561">
        <v>0</v>
      </c>
      <c r="CF100" s="561">
        <v>0</v>
      </c>
      <c r="CG100" s="561">
        <v>0</v>
      </c>
      <c r="CH100" s="561">
        <v>0</v>
      </c>
      <c r="CI100" s="561">
        <v>0</v>
      </c>
      <c r="CJ100" s="561">
        <v>0</v>
      </c>
      <c r="CK100" s="561">
        <v>0</v>
      </c>
      <c r="CL100" s="561">
        <v>0</v>
      </c>
      <c r="CM100" s="561">
        <v>0</v>
      </c>
      <c r="CN100" s="561">
        <v>0</v>
      </c>
      <c r="CO100" s="561">
        <v>0</v>
      </c>
      <c r="CP100" s="561">
        <v>0</v>
      </c>
      <c r="CQ100" s="561">
        <v>0</v>
      </c>
      <c r="CR100" s="561">
        <v>0</v>
      </c>
      <c r="CS100" s="561">
        <v>0</v>
      </c>
      <c r="CT100" s="561">
        <v>0</v>
      </c>
      <c r="CU100" s="561">
        <v>0</v>
      </c>
      <c r="CV100" s="561">
        <v>0</v>
      </c>
      <c r="CW100" s="561">
        <v>0</v>
      </c>
      <c r="CX100" s="561">
        <v>0</v>
      </c>
      <c r="CY100" s="561">
        <v>0</v>
      </c>
      <c r="CZ100" s="561">
        <v>0</v>
      </c>
      <c r="DA100" s="561">
        <v>0</v>
      </c>
      <c r="DB100" s="561">
        <v>0</v>
      </c>
      <c r="DC100" s="561">
        <v>0</v>
      </c>
      <c r="DD100" s="561">
        <v>0</v>
      </c>
      <c r="DE100" s="561">
        <v>0</v>
      </c>
      <c r="DF100" s="561">
        <v>0</v>
      </c>
      <c r="DG100" s="561">
        <v>0</v>
      </c>
      <c r="DH100" s="561">
        <v>0</v>
      </c>
      <c r="DI100" s="561">
        <v>0</v>
      </c>
      <c r="DJ100" s="561">
        <v>0</v>
      </c>
      <c r="DK100" s="561">
        <v>0</v>
      </c>
      <c r="DL100" s="561">
        <v>0</v>
      </c>
      <c r="DM100" s="561">
        <v>0</v>
      </c>
      <c r="DN100" s="561">
        <v>0</v>
      </c>
      <c r="DO100" s="561">
        <v>0</v>
      </c>
      <c r="DP100" s="561">
        <v>0</v>
      </c>
      <c r="DQ100" s="561">
        <v>0</v>
      </c>
      <c r="DR100" s="561">
        <v>0</v>
      </c>
      <c r="DS100" s="561">
        <v>0</v>
      </c>
      <c r="DT100" s="561">
        <v>0</v>
      </c>
      <c r="DU100" s="561">
        <v>0</v>
      </c>
      <c r="DV100" s="561">
        <v>0</v>
      </c>
      <c r="DW100" s="561">
        <v>0</v>
      </c>
      <c r="DX100" s="561">
        <v>0</v>
      </c>
      <c r="DY100" s="561">
        <v>0</v>
      </c>
      <c r="DZ100" s="561">
        <v>0</v>
      </c>
      <c r="EA100" s="561">
        <v>0</v>
      </c>
      <c r="EB100" s="561">
        <v>0</v>
      </c>
      <c r="EC100" s="561">
        <v>0</v>
      </c>
      <c r="ED100" s="561">
        <v>0</v>
      </c>
      <c r="EE100" s="561">
        <v>0</v>
      </c>
      <c r="EF100" s="561">
        <v>0</v>
      </c>
      <c r="EG100" s="561">
        <v>0</v>
      </c>
      <c r="EH100" s="561">
        <v>0</v>
      </c>
      <c r="EI100" s="561">
        <v>0</v>
      </c>
      <c r="EJ100" s="561">
        <v>0</v>
      </c>
      <c r="EK100" s="561">
        <v>0</v>
      </c>
      <c r="EL100" s="561">
        <v>0</v>
      </c>
      <c r="EM100" s="561">
        <v>0</v>
      </c>
      <c r="EN100" s="561">
        <v>0</v>
      </c>
      <c r="EO100" s="561">
        <v>0</v>
      </c>
      <c r="EP100" s="561">
        <v>0</v>
      </c>
      <c r="EQ100" s="561">
        <v>0</v>
      </c>
      <c r="ER100" s="561">
        <v>0</v>
      </c>
      <c r="ES100" s="561" t="s">
        <v>4565</v>
      </c>
      <c r="ET100" s="561">
        <v>0</v>
      </c>
      <c r="EU100" s="561">
        <v>0</v>
      </c>
      <c r="EV100" s="561">
        <v>0</v>
      </c>
      <c r="EW100" s="561">
        <v>0</v>
      </c>
      <c r="EX100" s="561">
        <v>0</v>
      </c>
      <c r="EY100" s="561">
        <v>0</v>
      </c>
      <c r="EZ100" s="561">
        <v>0</v>
      </c>
      <c r="FA100" s="561">
        <v>0</v>
      </c>
      <c r="FB100" s="561">
        <v>0</v>
      </c>
      <c r="FC100" s="561">
        <v>0</v>
      </c>
      <c r="FD100" s="561">
        <v>0</v>
      </c>
      <c r="FE100" s="561">
        <v>0</v>
      </c>
      <c r="FF100" s="561">
        <v>0</v>
      </c>
      <c r="FG100" s="561">
        <v>0</v>
      </c>
      <c r="FH100" s="561">
        <v>0</v>
      </c>
      <c r="FI100" s="561">
        <v>0</v>
      </c>
      <c r="FJ100" s="561">
        <v>0</v>
      </c>
      <c r="FK100" s="561">
        <v>0</v>
      </c>
      <c r="FL100" s="561">
        <v>0</v>
      </c>
      <c r="FM100" s="561">
        <v>0</v>
      </c>
      <c r="FN100" s="561">
        <v>0</v>
      </c>
      <c r="FO100" s="561">
        <v>0</v>
      </c>
      <c r="FP100" s="561">
        <v>0</v>
      </c>
      <c r="FQ100" s="561">
        <v>0</v>
      </c>
      <c r="FR100" s="561">
        <v>0</v>
      </c>
      <c r="FS100" s="561">
        <v>0</v>
      </c>
      <c r="FT100" s="561">
        <v>0</v>
      </c>
      <c r="FU100" s="561">
        <v>0</v>
      </c>
      <c r="FV100" s="561">
        <v>0</v>
      </c>
      <c r="FW100" s="561">
        <v>0</v>
      </c>
      <c r="FX100" s="561">
        <v>0</v>
      </c>
      <c r="FY100" s="561">
        <v>0</v>
      </c>
      <c r="FZ100" s="561">
        <v>0</v>
      </c>
      <c r="GA100" s="561">
        <v>0</v>
      </c>
      <c r="GB100" s="561">
        <v>0</v>
      </c>
      <c r="GC100" s="561">
        <v>0</v>
      </c>
      <c r="GD100" s="561">
        <v>0</v>
      </c>
      <c r="GE100" s="561">
        <v>0</v>
      </c>
      <c r="GF100" s="561">
        <v>0</v>
      </c>
      <c r="GG100" s="561">
        <v>0</v>
      </c>
      <c r="GH100" s="561">
        <v>0</v>
      </c>
      <c r="GI100" s="561">
        <v>0</v>
      </c>
      <c r="GJ100" s="561">
        <v>0</v>
      </c>
      <c r="GK100" s="561">
        <v>0</v>
      </c>
      <c r="GL100" s="561">
        <v>0</v>
      </c>
      <c r="GM100" s="561">
        <v>0</v>
      </c>
      <c r="GN100" s="561">
        <v>0</v>
      </c>
      <c r="GO100" s="561">
        <v>0</v>
      </c>
      <c r="GP100" s="561">
        <v>0</v>
      </c>
      <c r="GQ100" s="561">
        <v>0</v>
      </c>
      <c r="GR100" s="561">
        <v>0</v>
      </c>
      <c r="GS100" s="561">
        <v>0</v>
      </c>
      <c r="GT100" s="561">
        <v>0</v>
      </c>
      <c r="GU100" s="561">
        <v>0</v>
      </c>
      <c r="GV100" s="561">
        <v>0</v>
      </c>
      <c r="GW100" s="561">
        <v>0</v>
      </c>
      <c r="GX100" s="561">
        <v>0</v>
      </c>
      <c r="GY100" s="561">
        <v>0</v>
      </c>
      <c r="GZ100" s="561">
        <v>0</v>
      </c>
      <c r="HA100" s="561">
        <v>0</v>
      </c>
      <c r="HB100" s="561">
        <v>0</v>
      </c>
      <c r="HC100" s="561">
        <v>0</v>
      </c>
      <c r="HD100" s="561">
        <v>0</v>
      </c>
      <c r="HE100" s="561">
        <v>0</v>
      </c>
      <c r="HF100" s="561">
        <v>0</v>
      </c>
      <c r="HG100" s="561">
        <v>0</v>
      </c>
      <c r="HH100" s="561">
        <v>0</v>
      </c>
      <c r="HI100" s="561">
        <v>0</v>
      </c>
      <c r="HJ100" s="561">
        <v>13333</v>
      </c>
      <c r="HK100" s="561">
        <v>55415</v>
      </c>
      <c r="HL100" s="561">
        <v>183</v>
      </c>
      <c r="HM100" s="561">
        <v>68931</v>
      </c>
      <c r="HN100" s="561">
        <v>22</v>
      </c>
      <c r="HO100" s="561">
        <v>1180</v>
      </c>
      <c r="HP100" s="561">
        <v>0</v>
      </c>
      <c r="HQ100" s="561">
        <v>0</v>
      </c>
      <c r="HR100" s="561">
        <v>0</v>
      </c>
      <c r="HS100" s="561">
        <v>0</v>
      </c>
      <c r="HT100" s="561">
        <v>0</v>
      </c>
      <c r="HU100" s="561">
        <v>0</v>
      </c>
      <c r="HV100" s="561">
        <v>0</v>
      </c>
      <c r="HW100" s="561">
        <v>0</v>
      </c>
      <c r="HX100" s="561">
        <v>0</v>
      </c>
      <c r="HY100" s="561">
        <v>0</v>
      </c>
      <c r="HZ100" s="561">
        <v>0</v>
      </c>
      <c r="IA100" s="561">
        <v>0</v>
      </c>
      <c r="IB100" s="561">
        <v>0</v>
      </c>
      <c r="IC100" s="561">
        <v>0</v>
      </c>
      <c r="ID100" s="561">
        <v>0</v>
      </c>
      <c r="IE100" s="561">
        <v>1840</v>
      </c>
      <c r="IF100" s="561">
        <v>0</v>
      </c>
      <c r="IG100" s="561">
        <v>0</v>
      </c>
      <c r="IH100" s="561">
        <v>0</v>
      </c>
      <c r="II100" s="561">
        <v>3020</v>
      </c>
      <c r="IJ100" s="561">
        <v>0</v>
      </c>
      <c r="IK100" s="561">
        <v>0</v>
      </c>
      <c r="IL100" s="561">
        <v>0</v>
      </c>
      <c r="IM100" s="561">
        <v>0</v>
      </c>
      <c r="IN100" s="561">
        <v>0</v>
      </c>
      <c r="IO100" s="561">
        <v>0</v>
      </c>
      <c r="IP100" s="561">
        <v>0</v>
      </c>
      <c r="IQ100" s="561">
        <v>0</v>
      </c>
      <c r="IR100" s="561">
        <v>0</v>
      </c>
      <c r="IS100" s="561">
        <v>0</v>
      </c>
      <c r="IT100" s="561">
        <v>0</v>
      </c>
      <c r="IU100" s="561">
        <v>0</v>
      </c>
      <c r="IV100" s="561">
        <v>0</v>
      </c>
      <c r="IW100" s="561">
        <v>0</v>
      </c>
      <c r="IX100" s="561">
        <v>0</v>
      </c>
      <c r="IY100" s="561">
        <v>0</v>
      </c>
      <c r="IZ100" s="561">
        <v>0</v>
      </c>
      <c r="JA100" s="561">
        <v>0</v>
      </c>
      <c r="JB100" s="561">
        <v>68931</v>
      </c>
      <c r="JC100" s="561">
        <v>3020</v>
      </c>
      <c r="JD100" s="561">
        <v>0</v>
      </c>
      <c r="JE100" s="561">
        <v>71951</v>
      </c>
      <c r="JF100" s="561">
        <v>0</v>
      </c>
      <c r="JG100" s="561">
        <v>0</v>
      </c>
      <c r="JH100" s="561">
        <v>0</v>
      </c>
      <c r="JI100" s="561">
        <v>0</v>
      </c>
      <c r="JJ100" s="561">
        <v>0</v>
      </c>
      <c r="JK100" s="561">
        <v>0</v>
      </c>
      <c r="JL100" s="561">
        <v>0</v>
      </c>
      <c r="JM100" s="561">
        <v>0</v>
      </c>
      <c r="JN100" s="561">
        <v>0</v>
      </c>
      <c r="JO100" s="561">
        <v>0</v>
      </c>
      <c r="JP100" s="561">
        <v>0</v>
      </c>
      <c r="JQ100" s="561">
        <v>0</v>
      </c>
      <c r="JR100" s="561">
        <v>0</v>
      </c>
      <c r="JS100" s="561">
        <v>0</v>
      </c>
      <c r="JT100" s="561">
        <v>30</v>
      </c>
      <c r="JU100" s="561">
        <v>0</v>
      </c>
      <c r="JV100" s="561">
        <v>71981</v>
      </c>
      <c r="JW100" s="561">
        <v>0</v>
      </c>
      <c r="JX100" s="561">
        <v>1759</v>
      </c>
      <c r="JY100" s="561">
        <v>0</v>
      </c>
      <c r="JZ100" s="561">
        <v>0</v>
      </c>
      <c r="KA100" s="561">
        <v>0</v>
      </c>
      <c r="KB100" s="561">
        <v>0</v>
      </c>
      <c r="KC100" s="561">
        <v>2186</v>
      </c>
      <c r="KD100" s="561">
        <v>0</v>
      </c>
      <c r="KE100" s="561">
        <v>499</v>
      </c>
      <c r="KF100" s="561">
        <v>0</v>
      </c>
      <c r="KG100" s="561">
        <v>76425</v>
      </c>
      <c r="KH100" s="561">
        <v>-690</v>
      </c>
      <c r="KI100" s="561">
        <v>0</v>
      </c>
      <c r="KJ100" s="561">
        <v>0</v>
      </c>
      <c r="KK100" s="561">
        <v>0</v>
      </c>
      <c r="KL100" s="561">
        <v>0</v>
      </c>
      <c r="KM100" s="561">
        <v>0</v>
      </c>
      <c r="KN100" s="561">
        <v>0</v>
      </c>
      <c r="KO100" s="561">
        <v>0</v>
      </c>
      <c r="KP100" s="561">
        <v>0</v>
      </c>
      <c r="KQ100" s="561">
        <v>0</v>
      </c>
      <c r="KR100" s="561">
        <v>75735</v>
      </c>
      <c r="KS100" s="561">
        <v>0</v>
      </c>
      <c r="KT100" s="561">
        <v>-5619</v>
      </c>
      <c r="KU100" s="561">
        <v>70116</v>
      </c>
      <c r="KV100" s="561">
        <v>0</v>
      </c>
      <c r="KW100" s="561">
        <v>0</v>
      </c>
      <c r="KX100" s="561">
        <v>0</v>
      </c>
      <c r="KY100" s="561">
        <v>0</v>
      </c>
      <c r="KZ100" s="561">
        <v>2058</v>
      </c>
      <c r="LA100" s="561">
        <v>55</v>
      </c>
      <c r="LB100" s="561">
        <v>-7398</v>
      </c>
      <c r="LC100" s="561">
        <v>0</v>
      </c>
      <c r="LD100" s="561">
        <v>-14826</v>
      </c>
      <c r="LE100" s="561">
        <v>-186</v>
      </c>
      <c r="LF100" s="561">
        <v>0</v>
      </c>
      <c r="LG100" s="561">
        <v>49819</v>
      </c>
      <c r="LH100" s="561">
        <v>0</v>
      </c>
      <c r="LI100" s="561">
        <v>0</v>
      </c>
      <c r="LJ100" s="561">
        <v>0</v>
      </c>
      <c r="LK100" s="561">
        <v>0</v>
      </c>
      <c r="LL100" s="561">
        <v>17811</v>
      </c>
      <c r="LM100" s="561">
        <v>3102</v>
      </c>
      <c r="LN100" s="561">
        <v>0</v>
      </c>
      <c r="LO100" s="561">
        <v>0</v>
      </c>
      <c r="LP100" s="561">
        <v>0</v>
      </c>
      <c r="LQ100" s="561">
        <v>0</v>
      </c>
      <c r="LR100" s="561">
        <v>19869</v>
      </c>
      <c r="LS100" s="561">
        <v>3157</v>
      </c>
      <c r="LT100" s="561">
        <v>0</v>
      </c>
      <c r="LU100" s="561">
        <v>4664</v>
      </c>
      <c r="LV100" s="561">
        <v>0</v>
      </c>
      <c r="LW100" s="561">
        <v>-20</v>
      </c>
      <c r="LX100" s="561">
        <v>0</v>
      </c>
      <c r="LY100" s="561">
        <v>0</v>
      </c>
      <c r="LZ100" s="561">
        <v>4644</v>
      </c>
      <c r="MA100" s="561">
        <v>0</v>
      </c>
      <c r="MB100" s="561">
        <v>0</v>
      </c>
      <c r="MC100" s="561">
        <v>0</v>
      </c>
      <c r="MD100" s="561">
        <v>0</v>
      </c>
      <c r="ME100" s="561">
        <v>0</v>
      </c>
      <c r="MF100" s="561">
        <v>0</v>
      </c>
      <c r="MG100" s="561">
        <v>0</v>
      </c>
      <c r="MH100" s="561">
        <v>0</v>
      </c>
      <c r="MI100" s="561">
        <v>0</v>
      </c>
      <c r="MJ100" s="561">
        <v>0</v>
      </c>
      <c r="MK100" s="561">
        <v>0</v>
      </c>
      <c r="ML100" s="561">
        <v>0</v>
      </c>
      <c r="MM100" s="561">
        <v>14000</v>
      </c>
      <c r="MN100" s="561">
        <v>2086</v>
      </c>
      <c r="MO100" s="561">
        <v>3038</v>
      </c>
      <c r="MP100" s="561">
        <v>745</v>
      </c>
      <c r="MQ100" s="561">
        <v>0</v>
      </c>
      <c r="MR100" s="561">
        <v>0</v>
      </c>
      <c r="MS100" s="561">
        <v>0</v>
      </c>
      <c r="MT100" s="561">
        <v>0</v>
      </c>
      <c r="MU100" s="561">
        <v>0</v>
      </c>
      <c r="MV100" s="561">
        <v>0</v>
      </c>
      <c r="MW100" s="561">
        <v>0</v>
      </c>
      <c r="MX100" s="561">
        <v>0</v>
      </c>
      <c r="MY100" s="561">
        <v>0</v>
      </c>
      <c r="MZ100" s="561">
        <v>0</v>
      </c>
      <c r="NA100" s="561">
        <v>68931</v>
      </c>
      <c r="NB100" s="561">
        <v>3020</v>
      </c>
      <c r="NC100" s="561">
        <v>0</v>
      </c>
      <c r="ND100" s="561">
        <v>71951</v>
      </c>
      <c r="NE100" s="561">
        <v>0</v>
      </c>
      <c r="NF100" s="561">
        <v>0</v>
      </c>
      <c r="NG100" s="561">
        <v>0</v>
      </c>
      <c r="NH100" s="561">
        <v>0</v>
      </c>
      <c r="NI100" s="561">
        <v>0</v>
      </c>
      <c r="NJ100" s="561">
        <v>0</v>
      </c>
      <c r="NK100" s="561">
        <v>0</v>
      </c>
      <c r="NL100" s="561">
        <v>0</v>
      </c>
      <c r="NM100" s="561">
        <v>0</v>
      </c>
      <c r="NN100" s="561">
        <v>0</v>
      </c>
      <c r="NO100" s="561">
        <v>0</v>
      </c>
      <c r="NP100" s="561">
        <v>0</v>
      </c>
      <c r="NQ100" s="561">
        <v>0</v>
      </c>
      <c r="NR100" s="561">
        <v>0</v>
      </c>
      <c r="NS100" s="561">
        <v>0</v>
      </c>
      <c r="NT100" s="561">
        <v>0</v>
      </c>
      <c r="NU100" s="561">
        <v>0</v>
      </c>
      <c r="NV100" s="561">
        <v>0</v>
      </c>
      <c r="NW100" s="561">
        <v>0</v>
      </c>
      <c r="NX100" s="561">
        <v>0</v>
      </c>
      <c r="NY100" s="561">
        <v>0</v>
      </c>
      <c r="NZ100" s="561">
        <v>0</v>
      </c>
      <c r="OA100" s="561">
        <v>0</v>
      </c>
      <c r="OB100" s="561">
        <v>0</v>
      </c>
      <c r="OC100" s="561">
        <v>0</v>
      </c>
      <c r="OD100" s="561">
        <v>0</v>
      </c>
      <c r="OE100" s="561">
        <v>0</v>
      </c>
      <c r="OF100" s="561">
        <v>0</v>
      </c>
      <c r="OG100" s="561">
        <v>0</v>
      </c>
      <c r="OH100" s="561">
        <v>0</v>
      </c>
      <c r="OI100" s="561">
        <v>0</v>
      </c>
      <c r="OJ100" s="561">
        <v>0</v>
      </c>
      <c r="OK100" s="561">
        <v>0</v>
      </c>
      <c r="OL100" s="561">
        <v>0</v>
      </c>
      <c r="OM100" s="561">
        <v>0</v>
      </c>
      <c r="ON100" s="561">
        <v>0</v>
      </c>
      <c r="OO100" s="561">
        <v>0</v>
      </c>
      <c r="OP100" s="561">
        <v>0</v>
      </c>
      <c r="OQ100" s="561">
        <v>0</v>
      </c>
      <c r="OR100" s="561">
        <v>0</v>
      </c>
      <c r="OS100" s="561">
        <v>0</v>
      </c>
      <c r="OT100" s="561">
        <v>0</v>
      </c>
      <c r="OU100" s="561">
        <v>0</v>
      </c>
      <c r="OV100" s="561">
        <v>0</v>
      </c>
      <c r="OW100" s="561">
        <v>0</v>
      </c>
      <c r="OX100" s="561">
        <v>0</v>
      </c>
      <c r="OY100" s="561">
        <v>0</v>
      </c>
      <c r="OZ100" s="561">
        <v>0</v>
      </c>
      <c r="PA100" s="561">
        <v>0</v>
      </c>
      <c r="PB100" s="561">
        <v>0</v>
      </c>
      <c r="PC100" s="561">
        <v>0</v>
      </c>
      <c r="PD100" s="561">
        <v>0</v>
      </c>
      <c r="PE100" s="561">
        <v>0</v>
      </c>
      <c r="PF100" s="561">
        <v>0</v>
      </c>
      <c r="PG100" s="561">
        <v>0</v>
      </c>
      <c r="PH100" s="561">
        <v>0</v>
      </c>
      <c r="PI100" s="561">
        <v>0</v>
      </c>
      <c r="PJ100" s="561">
        <v>0</v>
      </c>
    </row>
    <row r="101" spans="1:426" ht="14" x14ac:dyDescent="0.3">
      <c r="A101" t="s">
        <v>2735</v>
      </c>
      <c r="B101" t="s">
        <v>2736</v>
      </c>
      <c r="C101" t="s">
        <v>2737</v>
      </c>
      <c r="E101" t="s">
        <v>2466</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0</v>
      </c>
      <c r="W101" s="561">
        <v>0</v>
      </c>
      <c r="X101" s="561">
        <v>0</v>
      </c>
      <c r="Y101" s="561">
        <v>0</v>
      </c>
      <c r="Z101" s="561">
        <v>0</v>
      </c>
      <c r="AA101" s="561">
        <v>0</v>
      </c>
      <c r="AB101" s="561">
        <v>0</v>
      </c>
      <c r="AC101" s="561">
        <v>0</v>
      </c>
      <c r="AD101" s="561">
        <v>0</v>
      </c>
      <c r="AE101" s="561">
        <v>0</v>
      </c>
      <c r="AF101" s="561">
        <v>0</v>
      </c>
      <c r="AG101" s="561">
        <v>0</v>
      </c>
      <c r="AH101" s="561">
        <v>0</v>
      </c>
      <c r="AI101" s="561">
        <v>0</v>
      </c>
      <c r="AJ101" s="561">
        <v>0</v>
      </c>
      <c r="AK101" s="561">
        <v>0</v>
      </c>
      <c r="AL101" s="561">
        <v>0</v>
      </c>
      <c r="AM101" s="561">
        <v>0</v>
      </c>
      <c r="AN101" s="561">
        <v>0</v>
      </c>
      <c r="AO101" s="561">
        <v>0</v>
      </c>
      <c r="AP101" s="561">
        <v>0</v>
      </c>
      <c r="AQ101" s="561">
        <v>0</v>
      </c>
      <c r="AR101" s="561">
        <v>0</v>
      </c>
      <c r="AS101" s="561">
        <v>0</v>
      </c>
      <c r="AT101" s="561">
        <v>0</v>
      </c>
      <c r="AU101" s="561">
        <v>0</v>
      </c>
      <c r="AV101" s="561">
        <v>0</v>
      </c>
      <c r="AW101" s="561">
        <v>0</v>
      </c>
      <c r="AX101" s="561">
        <v>0</v>
      </c>
      <c r="AY101" s="561">
        <v>0</v>
      </c>
      <c r="AZ101" s="561">
        <v>0</v>
      </c>
      <c r="BA101" s="561">
        <v>0</v>
      </c>
      <c r="BB101" s="561">
        <v>0</v>
      </c>
      <c r="BC101" s="561">
        <v>0</v>
      </c>
      <c r="BD101" s="561">
        <v>0</v>
      </c>
      <c r="BE101" s="561">
        <v>0</v>
      </c>
      <c r="BF101" s="561">
        <v>0</v>
      </c>
      <c r="BG101" s="561">
        <v>0</v>
      </c>
      <c r="BH101" s="561">
        <v>0</v>
      </c>
      <c r="BI101" s="561">
        <v>0</v>
      </c>
      <c r="BJ101" s="561">
        <v>0</v>
      </c>
      <c r="BK101" s="561">
        <v>0</v>
      </c>
      <c r="BL101" s="561">
        <v>0</v>
      </c>
      <c r="BM101" s="561">
        <v>0</v>
      </c>
      <c r="BN101" s="561">
        <v>0</v>
      </c>
      <c r="BO101" s="561">
        <v>0</v>
      </c>
      <c r="BP101" s="561">
        <v>0</v>
      </c>
      <c r="BQ101" s="561">
        <v>0</v>
      </c>
      <c r="BR101" s="561">
        <v>0</v>
      </c>
      <c r="BS101" s="561">
        <v>0</v>
      </c>
      <c r="BT101" s="561">
        <v>0</v>
      </c>
      <c r="BU101" s="561">
        <v>0</v>
      </c>
      <c r="BV101" s="561">
        <v>0</v>
      </c>
      <c r="BW101" s="561">
        <v>0</v>
      </c>
      <c r="BX101" s="561">
        <v>0</v>
      </c>
      <c r="BY101" s="561">
        <v>0</v>
      </c>
      <c r="BZ101" s="561">
        <v>0</v>
      </c>
      <c r="CA101" s="561">
        <v>0</v>
      </c>
      <c r="CB101" s="561">
        <v>0</v>
      </c>
      <c r="CC101" s="561">
        <v>0</v>
      </c>
      <c r="CD101" s="561">
        <v>0</v>
      </c>
      <c r="CE101" s="561">
        <v>0</v>
      </c>
      <c r="CF101" s="561">
        <v>0</v>
      </c>
      <c r="CG101" s="561">
        <v>0</v>
      </c>
      <c r="CH101" s="561">
        <v>0</v>
      </c>
      <c r="CI101" s="561">
        <v>0</v>
      </c>
      <c r="CJ101" s="561">
        <v>0</v>
      </c>
      <c r="CK101" s="561">
        <v>0</v>
      </c>
      <c r="CL101" s="561">
        <v>0</v>
      </c>
      <c r="CM101" s="561">
        <v>0</v>
      </c>
      <c r="CN101" s="561">
        <v>0</v>
      </c>
      <c r="CO101" s="561">
        <v>0</v>
      </c>
      <c r="CP101" s="561">
        <v>0</v>
      </c>
      <c r="CQ101" s="561">
        <v>0</v>
      </c>
      <c r="CR101" s="561">
        <v>0</v>
      </c>
      <c r="CS101" s="561">
        <v>0</v>
      </c>
      <c r="CT101" s="561">
        <v>0</v>
      </c>
      <c r="CU101" s="561">
        <v>0</v>
      </c>
      <c r="CV101" s="561">
        <v>0</v>
      </c>
      <c r="CW101" s="561">
        <v>0</v>
      </c>
      <c r="CX101" s="561">
        <v>0</v>
      </c>
      <c r="CY101" s="561">
        <v>0</v>
      </c>
      <c r="CZ101" s="561">
        <v>0</v>
      </c>
      <c r="DA101" s="561">
        <v>0</v>
      </c>
      <c r="DB101" s="561">
        <v>0</v>
      </c>
      <c r="DC101" s="561">
        <v>0</v>
      </c>
      <c r="DD101" s="561">
        <v>0</v>
      </c>
      <c r="DE101" s="561">
        <v>0</v>
      </c>
      <c r="DF101" s="561">
        <v>0</v>
      </c>
      <c r="DG101" s="561">
        <v>0</v>
      </c>
      <c r="DH101" s="561">
        <v>0</v>
      </c>
      <c r="DI101" s="561">
        <v>0</v>
      </c>
      <c r="DJ101" s="561">
        <v>0</v>
      </c>
      <c r="DK101" s="561">
        <v>0</v>
      </c>
      <c r="DL101" s="561">
        <v>0</v>
      </c>
      <c r="DM101" s="561">
        <v>0</v>
      </c>
      <c r="DN101" s="561">
        <v>0</v>
      </c>
      <c r="DO101" s="561">
        <v>0</v>
      </c>
      <c r="DP101" s="561">
        <v>0</v>
      </c>
      <c r="DQ101" s="561">
        <v>0</v>
      </c>
      <c r="DR101" s="561">
        <v>0</v>
      </c>
      <c r="DS101" s="561">
        <v>0</v>
      </c>
      <c r="DT101" s="561">
        <v>0</v>
      </c>
      <c r="DU101" s="561">
        <v>0</v>
      </c>
      <c r="DV101" s="561">
        <v>0</v>
      </c>
      <c r="DW101" s="561">
        <v>0</v>
      </c>
      <c r="DX101" s="561">
        <v>0</v>
      </c>
      <c r="DY101" s="561">
        <v>0</v>
      </c>
      <c r="DZ101" s="561">
        <v>0</v>
      </c>
      <c r="EA101" s="561">
        <v>0</v>
      </c>
      <c r="EB101" s="561">
        <v>0</v>
      </c>
      <c r="EC101" s="561">
        <v>0</v>
      </c>
      <c r="ED101" s="561">
        <v>0</v>
      </c>
      <c r="EE101" s="561">
        <v>0</v>
      </c>
      <c r="EF101" s="561">
        <v>0</v>
      </c>
      <c r="EG101" s="561">
        <v>0</v>
      </c>
      <c r="EH101" s="561">
        <v>0</v>
      </c>
      <c r="EI101" s="561">
        <v>0</v>
      </c>
      <c r="EJ101" s="561">
        <v>0</v>
      </c>
      <c r="EK101" s="561">
        <v>0</v>
      </c>
      <c r="EL101" s="561">
        <v>0</v>
      </c>
      <c r="EM101" s="561">
        <v>0</v>
      </c>
      <c r="EN101" s="561">
        <v>0</v>
      </c>
      <c r="EO101" s="561">
        <v>0</v>
      </c>
      <c r="EP101" s="561">
        <v>0</v>
      </c>
      <c r="EQ101" s="561">
        <v>0</v>
      </c>
      <c r="ER101" s="561">
        <v>0</v>
      </c>
      <c r="ES101" s="561" t="s">
        <v>4565</v>
      </c>
      <c r="ET101" s="561">
        <v>0</v>
      </c>
      <c r="EU101" s="561">
        <v>0</v>
      </c>
      <c r="EV101" s="561">
        <v>0</v>
      </c>
      <c r="EW101" s="561">
        <v>0</v>
      </c>
      <c r="EX101" s="561">
        <v>0</v>
      </c>
      <c r="EY101" s="561">
        <v>0</v>
      </c>
      <c r="EZ101" s="561">
        <v>0</v>
      </c>
      <c r="FA101" s="561">
        <v>0</v>
      </c>
      <c r="FB101" s="561">
        <v>0</v>
      </c>
      <c r="FC101" s="561">
        <v>0</v>
      </c>
      <c r="FD101" s="561">
        <v>0</v>
      </c>
      <c r="FE101" s="561">
        <v>0</v>
      </c>
      <c r="FF101" s="561">
        <v>0</v>
      </c>
      <c r="FG101" s="561">
        <v>0</v>
      </c>
      <c r="FH101" s="561">
        <v>0</v>
      </c>
      <c r="FI101" s="561">
        <v>0</v>
      </c>
      <c r="FJ101" s="561">
        <v>0</v>
      </c>
      <c r="FK101" s="561">
        <v>0</v>
      </c>
      <c r="FL101" s="561">
        <v>0</v>
      </c>
      <c r="FM101" s="561">
        <v>0</v>
      </c>
      <c r="FN101" s="561">
        <v>0</v>
      </c>
      <c r="FO101" s="561">
        <v>0</v>
      </c>
      <c r="FP101" s="561">
        <v>0</v>
      </c>
      <c r="FQ101" s="561">
        <v>0</v>
      </c>
      <c r="FR101" s="561">
        <v>0</v>
      </c>
      <c r="FS101" s="561">
        <v>0</v>
      </c>
      <c r="FT101" s="561">
        <v>0</v>
      </c>
      <c r="FU101" s="561">
        <v>0</v>
      </c>
      <c r="FV101" s="561">
        <v>0</v>
      </c>
      <c r="FW101" s="561">
        <v>0</v>
      </c>
      <c r="FX101" s="561">
        <v>0</v>
      </c>
      <c r="FY101" s="561">
        <v>0</v>
      </c>
      <c r="FZ101" s="561">
        <v>0</v>
      </c>
      <c r="GA101" s="561">
        <v>0</v>
      </c>
      <c r="GB101" s="561">
        <v>0</v>
      </c>
      <c r="GC101" s="561">
        <v>0</v>
      </c>
      <c r="GD101" s="561">
        <v>0</v>
      </c>
      <c r="GE101" s="561">
        <v>0</v>
      </c>
      <c r="GF101" s="561">
        <v>0</v>
      </c>
      <c r="GG101" s="561">
        <v>0</v>
      </c>
      <c r="GH101" s="561">
        <v>0</v>
      </c>
      <c r="GI101" s="561">
        <v>0</v>
      </c>
      <c r="GJ101" s="561">
        <v>0</v>
      </c>
      <c r="GK101" s="561">
        <v>0</v>
      </c>
      <c r="GL101" s="561">
        <v>0</v>
      </c>
      <c r="GM101" s="561">
        <v>0</v>
      </c>
      <c r="GN101" s="561">
        <v>0</v>
      </c>
      <c r="GO101" s="561">
        <v>0</v>
      </c>
      <c r="GP101" s="561">
        <v>0</v>
      </c>
      <c r="GQ101" s="561">
        <v>0</v>
      </c>
      <c r="GR101" s="561">
        <v>0</v>
      </c>
      <c r="GS101" s="561">
        <v>0</v>
      </c>
      <c r="GT101" s="561">
        <v>0</v>
      </c>
      <c r="GU101" s="561">
        <v>0</v>
      </c>
      <c r="GV101" s="561">
        <v>0</v>
      </c>
      <c r="GW101" s="561">
        <v>0</v>
      </c>
      <c r="GX101" s="561">
        <v>0</v>
      </c>
      <c r="GY101" s="561">
        <v>0</v>
      </c>
      <c r="GZ101" s="561">
        <v>0</v>
      </c>
      <c r="HA101" s="561">
        <v>0</v>
      </c>
      <c r="HB101" s="561">
        <v>0</v>
      </c>
      <c r="HC101" s="561">
        <v>0</v>
      </c>
      <c r="HD101" s="561">
        <v>0</v>
      </c>
      <c r="HE101" s="561">
        <v>0</v>
      </c>
      <c r="HF101" s="561">
        <v>0</v>
      </c>
      <c r="HG101" s="561">
        <v>0</v>
      </c>
      <c r="HH101" s="561">
        <v>185326</v>
      </c>
      <c r="HI101" s="561">
        <v>723</v>
      </c>
      <c r="HJ101" s="561">
        <v>0</v>
      </c>
      <c r="HK101" s="561">
        <v>0</v>
      </c>
      <c r="HL101" s="561">
        <v>0</v>
      </c>
      <c r="HM101" s="561">
        <v>0</v>
      </c>
      <c r="HN101" s="561">
        <v>0</v>
      </c>
      <c r="HO101" s="561">
        <v>1648</v>
      </c>
      <c r="HP101" s="561">
        <v>0</v>
      </c>
      <c r="HQ101" s="561">
        <v>0</v>
      </c>
      <c r="HR101" s="561">
        <v>0</v>
      </c>
      <c r="HS101" s="561">
        <v>0</v>
      </c>
      <c r="HT101" s="561">
        <v>0</v>
      </c>
      <c r="HU101" s="561">
        <v>0</v>
      </c>
      <c r="HV101" s="561">
        <v>0</v>
      </c>
      <c r="HW101" s="561">
        <v>0</v>
      </c>
      <c r="HX101" s="561">
        <v>0</v>
      </c>
      <c r="HY101" s="561">
        <v>0</v>
      </c>
      <c r="HZ101" s="561">
        <v>0</v>
      </c>
      <c r="IA101" s="561">
        <v>0</v>
      </c>
      <c r="IB101" s="561">
        <v>0</v>
      </c>
      <c r="IC101" s="561">
        <v>0</v>
      </c>
      <c r="ID101" s="561">
        <v>0</v>
      </c>
      <c r="IE101" s="561">
        <v>0</v>
      </c>
      <c r="IF101" s="561">
        <v>0</v>
      </c>
      <c r="IG101" s="561">
        <v>0</v>
      </c>
      <c r="IH101" s="561">
        <v>0</v>
      </c>
      <c r="II101" s="561">
        <v>1648</v>
      </c>
      <c r="IJ101" s="561">
        <v>0</v>
      </c>
      <c r="IK101" s="561">
        <v>0</v>
      </c>
      <c r="IL101" s="561">
        <v>0</v>
      </c>
      <c r="IM101" s="561">
        <v>0</v>
      </c>
      <c r="IN101" s="561">
        <v>0</v>
      </c>
      <c r="IO101" s="561">
        <v>0</v>
      </c>
      <c r="IP101" s="561">
        <v>0</v>
      </c>
      <c r="IQ101" s="561">
        <v>0</v>
      </c>
      <c r="IR101" s="561">
        <v>0</v>
      </c>
      <c r="IS101" s="561">
        <v>0</v>
      </c>
      <c r="IT101" s="561">
        <v>0</v>
      </c>
      <c r="IU101" s="561">
        <v>0</v>
      </c>
      <c r="IV101" s="561">
        <v>0</v>
      </c>
      <c r="IW101" s="561">
        <v>0</v>
      </c>
      <c r="IX101" s="561">
        <v>0</v>
      </c>
      <c r="IY101" s="561">
        <v>0</v>
      </c>
      <c r="IZ101" s="561">
        <v>0</v>
      </c>
      <c r="JA101" s="561">
        <v>185326</v>
      </c>
      <c r="JB101" s="561">
        <v>0</v>
      </c>
      <c r="JC101" s="561">
        <v>1648</v>
      </c>
      <c r="JD101" s="561">
        <v>0</v>
      </c>
      <c r="JE101" s="561">
        <v>186974</v>
      </c>
      <c r="JF101" s="561">
        <v>0</v>
      </c>
      <c r="JG101" s="561">
        <v>0</v>
      </c>
      <c r="JH101" s="561">
        <v>0</v>
      </c>
      <c r="JI101" s="561">
        <v>0</v>
      </c>
      <c r="JJ101" s="561">
        <v>0</v>
      </c>
      <c r="JK101" s="561">
        <v>0</v>
      </c>
      <c r="JL101" s="561">
        <v>0</v>
      </c>
      <c r="JM101" s="561">
        <v>0</v>
      </c>
      <c r="JN101" s="561">
        <v>0</v>
      </c>
      <c r="JO101" s="561">
        <v>0</v>
      </c>
      <c r="JP101" s="561">
        <v>0</v>
      </c>
      <c r="JQ101" s="561">
        <v>0</v>
      </c>
      <c r="JR101" s="561">
        <v>0</v>
      </c>
      <c r="JS101" s="561">
        <v>0</v>
      </c>
      <c r="JT101" s="561">
        <v>0</v>
      </c>
      <c r="JU101" s="561">
        <v>0</v>
      </c>
      <c r="JV101" s="561">
        <v>186974</v>
      </c>
      <c r="JW101" s="561">
        <v>0</v>
      </c>
      <c r="JX101" s="561">
        <v>3239</v>
      </c>
      <c r="JY101" s="561">
        <v>0</v>
      </c>
      <c r="JZ101" s="561">
        <v>0</v>
      </c>
      <c r="KA101" s="561">
        <v>-947</v>
      </c>
      <c r="KB101" s="561">
        <v>0</v>
      </c>
      <c r="KC101" s="561">
        <v>4831</v>
      </c>
      <c r="KD101" s="561">
        <v>0</v>
      </c>
      <c r="KE101" s="561">
        <v>751</v>
      </c>
      <c r="KF101" s="561">
        <v>0</v>
      </c>
      <c r="KG101" s="561">
        <v>194848</v>
      </c>
      <c r="KH101" s="561">
        <v>-1057</v>
      </c>
      <c r="KI101" s="561">
        <v>0</v>
      </c>
      <c r="KJ101" s="561">
        <v>0</v>
      </c>
      <c r="KK101" s="561">
        <v>0</v>
      </c>
      <c r="KL101" s="561">
        <v>0</v>
      </c>
      <c r="KM101" s="561">
        <v>0</v>
      </c>
      <c r="KN101" s="561">
        <v>0</v>
      </c>
      <c r="KO101" s="561">
        <v>0</v>
      </c>
      <c r="KP101" s="561">
        <v>0</v>
      </c>
      <c r="KQ101" s="561">
        <v>0</v>
      </c>
      <c r="KR101" s="561">
        <v>193791</v>
      </c>
      <c r="KS101" s="561">
        <v>0</v>
      </c>
      <c r="KT101" s="561">
        <v>-23794</v>
      </c>
      <c r="KU101" s="561">
        <v>169997</v>
      </c>
      <c r="KV101" s="561">
        <v>0</v>
      </c>
      <c r="KW101" s="561">
        <v>0</v>
      </c>
      <c r="KX101" s="561">
        <v>0</v>
      </c>
      <c r="KY101" s="561">
        <v>0</v>
      </c>
      <c r="KZ101" s="561">
        <v>1558</v>
      </c>
      <c r="LA101" s="561">
        <v>320</v>
      </c>
      <c r="LB101" s="561">
        <v>0</v>
      </c>
      <c r="LC101" s="561">
        <v>-83213</v>
      </c>
      <c r="LD101" s="561">
        <v>0</v>
      </c>
      <c r="LE101" s="561">
        <v>-532</v>
      </c>
      <c r="LF101" s="561">
        <v>0</v>
      </c>
      <c r="LG101" s="561">
        <v>88130</v>
      </c>
      <c r="LH101" s="561">
        <v>0</v>
      </c>
      <c r="LI101" s="561">
        <v>0</v>
      </c>
      <c r="LJ101" s="561">
        <v>0</v>
      </c>
      <c r="LK101" s="561">
        <v>0</v>
      </c>
      <c r="LL101" s="561">
        <v>3754</v>
      </c>
      <c r="LM101" s="561">
        <v>5778</v>
      </c>
      <c r="LN101" s="561">
        <v>0</v>
      </c>
      <c r="LO101" s="561">
        <v>0</v>
      </c>
      <c r="LP101" s="561">
        <v>0</v>
      </c>
      <c r="LQ101" s="561">
        <v>0</v>
      </c>
      <c r="LR101" s="561">
        <v>5312</v>
      </c>
      <c r="LS101" s="561">
        <v>6098</v>
      </c>
      <c r="LT101" s="561">
        <v>0</v>
      </c>
      <c r="LU101" s="561">
        <v>0</v>
      </c>
      <c r="LV101" s="561">
        <v>0</v>
      </c>
      <c r="LW101" s="561">
        <v>0</v>
      </c>
      <c r="LX101" s="561">
        <v>0</v>
      </c>
      <c r="LY101" s="561">
        <v>0</v>
      </c>
      <c r="LZ101" s="561">
        <v>0</v>
      </c>
      <c r="MA101" s="561">
        <v>0</v>
      </c>
      <c r="MB101" s="561">
        <v>0</v>
      </c>
      <c r="MC101" s="561">
        <v>0</v>
      </c>
      <c r="MD101" s="561">
        <v>0</v>
      </c>
      <c r="ME101" s="561">
        <v>0</v>
      </c>
      <c r="MF101" s="561">
        <v>0</v>
      </c>
      <c r="MG101" s="561">
        <v>0</v>
      </c>
      <c r="MH101" s="561">
        <v>0</v>
      </c>
      <c r="MI101" s="561">
        <v>0</v>
      </c>
      <c r="MJ101" s="561">
        <v>0</v>
      </c>
      <c r="MK101" s="561">
        <v>0</v>
      </c>
      <c r="ML101" s="561">
        <v>0</v>
      </c>
      <c r="MM101" s="561">
        <v>5312</v>
      </c>
      <c r="MN101" s="561">
        <v>0</v>
      </c>
      <c r="MO101" s="561">
        <v>0</v>
      </c>
      <c r="MP101" s="561">
        <v>0</v>
      </c>
      <c r="MQ101" s="561">
        <v>0</v>
      </c>
      <c r="MR101" s="561">
        <v>0</v>
      </c>
      <c r="MS101" s="561">
        <v>0</v>
      </c>
      <c r="MT101" s="561">
        <v>0</v>
      </c>
      <c r="MU101" s="561">
        <v>0</v>
      </c>
      <c r="MV101" s="561">
        <v>0</v>
      </c>
      <c r="MW101" s="561">
        <v>0</v>
      </c>
      <c r="MX101" s="561">
        <v>0</v>
      </c>
      <c r="MY101" s="561">
        <v>0</v>
      </c>
      <c r="MZ101" s="561">
        <v>185326</v>
      </c>
      <c r="NA101" s="561">
        <v>0</v>
      </c>
      <c r="NB101" s="561">
        <v>1648</v>
      </c>
      <c r="NC101" s="561">
        <v>0</v>
      </c>
      <c r="ND101" s="561">
        <v>186974</v>
      </c>
      <c r="NE101" s="561">
        <v>0</v>
      </c>
      <c r="NF101" s="561">
        <v>0</v>
      </c>
      <c r="NG101" s="561">
        <v>0</v>
      </c>
      <c r="NH101" s="561">
        <v>0</v>
      </c>
      <c r="NI101" s="561">
        <v>0</v>
      </c>
      <c r="NJ101" s="561">
        <v>0</v>
      </c>
      <c r="NK101" s="561">
        <v>0</v>
      </c>
      <c r="NL101" s="561">
        <v>0</v>
      </c>
      <c r="NM101" s="561">
        <v>0</v>
      </c>
      <c r="NN101" s="561">
        <v>0</v>
      </c>
      <c r="NO101" s="561">
        <v>0</v>
      </c>
      <c r="NP101" s="561">
        <v>0</v>
      </c>
      <c r="NQ101" s="561">
        <v>0</v>
      </c>
      <c r="NR101" s="561">
        <v>0</v>
      </c>
      <c r="NS101" s="561">
        <v>0</v>
      </c>
      <c r="NT101" s="561">
        <v>0</v>
      </c>
      <c r="NU101" s="561">
        <v>0</v>
      </c>
      <c r="NV101" s="561">
        <v>0</v>
      </c>
      <c r="NW101" s="561">
        <v>0</v>
      </c>
      <c r="NX101" s="561">
        <v>0</v>
      </c>
      <c r="NY101" s="561">
        <v>0</v>
      </c>
      <c r="NZ101" s="561">
        <v>0</v>
      </c>
      <c r="OA101" s="561">
        <v>0</v>
      </c>
      <c r="OB101" s="561">
        <v>0</v>
      </c>
      <c r="OC101" s="561">
        <v>0</v>
      </c>
      <c r="OD101" s="561">
        <v>0</v>
      </c>
      <c r="OE101" s="561">
        <v>0</v>
      </c>
      <c r="OF101" s="561">
        <v>0</v>
      </c>
      <c r="OG101" s="561">
        <v>0</v>
      </c>
      <c r="OH101" s="561">
        <v>0</v>
      </c>
      <c r="OI101" s="561">
        <v>0</v>
      </c>
      <c r="OJ101" s="561">
        <v>0</v>
      </c>
      <c r="OK101" s="561">
        <v>0</v>
      </c>
      <c r="OL101" s="561">
        <v>0</v>
      </c>
      <c r="OM101" s="561">
        <v>0</v>
      </c>
      <c r="ON101" s="561">
        <v>0</v>
      </c>
      <c r="OO101" s="561">
        <v>0</v>
      </c>
      <c r="OP101" s="561">
        <v>0</v>
      </c>
      <c r="OQ101" s="561">
        <v>0</v>
      </c>
      <c r="OR101" s="561">
        <v>0</v>
      </c>
      <c r="OS101" s="561">
        <v>0</v>
      </c>
      <c r="OT101" s="561">
        <v>0</v>
      </c>
      <c r="OU101" s="561">
        <v>0</v>
      </c>
      <c r="OV101" s="561">
        <v>0</v>
      </c>
      <c r="OW101" s="561">
        <v>0</v>
      </c>
      <c r="OX101" s="561">
        <v>0</v>
      </c>
      <c r="OY101" s="561">
        <v>0</v>
      </c>
      <c r="OZ101" s="561">
        <v>0</v>
      </c>
      <c r="PA101" s="561">
        <v>0</v>
      </c>
      <c r="PB101" s="561">
        <v>0</v>
      </c>
      <c r="PC101" s="561">
        <v>0</v>
      </c>
      <c r="PD101" s="561">
        <v>0</v>
      </c>
      <c r="PE101" s="561">
        <v>0</v>
      </c>
      <c r="PF101" s="561">
        <v>0</v>
      </c>
      <c r="PG101" s="561">
        <v>0</v>
      </c>
      <c r="PH101" s="561">
        <v>0</v>
      </c>
      <c r="PI101" s="561">
        <v>0</v>
      </c>
      <c r="PJ101" s="561">
        <v>0</v>
      </c>
    </row>
    <row r="102" spans="1:426" ht="14" x14ac:dyDescent="0.3">
      <c r="A102" t="s">
        <v>2738</v>
      </c>
      <c r="B102" t="s">
        <v>2739</v>
      </c>
      <c r="C102" t="s">
        <v>2740</v>
      </c>
      <c r="E102" t="s">
        <v>385</v>
      </c>
      <c r="F102" s="561">
        <v>32695</v>
      </c>
      <c r="G102" s="561">
        <v>37269</v>
      </c>
      <c r="H102" s="561">
        <v>72169</v>
      </c>
      <c r="I102" s="561">
        <v>49512</v>
      </c>
      <c r="J102" s="561">
        <v>0</v>
      </c>
      <c r="K102" s="561">
        <v>89489</v>
      </c>
      <c r="L102" s="561">
        <v>281134</v>
      </c>
      <c r="M102" s="561">
        <v>1131</v>
      </c>
      <c r="N102" s="561">
        <v>3793</v>
      </c>
      <c r="O102" s="561">
        <v>0</v>
      </c>
      <c r="P102" s="561">
        <v>-62</v>
      </c>
      <c r="Q102" s="561">
        <v>0</v>
      </c>
      <c r="R102" s="561">
        <v>477</v>
      </c>
      <c r="S102" s="561">
        <v>8750</v>
      </c>
      <c r="T102" s="561">
        <v>0</v>
      </c>
      <c r="U102" s="561">
        <v>978</v>
      </c>
      <c r="V102" s="561">
        <v>2888</v>
      </c>
      <c r="W102" s="561">
        <v>0</v>
      </c>
      <c r="X102" s="561">
        <v>0</v>
      </c>
      <c r="Y102" s="561">
        <v>322</v>
      </c>
      <c r="Z102" s="561">
        <v>1039</v>
      </c>
      <c r="AA102" s="561">
        <v>37</v>
      </c>
      <c r="AB102" s="561">
        <v>-6512</v>
      </c>
      <c r="AC102" s="561">
        <v>3299</v>
      </c>
      <c r="AD102" s="561">
        <v>0</v>
      </c>
      <c r="AE102" s="561">
        <v>0</v>
      </c>
      <c r="AF102" s="561">
        <v>0</v>
      </c>
      <c r="AG102" s="561">
        <v>0</v>
      </c>
      <c r="AH102" s="561">
        <v>1931</v>
      </c>
      <c r="AI102" s="561">
        <v>-1156</v>
      </c>
      <c r="AJ102" s="561">
        <v>15784</v>
      </c>
      <c r="AK102" s="561">
        <v>296</v>
      </c>
      <c r="AL102" s="561">
        <v>0</v>
      </c>
      <c r="AM102" s="561">
        <v>0</v>
      </c>
      <c r="AN102" s="561">
        <v>0</v>
      </c>
      <c r="AO102" s="561">
        <v>0</v>
      </c>
      <c r="AP102" s="561">
        <v>0</v>
      </c>
      <c r="AQ102" s="561">
        <v>0</v>
      </c>
      <c r="AR102" s="561">
        <v>0</v>
      </c>
      <c r="AS102" s="561">
        <v>596</v>
      </c>
      <c r="AT102" s="561">
        <v>2204</v>
      </c>
      <c r="AU102" s="561">
        <v>0</v>
      </c>
      <c r="AV102" s="561">
        <v>0</v>
      </c>
      <c r="AW102" s="561">
        <v>0</v>
      </c>
      <c r="AX102" s="561">
        <v>613</v>
      </c>
      <c r="AY102" s="561">
        <v>49476</v>
      </c>
      <c r="AZ102" s="561">
        <v>0</v>
      </c>
      <c r="BA102" s="561">
        <v>14379</v>
      </c>
      <c r="BB102" s="561">
        <v>548</v>
      </c>
      <c r="BC102" s="561">
        <v>26136</v>
      </c>
      <c r="BD102" s="561">
        <v>4724</v>
      </c>
      <c r="BE102" s="561">
        <v>1959</v>
      </c>
      <c r="BF102" s="561">
        <v>97835</v>
      </c>
      <c r="BG102" s="561">
        <v>5350</v>
      </c>
      <c r="BH102" s="561">
        <v>10871</v>
      </c>
      <c r="BI102" s="561">
        <v>56848</v>
      </c>
      <c r="BJ102" s="561">
        <v>173</v>
      </c>
      <c r="BK102" s="561">
        <v>213</v>
      </c>
      <c r="BL102" s="561">
        <v>1101</v>
      </c>
      <c r="BM102" s="561">
        <v>19129</v>
      </c>
      <c r="BN102" s="561">
        <v>49592</v>
      </c>
      <c r="BO102" s="561">
        <v>5797</v>
      </c>
      <c r="BP102" s="561">
        <v>12869</v>
      </c>
      <c r="BQ102" s="561">
        <v>6193</v>
      </c>
      <c r="BR102" s="561">
        <v>0</v>
      </c>
      <c r="BS102" s="561">
        <v>1454</v>
      </c>
      <c r="BT102" s="561">
        <v>2131</v>
      </c>
      <c r="BU102" s="561">
        <v>19</v>
      </c>
      <c r="BV102" s="561">
        <v>814</v>
      </c>
      <c r="BW102" s="561">
        <v>20054</v>
      </c>
      <c r="BX102" s="561">
        <v>288</v>
      </c>
      <c r="BY102" s="561">
        <v>9142</v>
      </c>
      <c r="BZ102" s="561">
        <v>196688</v>
      </c>
      <c r="CA102" s="561">
        <v>1816</v>
      </c>
      <c r="CB102" s="561">
        <v>1683</v>
      </c>
      <c r="CC102" s="561">
        <v>805</v>
      </c>
      <c r="CD102" s="561">
        <v>386</v>
      </c>
      <c r="CE102" s="561">
        <v>236</v>
      </c>
      <c r="CF102" s="561">
        <v>113</v>
      </c>
      <c r="CG102" s="561">
        <v>43</v>
      </c>
      <c r="CH102" s="561">
        <v>668</v>
      </c>
      <c r="CI102" s="561">
        <v>378</v>
      </c>
      <c r="CJ102" s="561">
        <v>22</v>
      </c>
      <c r="CK102" s="561">
        <v>295</v>
      </c>
      <c r="CL102" s="561">
        <v>303</v>
      </c>
      <c r="CM102" s="561">
        <v>4350</v>
      </c>
      <c r="CN102" s="561">
        <v>192</v>
      </c>
      <c r="CO102" s="561">
        <v>154</v>
      </c>
      <c r="CP102" s="561">
        <v>34</v>
      </c>
      <c r="CQ102" s="561">
        <v>137</v>
      </c>
      <c r="CR102" s="561">
        <v>538</v>
      </c>
      <c r="CS102" s="561">
        <v>16</v>
      </c>
      <c r="CT102" s="561">
        <v>641</v>
      </c>
      <c r="CU102" s="561">
        <v>2597</v>
      </c>
      <c r="CV102" s="561">
        <v>2702</v>
      </c>
      <c r="CW102" s="561">
        <v>31</v>
      </c>
      <c r="CX102" s="561">
        <v>117</v>
      </c>
      <c r="CY102" s="561">
        <v>1609</v>
      </c>
      <c r="CZ102" s="561">
        <v>18050</v>
      </c>
      <c r="DA102" s="561">
        <v>101</v>
      </c>
      <c r="DB102" s="561">
        <v>0</v>
      </c>
      <c r="DC102" s="561">
        <v>0</v>
      </c>
      <c r="DD102" s="561">
        <v>0</v>
      </c>
      <c r="DE102" s="561">
        <v>0</v>
      </c>
      <c r="DF102" s="561">
        <v>0</v>
      </c>
      <c r="DG102" s="561">
        <v>0</v>
      </c>
      <c r="DH102" s="561">
        <v>5581</v>
      </c>
      <c r="DI102" s="561">
        <v>0</v>
      </c>
      <c r="DJ102" s="561">
        <v>7</v>
      </c>
      <c r="DK102" s="561">
        <v>25</v>
      </c>
      <c r="DL102" s="561">
        <v>105</v>
      </c>
      <c r="DM102" s="561">
        <v>0</v>
      </c>
      <c r="DN102" s="561">
        <v>2246</v>
      </c>
      <c r="DO102" s="561">
        <v>483</v>
      </c>
      <c r="DP102" s="561">
        <v>0</v>
      </c>
      <c r="DQ102" s="561">
        <v>0</v>
      </c>
      <c r="DR102" s="561">
        <v>0</v>
      </c>
      <c r="DS102" s="561">
        <v>2942</v>
      </c>
      <c r="DT102" s="561">
        <v>0</v>
      </c>
      <c r="DU102" s="561">
        <v>5776</v>
      </c>
      <c r="DV102" s="561">
        <v>0</v>
      </c>
      <c r="DW102" s="561">
        <v>556</v>
      </c>
      <c r="DX102" s="561">
        <v>0</v>
      </c>
      <c r="DY102" s="561">
        <v>-3297</v>
      </c>
      <c r="DZ102" s="561">
        <v>159</v>
      </c>
      <c r="EA102" s="561">
        <v>0</v>
      </c>
      <c r="EB102" s="561">
        <v>2680</v>
      </c>
      <c r="EC102" s="561">
        <v>11487</v>
      </c>
      <c r="ED102" s="561">
        <v>489</v>
      </c>
      <c r="EE102" s="561">
        <v>0</v>
      </c>
      <c r="EF102" s="561">
        <v>0</v>
      </c>
      <c r="EG102" s="561">
        <v>0</v>
      </c>
      <c r="EH102" s="561">
        <v>0</v>
      </c>
      <c r="EI102" s="561">
        <v>0</v>
      </c>
      <c r="EJ102" s="561">
        <v>0</v>
      </c>
      <c r="EK102" s="561">
        <v>0</v>
      </c>
      <c r="EL102" s="561">
        <v>0</v>
      </c>
      <c r="EM102" s="561">
        <v>0</v>
      </c>
      <c r="EN102" s="561">
        <v>0</v>
      </c>
      <c r="EO102" s="561">
        <v>0</v>
      </c>
      <c r="EP102" s="561">
        <v>0</v>
      </c>
      <c r="EQ102" s="561">
        <v>0</v>
      </c>
      <c r="ER102" s="561">
        <v>0</v>
      </c>
      <c r="ES102" s="561" t="s">
        <v>4565</v>
      </c>
      <c r="ET102" s="561">
        <v>0</v>
      </c>
      <c r="EU102" s="561">
        <v>0</v>
      </c>
      <c r="EV102" s="561">
        <v>0</v>
      </c>
      <c r="EW102" s="561">
        <v>0</v>
      </c>
      <c r="EX102" s="561">
        <v>0</v>
      </c>
      <c r="EY102" s="561">
        <v>0</v>
      </c>
      <c r="EZ102" s="561">
        <v>0</v>
      </c>
      <c r="FA102" s="561">
        <v>0</v>
      </c>
      <c r="FB102" s="561">
        <v>484</v>
      </c>
      <c r="FC102" s="561">
        <v>510</v>
      </c>
      <c r="FD102" s="561">
        <v>53</v>
      </c>
      <c r="FE102" s="561">
        <v>567</v>
      </c>
      <c r="FF102" s="561">
        <v>0</v>
      </c>
      <c r="FG102" s="561">
        <v>669</v>
      </c>
      <c r="FH102" s="561">
        <v>19</v>
      </c>
      <c r="FI102" s="561">
        <v>716</v>
      </c>
      <c r="FJ102" s="561">
        <v>1848</v>
      </c>
      <c r="FK102" s="561">
        <v>7138</v>
      </c>
      <c r="FL102" s="561">
        <v>0</v>
      </c>
      <c r="FM102" s="561">
        <v>-1684</v>
      </c>
      <c r="FN102" s="561">
        <v>4824</v>
      </c>
      <c r="FO102" s="561">
        <v>15144</v>
      </c>
      <c r="FP102" s="561">
        <v>0</v>
      </c>
      <c r="FQ102" s="561">
        <v>-769</v>
      </c>
      <c r="FR102" s="561">
        <v>904</v>
      </c>
      <c r="FS102" s="561">
        <v>9</v>
      </c>
      <c r="FT102" s="561">
        <v>832</v>
      </c>
      <c r="FU102" s="561">
        <v>74</v>
      </c>
      <c r="FV102" s="561">
        <v>691</v>
      </c>
      <c r="FW102" s="561">
        <v>-19</v>
      </c>
      <c r="FX102" s="561">
        <v>6</v>
      </c>
      <c r="FY102" s="561">
        <v>0</v>
      </c>
      <c r="FZ102" s="561">
        <v>0</v>
      </c>
      <c r="GA102" s="561">
        <v>648</v>
      </c>
      <c r="GB102" s="561">
        <v>1215</v>
      </c>
      <c r="GC102" s="561">
        <v>-386</v>
      </c>
      <c r="GD102" s="561">
        <v>282</v>
      </c>
      <c r="GE102" s="561">
        <v>3076</v>
      </c>
      <c r="GF102" s="561">
        <v>378</v>
      </c>
      <c r="GG102" s="561">
        <v>617</v>
      </c>
      <c r="GH102" s="561">
        <v>56</v>
      </c>
      <c r="GI102" s="561">
        <v>110</v>
      </c>
      <c r="GJ102" s="561">
        <v>1386</v>
      </c>
      <c r="GK102" s="561">
        <v>-319</v>
      </c>
      <c r="GL102" s="561">
        <v>2523</v>
      </c>
      <c r="GM102" s="561">
        <v>13512</v>
      </c>
      <c r="GN102" s="561">
        <v>16075</v>
      </c>
      <c r="GO102" s="561">
        <v>-1391</v>
      </c>
      <c r="GP102" s="561">
        <v>3536</v>
      </c>
      <c r="GQ102" s="561">
        <v>590</v>
      </c>
      <c r="GR102" s="561">
        <v>-31</v>
      </c>
      <c r="GS102" s="561">
        <v>43605</v>
      </c>
      <c r="GT102" s="561">
        <v>1879</v>
      </c>
      <c r="GU102" s="561">
        <v>757</v>
      </c>
      <c r="GV102" s="561">
        <v>4301</v>
      </c>
      <c r="GW102" s="561">
        <v>915</v>
      </c>
      <c r="GX102" s="561">
        <v>5517</v>
      </c>
      <c r="GY102" s="561">
        <v>2055</v>
      </c>
      <c r="GZ102" s="561">
        <v>6599</v>
      </c>
      <c r="HA102" s="561">
        <v>-4</v>
      </c>
      <c r="HB102" s="561">
        <v>0</v>
      </c>
      <c r="HC102" s="561">
        <v>683</v>
      </c>
      <c r="HD102" s="561">
        <v>20823</v>
      </c>
      <c r="HE102" s="561">
        <v>88</v>
      </c>
      <c r="HF102" s="561">
        <v>79572</v>
      </c>
      <c r="HG102" s="561">
        <v>1966</v>
      </c>
      <c r="HH102" s="561">
        <v>0</v>
      </c>
      <c r="HI102" s="561">
        <v>0</v>
      </c>
      <c r="HJ102" s="561">
        <v>0</v>
      </c>
      <c r="HK102" s="561">
        <v>0</v>
      </c>
      <c r="HL102" s="561">
        <v>0</v>
      </c>
      <c r="HM102" s="561">
        <v>0</v>
      </c>
      <c r="HN102" s="561">
        <v>0</v>
      </c>
      <c r="HO102" s="561">
        <v>7491</v>
      </c>
      <c r="HP102" s="561">
        <v>5175</v>
      </c>
      <c r="HQ102" s="561">
        <v>0</v>
      </c>
      <c r="HR102" s="561">
        <v>0</v>
      </c>
      <c r="HS102" s="561">
        <v>843</v>
      </c>
      <c r="HT102" s="561">
        <v>1150</v>
      </c>
      <c r="HU102" s="561">
        <v>0</v>
      </c>
      <c r="HV102" s="561">
        <v>165</v>
      </c>
      <c r="HW102" s="561">
        <v>157</v>
      </c>
      <c r="HX102" s="561">
        <v>831</v>
      </c>
      <c r="HY102" s="561">
        <v>449</v>
      </c>
      <c r="HZ102" s="561">
        <v>-310</v>
      </c>
      <c r="IA102" s="561">
        <v>0</v>
      </c>
      <c r="IB102" s="561">
        <v>1325</v>
      </c>
      <c r="IC102" s="561">
        <v>1261</v>
      </c>
      <c r="ID102" s="561">
        <v>0</v>
      </c>
      <c r="IE102" s="561">
        <v>6975</v>
      </c>
      <c r="IF102" s="561">
        <v>0</v>
      </c>
      <c r="IG102" s="561">
        <v>417</v>
      </c>
      <c r="IH102" s="561">
        <v>-22869</v>
      </c>
      <c r="II102" s="561">
        <v>3060</v>
      </c>
      <c r="IJ102" s="561">
        <v>455</v>
      </c>
      <c r="IK102" s="561">
        <v>21190</v>
      </c>
      <c r="IL102" s="561">
        <v>19717</v>
      </c>
      <c r="IM102" s="561">
        <v>0</v>
      </c>
      <c r="IN102" s="561">
        <v>0</v>
      </c>
      <c r="IO102" s="561">
        <v>2751</v>
      </c>
      <c r="IP102" s="561">
        <v>17574</v>
      </c>
      <c r="IQ102" s="561">
        <v>1034</v>
      </c>
      <c r="IR102" s="561">
        <v>281134</v>
      </c>
      <c r="IS102" s="561">
        <v>15784</v>
      </c>
      <c r="IT102" s="561">
        <v>97835</v>
      </c>
      <c r="IU102" s="561">
        <v>196688</v>
      </c>
      <c r="IV102" s="561">
        <v>18050</v>
      </c>
      <c r="IW102" s="561">
        <v>11487</v>
      </c>
      <c r="IX102" s="561">
        <v>15144</v>
      </c>
      <c r="IY102" s="561">
        <v>43605</v>
      </c>
      <c r="IZ102" s="561">
        <v>20823</v>
      </c>
      <c r="JA102" s="561">
        <v>0</v>
      </c>
      <c r="JB102" s="561">
        <v>0</v>
      </c>
      <c r="JC102" s="561">
        <v>3060</v>
      </c>
      <c r="JD102" s="561">
        <v>17574</v>
      </c>
      <c r="JE102" s="561">
        <v>721184</v>
      </c>
      <c r="JF102" s="561">
        <v>62943</v>
      </c>
      <c r="JG102" s="561">
        <v>3714</v>
      </c>
      <c r="JH102" s="561">
        <v>0</v>
      </c>
      <c r="JI102" s="561">
        <v>0</v>
      </c>
      <c r="JJ102" s="561">
        <v>0</v>
      </c>
      <c r="JK102" s="561">
        <v>18762</v>
      </c>
      <c r="JL102" s="561">
        <v>0</v>
      </c>
      <c r="JM102" s="561">
        <v>0</v>
      </c>
      <c r="JN102" s="561">
        <v>0</v>
      </c>
      <c r="JO102" s="561">
        <v>210</v>
      </c>
      <c r="JP102" s="561">
        <v>2947</v>
      </c>
      <c r="JQ102" s="561">
        <v>1489</v>
      </c>
      <c r="JR102" s="561">
        <v>-3699</v>
      </c>
      <c r="JS102" s="561">
        <v>-3788</v>
      </c>
      <c r="JT102" s="561">
        <v>313</v>
      </c>
      <c r="JU102" s="561">
        <v>0</v>
      </c>
      <c r="JV102" s="561">
        <v>804075</v>
      </c>
      <c r="JW102" s="561">
        <v>582</v>
      </c>
      <c r="JX102" s="561">
        <v>1191</v>
      </c>
      <c r="JY102" s="561">
        <v>0</v>
      </c>
      <c r="JZ102" s="561">
        <v>-1136</v>
      </c>
      <c r="KA102" s="561">
        <v>0</v>
      </c>
      <c r="KB102" s="561">
        <v>-1476</v>
      </c>
      <c r="KC102" s="561">
        <v>12724</v>
      </c>
      <c r="KD102" s="561">
        <v>-13</v>
      </c>
      <c r="KE102" s="561">
        <v>9821</v>
      </c>
      <c r="KF102" s="561">
        <v>0</v>
      </c>
      <c r="KG102" s="561">
        <v>825768</v>
      </c>
      <c r="KH102" s="561">
        <v>-6394</v>
      </c>
      <c r="KI102" s="561">
        <v>0</v>
      </c>
      <c r="KJ102" s="561">
        <v>467</v>
      </c>
      <c r="KK102" s="561">
        <v>0</v>
      </c>
      <c r="KL102" s="561">
        <v>-66575</v>
      </c>
      <c r="KM102" s="561">
        <v>0</v>
      </c>
      <c r="KN102" s="561">
        <v>-4144</v>
      </c>
      <c r="KO102" s="561">
        <v>0</v>
      </c>
      <c r="KP102" s="561">
        <v>0</v>
      </c>
      <c r="KQ102" s="561">
        <v>-36057</v>
      </c>
      <c r="KR102" s="561">
        <v>713065</v>
      </c>
      <c r="KS102" s="561">
        <v>0</v>
      </c>
      <c r="KT102" s="561">
        <v>-300094.26</v>
      </c>
      <c r="KU102" s="561">
        <v>412970.74</v>
      </c>
      <c r="KV102" s="561">
        <v>0</v>
      </c>
      <c r="KW102" s="561">
        <v>1039</v>
      </c>
      <c r="KX102" s="561">
        <v>4595</v>
      </c>
      <c r="KY102" s="561">
        <v>-1315</v>
      </c>
      <c r="KZ102" s="561">
        <v>-11141</v>
      </c>
      <c r="LA102" s="561">
        <v>-6054</v>
      </c>
      <c r="LB102" s="561">
        <v>-698</v>
      </c>
      <c r="LC102" s="561">
        <v>0</v>
      </c>
      <c r="LD102" s="561">
        <v>-68132</v>
      </c>
      <c r="LE102" s="561">
        <v>-4438</v>
      </c>
      <c r="LF102" s="561">
        <v>-188</v>
      </c>
      <c r="LG102" s="561">
        <v>326639</v>
      </c>
      <c r="LH102" s="561">
        <v>7089</v>
      </c>
      <c r="LI102" s="561">
        <v>-59573</v>
      </c>
      <c r="LJ102" s="561">
        <v>12900</v>
      </c>
      <c r="LK102" s="561">
        <v>2663</v>
      </c>
      <c r="LL102" s="561">
        <v>106310</v>
      </c>
      <c r="LM102" s="561">
        <v>37686</v>
      </c>
      <c r="LN102" s="561">
        <v>8128</v>
      </c>
      <c r="LO102" s="561">
        <v>-95630</v>
      </c>
      <c r="LP102" s="561">
        <v>17495</v>
      </c>
      <c r="LQ102" s="561">
        <v>1348</v>
      </c>
      <c r="LR102" s="561">
        <v>95169</v>
      </c>
      <c r="LS102" s="561">
        <v>31632</v>
      </c>
      <c r="LT102" s="561">
        <v>0</v>
      </c>
      <c r="LU102" s="561">
        <v>43253.4</v>
      </c>
      <c r="LV102" s="561">
        <v>6828.54</v>
      </c>
      <c r="LW102" s="561">
        <v>-13777</v>
      </c>
      <c r="LX102" s="561">
        <v>-64344</v>
      </c>
      <c r="LY102" s="561">
        <v>18585</v>
      </c>
      <c r="LZ102" s="561">
        <v>-9454.06</v>
      </c>
      <c r="MA102" s="561">
        <v>0</v>
      </c>
      <c r="MB102" s="561">
        <v>0</v>
      </c>
      <c r="MC102" s="561">
        <v>0</v>
      </c>
      <c r="MD102" s="561">
        <v>0</v>
      </c>
      <c r="ME102" s="561">
        <v>0</v>
      </c>
      <c r="MF102" s="561">
        <v>0</v>
      </c>
      <c r="MG102" s="561">
        <v>0</v>
      </c>
      <c r="MH102" s="561">
        <v>14153</v>
      </c>
      <c r="MI102" s="561">
        <v>17220</v>
      </c>
      <c r="MJ102" s="561">
        <v>31373</v>
      </c>
      <c r="MK102" s="561">
        <v>0</v>
      </c>
      <c r="ML102" s="561">
        <v>5322</v>
      </c>
      <c r="MM102" s="561">
        <v>8702</v>
      </c>
      <c r="MN102" s="561">
        <v>2033</v>
      </c>
      <c r="MO102" s="561">
        <v>16080</v>
      </c>
      <c r="MP102" s="561">
        <v>63032</v>
      </c>
      <c r="MQ102" s="561">
        <v>281134</v>
      </c>
      <c r="MR102" s="561">
        <v>15784</v>
      </c>
      <c r="MS102" s="561">
        <v>97835</v>
      </c>
      <c r="MT102" s="561">
        <v>196688</v>
      </c>
      <c r="MU102" s="561">
        <v>18050</v>
      </c>
      <c r="MV102" s="561">
        <v>11487</v>
      </c>
      <c r="MW102" s="561">
        <v>15144</v>
      </c>
      <c r="MX102" s="561">
        <v>43605</v>
      </c>
      <c r="MY102" s="561">
        <v>20823</v>
      </c>
      <c r="MZ102" s="561">
        <v>0</v>
      </c>
      <c r="NA102" s="561">
        <v>0</v>
      </c>
      <c r="NB102" s="561">
        <v>3060</v>
      </c>
      <c r="NC102" s="561">
        <v>17574</v>
      </c>
      <c r="ND102" s="561">
        <v>721184</v>
      </c>
      <c r="NE102" s="561">
        <v>0</v>
      </c>
      <c r="NF102" s="561">
        <v>0</v>
      </c>
      <c r="NG102" s="561">
        <v>0</v>
      </c>
      <c r="NH102" s="561">
        <v>0</v>
      </c>
      <c r="NI102" s="561">
        <v>0</v>
      </c>
      <c r="NJ102" s="561">
        <v>0</v>
      </c>
      <c r="NK102" s="561">
        <v>0</v>
      </c>
      <c r="NL102" s="561">
        <v>0</v>
      </c>
      <c r="NM102" s="561">
        <v>0</v>
      </c>
      <c r="NN102" s="561">
        <v>0</v>
      </c>
      <c r="NO102" s="561">
        <v>0</v>
      </c>
      <c r="NP102" s="561">
        <v>0</v>
      </c>
      <c r="NQ102" s="561">
        <v>0</v>
      </c>
      <c r="NR102" s="561">
        <v>0</v>
      </c>
      <c r="NS102" s="561">
        <v>0</v>
      </c>
      <c r="NT102" s="561">
        <v>-667</v>
      </c>
      <c r="NU102" s="561">
        <v>0</v>
      </c>
      <c r="NV102" s="561">
        <v>-85</v>
      </c>
      <c r="NW102" s="561">
        <v>-752</v>
      </c>
      <c r="NX102" s="561">
        <v>3699</v>
      </c>
      <c r="NY102" s="561">
        <v>2947</v>
      </c>
      <c r="NZ102" s="561">
        <v>0</v>
      </c>
      <c r="OA102" s="561">
        <v>0</v>
      </c>
      <c r="OB102" s="561">
        <v>0</v>
      </c>
      <c r="OC102" s="561">
        <v>0</v>
      </c>
      <c r="OD102" s="561">
        <v>0</v>
      </c>
      <c r="OE102" s="561">
        <v>0</v>
      </c>
      <c r="OF102" s="561">
        <v>0</v>
      </c>
      <c r="OG102" s="561">
        <v>0</v>
      </c>
      <c r="OH102" s="561">
        <v>0</v>
      </c>
      <c r="OI102" s="561">
        <v>0</v>
      </c>
      <c r="OJ102" s="561">
        <v>0</v>
      </c>
      <c r="OK102" s="561">
        <v>0</v>
      </c>
      <c r="OL102" s="561">
        <v>557</v>
      </c>
      <c r="OM102" s="561">
        <v>1205</v>
      </c>
      <c r="ON102" s="561">
        <v>0</v>
      </c>
      <c r="OO102" s="561">
        <v>0</v>
      </c>
      <c r="OP102" s="561">
        <v>0</v>
      </c>
      <c r="OQ102" s="561">
        <v>6</v>
      </c>
      <c r="OR102" s="561">
        <v>-4067</v>
      </c>
      <c r="OS102" s="561">
        <v>0</v>
      </c>
      <c r="OT102" s="561">
        <v>0</v>
      </c>
      <c r="OU102" s="561">
        <v>0</v>
      </c>
      <c r="OV102" s="561">
        <v>-2215</v>
      </c>
      <c r="OW102" s="561">
        <v>3788</v>
      </c>
      <c r="OX102" s="561">
        <v>1489</v>
      </c>
      <c r="OY102" s="561">
        <v>3699</v>
      </c>
      <c r="OZ102" s="561">
        <v>0</v>
      </c>
      <c r="PA102" s="561">
        <v>0</v>
      </c>
      <c r="PB102" s="561">
        <v>0</v>
      </c>
      <c r="PC102" s="561">
        <v>0</v>
      </c>
      <c r="PD102" s="561">
        <v>3699</v>
      </c>
      <c r="PE102" s="561">
        <v>3788</v>
      </c>
      <c r="PF102" s="561">
        <v>0</v>
      </c>
      <c r="PG102" s="561">
        <v>0</v>
      </c>
      <c r="PH102" s="561">
        <v>0</v>
      </c>
      <c r="PI102" s="561">
        <v>0</v>
      </c>
      <c r="PJ102" s="561">
        <v>3788</v>
      </c>
    </row>
    <row r="103" spans="1:426" ht="14" x14ac:dyDescent="0.3">
      <c r="A103" t="s">
        <v>2741</v>
      </c>
      <c r="B103" t="s">
        <v>2742</v>
      </c>
      <c r="C103" t="s">
        <v>2743</v>
      </c>
      <c r="E103" t="s">
        <v>384</v>
      </c>
      <c r="F103" s="561">
        <v>0</v>
      </c>
      <c r="G103" s="561">
        <v>0</v>
      </c>
      <c r="H103" s="561">
        <v>0</v>
      </c>
      <c r="I103" s="561">
        <v>0</v>
      </c>
      <c r="J103" s="561">
        <v>0</v>
      </c>
      <c r="K103" s="561">
        <v>0</v>
      </c>
      <c r="L103" s="561">
        <v>0</v>
      </c>
      <c r="M103" s="561">
        <v>0</v>
      </c>
      <c r="N103" s="561">
        <v>0</v>
      </c>
      <c r="O103" s="561">
        <v>84</v>
      </c>
      <c r="P103" s="561">
        <v>0</v>
      </c>
      <c r="Q103" s="561">
        <v>0</v>
      </c>
      <c r="R103" s="561">
        <v>0</v>
      </c>
      <c r="S103" s="561">
        <v>0</v>
      </c>
      <c r="T103" s="561">
        <v>0</v>
      </c>
      <c r="U103" s="561">
        <v>0</v>
      </c>
      <c r="V103" s="561">
        <v>5</v>
      </c>
      <c r="W103" s="561">
        <v>0</v>
      </c>
      <c r="X103" s="561">
        <v>0</v>
      </c>
      <c r="Y103" s="561">
        <v>0</v>
      </c>
      <c r="Z103" s="561">
        <v>0</v>
      </c>
      <c r="AA103" s="561">
        <v>0.4</v>
      </c>
      <c r="AB103" s="561">
        <v>-1195.5999999999999</v>
      </c>
      <c r="AC103" s="561">
        <v>0</v>
      </c>
      <c r="AD103" s="561">
        <v>0</v>
      </c>
      <c r="AE103" s="561">
        <v>0</v>
      </c>
      <c r="AF103" s="561">
        <v>0</v>
      </c>
      <c r="AG103" s="561">
        <v>0</v>
      </c>
      <c r="AH103" s="561">
        <v>0</v>
      </c>
      <c r="AI103" s="561">
        <v>0</v>
      </c>
      <c r="AJ103" s="561">
        <v>-1106.2</v>
      </c>
      <c r="AK103" s="561">
        <v>2</v>
      </c>
      <c r="AL103" s="561">
        <v>0</v>
      </c>
      <c r="AM103" s="561">
        <v>0</v>
      </c>
      <c r="AN103" s="561">
        <v>0</v>
      </c>
      <c r="AO103" s="561">
        <v>0</v>
      </c>
      <c r="AP103" s="561">
        <v>0</v>
      </c>
      <c r="AQ103" s="561">
        <v>0</v>
      </c>
      <c r="AR103" s="561">
        <v>0</v>
      </c>
      <c r="AS103" s="561">
        <v>282</v>
      </c>
      <c r="AT103" s="561">
        <v>810</v>
      </c>
      <c r="AU103" s="561">
        <v>0</v>
      </c>
      <c r="AV103" s="561">
        <v>0</v>
      </c>
      <c r="AW103" s="561">
        <v>0</v>
      </c>
      <c r="AX103" s="561">
        <v>0</v>
      </c>
      <c r="AY103" s="561">
        <v>0</v>
      </c>
      <c r="AZ103" s="561">
        <v>0</v>
      </c>
      <c r="BA103" s="561">
        <v>0</v>
      </c>
      <c r="BB103" s="561">
        <v>0</v>
      </c>
      <c r="BC103" s="561">
        <v>0</v>
      </c>
      <c r="BD103" s="561">
        <v>0</v>
      </c>
      <c r="BE103" s="561">
        <v>0</v>
      </c>
      <c r="BF103" s="561">
        <v>0</v>
      </c>
      <c r="BG103" s="561">
        <v>0</v>
      </c>
      <c r="BH103" s="561">
        <v>0</v>
      </c>
      <c r="BI103" s="561">
        <v>0</v>
      </c>
      <c r="BJ103" s="561">
        <v>0</v>
      </c>
      <c r="BK103" s="561">
        <v>0</v>
      </c>
      <c r="BL103" s="561">
        <v>0</v>
      </c>
      <c r="BM103" s="561">
        <v>0</v>
      </c>
      <c r="BN103" s="561">
        <v>0</v>
      </c>
      <c r="BO103" s="561">
        <v>0</v>
      </c>
      <c r="BP103" s="561">
        <v>0</v>
      </c>
      <c r="BQ103" s="561">
        <v>0</v>
      </c>
      <c r="BR103" s="561">
        <v>0</v>
      </c>
      <c r="BS103" s="561">
        <v>0</v>
      </c>
      <c r="BT103" s="561">
        <v>0</v>
      </c>
      <c r="BU103" s="561">
        <v>0</v>
      </c>
      <c r="BV103" s="561">
        <v>0</v>
      </c>
      <c r="BW103" s="561">
        <v>0</v>
      </c>
      <c r="BX103" s="561">
        <v>0</v>
      </c>
      <c r="BY103" s="561">
        <v>0</v>
      </c>
      <c r="BZ103" s="561">
        <v>0</v>
      </c>
      <c r="CA103" s="561">
        <v>0</v>
      </c>
      <c r="CB103" s="561">
        <v>0</v>
      </c>
      <c r="CC103" s="561">
        <v>0</v>
      </c>
      <c r="CD103" s="561">
        <v>0</v>
      </c>
      <c r="CE103" s="561">
        <v>0</v>
      </c>
      <c r="CF103" s="561">
        <v>0</v>
      </c>
      <c r="CG103" s="561">
        <v>0</v>
      </c>
      <c r="CH103" s="561">
        <v>0</v>
      </c>
      <c r="CI103" s="561">
        <v>0</v>
      </c>
      <c r="CJ103" s="561">
        <v>0</v>
      </c>
      <c r="CK103" s="561">
        <v>0</v>
      </c>
      <c r="CL103" s="561">
        <v>0</v>
      </c>
      <c r="CM103" s="561">
        <v>0</v>
      </c>
      <c r="CN103" s="561">
        <v>0</v>
      </c>
      <c r="CO103" s="561">
        <v>0</v>
      </c>
      <c r="CP103" s="561">
        <v>0</v>
      </c>
      <c r="CQ103" s="561">
        <v>0</v>
      </c>
      <c r="CR103" s="561">
        <v>0</v>
      </c>
      <c r="CS103" s="561">
        <v>0</v>
      </c>
      <c r="CT103" s="561">
        <v>0</v>
      </c>
      <c r="CU103" s="561">
        <v>0</v>
      </c>
      <c r="CV103" s="561">
        <v>0</v>
      </c>
      <c r="CW103" s="561">
        <v>0</v>
      </c>
      <c r="CX103" s="561">
        <v>0</v>
      </c>
      <c r="CY103" s="561">
        <v>0</v>
      </c>
      <c r="CZ103" s="561">
        <v>0</v>
      </c>
      <c r="DA103" s="561">
        <v>0</v>
      </c>
      <c r="DB103" s="561">
        <v>0</v>
      </c>
      <c r="DC103" s="561">
        <v>0</v>
      </c>
      <c r="DD103" s="561">
        <v>0</v>
      </c>
      <c r="DE103" s="561">
        <v>0</v>
      </c>
      <c r="DF103" s="561">
        <v>0</v>
      </c>
      <c r="DG103" s="561">
        <v>0</v>
      </c>
      <c r="DH103" s="561">
        <v>105</v>
      </c>
      <c r="DI103" s="561">
        <v>0</v>
      </c>
      <c r="DJ103" s="561">
        <v>0</v>
      </c>
      <c r="DK103" s="561">
        <v>271</v>
      </c>
      <c r="DL103" s="561">
        <v>1259</v>
      </c>
      <c r="DM103" s="561">
        <v>0</v>
      </c>
      <c r="DN103" s="561">
        <v>0</v>
      </c>
      <c r="DO103" s="561">
        <v>547</v>
      </c>
      <c r="DP103" s="561">
        <v>1559</v>
      </c>
      <c r="DQ103" s="561">
        <v>2</v>
      </c>
      <c r="DR103" s="561">
        <v>0</v>
      </c>
      <c r="DS103" s="561">
        <v>-233</v>
      </c>
      <c r="DT103" s="561">
        <v>626</v>
      </c>
      <c r="DU103" s="561">
        <v>3760</v>
      </c>
      <c r="DV103" s="561">
        <v>0</v>
      </c>
      <c r="DW103" s="561">
        <v>0</v>
      </c>
      <c r="DX103" s="561">
        <v>0</v>
      </c>
      <c r="DY103" s="561">
        <v>1505</v>
      </c>
      <c r="DZ103" s="561">
        <v>390</v>
      </c>
      <c r="EA103" s="561">
        <v>0</v>
      </c>
      <c r="EB103" s="561">
        <v>0</v>
      </c>
      <c r="EC103" s="561">
        <v>6031</v>
      </c>
      <c r="ED103" s="561">
        <v>8</v>
      </c>
      <c r="EE103" s="561">
        <v>23906</v>
      </c>
      <c r="EF103" s="561">
        <v>0</v>
      </c>
      <c r="EG103" s="561">
        <v>1881</v>
      </c>
      <c r="EH103" s="561">
        <v>0</v>
      </c>
      <c r="EI103" s="561">
        <v>0</v>
      </c>
      <c r="EJ103" s="561">
        <v>17</v>
      </c>
      <c r="EK103" s="561">
        <v>0</v>
      </c>
      <c r="EL103" s="561">
        <v>2804</v>
      </c>
      <c r="EM103" s="561">
        <v>0</v>
      </c>
      <c r="EN103" s="561">
        <v>6761</v>
      </c>
      <c r="EO103" s="561">
        <v>8092</v>
      </c>
      <c r="EP103" s="561">
        <v>0</v>
      </c>
      <c r="EQ103" s="561">
        <v>74</v>
      </c>
      <c r="ER103" s="561">
        <v>8271</v>
      </c>
      <c r="ES103" s="561" t="s">
        <v>4565</v>
      </c>
      <c r="ET103" s="561">
        <v>1918</v>
      </c>
      <c r="EU103" s="561">
        <v>0</v>
      </c>
      <c r="EV103" s="561">
        <v>27</v>
      </c>
      <c r="EW103" s="561">
        <v>0</v>
      </c>
      <c r="EX103" s="561">
        <v>-9275</v>
      </c>
      <c r="EY103" s="561">
        <v>-125</v>
      </c>
      <c r="EZ103" s="561">
        <v>12865</v>
      </c>
      <c r="FA103" s="561">
        <v>8063</v>
      </c>
      <c r="FB103" s="561">
        <v>0</v>
      </c>
      <c r="FC103" s="561">
        <v>0</v>
      </c>
      <c r="FD103" s="561">
        <v>125</v>
      </c>
      <c r="FE103" s="561">
        <v>694</v>
      </c>
      <c r="FF103" s="561">
        <v>0</v>
      </c>
      <c r="FG103" s="561">
        <v>-2416</v>
      </c>
      <c r="FH103" s="561">
        <v>221</v>
      </c>
      <c r="FI103" s="561">
        <v>0</v>
      </c>
      <c r="FJ103" s="561">
        <v>-735</v>
      </c>
      <c r="FK103" s="561">
        <v>751</v>
      </c>
      <c r="FL103" s="561">
        <v>0</v>
      </c>
      <c r="FM103" s="561">
        <v>301</v>
      </c>
      <c r="FN103" s="561">
        <v>0</v>
      </c>
      <c r="FO103" s="561">
        <v>-1059</v>
      </c>
      <c r="FP103" s="561">
        <v>120</v>
      </c>
      <c r="FQ103" s="561">
        <v>-108</v>
      </c>
      <c r="FR103" s="561">
        <v>0</v>
      </c>
      <c r="FS103" s="561">
        <v>0</v>
      </c>
      <c r="FT103" s="561">
        <v>231.75</v>
      </c>
      <c r="FU103" s="561">
        <v>171</v>
      </c>
      <c r="FV103" s="561">
        <v>0</v>
      </c>
      <c r="FW103" s="561">
        <v>78.25</v>
      </c>
      <c r="FX103" s="561">
        <v>-212</v>
      </c>
      <c r="FY103" s="561">
        <v>0</v>
      </c>
      <c r="FZ103" s="561">
        <v>0</v>
      </c>
      <c r="GA103" s="561">
        <v>229</v>
      </c>
      <c r="GB103" s="561">
        <v>45.6</v>
      </c>
      <c r="GC103" s="561">
        <v>126</v>
      </c>
      <c r="GD103" s="561">
        <v>472.4</v>
      </c>
      <c r="GE103" s="561">
        <v>253</v>
      </c>
      <c r="GF103" s="561">
        <v>262</v>
      </c>
      <c r="GG103" s="561">
        <v>0</v>
      </c>
      <c r="GH103" s="561">
        <v>94</v>
      </c>
      <c r="GI103" s="561">
        <v>0</v>
      </c>
      <c r="GJ103" s="561">
        <v>-2</v>
      </c>
      <c r="GK103" s="561">
        <v>0</v>
      </c>
      <c r="GL103" s="561">
        <v>2203</v>
      </c>
      <c r="GM103" s="561">
        <v>1456</v>
      </c>
      <c r="GN103" s="561">
        <v>0</v>
      </c>
      <c r="GO103" s="561">
        <v>0</v>
      </c>
      <c r="GP103" s="561">
        <v>1248</v>
      </c>
      <c r="GQ103" s="561">
        <v>0</v>
      </c>
      <c r="GR103" s="561">
        <v>0</v>
      </c>
      <c r="GS103" s="561">
        <v>6548</v>
      </c>
      <c r="GT103" s="561">
        <v>223</v>
      </c>
      <c r="GU103" s="561">
        <v>696</v>
      </c>
      <c r="GV103" s="561">
        <v>374.34</v>
      </c>
      <c r="GW103" s="561">
        <v>51.06</v>
      </c>
      <c r="GX103" s="561">
        <v>2450.6</v>
      </c>
      <c r="GY103" s="561">
        <v>62</v>
      </c>
      <c r="GZ103" s="561">
        <v>587</v>
      </c>
      <c r="HA103" s="561">
        <v>0</v>
      </c>
      <c r="HB103" s="561">
        <v>-86</v>
      </c>
      <c r="HC103" s="561">
        <v>478</v>
      </c>
      <c r="HD103" s="561">
        <v>4613</v>
      </c>
      <c r="HE103" s="561">
        <v>155</v>
      </c>
      <c r="HF103" s="561">
        <v>10102</v>
      </c>
      <c r="HG103" s="561">
        <v>0</v>
      </c>
      <c r="HH103" s="561">
        <v>0</v>
      </c>
      <c r="HI103" s="561">
        <v>0</v>
      </c>
      <c r="HJ103" s="561">
        <v>0</v>
      </c>
      <c r="HK103" s="561">
        <v>0</v>
      </c>
      <c r="HL103" s="561">
        <v>0</v>
      </c>
      <c r="HM103" s="561">
        <v>0</v>
      </c>
      <c r="HN103" s="561">
        <v>0</v>
      </c>
      <c r="HO103" s="561">
        <v>620</v>
      </c>
      <c r="HP103" s="561">
        <v>177</v>
      </c>
      <c r="HQ103" s="561">
        <v>0</v>
      </c>
      <c r="HR103" s="561">
        <v>0</v>
      </c>
      <c r="HS103" s="561">
        <v>0</v>
      </c>
      <c r="HT103" s="561">
        <v>164</v>
      </c>
      <c r="HU103" s="561">
        <v>0</v>
      </c>
      <c r="HV103" s="561">
        <v>0</v>
      </c>
      <c r="HW103" s="561">
        <v>265.95</v>
      </c>
      <c r="HX103" s="561">
        <v>127.05</v>
      </c>
      <c r="HY103" s="561">
        <v>2690</v>
      </c>
      <c r="HZ103" s="561">
        <v>57</v>
      </c>
      <c r="IA103" s="561">
        <v>0</v>
      </c>
      <c r="IB103" s="561">
        <v>217</v>
      </c>
      <c r="IC103" s="561">
        <v>0</v>
      </c>
      <c r="ID103" s="561">
        <v>0</v>
      </c>
      <c r="IE103" s="561">
        <v>1470</v>
      </c>
      <c r="IF103" s="561">
        <v>923</v>
      </c>
      <c r="IG103" s="561">
        <v>0</v>
      </c>
      <c r="IH103" s="561">
        <v>1514</v>
      </c>
      <c r="II103" s="561">
        <v>8225</v>
      </c>
      <c r="IJ103" s="561">
        <v>7</v>
      </c>
      <c r="IK103" s="561">
        <v>0</v>
      </c>
      <c r="IL103" s="561">
        <v>309</v>
      </c>
      <c r="IM103" s="561">
        <v>0</v>
      </c>
      <c r="IN103" s="561">
        <v>0</v>
      </c>
      <c r="IO103" s="561">
        <v>0</v>
      </c>
      <c r="IP103" s="561">
        <v>1388</v>
      </c>
      <c r="IQ103" s="561">
        <v>200</v>
      </c>
      <c r="IR103" s="561">
        <v>0</v>
      </c>
      <c r="IS103" s="561">
        <v>-1106.2</v>
      </c>
      <c r="IT103" s="561">
        <v>0</v>
      </c>
      <c r="IU103" s="561">
        <v>0</v>
      </c>
      <c r="IV103" s="561">
        <v>0</v>
      </c>
      <c r="IW103" s="561">
        <v>6031</v>
      </c>
      <c r="IX103" s="561">
        <v>-1059</v>
      </c>
      <c r="IY103" s="561">
        <v>6548</v>
      </c>
      <c r="IZ103" s="561">
        <v>4613</v>
      </c>
      <c r="JA103" s="561">
        <v>0</v>
      </c>
      <c r="JB103" s="561">
        <v>0</v>
      </c>
      <c r="JC103" s="561">
        <v>8225</v>
      </c>
      <c r="JD103" s="561">
        <v>1388</v>
      </c>
      <c r="JE103" s="561">
        <v>24639.8</v>
      </c>
      <c r="JF103" s="561">
        <v>13439</v>
      </c>
      <c r="JG103" s="561">
        <v>966</v>
      </c>
      <c r="JH103" s="561">
        <v>7521</v>
      </c>
      <c r="JI103" s="561">
        <v>0</v>
      </c>
      <c r="JJ103" s="561">
        <v>0</v>
      </c>
      <c r="JK103" s="561">
        <v>3361</v>
      </c>
      <c r="JL103" s="561">
        <v>0</v>
      </c>
      <c r="JM103" s="561">
        <v>0</v>
      </c>
      <c r="JN103" s="561">
        <v>0</v>
      </c>
      <c r="JO103" s="561">
        <v>0</v>
      </c>
      <c r="JP103" s="561">
        <v>0</v>
      </c>
      <c r="JQ103" s="561">
        <v>1630.2</v>
      </c>
      <c r="JR103" s="561">
        <v>0</v>
      </c>
      <c r="JS103" s="561">
        <v>0</v>
      </c>
      <c r="JT103" s="561">
        <v>0</v>
      </c>
      <c r="JU103" s="561">
        <v>0</v>
      </c>
      <c r="JV103" s="561">
        <v>51557</v>
      </c>
      <c r="JW103" s="561">
        <v>0</v>
      </c>
      <c r="JX103" s="561">
        <v>4895</v>
      </c>
      <c r="JY103" s="561">
        <v>0</v>
      </c>
      <c r="JZ103" s="561">
        <v>0</v>
      </c>
      <c r="KA103" s="561">
        <v>0</v>
      </c>
      <c r="KB103" s="561">
        <v>500</v>
      </c>
      <c r="KC103" s="561">
        <v>1889</v>
      </c>
      <c r="KD103" s="561">
        <v>0</v>
      </c>
      <c r="KE103" s="561">
        <v>4891</v>
      </c>
      <c r="KF103" s="561">
        <v>-3459</v>
      </c>
      <c r="KG103" s="561">
        <v>60273</v>
      </c>
      <c r="KH103" s="561">
        <v>-4454</v>
      </c>
      <c r="KI103" s="561">
        <v>0</v>
      </c>
      <c r="KJ103" s="561">
        <v>0</v>
      </c>
      <c r="KK103" s="561">
        <v>0</v>
      </c>
      <c r="KL103" s="561">
        <v>-21558</v>
      </c>
      <c r="KM103" s="561">
        <v>0</v>
      </c>
      <c r="KN103" s="561">
        <v>0</v>
      </c>
      <c r="KO103" s="561">
        <v>0</v>
      </c>
      <c r="KP103" s="561">
        <v>0</v>
      </c>
      <c r="KQ103" s="561">
        <v>0</v>
      </c>
      <c r="KR103" s="561">
        <v>34261</v>
      </c>
      <c r="KS103" s="561">
        <v>0</v>
      </c>
      <c r="KT103" s="561">
        <v>-8745</v>
      </c>
      <c r="KU103" s="561">
        <v>25516</v>
      </c>
      <c r="KV103" s="561">
        <v>0</v>
      </c>
      <c r="KW103" s="561">
        <v>0</v>
      </c>
      <c r="KX103" s="561">
        <v>0</v>
      </c>
      <c r="KY103" s="561">
        <v>0</v>
      </c>
      <c r="KZ103" s="561">
        <v>-2544</v>
      </c>
      <c r="LA103" s="561">
        <v>-6</v>
      </c>
      <c r="LB103" s="561">
        <v>-254</v>
      </c>
      <c r="LC103" s="561">
        <v>0</v>
      </c>
      <c r="LD103" s="561">
        <v>-9885</v>
      </c>
      <c r="LE103" s="561">
        <v>-91</v>
      </c>
      <c r="LF103" s="561">
        <v>-612</v>
      </c>
      <c r="LG103" s="561">
        <v>12124</v>
      </c>
      <c r="LH103" s="561">
        <v>0</v>
      </c>
      <c r="LI103" s="561">
        <v>0</v>
      </c>
      <c r="LJ103" s="561">
        <v>0</v>
      </c>
      <c r="LK103" s="561">
        <v>0</v>
      </c>
      <c r="LL103" s="561">
        <v>47033</v>
      </c>
      <c r="LM103" s="561">
        <v>1507</v>
      </c>
      <c r="LN103" s="561">
        <v>0</v>
      </c>
      <c r="LO103" s="561">
        <v>0</v>
      </c>
      <c r="LP103" s="561">
        <v>0</v>
      </c>
      <c r="LQ103" s="561">
        <v>0</v>
      </c>
      <c r="LR103" s="561">
        <v>44489</v>
      </c>
      <c r="LS103" s="561">
        <v>1501</v>
      </c>
      <c r="LT103" s="561">
        <v>0</v>
      </c>
      <c r="LU103" s="561">
        <v>3538</v>
      </c>
      <c r="LV103" s="561">
        <v>3392</v>
      </c>
      <c r="LW103" s="561">
        <v>-4115</v>
      </c>
      <c r="LX103" s="561">
        <v>-19916</v>
      </c>
      <c r="LY103" s="561">
        <v>-1541</v>
      </c>
      <c r="LZ103" s="561">
        <v>-20452</v>
      </c>
      <c r="MA103" s="561">
        <v>0</v>
      </c>
      <c r="MB103" s="561">
        <v>0</v>
      </c>
      <c r="MC103" s="561">
        <v>28608</v>
      </c>
      <c r="MD103" s="561">
        <v>15743</v>
      </c>
      <c r="ME103" s="561">
        <v>12865</v>
      </c>
      <c r="MF103" s="561">
        <v>8063</v>
      </c>
      <c r="MG103" s="561">
        <v>20928</v>
      </c>
      <c r="MH103" s="561">
        <v>3136</v>
      </c>
      <c r="MI103" s="561">
        <v>5762</v>
      </c>
      <c r="MJ103" s="561">
        <v>8898</v>
      </c>
      <c r="MK103" s="561">
        <v>0</v>
      </c>
      <c r="ML103" s="561">
        <v>12002</v>
      </c>
      <c r="MM103" s="561">
        <v>24716</v>
      </c>
      <c r="MN103" s="561">
        <v>688</v>
      </c>
      <c r="MO103" s="561">
        <v>7006</v>
      </c>
      <c r="MP103" s="561">
        <v>77</v>
      </c>
      <c r="MQ103" s="561">
        <v>0</v>
      </c>
      <c r="MR103" s="561">
        <v>-1106.2</v>
      </c>
      <c r="MS103" s="561">
        <v>0</v>
      </c>
      <c r="MT103" s="561">
        <v>0</v>
      </c>
      <c r="MU103" s="561">
        <v>0</v>
      </c>
      <c r="MV103" s="561">
        <v>6031</v>
      </c>
      <c r="MW103" s="561">
        <v>-1059</v>
      </c>
      <c r="MX103" s="561">
        <v>6548</v>
      </c>
      <c r="MY103" s="561">
        <v>4613</v>
      </c>
      <c r="MZ103" s="561">
        <v>0</v>
      </c>
      <c r="NA103" s="561">
        <v>0</v>
      </c>
      <c r="NB103" s="561">
        <v>8225</v>
      </c>
      <c r="NC103" s="561">
        <v>1388</v>
      </c>
      <c r="ND103" s="561">
        <v>24639.8</v>
      </c>
      <c r="NE103" s="561">
        <v>0</v>
      </c>
      <c r="NF103" s="561">
        <v>0</v>
      </c>
      <c r="NG103" s="561">
        <v>0</v>
      </c>
      <c r="NH103" s="561">
        <v>0</v>
      </c>
      <c r="NI103" s="561">
        <v>0</v>
      </c>
      <c r="NJ103" s="561">
        <v>0</v>
      </c>
      <c r="NK103" s="561">
        <v>0</v>
      </c>
      <c r="NL103" s="561">
        <v>0</v>
      </c>
      <c r="NM103" s="561">
        <v>0</v>
      </c>
      <c r="NN103" s="561">
        <v>0</v>
      </c>
      <c r="NO103" s="561">
        <v>0</v>
      </c>
      <c r="NP103" s="561">
        <v>0</v>
      </c>
      <c r="NQ103" s="561">
        <v>0</v>
      </c>
      <c r="NR103" s="561">
        <v>0</v>
      </c>
      <c r="NS103" s="561">
        <v>0</v>
      </c>
      <c r="NT103" s="561">
        <v>0</v>
      </c>
      <c r="NU103" s="561">
        <v>-1219</v>
      </c>
      <c r="NV103" s="561">
        <v>0</v>
      </c>
      <c r="NW103" s="561">
        <v>0</v>
      </c>
      <c r="NX103" s="561">
        <v>0</v>
      </c>
      <c r="NY103" s="561">
        <v>0</v>
      </c>
      <c r="NZ103" s="561">
        <v>0</v>
      </c>
      <c r="OA103" s="561">
        <v>0</v>
      </c>
      <c r="OB103" s="561">
        <v>0</v>
      </c>
      <c r="OC103" s="561">
        <v>0</v>
      </c>
      <c r="OD103" s="561">
        <v>0</v>
      </c>
      <c r="OE103" s="561">
        <v>0</v>
      </c>
      <c r="OF103" s="561">
        <v>55</v>
      </c>
      <c r="OG103" s="561">
        <v>0</v>
      </c>
      <c r="OH103" s="561">
        <v>0</v>
      </c>
      <c r="OI103" s="561">
        <v>0</v>
      </c>
      <c r="OJ103" s="561">
        <v>0</v>
      </c>
      <c r="OK103" s="561">
        <v>-1</v>
      </c>
      <c r="OL103" s="561">
        <v>463</v>
      </c>
      <c r="OM103" s="561">
        <v>0</v>
      </c>
      <c r="ON103" s="561">
        <v>0</v>
      </c>
      <c r="OO103" s="561">
        <v>0</v>
      </c>
      <c r="OP103" s="561">
        <v>0</v>
      </c>
      <c r="OQ103" s="561">
        <v>143</v>
      </c>
      <c r="OR103" s="561">
        <v>0</v>
      </c>
      <c r="OS103" s="561">
        <v>170</v>
      </c>
      <c r="OT103" s="561">
        <v>113</v>
      </c>
      <c r="OU103" s="561">
        <v>35</v>
      </c>
      <c r="OV103" s="561">
        <v>169</v>
      </c>
      <c r="OW103" s="561">
        <v>0</v>
      </c>
      <c r="OX103" s="561">
        <v>1630.2</v>
      </c>
      <c r="OY103" s="561">
        <v>0</v>
      </c>
      <c r="OZ103" s="561">
        <v>0</v>
      </c>
      <c r="PA103" s="561">
        <v>0</v>
      </c>
      <c r="PB103" s="561">
        <v>0</v>
      </c>
      <c r="PC103" s="561">
        <v>0</v>
      </c>
      <c r="PD103" s="561">
        <v>0</v>
      </c>
      <c r="PE103" s="561">
        <v>0</v>
      </c>
      <c r="PF103" s="561">
        <v>0</v>
      </c>
      <c r="PG103" s="561">
        <v>0</v>
      </c>
      <c r="PH103" s="561">
        <v>0</v>
      </c>
      <c r="PI103" s="561">
        <v>0</v>
      </c>
      <c r="PJ103" s="561">
        <v>0</v>
      </c>
    </row>
    <row r="104" spans="1:426" ht="14" x14ac:dyDescent="0.3">
      <c r="A104" t="s">
        <v>2744</v>
      </c>
      <c r="B104" t="s">
        <v>2745</v>
      </c>
      <c r="C104" t="s">
        <v>2746</v>
      </c>
      <c r="E104" t="s">
        <v>379</v>
      </c>
      <c r="F104" s="561">
        <v>32552</v>
      </c>
      <c r="G104" s="561">
        <v>92183</v>
      </c>
      <c r="H104" s="561">
        <v>37695</v>
      </c>
      <c r="I104" s="561">
        <v>46743</v>
      </c>
      <c r="J104" s="561">
        <v>6033</v>
      </c>
      <c r="K104" s="561">
        <v>22138</v>
      </c>
      <c r="L104" s="561">
        <v>237344</v>
      </c>
      <c r="M104" s="561">
        <v>0</v>
      </c>
      <c r="N104" s="561">
        <v>152</v>
      </c>
      <c r="O104" s="561">
        <v>161</v>
      </c>
      <c r="P104" s="561">
        <v>414</v>
      </c>
      <c r="Q104" s="561">
        <v>3923</v>
      </c>
      <c r="R104" s="561">
        <v>399</v>
      </c>
      <c r="S104" s="561">
        <v>922</v>
      </c>
      <c r="T104" s="561">
        <v>1637</v>
      </c>
      <c r="U104" s="561">
        <v>735</v>
      </c>
      <c r="V104" s="561">
        <v>3184</v>
      </c>
      <c r="W104" s="561">
        <v>0</v>
      </c>
      <c r="X104" s="561">
        <v>0</v>
      </c>
      <c r="Y104" s="561">
        <v>530</v>
      </c>
      <c r="Z104" s="561">
        <v>309</v>
      </c>
      <c r="AA104" s="561">
        <v>361</v>
      </c>
      <c r="AB104" s="561">
        <v>280</v>
      </c>
      <c r="AC104" s="561">
        <v>0</v>
      </c>
      <c r="AD104" s="561">
        <v>0</v>
      </c>
      <c r="AE104" s="561">
        <v>0</v>
      </c>
      <c r="AF104" s="561">
        <v>0</v>
      </c>
      <c r="AG104" s="561">
        <v>0</v>
      </c>
      <c r="AH104" s="561">
        <v>0</v>
      </c>
      <c r="AI104" s="561">
        <v>0</v>
      </c>
      <c r="AJ104" s="561">
        <v>13007</v>
      </c>
      <c r="AK104" s="561">
        <v>0</v>
      </c>
      <c r="AL104" s="561">
        <v>0</v>
      </c>
      <c r="AM104" s="561">
        <v>0</v>
      </c>
      <c r="AN104" s="561">
        <v>0</v>
      </c>
      <c r="AO104" s="561">
        <v>0</v>
      </c>
      <c r="AP104" s="561">
        <v>1372</v>
      </c>
      <c r="AQ104" s="561">
        <v>0</v>
      </c>
      <c r="AR104" s="561">
        <v>882</v>
      </c>
      <c r="AS104" s="561">
        <v>289</v>
      </c>
      <c r="AT104" s="561">
        <v>2</v>
      </c>
      <c r="AU104" s="561">
        <v>0</v>
      </c>
      <c r="AV104" s="561">
        <v>0</v>
      </c>
      <c r="AW104" s="561">
        <v>0</v>
      </c>
      <c r="AX104" s="561">
        <v>4703</v>
      </c>
      <c r="AY104" s="561">
        <v>62707</v>
      </c>
      <c r="AZ104" s="561">
        <v>787</v>
      </c>
      <c r="BA104" s="561">
        <v>5741</v>
      </c>
      <c r="BB104" s="561">
        <v>1457</v>
      </c>
      <c r="BC104" s="561">
        <v>7572</v>
      </c>
      <c r="BD104" s="561">
        <v>1381</v>
      </c>
      <c r="BE104" s="561">
        <v>846</v>
      </c>
      <c r="BF104" s="561">
        <v>85194</v>
      </c>
      <c r="BG104" s="561">
        <v>0</v>
      </c>
      <c r="BH104" s="561">
        <v>11879</v>
      </c>
      <c r="BI104" s="561">
        <v>30920</v>
      </c>
      <c r="BJ104" s="561">
        <v>343</v>
      </c>
      <c r="BK104" s="561">
        <v>224</v>
      </c>
      <c r="BL104" s="561">
        <v>1449</v>
      </c>
      <c r="BM104" s="561">
        <v>4430</v>
      </c>
      <c r="BN104" s="561">
        <v>45723</v>
      </c>
      <c r="BO104" s="561">
        <v>6643</v>
      </c>
      <c r="BP104" s="561">
        <v>6222</v>
      </c>
      <c r="BQ104" s="561">
        <v>3783</v>
      </c>
      <c r="BR104" s="561">
        <v>0</v>
      </c>
      <c r="BS104" s="561">
        <v>0</v>
      </c>
      <c r="BT104" s="561">
        <v>0</v>
      </c>
      <c r="BU104" s="561">
        <v>14</v>
      </c>
      <c r="BV104" s="561">
        <v>1413</v>
      </c>
      <c r="BW104" s="561">
        <v>15807</v>
      </c>
      <c r="BX104" s="561">
        <v>2115</v>
      </c>
      <c r="BY104" s="561">
        <v>7884</v>
      </c>
      <c r="BZ104" s="561">
        <v>138849</v>
      </c>
      <c r="CA104" s="561">
        <v>0</v>
      </c>
      <c r="CB104" s="561">
        <v>1737</v>
      </c>
      <c r="CC104" s="561">
        <v>373</v>
      </c>
      <c r="CD104" s="561">
        <v>847</v>
      </c>
      <c r="CE104" s="561">
        <v>458</v>
      </c>
      <c r="CF104" s="561">
        <v>731</v>
      </c>
      <c r="CG104" s="561">
        <v>178</v>
      </c>
      <c r="CH104" s="561">
        <v>677</v>
      </c>
      <c r="CI104" s="561">
        <v>1190</v>
      </c>
      <c r="CJ104" s="561">
        <v>1285</v>
      </c>
      <c r="CK104" s="561">
        <v>631</v>
      </c>
      <c r="CL104" s="561">
        <v>326</v>
      </c>
      <c r="CM104" s="561">
        <v>2047</v>
      </c>
      <c r="CN104" s="561">
        <v>1790</v>
      </c>
      <c r="CO104" s="561">
        <v>546</v>
      </c>
      <c r="CP104" s="561">
        <v>531</v>
      </c>
      <c r="CQ104" s="561">
        <v>243</v>
      </c>
      <c r="CR104" s="561">
        <v>864</v>
      </c>
      <c r="CS104" s="561">
        <v>66</v>
      </c>
      <c r="CT104" s="561">
        <v>472</v>
      </c>
      <c r="CU104" s="561">
        <v>5369</v>
      </c>
      <c r="CV104" s="561">
        <v>1472</v>
      </c>
      <c r="CW104" s="561">
        <v>151</v>
      </c>
      <c r="CX104" s="561">
        <v>737</v>
      </c>
      <c r="CY104" s="561">
        <v>2517</v>
      </c>
      <c r="CZ104" s="561">
        <v>25238</v>
      </c>
      <c r="DA104" s="561">
        <v>0</v>
      </c>
      <c r="DB104" s="561">
        <v>154</v>
      </c>
      <c r="DC104" s="561">
        <v>336</v>
      </c>
      <c r="DD104" s="561">
        <v>1</v>
      </c>
      <c r="DE104" s="561">
        <v>0</v>
      </c>
      <c r="DF104" s="561">
        <v>0</v>
      </c>
      <c r="DG104" s="561">
        <v>0</v>
      </c>
      <c r="DH104" s="561">
        <v>338</v>
      </c>
      <c r="DI104" s="561">
        <v>0</v>
      </c>
      <c r="DJ104" s="561">
        <v>-154</v>
      </c>
      <c r="DK104" s="561">
        <v>0</v>
      </c>
      <c r="DL104" s="561">
        <v>0</v>
      </c>
      <c r="DM104" s="561">
        <v>0</v>
      </c>
      <c r="DN104" s="561">
        <v>0</v>
      </c>
      <c r="DO104" s="561">
        <v>140</v>
      </c>
      <c r="DP104" s="561">
        <v>186</v>
      </c>
      <c r="DQ104" s="561">
        <v>149</v>
      </c>
      <c r="DR104" s="561">
        <v>116</v>
      </c>
      <c r="DS104" s="561">
        <v>1511</v>
      </c>
      <c r="DT104" s="561">
        <v>372</v>
      </c>
      <c r="DU104" s="561">
        <v>2474</v>
      </c>
      <c r="DV104" s="561">
        <v>204</v>
      </c>
      <c r="DW104" s="561">
        <v>0</v>
      </c>
      <c r="DX104" s="561">
        <v>269</v>
      </c>
      <c r="DY104" s="561">
        <v>1224</v>
      </c>
      <c r="DZ104" s="561">
        <v>0</v>
      </c>
      <c r="EA104" s="561">
        <v>0</v>
      </c>
      <c r="EB104" s="561">
        <v>0</v>
      </c>
      <c r="EC104" s="561">
        <v>4355</v>
      </c>
      <c r="ED104" s="561">
        <v>0</v>
      </c>
      <c r="EE104" s="561">
        <v>102514</v>
      </c>
      <c r="EF104" s="561">
        <v>804</v>
      </c>
      <c r="EG104" s="561">
        <v>1169</v>
      </c>
      <c r="EH104" s="561">
        <v>1338</v>
      </c>
      <c r="EI104" s="561">
        <v>1330</v>
      </c>
      <c r="EJ104" s="561">
        <v>0</v>
      </c>
      <c r="EK104" s="561">
        <v>1277</v>
      </c>
      <c r="EL104" s="561">
        <v>0</v>
      </c>
      <c r="EM104" s="561">
        <v>0</v>
      </c>
      <c r="EN104" s="561">
        <v>23053</v>
      </c>
      <c r="EO104" s="561">
        <v>25943</v>
      </c>
      <c r="EP104" s="561">
        <v>782</v>
      </c>
      <c r="EQ104" s="561">
        <v>753</v>
      </c>
      <c r="ER104" s="561">
        <v>0</v>
      </c>
      <c r="ES104" s="561" t="s">
        <v>4565</v>
      </c>
      <c r="ET104" s="561">
        <v>34008</v>
      </c>
      <c r="EU104" s="561">
        <v>0</v>
      </c>
      <c r="EV104" s="561">
        <v>97</v>
      </c>
      <c r="EW104" s="561">
        <v>18727</v>
      </c>
      <c r="EX104" s="561">
        <v>0</v>
      </c>
      <c r="EY104" s="561">
        <v>0</v>
      </c>
      <c r="EZ104" s="561">
        <v>5069</v>
      </c>
      <c r="FA104" s="561">
        <v>11082</v>
      </c>
      <c r="FB104" s="561">
        <v>391</v>
      </c>
      <c r="FC104" s="561">
        <v>34</v>
      </c>
      <c r="FD104" s="561">
        <v>269</v>
      </c>
      <c r="FE104" s="561">
        <v>834</v>
      </c>
      <c r="FF104" s="561">
        <v>923</v>
      </c>
      <c r="FG104" s="561">
        <v>0</v>
      </c>
      <c r="FH104" s="561">
        <v>0</v>
      </c>
      <c r="FI104" s="561">
        <v>0</v>
      </c>
      <c r="FJ104" s="561">
        <v>3172</v>
      </c>
      <c r="FK104" s="561">
        <v>5194</v>
      </c>
      <c r="FL104" s="561">
        <v>19</v>
      </c>
      <c r="FM104" s="561">
        <v>0</v>
      </c>
      <c r="FN104" s="561">
        <v>3957</v>
      </c>
      <c r="FO104" s="561">
        <v>14793</v>
      </c>
      <c r="FP104" s="561">
        <v>0</v>
      </c>
      <c r="FQ104" s="561">
        <v>-1701</v>
      </c>
      <c r="FR104" s="561">
        <v>750</v>
      </c>
      <c r="FS104" s="561">
        <v>0</v>
      </c>
      <c r="FT104" s="561">
        <v>384</v>
      </c>
      <c r="FU104" s="561">
        <v>1438</v>
      </c>
      <c r="FV104" s="561">
        <v>488</v>
      </c>
      <c r="FW104" s="561">
        <v>254</v>
      </c>
      <c r="FX104" s="561">
        <v>0</v>
      </c>
      <c r="FY104" s="561">
        <v>0</v>
      </c>
      <c r="FZ104" s="561">
        <v>-1</v>
      </c>
      <c r="GA104" s="561">
        <v>119</v>
      </c>
      <c r="GB104" s="561">
        <v>241</v>
      </c>
      <c r="GC104" s="561">
        <v>-133</v>
      </c>
      <c r="GD104" s="561">
        <v>156</v>
      </c>
      <c r="GE104" s="561">
        <v>972</v>
      </c>
      <c r="GF104" s="561">
        <v>526</v>
      </c>
      <c r="GG104" s="561">
        <v>184</v>
      </c>
      <c r="GH104" s="561">
        <v>22</v>
      </c>
      <c r="GI104" s="561">
        <v>0</v>
      </c>
      <c r="GJ104" s="561">
        <v>0</v>
      </c>
      <c r="GK104" s="561">
        <v>0</v>
      </c>
      <c r="GL104" s="561">
        <v>3765</v>
      </c>
      <c r="GM104" s="561">
        <v>6254</v>
      </c>
      <c r="GN104" s="561">
        <v>4916</v>
      </c>
      <c r="GO104" s="561">
        <v>1954</v>
      </c>
      <c r="GP104" s="561">
        <v>3846</v>
      </c>
      <c r="GQ104" s="561">
        <v>53</v>
      </c>
      <c r="GR104" s="561">
        <v>0</v>
      </c>
      <c r="GS104" s="561">
        <v>24487</v>
      </c>
      <c r="GT104" s="561">
        <v>0</v>
      </c>
      <c r="GU104" s="561">
        <v>271</v>
      </c>
      <c r="GV104" s="561">
        <v>1567</v>
      </c>
      <c r="GW104" s="561">
        <v>65</v>
      </c>
      <c r="GX104" s="561">
        <v>584</v>
      </c>
      <c r="GY104" s="561">
        <v>423</v>
      </c>
      <c r="GZ104" s="561">
        <v>6520</v>
      </c>
      <c r="HA104" s="561">
        <v>112</v>
      </c>
      <c r="HB104" s="561">
        <v>-140</v>
      </c>
      <c r="HC104" s="561">
        <v>402</v>
      </c>
      <c r="HD104" s="561">
        <v>9804</v>
      </c>
      <c r="HE104" s="561">
        <v>0</v>
      </c>
      <c r="HF104" s="561">
        <v>49084</v>
      </c>
      <c r="HG104" s="561">
        <v>0</v>
      </c>
      <c r="HH104" s="561">
        <v>0</v>
      </c>
      <c r="HI104" s="561">
        <v>0</v>
      </c>
      <c r="HJ104" s="561">
        <v>0</v>
      </c>
      <c r="HK104" s="561">
        <v>0</v>
      </c>
      <c r="HL104" s="561">
        <v>0</v>
      </c>
      <c r="HM104" s="561">
        <v>0</v>
      </c>
      <c r="HN104" s="561">
        <v>0</v>
      </c>
      <c r="HO104" s="561">
        <v>3218</v>
      </c>
      <c r="HP104" s="561">
        <v>1220</v>
      </c>
      <c r="HQ104" s="561">
        <v>0</v>
      </c>
      <c r="HR104" s="561">
        <v>242</v>
      </c>
      <c r="HS104" s="561">
        <v>1497</v>
      </c>
      <c r="HT104" s="561">
        <v>-228</v>
      </c>
      <c r="HU104" s="561">
        <v>0</v>
      </c>
      <c r="HV104" s="561">
        <v>25</v>
      </c>
      <c r="HW104" s="561">
        <v>411</v>
      </c>
      <c r="HX104" s="561">
        <v>479</v>
      </c>
      <c r="HY104" s="561">
        <v>0</v>
      </c>
      <c r="HZ104" s="561">
        <v>-8</v>
      </c>
      <c r="IA104" s="561">
        <v>0</v>
      </c>
      <c r="IB104" s="561">
        <v>0</v>
      </c>
      <c r="IC104" s="561">
        <v>721</v>
      </c>
      <c r="ID104" s="561">
        <v>0</v>
      </c>
      <c r="IE104" s="561">
        <v>854</v>
      </c>
      <c r="IF104" s="561">
        <v>0</v>
      </c>
      <c r="IG104" s="561">
        <v>258</v>
      </c>
      <c r="IH104" s="561">
        <v>-3763</v>
      </c>
      <c r="II104" s="561">
        <v>4926</v>
      </c>
      <c r="IJ104" s="561">
        <v>0</v>
      </c>
      <c r="IK104" s="561">
        <v>10493</v>
      </c>
      <c r="IL104" s="561">
        <v>37317</v>
      </c>
      <c r="IM104" s="561">
        <v>0</v>
      </c>
      <c r="IN104" s="561">
        <v>7750</v>
      </c>
      <c r="IO104" s="561">
        <v>0</v>
      </c>
      <c r="IP104" s="561">
        <v>0</v>
      </c>
      <c r="IQ104" s="561">
        <v>0</v>
      </c>
      <c r="IR104" s="561">
        <v>237344</v>
      </c>
      <c r="IS104" s="561">
        <v>13007</v>
      </c>
      <c r="IT104" s="561">
        <v>85194</v>
      </c>
      <c r="IU104" s="561">
        <v>138849</v>
      </c>
      <c r="IV104" s="561">
        <v>25238</v>
      </c>
      <c r="IW104" s="561">
        <v>4355</v>
      </c>
      <c r="IX104" s="561">
        <v>14793</v>
      </c>
      <c r="IY104" s="561">
        <v>24487</v>
      </c>
      <c r="IZ104" s="561">
        <v>9804</v>
      </c>
      <c r="JA104" s="561">
        <v>0</v>
      </c>
      <c r="JB104" s="561">
        <v>0</v>
      </c>
      <c r="JC104" s="561">
        <v>4926</v>
      </c>
      <c r="JD104" s="561">
        <v>0</v>
      </c>
      <c r="JE104" s="561">
        <v>557997</v>
      </c>
      <c r="JF104" s="561">
        <v>21284</v>
      </c>
      <c r="JG104" s="561">
        <v>0</v>
      </c>
      <c r="JH104" s="561">
        <v>24520</v>
      </c>
      <c r="JI104" s="561">
        <v>0</v>
      </c>
      <c r="JJ104" s="561">
        <v>0</v>
      </c>
      <c r="JK104" s="561">
        <v>0</v>
      </c>
      <c r="JL104" s="561">
        <v>13136</v>
      </c>
      <c r="JM104" s="561">
        <v>0</v>
      </c>
      <c r="JN104" s="561">
        <v>0</v>
      </c>
      <c r="JO104" s="561">
        <v>944</v>
      </c>
      <c r="JP104" s="561">
        <v>35</v>
      </c>
      <c r="JQ104" s="561">
        <v>-1161</v>
      </c>
      <c r="JR104" s="561">
        <v>0</v>
      </c>
      <c r="JS104" s="561">
        <v>-1864</v>
      </c>
      <c r="JT104" s="561">
        <v>-1992</v>
      </c>
      <c r="JU104" s="561">
        <v>0</v>
      </c>
      <c r="JV104" s="561">
        <v>612899</v>
      </c>
      <c r="JW104" s="561">
        <v>116</v>
      </c>
      <c r="JX104" s="561">
        <v>0</v>
      </c>
      <c r="JY104" s="561">
        <v>0</v>
      </c>
      <c r="JZ104" s="561">
        <v>0</v>
      </c>
      <c r="KA104" s="561">
        <v>0</v>
      </c>
      <c r="KB104" s="561">
        <v>2143</v>
      </c>
      <c r="KC104" s="561">
        <v>14896</v>
      </c>
      <c r="KD104" s="561">
        <v>514</v>
      </c>
      <c r="KE104" s="561">
        <v>27064</v>
      </c>
      <c r="KF104" s="561">
        <v>-17450</v>
      </c>
      <c r="KG104" s="561">
        <v>640182</v>
      </c>
      <c r="KH104" s="561">
        <v>-8162</v>
      </c>
      <c r="KI104" s="561">
        <v>112</v>
      </c>
      <c r="KJ104" s="561">
        <v>550</v>
      </c>
      <c r="KK104" s="561">
        <v>0</v>
      </c>
      <c r="KL104" s="561">
        <v>-48379</v>
      </c>
      <c r="KM104" s="561">
        <v>0</v>
      </c>
      <c r="KN104" s="561">
        <v>-67</v>
      </c>
      <c r="KO104" s="561">
        <v>0</v>
      </c>
      <c r="KP104" s="561">
        <v>0</v>
      </c>
      <c r="KQ104" s="561">
        <v>-9369</v>
      </c>
      <c r="KR104" s="561">
        <v>574867</v>
      </c>
      <c r="KS104" s="561">
        <v>-25</v>
      </c>
      <c r="KT104" s="561">
        <v>-316675</v>
      </c>
      <c r="KU104" s="561">
        <v>258167</v>
      </c>
      <c r="KV104" s="561">
        <v>0</v>
      </c>
      <c r="KW104" s="561">
        <v>118</v>
      </c>
      <c r="KX104" s="561">
        <v>0</v>
      </c>
      <c r="KY104" s="561">
        <v>248</v>
      </c>
      <c r="KZ104" s="561">
        <v>-6217</v>
      </c>
      <c r="LA104" s="561">
        <v>16895</v>
      </c>
      <c r="LB104" s="561">
        <v>0</v>
      </c>
      <c r="LC104" s="561">
        <v>0</v>
      </c>
      <c r="LD104" s="561">
        <v>-112626</v>
      </c>
      <c r="LE104" s="561">
        <v>-1004</v>
      </c>
      <c r="LF104" s="561">
        <v>0</v>
      </c>
      <c r="LG104" s="561">
        <v>155581</v>
      </c>
      <c r="LH104" s="561">
        <v>6188</v>
      </c>
      <c r="LI104" s="561">
        <v>-28715</v>
      </c>
      <c r="LJ104" s="561">
        <v>0</v>
      </c>
      <c r="LK104" s="561">
        <v>4609</v>
      </c>
      <c r="LL104" s="561">
        <v>22456</v>
      </c>
      <c r="LM104" s="561">
        <v>8764</v>
      </c>
      <c r="LN104" s="561">
        <v>6306</v>
      </c>
      <c r="LO104" s="561">
        <v>-38084</v>
      </c>
      <c r="LP104" s="561">
        <v>0</v>
      </c>
      <c r="LQ104" s="561">
        <v>4857</v>
      </c>
      <c r="LR104" s="561">
        <v>16239</v>
      </c>
      <c r="LS104" s="561">
        <v>25659</v>
      </c>
      <c r="LT104" s="561">
        <v>0</v>
      </c>
      <c r="LU104" s="561">
        <v>26117</v>
      </c>
      <c r="LV104" s="561">
        <v>0</v>
      </c>
      <c r="LW104" s="561">
        <v>-478</v>
      </c>
      <c r="LX104" s="561">
        <v>-35854</v>
      </c>
      <c r="LY104" s="561">
        <v>13574</v>
      </c>
      <c r="LZ104" s="561">
        <v>3359</v>
      </c>
      <c r="MA104" s="561">
        <v>0</v>
      </c>
      <c r="MB104" s="561">
        <v>0</v>
      </c>
      <c r="MC104" s="561">
        <v>108432</v>
      </c>
      <c r="MD104" s="561">
        <v>103363</v>
      </c>
      <c r="ME104" s="561">
        <v>5069</v>
      </c>
      <c r="MF104" s="561">
        <v>11082</v>
      </c>
      <c r="MG104" s="561">
        <v>16151</v>
      </c>
      <c r="MH104" s="561">
        <v>9542</v>
      </c>
      <c r="MI104" s="561">
        <v>10889</v>
      </c>
      <c r="MJ104" s="561">
        <v>20431</v>
      </c>
      <c r="MK104" s="561">
        <v>0</v>
      </c>
      <c r="ML104" s="561">
        <v>0</v>
      </c>
      <c r="MM104" s="561">
        <v>16239</v>
      </c>
      <c r="MN104" s="561">
        <v>0</v>
      </c>
      <c r="MO104" s="561">
        <v>0</v>
      </c>
      <c r="MP104" s="561">
        <v>0</v>
      </c>
      <c r="MQ104" s="561">
        <v>237344</v>
      </c>
      <c r="MR104" s="561">
        <v>13007</v>
      </c>
      <c r="MS104" s="561">
        <v>85194</v>
      </c>
      <c r="MT104" s="561">
        <v>138849</v>
      </c>
      <c r="MU104" s="561">
        <v>25238</v>
      </c>
      <c r="MV104" s="561">
        <v>4355</v>
      </c>
      <c r="MW104" s="561">
        <v>14793</v>
      </c>
      <c r="MX104" s="561">
        <v>24487</v>
      </c>
      <c r="MY104" s="561">
        <v>9804</v>
      </c>
      <c r="MZ104" s="561">
        <v>0</v>
      </c>
      <c r="NA104" s="561">
        <v>0</v>
      </c>
      <c r="NB104" s="561">
        <v>4926</v>
      </c>
      <c r="NC104" s="561">
        <v>0</v>
      </c>
      <c r="ND104" s="561">
        <v>557997</v>
      </c>
      <c r="NE104" s="561">
        <v>0</v>
      </c>
      <c r="NF104" s="561">
        <v>0</v>
      </c>
      <c r="NG104" s="561">
        <v>0</v>
      </c>
      <c r="NH104" s="561">
        <v>0</v>
      </c>
      <c r="NI104" s="561">
        <v>0</v>
      </c>
      <c r="NJ104" s="561">
        <v>0</v>
      </c>
      <c r="NK104" s="561">
        <v>0</v>
      </c>
      <c r="NL104" s="561">
        <v>0</v>
      </c>
      <c r="NM104" s="561">
        <v>0</v>
      </c>
      <c r="NN104" s="561">
        <v>0</v>
      </c>
      <c r="NO104" s="561">
        <v>0</v>
      </c>
      <c r="NP104" s="561">
        <v>0</v>
      </c>
      <c r="NQ104" s="561">
        <v>0</v>
      </c>
      <c r="NR104" s="561">
        <v>0</v>
      </c>
      <c r="NS104" s="561">
        <v>0</v>
      </c>
      <c r="NT104" s="561">
        <v>0</v>
      </c>
      <c r="NU104" s="561">
        <v>0</v>
      </c>
      <c r="NV104" s="561">
        <v>0</v>
      </c>
      <c r="NW104" s="561">
        <v>35</v>
      </c>
      <c r="NX104" s="561">
        <v>0</v>
      </c>
      <c r="NY104" s="561">
        <v>35</v>
      </c>
      <c r="NZ104" s="561">
        <v>-12</v>
      </c>
      <c r="OA104" s="561">
        <v>35</v>
      </c>
      <c r="OB104" s="561">
        <v>0</v>
      </c>
      <c r="OC104" s="561">
        <v>0</v>
      </c>
      <c r="OD104" s="561">
        <v>0</v>
      </c>
      <c r="OE104" s="561">
        <v>0</v>
      </c>
      <c r="OF104" s="561">
        <v>0</v>
      </c>
      <c r="OG104" s="561">
        <v>0</v>
      </c>
      <c r="OH104" s="561">
        <v>0</v>
      </c>
      <c r="OI104" s="561">
        <v>-436</v>
      </c>
      <c r="OJ104" s="561">
        <v>0</v>
      </c>
      <c r="OK104" s="561">
        <v>282</v>
      </c>
      <c r="OL104" s="561">
        <v>0</v>
      </c>
      <c r="OM104" s="561">
        <v>0</v>
      </c>
      <c r="ON104" s="561">
        <v>-3784</v>
      </c>
      <c r="OO104" s="561">
        <v>0</v>
      </c>
      <c r="OP104" s="561">
        <v>882</v>
      </c>
      <c r="OQ104" s="561">
        <v>0</v>
      </c>
      <c r="OR104" s="561">
        <v>8</v>
      </c>
      <c r="OS104" s="561">
        <v>0</v>
      </c>
      <c r="OT104" s="561">
        <v>0</v>
      </c>
      <c r="OU104" s="561">
        <v>0</v>
      </c>
      <c r="OV104" s="561">
        <v>-1679</v>
      </c>
      <c r="OW104" s="561">
        <v>1864</v>
      </c>
      <c r="OX104" s="561">
        <v>-1161</v>
      </c>
      <c r="OY104" s="561">
        <v>0</v>
      </c>
      <c r="OZ104" s="561">
        <v>0</v>
      </c>
      <c r="PA104" s="561">
        <v>0</v>
      </c>
      <c r="PB104" s="561">
        <v>0</v>
      </c>
      <c r="PC104" s="561">
        <v>0</v>
      </c>
      <c r="PD104" s="561">
        <v>0</v>
      </c>
      <c r="PE104" s="561">
        <v>1864</v>
      </c>
      <c r="PF104" s="561">
        <v>0</v>
      </c>
      <c r="PG104" s="561">
        <v>0</v>
      </c>
      <c r="PH104" s="561">
        <v>0</v>
      </c>
      <c r="PI104" s="561">
        <v>0</v>
      </c>
      <c r="PJ104" s="561">
        <v>1864</v>
      </c>
    </row>
    <row r="105" spans="1:426" ht="14" x14ac:dyDescent="0.3">
      <c r="A105" t="s">
        <v>2750</v>
      </c>
      <c r="B105" t="s">
        <v>2751</v>
      </c>
      <c r="C105" t="s">
        <v>4596</v>
      </c>
      <c r="E105" t="s">
        <v>2466</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0</v>
      </c>
      <c r="W105" s="561">
        <v>0</v>
      </c>
      <c r="X105" s="561">
        <v>0</v>
      </c>
      <c r="Y105" s="561">
        <v>0</v>
      </c>
      <c r="Z105" s="561">
        <v>0</v>
      </c>
      <c r="AA105" s="561">
        <v>0</v>
      </c>
      <c r="AB105" s="561">
        <v>0</v>
      </c>
      <c r="AC105" s="561">
        <v>0</v>
      </c>
      <c r="AD105" s="561">
        <v>0</v>
      </c>
      <c r="AE105" s="561">
        <v>0</v>
      </c>
      <c r="AF105" s="561">
        <v>0</v>
      </c>
      <c r="AG105" s="561">
        <v>0</v>
      </c>
      <c r="AH105" s="561">
        <v>0</v>
      </c>
      <c r="AI105" s="561">
        <v>0</v>
      </c>
      <c r="AJ105" s="561">
        <v>0</v>
      </c>
      <c r="AK105" s="561">
        <v>0</v>
      </c>
      <c r="AL105" s="561">
        <v>0</v>
      </c>
      <c r="AM105" s="561">
        <v>0</v>
      </c>
      <c r="AN105" s="561">
        <v>0</v>
      </c>
      <c r="AO105" s="561">
        <v>0</v>
      </c>
      <c r="AP105" s="561">
        <v>0</v>
      </c>
      <c r="AQ105" s="561">
        <v>0</v>
      </c>
      <c r="AR105" s="561">
        <v>0</v>
      </c>
      <c r="AS105" s="561">
        <v>0</v>
      </c>
      <c r="AT105" s="561">
        <v>0</v>
      </c>
      <c r="AU105" s="561">
        <v>0</v>
      </c>
      <c r="AV105" s="561">
        <v>0</v>
      </c>
      <c r="AW105" s="561">
        <v>0</v>
      </c>
      <c r="AX105" s="561">
        <v>0</v>
      </c>
      <c r="AY105" s="561">
        <v>0</v>
      </c>
      <c r="AZ105" s="561">
        <v>0</v>
      </c>
      <c r="BA105" s="561">
        <v>0</v>
      </c>
      <c r="BB105" s="561">
        <v>0</v>
      </c>
      <c r="BC105" s="561">
        <v>0</v>
      </c>
      <c r="BD105" s="561">
        <v>0</v>
      </c>
      <c r="BE105" s="561">
        <v>0</v>
      </c>
      <c r="BF105" s="561">
        <v>0</v>
      </c>
      <c r="BG105" s="561">
        <v>0</v>
      </c>
      <c r="BH105" s="561">
        <v>0</v>
      </c>
      <c r="BI105" s="561">
        <v>0</v>
      </c>
      <c r="BJ105" s="561">
        <v>0</v>
      </c>
      <c r="BK105" s="561">
        <v>0</v>
      </c>
      <c r="BL105" s="561">
        <v>0</v>
      </c>
      <c r="BM105" s="561">
        <v>0</v>
      </c>
      <c r="BN105" s="561">
        <v>0</v>
      </c>
      <c r="BO105" s="561">
        <v>0</v>
      </c>
      <c r="BP105" s="561">
        <v>0</v>
      </c>
      <c r="BQ105" s="561">
        <v>0</v>
      </c>
      <c r="BR105" s="561">
        <v>0</v>
      </c>
      <c r="BS105" s="561">
        <v>0</v>
      </c>
      <c r="BT105" s="561">
        <v>0</v>
      </c>
      <c r="BU105" s="561">
        <v>0</v>
      </c>
      <c r="BV105" s="561">
        <v>0</v>
      </c>
      <c r="BW105" s="561">
        <v>0</v>
      </c>
      <c r="BX105" s="561">
        <v>0</v>
      </c>
      <c r="BY105" s="561">
        <v>0</v>
      </c>
      <c r="BZ105" s="561">
        <v>0</v>
      </c>
      <c r="CA105" s="561">
        <v>0</v>
      </c>
      <c r="CB105" s="561">
        <v>0</v>
      </c>
      <c r="CC105" s="561">
        <v>0</v>
      </c>
      <c r="CD105" s="561">
        <v>0</v>
      </c>
      <c r="CE105" s="561">
        <v>0</v>
      </c>
      <c r="CF105" s="561">
        <v>0</v>
      </c>
      <c r="CG105" s="561">
        <v>0</v>
      </c>
      <c r="CH105" s="561">
        <v>0</v>
      </c>
      <c r="CI105" s="561">
        <v>0</v>
      </c>
      <c r="CJ105" s="561">
        <v>0</v>
      </c>
      <c r="CK105" s="561">
        <v>0</v>
      </c>
      <c r="CL105" s="561">
        <v>0</v>
      </c>
      <c r="CM105" s="561">
        <v>0</v>
      </c>
      <c r="CN105" s="561">
        <v>0</v>
      </c>
      <c r="CO105" s="561">
        <v>0</v>
      </c>
      <c r="CP105" s="561">
        <v>0</v>
      </c>
      <c r="CQ105" s="561">
        <v>0</v>
      </c>
      <c r="CR105" s="561">
        <v>0</v>
      </c>
      <c r="CS105" s="561">
        <v>0</v>
      </c>
      <c r="CT105" s="561">
        <v>0</v>
      </c>
      <c r="CU105" s="561">
        <v>0</v>
      </c>
      <c r="CV105" s="561">
        <v>0</v>
      </c>
      <c r="CW105" s="561">
        <v>0</v>
      </c>
      <c r="CX105" s="561">
        <v>0</v>
      </c>
      <c r="CY105" s="561">
        <v>0</v>
      </c>
      <c r="CZ105" s="561">
        <v>0</v>
      </c>
      <c r="DA105" s="561">
        <v>0</v>
      </c>
      <c r="DB105" s="561">
        <v>0</v>
      </c>
      <c r="DC105" s="561">
        <v>0</v>
      </c>
      <c r="DD105" s="561">
        <v>0</v>
      </c>
      <c r="DE105" s="561">
        <v>0</v>
      </c>
      <c r="DF105" s="561">
        <v>0</v>
      </c>
      <c r="DG105" s="561">
        <v>0</v>
      </c>
      <c r="DH105" s="561">
        <v>0</v>
      </c>
      <c r="DI105" s="561">
        <v>0</v>
      </c>
      <c r="DJ105" s="561">
        <v>0</v>
      </c>
      <c r="DK105" s="561">
        <v>0</v>
      </c>
      <c r="DL105" s="561">
        <v>0</v>
      </c>
      <c r="DM105" s="561">
        <v>0</v>
      </c>
      <c r="DN105" s="561">
        <v>0</v>
      </c>
      <c r="DO105" s="561">
        <v>0</v>
      </c>
      <c r="DP105" s="561">
        <v>0</v>
      </c>
      <c r="DQ105" s="561">
        <v>0</v>
      </c>
      <c r="DR105" s="561">
        <v>0</v>
      </c>
      <c r="DS105" s="561">
        <v>0</v>
      </c>
      <c r="DT105" s="561">
        <v>0</v>
      </c>
      <c r="DU105" s="561">
        <v>0</v>
      </c>
      <c r="DV105" s="561">
        <v>0</v>
      </c>
      <c r="DW105" s="561">
        <v>0</v>
      </c>
      <c r="DX105" s="561">
        <v>0</v>
      </c>
      <c r="DY105" s="561">
        <v>0</v>
      </c>
      <c r="DZ105" s="561">
        <v>0</v>
      </c>
      <c r="EA105" s="561">
        <v>0</v>
      </c>
      <c r="EB105" s="561">
        <v>0</v>
      </c>
      <c r="EC105" s="561">
        <v>0</v>
      </c>
      <c r="ED105" s="561">
        <v>0</v>
      </c>
      <c r="EE105" s="561">
        <v>0</v>
      </c>
      <c r="EF105" s="561">
        <v>0</v>
      </c>
      <c r="EG105" s="561">
        <v>0</v>
      </c>
      <c r="EH105" s="561">
        <v>0</v>
      </c>
      <c r="EI105" s="561">
        <v>0</v>
      </c>
      <c r="EJ105" s="561">
        <v>0</v>
      </c>
      <c r="EK105" s="561">
        <v>0</v>
      </c>
      <c r="EL105" s="561">
        <v>0</v>
      </c>
      <c r="EM105" s="561">
        <v>0</v>
      </c>
      <c r="EN105" s="561">
        <v>0</v>
      </c>
      <c r="EO105" s="561">
        <v>0</v>
      </c>
      <c r="EP105" s="561">
        <v>0</v>
      </c>
      <c r="EQ105" s="561">
        <v>0</v>
      </c>
      <c r="ER105" s="561">
        <v>0</v>
      </c>
      <c r="ES105" s="561" t="s">
        <v>4565</v>
      </c>
      <c r="ET105" s="561">
        <v>0</v>
      </c>
      <c r="EU105" s="561">
        <v>0</v>
      </c>
      <c r="EV105" s="561">
        <v>0</v>
      </c>
      <c r="EW105" s="561">
        <v>0</v>
      </c>
      <c r="EX105" s="561">
        <v>0</v>
      </c>
      <c r="EY105" s="561">
        <v>0</v>
      </c>
      <c r="EZ105" s="561">
        <v>0</v>
      </c>
      <c r="FA105" s="561">
        <v>0</v>
      </c>
      <c r="FB105" s="561">
        <v>0</v>
      </c>
      <c r="FC105" s="561">
        <v>0</v>
      </c>
      <c r="FD105" s="561">
        <v>0</v>
      </c>
      <c r="FE105" s="561">
        <v>0</v>
      </c>
      <c r="FF105" s="561">
        <v>0</v>
      </c>
      <c r="FG105" s="561">
        <v>0</v>
      </c>
      <c r="FH105" s="561">
        <v>0</v>
      </c>
      <c r="FI105" s="561">
        <v>0</v>
      </c>
      <c r="FJ105" s="561">
        <v>0</v>
      </c>
      <c r="FK105" s="561">
        <v>0</v>
      </c>
      <c r="FL105" s="561">
        <v>0</v>
      </c>
      <c r="FM105" s="561">
        <v>0</v>
      </c>
      <c r="FN105" s="561">
        <v>0</v>
      </c>
      <c r="FO105" s="561">
        <v>0</v>
      </c>
      <c r="FP105" s="561">
        <v>0</v>
      </c>
      <c r="FQ105" s="561">
        <v>0</v>
      </c>
      <c r="FR105" s="561">
        <v>0</v>
      </c>
      <c r="FS105" s="561">
        <v>0</v>
      </c>
      <c r="FT105" s="561">
        <v>0</v>
      </c>
      <c r="FU105" s="561">
        <v>0</v>
      </c>
      <c r="FV105" s="561">
        <v>0</v>
      </c>
      <c r="FW105" s="561">
        <v>0</v>
      </c>
      <c r="FX105" s="561">
        <v>0</v>
      </c>
      <c r="FY105" s="561">
        <v>0</v>
      </c>
      <c r="FZ105" s="561">
        <v>0</v>
      </c>
      <c r="GA105" s="561">
        <v>0</v>
      </c>
      <c r="GB105" s="561">
        <v>0</v>
      </c>
      <c r="GC105" s="561">
        <v>0</v>
      </c>
      <c r="GD105" s="561">
        <v>0</v>
      </c>
      <c r="GE105" s="561">
        <v>0</v>
      </c>
      <c r="GF105" s="561">
        <v>0</v>
      </c>
      <c r="GG105" s="561">
        <v>0</v>
      </c>
      <c r="GH105" s="561">
        <v>0</v>
      </c>
      <c r="GI105" s="561">
        <v>0</v>
      </c>
      <c r="GJ105" s="561">
        <v>0</v>
      </c>
      <c r="GK105" s="561">
        <v>0</v>
      </c>
      <c r="GL105" s="561">
        <v>0</v>
      </c>
      <c r="GM105" s="561">
        <v>0</v>
      </c>
      <c r="GN105" s="561">
        <v>0</v>
      </c>
      <c r="GO105" s="561">
        <v>0</v>
      </c>
      <c r="GP105" s="561">
        <v>0</v>
      </c>
      <c r="GQ105" s="561">
        <v>0</v>
      </c>
      <c r="GR105" s="561">
        <v>0</v>
      </c>
      <c r="GS105" s="561">
        <v>0</v>
      </c>
      <c r="GT105" s="561">
        <v>0</v>
      </c>
      <c r="GU105" s="561">
        <v>0</v>
      </c>
      <c r="GV105" s="561">
        <v>0</v>
      </c>
      <c r="GW105" s="561">
        <v>0</v>
      </c>
      <c r="GX105" s="561">
        <v>0</v>
      </c>
      <c r="GY105" s="561">
        <v>0</v>
      </c>
      <c r="GZ105" s="561">
        <v>0</v>
      </c>
      <c r="HA105" s="561">
        <v>0</v>
      </c>
      <c r="HB105" s="561">
        <v>0</v>
      </c>
      <c r="HC105" s="561">
        <v>0</v>
      </c>
      <c r="HD105" s="561">
        <v>0</v>
      </c>
      <c r="HE105" s="561">
        <v>0</v>
      </c>
      <c r="HF105" s="561">
        <v>0</v>
      </c>
      <c r="HG105" s="561">
        <v>0</v>
      </c>
      <c r="HH105" s="561">
        <v>0</v>
      </c>
      <c r="HI105" s="561">
        <v>0</v>
      </c>
      <c r="HJ105" s="561">
        <v>7183</v>
      </c>
      <c r="HK105" s="561">
        <v>28950</v>
      </c>
      <c r="HL105" s="561">
        <v>0</v>
      </c>
      <c r="HM105" s="561">
        <v>36133</v>
      </c>
      <c r="HN105" s="561">
        <v>13</v>
      </c>
      <c r="HO105" s="561">
        <v>310</v>
      </c>
      <c r="HP105" s="561">
        <v>0</v>
      </c>
      <c r="HQ105" s="561">
        <v>0</v>
      </c>
      <c r="HR105" s="561">
        <v>0</v>
      </c>
      <c r="HS105" s="561">
        <v>0</v>
      </c>
      <c r="HT105" s="561">
        <v>0</v>
      </c>
      <c r="HU105" s="561">
        <v>0</v>
      </c>
      <c r="HV105" s="561">
        <v>0</v>
      </c>
      <c r="HW105" s="561">
        <v>0</v>
      </c>
      <c r="HX105" s="561">
        <v>0</v>
      </c>
      <c r="HY105" s="561">
        <v>0</v>
      </c>
      <c r="HZ105" s="561">
        <v>0</v>
      </c>
      <c r="IA105" s="561">
        <v>0</v>
      </c>
      <c r="IB105" s="561">
        <v>0</v>
      </c>
      <c r="IC105" s="561">
        <v>0</v>
      </c>
      <c r="ID105" s="561">
        <v>0</v>
      </c>
      <c r="IE105" s="561">
        <v>0</v>
      </c>
      <c r="IF105" s="561">
        <v>0</v>
      </c>
      <c r="IG105" s="561">
        <v>0</v>
      </c>
      <c r="IH105" s="561">
        <v>0</v>
      </c>
      <c r="II105" s="561">
        <v>310</v>
      </c>
      <c r="IJ105" s="561">
        <v>0</v>
      </c>
      <c r="IK105" s="561">
        <v>0</v>
      </c>
      <c r="IL105" s="561">
        <v>0</v>
      </c>
      <c r="IM105" s="561">
        <v>0</v>
      </c>
      <c r="IN105" s="561">
        <v>0</v>
      </c>
      <c r="IO105" s="561">
        <v>0</v>
      </c>
      <c r="IP105" s="561">
        <v>0</v>
      </c>
      <c r="IQ105" s="561">
        <v>0</v>
      </c>
      <c r="IR105" s="561">
        <v>0</v>
      </c>
      <c r="IS105" s="561">
        <v>0</v>
      </c>
      <c r="IT105" s="561">
        <v>0</v>
      </c>
      <c r="IU105" s="561">
        <v>0</v>
      </c>
      <c r="IV105" s="561">
        <v>0</v>
      </c>
      <c r="IW105" s="561">
        <v>0</v>
      </c>
      <c r="IX105" s="561">
        <v>0</v>
      </c>
      <c r="IY105" s="561">
        <v>0</v>
      </c>
      <c r="IZ105" s="561">
        <v>0</v>
      </c>
      <c r="JA105" s="561">
        <v>0</v>
      </c>
      <c r="JB105" s="561">
        <v>36133</v>
      </c>
      <c r="JC105" s="561">
        <v>310</v>
      </c>
      <c r="JD105" s="561">
        <v>0</v>
      </c>
      <c r="JE105" s="561">
        <v>36443</v>
      </c>
      <c r="JF105" s="561">
        <v>0</v>
      </c>
      <c r="JG105" s="561">
        <v>0</v>
      </c>
      <c r="JH105" s="561">
        <v>0</v>
      </c>
      <c r="JI105" s="561">
        <v>0</v>
      </c>
      <c r="JJ105" s="561">
        <v>0</v>
      </c>
      <c r="JK105" s="561">
        <v>0</v>
      </c>
      <c r="JL105" s="561">
        <v>0</v>
      </c>
      <c r="JM105" s="561">
        <v>0</v>
      </c>
      <c r="JN105" s="561">
        <v>0</v>
      </c>
      <c r="JO105" s="561">
        <v>0</v>
      </c>
      <c r="JP105" s="561">
        <v>0</v>
      </c>
      <c r="JQ105" s="561">
        <v>0</v>
      </c>
      <c r="JR105" s="561">
        <v>0</v>
      </c>
      <c r="JS105" s="561">
        <v>0</v>
      </c>
      <c r="JT105" s="561">
        <v>18</v>
      </c>
      <c r="JU105" s="561">
        <v>0</v>
      </c>
      <c r="JV105" s="561">
        <v>36461</v>
      </c>
      <c r="JW105" s="561">
        <v>0</v>
      </c>
      <c r="JX105" s="561">
        <v>1081</v>
      </c>
      <c r="JY105" s="561">
        <v>0</v>
      </c>
      <c r="JZ105" s="561">
        <v>0</v>
      </c>
      <c r="KA105" s="561">
        <v>0</v>
      </c>
      <c r="KB105" s="561">
        <v>0</v>
      </c>
      <c r="KC105" s="561">
        <v>400</v>
      </c>
      <c r="KD105" s="561">
        <v>0</v>
      </c>
      <c r="KE105" s="561">
        <v>121</v>
      </c>
      <c r="KF105" s="561">
        <v>0</v>
      </c>
      <c r="KG105" s="561">
        <v>38063</v>
      </c>
      <c r="KH105" s="561">
        <v>-625</v>
      </c>
      <c r="KI105" s="561">
        <v>0</v>
      </c>
      <c r="KJ105" s="561">
        <v>0</v>
      </c>
      <c r="KK105" s="561">
        <v>0</v>
      </c>
      <c r="KL105" s="561">
        <v>0</v>
      </c>
      <c r="KM105" s="561">
        <v>0</v>
      </c>
      <c r="KN105" s="561">
        <v>0</v>
      </c>
      <c r="KO105" s="561">
        <v>0</v>
      </c>
      <c r="KP105" s="561">
        <v>0</v>
      </c>
      <c r="KQ105" s="561">
        <v>0</v>
      </c>
      <c r="KR105" s="561">
        <v>37438</v>
      </c>
      <c r="KS105" s="561">
        <v>0</v>
      </c>
      <c r="KT105" s="561">
        <v>-3953</v>
      </c>
      <c r="KU105" s="561">
        <v>33485</v>
      </c>
      <c r="KV105" s="561">
        <v>0</v>
      </c>
      <c r="KW105" s="561">
        <v>0</v>
      </c>
      <c r="KX105" s="561">
        <v>0</v>
      </c>
      <c r="KY105" s="561">
        <v>0</v>
      </c>
      <c r="KZ105" s="561">
        <v>1351</v>
      </c>
      <c r="LA105" s="561">
        <v>56</v>
      </c>
      <c r="LB105" s="561">
        <v>-5795</v>
      </c>
      <c r="LC105" s="561">
        <v>0</v>
      </c>
      <c r="LD105" s="561">
        <v>-7764</v>
      </c>
      <c r="LE105" s="561">
        <v>158</v>
      </c>
      <c r="LF105" s="561">
        <v>0</v>
      </c>
      <c r="LG105" s="561">
        <v>21491</v>
      </c>
      <c r="LH105" s="561">
        <v>0</v>
      </c>
      <c r="LI105" s="561">
        <v>0</v>
      </c>
      <c r="LJ105" s="561">
        <v>0</v>
      </c>
      <c r="LK105" s="561">
        <v>0</v>
      </c>
      <c r="LL105" s="561">
        <v>4231</v>
      </c>
      <c r="LM105" s="561">
        <v>1773</v>
      </c>
      <c r="LN105" s="561">
        <v>0</v>
      </c>
      <c r="LO105" s="561">
        <v>0</v>
      </c>
      <c r="LP105" s="561">
        <v>0</v>
      </c>
      <c r="LQ105" s="561">
        <v>0</v>
      </c>
      <c r="LR105" s="561">
        <v>5582</v>
      </c>
      <c r="LS105" s="561">
        <v>1829</v>
      </c>
      <c r="LT105" s="561">
        <v>0</v>
      </c>
      <c r="LU105" s="561">
        <v>2170</v>
      </c>
      <c r="LV105" s="561">
        <v>0</v>
      </c>
      <c r="LW105" s="561">
        <v>137</v>
      </c>
      <c r="LX105" s="561">
        <v>0</v>
      </c>
      <c r="LY105" s="561">
        <v>0</v>
      </c>
      <c r="LZ105" s="561">
        <v>2307</v>
      </c>
      <c r="MA105" s="561">
        <v>0</v>
      </c>
      <c r="MB105" s="561">
        <v>0</v>
      </c>
      <c r="MC105" s="561">
        <v>0</v>
      </c>
      <c r="MD105" s="561">
        <v>0</v>
      </c>
      <c r="ME105" s="561">
        <v>0</v>
      </c>
      <c r="MF105" s="561">
        <v>0</v>
      </c>
      <c r="MG105" s="561">
        <v>0</v>
      </c>
      <c r="MH105" s="561">
        <v>0</v>
      </c>
      <c r="MI105" s="561">
        <v>0</v>
      </c>
      <c r="MJ105" s="561">
        <v>0</v>
      </c>
      <c r="MK105" s="561">
        <v>0</v>
      </c>
      <c r="ML105" s="561">
        <v>0</v>
      </c>
      <c r="MM105" s="561">
        <v>3471</v>
      </c>
      <c r="MN105" s="561">
        <v>2111</v>
      </c>
      <c r="MO105" s="561">
        <v>0</v>
      </c>
      <c r="MP105" s="561">
        <v>0</v>
      </c>
      <c r="MQ105" s="561">
        <v>0</v>
      </c>
      <c r="MR105" s="561">
        <v>0</v>
      </c>
      <c r="MS105" s="561">
        <v>0</v>
      </c>
      <c r="MT105" s="561">
        <v>0</v>
      </c>
      <c r="MU105" s="561">
        <v>0</v>
      </c>
      <c r="MV105" s="561">
        <v>0</v>
      </c>
      <c r="MW105" s="561">
        <v>0</v>
      </c>
      <c r="MX105" s="561">
        <v>0</v>
      </c>
      <c r="MY105" s="561">
        <v>0</v>
      </c>
      <c r="MZ105" s="561">
        <v>0</v>
      </c>
      <c r="NA105" s="561">
        <v>36133</v>
      </c>
      <c r="NB105" s="561">
        <v>310</v>
      </c>
      <c r="NC105" s="561">
        <v>0</v>
      </c>
      <c r="ND105" s="561">
        <v>36443</v>
      </c>
      <c r="NE105" s="561">
        <v>0</v>
      </c>
      <c r="NF105" s="561">
        <v>0</v>
      </c>
      <c r="NG105" s="561">
        <v>0</v>
      </c>
      <c r="NH105" s="561">
        <v>0</v>
      </c>
      <c r="NI105" s="561">
        <v>0</v>
      </c>
      <c r="NJ105" s="561">
        <v>0</v>
      </c>
      <c r="NK105" s="561">
        <v>0</v>
      </c>
      <c r="NL105" s="561">
        <v>0</v>
      </c>
      <c r="NM105" s="561">
        <v>0</v>
      </c>
      <c r="NN105" s="561">
        <v>0</v>
      </c>
      <c r="NO105" s="561">
        <v>0</v>
      </c>
      <c r="NP105" s="561">
        <v>0</v>
      </c>
      <c r="NQ105" s="561">
        <v>0</v>
      </c>
      <c r="NR105" s="561">
        <v>0</v>
      </c>
      <c r="NS105" s="561">
        <v>0</v>
      </c>
      <c r="NT105" s="561">
        <v>0</v>
      </c>
      <c r="NU105" s="561">
        <v>62</v>
      </c>
      <c r="NV105" s="561">
        <v>0</v>
      </c>
      <c r="NW105" s="561">
        <v>0</v>
      </c>
      <c r="NX105" s="561">
        <v>0</v>
      </c>
      <c r="NY105" s="561">
        <v>0</v>
      </c>
      <c r="NZ105" s="561">
        <v>0</v>
      </c>
      <c r="OA105" s="561">
        <v>0</v>
      </c>
      <c r="OB105" s="561">
        <v>0</v>
      </c>
      <c r="OC105" s="561">
        <v>0</v>
      </c>
      <c r="OD105" s="561">
        <v>0</v>
      </c>
      <c r="OE105" s="561">
        <v>0</v>
      </c>
      <c r="OF105" s="561">
        <v>0</v>
      </c>
      <c r="OG105" s="561">
        <v>0</v>
      </c>
      <c r="OH105" s="561">
        <v>0</v>
      </c>
      <c r="OI105" s="561">
        <v>0</v>
      </c>
      <c r="OJ105" s="561">
        <v>0</v>
      </c>
      <c r="OK105" s="561">
        <v>0</v>
      </c>
      <c r="OL105" s="561">
        <v>0</v>
      </c>
      <c r="OM105" s="561">
        <v>0</v>
      </c>
      <c r="ON105" s="561">
        <v>0</v>
      </c>
      <c r="OO105" s="561">
        <v>0</v>
      </c>
      <c r="OP105" s="561">
        <v>0</v>
      </c>
      <c r="OQ105" s="561">
        <v>0</v>
      </c>
      <c r="OR105" s="561">
        <v>0</v>
      </c>
      <c r="OS105" s="561">
        <v>0</v>
      </c>
      <c r="OT105" s="561">
        <v>0</v>
      </c>
      <c r="OU105" s="561">
        <v>0</v>
      </c>
      <c r="OV105" s="561">
        <v>-7853</v>
      </c>
      <c r="OW105" s="561">
        <v>0</v>
      </c>
      <c r="OX105" s="561">
        <v>0</v>
      </c>
      <c r="OY105" s="561">
        <v>0</v>
      </c>
      <c r="OZ105" s="561">
        <v>0</v>
      </c>
      <c r="PA105" s="561">
        <v>0</v>
      </c>
      <c r="PB105" s="561">
        <v>0</v>
      </c>
      <c r="PC105" s="561">
        <v>0</v>
      </c>
      <c r="PD105" s="561">
        <v>0</v>
      </c>
      <c r="PE105" s="561">
        <v>0</v>
      </c>
      <c r="PF105" s="561">
        <v>0</v>
      </c>
      <c r="PG105" s="561">
        <v>0</v>
      </c>
      <c r="PH105" s="561">
        <v>0</v>
      </c>
      <c r="PI105" s="561">
        <v>0</v>
      </c>
      <c r="PJ105" s="561">
        <v>0</v>
      </c>
    </row>
    <row r="106" spans="1:426" ht="14" x14ac:dyDescent="0.3">
      <c r="A106" t="s">
        <v>2753</v>
      </c>
      <c r="B106" t="s">
        <v>2754</v>
      </c>
      <c r="C106" t="s">
        <v>2755</v>
      </c>
      <c r="E106" t="s">
        <v>2466</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0</v>
      </c>
      <c r="W106" s="561">
        <v>0</v>
      </c>
      <c r="X106" s="561">
        <v>0</v>
      </c>
      <c r="Y106" s="561">
        <v>0</v>
      </c>
      <c r="Z106" s="561">
        <v>0</v>
      </c>
      <c r="AA106" s="561">
        <v>0</v>
      </c>
      <c r="AB106" s="561">
        <v>0</v>
      </c>
      <c r="AC106" s="561">
        <v>0</v>
      </c>
      <c r="AD106" s="561">
        <v>0</v>
      </c>
      <c r="AE106" s="561">
        <v>0</v>
      </c>
      <c r="AF106" s="561">
        <v>0</v>
      </c>
      <c r="AG106" s="561">
        <v>0</v>
      </c>
      <c r="AH106" s="561">
        <v>0</v>
      </c>
      <c r="AI106" s="561">
        <v>0</v>
      </c>
      <c r="AJ106" s="561">
        <v>0</v>
      </c>
      <c r="AK106" s="561">
        <v>0</v>
      </c>
      <c r="AL106" s="561">
        <v>0</v>
      </c>
      <c r="AM106" s="561">
        <v>0</v>
      </c>
      <c r="AN106" s="561">
        <v>0</v>
      </c>
      <c r="AO106" s="561">
        <v>0</v>
      </c>
      <c r="AP106" s="561">
        <v>0</v>
      </c>
      <c r="AQ106" s="561">
        <v>0</v>
      </c>
      <c r="AR106" s="561">
        <v>0</v>
      </c>
      <c r="AS106" s="561">
        <v>0</v>
      </c>
      <c r="AT106" s="561">
        <v>0</v>
      </c>
      <c r="AU106" s="561">
        <v>0</v>
      </c>
      <c r="AV106" s="561">
        <v>0</v>
      </c>
      <c r="AW106" s="561">
        <v>0</v>
      </c>
      <c r="AX106" s="561">
        <v>0</v>
      </c>
      <c r="AY106" s="561">
        <v>0</v>
      </c>
      <c r="AZ106" s="561">
        <v>0</v>
      </c>
      <c r="BA106" s="561">
        <v>0</v>
      </c>
      <c r="BB106" s="561">
        <v>0</v>
      </c>
      <c r="BC106" s="561">
        <v>0</v>
      </c>
      <c r="BD106" s="561">
        <v>0</v>
      </c>
      <c r="BE106" s="561">
        <v>0</v>
      </c>
      <c r="BF106" s="561">
        <v>0</v>
      </c>
      <c r="BG106" s="561">
        <v>0</v>
      </c>
      <c r="BH106" s="561">
        <v>0</v>
      </c>
      <c r="BI106" s="561">
        <v>0</v>
      </c>
      <c r="BJ106" s="561">
        <v>0</v>
      </c>
      <c r="BK106" s="561">
        <v>0</v>
      </c>
      <c r="BL106" s="561">
        <v>0</v>
      </c>
      <c r="BM106" s="561">
        <v>0</v>
      </c>
      <c r="BN106" s="561">
        <v>0</v>
      </c>
      <c r="BO106" s="561">
        <v>0</v>
      </c>
      <c r="BP106" s="561">
        <v>0</v>
      </c>
      <c r="BQ106" s="561">
        <v>0</v>
      </c>
      <c r="BR106" s="561">
        <v>0</v>
      </c>
      <c r="BS106" s="561">
        <v>0</v>
      </c>
      <c r="BT106" s="561">
        <v>0</v>
      </c>
      <c r="BU106" s="561">
        <v>0</v>
      </c>
      <c r="BV106" s="561">
        <v>0</v>
      </c>
      <c r="BW106" s="561">
        <v>0</v>
      </c>
      <c r="BX106" s="561">
        <v>0</v>
      </c>
      <c r="BY106" s="561">
        <v>0</v>
      </c>
      <c r="BZ106" s="561">
        <v>0</v>
      </c>
      <c r="CA106" s="561">
        <v>0</v>
      </c>
      <c r="CB106" s="561">
        <v>0</v>
      </c>
      <c r="CC106" s="561">
        <v>0</v>
      </c>
      <c r="CD106" s="561">
        <v>0</v>
      </c>
      <c r="CE106" s="561">
        <v>0</v>
      </c>
      <c r="CF106" s="561">
        <v>0</v>
      </c>
      <c r="CG106" s="561">
        <v>0</v>
      </c>
      <c r="CH106" s="561">
        <v>0</v>
      </c>
      <c r="CI106" s="561">
        <v>0</v>
      </c>
      <c r="CJ106" s="561">
        <v>0</v>
      </c>
      <c r="CK106" s="561">
        <v>0</v>
      </c>
      <c r="CL106" s="561">
        <v>0</v>
      </c>
      <c r="CM106" s="561">
        <v>0</v>
      </c>
      <c r="CN106" s="561">
        <v>0</v>
      </c>
      <c r="CO106" s="561">
        <v>0</v>
      </c>
      <c r="CP106" s="561">
        <v>0</v>
      </c>
      <c r="CQ106" s="561">
        <v>0</v>
      </c>
      <c r="CR106" s="561">
        <v>0</v>
      </c>
      <c r="CS106" s="561">
        <v>0</v>
      </c>
      <c r="CT106" s="561">
        <v>0</v>
      </c>
      <c r="CU106" s="561">
        <v>0</v>
      </c>
      <c r="CV106" s="561">
        <v>0</v>
      </c>
      <c r="CW106" s="561">
        <v>0</v>
      </c>
      <c r="CX106" s="561">
        <v>0</v>
      </c>
      <c r="CY106" s="561">
        <v>0</v>
      </c>
      <c r="CZ106" s="561">
        <v>0</v>
      </c>
      <c r="DA106" s="561">
        <v>0</v>
      </c>
      <c r="DB106" s="561">
        <v>0</v>
      </c>
      <c r="DC106" s="561">
        <v>0</v>
      </c>
      <c r="DD106" s="561">
        <v>0</v>
      </c>
      <c r="DE106" s="561">
        <v>0</v>
      </c>
      <c r="DF106" s="561">
        <v>0</v>
      </c>
      <c r="DG106" s="561">
        <v>0</v>
      </c>
      <c r="DH106" s="561">
        <v>0</v>
      </c>
      <c r="DI106" s="561">
        <v>0</v>
      </c>
      <c r="DJ106" s="561">
        <v>0</v>
      </c>
      <c r="DK106" s="561">
        <v>0</v>
      </c>
      <c r="DL106" s="561">
        <v>0</v>
      </c>
      <c r="DM106" s="561">
        <v>0</v>
      </c>
      <c r="DN106" s="561">
        <v>0</v>
      </c>
      <c r="DO106" s="561">
        <v>0</v>
      </c>
      <c r="DP106" s="561">
        <v>0</v>
      </c>
      <c r="DQ106" s="561">
        <v>0</v>
      </c>
      <c r="DR106" s="561">
        <v>0</v>
      </c>
      <c r="DS106" s="561">
        <v>0</v>
      </c>
      <c r="DT106" s="561">
        <v>0</v>
      </c>
      <c r="DU106" s="561">
        <v>0</v>
      </c>
      <c r="DV106" s="561">
        <v>0</v>
      </c>
      <c r="DW106" s="561">
        <v>0</v>
      </c>
      <c r="DX106" s="561">
        <v>0</v>
      </c>
      <c r="DY106" s="561">
        <v>0</v>
      </c>
      <c r="DZ106" s="561">
        <v>0</v>
      </c>
      <c r="EA106" s="561">
        <v>0</v>
      </c>
      <c r="EB106" s="561">
        <v>0</v>
      </c>
      <c r="EC106" s="561">
        <v>0</v>
      </c>
      <c r="ED106" s="561">
        <v>0</v>
      </c>
      <c r="EE106" s="561">
        <v>0</v>
      </c>
      <c r="EF106" s="561">
        <v>0</v>
      </c>
      <c r="EG106" s="561">
        <v>0</v>
      </c>
      <c r="EH106" s="561">
        <v>0</v>
      </c>
      <c r="EI106" s="561">
        <v>0</v>
      </c>
      <c r="EJ106" s="561">
        <v>0</v>
      </c>
      <c r="EK106" s="561">
        <v>0</v>
      </c>
      <c r="EL106" s="561">
        <v>0</v>
      </c>
      <c r="EM106" s="561">
        <v>0</v>
      </c>
      <c r="EN106" s="561">
        <v>0</v>
      </c>
      <c r="EO106" s="561">
        <v>0</v>
      </c>
      <c r="EP106" s="561">
        <v>0</v>
      </c>
      <c r="EQ106" s="561">
        <v>0</v>
      </c>
      <c r="ER106" s="561">
        <v>0</v>
      </c>
      <c r="ES106" s="561" t="s">
        <v>4565</v>
      </c>
      <c r="ET106" s="561">
        <v>0</v>
      </c>
      <c r="EU106" s="561">
        <v>0</v>
      </c>
      <c r="EV106" s="561">
        <v>0</v>
      </c>
      <c r="EW106" s="561">
        <v>0</v>
      </c>
      <c r="EX106" s="561">
        <v>0</v>
      </c>
      <c r="EY106" s="561">
        <v>0</v>
      </c>
      <c r="EZ106" s="561">
        <v>0</v>
      </c>
      <c r="FA106" s="561">
        <v>0</v>
      </c>
      <c r="FB106" s="561">
        <v>0</v>
      </c>
      <c r="FC106" s="561">
        <v>0</v>
      </c>
      <c r="FD106" s="561">
        <v>0</v>
      </c>
      <c r="FE106" s="561">
        <v>0</v>
      </c>
      <c r="FF106" s="561">
        <v>0</v>
      </c>
      <c r="FG106" s="561">
        <v>0</v>
      </c>
      <c r="FH106" s="561">
        <v>0</v>
      </c>
      <c r="FI106" s="561">
        <v>0</v>
      </c>
      <c r="FJ106" s="561">
        <v>0</v>
      </c>
      <c r="FK106" s="561">
        <v>0</v>
      </c>
      <c r="FL106" s="561">
        <v>0</v>
      </c>
      <c r="FM106" s="561">
        <v>0</v>
      </c>
      <c r="FN106" s="561">
        <v>0</v>
      </c>
      <c r="FO106" s="561">
        <v>0</v>
      </c>
      <c r="FP106" s="561">
        <v>0</v>
      </c>
      <c r="FQ106" s="561">
        <v>0</v>
      </c>
      <c r="FR106" s="561">
        <v>0</v>
      </c>
      <c r="FS106" s="561">
        <v>0</v>
      </c>
      <c r="FT106" s="561">
        <v>0</v>
      </c>
      <c r="FU106" s="561">
        <v>0</v>
      </c>
      <c r="FV106" s="561">
        <v>0</v>
      </c>
      <c r="FW106" s="561">
        <v>0</v>
      </c>
      <c r="FX106" s="561">
        <v>0</v>
      </c>
      <c r="FY106" s="561">
        <v>0</v>
      </c>
      <c r="FZ106" s="561">
        <v>0</v>
      </c>
      <c r="GA106" s="561">
        <v>0</v>
      </c>
      <c r="GB106" s="561">
        <v>0</v>
      </c>
      <c r="GC106" s="561">
        <v>0</v>
      </c>
      <c r="GD106" s="561">
        <v>0</v>
      </c>
      <c r="GE106" s="561">
        <v>0</v>
      </c>
      <c r="GF106" s="561">
        <v>0</v>
      </c>
      <c r="GG106" s="561">
        <v>0</v>
      </c>
      <c r="GH106" s="561">
        <v>0</v>
      </c>
      <c r="GI106" s="561">
        <v>0</v>
      </c>
      <c r="GJ106" s="561">
        <v>0</v>
      </c>
      <c r="GK106" s="561">
        <v>0</v>
      </c>
      <c r="GL106" s="561">
        <v>0</v>
      </c>
      <c r="GM106" s="561">
        <v>0</v>
      </c>
      <c r="GN106" s="561">
        <v>0</v>
      </c>
      <c r="GO106" s="561">
        <v>0</v>
      </c>
      <c r="GP106" s="561">
        <v>0</v>
      </c>
      <c r="GQ106" s="561">
        <v>0</v>
      </c>
      <c r="GR106" s="561">
        <v>0</v>
      </c>
      <c r="GS106" s="561">
        <v>0</v>
      </c>
      <c r="GT106" s="561">
        <v>0</v>
      </c>
      <c r="GU106" s="561">
        <v>0</v>
      </c>
      <c r="GV106" s="561">
        <v>0</v>
      </c>
      <c r="GW106" s="561">
        <v>0</v>
      </c>
      <c r="GX106" s="561">
        <v>0</v>
      </c>
      <c r="GY106" s="561">
        <v>0</v>
      </c>
      <c r="GZ106" s="561">
        <v>0</v>
      </c>
      <c r="HA106" s="561">
        <v>0</v>
      </c>
      <c r="HB106" s="561">
        <v>0</v>
      </c>
      <c r="HC106" s="561">
        <v>0</v>
      </c>
      <c r="HD106" s="561">
        <v>0</v>
      </c>
      <c r="HE106" s="561">
        <v>0</v>
      </c>
      <c r="HF106" s="561">
        <v>0</v>
      </c>
      <c r="HG106" s="561">
        <v>0</v>
      </c>
      <c r="HH106" s="561">
        <v>163580</v>
      </c>
      <c r="HI106" s="561">
        <v>0</v>
      </c>
      <c r="HJ106" s="561">
        <v>0</v>
      </c>
      <c r="HK106" s="561">
        <v>0</v>
      </c>
      <c r="HL106" s="561">
        <v>0</v>
      </c>
      <c r="HM106" s="561">
        <v>0</v>
      </c>
      <c r="HN106" s="561">
        <v>0</v>
      </c>
      <c r="HO106" s="561">
        <v>2944</v>
      </c>
      <c r="HP106" s="561">
        <v>0</v>
      </c>
      <c r="HQ106" s="561">
        <v>0</v>
      </c>
      <c r="HR106" s="561">
        <v>0</v>
      </c>
      <c r="HS106" s="561">
        <v>0</v>
      </c>
      <c r="HT106" s="561">
        <v>0</v>
      </c>
      <c r="HU106" s="561">
        <v>0</v>
      </c>
      <c r="HV106" s="561">
        <v>0</v>
      </c>
      <c r="HW106" s="561">
        <v>0</v>
      </c>
      <c r="HX106" s="561">
        <v>0</v>
      </c>
      <c r="HY106" s="561">
        <v>0</v>
      </c>
      <c r="HZ106" s="561">
        <v>0</v>
      </c>
      <c r="IA106" s="561">
        <v>0</v>
      </c>
      <c r="IB106" s="561">
        <v>0</v>
      </c>
      <c r="IC106" s="561">
        <v>0</v>
      </c>
      <c r="ID106" s="561">
        <v>0</v>
      </c>
      <c r="IE106" s="561">
        <v>0</v>
      </c>
      <c r="IF106" s="561">
        <v>0</v>
      </c>
      <c r="IG106" s="561">
        <v>0</v>
      </c>
      <c r="IH106" s="561">
        <v>0</v>
      </c>
      <c r="II106" s="561">
        <v>2944</v>
      </c>
      <c r="IJ106" s="561">
        <v>0</v>
      </c>
      <c r="IK106" s="561">
        <v>0</v>
      </c>
      <c r="IL106" s="561">
        <v>0</v>
      </c>
      <c r="IM106" s="561">
        <v>0</v>
      </c>
      <c r="IN106" s="561">
        <v>0</v>
      </c>
      <c r="IO106" s="561">
        <v>0</v>
      </c>
      <c r="IP106" s="561">
        <v>0</v>
      </c>
      <c r="IQ106" s="561">
        <v>0</v>
      </c>
      <c r="IR106" s="561">
        <v>0</v>
      </c>
      <c r="IS106" s="561">
        <v>0</v>
      </c>
      <c r="IT106" s="561">
        <v>0</v>
      </c>
      <c r="IU106" s="561">
        <v>0</v>
      </c>
      <c r="IV106" s="561">
        <v>0</v>
      </c>
      <c r="IW106" s="561">
        <v>0</v>
      </c>
      <c r="IX106" s="561">
        <v>0</v>
      </c>
      <c r="IY106" s="561">
        <v>0</v>
      </c>
      <c r="IZ106" s="561">
        <v>0</v>
      </c>
      <c r="JA106" s="561">
        <v>163580</v>
      </c>
      <c r="JB106" s="561">
        <v>0</v>
      </c>
      <c r="JC106" s="561">
        <v>2944</v>
      </c>
      <c r="JD106" s="561">
        <v>0</v>
      </c>
      <c r="JE106" s="561">
        <v>166524</v>
      </c>
      <c r="JF106" s="561">
        <v>0</v>
      </c>
      <c r="JG106" s="561">
        <v>0</v>
      </c>
      <c r="JH106" s="561">
        <v>0</v>
      </c>
      <c r="JI106" s="561">
        <v>0</v>
      </c>
      <c r="JJ106" s="561">
        <v>0</v>
      </c>
      <c r="JK106" s="561">
        <v>0</v>
      </c>
      <c r="JL106" s="561">
        <v>0</v>
      </c>
      <c r="JM106" s="561">
        <v>0</v>
      </c>
      <c r="JN106" s="561">
        <v>0</v>
      </c>
      <c r="JO106" s="561">
        <v>1488</v>
      </c>
      <c r="JP106" s="561">
        <v>0</v>
      </c>
      <c r="JQ106" s="561">
        <v>0</v>
      </c>
      <c r="JR106" s="561">
        <v>0</v>
      </c>
      <c r="JS106" s="561">
        <v>0</v>
      </c>
      <c r="JT106" s="561">
        <v>568</v>
      </c>
      <c r="JU106" s="561">
        <v>0</v>
      </c>
      <c r="JV106" s="561">
        <v>168580</v>
      </c>
      <c r="JW106" s="561">
        <v>0</v>
      </c>
      <c r="JX106" s="561">
        <v>532</v>
      </c>
      <c r="JY106" s="561">
        <v>0</v>
      </c>
      <c r="JZ106" s="561">
        <v>0</v>
      </c>
      <c r="KA106" s="561">
        <v>0</v>
      </c>
      <c r="KB106" s="561">
        <v>0</v>
      </c>
      <c r="KC106" s="561">
        <v>370</v>
      </c>
      <c r="KD106" s="561">
        <v>0</v>
      </c>
      <c r="KE106" s="561">
        <v>0</v>
      </c>
      <c r="KF106" s="561">
        <v>0</v>
      </c>
      <c r="KG106" s="561">
        <v>169482</v>
      </c>
      <c r="KH106" s="561">
        <v>-1495</v>
      </c>
      <c r="KI106" s="561">
        <v>0</v>
      </c>
      <c r="KJ106" s="561">
        <v>0</v>
      </c>
      <c r="KK106" s="561">
        <v>0</v>
      </c>
      <c r="KL106" s="561">
        <v>0</v>
      </c>
      <c r="KM106" s="561">
        <v>0</v>
      </c>
      <c r="KN106" s="561">
        <v>0</v>
      </c>
      <c r="KO106" s="561">
        <v>0</v>
      </c>
      <c r="KP106" s="561">
        <v>0</v>
      </c>
      <c r="KQ106" s="561">
        <v>0</v>
      </c>
      <c r="KR106" s="561">
        <v>167987</v>
      </c>
      <c r="KS106" s="561">
        <v>0</v>
      </c>
      <c r="KT106" s="561">
        <v>-12613</v>
      </c>
      <c r="KU106" s="561">
        <v>155374</v>
      </c>
      <c r="KV106" s="561">
        <v>0</v>
      </c>
      <c r="KW106" s="561">
        <v>0</v>
      </c>
      <c r="KX106" s="561">
        <v>0</v>
      </c>
      <c r="KY106" s="561">
        <v>0</v>
      </c>
      <c r="KZ106" s="561">
        <v>2674</v>
      </c>
      <c r="LA106" s="561">
        <v>0</v>
      </c>
      <c r="LB106" s="561">
        <v>0</v>
      </c>
      <c r="LC106" s="561">
        <v>-109077</v>
      </c>
      <c r="LD106" s="561">
        <v>0</v>
      </c>
      <c r="LE106" s="561">
        <v>0</v>
      </c>
      <c r="LF106" s="561">
        <v>0</v>
      </c>
      <c r="LG106" s="561">
        <v>48754</v>
      </c>
      <c r="LH106" s="561">
        <v>0</v>
      </c>
      <c r="LI106" s="561">
        <v>0</v>
      </c>
      <c r="LJ106" s="561">
        <v>0</v>
      </c>
      <c r="LK106" s="561">
        <v>0</v>
      </c>
      <c r="LL106" s="561">
        <v>14204</v>
      </c>
      <c r="LM106" s="561">
        <v>97</v>
      </c>
      <c r="LN106" s="561">
        <v>0</v>
      </c>
      <c r="LO106" s="561">
        <v>0</v>
      </c>
      <c r="LP106" s="561">
        <v>0</v>
      </c>
      <c r="LQ106" s="561">
        <v>0</v>
      </c>
      <c r="LR106" s="561">
        <v>16878</v>
      </c>
      <c r="LS106" s="561">
        <v>97</v>
      </c>
      <c r="LT106" s="561">
        <v>0</v>
      </c>
      <c r="LU106" s="561">
        <v>4188</v>
      </c>
      <c r="LV106" s="561">
        <v>50</v>
      </c>
      <c r="LW106" s="561">
        <v>0</v>
      </c>
      <c r="LX106" s="561">
        <v>0</v>
      </c>
      <c r="LY106" s="561">
        <v>0</v>
      </c>
      <c r="LZ106" s="561">
        <v>4238</v>
      </c>
      <c r="MA106" s="561">
        <v>0</v>
      </c>
      <c r="MB106" s="561">
        <v>0</v>
      </c>
      <c r="MC106" s="561">
        <v>0</v>
      </c>
      <c r="MD106" s="561">
        <v>0</v>
      </c>
      <c r="ME106" s="561">
        <v>0</v>
      </c>
      <c r="MF106" s="561">
        <v>0</v>
      </c>
      <c r="MG106" s="561">
        <v>0</v>
      </c>
      <c r="MH106" s="561">
        <v>0</v>
      </c>
      <c r="MI106" s="561">
        <v>0</v>
      </c>
      <c r="MJ106" s="561">
        <v>0</v>
      </c>
      <c r="MK106" s="561">
        <v>0</v>
      </c>
      <c r="ML106" s="561">
        <v>0</v>
      </c>
      <c r="MM106" s="561">
        <v>16878</v>
      </c>
      <c r="MN106" s="561">
        <v>0</v>
      </c>
      <c r="MO106" s="561">
        <v>0</v>
      </c>
      <c r="MP106" s="561">
        <v>0</v>
      </c>
      <c r="MQ106" s="561">
        <v>0</v>
      </c>
      <c r="MR106" s="561">
        <v>0</v>
      </c>
      <c r="MS106" s="561">
        <v>0</v>
      </c>
      <c r="MT106" s="561">
        <v>0</v>
      </c>
      <c r="MU106" s="561">
        <v>0</v>
      </c>
      <c r="MV106" s="561">
        <v>0</v>
      </c>
      <c r="MW106" s="561">
        <v>0</v>
      </c>
      <c r="MX106" s="561">
        <v>0</v>
      </c>
      <c r="MY106" s="561">
        <v>0</v>
      </c>
      <c r="MZ106" s="561">
        <v>163580</v>
      </c>
      <c r="NA106" s="561">
        <v>0</v>
      </c>
      <c r="NB106" s="561">
        <v>2944</v>
      </c>
      <c r="NC106" s="561">
        <v>0</v>
      </c>
      <c r="ND106" s="561">
        <v>166524</v>
      </c>
      <c r="NE106" s="561">
        <v>0</v>
      </c>
      <c r="NF106" s="561">
        <v>0</v>
      </c>
      <c r="NG106" s="561">
        <v>0</v>
      </c>
      <c r="NH106" s="561">
        <v>0</v>
      </c>
      <c r="NI106" s="561">
        <v>0</v>
      </c>
      <c r="NJ106" s="561">
        <v>0</v>
      </c>
      <c r="NK106" s="561">
        <v>0</v>
      </c>
      <c r="NL106" s="561">
        <v>0</v>
      </c>
      <c r="NM106" s="561">
        <v>0</v>
      </c>
      <c r="NN106" s="561">
        <v>0</v>
      </c>
      <c r="NO106" s="561">
        <v>0</v>
      </c>
      <c r="NP106" s="561">
        <v>0</v>
      </c>
      <c r="NQ106" s="561">
        <v>0</v>
      </c>
      <c r="NR106" s="561">
        <v>0</v>
      </c>
      <c r="NS106" s="561">
        <v>0</v>
      </c>
      <c r="NT106" s="561">
        <v>0</v>
      </c>
      <c r="NU106" s="561">
        <v>0</v>
      </c>
      <c r="NV106" s="561">
        <v>0</v>
      </c>
      <c r="NW106" s="561">
        <v>0</v>
      </c>
      <c r="NX106" s="561">
        <v>0</v>
      </c>
      <c r="NY106" s="561">
        <v>0</v>
      </c>
      <c r="NZ106" s="561">
        <v>0</v>
      </c>
      <c r="OA106" s="561">
        <v>0</v>
      </c>
      <c r="OB106" s="561">
        <v>0</v>
      </c>
      <c r="OC106" s="561">
        <v>0</v>
      </c>
      <c r="OD106" s="561">
        <v>0</v>
      </c>
      <c r="OE106" s="561">
        <v>0</v>
      </c>
      <c r="OF106" s="561">
        <v>0</v>
      </c>
      <c r="OG106" s="561">
        <v>0</v>
      </c>
      <c r="OH106" s="561">
        <v>0</v>
      </c>
      <c r="OI106" s="561">
        <v>0</v>
      </c>
      <c r="OJ106" s="561">
        <v>0</v>
      </c>
      <c r="OK106" s="561">
        <v>0</v>
      </c>
      <c r="OL106" s="561">
        <v>0</v>
      </c>
      <c r="OM106" s="561">
        <v>0</v>
      </c>
      <c r="ON106" s="561">
        <v>0</v>
      </c>
      <c r="OO106" s="561">
        <v>0</v>
      </c>
      <c r="OP106" s="561">
        <v>0</v>
      </c>
      <c r="OQ106" s="561">
        <v>0</v>
      </c>
      <c r="OR106" s="561">
        <v>0</v>
      </c>
      <c r="OS106" s="561">
        <v>0</v>
      </c>
      <c r="OT106" s="561">
        <v>0</v>
      </c>
      <c r="OU106" s="561">
        <v>0</v>
      </c>
      <c r="OV106" s="561">
        <v>0</v>
      </c>
      <c r="OW106" s="561">
        <v>0</v>
      </c>
      <c r="OX106" s="561">
        <v>0</v>
      </c>
      <c r="OY106" s="561">
        <v>0</v>
      </c>
      <c r="OZ106" s="561">
        <v>0</v>
      </c>
      <c r="PA106" s="561">
        <v>0</v>
      </c>
      <c r="PB106" s="561">
        <v>0</v>
      </c>
      <c r="PC106" s="561">
        <v>0</v>
      </c>
      <c r="PD106" s="561">
        <v>0</v>
      </c>
      <c r="PE106" s="561">
        <v>0</v>
      </c>
      <c r="PF106" s="561">
        <v>0</v>
      </c>
      <c r="PG106" s="561">
        <v>0</v>
      </c>
      <c r="PH106" s="561">
        <v>0</v>
      </c>
      <c r="PI106" s="561">
        <v>0</v>
      </c>
      <c r="PJ106" s="561">
        <v>0</v>
      </c>
    </row>
    <row r="107" spans="1:426" ht="14" x14ac:dyDescent="0.3">
      <c r="A107" t="s">
        <v>2747</v>
      </c>
      <c r="B107" t="s">
        <v>2748</v>
      </c>
      <c r="C107" t="s">
        <v>4597</v>
      </c>
      <c r="E107" t="s">
        <v>385</v>
      </c>
      <c r="F107" s="561">
        <v>47732</v>
      </c>
      <c r="G107" s="561">
        <v>185012</v>
      </c>
      <c r="H107" s="561">
        <v>32535</v>
      </c>
      <c r="I107" s="561">
        <v>61691</v>
      </c>
      <c r="J107" s="561">
        <v>4272</v>
      </c>
      <c r="K107" s="561">
        <v>71377</v>
      </c>
      <c r="L107" s="561">
        <v>402619</v>
      </c>
      <c r="M107" s="561">
        <v>10292</v>
      </c>
      <c r="N107" s="561">
        <v>-1129</v>
      </c>
      <c r="O107" s="561">
        <v>687</v>
      </c>
      <c r="P107" s="561">
        <v>508</v>
      </c>
      <c r="Q107" s="561">
        <v>5130</v>
      </c>
      <c r="R107" s="561">
        <v>454</v>
      </c>
      <c r="S107" s="561">
        <v>863</v>
      </c>
      <c r="T107" s="561">
        <v>2293</v>
      </c>
      <c r="U107" s="561">
        <v>3725</v>
      </c>
      <c r="V107" s="561">
        <v>5130</v>
      </c>
      <c r="W107" s="561">
        <v>0</v>
      </c>
      <c r="X107" s="561">
        <v>0</v>
      </c>
      <c r="Y107" s="561">
        <v>854</v>
      </c>
      <c r="Z107" s="561">
        <v>1316</v>
      </c>
      <c r="AA107" s="561">
        <v>-716</v>
      </c>
      <c r="AB107" s="561">
        <v>-660</v>
      </c>
      <c r="AC107" s="561">
        <v>-3067</v>
      </c>
      <c r="AD107" s="561">
        <v>0</v>
      </c>
      <c r="AE107" s="561">
        <v>6210</v>
      </c>
      <c r="AF107" s="561">
        <v>0</v>
      </c>
      <c r="AG107" s="561">
        <v>0</v>
      </c>
      <c r="AH107" s="561">
        <v>581</v>
      </c>
      <c r="AI107" s="561">
        <v>0</v>
      </c>
      <c r="AJ107" s="561">
        <v>22179</v>
      </c>
      <c r="AK107" s="561">
        <v>22</v>
      </c>
      <c r="AL107" s="561">
        <v>0</v>
      </c>
      <c r="AM107" s="561">
        <v>0</v>
      </c>
      <c r="AN107" s="561">
        <v>0</v>
      </c>
      <c r="AO107" s="561">
        <v>0</v>
      </c>
      <c r="AP107" s="561">
        <v>0</v>
      </c>
      <c r="AQ107" s="561">
        <v>0</v>
      </c>
      <c r="AR107" s="561">
        <v>0</v>
      </c>
      <c r="AS107" s="561">
        <v>638</v>
      </c>
      <c r="AT107" s="561">
        <v>1739</v>
      </c>
      <c r="AU107" s="561">
        <v>0</v>
      </c>
      <c r="AV107" s="561">
        <v>0</v>
      </c>
      <c r="AW107" s="561">
        <v>0</v>
      </c>
      <c r="AX107" s="561">
        <v>2809</v>
      </c>
      <c r="AY107" s="561">
        <v>110972</v>
      </c>
      <c r="AZ107" s="561">
        <v>0</v>
      </c>
      <c r="BA107" s="561">
        <v>13705</v>
      </c>
      <c r="BB107" s="561">
        <v>2160</v>
      </c>
      <c r="BC107" s="561">
        <v>25182</v>
      </c>
      <c r="BD107" s="561">
        <v>1577</v>
      </c>
      <c r="BE107" s="561">
        <v>105</v>
      </c>
      <c r="BF107" s="561">
        <v>156510</v>
      </c>
      <c r="BG107" s="561">
        <v>3342</v>
      </c>
      <c r="BH107" s="561">
        <v>14985</v>
      </c>
      <c r="BI107" s="561">
        <v>38301</v>
      </c>
      <c r="BJ107" s="561">
        <v>0</v>
      </c>
      <c r="BK107" s="561">
        <v>0</v>
      </c>
      <c r="BL107" s="561">
        <v>269</v>
      </c>
      <c r="BM107" s="561">
        <v>26661</v>
      </c>
      <c r="BN107" s="561">
        <v>60539</v>
      </c>
      <c r="BO107" s="561">
        <v>10586</v>
      </c>
      <c r="BP107" s="561">
        <v>12086</v>
      </c>
      <c r="BQ107" s="561">
        <v>3333</v>
      </c>
      <c r="BR107" s="561">
        <v>399</v>
      </c>
      <c r="BS107" s="561">
        <v>0</v>
      </c>
      <c r="BT107" s="561">
        <v>0</v>
      </c>
      <c r="BU107" s="561">
        <v>-533</v>
      </c>
      <c r="BV107" s="561">
        <v>1457</v>
      </c>
      <c r="BW107" s="561">
        <v>20873</v>
      </c>
      <c r="BX107" s="561">
        <v>4302</v>
      </c>
      <c r="BY107" s="561">
        <v>7342.01</v>
      </c>
      <c r="BZ107" s="561">
        <v>200600.01</v>
      </c>
      <c r="CA107" s="561">
        <v>102</v>
      </c>
      <c r="CB107" s="561">
        <v>2140</v>
      </c>
      <c r="CC107" s="561">
        <v>2214</v>
      </c>
      <c r="CD107" s="561">
        <v>1184</v>
      </c>
      <c r="CE107" s="561">
        <v>713</v>
      </c>
      <c r="CF107" s="561">
        <v>1160</v>
      </c>
      <c r="CG107" s="561">
        <v>149</v>
      </c>
      <c r="CH107" s="561">
        <v>2964</v>
      </c>
      <c r="CI107" s="561">
        <v>1337</v>
      </c>
      <c r="CJ107" s="561">
        <v>645</v>
      </c>
      <c r="CK107" s="561">
        <v>4558</v>
      </c>
      <c r="CL107" s="561">
        <v>0</v>
      </c>
      <c r="CM107" s="561">
        <v>6564</v>
      </c>
      <c r="CN107" s="561">
        <v>3691</v>
      </c>
      <c r="CO107" s="561">
        <v>99</v>
      </c>
      <c r="CP107" s="561">
        <v>21</v>
      </c>
      <c r="CQ107" s="561">
        <v>557</v>
      </c>
      <c r="CR107" s="561">
        <v>2548</v>
      </c>
      <c r="CS107" s="561">
        <v>147</v>
      </c>
      <c r="CT107" s="561">
        <v>6880</v>
      </c>
      <c r="CU107" s="561">
        <v>6103</v>
      </c>
      <c r="CV107" s="561">
        <v>6557</v>
      </c>
      <c r="CW107" s="561">
        <v>688</v>
      </c>
      <c r="CX107" s="561">
        <v>935</v>
      </c>
      <c r="CY107" s="561">
        <v>9782</v>
      </c>
      <c r="CZ107" s="561">
        <v>61636</v>
      </c>
      <c r="DA107" s="561">
        <v>0</v>
      </c>
      <c r="DB107" s="561">
        <v>0</v>
      </c>
      <c r="DC107" s="561">
        <v>0</v>
      </c>
      <c r="DD107" s="561">
        <v>0</v>
      </c>
      <c r="DE107" s="561">
        <v>0</v>
      </c>
      <c r="DF107" s="561">
        <v>0</v>
      </c>
      <c r="DG107" s="561">
        <v>0</v>
      </c>
      <c r="DH107" s="561">
        <v>18</v>
      </c>
      <c r="DI107" s="561">
        <v>0</v>
      </c>
      <c r="DJ107" s="561">
        <v>78</v>
      </c>
      <c r="DK107" s="561">
        <v>923</v>
      </c>
      <c r="DL107" s="561">
        <v>0</v>
      </c>
      <c r="DM107" s="561">
        <v>0</v>
      </c>
      <c r="DN107" s="561">
        <v>0</v>
      </c>
      <c r="DO107" s="561">
        <v>1019</v>
      </c>
      <c r="DP107" s="561">
        <v>0</v>
      </c>
      <c r="DQ107" s="561">
        <v>0</v>
      </c>
      <c r="DR107" s="561">
        <v>57</v>
      </c>
      <c r="DS107" s="561">
        <v>3377</v>
      </c>
      <c r="DT107" s="561">
        <v>1527</v>
      </c>
      <c r="DU107" s="561">
        <v>5980</v>
      </c>
      <c r="DV107" s="561">
        <v>767</v>
      </c>
      <c r="DW107" s="561">
        <v>0</v>
      </c>
      <c r="DX107" s="561">
        <v>0</v>
      </c>
      <c r="DY107" s="561">
        <v>5338</v>
      </c>
      <c r="DZ107" s="561">
        <v>135</v>
      </c>
      <c r="EA107" s="561">
        <v>4725</v>
      </c>
      <c r="EB107" s="561">
        <v>2788</v>
      </c>
      <c r="EC107" s="561">
        <v>20752</v>
      </c>
      <c r="ED107" s="561">
        <v>0</v>
      </c>
      <c r="EE107" s="561">
        <v>0</v>
      </c>
      <c r="EF107" s="561">
        <v>0</v>
      </c>
      <c r="EG107" s="561">
        <v>0</v>
      </c>
      <c r="EH107" s="561">
        <v>0</v>
      </c>
      <c r="EI107" s="561">
        <v>0</v>
      </c>
      <c r="EJ107" s="561">
        <v>0</v>
      </c>
      <c r="EK107" s="561">
        <v>0</v>
      </c>
      <c r="EL107" s="561">
        <v>0</v>
      </c>
      <c r="EM107" s="561">
        <v>0</v>
      </c>
      <c r="EN107" s="561">
        <v>0</v>
      </c>
      <c r="EO107" s="561">
        <v>0</v>
      </c>
      <c r="EP107" s="561">
        <v>0</v>
      </c>
      <c r="EQ107" s="561">
        <v>0</v>
      </c>
      <c r="ER107" s="561">
        <v>0</v>
      </c>
      <c r="ES107" s="561" t="s">
        <v>4565</v>
      </c>
      <c r="ET107" s="561">
        <v>0</v>
      </c>
      <c r="EU107" s="561">
        <v>0</v>
      </c>
      <c r="EV107" s="561">
        <v>0</v>
      </c>
      <c r="EW107" s="561">
        <v>0</v>
      </c>
      <c r="EX107" s="561">
        <v>0</v>
      </c>
      <c r="EY107" s="561">
        <v>0</v>
      </c>
      <c r="EZ107" s="561">
        <v>0</v>
      </c>
      <c r="FA107" s="561">
        <v>0</v>
      </c>
      <c r="FB107" s="561">
        <v>304</v>
      </c>
      <c r="FC107" s="561">
        <v>1838</v>
      </c>
      <c r="FD107" s="561">
        <v>478</v>
      </c>
      <c r="FE107" s="561">
        <v>2189</v>
      </c>
      <c r="FF107" s="561">
        <v>3604</v>
      </c>
      <c r="FG107" s="561">
        <v>0</v>
      </c>
      <c r="FH107" s="561">
        <v>0</v>
      </c>
      <c r="FI107" s="561">
        <v>433</v>
      </c>
      <c r="FJ107" s="561">
        <v>8817</v>
      </c>
      <c r="FK107" s="561">
        <v>14622</v>
      </c>
      <c r="FL107" s="561">
        <v>449</v>
      </c>
      <c r="FM107" s="561">
        <v>1215</v>
      </c>
      <c r="FN107" s="561">
        <v>6396</v>
      </c>
      <c r="FO107" s="561">
        <v>40345</v>
      </c>
      <c r="FP107" s="561">
        <v>0</v>
      </c>
      <c r="FQ107" s="561">
        <v>-370</v>
      </c>
      <c r="FR107" s="561">
        <v>1556</v>
      </c>
      <c r="FS107" s="561">
        <v>25</v>
      </c>
      <c r="FT107" s="561">
        <v>1187</v>
      </c>
      <c r="FU107" s="561">
        <v>1057</v>
      </c>
      <c r="FV107" s="561">
        <v>1083</v>
      </c>
      <c r="FW107" s="561">
        <v>136</v>
      </c>
      <c r="FX107" s="561">
        <v>13</v>
      </c>
      <c r="FY107" s="561">
        <v>13</v>
      </c>
      <c r="FZ107" s="561">
        <v>387</v>
      </c>
      <c r="GA107" s="561">
        <v>93</v>
      </c>
      <c r="GB107" s="561">
        <v>120</v>
      </c>
      <c r="GC107" s="561">
        <v>283</v>
      </c>
      <c r="GD107" s="561">
        <v>42</v>
      </c>
      <c r="GE107" s="561">
        <v>4839</v>
      </c>
      <c r="GF107" s="561">
        <v>0</v>
      </c>
      <c r="GG107" s="561">
        <v>0</v>
      </c>
      <c r="GH107" s="561">
        <v>827</v>
      </c>
      <c r="GI107" s="561">
        <v>0</v>
      </c>
      <c r="GJ107" s="561">
        <v>136</v>
      </c>
      <c r="GK107" s="561">
        <v>-12</v>
      </c>
      <c r="GL107" s="561">
        <v>7656</v>
      </c>
      <c r="GM107" s="561">
        <v>7771</v>
      </c>
      <c r="GN107" s="561">
        <v>29362</v>
      </c>
      <c r="GO107" s="561">
        <v>31</v>
      </c>
      <c r="GP107" s="561">
        <v>8451</v>
      </c>
      <c r="GQ107" s="561">
        <v>399</v>
      </c>
      <c r="GR107" s="561">
        <v>828</v>
      </c>
      <c r="GS107" s="561">
        <v>65913</v>
      </c>
      <c r="GT107" s="561">
        <v>0</v>
      </c>
      <c r="GU107" s="561">
        <v>132</v>
      </c>
      <c r="GV107" s="561">
        <v>-451</v>
      </c>
      <c r="GW107" s="561">
        <v>0</v>
      </c>
      <c r="GX107" s="561">
        <v>2401</v>
      </c>
      <c r="GY107" s="561">
        <v>5950</v>
      </c>
      <c r="GZ107" s="561">
        <v>8419</v>
      </c>
      <c r="HA107" s="561">
        <v>0</v>
      </c>
      <c r="HB107" s="561">
        <v>-2853</v>
      </c>
      <c r="HC107" s="561">
        <v>9471</v>
      </c>
      <c r="HD107" s="561">
        <v>23069</v>
      </c>
      <c r="HE107" s="561">
        <v>108</v>
      </c>
      <c r="HF107" s="561">
        <v>129327</v>
      </c>
      <c r="HG107" s="561">
        <v>0</v>
      </c>
      <c r="HH107" s="561">
        <v>0</v>
      </c>
      <c r="HI107" s="561">
        <v>0</v>
      </c>
      <c r="HJ107" s="561">
        <v>0</v>
      </c>
      <c r="HK107" s="561">
        <v>0</v>
      </c>
      <c r="HL107" s="561">
        <v>0</v>
      </c>
      <c r="HM107" s="561">
        <v>0</v>
      </c>
      <c r="HN107" s="561">
        <v>0</v>
      </c>
      <c r="HO107" s="561">
        <v>4931</v>
      </c>
      <c r="HP107" s="561">
        <v>1993</v>
      </c>
      <c r="HQ107" s="561">
        <v>0</v>
      </c>
      <c r="HR107" s="561">
        <v>0</v>
      </c>
      <c r="HS107" s="561">
        <v>4398</v>
      </c>
      <c r="HT107" s="561">
        <v>516</v>
      </c>
      <c r="HU107" s="561">
        <v>0</v>
      </c>
      <c r="HV107" s="561">
        <v>-81</v>
      </c>
      <c r="HW107" s="561">
        <v>813</v>
      </c>
      <c r="HX107" s="561">
        <v>22</v>
      </c>
      <c r="HY107" s="561">
        <v>307</v>
      </c>
      <c r="HZ107" s="561">
        <v>-270</v>
      </c>
      <c r="IA107" s="561">
        <v>11979</v>
      </c>
      <c r="IB107" s="561">
        <v>303</v>
      </c>
      <c r="IC107" s="561">
        <v>1783</v>
      </c>
      <c r="ID107" s="561">
        <v>0</v>
      </c>
      <c r="IE107" s="561">
        <v>0</v>
      </c>
      <c r="IF107" s="561">
        <v>0</v>
      </c>
      <c r="IG107" s="561">
        <v>-2</v>
      </c>
      <c r="IH107" s="561">
        <v>22176</v>
      </c>
      <c r="II107" s="561">
        <v>48868</v>
      </c>
      <c r="IJ107" s="561">
        <v>617</v>
      </c>
      <c r="IK107" s="561">
        <v>21897</v>
      </c>
      <c r="IL107" s="561">
        <v>70782</v>
      </c>
      <c r="IM107" s="561">
        <v>297</v>
      </c>
      <c r="IN107" s="561">
        <v>0</v>
      </c>
      <c r="IO107" s="561">
        <v>0</v>
      </c>
      <c r="IP107" s="561">
        <v>0</v>
      </c>
      <c r="IQ107" s="561">
        <v>0</v>
      </c>
      <c r="IR107" s="561">
        <v>402619</v>
      </c>
      <c r="IS107" s="561">
        <v>22179</v>
      </c>
      <c r="IT107" s="561">
        <v>156510</v>
      </c>
      <c r="IU107" s="561">
        <v>200600.01</v>
      </c>
      <c r="IV107" s="561">
        <v>61636</v>
      </c>
      <c r="IW107" s="561">
        <v>20752</v>
      </c>
      <c r="IX107" s="561">
        <v>40345</v>
      </c>
      <c r="IY107" s="561">
        <v>65913</v>
      </c>
      <c r="IZ107" s="561">
        <v>23069</v>
      </c>
      <c r="JA107" s="561">
        <v>0</v>
      </c>
      <c r="JB107" s="561">
        <v>0</v>
      </c>
      <c r="JC107" s="561">
        <v>48868</v>
      </c>
      <c r="JD107" s="561">
        <v>0</v>
      </c>
      <c r="JE107" s="561">
        <v>1042491.01</v>
      </c>
      <c r="JF107" s="561">
        <v>112898</v>
      </c>
      <c r="JG107" s="561">
        <v>2033</v>
      </c>
      <c r="JH107" s="561">
        <v>0</v>
      </c>
      <c r="JI107" s="561">
        <v>0</v>
      </c>
      <c r="JJ107" s="561">
        <v>0</v>
      </c>
      <c r="JK107" s="561">
        <v>16226</v>
      </c>
      <c r="JL107" s="561">
        <v>16905</v>
      </c>
      <c r="JM107" s="561">
        <v>0</v>
      </c>
      <c r="JN107" s="561">
        <v>0</v>
      </c>
      <c r="JO107" s="561">
        <v>1079</v>
      </c>
      <c r="JP107" s="561">
        <v>-973</v>
      </c>
      <c r="JQ107" s="561">
        <v>-6812</v>
      </c>
      <c r="JR107" s="561">
        <v>0</v>
      </c>
      <c r="JS107" s="561">
        <v>5440</v>
      </c>
      <c r="JT107" s="561">
        <v>3381</v>
      </c>
      <c r="JU107" s="561">
        <v>0</v>
      </c>
      <c r="JV107" s="561">
        <v>1192668.01</v>
      </c>
      <c r="JW107" s="561">
        <v>524</v>
      </c>
      <c r="JX107" s="561">
        <v>14156</v>
      </c>
      <c r="JY107" s="561">
        <v>0</v>
      </c>
      <c r="JZ107" s="561">
        <v>0</v>
      </c>
      <c r="KA107" s="561">
        <v>0</v>
      </c>
      <c r="KB107" s="561">
        <v>-892</v>
      </c>
      <c r="KC107" s="561">
        <v>23689</v>
      </c>
      <c r="KD107" s="561">
        <v>1888</v>
      </c>
      <c r="KE107" s="561">
        <v>7417</v>
      </c>
      <c r="KF107" s="561">
        <v>0</v>
      </c>
      <c r="KG107" s="561">
        <v>1239450.01</v>
      </c>
      <c r="KH107" s="561">
        <v>-11894</v>
      </c>
      <c r="KI107" s="561">
        <v>0</v>
      </c>
      <c r="KJ107" s="561">
        <v>165</v>
      </c>
      <c r="KK107" s="561">
        <v>0</v>
      </c>
      <c r="KL107" s="561">
        <v>-121987</v>
      </c>
      <c r="KM107" s="561">
        <v>0</v>
      </c>
      <c r="KN107" s="561">
        <v>0</v>
      </c>
      <c r="KO107" s="561">
        <v>0</v>
      </c>
      <c r="KP107" s="561">
        <v>0</v>
      </c>
      <c r="KQ107" s="561">
        <v>-11260</v>
      </c>
      <c r="KR107" s="561">
        <v>1094474.01</v>
      </c>
      <c r="KS107" s="561">
        <v>0</v>
      </c>
      <c r="KT107" s="561">
        <v>-573231</v>
      </c>
      <c r="KU107" s="561">
        <v>521243.01</v>
      </c>
      <c r="KV107" s="561">
        <v>0</v>
      </c>
      <c r="KW107" s="561">
        <v>1618</v>
      </c>
      <c r="KX107" s="561">
        <v>0</v>
      </c>
      <c r="KY107" s="561">
        <v>300</v>
      </c>
      <c r="KZ107" s="561">
        <v>-7928</v>
      </c>
      <c r="LA107" s="561">
        <v>-905</v>
      </c>
      <c r="LB107" s="561">
        <v>-35177</v>
      </c>
      <c r="LC107" s="561">
        <v>0</v>
      </c>
      <c r="LD107" s="561">
        <v>-181480</v>
      </c>
      <c r="LE107" s="561">
        <v>2194</v>
      </c>
      <c r="LF107" s="561">
        <v>0</v>
      </c>
      <c r="LG107" s="561">
        <v>299865</v>
      </c>
      <c r="LH107" s="561">
        <v>27231</v>
      </c>
      <c r="LI107" s="561">
        <v>-8969</v>
      </c>
      <c r="LJ107" s="561">
        <v>0</v>
      </c>
      <c r="LK107" s="561">
        <v>5185</v>
      </c>
      <c r="LL107" s="561">
        <v>171122</v>
      </c>
      <c r="LM107" s="561">
        <v>32061</v>
      </c>
      <c r="LN107" s="561">
        <v>28849</v>
      </c>
      <c r="LO107" s="561">
        <v>-20229</v>
      </c>
      <c r="LP107" s="561">
        <v>0</v>
      </c>
      <c r="LQ107" s="561">
        <v>5485</v>
      </c>
      <c r="LR107" s="561">
        <v>163194</v>
      </c>
      <c r="LS107" s="561">
        <v>31156</v>
      </c>
      <c r="LT107" s="561">
        <v>0</v>
      </c>
      <c r="LU107" s="561">
        <v>52615</v>
      </c>
      <c r="LV107" s="561">
        <v>7752</v>
      </c>
      <c r="LW107" s="561">
        <v>68086</v>
      </c>
      <c r="LX107" s="561">
        <v>-106073</v>
      </c>
      <c r="LY107" s="561">
        <v>35002</v>
      </c>
      <c r="LZ107" s="561">
        <v>63326</v>
      </c>
      <c r="MA107" s="561">
        <v>0</v>
      </c>
      <c r="MB107" s="561">
        <v>0</v>
      </c>
      <c r="MC107" s="561">
        <v>0</v>
      </c>
      <c r="MD107" s="561">
        <v>0</v>
      </c>
      <c r="ME107" s="561">
        <v>0</v>
      </c>
      <c r="MF107" s="561">
        <v>0</v>
      </c>
      <c r="MG107" s="561">
        <v>0</v>
      </c>
      <c r="MH107" s="561">
        <v>24458</v>
      </c>
      <c r="MI107" s="561">
        <v>41350</v>
      </c>
      <c r="MJ107" s="561">
        <v>65808</v>
      </c>
      <c r="MK107" s="561">
        <v>1257</v>
      </c>
      <c r="ML107" s="561">
        <v>0</v>
      </c>
      <c r="MM107" s="561">
        <v>104624</v>
      </c>
      <c r="MN107" s="561">
        <v>6735</v>
      </c>
      <c r="MO107" s="561">
        <v>22911</v>
      </c>
      <c r="MP107" s="561">
        <v>28924</v>
      </c>
      <c r="MQ107" s="561">
        <v>402619</v>
      </c>
      <c r="MR107" s="561">
        <v>22179</v>
      </c>
      <c r="MS107" s="561">
        <v>156510</v>
      </c>
      <c r="MT107" s="561">
        <v>200600.01</v>
      </c>
      <c r="MU107" s="561">
        <v>61636</v>
      </c>
      <c r="MV107" s="561">
        <v>20752</v>
      </c>
      <c r="MW107" s="561">
        <v>40345</v>
      </c>
      <c r="MX107" s="561">
        <v>65913</v>
      </c>
      <c r="MY107" s="561">
        <v>23069</v>
      </c>
      <c r="MZ107" s="561">
        <v>0</v>
      </c>
      <c r="NA107" s="561">
        <v>0</v>
      </c>
      <c r="NB107" s="561">
        <v>48868</v>
      </c>
      <c r="NC107" s="561">
        <v>0</v>
      </c>
      <c r="ND107" s="561">
        <v>1042491.01</v>
      </c>
      <c r="NE107" s="561">
        <v>0</v>
      </c>
      <c r="NF107" s="561">
        <v>0</v>
      </c>
      <c r="NG107" s="561">
        <v>0</v>
      </c>
      <c r="NH107" s="561">
        <v>0</v>
      </c>
      <c r="NI107" s="561">
        <v>0</v>
      </c>
      <c r="NJ107" s="561">
        <v>0</v>
      </c>
      <c r="NK107" s="561">
        <v>0</v>
      </c>
      <c r="NL107" s="561">
        <v>0</v>
      </c>
      <c r="NM107" s="561">
        <v>0</v>
      </c>
      <c r="NN107" s="561">
        <v>0</v>
      </c>
      <c r="NO107" s="561">
        <v>-973</v>
      </c>
      <c r="NP107" s="561">
        <v>0</v>
      </c>
      <c r="NQ107" s="561">
        <v>0</v>
      </c>
      <c r="NR107" s="561">
        <v>0</v>
      </c>
      <c r="NS107" s="561">
        <v>0</v>
      </c>
      <c r="NT107" s="561">
        <v>0</v>
      </c>
      <c r="NU107" s="561">
        <v>0</v>
      </c>
      <c r="NV107" s="561">
        <v>0</v>
      </c>
      <c r="NW107" s="561">
        <v>-973</v>
      </c>
      <c r="NX107" s="561">
        <v>0</v>
      </c>
      <c r="NY107" s="561">
        <v>-973</v>
      </c>
      <c r="NZ107" s="561">
        <v>0</v>
      </c>
      <c r="OA107" s="561">
        <v>0</v>
      </c>
      <c r="OB107" s="561">
        <v>-1467</v>
      </c>
      <c r="OC107" s="561">
        <v>0</v>
      </c>
      <c r="OD107" s="561">
        <v>0</v>
      </c>
      <c r="OE107" s="561">
        <v>0</v>
      </c>
      <c r="OF107" s="561">
        <v>0</v>
      </c>
      <c r="OG107" s="561">
        <v>0</v>
      </c>
      <c r="OH107" s="561">
        <v>0</v>
      </c>
      <c r="OI107" s="561">
        <v>0</v>
      </c>
      <c r="OJ107" s="561">
        <v>60</v>
      </c>
      <c r="OK107" s="561">
        <v>-1515</v>
      </c>
      <c r="OL107" s="561">
        <v>0</v>
      </c>
      <c r="OM107" s="561">
        <v>-3753</v>
      </c>
      <c r="ON107" s="561">
        <v>306</v>
      </c>
      <c r="OO107" s="561">
        <v>0</v>
      </c>
      <c r="OP107" s="561">
        <v>185</v>
      </c>
      <c r="OQ107" s="561">
        <v>0</v>
      </c>
      <c r="OR107" s="561">
        <v>0</v>
      </c>
      <c r="OS107" s="561">
        <v>0</v>
      </c>
      <c r="OT107" s="561">
        <v>0</v>
      </c>
      <c r="OU107" s="561">
        <v>0</v>
      </c>
      <c r="OV107" s="561">
        <v>0</v>
      </c>
      <c r="OW107" s="561">
        <v>-5440</v>
      </c>
      <c r="OX107" s="561">
        <v>-6812</v>
      </c>
      <c r="OY107" s="561">
        <v>0</v>
      </c>
      <c r="OZ107" s="561">
        <v>0</v>
      </c>
      <c r="PA107" s="561">
        <v>0</v>
      </c>
      <c r="PB107" s="561">
        <v>0</v>
      </c>
      <c r="PC107" s="561">
        <v>0</v>
      </c>
      <c r="PD107" s="561">
        <v>0</v>
      </c>
      <c r="PE107" s="561">
        <v>7745</v>
      </c>
      <c r="PF107" s="561">
        <v>0</v>
      </c>
      <c r="PG107" s="561">
        <v>-457</v>
      </c>
      <c r="PH107" s="561">
        <v>-15953</v>
      </c>
      <c r="PI107" s="561">
        <v>3225</v>
      </c>
      <c r="PJ107" s="561">
        <v>-5440</v>
      </c>
    </row>
    <row r="108" spans="1:426" ht="14" x14ac:dyDescent="0.3">
      <c r="A108" t="s">
        <v>2756</v>
      </c>
      <c r="B108" t="s">
        <v>2757</v>
      </c>
      <c r="C108" t="s">
        <v>2758</v>
      </c>
      <c r="E108" t="s">
        <v>2476</v>
      </c>
      <c r="F108" s="561">
        <v>38132.959999999999</v>
      </c>
      <c r="G108" s="561">
        <v>182257.9</v>
      </c>
      <c r="H108" s="561">
        <v>87815.83</v>
      </c>
      <c r="I108" s="561">
        <v>57048.99</v>
      </c>
      <c r="J108" s="561">
        <v>12431.35</v>
      </c>
      <c r="K108" s="561">
        <v>44720</v>
      </c>
      <c r="L108" s="561">
        <v>422407.03</v>
      </c>
      <c r="M108" s="561">
        <v>10869.33</v>
      </c>
      <c r="N108" s="561">
        <v>0</v>
      </c>
      <c r="O108" s="561">
        <v>1918.16</v>
      </c>
      <c r="P108" s="561">
        <v>13.58</v>
      </c>
      <c r="Q108" s="561">
        <v>27.27</v>
      </c>
      <c r="R108" s="561">
        <v>0</v>
      </c>
      <c r="S108" s="561">
        <v>153.59</v>
      </c>
      <c r="T108" s="561">
        <v>2646.57</v>
      </c>
      <c r="U108" s="561">
        <v>266.76</v>
      </c>
      <c r="V108" s="561">
        <v>6324.33</v>
      </c>
      <c r="W108" s="561">
        <v>0</v>
      </c>
      <c r="X108" s="561">
        <v>0</v>
      </c>
      <c r="Y108" s="561">
        <v>0</v>
      </c>
      <c r="Z108" s="561">
        <v>-953.15</v>
      </c>
      <c r="AA108" s="561">
        <v>-10272.16</v>
      </c>
      <c r="AB108" s="561">
        <v>-8133.94</v>
      </c>
      <c r="AC108" s="561">
        <v>300.52</v>
      </c>
      <c r="AD108" s="561">
        <v>0</v>
      </c>
      <c r="AE108" s="561">
        <v>0</v>
      </c>
      <c r="AF108" s="561">
        <v>0</v>
      </c>
      <c r="AG108" s="561">
        <v>0</v>
      </c>
      <c r="AH108" s="561">
        <v>0</v>
      </c>
      <c r="AI108" s="561">
        <v>0</v>
      </c>
      <c r="AJ108" s="561">
        <v>-7708.47</v>
      </c>
      <c r="AK108" s="561">
        <v>1122.06</v>
      </c>
      <c r="AL108" s="561">
        <v>0</v>
      </c>
      <c r="AM108" s="561">
        <v>0</v>
      </c>
      <c r="AN108" s="561">
        <v>0</v>
      </c>
      <c r="AO108" s="561">
        <v>0</v>
      </c>
      <c r="AP108" s="561">
        <v>0</v>
      </c>
      <c r="AQ108" s="561">
        <v>0</v>
      </c>
      <c r="AR108" s="561">
        <v>0</v>
      </c>
      <c r="AS108" s="561">
        <v>31777.5</v>
      </c>
      <c r="AT108" s="561">
        <v>-86.26</v>
      </c>
      <c r="AU108" s="561">
        <v>0</v>
      </c>
      <c r="AV108" s="561">
        <v>0</v>
      </c>
      <c r="AW108" s="561">
        <v>0</v>
      </c>
      <c r="AX108" s="561">
        <v>6011.49</v>
      </c>
      <c r="AY108" s="561">
        <v>42306.92</v>
      </c>
      <c r="AZ108" s="561">
        <v>8523.36</v>
      </c>
      <c r="BA108" s="561">
        <v>6882.87</v>
      </c>
      <c r="BB108" s="561">
        <v>1923.29</v>
      </c>
      <c r="BC108" s="561">
        <v>20364.75</v>
      </c>
      <c r="BD108" s="561">
        <v>2192.35</v>
      </c>
      <c r="BE108" s="561">
        <v>2393.9499999999998</v>
      </c>
      <c r="BF108" s="561">
        <v>90598.98</v>
      </c>
      <c r="BG108" s="561">
        <v>7721.04</v>
      </c>
      <c r="BH108" s="561">
        <v>10485.82</v>
      </c>
      <c r="BI108" s="561">
        <v>31997.55</v>
      </c>
      <c r="BJ108" s="561">
        <v>78.349999999999994</v>
      </c>
      <c r="BK108" s="561">
        <v>14.61</v>
      </c>
      <c r="BL108" s="561">
        <v>487.44</v>
      </c>
      <c r="BM108" s="561">
        <v>2016.88</v>
      </c>
      <c r="BN108" s="561">
        <v>34485.07</v>
      </c>
      <c r="BO108" s="561">
        <v>3415.29</v>
      </c>
      <c r="BP108" s="561">
        <v>6758.87</v>
      </c>
      <c r="BQ108" s="561">
        <v>4423.79</v>
      </c>
      <c r="BR108" s="561">
        <v>157.66</v>
      </c>
      <c r="BS108" s="561">
        <v>0</v>
      </c>
      <c r="BT108" s="561">
        <v>157.66999999999999</v>
      </c>
      <c r="BU108" s="561">
        <v>26.61</v>
      </c>
      <c r="BV108" s="561">
        <v>221.91</v>
      </c>
      <c r="BW108" s="561">
        <v>16505.57</v>
      </c>
      <c r="BX108" s="561">
        <v>1072.2</v>
      </c>
      <c r="BY108" s="561">
        <v>9462.4</v>
      </c>
      <c r="BZ108" s="561">
        <v>121767.69</v>
      </c>
      <c r="CA108" s="561">
        <v>6620.39</v>
      </c>
      <c r="CB108" s="561">
        <v>2537.12</v>
      </c>
      <c r="CC108" s="561">
        <v>1288.54</v>
      </c>
      <c r="CD108" s="561">
        <v>186.59</v>
      </c>
      <c r="CE108" s="561">
        <v>630.38</v>
      </c>
      <c r="CF108" s="561">
        <v>89.09</v>
      </c>
      <c r="CG108" s="561">
        <v>321.23</v>
      </c>
      <c r="CH108" s="561">
        <v>72.5</v>
      </c>
      <c r="CI108" s="561">
        <v>258.19</v>
      </c>
      <c r="CJ108" s="561">
        <v>276.44</v>
      </c>
      <c r="CK108" s="561">
        <v>238.93</v>
      </c>
      <c r="CL108" s="561">
        <v>246.93</v>
      </c>
      <c r="CM108" s="561">
        <v>2359.77</v>
      </c>
      <c r="CN108" s="561">
        <v>2305.34</v>
      </c>
      <c r="CO108" s="561">
        <v>2266.84</v>
      </c>
      <c r="CP108" s="561">
        <v>2266.84</v>
      </c>
      <c r="CQ108" s="561">
        <v>80</v>
      </c>
      <c r="CR108" s="561">
        <v>506.91</v>
      </c>
      <c r="CS108" s="561">
        <v>80</v>
      </c>
      <c r="CT108" s="561">
        <v>517.66</v>
      </c>
      <c r="CU108" s="561">
        <v>5134.47</v>
      </c>
      <c r="CV108" s="561">
        <v>2261.52</v>
      </c>
      <c r="CW108" s="561">
        <v>59.17</v>
      </c>
      <c r="CX108" s="561">
        <v>902.7</v>
      </c>
      <c r="CY108" s="561">
        <v>5225.43</v>
      </c>
      <c r="CZ108" s="561">
        <v>30112.59</v>
      </c>
      <c r="DA108" s="561">
        <v>51.92</v>
      </c>
      <c r="DB108" s="561">
        <v>0</v>
      </c>
      <c r="DC108" s="561">
        <v>0</v>
      </c>
      <c r="DD108" s="561">
        <v>0</v>
      </c>
      <c r="DE108" s="561">
        <v>0</v>
      </c>
      <c r="DF108" s="561">
        <v>0</v>
      </c>
      <c r="DG108" s="561">
        <v>0</v>
      </c>
      <c r="DH108" s="561">
        <v>2618.16</v>
      </c>
      <c r="DI108" s="561">
        <v>0</v>
      </c>
      <c r="DJ108" s="561">
        <v>265.51</v>
      </c>
      <c r="DK108" s="561">
        <v>0</v>
      </c>
      <c r="DL108" s="561">
        <v>1783.3</v>
      </c>
      <c r="DM108" s="561">
        <v>3180.4</v>
      </c>
      <c r="DN108" s="561">
        <v>548</v>
      </c>
      <c r="DO108" s="561">
        <v>4920.6000000000004</v>
      </c>
      <c r="DP108" s="561">
        <v>159.1</v>
      </c>
      <c r="DQ108" s="561">
        <v>2168.52</v>
      </c>
      <c r="DR108" s="561">
        <v>4003.5</v>
      </c>
      <c r="DS108" s="561">
        <v>11357.02</v>
      </c>
      <c r="DT108" s="561">
        <v>567</v>
      </c>
      <c r="DU108" s="561">
        <v>28687.439999999999</v>
      </c>
      <c r="DV108" s="561">
        <v>0</v>
      </c>
      <c r="DW108" s="561">
        <v>0</v>
      </c>
      <c r="DX108" s="561">
        <v>1638.14</v>
      </c>
      <c r="DY108" s="561">
        <v>3813.16</v>
      </c>
      <c r="DZ108" s="561">
        <v>-2314.7600000000002</v>
      </c>
      <c r="EA108" s="561">
        <v>2884.83</v>
      </c>
      <c r="EB108" s="561">
        <v>0</v>
      </c>
      <c r="EC108" s="561">
        <v>37592.480000000003</v>
      </c>
      <c r="ED108" s="561">
        <v>344.07</v>
      </c>
      <c r="EE108" s="561">
        <v>67565.850000000006</v>
      </c>
      <c r="EF108" s="561">
        <v>1156.9100000000001</v>
      </c>
      <c r="EG108" s="561">
        <v>9230.44</v>
      </c>
      <c r="EH108" s="561">
        <v>0</v>
      </c>
      <c r="EI108" s="561">
        <v>0</v>
      </c>
      <c r="EJ108" s="561">
        <v>664.46</v>
      </c>
      <c r="EK108" s="561">
        <v>0</v>
      </c>
      <c r="EL108" s="561">
        <v>0</v>
      </c>
      <c r="EM108" s="561">
        <v>0</v>
      </c>
      <c r="EN108" s="561">
        <v>28369.34</v>
      </c>
      <c r="EO108" s="561">
        <v>25571.52</v>
      </c>
      <c r="EP108" s="561">
        <v>0</v>
      </c>
      <c r="EQ108" s="561">
        <v>264.60000000000002</v>
      </c>
      <c r="ER108" s="561">
        <v>9562.2900000000009</v>
      </c>
      <c r="ES108" s="561" t="s">
        <v>4565</v>
      </c>
      <c r="ET108" s="561">
        <v>0</v>
      </c>
      <c r="EU108" s="561">
        <v>0</v>
      </c>
      <c r="EV108" s="561">
        <v>61.76</v>
      </c>
      <c r="EW108" s="561">
        <v>0</v>
      </c>
      <c r="EX108" s="561">
        <v>14410.5</v>
      </c>
      <c r="EY108" s="561">
        <v>0</v>
      </c>
      <c r="EZ108" s="561">
        <v>377.65</v>
      </c>
      <c r="FA108" s="561">
        <v>13557</v>
      </c>
      <c r="FB108" s="561">
        <v>0</v>
      </c>
      <c r="FC108" s="561">
        <v>202.82</v>
      </c>
      <c r="FD108" s="561">
        <v>0</v>
      </c>
      <c r="FE108" s="561">
        <v>695.64</v>
      </c>
      <c r="FF108" s="561">
        <v>73.73</v>
      </c>
      <c r="FG108" s="561">
        <v>727.66</v>
      </c>
      <c r="FH108" s="561">
        <v>0</v>
      </c>
      <c r="FI108" s="561">
        <v>519.57000000000005</v>
      </c>
      <c r="FJ108" s="561">
        <v>165.07</v>
      </c>
      <c r="FK108" s="561">
        <v>879.27</v>
      </c>
      <c r="FL108" s="561">
        <v>0</v>
      </c>
      <c r="FM108" s="561">
        <v>0</v>
      </c>
      <c r="FN108" s="561">
        <v>3439.1</v>
      </c>
      <c r="FO108" s="561">
        <v>6702.86</v>
      </c>
      <c r="FP108" s="561">
        <v>295.64999999999998</v>
      </c>
      <c r="FQ108" s="561">
        <v>234.51</v>
      </c>
      <c r="FR108" s="561">
        <v>380.06</v>
      </c>
      <c r="FS108" s="561">
        <v>0</v>
      </c>
      <c r="FT108" s="561">
        <v>1052.04</v>
      </c>
      <c r="FU108" s="561">
        <v>320.45</v>
      </c>
      <c r="FV108" s="561">
        <v>760.78</v>
      </c>
      <c r="FW108" s="561">
        <v>42.99</v>
      </c>
      <c r="FX108" s="561">
        <v>0</v>
      </c>
      <c r="FY108" s="561">
        <v>0</v>
      </c>
      <c r="FZ108" s="561">
        <v>0</v>
      </c>
      <c r="GA108" s="561">
        <v>15.15</v>
      </c>
      <c r="GB108" s="561">
        <v>60.05</v>
      </c>
      <c r="GC108" s="561">
        <v>-421.21</v>
      </c>
      <c r="GD108" s="561">
        <v>1390.57</v>
      </c>
      <c r="GE108" s="561">
        <v>911.36</v>
      </c>
      <c r="GF108" s="561">
        <v>613.55999999999995</v>
      </c>
      <c r="GG108" s="561">
        <v>0</v>
      </c>
      <c r="GH108" s="561">
        <v>0</v>
      </c>
      <c r="GI108" s="561">
        <v>0</v>
      </c>
      <c r="GJ108" s="561">
        <v>0</v>
      </c>
      <c r="GK108" s="561">
        <v>0</v>
      </c>
      <c r="GL108" s="561">
        <v>11537.14</v>
      </c>
      <c r="GM108" s="561">
        <v>9184.19</v>
      </c>
      <c r="GN108" s="561">
        <v>54.25</v>
      </c>
      <c r="GO108" s="561">
        <v>-1512.69</v>
      </c>
      <c r="GP108" s="561">
        <v>2063</v>
      </c>
      <c r="GQ108" s="561">
        <v>0</v>
      </c>
      <c r="GR108" s="561">
        <v>0</v>
      </c>
      <c r="GS108" s="561">
        <v>26686.2</v>
      </c>
      <c r="GT108" s="561">
        <v>1393.9</v>
      </c>
      <c r="GU108" s="561">
        <v>608.41</v>
      </c>
      <c r="GV108" s="561">
        <v>-682.44</v>
      </c>
      <c r="GW108" s="561">
        <v>0</v>
      </c>
      <c r="GX108" s="561">
        <v>0</v>
      </c>
      <c r="GY108" s="561">
        <v>276.42</v>
      </c>
      <c r="GZ108" s="561">
        <v>3373.99</v>
      </c>
      <c r="HA108" s="561">
        <v>0</v>
      </c>
      <c r="HB108" s="561">
        <v>-146.80000000000001</v>
      </c>
      <c r="HC108" s="561">
        <v>229.57</v>
      </c>
      <c r="HD108" s="561">
        <v>3659.15</v>
      </c>
      <c r="HE108" s="561">
        <v>324.14</v>
      </c>
      <c r="HF108" s="561">
        <v>37048.21</v>
      </c>
      <c r="HG108" s="561">
        <v>2013.69</v>
      </c>
      <c r="HH108" s="561">
        <v>0</v>
      </c>
      <c r="HI108" s="561">
        <v>0</v>
      </c>
      <c r="HJ108" s="561">
        <v>0</v>
      </c>
      <c r="HK108" s="561">
        <v>0</v>
      </c>
      <c r="HL108" s="561">
        <v>0</v>
      </c>
      <c r="HM108" s="561">
        <v>0</v>
      </c>
      <c r="HN108" s="561">
        <v>0</v>
      </c>
      <c r="HO108" s="561">
        <v>10392.27</v>
      </c>
      <c r="HP108" s="561">
        <v>1498.33</v>
      </c>
      <c r="HQ108" s="561">
        <v>0</v>
      </c>
      <c r="HR108" s="561">
        <v>0</v>
      </c>
      <c r="HS108" s="561">
        <v>0</v>
      </c>
      <c r="HT108" s="561">
        <v>192.66</v>
      </c>
      <c r="HU108" s="561">
        <v>0</v>
      </c>
      <c r="HV108" s="561">
        <v>-373.18</v>
      </c>
      <c r="HW108" s="561">
        <v>84.2</v>
      </c>
      <c r="HX108" s="561">
        <v>4065.91</v>
      </c>
      <c r="HY108" s="561">
        <v>402.14</v>
      </c>
      <c r="HZ108" s="561">
        <v>-263.06</v>
      </c>
      <c r="IA108" s="561">
        <v>1035.4000000000001</v>
      </c>
      <c r="IB108" s="561">
        <v>0</v>
      </c>
      <c r="IC108" s="561">
        <v>0</v>
      </c>
      <c r="ID108" s="561">
        <v>0</v>
      </c>
      <c r="IE108" s="561">
        <v>0</v>
      </c>
      <c r="IF108" s="561">
        <v>0</v>
      </c>
      <c r="IG108" s="561">
        <v>-70.150000000000006</v>
      </c>
      <c r="IH108" s="561">
        <v>9324.8799999999992</v>
      </c>
      <c r="II108" s="561">
        <v>26289.4</v>
      </c>
      <c r="IJ108" s="561">
        <v>6709.24</v>
      </c>
      <c r="IK108" s="561">
        <v>0</v>
      </c>
      <c r="IL108" s="561">
        <v>14617.61</v>
      </c>
      <c r="IM108" s="561">
        <v>0</v>
      </c>
      <c r="IN108" s="561">
        <v>5443.85</v>
      </c>
      <c r="IO108" s="561">
        <v>47961</v>
      </c>
      <c r="IP108" s="561">
        <v>20269.47</v>
      </c>
      <c r="IQ108" s="561">
        <v>276.18</v>
      </c>
      <c r="IR108" s="561">
        <v>422407.03</v>
      </c>
      <c r="IS108" s="561">
        <v>-7708.47</v>
      </c>
      <c r="IT108" s="561">
        <v>90598.98</v>
      </c>
      <c r="IU108" s="561">
        <v>121767.69</v>
      </c>
      <c r="IV108" s="561">
        <v>30112.59</v>
      </c>
      <c r="IW108" s="561">
        <v>37592.480000000003</v>
      </c>
      <c r="IX108" s="561">
        <v>6702.86</v>
      </c>
      <c r="IY108" s="561">
        <v>26686.2</v>
      </c>
      <c r="IZ108" s="561">
        <v>3659.15</v>
      </c>
      <c r="JA108" s="561">
        <v>0</v>
      </c>
      <c r="JB108" s="561">
        <v>0</v>
      </c>
      <c r="JC108" s="561">
        <v>26289.4</v>
      </c>
      <c r="JD108" s="561">
        <v>20269.47</v>
      </c>
      <c r="JE108" s="561">
        <v>778377.38</v>
      </c>
      <c r="JF108" s="561">
        <v>96070.9</v>
      </c>
      <c r="JG108" s="561">
        <v>53982.02</v>
      </c>
      <c r="JH108" s="561">
        <v>26214.95</v>
      </c>
      <c r="JI108" s="561">
        <v>0</v>
      </c>
      <c r="JJ108" s="561">
        <v>0</v>
      </c>
      <c r="JK108" s="561">
        <v>0</v>
      </c>
      <c r="JL108" s="561">
        <v>0</v>
      </c>
      <c r="JM108" s="561">
        <v>13643.8</v>
      </c>
      <c r="JN108" s="561">
        <v>398.29</v>
      </c>
      <c r="JO108" s="561">
        <v>756.67</v>
      </c>
      <c r="JP108" s="561">
        <v>0</v>
      </c>
      <c r="JQ108" s="561">
        <v>0</v>
      </c>
      <c r="JR108" s="561">
        <v>0</v>
      </c>
      <c r="JS108" s="561">
        <v>0</v>
      </c>
      <c r="JT108" s="561">
        <v>0</v>
      </c>
      <c r="JU108" s="561">
        <v>0</v>
      </c>
      <c r="JV108" s="561">
        <v>969444.01</v>
      </c>
      <c r="JW108" s="561">
        <v>293.17</v>
      </c>
      <c r="JX108" s="561">
        <v>1084.3900000000001</v>
      </c>
      <c r="JY108" s="561">
        <v>0</v>
      </c>
      <c r="JZ108" s="561">
        <v>0</v>
      </c>
      <c r="KA108" s="561">
        <v>0</v>
      </c>
      <c r="KB108" s="561">
        <v>11052.92</v>
      </c>
      <c r="KC108" s="561">
        <v>20389.419999999998</v>
      </c>
      <c r="KD108" s="561">
        <v>0</v>
      </c>
      <c r="KE108" s="561">
        <v>29793</v>
      </c>
      <c r="KF108" s="561">
        <v>-8959.59</v>
      </c>
      <c r="KG108" s="561">
        <v>1023097.32</v>
      </c>
      <c r="KH108" s="561">
        <v>-29511.62</v>
      </c>
      <c r="KI108" s="561">
        <v>0</v>
      </c>
      <c r="KJ108" s="561">
        <v>35.26</v>
      </c>
      <c r="KK108" s="561">
        <v>0</v>
      </c>
      <c r="KL108" s="561">
        <v>-182119.45</v>
      </c>
      <c r="KM108" s="561">
        <v>0</v>
      </c>
      <c r="KN108" s="561">
        <v>0</v>
      </c>
      <c r="KO108" s="561">
        <v>0</v>
      </c>
      <c r="KP108" s="561">
        <v>0</v>
      </c>
      <c r="KQ108" s="561">
        <v>-3787</v>
      </c>
      <c r="KR108" s="561">
        <v>807714.51</v>
      </c>
      <c r="KS108" s="561">
        <v>0</v>
      </c>
      <c r="KT108" s="561">
        <v>-508663.43</v>
      </c>
      <c r="KU108" s="561">
        <v>299051.08</v>
      </c>
      <c r="KV108" s="561">
        <v>0</v>
      </c>
      <c r="KW108" s="561">
        <v>-637</v>
      </c>
      <c r="KX108" s="561">
        <v>0</v>
      </c>
      <c r="KY108" s="561">
        <v>1943</v>
      </c>
      <c r="KZ108" s="561">
        <v>11747</v>
      </c>
      <c r="LA108" s="561">
        <v>1069</v>
      </c>
      <c r="LB108" s="561">
        <v>-21798</v>
      </c>
      <c r="LC108" s="561">
        <v>0</v>
      </c>
      <c r="LD108" s="561">
        <v>-107967</v>
      </c>
      <c r="LE108" s="561">
        <v>-1582.86</v>
      </c>
      <c r="LF108" s="561">
        <v>0</v>
      </c>
      <c r="LG108" s="561">
        <v>181825</v>
      </c>
      <c r="LH108" s="561">
        <v>15663</v>
      </c>
      <c r="LI108" s="561">
        <v>-1854</v>
      </c>
      <c r="LJ108" s="561">
        <v>0</v>
      </c>
      <c r="LK108" s="561">
        <v>3527</v>
      </c>
      <c r="LL108" s="561">
        <v>95353</v>
      </c>
      <c r="LM108" s="561">
        <v>19402</v>
      </c>
      <c r="LN108" s="561">
        <v>15026</v>
      </c>
      <c r="LO108" s="561">
        <v>-5641</v>
      </c>
      <c r="LP108" s="561">
        <v>0</v>
      </c>
      <c r="LQ108" s="561">
        <v>5470</v>
      </c>
      <c r="LR108" s="561">
        <v>107100</v>
      </c>
      <c r="LS108" s="561">
        <v>20471</v>
      </c>
      <c r="LT108" s="561">
        <v>0</v>
      </c>
      <c r="LU108" s="561">
        <v>73009</v>
      </c>
      <c r="LV108" s="561">
        <v>2959</v>
      </c>
      <c r="LW108" s="561">
        <v>31637</v>
      </c>
      <c r="LX108" s="561">
        <v>-49401</v>
      </c>
      <c r="LY108" s="561">
        <v>23977</v>
      </c>
      <c r="LZ108" s="561">
        <v>82181</v>
      </c>
      <c r="MA108" s="561">
        <v>0</v>
      </c>
      <c r="MB108" s="561">
        <v>0</v>
      </c>
      <c r="MC108" s="561">
        <v>78617.66</v>
      </c>
      <c r="MD108" s="561">
        <v>78240.009999999995</v>
      </c>
      <c r="ME108" s="561">
        <v>377.65</v>
      </c>
      <c r="MF108" s="561">
        <v>13557</v>
      </c>
      <c r="MG108" s="561">
        <v>13934.65</v>
      </c>
      <c r="MH108" s="561">
        <v>12607.44</v>
      </c>
      <c r="MI108" s="561">
        <v>19681.990000000002</v>
      </c>
      <c r="MJ108" s="561">
        <v>32289.43</v>
      </c>
      <c r="MK108" s="561">
        <v>0</v>
      </c>
      <c r="ML108" s="561">
        <v>16018</v>
      </c>
      <c r="MM108" s="561">
        <v>10454</v>
      </c>
      <c r="MN108" s="561">
        <v>37075</v>
      </c>
      <c r="MO108" s="561">
        <v>0</v>
      </c>
      <c r="MP108" s="561">
        <v>43553</v>
      </c>
      <c r="MQ108" s="561">
        <v>422407.03</v>
      </c>
      <c r="MR108" s="561">
        <v>-7708.47</v>
      </c>
      <c r="MS108" s="561">
        <v>90598.98</v>
      </c>
      <c r="MT108" s="561">
        <v>121767.69</v>
      </c>
      <c r="MU108" s="561">
        <v>30112.59</v>
      </c>
      <c r="MV108" s="561">
        <v>37592.480000000003</v>
      </c>
      <c r="MW108" s="561">
        <v>6702.86</v>
      </c>
      <c r="MX108" s="561">
        <v>26686.2</v>
      </c>
      <c r="MY108" s="561">
        <v>3659.15</v>
      </c>
      <c r="MZ108" s="561">
        <v>0</v>
      </c>
      <c r="NA108" s="561">
        <v>0</v>
      </c>
      <c r="NB108" s="561">
        <v>26289.4</v>
      </c>
      <c r="NC108" s="561">
        <v>20269.47</v>
      </c>
      <c r="ND108" s="561">
        <v>778377.38</v>
      </c>
      <c r="NE108" s="561">
        <v>0</v>
      </c>
      <c r="NF108" s="561">
        <v>0</v>
      </c>
      <c r="NG108" s="561">
        <v>0</v>
      </c>
      <c r="NH108" s="561">
        <v>0</v>
      </c>
      <c r="NI108" s="561">
        <v>0</v>
      </c>
      <c r="NJ108" s="561">
        <v>0</v>
      </c>
      <c r="NK108" s="561">
        <v>0</v>
      </c>
      <c r="NL108" s="561">
        <v>0</v>
      </c>
      <c r="NM108" s="561">
        <v>0</v>
      </c>
      <c r="NN108" s="561">
        <v>0</v>
      </c>
      <c r="NO108" s="561">
        <v>0</v>
      </c>
      <c r="NP108" s="561">
        <v>0</v>
      </c>
      <c r="NQ108" s="561">
        <v>0</v>
      </c>
      <c r="NR108" s="561">
        <v>0</v>
      </c>
      <c r="NS108" s="561">
        <v>0</v>
      </c>
      <c r="NT108" s="561">
        <v>0</v>
      </c>
      <c r="NU108" s="561">
        <v>0</v>
      </c>
      <c r="NV108" s="561">
        <v>0</v>
      </c>
      <c r="NW108" s="561">
        <v>0</v>
      </c>
      <c r="NX108" s="561">
        <v>0</v>
      </c>
      <c r="NY108" s="561">
        <v>0</v>
      </c>
      <c r="NZ108" s="561">
        <v>0</v>
      </c>
      <c r="OA108" s="561">
        <v>0</v>
      </c>
      <c r="OB108" s="561">
        <v>0</v>
      </c>
      <c r="OC108" s="561">
        <v>0</v>
      </c>
      <c r="OD108" s="561">
        <v>0</v>
      </c>
      <c r="OE108" s="561">
        <v>0</v>
      </c>
      <c r="OF108" s="561">
        <v>0</v>
      </c>
      <c r="OG108" s="561">
        <v>0</v>
      </c>
      <c r="OH108" s="561">
        <v>0</v>
      </c>
      <c r="OI108" s="561">
        <v>0</v>
      </c>
      <c r="OJ108" s="561">
        <v>0</v>
      </c>
      <c r="OK108" s="561">
        <v>0</v>
      </c>
      <c r="OL108" s="561">
        <v>0</v>
      </c>
      <c r="OM108" s="561">
        <v>0</v>
      </c>
      <c r="ON108" s="561">
        <v>0</v>
      </c>
      <c r="OO108" s="561">
        <v>0</v>
      </c>
      <c r="OP108" s="561">
        <v>0</v>
      </c>
      <c r="OQ108" s="561">
        <v>0</v>
      </c>
      <c r="OR108" s="561">
        <v>0</v>
      </c>
      <c r="OS108" s="561">
        <v>0</v>
      </c>
      <c r="OT108" s="561">
        <v>0</v>
      </c>
      <c r="OU108" s="561">
        <v>0</v>
      </c>
      <c r="OV108" s="561">
        <v>0</v>
      </c>
      <c r="OW108" s="561">
        <v>0</v>
      </c>
      <c r="OX108" s="561">
        <v>0</v>
      </c>
      <c r="OY108" s="561">
        <v>0</v>
      </c>
      <c r="OZ108" s="561">
        <v>0</v>
      </c>
      <c r="PA108" s="561">
        <v>0</v>
      </c>
      <c r="PB108" s="561">
        <v>0</v>
      </c>
      <c r="PC108" s="561">
        <v>0</v>
      </c>
      <c r="PD108" s="561">
        <v>0</v>
      </c>
      <c r="PE108" s="561">
        <v>0</v>
      </c>
      <c r="PF108" s="561">
        <v>0</v>
      </c>
      <c r="PG108" s="561">
        <v>0</v>
      </c>
      <c r="PH108" s="561">
        <v>0</v>
      </c>
      <c r="PI108" s="561">
        <v>0</v>
      </c>
      <c r="PJ108" s="561">
        <v>0</v>
      </c>
    </row>
    <row r="109" spans="1:426" ht="14" x14ac:dyDescent="0.3">
      <c r="A109" t="s">
        <v>2759</v>
      </c>
      <c r="B109" t="s">
        <v>2760</v>
      </c>
      <c r="C109" t="s">
        <v>2761</v>
      </c>
      <c r="E109" t="s">
        <v>384</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59</v>
      </c>
      <c r="AA109" s="561">
        <v>0</v>
      </c>
      <c r="AB109" s="561">
        <v>121</v>
      </c>
      <c r="AC109" s="561">
        <v>0</v>
      </c>
      <c r="AD109" s="561">
        <v>0</v>
      </c>
      <c r="AE109" s="561">
        <v>15</v>
      </c>
      <c r="AF109" s="561">
        <v>0</v>
      </c>
      <c r="AG109" s="561">
        <v>0</v>
      </c>
      <c r="AH109" s="561">
        <v>0</v>
      </c>
      <c r="AI109" s="561">
        <v>0</v>
      </c>
      <c r="AJ109" s="561">
        <v>195</v>
      </c>
      <c r="AK109" s="561">
        <v>0</v>
      </c>
      <c r="AL109" s="561">
        <v>0</v>
      </c>
      <c r="AM109" s="561">
        <v>0</v>
      </c>
      <c r="AN109" s="561">
        <v>0</v>
      </c>
      <c r="AO109" s="561">
        <v>0</v>
      </c>
      <c r="AP109" s="561">
        <v>0</v>
      </c>
      <c r="AQ109" s="561">
        <v>0</v>
      </c>
      <c r="AR109" s="561">
        <v>0</v>
      </c>
      <c r="AS109" s="561">
        <v>0</v>
      </c>
      <c r="AT109" s="561">
        <v>0</v>
      </c>
      <c r="AU109" s="561">
        <v>0</v>
      </c>
      <c r="AV109" s="561">
        <v>0</v>
      </c>
      <c r="AW109" s="561">
        <v>0</v>
      </c>
      <c r="AX109" s="561">
        <v>0</v>
      </c>
      <c r="AY109" s="561">
        <v>0</v>
      </c>
      <c r="AZ109" s="561">
        <v>0</v>
      </c>
      <c r="BA109" s="561">
        <v>0</v>
      </c>
      <c r="BB109" s="561">
        <v>0</v>
      </c>
      <c r="BC109" s="561">
        <v>0</v>
      </c>
      <c r="BD109" s="561">
        <v>0</v>
      </c>
      <c r="BE109" s="561">
        <v>0</v>
      </c>
      <c r="BF109" s="561">
        <v>0</v>
      </c>
      <c r="BG109" s="561">
        <v>0</v>
      </c>
      <c r="BH109" s="561">
        <v>0</v>
      </c>
      <c r="BI109" s="561">
        <v>0</v>
      </c>
      <c r="BJ109" s="561">
        <v>0</v>
      </c>
      <c r="BK109" s="561">
        <v>0</v>
      </c>
      <c r="BL109" s="561">
        <v>0</v>
      </c>
      <c r="BM109" s="561">
        <v>0</v>
      </c>
      <c r="BN109" s="561">
        <v>0</v>
      </c>
      <c r="BO109" s="561">
        <v>0</v>
      </c>
      <c r="BP109" s="561">
        <v>0</v>
      </c>
      <c r="BQ109" s="561">
        <v>0</v>
      </c>
      <c r="BR109" s="561">
        <v>0</v>
      </c>
      <c r="BS109" s="561">
        <v>0</v>
      </c>
      <c r="BT109" s="561">
        <v>0</v>
      </c>
      <c r="BU109" s="561">
        <v>0</v>
      </c>
      <c r="BV109" s="561">
        <v>0</v>
      </c>
      <c r="BW109" s="561">
        <v>0</v>
      </c>
      <c r="BX109" s="561">
        <v>0</v>
      </c>
      <c r="BY109" s="561">
        <v>0</v>
      </c>
      <c r="BZ109" s="561">
        <v>0</v>
      </c>
      <c r="CA109" s="561">
        <v>0</v>
      </c>
      <c r="CB109" s="561">
        <v>0</v>
      </c>
      <c r="CC109" s="561">
        <v>0</v>
      </c>
      <c r="CD109" s="561">
        <v>0</v>
      </c>
      <c r="CE109" s="561">
        <v>0</v>
      </c>
      <c r="CF109" s="561">
        <v>0</v>
      </c>
      <c r="CG109" s="561">
        <v>0</v>
      </c>
      <c r="CH109" s="561">
        <v>0</v>
      </c>
      <c r="CI109" s="561">
        <v>0</v>
      </c>
      <c r="CJ109" s="561">
        <v>0</v>
      </c>
      <c r="CK109" s="561">
        <v>0</v>
      </c>
      <c r="CL109" s="561">
        <v>0</v>
      </c>
      <c r="CM109" s="561">
        <v>0</v>
      </c>
      <c r="CN109" s="561">
        <v>0</v>
      </c>
      <c r="CO109" s="561">
        <v>0</v>
      </c>
      <c r="CP109" s="561">
        <v>0</v>
      </c>
      <c r="CQ109" s="561">
        <v>0</v>
      </c>
      <c r="CR109" s="561">
        <v>0</v>
      </c>
      <c r="CS109" s="561">
        <v>0</v>
      </c>
      <c r="CT109" s="561">
        <v>0</v>
      </c>
      <c r="CU109" s="561">
        <v>0</v>
      </c>
      <c r="CV109" s="561">
        <v>0</v>
      </c>
      <c r="CW109" s="561">
        <v>0</v>
      </c>
      <c r="CX109" s="561">
        <v>0</v>
      </c>
      <c r="CY109" s="561">
        <v>0</v>
      </c>
      <c r="CZ109" s="561">
        <v>0</v>
      </c>
      <c r="DA109" s="561">
        <v>0</v>
      </c>
      <c r="DB109" s="561">
        <v>0</v>
      </c>
      <c r="DC109" s="561">
        <v>0</v>
      </c>
      <c r="DD109" s="561">
        <v>0</v>
      </c>
      <c r="DE109" s="561">
        <v>0</v>
      </c>
      <c r="DF109" s="561">
        <v>0</v>
      </c>
      <c r="DG109" s="561">
        <v>0</v>
      </c>
      <c r="DH109" s="561">
        <v>1019</v>
      </c>
      <c r="DI109" s="561">
        <v>0</v>
      </c>
      <c r="DJ109" s="561">
        <v>0</v>
      </c>
      <c r="DK109" s="561">
        <v>0</v>
      </c>
      <c r="DL109" s="561">
        <v>0</v>
      </c>
      <c r="DM109" s="561">
        <v>0</v>
      </c>
      <c r="DN109" s="561">
        <v>0</v>
      </c>
      <c r="DO109" s="561">
        <v>0</v>
      </c>
      <c r="DP109" s="561">
        <v>0</v>
      </c>
      <c r="DQ109" s="561">
        <v>0</v>
      </c>
      <c r="DR109" s="561">
        <v>671</v>
      </c>
      <c r="DS109" s="561">
        <v>0</v>
      </c>
      <c r="DT109" s="561">
        <v>0</v>
      </c>
      <c r="DU109" s="561">
        <v>671</v>
      </c>
      <c r="DV109" s="561">
        <v>65</v>
      </c>
      <c r="DW109" s="561">
        <v>0</v>
      </c>
      <c r="DX109" s="561">
        <v>0</v>
      </c>
      <c r="DY109" s="561">
        <v>548</v>
      </c>
      <c r="DZ109" s="561">
        <v>121</v>
      </c>
      <c r="EA109" s="561">
        <v>0</v>
      </c>
      <c r="EB109" s="561">
        <v>0</v>
      </c>
      <c r="EC109" s="561">
        <v>2424</v>
      </c>
      <c r="ED109" s="561">
        <v>0</v>
      </c>
      <c r="EE109" s="561">
        <v>0</v>
      </c>
      <c r="EF109" s="561">
        <v>0</v>
      </c>
      <c r="EG109" s="561">
        <v>0</v>
      </c>
      <c r="EH109" s="561">
        <v>0</v>
      </c>
      <c r="EI109" s="561">
        <v>0</v>
      </c>
      <c r="EJ109" s="561">
        <v>0</v>
      </c>
      <c r="EK109" s="561">
        <v>0</v>
      </c>
      <c r="EL109" s="561">
        <v>0</v>
      </c>
      <c r="EM109" s="561">
        <v>0</v>
      </c>
      <c r="EN109" s="561">
        <v>0</v>
      </c>
      <c r="EO109" s="561">
        <v>0</v>
      </c>
      <c r="EP109" s="561">
        <v>0</v>
      </c>
      <c r="EQ109" s="561">
        <v>0</v>
      </c>
      <c r="ER109" s="561">
        <v>0</v>
      </c>
      <c r="ES109" s="561" t="s">
        <v>4565</v>
      </c>
      <c r="ET109" s="561">
        <v>0</v>
      </c>
      <c r="EU109" s="561">
        <v>0</v>
      </c>
      <c r="EV109" s="561">
        <v>0</v>
      </c>
      <c r="EW109" s="561">
        <v>0</v>
      </c>
      <c r="EX109" s="561">
        <v>0</v>
      </c>
      <c r="EY109" s="561">
        <v>0</v>
      </c>
      <c r="EZ109" s="561">
        <v>0</v>
      </c>
      <c r="FA109" s="561">
        <v>0</v>
      </c>
      <c r="FB109" s="561">
        <v>0</v>
      </c>
      <c r="FC109" s="561">
        <v>0</v>
      </c>
      <c r="FD109" s="561">
        <v>0</v>
      </c>
      <c r="FE109" s="561">
        <v>0</v>
      </c>
      <c r="FF109" s="561">
        <v>0</v>
      </c>
      <c r="FG109" s="561">
        <v>0</v>
      </c>
      <c r="FH109" s="561">
        <v>0</v>
      </c>
      <c r="FI109" s="561">
        <v>155</v>
      </c>
      <c r="FJ109" s="561">
        <v>-459</v>
      </c>
      <c r="FK109" s="561">
        <v>79</v>
      </c>
      <c r="FL109" s="561">
        <v>0</v>
      </c>
      <c r="FM109" s="561">
        <v>135</v>
      </c>
      <c r="FN109" s="561">
        <v>0</v>
      </c>
      <c r="FO109" s="561">
        <v>-90</v>
      </c>
      <c r="FP109" s="561">
        <v>0</v>
      </c>
      <c r="FQ109" s="561">
        <v>100</v>
      </c>
      <c r="FR109" s="561">
        <v>0</v>
      </c>
      <c r="FS109" s="561">
        <v>0</v>
      </c>
      <c r="FT109" s="561">
        <v>276</v>
      </c>
      <c r="FU109" s="561">
        <v>642</v>
      </c>
      <c r="FV109" s="561">
        <v>206</v>
      </c>
      <c r="FW109" s="561">
        <v>53</v>
      </c>
      <c r="FX109" s="561">
        <v>0</v>
      </c>
      <c r="FY109" s="561">
        <v>0</v>
      </c>
      <c r="FZ109" s="561">
        <v>14</v>
      </c>
      <c r="GA109" s="561">
        <v>279</v>
      </c>
      <c r="GB109" s="561">
        <v>84</v>
      </c>
      <c r="GC109" s="561">
        <v>85</v>
      </c>
      <c r="GD109" s="561">
        <v>0</v>
      </c>
      <c r="GE109" s="561">
        <v>111</v>
      </c>
      <c r="GF109" s="561">
        <v>0</v>
      </c>
      <c r="GG109" s="561">
        <v>0</v>
      </c>
      <c r="GH109" s="561">
        <v>0</v>
      </c>
      <c r="GI109" s="561">
        <v>779</v>
      </c>
      <c r="GJ109" s="561">
        <v>0</v>
      </c>
      <c r="GK109" s="561">
        <v>0</v>
      </c>
      <c r="GL109" s="561">
        <v>1031</v>
      </c>
      <c r="GM109" s="561">
        <v>1898</v>
      </c>
      <c r="GN109" s="561">
        <v>0</v>
      </c>
      <c r="GO109" s="561">
        <v>0</v>
      </c>
      <c r="GP109" s="561">
        <v>2088</v>
      </c>
      <c r="GQ109" s="561">
        <v>0</v>
      </c>
      <c r="GR109" s="561">
        <v>0</v>
      </c>
      <c r="GS109" s="561">
        <v>7646</v>
      </c>
      <c r="GT109" s="561">
        <v>0</v>
      </c>
      <c r="GU109" s="561">
        <v>299</v>
      </c>
      <c r="GV109" s="561">
        <v>1591</v>
      </c>
      <c r="GW109" s="561">
        <v>144</v>
      </c>
      <c r="GX109" s="561">
        <v>192</v>
      </c>
      <c r="GY109" s="561">
        <v>0</v>
      </c>
      <c r="GZ109" s="561">
        <v>1746</v>
      </c>
      <c r="HA109" s="561">
        <v>0</v>
      </c>
      <c r="HB109" s="561">
        <v>31</v>
      </c>
      <c r="HC109" s="561">
        <v>160</v>
      </c>
      <c r="HD109" s="561">
        <v>4163</v>
      </c>
      <c r="HE109" s="561">
        <v>0</v>
      </c>
      <c r="HF109" s="561">
        <v>11719</v>
      </c>
      <c r="HG109" s="561">
        <v>0</v>
      </c>
      <c r="HH109" s="561">
        <v>0</v>
      </c>
      <c r="HI109" s="561">
        <v>0</v>
      </c>
      <c r="HJ109" s="561">
        <v>0</v>
      </c>
      <c r="HK109" s="561">
        <v>0</v>
      </c>
      <c r="HL109" s="561">
        <v>0</v>
      </c>
      <c r="HM109" s="561">
        <v>0</v>
      </c>
      <c r="HN109" s="561">
        <v>0</v>
      </c>
      <c r="HO109" s="561">
        <v>1321</v>
      </c>
      <c r="HP109" s="561">
        <v>745</v>
      </c>
      <c r="HQ109" s="561">
        <v>0</v>
      </c>
      <c r="HR109" s="561">
        <v>0</v>
      </c>
      <c r="HS109" s="561">
        <v>0</v>
      </c>
      <c r="HT109" s="561">
        <v>123</v>
      </c>
      <c r="HU109" s="561">
        <v>0</v>
      </c>
      <c r="HV109" s="561">
        <v>0</v>
      </c>
      <c r="HW109" s="561">
        <v>107</v>
      </c>
      <c r="HX109" s="561">
        <v>89</v>
      </c>
      <c r="HY109" s="561">
        <v>43</v>
      </c>
      <c r="HZ109" s="561">
        <v>87</v>
      </c>
      <c r="IA109" s="561">
        <v>0</v>
      </c>
      <c r="IB109" s="561">
        <v>33</v>
      </c>
      <c r="IC109" s="561">
        <v>0</v>
      </c>
      <c r="ID109" s="561">
        <v>0</v>
      </c>
      <c r="IE109" s="561">
        <v>541</v>
      </c>
      <c r="IF109" s="561">
        <v>0</v>
      </c>
      <c r="IG109" s="561">
        <v>0</v>
      </c>
      <c r="IH109" s="561">
        <v>-12</v>
      </c>
      <c r="II109" s="561">
        <v>3077</v>
      </c>
      <c r="IJ109" s="561">
        <v>0</v>
      </c>
      <c r="IK109" s="561">
        <v>0</v>
      </c>
      <c r="IL109" s="561">
        <v>0</v>
      </c>
      <c r="IM109" s="561">
        <v>0</v>
      </c>
      <c r="IN109" s="561">
        <v>0</v>
      </c>
      <c r="IO109" s="561">
        <v>0</v>
      </c>
      <c r="IP109" s="561">
        <v>0</v>
      </c>
      <c r="IQ109" s="561">
        <v>0</v>
      </c>
      <c r="IR109" s="561">
        <v>0</v>
      </c>
      <c r="IS109" s="561">
        <v>195</v>
      </c>
      <c r="IT109" s="561">
        <v>0</v>
      </c>
      <c r="IU109" s="561">
        <v>0</v>
      </c>
      <c r="IV109" s="561">
        <v>0</v>
      </c>
      <c r="IW109" s="561">
        <v>2424</v>
      </c>
      <c r="IX109" s="561">
        <v>-90</v>
      </c>
      <c r="IY109" s="561">
        <v>7646</v>
      </c>
      <c r="IZ109" s="561">
        <v>4163</v>
      </c>
      <c r="JA109" s="561">
        <v>0</v>
      </c>
      <c r="JB109" s="561">
        <v>0</v>
      </c>
      <c r="JC109" s="561">
        <v>3077</v>
      </c>
      <c r="JD109" s="561">
        <v>0</v>
      </c>
      <c r="JE109" s="561">
        <v>17415</v>
      </c>
      <c r="JF109" s="561">
        <v>12250</v>
      </c>
      <c r="JG109" s="561">
        <v>0</v>
      </c>
      <c r="JH109" s="561">
        <v>0</v>
      </c>
      <c r="JI109" s="561">
        <v>0</v>
      </c>
      <c r="JJ109" s="561">
        <v>0</v>
      </c>
      <c r="JK109" s="561">
        <v>3271</v>
      </c>
      <c r="JL109" s="561">
        <v>0</v>
      </c>
      <c r="JM109" s="561">
        <v>0</v>
      </c>
      <c r="JN109" s="561">
        <v>0</v>
      </c>
      <c r="JO109" s="561">
        <v>0</v>
      </c>
      <c r="JP109" s="561">
        <v>0</v>
      </c>
      <c r="JQ109" s="561">
        <v>0</v>
      </c>
      <c r="JR109" s="561">
        <v>0</v>
      </c>
      <c r="JS109" s="561">
        <v>0</v>
      </c>
      <c r="JT109" s="561">
        <v>0</v>
      </c>
      <c r="JU109" s="561">
        <v>0</v>
      </c>
      <c r="JV109" s="561">
        <v>32936</v>
      </c>
      <c r="JW109" s="561">
        <v>0</v>
      </c>
      <c r="JX109" s="561">
        <v>0</v>
      </c>
      <c r="JY109" s="561">
        <v>0</v>
      </c>
      <c r="JZ109" s="561">
        <v>0</v>
      </c>
      <c r="KA109" s="561">
        <v>0</v>
      </c>
      <c r="KB109" s="561">
        <v>0</v>
      </c>
      <c r="KC109" s="561">
        <v>593</v>
      </c>
      <c r="KD109" s="561">
        <v>0</v>
      </c>
      <c r="KE109" s="561">
        <v>168</v>
      </c>
      <c r="KF109" s="561">
        <v>0</v>
      </c>
      <c r="KG109" s="561">
        <v>33697</v>
      </c>
      <c r="KH109" s="561">
        <v>-2191</v>
      </c>
      <c r="KI109" s="561">
        <v>0</v>
      </c>
      <c r="KJ109" s="561">
        <v>0</v>
      </c>
      <c r="KK109" s="561">
        <v>0</v>
      </c>
      <c r="KL109" s="561">
        <v>-13177</v>
      </c>
      <c r="KM109" s="561">
        <v>0</v>
      </c>
      <c r="KN109" s="561">
        <v>-495</v>
      </c>
      <c r="KO109" s="561">
        <v>0</v>
      </c>
      <c r="KP109" s="561">
        <v>0</v>
      </c>
      <c r="KQ109" s="561">
        <v>0</v>
      </c>
      <c r="KR109" s="561">
        <v>17834</v>
      </c>
      <c r="KS109" s="561">
        <v>0</v>
      </c>
      <c r="KT109" s="561">
        <v>-2047</v>
      </c>
      <c r="KU109" s="561">
        <v>15787</v>
      </c>
      <c r="KV109" s="561">
        <v>0</v>
      </c>
      <c r="KW109" s="561">
        <v>0</v>
      </c>
      <c r="KX109" s="561">
        <v>0</v>
      </c>
      <c r="KY109" s="561">
        <v>0</v>
      </c>
      <c r="KZ109" s="561">
        <v>2243</v>
      </c>
      <c r="LA109" s="561">
        <v>148</v>
      </c>
      <c r="LB109" s="561">
        <v>-109</v>
      </c>
      <c r="LC109" s="561">
        <v>0</v>
      </c>
      <c r="LD109" s="561">
        <v>-7806</v>
      </c>
      <c r="LE109" s="561">
        <v>-117</v>
      </c>
      <c r="LF109" s="561">
        <v>-2188</v>
      </c>
      <c r="LG109" s="561">
        <v>7958</v>
      </c>
      <c r="LH109" s="561">
        <v>0</v>
      </c>
      <c r="LI109" s="561">
        <v>0</v>
      </c>
      <c r="LJ109" s="561">
        <v>0</v>
      </c>
      <c r="LK109" s="561">
        <v>0</v>
      </c>
      <c r="LL109" s="561">
        <v>26659</v>
      </c>
      <c r="LM109" s="561">
        <v>1238</v>
      </c>
      <c r="LN109" s="561">
        <v>0</v>
      </c>
      <c r="LO109" s="561">
        <v>0</v>
      </c>
      <c r="LP109" s="561">
        <v>0</v>
      </c>
      <c r="LQ109" s="561">
        <v>0</v>
      </c>
      <c r="LR109" s="561">
        <v>28902</v>
      </c>
      <c r="LS109" s="561">
        <v>1386</v>
      </c>
      <c r="LT109" s="561">
        <v>0</v>
      </c>
      <c r="LU109" s="561">
        <v>0</v>
      </c>
      <c r="LV109" s="561">
        <v>0</v>
      </c>
      <c r="LW109" s="561">
        <v>0</v>
      </c>
      <c r="LX109" s="561">
        <v>0</v>
      </c>
      <c r="LY109" s="561">
        <v>0</v>
      </c>
      <c r="LZ109" s="561">
        <v>0</v>
      </c>
      <c r="MA109" s="561">
        <v>0</v>
      </c>
      <c r="MB109" s="561">
        <v>0</v>
      </c>
      <c r="MC109" s="561">
        <v>0</v>
      </c>
      <c r="MD109" s="561">
        <v>0</v>
      </c>
      <c r="ME109" s="561">
        <v>0</v>
      </c>
      <c r="MF109" s="561">
        <v>0</v>
      </c>
      <c r="MG109" s="561">
        <v>0</v>
      </c>
      <c r="MH109" s="561" t="s">
        <v>4566</v>
      </c>
      <c r="MI109" s="561" t="s">
        <v>4566</v>
      </c>
      <c r="MJ109" s="561" t="s">
        <v>4566</v>
      </c>
      <c r="MK109" s="561">
        <v>0</v>
      </c>
      <c r="ML109" s="561">
        <v>0</v>
      </c>
      <c r="MM109" s="561">
        <v>18673</v>
      </c>
      <c r="MN109" s="561">
        <v>0</v>
      </c>
      <c r="MO109" s="561">
        <v>10229</v>
      </c>
      <c r="MP109" s="561">
        <v>0</v>
      </c>
      <c r="MQ109" s="561">
        <v>0</v>
      </c>
      <c r="MR109" s="561">
        <v>195</v>
      </c>
      <c r="MS109" s="561">
        <v>0</v>
      </c>
      <c r="MT109" s="561">
        <v>0</v>
      </c>
      <c r="MU109" s="561">
        <v>0</v>
      </c>
      <c r="MV109" s="561">
        <v>2424</v>
      </c>
      <c r="MW109" s="561">
        <v>-90</v>
      </c>
      <c r="MX109" s="561">
        <v>7646</v>
      </c>
      <c r="MY109" s="561">
        <v>4163</v>
      </c>
      <c r="MZ109" s="561">
        <v>0</v>
      </c>
      <c r="NA109" s="561">
        <v>0</v>
      </c>
      <c r="NB109" s="561">
        <v>3077</v>
      </c>
      <c r="NC109" s="561">
        <v>0</v>
      </c>
      <c r="ND109" s="561">
        <v>17415</v>
      </c>
      <c r="NE109" s="561">
        <v>0</v>
      </c>
      <c r="NF109" s="561">
        <v>0</v>
      </c>
      <c r="NG109" s="561">
        <v>0</v>
      </c>
      <c r="NH109" s="561">
        <v>0</v>
      </c>
      <c r="NI109" s="561">
        <v>0</v>
      </c>
      <c r="NJ109" s="561">
        <v>0</v>
      </c>
      <c r="NK109" s="561">
        <v>0</v>
      </c>
      <c r="NL109" s="561">
        <v>0</v>
      </c>
      <c r="NM109" s="561">
        <v>0</v>
      </c>
      <c r="NN109" s="561">
        <v>0</v>
      </c>
      <c r="NO109" s="561">
        <v>0</v>
      </c>
      <c r="NP109" s="561">
        <v>0</v>
      </c>
      <c r="NQ109" s="561">
        <v>0</v>
      </c>
      <c r="NR109" s="561">
        <v>0</v>
      </c>
      <c r="NS109" s="561">
        <v>0</v>
      </c>
      <c r="NT109" s="561">
        <v>0</v>
      </c>
      <c r="NU109" s="561">
        <v>0</v>
      </c>
      <c r="NV109" s="561">
        <v>0</v>
      </c>
      <c r="NW109" s="561">
        <v>0</v>
      </c>
      <c r="NX109" s="561">
        <v>0</v>
      </c>
      <c r="NY109" s="561">
        <v>0</v>
      </c>
      <c r="NZ109" s="561">
        <v>0</v>
      </c>
      <c r="OA109" s="561">
        <v>0</v>
      </c>
      <c r="OB109" s="561">
        <v>0</v>
      </c>
      <c r="OC109" s="561">
        <v>0</v>
      </c>
      <c r="OD109" s="561">
        <v>0</v>
      </c>
      <c r="OE109" s="561">
        <v>0</v>
      </c>
      <c r="OF109" s="561">
        <v>0</v>
      </c>
      <c r="OG109" s="561">
        <v>0</v>
      </c>
      <c r="OH109" s="561">
        <v>0</v>
      </c>
      <c r="OI109" s="561">
        <v>0</v>
      </c>
      <c r="OJ109" s="561">
        <v>0</v>
      </c>
      <c r="OK109" s="561">
        <v>0</v>
      </c>
      <c r="OL109" s="561">
        <v>0</v>
      </c>
      <c r="OM109" s="561">
        <v>0</v>
      </c>
      <c r="ON109" s="561">
        <v>0</v>
      </c>
      <c r="OO109" s="561">
        <v>0</v>
      </c>
      <c r="OP109" s="561">
        <v>0</v>
      </c>
      <c r="OQ109" s="561">
        <v>0</v>
      </c>
      <c r="OR109" s="561">
        <v>0</v>
      </c>
      <c r="OS109" s="561">
        <v>0</v>
      </c>
      <c r="OT109" s="561">
        <v>0</v>
      </c>
      <c r="OU109" s="561">
        <v>0</v>
      </c>
      <c r="OV109" s="561">
        <v>0</v>
      </c>
      <c r="OW109" s="561">
        <v>0</v>
      </c>
      <c r="OX109" s="561">
        <v>0</v>
      </c>
      <c r="OY109" s="561">
        <v>0</v>
      </c>
      <c r="OZ109" s="561">
        <v>0</v>
      </c>
      <c r="PA109" s="561">
        <v>0</v>
      </c>
      <c r="PB109" s="561">
        <v>0</v>
      </c>
      <c r="PC109" s="561">
        <v>0</v>
      </c>
      <c r="PD109" s="561">
        <v>0</v>
      </c>
      <c r="PE109" s="561">
        <v>0</v>
      </c>
      <c r="PF109" s="561">
        <v>0</v>
      </c>
      <c r="PG109" s="561">
        <v>0</v>
      </c>
      <c r="PH109" s="561">
        <v>0</v>
      </c>
      <c r="PI109" s="561">
        <v>0</v>
      </c>
      <c r="PJ109" s="561">
        <v>0</v>
      </c>
    </row>
    <row r="110" spans="1:426" ht="14" x14ac:dyDescent="0.3">
      <c r="A110" t="s">
        <v>2762</v>
      </c>
      <c r="B110" t="s">
        <v>2763</v>
      </c>
      <c r="C110" t="s">
        <v>2764</v>
      </c>
      <c r="E110" t="s">
        <v>384</v>
      </c>
      <c r="F110" s="561">
        <v>0</v>
      </c>
      <c r="G110" s="561">
        <v>0</v>
      </c>
      <c r="H110" s="561">
        <v>0</v>
      </c>
      <c r="I110" s="561">
        <v>0</v>
      </c>
      <c r="J110" s="561">
        <v>0</v>
      </c>
      <c r="K110" s="561">
        <v>0</v>
      </c>
      <c r="L110" s="561">
        <v>0</v>
      </c>
      <c r="M110" s="561">
        <v>0</v>
      </c>
      <c r="N110" s="561">
        <v>0</v>
      </c>
      <c r="O110" s="561">
        <v>0</v>
      </c>
      <c r="P110" s="561">
        <v>0</v>
      </c>
      <c r="Q110" s="561">
        <v>6</v>
      </c>
      <c r="R110" s="561">
        <v>0</v>
      </c>
      <c r="S110" s="561">
        <v>0</v>
      </c>
      <c r="T110" s="561">
        <v>0</v>
      </c>
      <c r="U110" s="561">
        <v>0</v>
      </c>
      <c r="V110" s="561">
        <v>0</v>
      </c>
      <c r="W110" s="561">
        <v>0</v>
      </c>
      <c r="X110" s="561">
        <v>0</v>
      </c>
      <c r="Y110" s="561">
        <v>0</v>
      </c>
      <c r="Z110" s="561">
        <v>0</v>
      </c>
      <c r="AA110" s="561">
        <v>0</v>
      </c>
      <c r="AB110" s="561">
        <v>-2987</v>
      </c>
      <c r="AC110" s="561">
        <v>0</v>
      </c>
      <c r="AD110" s="561">
        <v>0</v>
      </c>
      <c r="AE110" s="561">
        <v>0</v>
      </c>
      <c r="AF110" s="561">
        <v>0</v>
      </c>
      <c r="AG110" s="561">
        <v>0</v>
      </c>
      <c r="AH110" s="561">
        <v>0</v>
      </c>
      <c r="AI110" s="561">
        <v>0</v>
      </c>
      <c r="AJ110" s="561">
        <v>-2981</v>
      </c>
      <c r="AK110" s="561">
        <v>5</v>
      </c>
      <c r="AL110" s="561">
        <v>0</v>
      </c>
      <c r="AM110" s="561">
        <v>0</v>
      </c>
      <c r="AN110" s="561">
        <v>0</v>
      </c>
      <c r="AO110" s="561">
        <v>0</v>
      </c>
      <c r="AP110" s="561">
        <v>0</v>
      </c>
      <c r="AQ110" s="561">
        <v>0</v>
      </c>
      <c r="AR110" s="561">
        <v>0</v>
      </c>
      <c r="AS110" s="561">
        <v>0</v>
      </c>
      <c r="AT110" s="561">
        <v>0</v>
      </c>
      <c r="AU110" s="561">
        <v>0</v>
      </c>
      <c r="AV110" s="561">
        <v>0</v>
      </c>
      <c r="AW110" s="561">
        <v>0</v>
      </c>
      <c r="AX110" s="561">
        <v>0</v>
      </c>
      <c r="AY110" s="561">
        <v>0</v>
      </c>
      <c r="AZ110" s="561">
        <v>0</v>
      </c>
      <c r="BA110" s="561">
        <v>0</v>
      </c>
      <c r="BB110" s="561">
        <v>0</v>
      </c>
      <c r="BC110" s="561">
        <v>0</v>
      </c>
      <c r="BD110" s="561">
        <v>0</v>
      </c>
      <c r="BE110" s="561">
        <v>0</v>
      </c>
      <c r="BF110" s="561">
        <v>0</v>
      </c>
      <c r="BG110" s="561">
        <v>0</v>
      </c>
      <c r="BH110" s="561">
        <v>0</v>
      </c>
      <c r="BI110" s="561">
        <v>0</v>
      </c>
      <c r="BJ110" s="561">
        <v>0</v>
      </c>
      <c r="BK110" s="561">
        <v>0</v>
      </c>
      <c r="BL110" s="561">
        <v>0</v>
      </c>
      <c r="BM110" s="561">
        <v>0</v>
      </c>
      <c r="BN110" s="561">
        <v>0</v>
      </c>
      <c r="BO110" s="561">
        <v>0</v>
      </c>
      <c r="BP110" s="561">
        <v>0</v>
      </c>
      <c r="BQ110" s="561">
        <v>0</v>
      </c>
      <c r="BR110" s="561">
        <v>0</v>
      </c>
      <c r="BS110" s="561">
        <v>0</v>
      </c>
      <c r="BT110" s="561">
        <v>0</v>
      </c>
      <c r="BU110" s="561">
        <v>0</v>
      </c>
      <c r="BV110" s="561">
        <v>0</v>
      </c>
      <c r="BW110" s="561">
        <v>0</v>
      </c>
      <c r="BX110" s="561">
        <v>0</v>
      </c>
      <c r="BY110" s="561">
        <v>0</v>
      </c>
      <c r="BZ110" s="561">
        <v>0</v>
      </c>
      <c r="CA110" s="561">
        <v>0</v>
      </c>
      <c r="CB110" s="561">
        <v>0</v>
      </c>
      <c r="CC110" s="561">
        <v>0</v>
      </c>
      <c r="CD110" s="561">
        <v>0</v>
      </c>
      <c r="CE110" s="561">
        <v>0</v>
      </c>
      <c r="CF110" s="561">
        <v>0</v>
      </c>
      <c r="CG110" s="561">
        <v>0</v>
      </c>
      <c r="CH110" s="561">
        <v>0</v>
      </c>
      <c r="CI110" s="561">
        <v>0</v>
      </c>
      <c r="CJ110" s="561">
        <v>0</v>
      </c>
      <c r="CK110" s="561">
        <v>0</v>
      </c>
      <c r="CL110" s="561">
        <v>0</v>
      </c>
      <c r="CM110" s="561">
        <v>0</v>
      </c>
      <c r="CN110" s="561">
        <v>0</v>
      </c>
      <c r="CO110" s="561">
        <v>0</v>
      </c>
      <c r="CP110" s="561">
        <v>0</v>
      </c>
      <c r="CQ110" s="561">
        <v>0</v>
      </c>
      <c r="CR110" s="561">
        <v>0</v>
      </c>
      <c r="CS110" s="561">
        <v>0</v>
      </c>
      <c r="CT110" s="561">
        <v>0</v>
      </c>
      <c r="CU110" s="561">
        <v>0</v>
      </c>
      <c r="CV110" s="561">
        <v>0</v>
      </c>
      <c r="CW110" s="561">
        <v>0</v>
      </c>
      <c r="CX110" s="561">
        <v>0</v>
      </c>
      <c r="CY110" s="561">
        <v>0</v>
      </c>
      <c r="CZ110" s="561">
        <v>0</v>
      </c>
      <c r="DA110" s="561">
        <v>0</v>
      </c>
      <c r="DB110" s="561">
        <v>0</v>
      </c>
      <c r="DC110" s="561">
        <v>0</v>
      </c>
      <c r="DD110" s="561">
        <v>0</v>
      </c>
      <c r="DE110" s="561">
        <v>0</v>
      </c>
      <c r="DF110" s="561">
        <v>0</v>
      </c>
      <c r="DG110" s="561">
        <v>0</v>
      </c>
      <c r="DH110" s="561">
        <v>130</v>
      </c>
      <c r="DI110" s="561">
        <v>0</v>
      </c>
      <c r="DJ110" s="561">
        <v>0</v>
      </c>
      <c r="DK110" s="561">
        <v>0</v>
      </c>
      <c r="DL110" s="561">
        <v>0</v>
      </c>
      <c r="DM110" s="561">
        <v>21</v>
      </c>
      <c r="DN110" s="561">
        <v>0</v>
      </c>
      <c r="DO110" s="561">
        <v>442</v>
      </c>
      <c r="DP110" s="561">
        <v>0</v>
      </c>
      <c r="DQ110" s="561">
        <v>0</v>
      </c>
      <c r="DR110" s="561">
        <v>0</v>
      </c>
      <c r="DS110" s="561">
        <v>1174</v>
      </c>
      <c r="DT110" s="561">
        <v>0</v>
      </c>
      <c r="DU110" s="561">
        <v>1637</v>
      </c>
      <c r="DV110" s="561">
        <v>0</v>
      </c>
      <c r="DW110" s="561">
        <v>0</v>
      </c>
      <c r="DX110" s="561">
        <v>0</v>
      </c>
      <c r="DY110" s="561">
        <v>1342</v>
      </c>
      <c r="DZ110" s="561">
        <v>0</v>
      </c>
      <c r="EA110" s="561">
        <v>179</v>
      </c>
      <c r="EB110" s="561">
        <v>0</v>
      </c>
      <c r="EC110" s="561">
        <v>3288</v>
      </c>
      <c r="ED110" s="561">
        <v>178</v>
      </c>
      <c r="EE110" s="561">
        <v>21299</v>
      </c>
      <c r="EF110" s="561">
        <v>265</v>
      </c>
      <c r="EG110" s="561">
        <v>622</v>
      </c>
      <c r="EH110" s="561">
        <v>202</v>
      </c>
      <c r="EI110" s="561">
        <v>17</v>
      </c>
      <c r="EJ110" s="561">
        <v>440</v>
      </c>
      <c r="EK110" s="561">
        <v>0</v>
      </c>
      <c r="EL110" s="561">
        <v>0</v>
      </c>
      <c r="EM110" s="561">
        <v>6</v>
      </c>
      <c r="EN110" s="561">
        <v>6746</v>
      </c>
      <c r="EO110" s="561">
        <v>9814</v>
      </c>
      <c r="EP110" s="561">
        <v>0</v>
      </c>
      <c r="EQ110" s="561">
        <v>579</v>
      </c>
      <c r="ER110" s="561">
        <v>2829</v>
      </c>
      <c r="ES110" s="561" t="s">
        <v>4565</v>
      </c>
      <c r="ET110" s="561">
        <v>0</v>
      </c>
      <c r="EU110" s="561">
        <v>3208</v>
      </c>
      <c r="EV110" s="561">
        <v>0</v>
      </c>
      <c r="EW110" s="561">
        <v>0</v>
      </c>
      <c r="EX110" s="561">
        <v>1038</v>
      </c>
      <c r="EY110" s="561">
        <v>-27</v>
      </c>
      <c r="EZ110" s="561">
        <v>-1336</v>
      </c>
      <c r="FA110" s="561">
        <v>3100</v>
      </c>
      <c r="FB110" s="561">
        <v>0</v>
      </c>
      <c r="FC110" s="561">
        <v>313</v>
      </c>
      <c r="FD110" s="561">
        <v>0</v>
      </c>
      <c r="FE110" s="561">
        <v>0</v>
      </c>
      <c r="FF110" s="561">
        <v>33</v>
      </c>
      <c r="FG110" s="561">
        <v>52</v>
      </c>
      <c r="FH110" s="561">
        <v>4</v>
      </c>
      <c r="FI110" s="561">
        <v>0</v>
      </c>
      <c r="FJ110" s="561">
        <v>2388</v>
      </c>
      <c r="FK110" s="561">
        <v>3175</v>
      </c>
      <c r="FL110" s="561">
        <v>0</v>
      </c>
      <c r="FM110" s="561">
        <v>0</v>
      </c>
      <c r="FN110" s="561">
        <v>0</v>
      </c>
      <c r="FO110" s="561">
        <v>5965</v>
      </c>
      <c r="FP110" s="561">
        <v>34</v>
      </c>
      <c r="FQ110" s="561">
        <v>177</v>
      </c>
      <c r="FR110" s="561">
        <v>0</v>
      </c>
      <c r="FS110" s="561">
        <v>32</v>
      </c>
      <c r="FT110" s="561">
        <v>213</v>
      </c>
      <c r="FU110" s="561">
        <v>542</v>
      </c>
      <c r="FV110" s="561">
        <v>623</v>
      </c>
      <c r="FW110" s="561">
        <v>269</v>
      </c>
      <c r="FX110" s="561">
        <v>0</v>
      </c>
      <c r="FY110" s="561">
        <v>0</v>
      </c>
      <c r="FZ110" s="561">
        <v>32</v>
      </c>
      <c r="GA110" s="561">
        <v>845</v>
      </c>
      <c r="GB110" s="561">
        <v>0</v>
      </c>
      <c r="GC110" s="561">
        <v>272</v>
      </c>
      <c r="GD110" s="561">
        <v>214</v>
      </c>
      <c r="GE110" s="561">
        <v>305</v>
      </c>
      <c r="GF110" s="561">
        <v>2</v>
      </c>
      <c r="GG110" s="561">
        <v>153</v>
      </c>
      <c r="GH110" s="561">
        <v>0</v>
      </c>
      <c r="GI110" s="561">
        <v>0</v>
      </c>
      <c r="GJ110" s="561">
        <v>133</v>
      </c>
      <c r="GK110" s="561">
        <v>-4</v>
      </c>
      <c r="GL110" s="561">
        <v>2220</v>
      </c>
      <c r="GM110" s="561">
        <v>2813</v>
      </c>
      <c r="GN110" s="561">
        <v>0</v>
      </c>
      <c r="GO110" s="561">
        <v>0</v>
      </c>
      <c r="GP110" s="561">
        <v>3454</v>
      </c>
      <c r="GQ110" s="561">
        <v>0</v>
      </c>
      <c r="GR110" s="561">
        <v>254</v>
      </c>
      <c r="GS110" s="561">
        <v>12549</v>
      </c>
      <c r="GT110" s="561">
        <v>166</v>
      </c>
      <c r="GU110" s="561">
        <v>489</v>
      </c>
      <c r="GV110" s="561">
        <v>1797</v>
      </c>
      <c r="GW110" s="561">
        <v>0</v>
      </c>
      <c r="GX110" s="561">
        <v>726</v>
      </c>
      <c r="GY110" s="561">
        <v>247</v>
      </c>
      <c r="GZ110" s="561">
        <v>490</v>
      </c>
      <c r="HA110" s="561">
        <v>0</v>
      </c>
      <c r="HB110" s="561">
        <v>0</v>
      </c>
      <c r="HC110" s="561">
        <v>1356</v>
      </c>
      <c r="HD110" s="561">
        <v>5105</v>
      </c>
      <c r="HE110" s="561">
        <v>282</v>
      </c>
      <c r="HF110" s="561">
        <v>23619</v>
      </c>
      <c r="HG110" s="561">
        <v>482</v>
      </c>
      <c r="HH110" s="561">
        <v>0</v>
      </c>
      <c r="HI110" s="561">
        <v>0</v>
      </c>
      <c r="HJ110" s="561">
        <v>0</v>
      </c>
      <c r="HK110" s="561">
        <v>0</v>
      </c>
      <c r="HL110" s="561">
        <v>0</v>
      </c>
      <c r="HM110" s="561">
        <v>0</v>
      </c>
      <c r="HN110" s="561">
        <v>0</v>
      </c>
      <c r="HO110" s="561">
        <v>2611</v>
      </c>
      <c r="HP110" s="561">
        <v>1190</v>
      </c>
      <c r="HQ110" s="561">
        <v>0</v>
      </c>
      <c r="HR110" s="561">
        <v>0</v>
      </c>
      <c r="HS110" s="561">
        <v>0</v>
      </c>
      <c r="HT110" s="561">
        <v>-7</v>
      </c>
      <c r="HU110" s="561">
        <v>0</v>
      </c>
      <c r="HV110" s="561">
        <v>0</v>
      </c>
      <c r="HW110" s="561">
        <v>1178</v>
      </c>
      <c r="HX110" s="561">
        <v>0</v>
      </c>
      <c r="HY110" s="561">
        <v>41</v>
      </c>
      <c r="HZ110" s="561">
        <v>0</v>
      </c>
      <c r="IA110" s="561">
        <v>0</v>
      </c>
      <c r="IB110" s="561">
        <v>89</v>
      </c>
      <c r="IC110" s="561">
        <v>0</v>
      </c>
      <c r="ID110" s="561">
        <v>0</v>
      </c>
      <c r="IE110" s="561">
        <v>56</v>
      </c>
      <c r="IF110" s="561">
        <v>0</v>
      </c>
      <c r="IG110" s="561">
        <v>0</v>
      </c>
      <c r="IH110" s="561">
        <v>-149</v>
      </c>
      <c r="II110" s="561">
        <v>5009</v>
      </c>
      <c r="IJ110" s="561">
        <v>407</v>
      </c>
      <c r="IK110" s="561">
        <v>3873</v>
      </c>
      <c r="IL110" s="561">
        <v>0</v>
      </c>
      <c r="IM110" s="561">
        <v>0</v>
      </c>
      <c r="IN110" s="561">
        <v>0</v>
      </c>
      <c r="IO110" s="561">
        <v>0</v>
      </c>
      <c r="IP110" s="561">
        <v>0</v>
      </c>
      <c r="IQ110" s="561">
        <v>0</v>
      </c>
      <c r="IR110" s="561">
        <v>0</v>
      </c>
      <c r="IS110" s="561">
        <v>-2981</v>
      </c>
      <c r="IT110" s="561">
        <v>0</v>
      </c>
      <c r="IU110" s="561">
        <v>0</v>
      </c>
      <c r="IV110" s="561">
        <v>0</v>
      </c>
      <c r="IW110" s="561">
        <v>3288</v>
      </c>
      <c r="IX110" s="561">
        <v>5965</v>
      </c>
      <c r="IY110" s="561">
        <v>12549</v>
      </c>
      <c r="IZ110" s="561">
        <v>5105</v>
      </c>
      <c r="JA110" s="561">
        <v>0</v>
      </c>
      <c r="JB110" s="561">
        <v>0</v>
      </c>
      <c r="JC110" s="561">
        <v>5009</v>
      </c>
      <c r="JD110" s="561">
        <v>0</v>
      </c>
      <c r="JE110" s="561">
        <v>28935</v>
      </c>
      <c r="JF110" s="561">
        <v>12341</v>
      </c>
      <c r="JG110" s="561">
        <v>0</v>
      </c>
      <c r="JH110" s="561">
        <v>6977</v>
      </c>
      <c r="JI110" s="561">
        <v>0</v>
      </c>
      <c r="JJ110" s="561">
        <v>0</v>
      </c>
      <c r="JK110" s="561">
        <v>5718</v>
      </c>
      <c r="JL110" s="561">
        <v>0</v>
      </c>
      <c r="JM110" s="561">
        <v>0</v>
      </c>
      <c r="JN110" s="561">
        <v>0</v>
      </c>
      <c r="JO110" s="561">
        <v>0</v>
      </c>
      <c r="JP110" s="561">
        <v>-294</v>
      </c>
      <c r="JQ110" s="561">
        <v>0</v>
      </c>
      <c r="JR110" s="561">
        <v>0</v>
      </c>
      <c r="JS110" s="561">
        <v>0</v>
      </c>
      <c r="JT110" s="561">
        <v>0</v>
      </c>
      <c r="JU110" s="561">
        <v>0</v>
      </c>
      <c r="JV110" s="561">
        <v>53677</v>
      </c>
      <c r="JW110" s="561">
        <v>0</v>
      </c>
      <c r="JX110" s="561">
        <v>0</v>
      </c>
      <c r="JY110" s="561">
        <v>0</v>
      </c>
      <c r="JZ110" s="561">
        <v>0</v>
      </c>
      <c r="KA110" s="561">
        <v>0</v>
      </c>
      <c r="KB110" s="561">
        <v>0</v>
      </c>
      <c r="KC110" s="561">
        <v>949</v>
      </c>
      <c r="KD110" s="561">
        <v>72</v>
      </c>
      <c r="KE110" s="561">
        <v>2575</v>
      </c>
      <c r="KF110" s="561">
        <v>-2527</v>
      </c>
      <c r="KG110" s="561">
        <v>54746</v>
      </c>
      <c r="KH110" s="561">
        <v>-2928</v>
      </c>
      <c r="KI110" s="561">
        <v>0</v>
      </c>
      <c r="KJ110" s="561">
        <v>0</v>
      </c>
      <c r="KK110" s="561">
        <v>0</v>
      </c>
      <c r="KL110" s="561">
        <v>-20445</v>
      </c>
      <c r="KM110" s="561">
        <v>0</v>
      </c>
      <c r="KN110" s="561">
        <v>-2659</v>
      </c>
      <c r="KO110" s="561">
        <v>0</v>
      </c>
      <c r="KP110" s="561">
        <v>0</v>
      </c>
      <c r="KQ110" s="561">
        <v>0</v>
      </c>
      <c r="KR110" s="561">
        <v>28714</v>
      </c>
      <c r="KS110" s="561">
        <v>0</v>
      </c>
      <c r="KT110" s="561">
        <v>-6287.64</v>
      </c>
      <c r="KU110" s="561">
        <v>22426.36</v>
      </c>
      <c r="KV110" s="561">
        <v>0</v>
      </c>
      <c r="KW110" s="561">
        <v>0</v>
      </c>
      <c r="KX110" s="561">
        <v>0</v>
      </c>
      <c r="KY110" s="561">
        <v>0</v>
      </c>
      <c r="KZ110" s="561">
        <v>4338</v>
      </c>
      <c r="LA110" s="561">
        <v>500</v>
      </c>
      <c r="LB110" s="561">
        <v>-277</v>
      </c>
      <c r="LC110" s="561">
        <v>0</v>
      </c>
      <c r="LD110" s="561">
        <v>-10740</v>
      </c>
      <c r="LE110" s="561">
        <v>-114</v>
      </c>
      <c r="LF110" s="561">
        <v>0</v>
      </c>
      <c r="LG110" s="561">
        <v>16133</v>
      </c>
      <c r="LH110" s="561">
        <v>0</v>
      </c>
      <c r="LI110" s="561">
        <v>0</v>
      </c>
      <c r="LJ110" s="561">
        <v>0</v>
      </c>
      <c r="LK110" s="561">
        <v>0</v>
      </c>
      <c r="LL110" s="561">
        <v>43129</v>
      </c>
      <c r="LM110" s="561">
        <v>4300</v>
      </c>
      <c r="LN110" s="561">
        <v>0</v>
      </c>
      <c r="LO110" s="561">
        <v>0</v>
      </c>
      <c r="LP110" s="561">
        <v>0</v>
      </c>
      <c r="LQ110" s="561">
        <v>0</v>
      </c>
      <c r="LR110" s="561">
        <v>47467</v>
      </c>
      <c r="LS110" s="561">
        <v>4800</v>
      </c>
      <c r="LT110" s="561">
        <v>0</v>
      </c>
      <c r="LU110" s="561">
        <v>4982</v>
      </c>
      <c r="LV110" s="561">
        <v>1855</v>
      </c>
      <c r="LW110" s="561">
        <v>20011</v>
      </c>
      <c r="LX110" s="561">
        <v>6196</v>
      </c>
      <c r="LY110" s="561">
        <v>2700</v>
      </c>
      <c r="LZ110" s="561">
        <v>35767</v>
      </c>
      <c r="MA110" s="561">
        <v>0</v>
      </c>
      <c r="MB110" s="561">
        <v>0</v>
      </c>
      <c r="MC110" s="561">
        <v>22851</v>
      </c>
      <c r="MD110" s="561">
        <v>24187</v>
      </c>
      <c r="ME110" s="561">
        <v>-1336</v>
      </c>
      <c r="MF110" s="561">
        <v>3100</v>
      </c>
      <c r="MG110" s="561">
        <v>1764</v>
      </c>
      <c r="MH110" s="561">
        <v>5050.9799999999996</v>
      </c>
      <c r="MI110" s="561">
        <v>5049.0200000000004</v>
      </c>
      <c r="MJ110" s="561">
        <v>10100</v>
      </c>
      <c r="MK110" s="561">
        <v>0</v>
      </c>
      <c r="ML110" s="561">
        <v>350</v>
      </c>
      <c r="MM110" s="561">
        <v>45945</v>
      </c>
      <c r="MN110" s="561">
        <v>0</v>
      </c>
      <c r="MO110" s="561">
        <v>1172</v>
      </c>
      <c r="MP110" s="561">
        <v>0</v>
      </c>
      <c r="MQ110" s="561">
        <v>0</v>
      </c>
      <c r="MR110" s="561">
        <v>-2981</v>
      </c>
      <c r="MS110" s="561">
        <v>0</v>
      </c>
      <c r="MT110" s="561">
        <v>0</v>
      </c>
      <c r="MU110" s="561">
        <v>0</v>
      </c>
      <c r="MV110" s="561">
        <v>3288</v>
      </c>
      <c r="MW110" s="561">
        <v>5965</v>
      </c>
      <c r="MX110" s="561">
        <v>12549</v>
      </c>
      <c r="MY110" s="561">
        <v>5105</v>
      </c>
      <c r="MZ110" s="561">
        <v>0</v>
      </c>
      <c r="NA110" s="561">
        <v>0</v>
      </c>
      <c r="NB110" s="561">
        <v>5009</v>
      </c>
      <c r="NC110" s="561">
        <v>0</v>
      </c>
      <c r="ND110" s="561">
        <v>28935</v>
      </c>
      <c r="NE110" s="561">
        <v>0</v>
      </c>
      <c r="NF110" s="561">
        <v>0</v>
      </c>
      <c r="NG110" s="561">
        <v>0</v>
      </c>
      <c r="NH110" s="561">
        <v>0</v>
      </c>
      <c r="NI110" s="561">
        <v>0</v>
      </c>
      <c r="NJ110" s="561">
        <v>0</v>
      </c>
      <c r="NK110" s="561">
        <v>0</v>
      </c>
      <c r="NL110" s="561">
        <v>0</v>
      </c>
      <c r="NM110" s="561">
        <v>0</v>
      </c>
      <c r="NN110" s="561">
        <v>0</v>
      </c>
      <c r="NO110" s="561">
        <v>0</v>
      </c>
      <c r="NP110" s="561">
        <v>0</v>
      </c>
      <c r="NQ110" s="561">
        <v>0</v>
      </c>
      <c r="NR110" s="561">
        <v>0</v>
      </c>
      <c r="NS110" s="561">
        <v>0</v>
      </c>
      <c r="NT110" s="561">
        <v>-149</v>
      </c>
      <c r="NU110" s="561">
        <v>0</v>
      </c>
      <c r="NV110" s="561">
        <v>0</v>
      </c>
      <c r="NW110" s="561">
        <v>-294</v>
      </c>
      <c r="NX110" s="561">
        <v>0</v>
      </c>
      <c r="NY110" s="561">
        <v>-294</v>
      </c>
      <c r="NZ110" s="561">
        <v>0</v>
      </c>
      <c r="OA110" s="561">
        <v>0</v>
      </c>
      <c r="OB110" s="561">
        <v>0</v>
      </c>
      <c r="OC110" s="561">
        <v>0</v>
      </c>
      <c r="OD110" s="561">
        <v>0</v>
      </c>
      <c r="OE110" s="561">
        <v>0</v>
      </c>
      <c r="OF110" s="561">
        <v>0</v>
      </c>
      <c r="OG110" s="561">
        <v>0</v>
      </c>
      <c r="OH110" s="561">
        <v>0</v>
      </c>
      <c r="OI110" s="561">
        <v>0</v>
      </c>
      <c r="OJ110" s="561">
        <v>0</v>
      </c>
      <c r="OK110" s="561">
        <v>0</v>
      </c>
      <c r="OL110" s="561">
        <v>0</v>
      </c>
      <c r="OM110" s="561">
        <v>0</v>
      </c>
      <c r="ON110" s="561">
        <v>0</v>
      </c>
      <c r="OO110" s="561">
        <v>0</v>
      </c>
      <c r="OP110" s="561">
        <v>0</v>
      </c>
      <c r="OQ110" s="561">
        <v>0</v>
      </c>
      <c r="OR110" s="561">
        <v>0</v>
      </c>
      <c r="OS110" s="561">
        <v>0</v>
      </c>
      <c r="OT110" s="561">
        <v>0</v>
      </c>
      <c r="OU110" s="561">
        <v>0</v>
      </c>
      <c r="OV110" s="561">
        <v>0</v>
      </c>
      <c r="OW110" s="561">
        <v>0</v>
      </c>
      <c r="OX110" s="561">
        <v>0</v>
      </c>
      <c r="OY110" s="561">
        <v>0</v>
      </c>
      <c r="OZ110" s="561">
        <v>0</v>
      </c>
      <c r="PA110" s="561">
        <v>0</v>
      </c>
      <c r="PB110" s="561">
        <v>0</v>
      </c>
      <c r="PC110" s="561">
        <v>0</v>
      </c>
      <c r="PD110" s="561">
        <v>0</v>
      </c>
      <c r="PE110" s="561">
        <v>0</v>
      </c>
      <c r="PF110" s="561">
        <v>0</v>
      </c>
      <c r="PG110" s="561">
        <v>0</v>
      </c>
      <c r="PH110" s="561">
        <v>0</v>
      </c>
      <c r="PI110" s="561">
        <v>0</v>
      </c>
      <c r="PJ110" s="561">
        <v>0</v>
      </c>
    </row>
    <row r="111" spans="1:426" ht="14" x14ac:dyDescent="0.3">
      <c r="A111" t="s">
        <v>2765</v>
      </c>
      <c r="B111" t="s">
        <v>2766</v>
      </c>
      <c r="C111" t="s">
        <v>2767</v>
      </c>
      <c r="E111" t="s">
        <v>384</v>
      </c>
      <c r="F111" s="561">
        <v>0</v>
      </c>
      <c r="G111" s="561">
        <v>0</v>
      </c>
      <c r="H111" s="561">
        <v>0</v>
      </c>
      <c r="I111" s="561">
        <v>0</v>
      </c>
      <c r="J111" s="561">
        <v>0</v>
      </c>
      <c r="K111" s="561">
        <v>0</v>
      </c>
      <c r="L111" s="561">
        <v>0</v>
      </c>
      <c r="M111" s="561">
        <v>0</v>
      </c>
      <c r="N111" s="561">
        <v>0</v>
      </c>
      <c r="O111" s="561">
        <v>0</v>
      </c>
      <c r="P111" s="561">
        <v>0</v>
      </c>
      <c r="Q111" s="561">
        <v>0</v>
      </c>
      <c r="R111" s="561">
        <v>0</v>
      </c>
      <c r="S111" s="561">
        <v>6</v>
      </c>
      <c r="T111" s="561">
        <v>0</v>
      </c>
      <c r="U111" s="561">
        <v>0</v>
      </c>
      <c r="V111" s="561">
        <v>0</v>
      </c>
      <c r="W111" s="561">
        <v>0</v>
      </c>
      <c r="X111" s="561">
        <v>0</v>
      </c>
      <c r="Y111" s="561">
        <v>0</v>
      </c>
      <c r="Z111" s="561">
        <v>0</v>
      </c>
      <c r="AA111" s="561">
        <v>0</v>
      </c>
      <c r="AB111" s="561">
        <v>-1655</v>
      </c>
      <c r="AC111" s="561">
        <v>0</v>
      </c>
      <c r="AD111" s="561">
        <v>0</v>
      </c>
      <c r="AE111" s="561">
        <v>0</v>
      </c>
      <c r="AF111" s="561">
        <v>0</v>
      </c>
      <c r="AG111" s="561">
        <v>0</v>
      </c>
      <c r="AH111" s="561">
        <v>0</v>
      </c>
      <c r="AI111" s="561">
        <v>0</v>
      </c>
      <c r="AJ111" s="561">
        <v>-1649</v>
      </c>
      <c r="AK111" s="561">
        <v>0</v>
      </c>
      <c r="AL111" s="561">
        <v>0</v>
      </c>
      <c r="AM111" s="561">
        <v>0</v>
      </c>
      <c r="AN111" s="561">
        <v>0</v>
      </c>
      <c r="AO111" s="561">
        <v>0</v>
      </c>
      <c r="AP111" s="561">
        <v>0</v>
      </c>
      <c r="AQ111" s="561">
        <v>0</v>
      </c>
      <c r="AR111" s="561">
        <v>0</v>
      </c>
      <c r="AS111" s="561">
        <v>0</v>
      </c>
      <c r="AT111" s="561">
        <v>0</v>
      </c>
      <c r="AU111" s="561">
        <v>0</v>
      </c>
      <c r="AV111" s="561">
        <v>0</v>
      </c>
      <c r="AW111" s="561">
        <v>0</v>
      </c>
      <c r="AX111" s="561">
        <v>0</v>
      </c>
      <c r="AY111" s="561">
        <v>0</v>
      </c>
      <c r="AZ111" s="561">
        <v>0</v>
      </c>
      <c r="BA111" s="561">
        <v>0</v>
      </c>
      <c r="BB111" s="561">
        <v>0</v>
      </c>
      <c r="BC111" s="561">
        <v>0</v>
      </c>
      <c r="BD111" s="561">
        <v>0</v>
      </c>
      <c r="BE111" s="561">
        <v>0</v>
      </c>
      <c r="BF111" s="561">
        <v>0</v>
      </c>
      <c r="BG111" s="561">
        <v>0</v>
      </c>
      <c r="BH111" s="561">
        <v>0</v>
      </c>
      <c r="BI111" s="561">
        <v>0</v>
      </c>
      <c r="BJ111" s="561">
        <v>0</v>
      </c>
      <c r="BK111" s="561">
        <v>0</v>
      </c>
      <c r="BL111" s="561">
        <v>0</v>
      </c>
      <c r="BM111" s="561">
        <v>0</v>
      </c>
      <c r="BN111" s="561">
        <v>0</v>
      </c>
      <c r="BO111" s="561">
        <v>0</v>
      </c>
      <c r="BP111" s="561">
        <v>0</v>
      </c>
      <c r="BQ111" s="561">
        <v>0</v>
      </c>
      <c r="BR111" s="561">
        <v>0</v>
      </c>
      <c r="BS111" s="561">
        <v>0</v>
      </c>
      <c r="BT111" s="561">
        <v>0</v>
      </c>
      <c r="BU111" s="561">
        <v>0</v>
      </c>
      <c r="BV111" s="561">
        <v>0</v>
      </c>
      <c r="BW111" s="561">
        <v>0</v>
      </c>
      <c r="BX111" s="561">
        <v>0</v>
      </c>
      <c r="BY111" s="561">
        <v>0</v>
      </c>
      <c r="BZ111" s="561">
        <v>0</v>
      </c>
      <c r="CA111" s="561">
        <v>0</v>
      </c>
      <c r="CB111" s="561">
        <v>0</v>
      </c>
      <c r="CC111" s="561">
        <v>0</v>
      </c>
      <c r="CD111" s="561">
        <v>0</v>
      </c>
      <c r="CE111" s="561">
        <v>0</v>
      </c>
      <c r="CF111" s="561">
        <v>0</v>
      </c>
      <c r="CG111" s="561">
        <v>0</v>
      </c>
      <c r="CH111" s="561">
        <v>0</v>
      </c>
      <c r="CI111" s="561">
        <v>0</v>
      </c>
      <c r="CJ111" s="561">
        <v>0</v>
      </c>
      <c r="CK111" s="561">
        <v>0</v>
      </c>
      <c r="CL111" s="561">
        <v>0</v>
      </c>
      <c r="CM111" s="561">
        <v>0</v>
      </c>
      <c r="CN111" s="561">
        <v>0</v>
      </c>
      <c r="CO111" s="561">
        <v>0</v>
      </c>
      <c r="CP111" s="561">
        <v>0</v>
      </c>
      <c r="CQ111" s="561">
        <v>0</v>
      </c>
      <c r="CR111" s="561">
        <v>0</v>
      </c>
      <c r="CS111" s="561">
        <v>0</v>
      </c>
      <c r="CT111" s="561">
        <v>0</v>
      </c>
      <c r="CU111" s="561">
        <v>0</v>
      </c>
      <c r="CV111" s="561">
        <v>0</v>
      </c>
      <c r="CW111" s="561">
        <v>0</v>
      </c>
      <c r="CX111" s="561">
        <v>0</v>
      </c>
      <c r="CY111" s="561">
        <v>0</v>
      </c>
      <c r="CZ111" s="561">
        <v>0</v>
      </c>
      <c r="DA111" s="561">
        <v>0</v>
      </c>
      <c r="DB111" s="561">
        <v>0</v>
      </c>
      <c r="DC111" s="561">
        <v>0</v>
      </c>
      <c r="DD111" s="561">
        <v>0</v>
      </c>
      <c r="DE111" s="561">
        <v>0</v>
      </c>
      <c r="DF111" s="561">
        <v>0</v>
      </c>
      <c r="DG111" s="561">
        <v>0</v>
      </c>
      <c r="DH111" s="561">
        <v>756</v>
      </c>
      <c r="DI111" s="561">
        <v>0</v>
      </c>
      <c r="DJ111" s="561">
        <v>0</v>
      </c>
      <c r="DK111" s="561">
        <v>0</v>
      </c>
      <c r="DL111" s="561">
        <v>0</v>
      </c>
      <c r="DM111" s="561">
        <v>0</v>
      </c>
      <c r="DN111" s="561">
        <v>0</v>
      </c>
      <c r="DO111" s="561">
        <v>-29</v>
      </c>
      <c r="DP111" s="561">
        <v>0</v>
      </c>
      <c r="DQ111" s="561">
        <v>0</v>
      </c>
      <c r="DR111" s="561">
        <v>832</v>
      </c>
      <c r="DS111" s="561">
        <v>-8</v>
      </c>
      <c r="DT111" s="561">
        <v>0</v>
      </c>
      <c r="DU111" s="561">
        <v>795</v>
      </c>
      <c r="DV111" s="561">
        <v>0</v>
      </c>
      <c r="DW111" s="561">
        <v>0</v>
      </c>
      <c r="DX111" s="561">
        <v>0</v>
      </c>
      <c r="DY111" s="561">
        <v>1236</v>
      </c>
      <c r="DZ111" s="561">
        <v>-108</v>
      </c>
      <c r="EA111" s="561">
        <v>0</v>
      </c>
      <c r="EB111" s="561">
        <v>13</v>
      </c>
      <c r="EC111" s="561">
        <v>2692</v>
      </c>
      <c r="ED111" s="561">
        <v>0</v>
      </c>
      <c r="EE111" s="561">
        <v>0</v>
      </c>
      <c r="EF111" s="561">
        <v>0</v>
      </c>
      <c r="EG111" s="561">
        <v>0</v>
      </c>
      <c r="EH111" s="561">
        <v>0</v>
      </c>
      <c r="EI111" s="561">
        <v>0</v>
      </c>
      <c r="EJ111" s="561">
        <v>0</v>
      </c>
      <c r="EK111" s="561">
        <v>0</v>
      </c>
      <c r="EL111" s="561">
        <v>0</v>
      </c>
      <c r="EM111" s="561">
        <v>0</v>
      </c>
      <c r="EN111" s="561">
        <v>0</v>
      </c>
      <c r="EO111" s="561">
        <v>0</v>
      </c>
      <c r="EP111" s="561">
        <v>0</v>
      </c>
      <c r="EQ111" s="561">
        <v>0</v>
      </c>
      <c r="ER111" s="561">
        <v>0</v>
      </c>
      <c r="ES111" s="561" t="s">
        <v>4565</v>
      </c>
      <c r="ET111" s="561">
        <v>0</v>
      </c>
      <c r="EU111" s="561">
        <v>0</v>
      </c>
      <c r="EV111" s="561">
        <v>0</v>
      </c>
      <c r="EW111" s="561">
        <v>0</v>
      </c>
      <c r="EX111" s="561">
        <v>0</v>
      </c>
      <c r="EY111" s="561">
        <v>0</v>
      </c>
      <c r="EZ111" s="561">
        <v>0</v>
      </c>
      <c r="FA111" s="561">
        <v>0</v>
      </c>
      <c r="FB111" s="561">
        <v>0</v>
      </c>
      <c r="FC111" s="561">
        <v>0</v>
      </c>
      <c r="FD111" s="561">
        <v>376</v>
      </c>
      <c r="FE111" s="561">
        <v>0</v>
      </c>
      <c r="FF111" s="561">
        <v>0</v>
      </c>
      <c r="FG111" s="561">
        <v>1125</v>
      </c>
      <c r="FH111" s="561">
        <v>0</v>
      </c>
      <c r="FI111" s="561">
        <v>0</v>
      </c>
      <c r="FJ111" s="561">
        <v>-1270</v>
      </c>
      <c r="FK111" s="561">
        <v>485</v>
      </c>
      <c r="FL111" s="561">
        <v>0</v>
      </c>
      <c r="FM111" s="561">
        <v>0</v>
      </c>
      <c r="FN111" s="561">
        <v>0</v>
      </c>
      <c r="FO111" s="561">
        <v>716</v>
      </c>
      <c r="FP111" s="561">
        <v>0</v>
      </c>
      <c r="FQ111" s="561">
        <v>-74</v>
      </c>
      <c r="FR111" s="561">
        <v>0</v>
      </c>
      <c r="FS111" s="561">
        <v>0</v>
      </c>
      <c r="FT111" s="561">
        <v>381</v>
      </c>
      <c r="FU111" s="561">
        <v>545</v>
      </c>
      <c r="FV111" s="561">
        <v>0</v>
      </c>
      <c r="FW111" s="561">
        <v>148</v>
      </c>
      <c r="FX111" s="561">
        <v>0</v>
      </c>
      <c r="FY111" s="561">
        <v>0</v>
      </c>
      <c r="FZ111" s="561">
        <v>1</v>
      </c>
      <c r="GA111" s="561">
        <v>89</v>
      </c>
      <c r="GB111" s="561">
        <v>431</v>
      </c>
      <c r="GC111" s="561">
        <v>437</v>
      </c>
      <c r="GD111" s="561">
        <v>225</v>
      </c>
      <c r="GE111" s="561">
        <v>0</v>
      </c>
      <c r="GF111" s="561">
        <v>0</v>
      </c>
      <c r="GG111" s="561">
        <v>0</v>
      </c>
      <c r="GH111" s="561">
        <v>153</v>
      </c>
      <c r="GI111" s="561">
        <v>0</v>
      </c>
      <c r="GJ111" s="561">
        <v>0</v>
      </c>
      <c r="GK111" s="561">
        <v>0</v>
      </c>
      <c r="GL111" s="561">
        <v>402</v>
      </c>
      <c r="GM111" s="561">
        <v>4496</v>
      </c>
      <c r="GN111" s="561">
        <v>0</v>
      </c>
      <c r="GO111" s="561">
        <v>0</v>
      </c>
      <c r="GP111" s="561">
        <v>561</v>
      </c>
      <c r="GQ111" s="561">
        <v>0</v>
      </c>
      <c r="GR111" s="561">
        <v>198</v>
      </c>
      <c r="GS111" s="561">
        <v>7993</v>
      </c>
      <c r="GT111" s="561">
        <v>0</v>
      </c>
      <c r="GU111" s="561">
        <v>478</v>
      </c>
      <c r="GV111" s="561">
        <v>2327</v>
      </c>
      <c r="GW111" s="561">
        <v>0</v>
      </c>
      <c r="GX111" s="561">
        <v>1326</v>
      </c>
      <c r="GY111" s="561">
        <v>0</v>
      </c>
      <c r="GZ111" s="561">
        <v>993</v>
      </c>
      <c r="HA111" s="561">
        <v>0</v>
      </c>
      <c r="HB111" s="561">
        <v>0</v>
      </c>
      <c r="HC111" s="561">
        <v>736</v>
      </c>
      <c r="HD111" s="561">
        <v>5860</v>
      </c>
      <c r="HE111" s="561">
        <v>0</v>
      </c>
      <c r="HF111" s="561">
        <v>14569</v>
      </c>
      <c r="HG111" s="561">
        <v>0</v>
      </c>
      <c r="HH111" s="561">
        <v>0</v>
      </c>
      <c r="HI111" s="561">
        <v>0</v>
      </c>
      <c r="HJ111" s="561">
        <v>0</v>
      </c>
      <c r="HK111" s="561">
        <v>0</v>
      </c>
      <c r="HL111" s="561">
        <v>0</v>
      </c>
      <c r="HM111" s="561">
        <v>0</v>
      </c>
      <c r="HN111" s="561">
        <v>0</v>
      </c>
      <c r="HO111" s="561">
        <v>2300</v>
      </c>
      <c r="HP111" s="561">
        <v>698</v>
      </c>
      <c r="HQ111" s="561">
        <v>0</v>
      </c>
      <c r="HR111" s="561">
        <v>0</v>
      </c>
      <c r="HS111" s="561">
        <v>0</v>
      </c>
      <c r="HT111" s="561">
        <v>58</v>
      </c>
      <c r="HU111" s="561">
        <v>0</v>
      </c>
      <c r="HV111" s="561">
        <v>0</v>
      </c>
      <c r="HW111" s="561">
        <v>400</v>
      </c>
      <c r="HX111" s="561">
        <v>512</v>
      </c>
      <c r="HY111" s="561">
        <v>152</v>
      </c>
      <c r="HZ111" s="561">
        <v>82</v>
      </c>
      <c r="IA111" s="561">
        <v>0</v>
      </c>
      <c r="IB111" s="561">
        <v>0</v>
      </c>
      <c r="IC111" s="561">
        <v>0</v>
      </c>
      <c r="ID111" s="561">
        <v>0</v>
      </c>
      <c r="IE111" s="561">
        <v>0</v>
      </c>
      <c r="IF111" s="561">
        <v>0</v>
      </c>
      <c r="IG111" s="561">
        <v>0</v>
      </c>
      <c r="IH111" s="561">
        <v>2197</v>
      </c>
      <c r="II111" s="561">
        <v>6399</v>
      </c>
      <c r="IJ111" s="561">
        <v>0</v>
      </c>
      <c r="IK111" s="561">
        <v>0</v>
      </c>
      <c r="IL111" s="561">
        <v>0</v>
      </c>
      <c r="IM111" s="561">
        <v>0</v>
      </c>
      <c r="IN111" s="561">
        <v>0</v>
      </c>
      <c r="IO111" s="561">
        <v>0</v>
      </c>
      <c r="IP111" s="561">
        <v>0</v>
      </c>
      <c r="IQ111" s="561">
        <v>0</v>
      </c>
      <c r="IR111" s="561">
        <v>0</v>
      </c>
      <c r="IS111" s="561">
        <v>-1649</v>
      </c>
      <c r="IT111" s="561">
        <v>0</v>
      </c>
      <c r="IU111" s="561">
        <v>0</v>
      </c>
      <c r="IV111" s="561">
        <v>0</v>
      </c>
      <c r="IW111" s="561">
        <v>2692</v>
      </c>
      <c r="IX111" s="561">
        <v>716</v>
      </c>
      <c r="IY111" s="561">
        <v>7993</v>
      </c>
      <c r="IZ111" s="561">
        <v>5860</v>
      </c>
      <c r="JA111" s="561">
        <v>0</v>
      </c>
      <c r="JB111" s="561">
        <v>0</v>
      </c>
      <c r="JC111" s="561">
        <v>6399</v>
      </c>
      <c r="JD111" s="561">
        <v>0</v>
      </c>
      <c r="JE111" s="561">
        <v>22011</v>
      </c>
      <c r="JF111" s="561">
        <v>15772</v>
      </c>
      <c r="JG111" s="561">
        <v>0</v>
      </c>
      <c r="JH111" s="561">
        <v>0</v>
      </c>
      <c r="JI111" s="561">
        <v>0</v>
      </c>
      <c r="JJ111" s="561">
        <v>0</v>
      </c>
      <c r="JK111" s="561">
        <v>5218</v>
      </c>
      <c r="JL111" s="561">
        <v>0</v>
      </c>
      <c r="JM111" s="561">
        <v>0</v>
      </c>
      <c r="JN111" s="561">
        <v>0</v>
      </c>
      <c r="JO111" s="561">
        <v>0</v>
      </c>
      <c r="JP111" s="561">
        <v>0</v>
      </c>
      <c r="JQ111" s="561">
        <v>0</v>
      </c>
      <c r="JR111" s="561">
        <v>0</v>
      </c>
      <c r="JS111" s="561">
        <v>0</v>
      </c>
      <c r="JT111" s="561">
        <v>0</v>
      </c>
      <c r="JU111" s="561">
        <v>0</v>
      </c>
      <c r="JV111" s="561">
        <v>43001</v>
      </c>
      <c r="JW111" s="561">
        <v>0</v>
      </c>
      <c r="JX111" s="561">
        <v>1011</v>
      </c>
      <c r="JY111" s="561">
        <v>0</v>
      </c>
      <c r="JZ111" s="561">
        <v>0</v>
      </c>
      <c r="KA111" s="561">
        <v>0</v>
      </c>
      <c r="KB111" s="561">
        <v>0</v>
      </c>
      <c r="KC111" s="561">
        <v>0</v>
      </c>
      <c r="KD111" s="561">
        <v>1213</v>
      </c>
      <c r="KE111" s="561">
        <v>2947</v>
      </c>
      <c r="KF111" s="561">
        <v>0</v>
      </c>
      <c r="KG111" s="561">
        <v>48172</v>
      </c>
      <c r="KH111" s="561">
        <v>-8349</v>
      </c>
      <c r="KI111" s="561">
        <v>0</v>
      </c>
      <c r="KJ111" s="561">
        <v>0</v>
      </c>
      <c r="KK111" s="561">
        <v>0</v>
      </c>
      <c r="KL111" s="561">
        <v>-16381</v>
      </c>
      <c r="KM111" s="561">
        <v>0</v>
      </c>
      <c r="KN111" s="561">
        <v>-152</v>
      </c>
      <c r="KO111" s="561">
        <v>0</v>
      </c>
      <c r="KP111" s="561">
        <v>0</v>
      </c>
      <c r="KQ111" s="561">
        <v>0</v>
      </c>
      <c r="KR111" s="561">
        <v>23290</v>
      </c>
      <c r="KS111" s="561">
        <v>0</v>
      </c>
      <c r="KT111" s="561">
        <v>-3434</v>
      </c>
      <c r="KU111" s="561">
        <v>19856</v>
      </c>
      <c r="KV111" s="561">
        <v>0</v>
      </c>
      <c r="KW111" s="561">
        <v>0</v>
      </c>
      <c r="KX111" s="561">
        <v>0</v>
      </c>
      <c r="KY111" s="561">
        <v>0</v>
      </c>
      <c r="KZ111" s="561">
        <v>-1680</v>
      </c>
      <c r="LA111" s="561">
        <v>-316</v>
      </c>
      <c r="LB111" s="561">
        <v>-160</v>
      </c>
      <c r="LC111" s="561">
        <v>0</v>
      </c>
      <c r="LD111" s="561">
        <v>-4779</v>
      </c>
      <c r="LE111" s="561">
        <v>25</v>
      </c>
      <c r="LF111" s="561">
        <v>0</v>
      </c>
      <c r="LG111" s="561">
        <v>12946</v>
      </c>
      <c r="LH111" s="561">
        <v>0</v>
      </c>
      <c r="LI111" s="561">
        <v>0</v>
      </c>
      <c r="LJ111" s="561">
        <v>0</v>
      </c>
      <c r="LK111" s="561">
        <v>0</v>
      </c>
      <c r="LL111" s="561">
        <v>12110</v>
      </c>
      <c r="LM111" s="561">
        <v>3801</v>
      </c>
      <c r="LN111" s="561">
        <v>0</v>
      </c>
      <c r="LO111" s="561">
        <v>0</v>
      </c>
      <c r="LP111" s="561">
        <v>0</v>
      </c>
      <c r="LQ111" s="561">
        <v>0</v>
      </c>
      <c r="LR111" s="561">
        <v>10430</v>
      </c>
      <c r="LS111" s="561">
        <v>3485</v>
      </c>
      <c r="LT111" s="561">
        <v>0</v>
      </c>
      <c r="LU111" s="561">
        <v>0</v>
      </c>
      <c r="LV111" s="561">
        <v>0</v>
      </c>
      <c r="LW111" s="561">
        <v>0</v>
      </c>
      <c r="LX111" s="561">
        <v>0</v>
      </c>
      <c r="LY111" s="561">
        <v>0</v>
      </c>
      <c r="LZ111" s="561">
        <v>0</v>
      </c>
      <c r="MA111" s="561">
        <v>0</v>
      </c>
      <c r="MB111" s="561">
        <v>0</v>
      </c>
      <c r="MC111" s="561">
        <v>0</v>
      </c>
      <c r="MD111" s="561">
        <v>0</v>
      </c>
      <c r="ME111" s="561">
        <v>0</v>
      </c>
      <c r="MF111" s="561">
        <v>0</v>
      </c>
      <c r="MG111" s="561">
        <v>0</v>
      </c>
      <c r="MH111" s="561">
        <v>1829</v>
      </c>
      <c r="MI111" s="561">
        <v>3131</v>
      </c>
      <c r="MJ111" s="561">
        <v>4960</v>
      </c>
      <c r="MK111" s="561">
        <v>0</v>
      </c>
      <c r="ML111" s="561">
        <v>2156</v>
      </c>
      <c r="MM111" s="561">
        <v>3716</v>
      </c>
      <c r="MN111" s="561">
        <v>3317</v>
      </c>
      <c r="MO111" s="561">
        <v>1217</v>
      </c>
      <c r="MP111" s="561">
        <v>24</v>
      </c>
      <c r="MQ111" s="561">
        <v>0</v>
      </c>
      <c r="MR111" s="561">
        <v>-1649</v>
      </c>
      <c r="MS111" s="561">
        <v>0</v>
      </c>
      <c r="MT111" s="561">
        <v>0</v>
      </c>
      <c r="MU111" s="561">
        <v>0</v>
      </c>
      <c r="MV111" s="561">
        <v>2692</v>
      </c>
      <c r="MW111" s="561">
        <v>716</v>
      </c>
      <c r="MX111" s="561">
        <v>7993</v>
      </c>
      <c r="MY111" s="561">
        <v>5860</v>
      </c>
      <c r="MZ111" s="561">
        <v>0</v>
      </c>
      <c r="NA111" s="561">
        <v>0</v>
      </c>
      <c r="NB111" s="561">
        <v>6399</v>
      </c>
      <c r="NC111" s="561">
        <v>0</v>
      </c>
      <c r="ND111" s="561">
        <v>22011</v>
      </c>
      <c r="NE111" s="561">
        <v>0</v>
      </c>
      <c r="NF111" s="561">
        <v>0</v>
      </c>
      <c r="NG111" s="561">
        <v>0</v>
      </c>
      <c r="NH111" s="561">
        <v>0</v>
      </c>
      <c r="NI111" s="561">
        <v>0</v>
      </c>
      <c r="NJ111" s="561">
        <v>0</v>
      </c>
      <c r="NK111" s="561">
        <v>0</v>
      </c>
      <c r="NL111" s="561">
        <v>0</v>
      </c>
      <c r="NM111" s="561">
        <v>0</v>
      </c>
      <c r="NN111" s="561">
        <v>0</v>
      </c>
      <c r="NO111" s="561">
        <v>0</v>
      </c>
      <c r="NP111" s="561">
        <v>0</v>
      </c>
      <c r="NQ111" s="561">
        <v>0</v>
      </c>
      <c r="NR111" s="561">
        <v>0</v>
      </c>
      <c r="NS111" s="561">
        <v>0</v>
      </c>
      <c r="NT111" s="561">
        <v>0</v>
      </c>
      <c r="NU111" s="561">
        <v>0</v>
      </c>
      <c r="NV111" s="561">
        <v>0</v>
      </c>
      <c r="NW111" s="561">
        <v>0</v>
      </c>
      <c r="NX111" s="561">
        <v>0</v>
      </c>
      <c r="NY111" s="561">
        <v>0</v>
      </c>
      <c r="NZ111" s="561">
        <v>0</v>
      </c>
      <c r="OA111" s="561">
        <v>0</v>
      </c>
      <c r="OB111" s="561">
        <v>0</v>
      </c>
      <c r="OC111" s="561">
        <v>0</v>
      </c>
      <c r="OD111" s="561">
        <v>0</v>
      </c>
      <c r="OE111" s="561">
        <v>0</v>
      </c>
      <c r="OF111" s="561">
        <v>0</v>
      </c>
      <c r="OG111" s="561">
        <v>0</v>
      </c>
      <c r="OH111" s="561">
        <v>0</v>
      </c>
      <c r="OI111" s="561">
        <v>0</v>
      </c>
      <c r="OJ111" s="561">
        <v>0</v>
      </c>
      <c r="OK111" s="561">
        <v>0</v>
      </c>
      <c r="OL111" s="561">
        <v>0</v>
      </c>
      <c r="OM111" s="561">
        <v>0</v>
      </c>
      <c r="ON111" s="561">
        <v>0</v>
      </c>
      <c r="OO111" s="561">
        <v>0</v>
      </c>
      <c r="OP111" s="561">
        <v>0</v>
      </c>
      <c r="OQ111" s="561">
        <v>0</v>
      </c>
      <c r="OR111" s="561">
        <v>0</v>
      </c>
      <c r="OS111" s="561">
        <v>0</v>
      </c>
      <c r="OT111" s="561">
        <v>0</v>
      </c>
      <c r="OU111" s="561">
        <v>0</v>
      </c>
      <c r="OV111" s="561">
        <v>0</v>
      </c>
      <c r="OW111" s="561">
        <v>0</v>
      </c>
      <c r="OX111" s="561">
        <v>0</v>
      </c>
      <c r="OY111" s="561">
        <v>0</v>
      </c>
      <c r="OZ111" s="561">
        <v>0</v>
      </c>
      <c r="PA111" s="561">
        <v>0</v>
      </c>
      <c r="PB111" s="561">
        <v>0</v>
      </c>
      <c r="PC111" s="561">
        <v>0</v>
      </c>
      <c r="PD111" s="561">
        <v>0</v>
      </c>
      <c r="PE111" s="561">
        <v>0</v>
      </c>
      <c r="PF111" s="561">
        <v>0</v>
      </c>
      <c r="PG111" s="561">
        <v>0</v>
      </c>
      <c r="PH111" s="561">
        <v>0</v>
      </c>
      <c r="PI111" s="561">
        <v>0</v>
      </c>
      <c r="PJ111" s="561">
        <v>0</v>
      </c>
    </row>
    <row r="112" spans="1:426" ht="14" x14ac:dyDescent="0.3">
      <c r="A112" t="s">
        <v>2768</v>
      </c>
      <c r="B112" t="s">
        <v>2769</v>
      </c>
      <c r="C112" t="s">
        <v>2770</v>
      </c>
      <c r="E112" t="s">
        <v>384</v>
      </c>
      <c r="F112" s="561">
        <v>0</v>
      </c>
      <c r="G112" s="561">
        <v>0</v>
      </c>
      <c r="H112" s="561">
        <v>0</v>
      </c>
      <c r="I112" s="561">
        <v>0</v>
      </c>
      <c r="J112" s="561">
        <v>0</v>
      </c>
      <c r="K112" s="561">
        <v>0</v>
      </c>
      <c r="L112" s="561">
        <v>0</v>
      </c>
      <c r="M112" s="561">
        <v>0</v>
      </c>
      <c r="N112" s="561">
        <v>65.5</v>
      </c>
      <c r="O112" s="561">
        <v>0</v>
      </c>
      <c r="P112" s="561">
        <v>0</v>
      </c>
      <c r="Q112" s="561">
        <v>0</v>
      </c>
      <c r="R112" s="561">
        <v>8</v>
      </c>
      <c r="S112" s="561">
        <v>0</v>
      </c>
      <c r="T112" s="561">
        <v>1</v>
      </c>
      <c r="U112" s="561">
        <v>0</v>
      </c>
      <c r="V112" s="561">
        <v>21</v>
      </c>
      <c r="W112" s="561">
        <v>0</v>
      </c>
      <c r="X112" s="561">
        <v>0</v>
      </c>
      <c r="Y112" s="561">
        <v>0</v>
      </c>
      <c r="Z112" s="561">
        <v>0</v>
      </c>
      <c r="AA112" s="561">
        <v>-146</v>
      </c>
      <c r="AB112" s="561">
        <v>-1658</v>
      </c>
      <c r="AC112" s="561">
        <v>0</v>
      </c>
      <c r="AD112" s="561">
        <v>0</v>
      </c>
      <c r="AE112" s="561">
        <v>22</v>
      </c>
      <c r="AF112" s="561">
        <v>0</v>
      </c>
      <c r="AG112" s="561">
        <v>0</v>
      </c>
      <c r="AH112" s="561">
        <v>0</v>
      </c>
      <c r="AI112" s="561">
        <v>0</v>
      </c>
      <c r="AJ112" s="561">
        <v>-1686.5</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561">
        <v>0</v>
      </c>
      <c r="BI112" s="561">
        <v>0</v>
      </c>
      <c r="BJ112" s="561">
        <v>0</v>
      </c>
      <c r="BK112" s="561">
        <v>0</v>
      </c>
      <c r="BL112" s="561">
        <v>0</v>
      </c>
      <c r="BM112" s="561">
        <v>0</v>
      </c>
      <c r="BN112" s="561">
        <v>0</v>
      </c>
      <c r="BO112" s="561">
        <v>0</v>
      </c>
      <c r="BP112" s="561">
        <v>0</v>
      </c>
      <c r="BQ112" s="561">
        <v>0</v>
      </c>
      <c r="BR112" s="561">
        <v>0</v>
      </c>
      <c r="BS112" s="561">
        <v>0</v>
      </c>
      <c r="BT112" s="561">
        <v>0</v>
      </c>
      <c r="BU112" s="561">
        <v>0</v>
      </c>
      <c r="BV112" s="561">
        <v>0</v>
      </c>
      <c r="BW112" s="561">
        <v>0</v>
      </c>
      <c r="BX112" s="561">
        <v>0</v>
      </c>
      <c r="BY112" s="561">
        <v>0</v>
      </c>
      <c r="BZ112" s="561">
        <v>0</v>
      </c>
      <c r="CA112" s="561">
        <v>0</v>
      </c>
      <c r="CB112" s="561">
        <v>0</v>
      </c>
      <c r="CC112" s="561">
        <v>0</v>
      </c>
      <c r="CD112" s="561">
        <v>0</v>
      </c>
      <c r="CE112" s="561">
        <v>0</v>
      </c>
      <c r="CF112" s="561">
        <v>0</v>
      </c>
      <c r="CG112" s="561">
        <v>0</v>
      </c>
      <c r="CH112" s="561">
        <v>0</v>
      </c>
      <c r="CI112" s="561">
        <v>0</v>
      </c>
      <c r="CJ112" s="561">
        <v>0</v>
      </c>
      <c r="CK112" s="561">
        <v>0</v>
      </c>
      <c r="CL112" s="561">
        <v>0</v>
      </c>
      <c r="CM112" s="561">
        <v>0</v>
      </c>
      <c r="CN112" s="561">
        <v>0</v>
      </c>
      <c r="CO112" s="561">
        <v>0</v>
      </c>
      <c r="CP112" s="561">
        <v>0</v>
      </c>
      <c r="CQ112" s="561">
        <v>0</v>
      </c>
      <c r="CR112" s="561">
        <v>0</v>
      </c>
      <c r="CS112" s="561">
        <v>0</v>
      </c>
      <c r="CT112" s="561">
        <v>0</v>
      </c>
      <c r="CU112" s="561">
        <v>0</v>
      </c>
      <c r="CV112" s="561">
        <v>0</v>
      </c>
      <c r="CW112" s="561">
        <v>0</v>
      </c>
      <c r="CX112" s="561">
        <v>0</v>
      </c>
      <c r="CY112" s="561">
        <v>0</v>
      </c>
      <c r="CZ112" s="561">
        <v>0</v>
      </c>
      <c r="DA112" s="561">
        <v>0</v>
      </c>
      <c r="DB112" s="561">
        <v>0</v>
      </c>
      <c r="DC112" s="561">
        <v>0</v>
      </c>
      <c r="DD112" s="561">
        <v>0</v>
      </c>
      <c r="DE112" s="561">
        <v>0</v>
      </c>
      <c r="DF112" s="561">
        <v>0</v>
      </c>
      <c r="DG112" s="561">
        <v>0</v>
      </c>
      <c r="DH112" s="561">
        <v>885</v>
      </c>
      <c r="DI112" s="561">
        <v>0</v>
      </c>
      <c r="DJ112" s="561">
        <v>9</v>
      </c>
      <c r="DK112" s="561">
        <v>80</v>
      </c>
      <c r="DL112" s="561">
        <v>0</v>
      </c>
      <c r="DM112" s="561">
        <v>0</v>
      </c>
      <c r="DN112" s="561">
        <v>-8</v>
      </c>
      <c r="DO112" s="561">
        <v>407</v>
      </c>
      <c r="DP112" s="561">
        <v>0</v>
      </c>
      <c r="DQ112" s="561">
        <v>0</v>
      </c>
      <c r="DR112" s="561">
        <v>76</v>
      </c>
      <c r="DS112" s="561">
        <v>354</v>
      </c>
      <c r="DT112" s="561">
        <v>203</v>
      </c>
      <c r="DU112" s="561">
        <v>1032</v>
      </c>
      <c r="DV112" s="561">
        <v>410</v>
      </c>
      <c r="DW112" s="561">
        <v>0</v>
      </c>
      <c r="DX112" s="561">
        <v>0</v>
      </c>
      <c r="DY112" s="561">
        <v>1616</v>
      </c>
      <c r="DZ112" s="561">
        <v>0</v>
      </c>
      <c r="EA112" s="561">
        <v>0</v>
      </c>
      <c r="EB112" s="561">
        <v>0</v>
      </c>
      <c r="EC112" s="561">
        <v>4032</v>
      </c>
      <c r="ED112" s="561">
        <v>0</v>
      </c>
      <c r="EE112" s="561">
        <v>0</v>
      </c>
      <c r="EF112" s="561">
        <v>0</v>
      </c>
      <c r="EG112" s="561">
        <v>0</v>
      </c>
      <c r="EH112" s="561">
        <v>0</v>
      </c>
      <c r="EI112" s="561">
        <v>0</v>
      </c>
      <c r="EJ112" s="561">
        <v>0</v>
      </c>
      <c r="EK112" s="561">
        <v>0</v>
      </c>
      <c r="EL112" s="561">
        <v>0</v>
      </c>
      <c r="EM112" s="561">
        <v>0</v>
      </c>
      <c r="EN112" s="561">
        <v>0</v>
      </c>
      <c r="EO112" s="561">
        <v>0</v>
      </c>
      <c r="EP112" s="561">
        <v>0</v>
      </c>
      <c r="EQ112" s="561">
        <v>0</v>
      </c>
      <c r="ER112" s="561">
        <v>0</v>
      </c>
      <c r="ES112" s="561" t="s">
        <v>4565</v>
      </c>
      <c r="ET112" s="561">
        <v>0</v>
      </c>
      <c r="EU112" s="561">
        <v>0</v>
      </c>
      <c r="EV112" s="561">
        <v>0</v>
      </c>
      <c r="EW112" s="561">
        <v>0</v>
      </c>
      <c r="EX112" s="561">
        <v>0</v>
      </c>
      <c r="EY112" s="561">
        <v>0</v>
      </c>
      <c r="EZ112" s="561">
        <v>0</v>
      </c>
      <c r="FA112" s="561">
        <v>0</v>
      </c>
      <c r="FB112" s="561">
        <v>0</v>
      </c>
      <c r="FC112" s="561">
        <v>0</v>
      </c>
      <c r="FD112" s="561">
        <v>0</v>
      </c>
      <c r="FE112" s="561">
        <v>0</v>
      </c>
      <c r="FF112" s="561">
        <v>1305</v>
      </c>
      <c r="FG112" s="561">
        <v>15</v>
      </c>
      <c r="FH112" s="561">
        <v>0</v>
      </c>
      <c r="FI112" s="561">
        <v>294</v>
      </c>
      <c r="FJ112" s="561">
        <v>-353</v>
      </c>
      <c r="FK112" s="561">
        <v>1821</v>
      </c>
      <c r="FL112" s="561">
        <v>-1</v>
      </c>
      <c r="FM112" s="561">
        <v>0</v>
      </c>
      <c r="FN112" s="561">
        <v>0</v>
      </c>
      <c r="FO112" s="561">
        <v>3081</v>
      </c>
      <c r="FP112" s="561">
        <v>0</v>
      </c>
      <c r="FQ112" s="561">
        <v>0</v>
      </c>
      <c r="FR112" s="561">
        <v>0</v>
      </c>
      <c r="FS112" s="561">
        <v>258</v>
      </c>
      <c r="FT112" s="561">
        <v>252</v>
      </c>
      <c r="FU112" s="561">
        <v>395</v>
      </c>
      <c r="FV112" s="561">
        <v>7</v>
      </c>
      <c r="FW112" s="561">
        <v>53</v>
      </c>
      <c r="FX112" s="561">
        <v>0</v>
      </c>
      <c r="FY112" s="561">
        <v>0</v>
      </c>
      <c r="FZ112" s="561">
        <v>28</v>
      </c>
      <c r="GA112" s="561">
        <v>63</v>
      </c>
      <c r="GB112" s="561">
        <v>332</v>
      </c>
      <c r="GC112" s="561">
        <v>128</v>
      </c>
      <c r="GD112" s="561">
        <v>163</v>
      </c>
      <c r="GE112" s="561">
        <v>-84</v>
      </c>
      <c r="GF112" s="561">
        <v>72</v>
      </c>
      <c r="GG112" s="561">
        <v>56</v>
      </c>
      <c r="GH112" s="561">
        <v>0</v>
      </c>
      <c r="GI112" s="561">
        <v>0</v>
      </c>
      <c r="GJ112" s="561">
        <v>0</v>
      </c>
      <c r="GK112" s="561">
        <v>0</v>
      </c>
      <c r="GL112" s="561">
        <v>891</v>
      </c>
      <c r="GM112" s="561">
        <v>1630</v>
      </c>
      <c r="GN112" s="561">
        <v>0</v>
      </c>
      <c r="GO112" s="561">
        <v>-435</v>
      </c>
      <c r="GP112" s="561">
        <v>1781</v>
      </c>
      <c r="GQ112" s="561">
        <v>0</v>
      </c>
      <c r="GR112" s="561">
        <v>0</v>
      </c>
      <c r="GS112" s="561">
        <v>5590</v>
      </c>
      <c r="GT112" s="561">
        <v>0</v>
      </c>
      <c r="GU112" s="561">
        <v>87</v>
      </c>
      <c r="GV112" s="561">
        <v>1719</v>
      </c>
      <c r="GW112" s="561">
        <v>93</v>
      </c>
      <c r="GX112" s="561">
        <v>1673</v>
      </c>
      <c r="GY112" s="561">
        <v>2</v>
      </c>
      <c r="GZ112" s="561">
        <v>1661</v>
      </c>
      <c r="HA112" s="561">
        <v>0</v>
      </c>
      <c r="HB112" s="561">
        <v>-10</v>
      </c>
      <c r="HC112" s="561">
        <v>14</v>
      </c>
      <c r="HD112" s="561">
        <v>5239</v>
      </c>
      <c r="HE112" s="561">
        <v>0</v>
      </c>
      <c r="HF112" s="561">
        <v>13910</v>
      </c>
      <c r="HG112" s="561">
        <v>0</v>
      </c>
      <c r="HH112" s="561">
        <v>0</v>
      </c>
      <c r="HI112" s="561">
        <v>0</v>
      </c>
      <c r="HJ112" s="561">
        <v>0</v>
      </c>
      <c r="HK112" s="561">
        <v>0</v>
      </c>
      <c r="HL112" s="561">
        <v>0</v>
      </c>
      <c r="HM112" s="561">
        <v>0</v>
      </c>
      <c r="HN112" s="561">
        <v>0</v>
      </c>
      <c r="HO112" s="561">
        <v>2551</v>
      </c>
      <c r="HP112" s="561">
        <v>1419</v>
      </c>
      <c r="HQ112" s="561">
        <v>0</v>
      </c>
      <c r="HR112" s="561">
        <v>0</v>
      </c>
      <c r="HS112" s="561">
        <v>0</v>
      </c>
      <c r="HT112" s="561">
        <v>-203</v>
      </c>
      <c r="HU112" s="561">
        <v>0</v>
      </c>
      <c r="HV112" s="561">
        <v>0</v>
      </c>
      <c r="HW112" s="561">
        <v>362</v>
      </c>
      <c r="HX112" s="561">
        <v>23</v>
      </c>
      <c r="HY112" s="561">
        <v>37</v>
      </c>
      <c r="HZ112" s="561">
        <v>93</v>
      </c>
      <c r="IA112" s="561">
        <v>0</v>
      </c>
      <c r="IB112" s="561">
        <v>1</v>
      </c>
      <c r="IC112" s="561">
        <v>0</v>
      </c>
      <c r="ID112" s="561">
        <v>0</v>
      </c>
      <c r="IE112" s="561">
        <v>0</v>
      </c>
      <c r="IF112" s="561">
        <v>0</v>
      </c>
      <c r="IG112" s="561">
        <v>0</v>
      </c>
      <c r="IH112" s="561">
        <v>9876</v>
      </c>
      <c r="II112" s="561">
        <v>14159</v>
      </c>
      <c r="IJ112" s="561">
        <v>0</v>
      </c>
      <c r="IK112" s="561">
        <v>0</v>
      </c>
      <c r="IL112" s="561">
        <v>0</v>
      </c>
      <c r="IM112" s="561">
        <v>0</v>
      </c>
      <c r="IN112" s="561">
        <v>0</v>
      </c>
      <c r="IO112" s="561">
        <v>19093</v>
      </c>
      <c r="IP112" s="561">
        <v>0</v>
      </c>
      <c r="IQ112" s="561">
        <v>0</v>
      </c>
      <c r="IR112" s="561">
        <v>0</v>
      </c>
      <c r="IS112" s="561">
        <v>-1686.5</v>
      </c>
      <c r="IT112" s="561">
        <v>0</v>
      </c>
      <c r="IU112" s="561">
        <v>0</v>
      </c>
      <c r="IV112" s="561">
        <v>0</v>
      </c>
      <c r="IW112" s="561">
        <v>4032</v>
      </c>
      <c r="IX112" s="561">
        <v>3081</v>
      </c>
      <c r="IY112" s="561">
        <v>5590</v>
      </c>
      <c r="IZ112" s="561">
        <v>5239</v>
      </c>
      <c r="JA112" s="561">
        <v>0</v>
      </c>
      <c r="JB112" s="561">
        <v>0</v>
      </c>
      <c r="JC112" s="561">
        <v>14159</v>
      </c>
      <c r="JD112" s="561">
        <v>0</v>
      </c>
      <c r="JE112" s="561">
        <v>30414.5</v>
      </c>
      <c r="JF112" s="561">
        <v>20922</v>
      </c>
      <c r="JG112" s="561">
        <v>0</v>
      </c>
      <c r="JH112" s="561">
        <v>0</v>
      </c>
      <c r="JI112" s="561">
        <v>0</v>
      </c>
      <c r="JJ112" s="561">
        <v>0</v>
      </c>
      <c r="JK112" s="561">
        <v>6045</v>
      </c>
      <c r="JL112" s="561">
        <v>0</v>
      </c>
      <c r="JM112" s="561">
        <v>0</v>
      </c>
      <c r="JN112" s="561">
        <v>0</v>
      </c>
      <c r="JO112" s="561">
        <v>0</v>
      </c>
      <c r="JP112" s="561">
        <v>13</v>
      </c>
      <c r="JQ112" s="561">
        <v>-137</v>
      </c>
      <c r="JR112" s="561">
        <v>0</v>
      </c>
      <c r="JS112" s="561">
        <v>0</v>
      </c>
      <c r="JT112" s="561">
        <v>0</v>
      </c>
      <c r="JU112" s="561">
        <v>0</v>
      </c>
      <c r="JV112" s="561">
        <v>57257.5</v>
      </c>
      <c r="JW112" s="561">
        <v>0</v>
      </c>
      <c r="JX112" s="561">
        <v>238</v>
      </c>
      <c r="JY112" s="561">
        <v>0</v>
      </c>
      <c r="JZ112" s="561">
        <v>0</v>
      </c>
      <c r="KA112" s="561">
        <v>0</v>
      </c>
      <c r="KB112" s="561">
        <v>7</v>
      </c>
      <c r="KC112" s="561">
        <v>0</v>
      </c>
      <c r="KD112" s="561">
        <v>0</v>
      </c>
      <c r="KE112" s="561">
        <v>942</v>
      </c>
      <c r="KF112" s="561">
        <v>0</v>
      </c>
      <c r="KG112" s="561">
        <v>58444.5</v>
      </c>
      <c r="KH112" s="561">
        <v>0</v>
      </c>
      <c r="KI112" s="561">
        <v>0</v>
      </c>
      <c r="KJ112" s="561">
        <v>0</v>
      </c>
      <c r="KK112" s="561">
        <v>0</v>
      </c>
      <c r="KL112" s="561">
        <v>-21510</v>
      </c>
      <c r="KM112" s="561">
        <v>0</v>
      </c>
      <c r="KN112" s="561">
        <v>0</v>
      </c>
      <c r="KO112" s="561">
        <v>0</v>
      </c>
      <c r="KP112" s="561">
        <v>0</v>
      </c>
      <c r="KQ112" s="561">
        <v>0</v>
      </c>
      <c r="KR112" s="561">
        <v>36934.5</v>
      </c>
      <c r="KS112" s="561">
        <v>0</v>
      </c>
      <c r="KT112" s="561">
        <v>-2719</v>
      </c>
      <c r="KU112" s="561">
        <v>34215.5</v>
      </c>
      <c r="KV112" s="561">
        <v>0</v>
      </c>
      <c r="KW112" s="561">
        <v>0</v>
      </c>
      <c r="KX112" s="561">
        <v>0</v>
      </c>
      <c r="KY112" s="561">
        <v>0</v>
      </c>
      <c r="KZ112" s="561">
        <v>-1045</v>
      </c>
      <c r="LA112" s="561">
        <v>92</v>
      </c>
      <c r="LB112" s="561">
        <v>-118</v>
      </c>
      <c r="LC112" s="561">
        <v>0</v>
      </c>
      <c r="LD112" s="561">
        <v>0</v>
      </c>
      <c r="LE112" s="561">
        <v>-14448</v>
      </c>
      <c r="LF112" s="561">
        <v>0</v>
      </c>
      <c r="LG112" s="561">
        <v>18697</v>
      </c>
      <c r="LH112" s="561">
        <v>0</v>
      </c>
      <c r="LI112" s="561">
        <v>0</v>
      </c>
      <c r="LJ112" s="561">
        <v>0</v>
      </c>
      <c r="LK112" s="561">
        <v>0</v>
      </c>
      <c r="LL112" s="561">
        <v>2725</v>
      </c>
      <c r="LM112" s="561">
        <v>974</v>
      </c>
      <c r="LN112" s="561">
        <v>0</v>
      </c>
      <c r="LO112" s="561">
        <v>0</v>
      </c>
      <c r="LP112" s="561">
        <v>0</v>
      </c>
      <c r="LQ112" s="561">
        <v>0</v>
      </c>
      <c r="LR112" s="561">
        <v>1680</v>
      </c>
      <c r="LS112" s="561">
        <v>1066</v>
      </c>
      <c r="LT112" s="561">
        <v>0</v>
      </c>
      <c r="LU112" s="561">
        <v>0</v>
      </c>
      <c r="LV112" s="561">
        <v>0</v>
      </c>
      <c r="LW112" s="561">
        <v>0</v>
      </c>
      <c r="LX112" s="561">
        <v>0</v>
      </c>
      <c r="LY112" s="561">
        <v>0</v>
      </c>
      <c r="LZ112" s="561">
        <v>0</v>
      </c>
      <c r="MA112" s="561">
        <v>0</v>
      </c>
      <c r="MB112" s="561">
        <v>0</v>
      </c>
      <c r="MC112" s="561">
        <v>0</v>
      </c>
      <c r="MD112" s="561">
        <v>0</v>
      </c>
      <c r="ME112" s="561">
        <v>0</v>
      </c>
      <c r="MF112" s="561">
        <v>0</v>
      </c>
      <c r="MG112" s="561">
        <v>0</v>
      </c>
      <c r="MH112" s="561">
        <v>3145</v>
      </c>
      <c r="MI112" s="561">
        <v>3915</v>
      </c>
      <c r="MJ112" s="561">
        <v>7060</v>
      </c>
      <c r="MK112" s="561">
        <v>0</v>
      </c>
      <c r="ML112" s="561">
        <v>0</v>
      </c>
      <c r="MM112" s="561">
        <v>0</v>
      </c>
      <c r="MN112" s="561">
        <v>0</v>
      </c>
      <c r="MO112" s="561">
        <v>1680</v>
      </c>
      <c r="MP112" s="561">
        <v>0</v>
      </c>
      <c r="MQ112" s="561">
        <v>0</v>
      </c>
      <c r="MR112" s="561">
        <v>-1686.5</v>
      </c>
      <c r="MS112" s="561">
        <v>0</v>
      </c>
      <c r="MT112" s="561">
        <v>0</v>
      </c>
      <c r="MU112" s="561">
        <v>0</v>
      </c>
      <c r="MV112" s="561">
        <v>4032</v>
      </c>
      <c r="MW112" s="561">
        <v>3081</v>
      </c>
      <c r="MX112" s="561">
        <v>5590</v>
      </c>
      <c r="MY112" s="561">
        <v>5239</v>
      </c>
      <c r="MZ112" s="561">
        <v>0</v>
      </c>
      <c r="NA112" s="561">
        <v>0</v>
      </c>
      <c r="NB112" s="561">
        <v>14159</v>
      </c>
      <c r="NC112" s="561">
        <v>0</v>
      </c>
      <c r="ND112" s="561">
        <v>30414.5</v>
      </c>
      <c r="NE112" s="561">
        <v>0</v>
      </c>
      <c r="NF112" s="561">
        <v>0</v>
      </c>
      <c r="NG112" s="561">
        <v>0</v>
      </c>
      <c r="NH112" s="561">
        <v>0</v>
      </c>
      <c r="NI112" s="561">
        <v>0</v>
      </c>
      <c r="NJ112" s="561">
        <v>0</v>
      </c>
      <c r="NK112" s="561">
        <v>0</v>
      </c>
      <c r="NL112" s="561">
        <v>0</v>
      </c>
      <c r="NM112" s="561">
        <v>0</v>
      </c>
      <c r="NN112" s="561">
        <v>0</v>
      </c>
      <c r="NO112" s="561">
        <v>0</v>
      </c>
      <c r="NP112" s="561">
        <v>0</v>
      </c>
      <c r="NQ112" s="561">
        <v>0</v>
      </c>
      <c r="NR112" s="561">
        <v>0</v>
      </c>
      <c r="NS112" s="561">
        <v>0</v>
      </c>
      <c r="NT112" s="561">
        <v>0</v>
      </c>
      <c r="NU112" s="561">
        <v>0</v>
      </c>
      <c r="NV112" s="561">
        <v>13</v>
      </c>
      <c r="NW112" s="561">
        <v>13</v>
      </c>
      <c r="NX112" s="561">
        <v>0</v>
      </c>
      <c r="NY112" s="561">
        <v>13</v>
      </c>
      <c r="NZ112" s="561">
        <v>0</v>
      </c>
      <c r="OA112" s="561">
        <v>0</v>
      </c>
      <c r="OB112" s="561">
        <v>0</v>
      </c>
      <c r="OC112" s="561">
        <v>0</v>
      </c>
      <c r="OD112" s="561">
        <v>0</v>
      </c>
      <c r="OE112" s="561">
        <v>0</v>
      </c>
      <c r="OF112" s="561">
        <v>0</v>
      </c>
      <c r="OG112" s="561">
        <v>0</v>
      </c>
      <c r="OH112" s="561">
        <v>0</v>
      </c>
      <c r="OI112" s="561">
        <v>0</v>
      </c>
      <c r="OJ112" s="561">
        <v>0</v>
      </c>
      <c r="OK112" s="561">
        <v>0</v>
      </c>
      <c r="OL112" s="561">
        <v>0</v>
      </c>
      <c r="OM112" s="561">
        <v>0</v>
      </c>
      <c r="ON112" s="561">
        <v>0</v>
      </c>
      <c r="OO112" s="561">
        <v>0</v>
      </c>
      <c r="OP112" s="561">
        <v>0</v>
      </c>
      <c r="OQ112" s="561">
        <v>0</v>
      </c>
      <c r="OR112" s="561">
        <v>0</v>
      </c>
      <c r="OS112" s="561">
        <v>0</v>
      </c>
      <c r="OT112" s="561">
        <v>0</v>
      </c>
      <c r="OU112" s="561">
        <v>0</v>
      </c>
      <c r="OV112" s="561">
        <v>-164</v>
      </c>
      <c r="OW112" s="561">
        <v>0</v>
      </c>
      <c r="OX112" s="561">
        <v>-137</v>
      </c>
      <c r="OY112" s="561">
        <v>0</v>
      </c>
      <c r="OZ112" s="561">
        <v>0</v>
      </c>
      <c r="PA112" s="561">
        <v>0</v>
      </c>
      <c r="PB112" s="561">
        <v>0</v>
      </c>
      <c r="PC112" s="561">
        <v>0</v>
      </c>
      <c r="PD112" s="561">
        <v>0</v>
      </c>
      <c r="PE112" s="561">
        <v>0</v>
      </c>
      <c r="PF112" s="561">
        <v>0</v>
      </c>
      <c r="PG112" s="561">
        <v>0</v>
      </c>
      <c r="PH112" s="561">
        <v>0</v>
      </c>
      <c r="PI112" s="561">
        <v>0</v>
      </c>
      <c r="PJ112" s="561">
        <v>0</v>
      </c>
    </row>
    <row r="113" spans="1:426" ht="14" x14ac:dyDescent="0.3">
      <c r="A113" t="s">
        <v>2771</v>
      </c>
      <c r="B113" t="s">
        <v>2772</v>
      </c>
      <c r="C113" t="s">
        <v>2773</v>
      </c>
      <c r="E113" t="s">
        <v>384</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-1755</v>
      </c>
      <c r="AC113" s="561">
        <v>0</v>
      </c>
      <c r="AD113" s="561">
        <v>0</v>
      </c>
      <c r="AE113" s="561">
        <v>0</v>
      </c>
      <c r="AF113" s="561">
        <v>0</v>
      </c>
      <c r="AG113" s="561">
        <v>0</v>
      </c>
      <c r="AH113" s="561">
        <v>24</v>
      </c>
      <c r="AI113" s="561">
        <v>0</v>
      </c>
      <c r="AJ113" s="561">
        <v>-1731</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561">
        <v>0</v>
      </c>
      <c r="BI113" s="561">
        <v>0</v>
      </c>
      <c r="BJ113" s="561">
        <v>0</v>
      </c>
      <c r="BK113" s="561">
        <v>0</v>
      </c>
      <c r="BL113" s="561">
        <v>0</v>
      </c>
      <c r="BM113" s="561">
        <v>0</v>
      </c>
      <c r="BN113" s="561">
        <v>0</v>
      </c>
      <c r="BO113" s="561">
        <v>0</v>
      </c>
      <c r="BP113" s="561">
        <v>0</v>
      </c>
      <c r="BQ113" s="561">
        <v>0</v>
      </c>
      <c r="BR113" s="561">
        <v>0</v>
      </c>
      <c r="BS113" s="561">
        <v>0</v>
      </c>
      <c r="BT113" s="561">
        <v>0</v>
      </c>
      <c r="BU113" s="561">
        <v>0</v>
      </c>
      <c r="BV113" s="561">
        <v>0</v>
      </c>
      <c r="BW113" s="561">
        <v>0</v>
      </c>
      <c r="BX113" s="561">
        <v>0</v>
      </c>
      <c r="BY113" s="561">
        <v>0</v>
      </c>
      <c r="BZ113" s="561">
        <v>0</v>
      </c>
      <c r="CA113" s="561">
        <v>0</v>
      </c>
      <c r="CB113" s="561">
        <v>0</v>
      </c>
      <c r="CC113" s="561">
        <v>0</v>
      </c>
      <c r="CD113" s="561">
        <v>0</v>
      </c>
      <c r="CE113" s="561">
        <v>0</v>
      </c>
      <c r="CF113" s="561">
        <v>0</v>
      </c>
      <c r="CG113" s="561">
        <v>0</v>
      </c>
      <c r="CH113" s="561">
        <v>0</v>
      </c>
      <c r="CI113" s="561">
        <v>0</v>
      </c>
      <c r="CJ113" s="561">
        <v>0</v>
      </c>
      <c r="CK113" s="561">
        <v>0</v>
      </c>
      <c r="CL113" s="561">
        <v>0</v>
      </c>
      <c r="CM113" s="561">
        <v>0</v>
      </c>
      <c r="CN113" s="561">
        <v>0</v>
      </c>
      <c r="CO113" s="561">
        <v>0</v>
      </c>
      <c r="CP113" s="561">
        <v>0</v>
      </c>
      <c r="CQ113" s="561">
        <v>0</v>
      </c>
      <c r="CR113" s="561">
        <v>0</v>
      </c>
      <c r="CS113" s="561">
        <v>0</v>
      </c>
      <c r="CT113" s="561">
        <v>0</v>
      </c>
      <c r="CU113" s="561">
        <v>0</v>
      </c>
      <c r="CV113" s="561">
        <v>0</v>
      </c>
      <c r="CW113" s="561">
        <v>0</v>
      </c>
      <c r="CX113" s="561">
        <v>0</v>
      </c>
      <c r="CY113" s="561">
        <v>0</v>
      </c>
      <c r="CZ113" s="561">
        <v>0</v>
      </c>
      <c r="DA113" s="561">
        <v>0</v>
      </c>
      <c r="DB113" s="561">
        <v>0</v>
      </c>
      <c r="DC113" s="561">
        <v>0</v>
      </c>
      <c r="DD113" s="561">
        <v>0</v>
      </c>
      <c r="DE113" s="561">
        <v>0</v>
      </c>
      <c r="DF113" s="561">
        <v>0</v>
      </c>
      <c r="DG113" s="561">
        <v>0</v>
      </c>
      <c r="DH113" s="561">
        <v>1032</v>
      </c>
      <c r="DI113" s="561">
        <v>0</v>
      </c>
      <c r="DJ113" s="561">
        <v>106</v>
      </c>
      <c r="DK113" s="561">
        <v>0</v>
      </c>
      <c r="DL113" s="561">
        <v>0</v>
      </c>
      <c r="DM113" s="561">
        <v>0</v>
      </c>
      <c r="DN113" s="561">
        <v>0</v>
      </c>
      <c r="DO113" s="561">
        <v>-8</v>
      </c>
      <c r="DP113" s="561">
        <v>0</v>
      </c>
      <c r="DQ113" s="561">
        <v>52</v>
      </c>
      <c r="DR113" s="561">
        <v>1363</v>
      </c>
      <c r="DS113" s="561">
        <v>758</v>
      </c>
      <c r="DT113" s="561">
        <v>0</v>
      </c>
      <c r="DU113" s="561">
        <v>2165</v>
      </c>
      <c r="DV113" s="561">
        <v>191</v>
      </c>
      <c r="DW113" s="561">
        <v>0</v>
      </c>
      <c r="DX113" s="561">
        <v>0</v>
      </c>
      <c r="DY113" s="561">
        <v>522</v>
      </c>
      <c r="DZ113" s="561">
        <v>0</v>
      </c>
      <c r="EA113" s="561">
        <v>517</v>
      </c>
      <c r="EB113" s="561">
        <v>0</v>
      </c>
      <c r="EC113" s="561">
        <v>4533</v>
      </c>
      <c r="ED113" s="561">
        <v>0</v>
      </c>
      <c r="EE113" s="561">
        <v>0</v>
      </c>
      <c r="EF113" s="561">
        <v>0</v>
      </c>
      <c r="EG113" s="561">
        <v>0</v>
      </c>
      <c r="EH113" s="561">
        <v>0</v>
      </c>
      <c r="EI113" s="561">
        <v>0</v>
      </c>
      <c r="EJ113" s="561">
        <v>0</v>
      </c>
      <c r="EK113" s="561">
        <v>0</v>
      </c>
      <c r="EL113" s="561">
        <v>0</v>
      </c>
      <c r="EM113" s="561">
        <v>0</v>
      </c>
      <c r="EN113" s="561">
        <v>0</v>
      </c>
      <c r="EO113" s="561">
        <v>0</v>
      </c>
      <c r="EP113" s="561">
        <v>0</v>
      </c>
      <c r="EQ113" s="561">
        <v>0</v>
      </c>
      <c r="ER113" s="561">
        <v>0</v>
      </c>
      <c r="ES113" s="561" t="s">
        <v>4565</v>
      </c>
      <c r="ET113" s="561">
        <v>0</v>
      </c>
      <c r="EU113" s="561">
        <v>0</v>
      </c>
      <c r="EV113" s="561">
        <v>0</v>
      </c>
      <c r="EW113" s="561">
        <v>0</v>
      </c>
      <c r="EX113" s="561">
        <v>0</v>
      </c>
      <c r="EY113" s="561">
        <v>0</v>
      </c>
      <c r="EZ113" s="561">
        <v>0</v>
      </c>
      <c r="FA113" s="561">
        <v>0</v>
      </c>
      <c r="FB113" s="561">
        <v>0</v>
      </c>
      <c r="FC113" s="561">
        <v>625</v>
      </c>
      <c r="FD113" s="561">
        <v>26</v>
      </c>
      <c r="FE113" s="561">
        <v>0</v>
      </c>
      <c r="FF113" s="561">
        <v>119</v>
      </c>
      <c r="FG113" s="561">
        <v>0</v>
      </c>
      <c r="FH113" s="561">
        <v>29</v>
      </c>
      <c r="FI113" s="561">
        <v>671</v>
      </c>
      <c r="FJ113" s="561">
        <v>1598</v>
      </c>
      <c r="FK113" s="561">
        <v>2001</v>
      </c>
      <c r="FL113" s="561">
        <v>0</v>
      </c>
      <c r="FM113" s="561">
        <v>1680</v>
      </c>
      <c r="FN113" s="561">
        <v>0</v>
      </c>
      <c r="FO113" s="561">
        <v>6749</v>
      </c>
      <c r="FP113" s="561">
        <v>0</v>
      </c>
      <c r="FQ113" s="561">
        <v>20</v>
      </c>
      <c r="FR113" s="561">
        <v>0</v>
      </c>
      <c r="FS113" s="561">
        <v>3</v>
      </c>
      <c r="FT113" s="561">
        <v>475</v>
      </c>
      <c r="FU113" s="561">
        <v>970</v>
      </c>
      <c r="FV113" s="561">
        <v>143</v>
      </c>
      <c r="FW113" s="561">
        <v>115</v>
      </c>
      <c r="FX113" s="561">
        <v>0</v>
      </c>
      <c r="FY113" s="561">
        <v>0</v>
      </c>
      <c r="FZ113" s="561">
        <v>0</v>
      </c>
      <c r="GA113" s="561">
        <v>979</v>
      </c>
      <c r="GB113" s="561">
        <v>-6</v>
      </c>
      <c r="GC113" s="561">
        <v>204</v>
      </c>
      <c r="GD113" s="561">
        <v>0</v>
      </c>
      <c r="GE113" s="561">
        <v>152</v>
      </c>
      <c r="GF113" s="561">
        <v>541</v>
      </c>
      <c r="GG113" s="561">
        <v>0</v>
      </c>
      <c r="GH113" s="561">
        <v>0</v>
      </c>
      <c r="GI113" s="561">
        <v>5311</v>
      </c>
      <c r="GJ113" s="561">
        <v>0</v>
      </c>
      <c r="GK113" s="561">
        <v>0</v>
      </c>
      <c r="GL113" s="561">
        <v>1160</v>
      </c>
      <c r="GM113" s="561">
        <v>4032</v>
      </c>
      <c r="GN113" s="561">
        <v>0</v>
      </c>
      <c r="GO113" s="561">
        <v>0</v>
      </c>
      <c r="GP113" s="561">
        <v>-412</v>
      </c>
      <c r="GQ113" s="561">
        <v>0</v>
      </c>
      <c r="GR113" s="561">
        <v>852</v>
      </c>
      <c r="GS113" s="561">
        <v>14539</v>
      </c>
      <c r="GT113" s="561">
        <v>513</v>
      </c>
      <c r="GU113" s="561">
        <v>337</v>
      </c>
      <c r="GV113" s="561">
        <v>1034</v>
      </c>
      <c r="GW113" s="561">
        <v>0</v>
      </c>
      <c r="GX113" s="561">
        <v>832</v>
      </c>
      <c r="GY113" s="561">
        <v>0</v>
      </c>
      <c r="GZ113" s="561">
        <v>298</v>
      </c>
      <c r="HA113" s="561">
        <v>0</v>
      </c>
      <c r="HB113" s="561">
        <v>2321</v>
      </c>
      <c r="HC113" s="561">
        <v>0</v>
      </c>
      <c r="HD113" s="561">
        <v>4822</v>
      </c>
      <c r="HE113" s="561">
        <v>482</v>
      </c>
      <c r="HF113" s="561">
        <v>26110</v>
      </c>
      <c r="HG113" s="561">
        <v>995</v>
      </c>
      <c r="HH113" s="561">
        <v>0</v>
      </c>
      <c r="HI113" s="561">
        <v>0</v>
      </c>
      <c r="HJ113" s="561">
        <v>0</v>
      </c>
      <c r="HK113" s="561">
        <v>0</v>
      </c>
      <c r="HL113" s="561">
        <v>0</v>
      </c>
      <c r="HM113" s="561">
        <v>0</v>
      </c>
      <c r="HN113" s="561">
        <v>0</v>
      </c>
      <c r="HO113" s="561">
        <v>3503</v>
      </c>
      <c r="HP113" s="561">
        <v>733</v>
      </c>
      <c r="HQ113" s="561">
        <v>0</v>
      </c>
      <c r="HR113" s="561">
        <v>0</v>
      </c>
      <c r="HS113" s="561">
        <v>1151</v>
      </c>
      <c r="HT113" s="561">
        <v>142</v>
      </c>
      <c r="HU113" s="561">
        <v>0</v>
      </c>
      <c r="HV113" s="561">
        <v>0</v>
      </c>
      <c r="HW113" s="561">
        <v>214</v>
      </c>
      <c r="HX113" s="561">
        <v>761</v>
      </c>
      <c r="HY113" s="561">
        <v>29</v>
      </c>
      <c r="HZ113" s="561">
        <v>100</v>
      </c>
      <c r="IA113" s="561">
        <v>0</v>
      </c>
      <c r="IB113" s="561">
        <v>352</v>
      </c>
      <c r="IC113" s="561">
        <v>0</v>
      </c>
      <c r="ID113" s="561">
        <v>0</v>
      </c>
      <c r="IE113" s="561">
        <v>804</v>
      </c>
      <c r="IF113" s="561">
        <v>45</v>
      </c>
      <c r="IG113" s="561">
        <v>0</v>
      </c>
      <c r="IH113" s="561">
        <v>0</v>
      </c>
      <c r="II113" s="561">
        <v>7834</v>
      </c>
      <c r="IJ113" s="561">
        <v>112</v>
      </c>
      <c r="IK113" s="561">
        <v>0</v>
      </c>
      <c r="IL113" s="561">
        <v>0</v>
      </c>
      <c r="IM113" s="561">
        <v>0</v>
      </c>
      <c r="IN113" s="561">
        <v>0</v>
      </c>
      <c r="IO113" s="561">
        <v>0</v>
      </c>
      <c r="IP113" s="561">
        <v>0</v>
      </c>
      <c r="IQ113" s="561">
        <v>0</v>
      </c>
      <c r="IR113" s="561">
        <v>0</v>
      </c>
      <c r="IS113" s="561">
        <v>-1731</v>
      </c>
      <c r="IT113" s="561">
        <v>0</v>
      </c>
      <c r="IU113" s="561">
        <v>0</v>
      </c>
      <c r="IV113" s="561">
        <v>0</v>
      </c>
      <c r="IW113" s="561">
        <v>4533</v>
      </c>
      <c r="IX113" s="561">
        <v>6749</v>
      </c>
      <c r="IY113" s="561">
        <v>14539</v>
      </c>
      <c r="IZ113" s="561">
        <v>4822</v>
      </c>
      <c r="JA113" s="561">
        <v>0</v>
      </c>
      <c r="JB113" s="561">
        <v>0</v>
      </c>
      <c r="JC113" s="561">
        <v>7834</v>
      </c>
      <c r="JD113" s="561">
        <v>0</v>
      </c>
      <c r="JE113" s="561">
        <v>36746</v>
      </c>
      <c r="JF113" s="561">
        <v>25559</v>
      </c>
      <c r="JG113" s="561">
        <v>305</v>
      </c>
      <c r="JH113" s="561">
        <v>0</v>
      </c>
      <c r="JI113" s="561">
        <v>0</v>
      </c>
      <c r="JJ113" s="561">
        <v>0</v>
      </c>
      <c r="JK113" s="561">
        <v>3739</v>
      </c>
      <c r="JL113" s="561">
        <v>0</v>
      </c>
      <c r="JM113" s="561">
        <v>0</v>
      </c>
      <c r="JN113" s="561">
        <v>0</v>
      </c>
      <c r="JO113" s="561">
        <v>0</v>
      </c>
      <c r="JP113" s="561">
        <v>0</v>
      </c>
      <c r="JQ113" s="561">
        <v>0</v>
      </c>
      <c r="JR113" s="561">
        <v>0</v>
      </c>
      <c r="JS113" s="561">
        <v>0</v>
      </c>
      <c r="JT113" s="561">
        <v>5</v>
      </c>
      <c r="JU113" s="561">
        <v>0</v>
      </c>
      <c r="JV113" s="561">
        <v>66354</v>
      </c>
      <c r="JW113" s="561">
        <v>0</v>
      </c>
      <c r="JX113" s="561">
        <v>5518</v>
      </c>
      <c r="JY113" s="561">
        <v>0</v>
      </c>
      <c r="JZ113" s="561">
        <v>0</v>
      </c>
      <c r="KA113" s="561">
        <v>0</v>
      </c>
      <c r="KB113" s="561">
        <v>144</v>
      </c>
      <c r="KC113" s="561">
        <v>192</v>
      </c>
      <c r="KD113" s="561">
        <v>0</v>
      </c>
      <c r="KE113" s="561">
        <v>209</v>
      </c>
      <c r="KF113" s="561">
        <v>0</v>
      </c>
      <c r="KG113" s="561">
        <v>72417</v>
      </c>
      <c r="KH113" s="561">
        <v>-5013</v>
      </c>
      <c r="KI113" s="561">
        <v>0</v>
      </c>
      <c r="KJ113" s="561">
        <v>0</v>
      </c>
      <c r="KK113" s="561">
        <v>0</v>
      </c>
      <c r="KL113" s="561">
        <v>-25273</v>
      </c>
      <c r="KM113" s="561">
        <v>0</v>
      </c>
      <c r="KN113" s="561">
        <v>0</v>
      </c>
      <c r="KO113" s="561">
        <v>0</v>
      </c>
      <c r="KP113" s="561">
        <v>0</v>
      </c>
      <c r="KQ113" s="561">
        <v>0</v>
      </c>
      <c r="KR113" s="561">
        <v>42131</v>
      </c>
      <c r="KS113" s="561">
        <v>0</v>
      </c>
      <c r="KT113" s="561">
        <v>-12325</v>
      </c>
      <c r="KU113" s="561">
        <v>29806</v>
      </c>
      <c r="KV113" s="561">
        <v>0</v>
      </c>
      <c r="KW113" s="561">
        <v>0</v>
      </c>
      <c r="KX113" s="561">
        <v>0</v>
      </c>
      <c r="KY113" s="561">
        <v>0</v>
      </c>
      <c r="KZ113" s="561">
        <v>3125</v>
      </c>
      <c r="LA113" s="561">
        <v>0</v>
      </c>
      <c r="LB113" s="561">
        <v>-1396</v>
      </c>
      <c r="LC113" s="561">
        <v>0</v>
      </c>
      <c r="LD113" s="561">
        <v>-19787</v>
      </c>
      <c r="LE113" s="561">
        <v>-134</v>
      </c>
      <c r="LF113" s="561">
        <v>0</v>
      </c>
      <c r="LG113" s="561">
        <v>11606</v>
      </c>
      <c r="LH113" s="561">
        <v>0</v>
      </c>
      <c r="LI113" s="561">
        <v>0</v>
      </c>
      <c r="LJ113" s="561">
        <v>0</v>
      </c>
      <c r="LK113" s="561">
        <v>0</v>
      </c>
      <c r="LL113" s="561">
        <v>34062</v>
      </c>
      <c r="LM113" s="561">
        <v>1822</v>
      </c>
      <c r="LN113" s="561">
        <v>0</v>
      </c>
      <c r="LO113" s="561">
        <v>0</v>
      </c>
      <c r="LP113" s="561">
        <v>0</v>
      </c>
      <c r="LQ113" s="561">
        <v>0</v>
      </c>
      <c r="LR113" s="561">
        <v>37187</v>
      </c>
      <c r="LS113" s="561">
        <v>1822</v>
      </c>
      <c r="LT113" s="561">
        <v>0</v>
      </c>
      <c r="LU113" s="561">
        <v>5342</v>
      </c>
      <c r="LV113" s="561">
        <v>0</v>
      </c>
      <c r="LW113" s="561">
        <v>0</v>
      </c>
      <c r="LX113" s="561">
        <v>-25091</v>
      </c>
      <c r="LY113" s="561">
        <v>26102</v>
      </c>
      <c r="LZ113" s="561">
        <v>6898</v>
      </c>
      <c r="MA113" s="561">
        <v>0</v>
      </c>
      <c r="MB113" s="561">
        <v>0</v>
      </c>
      <c r="MC113" s="561">
        <v>0</v>
      </c>
      <c r="MD113" s="561">
        <v>0</v>
      </c>
      <c r="ME113" s="561">
        <v>0</v>
      </c>
      <c r="MF113" s="561">
        <v>0</v>
      </c>
      <c r="MG113" s="561">
        <v>0</v>
      </c>
      <c r="MH113" s="561">
        <v>6512</v>
      </c>
      <c r="MI113" s="561">
        <v>5312</v>
      </c>
      <c r="MJ113" s="561">
        <v>11824</v>
      </c>
      <c r="MK113" s="561">
        <v>0</v>
      </c>
      <c r="ML113" s="561">
        <v>0</v>
      </c>
      <c r="MM113" s="561">
        <v>23990</v>
      </c>
      <c r="MN113" s="561">
        <v>9440</v>
      </c>
      <c r="MO113" s="561">
        <v>3757</v>
      </c>
      <c r="MP113" s="561">
        <v>0</v>
      </c>
      <c r="MQ113" s="561">
        <v>0</v>
      </c>
      <c r="MR113" s="561">
        <v>-1731</v>
      </c>
      <c r="MS113" s="561">
        <v>0</v>
      </c>
      <c r="MT113" s="561">
        <v>0</v>
      </c>
      <c r="MU113" s="561">
        <v>0</v>
      </c>
      <c r="MV113" s="561">
        <v>4533</v>
      </c>
      <c r="MW113" s="561">
        <v>6749</v>
      </c>
      <c r="MX113" s="561">
        <v>14539</v>
      </c>
      <c r="MY113" s="561">
        <v>4822</v>
      </c>
      <c r="MZ113" s="561">
        <v>0</v>
      </c>
      <c r="NA113" s="561">
        <v>0</v>
      </c>
      <c r="NB113" s="561">
        <v>7834</v>
      </c>
      <c r="NC113" s="561">
        <v>0</v>
      </c>
      <c r="ND113" s="561">
        <v>36746</v>
      </c>
      <c r="NE113" s="561">
        <v>0</v>
      </c>
      <c r="NF113" s="561">
        <v>0</v>
      </c>
      <c r="NG113" s="561">
        <v>0</v>
      </c>
      <c r="NH113" s="561">
        <v>0</v>
      </c>
      <c r="NI113" s="561">
        <v>0</v>
      </c>
      <c r="NJ113" s="561">
        <v>0</v>
      </c>
      <c r="NK113" s="561">
        <v>0</v>
      </c>
      <c r="NL113" s="561">
        <v>0</v>
      </c>
      <c r="NM113" s="561">
        <v>0</v>
      </c>
      <c r="NN113" s="561">
        <v>0</v>
      </c>
      <c r="NO113" s="561">
        <v>0</v>
      </c>
      <c r="NP113" s="561">
        <v>0</v>
      </c>
      <c r="NQ113" s="561">
        <v>0</v>
      </c>
      <c r="NR113" s="561">
        <v>0</v>
      </c>
      <c r="NS113" s="561">
        <v>0</v>
      </c>
      <c r="NT113" s="561">
        <v>0</v>
      </c>
      <c r="NU113" s="561">
        <v>0</v>
      </c>
      <c r="NV113" s="561">
        <v>0</v>
      </c>
      <c r="NW113" s="561">
        <v>0</v>
      </c>
      <c r="NX113" s="561">
        <v>0</v>
      </c>
      <c r="NY113" s="561">
        <v>0</v>
      </c>
      <c r="NZ113" s="561">
        <v>0</v>
      </c>
      <c r="OA113" s="561">
        <v>0</v>
      </c>
      <c r="OB113" s="561">
        <v>0</v>
      </c>
      <c r="OC113" s="561">
        <v>0</v>
      </c>
      <c r="OD113" s="561">
        <v>0</v>
      </c>
      <c r="OE113" s="561">
        <v>0</v>
      </c>
      <c r="OF113" s="561">
        <v>0</v>
      </c>
      <c r="OG113" s="561">
        <v>0</v>
      </c>
      <c r="OH113" s="561">
        <v>0</v>
      </c>
      <c r="OI113" s="561">
        <v>0</v>
      </c>
      <c r="OJ113" s="561">
        <v>0</v>
      </c>
      <c r="OK113" s="561">
        <v>0</v>
      </c>
      <c r="OL113" s="561">
        <v>0</v>
      </c>
      <c r="OM113" s="561">
        <v>0</v>
      </c>
      <c r="ON113" s="561">
        <v>0</v>
      </c>
      <c r="OO113" s="561">
        <v>0</v>
      </c>
      <c r="OP113" s="561">
        <v>0</v>
      </c>
      <c r="OQ113" s="561">
        <v>0</v>
      </c>
      <c r="OR113" s="561">
        <v>0</v>
      </c>
      <c r="OS113" s="561">
        <v>0</v>
      </c>
      <c r="OT113" s="561">
        <v>0</v>
      </c>
      <c r="OU113" s="561">
        <v>0</v>
      </c>
      <c r="OV113" s="561">
        <v>0</v>
      </c>
      <c r="OW113" s="561">
        <v>0</v>
      </c>
      <c r="OX113" s="561">
        <v>0</v>
      </c>
      <c r="OY113" s="561">
        <v>0</v>
      </c>
      <c r="OZ113" s="561">
        <v>0</v>
      </c>
      <c r="PA113" s="561">
        <v>0</v>
      </c>
      <c r="PB113" s="561">
        <v>0</v>
      </c>
      <c r="PC113" s="561">
        <v>0</v>
      </c>
      <c r="PD113" s="561">
        <v>0</v>
      </c>
      <c r="PE113" s="561">
        <v>0</v>
      </c>
      <c r="PF113" s="561">
        <v>0</v>
      </c>
      <c r="PG113" s="561">
        <v>0</v>
      </c>
      <c r="PH113" s="561">
        <v>0</v>
      </c>
      <c r="PI113" s="561">
        <v>0</v>
      </c>
      <c r="PJ113" s="561">
        <v>0</v>
      </c>
    </row>
    <row r="114" spans="1:426" ht="14" x14ac:dyDescent="0.3">
      <c r="A114" t="s">
        <v>2774</v>
      </c>
      <c r="B114" t="s">
        <v>2775</v>
      </c>
      <c r="C114" t="s">
        <v>2776</v>
      </c>
      <c r="E114" t="s">
        <v>2466</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0</v>
      </c>
      <c r="W114" s="561">
        <v>0</v>
      </c>
      <c r="X114" s="561">
        <v>0</v>
      </c>
      <c r="Y114" s="561">
        <v>0</v>
      </c>
      <c r="Z114" s="561">
        <v>0</v>
      </c>
      <c r="AA114" s="561">
        <v>0</v>
      </c>
      <c r="AB114" s="561">
        <v>0</v>
      </c>
      <c r="AC114" s="561">
        <v>0</v>
      </c>
      <c r="AD114" s="561">
        <v>0</v>
      </c>
      <c r="AE114" s="561">
        <v>0</v>
      </c>
      <c r="AF114" s="561">
        <v>0</v>
      </c>
      <c r="AG114" s="561">
        <v>0</v>
      </c>
      <c r="AH114" s="561">
        <v>0</v>
      </c>
      <c r="AI114" s="561">
        <v>0</v>
      </c>
      <c r="AJ114" s="561">
        <v>0</v>
      </c>
      <c r="AK114" s="561">
        <v>0</v>
      </c>
      <c r="AL114" s="561">
        <v>0</v>
      </c>
      <c r="AM114" s="561">
        <v>0</v>
      </c>
      <c r="AN114" s="561">
        <v>0</v>
      </c>
      <c r="AO114" s="561">
        <v>0</v>
      </c>
      <c r="AP114" s="561">
        <v>0</v>
      </c>
      <c r="AQ114" s="561">
        <v>0</v>
      </c>
      <c r="AR114" s="561">
        <v>0</v>
      </c>
      <c r="AS114" s="561">
        <v>0</v>
      </c>
      <c r="AT114" s="561">
        <v>0</v>
      </c>
      <c r="AU114" s="561">
        <v>0</v>
      </c>
      <c r="AV114" s="561">
        <v>0</v>
      </c>
      <c r="AW114" s="561">
        <v>0</v>
      </c>
      <c r="AX114" s="561">
        <v>0</v>
      </c>
      <c r="AY114" s="561">
        <v>0</v>
      </c>
      <c r="AZ114" s="561">
        <v>0</v>
      </c>
      <c r="BA114" s="561">
        <v>0</v>
      </c>
      <c r="BB114" s="561">
        <v>0</v>
      </c>
      <c r="BC114" s="561">
        <v>0</v>
      </c>
      <c r="BD114" s="561">
        <v>0</v>
      </c>
      <c r="BE114" s="561">
        <v>0</v>
      </c>
      <c r="BF114" s="561">
        <v>0</v>
      </c>
      <c r="BG114" s="561">
        <v>0</v>
      </c>
      <c r="BH114" s="561">
        <v>0</v>
      </c>
      <c r="BI114" s="561">
        <v>0</v>
      </c>
      <c r="BJ114" s="561">
        <v>0</v>
      </c>
      <c r="BK114" s="561">
        <v>0</v>
      </c>
      <c r="BL114" s="561">
        <v>0</v>
      </c>
      <c r="BM114" s="561">
        <v>0</v>
      </c>
      <c r="BN114" s="561">
        <v>0</v>
      </c>
      <c r="BO114" s="561">
        <v>0</v>
      </c>
      <c r="BP114" s="561">
        <v>0</v>
      </c>
      <c r="BQ114" s="561">
        <v>0</v>
      </c>
      <c r="BR114" s="561">
        <v>0</v>
      </c>
      <c r="BS114" s="561">
        <v>0</v>
      </c>
      <c r="BT114" s="561">
        <v>0</v>
      </c>
      <c r="BU114" s="561">
        <v>0</v>
      </c>
      <c r="BV114" s="561">
        <v>0</v>
      </c>
      <c r="BW114" s="561">
        <v>0</v>
      </c>
      <c r="BX114" s="561">
        <v>0</v>
      </c>
      <c r="BY114" s="561">
        <v>0</v>
      </c>
      <c r="BZ114" s="561">
        <v>0</v>
      </c>
      <c r="CA114" s="561">
        <v>0</v>
      </c>
      <c r="CB114" s="561">
        <v>0</v>
      </c>
      <c r="CC114" s="561">
        <v>0</v>
      </c>
      <c r="CD114" s="561">
        <v>0</v>
      </c>
      <c r="CE114" s="561">
        <v>0</v>
      </c>
      <c r="CF114" s="561">
        <v>0</v>
      </c>
      <c r="CG114" s="561">
        <v>0</v>
      </c>
      <c r="CH114" s="561">
        <v>0</v>
      </c>
      <c r="CI114" s="561">
        <v>0</v>
      </c>
      <c r="CJ114" s="561">
        <v>0</v>
      </c>
      <c r="CK114" s="561">
        <v>0</v>
      </c>
      <c r="CL114" s="561">
        <v>0</v>
      </c>
      <c r="CM114" s="561">
        <v>0</v>
      </c>
      <c r="CN114" s="561">
        <v>0</v>
      </c>
      <c r="CO114" s="561">
        <v>0</v>
      </c>
      <c r="CP114" s="561">
        <v>0</v>
      </c>
      <c r="CQ114" s="561">
        <v>0</v>
      </c>
      <c r="CR114" s="561">
        <v>0</v>
      </c>
      <c r="CS114" s="561">
        <v>0</v>
      </c>
      <c r="CT114" s="561">
        <v>0</v>
      </c>
      <c r="CU114" s="561">
        <v>0</v>
      </c>
      <c r="CV114" s="561">
        <v>0</v>
      </c>
      <c r="CW114" s="561">
        <v>0</v>
      </c>
      <c r="CX114" s="561">
        <v>0</v>
      </c>
      <c r="CY114" s="561">
        <v>0</v>
      </c>
      <c r="CZ114" s="561">
        <v>0</v>
      </c>
      <c r="DA114" s="561">
        <v>0</v>
      </c>
      <c r="DB114" s="561">
        <v>0</v>
      </c>
      <c r="DC114" s="561">
        <v>0</v>
      </c>
      <c r="DD114" s="561">
        <v>0</v>
      </c>
      <c r="DE114" s="561">
        <v>0</v>
      </c>
      <c r="DF114" s="561">
        <v>0</v>
      </c>
      <c r="DG114" s="561">
        <v>0</v>
      </c>
      <c r="DH114" s="561">
        <v>0</v>
      </c>
      <c r="DI114" s="561">
        <v>0</v>
      </c>
      <c r="DJ114" s="561">
        <v>0</v>
      </c>
      <c r="DK114" s="561">
        <v>0</v>
      </c>
      <c r="DL114" s="561">
        <v>0</v>
      </c>
      <c r="DM114" s="561">
        <v>0</v>
      </c>
      <c r="DN114" s="561">
        <v>0</v>
      </c>
      <c r="DO114" s="561">
        <v>0</v>
      </c>
      <c r="DP114" s="561">
        <v>0</v>
      </c>
      <c r="DQ114" s="561">
        <v>0</v>
      </c>
      <c r="DR114" s="561">
        <v>0</v>
      </c>
      <c r="DS114" s="561">
        <v>0</v>
      </c>
      <c r="DT114" s="561">
        <v>0</v>
      </c>
      <c r="DU114" s="561">
        <v>0</v>
      </c>
      <c r="DV114" s="561">
        <v>0</v>
      </c>
      <c r="DW114" s="561">
        <v>0</v>
      </c>
      <c r="DX114" s="561">
        <v>0</v>
      </c>
      <c r="DY114" s="561">
        <v>0</v>
      </c>
      <c r="DZ114" s="561">
        <v>0</v>
      </c>
      <c r="EA114" s="561">
        <v>0</v>
      </c>
      <c r="EB114" s="561">
        <v>0</v>
      </c>
      <c r="EC114" s="561">
        <v>0</v>
      </c>
      <c r="ED114" s="561">
        <v>0</v>
      </c>
      <c r="EE114" s="561">
        <v>0</v>
      </c>
      <c r="EF114" s="561">
        <v>0</v>
      </c>
      <c r="EG114" s="561">
        <v>0</v>
      </c>
      <c r="EH114" s="561">
        <v>0</v>
      </c>
      <c r="EI114" s="561">
        <v>0</v>
      </c>
      <c r="EJ114" s="561">
        <v>0</v>
      </c>
      <c r="EK114" s="561">
        <v>0</v>
      </c>
      <c r="EL114" s="561">
        <v>0</v>
      </c>
      <c r="EM114" s="561">
        <v>0</v>
      </c>
      <c r="EN114" s="561">
        <v>0</v>
      </c>
      <c r="EO114" s="561">
        <v>0</v>
      </c>
      <c r="EP114" s="561">
        <v>0</v>
      </c>
      <c r="EQ114" s="561">
        <v>0</v>
      </c>
      <c r="ER114" s="561">
        <v>0</v>
      </c>
      <c r="ES114" s="561" t="s">
        <v>4565</v>
      </c>
      <c r="ET114" s="561">
        <v>0</v>
      </c>
      <c r="EU114" s="561">
        <v>0</v>
      </c>
      <c r="EV114" s="561">
        <v>0</v>
      </c>
      <c r="EW114" s="561">
        <v>0</v>
      </c>
      <c r="EX114" s="561">
        <v>0</v>
      </c>
      <c r="EY114" s="561">
        <v>0</v>
      </c>
      <c r="EZ114" s="561">
        <v>0</v>
      </c>
      <c r="FA114" s="561">
        <v>0</v>
      </c>
      <c r="FB114" s="561">
        <v>0</v>
      </c>
      <c r="FC114" s="561">
        <v>0</v>
      </c>
      <c r="FD114" s="561">
        <v>0</v>
      </c>
      <c r="FE114" s="561">
        <v>0</v>
      </c>
      <c r="FF114" s="561">
        <v>0</v>
      </c>
      <c r="FG114" s="561">
        <v>0</v>
      </c>
      <c r="FH114" s="561">
        <v>0</v>
      </c>
      <c r="FI114" s="561">
        <v>0</v>
      </c>
      <c r="FJ114" s="561">
        <v>0</v>
      </c>
      <c r="FK114" s="561">
        <v>0</v>
      </c>
      <c r="FL114" s="561">
        <v>0</v>
      </c>
      <c r="FM114" s="561">
        <v>0</v>
      </c>
      <c r="FN114" s="561">
        <v>0</v>
      </c>
      <c r="FO114" s="561">
        <v>0</v>
      </c>
      <c r="FP114" s="561">
        <v>0</v>
      </c>
      <c r="FQ114" s="561">
        <v>0</v>
      </c>
      <c r="FR114" s="561">
        <v>0</v>
      </c>
      <c r="FS114" s="561">
        <v>0</v>
      </c>
      <c r="FT114" s="561">
        <v>0</v>
      </c>
      <c r="FU114" s="561">
        <v>0</v>
      </c>
      <c r="FV114" s="561">
        <v>0</v>
      </c>
      <c r="FW114" s="561">
        <v>0</v>
      </c>
      <c r="FX114" s="561">
        <v>0</v>
      </c>
      <c r="FY114" s="561">
        <v>0</v>
      </c>
      <c r="FZ114" s="561">
        <v>0</v>
      </c>
      <c r="GA114" s="561">
        <v>0</v>
      </c>
      <c r="GB114" s="561">
        <v>0</v>
      </c>
      <c r="GC114" s="561">
        <v>0</v>
      </c>
      <c r="GD114" s="561">
        <v>0</v>
      </c>
      <c r="GE114" s="561">
        <v>0</v>
      </c>
      <c r="GF114" s="561">
        <v>0</v>
      </c>
      <c r="GG114" s="561">
        <v>0</v>
      </c>
      <c r="GH114" s="561">
        <v>0</v>
      </c>
      <c r="GI114" s="561">
        <v>0</v>
      </c>
      <c r="GJ114" s="561">
        <v>0</v>
      </c>
      <c r="GK114" s="561">
        <v>0</v>
      </c>
      <c r="GL114" s="561">
        <v>0</v>
      </c>
      <c r="GM114" s="561">
        <v>0</v>
      </c>
      <c r="GN114" s="561">
        <v>81335</v>
      </c>
      <c r="GO114" s="561">
        <v>0</v>
      </c>
      <c r="GP114" s="561">
        <v>0</v>
      </c>
      <c r="GQ114" s="561">
        <v>0</v>
      </c>
      <c r="GR114" s="561">
        <v>0</v>
      </c>
      <c r="GS114" s="561">
        <v>81335</v>
      </c>
      <c r="GT114" s="561">
        <v>46</v>
      </c>
      <c r="GU114" s="561">
        <v>0</v>
      </c>
      <c r="GV114" s="561">
        <v>0</v>
      </c>
      <c r="GW114" s="561">
        <v>0</v>
      </c>
      <c r="GX114" s="561">
        <v>0</v>
      </c>
      <c r="GY114" s="561">
        <v>0</v>
      </c>
      <c r="GZ114" s="561">
        <v>0</v>
      </c>
      <c r="HA114" s="561">
        <v>0</v>
      </c>
      <c r="HB114" s="561">
        <v>0</v>
      </c>
      <c r="HC114" s="561">
        <v>0</v>
      </c>
      <c r="HD114" s="561">
        <v>0</v>
      </c>
      <c r="HE114" s="561">
        <v>0</v>
      </c>
      <c r="HF114" s="561">
        <v>81335</v>
      </c>
      <c r="HG114" s="561">
        <v>0</v>
      </c>
      <c r="HH114" s="561">
        <v>0</v>
      </c>
      <c r="HI114" s="561">
        <v>0</v>
      </c>
      <c r="HJ114" s="561">
        <v>0</v>
      </c>
      <c r="HK114" s="561">
        <v>0</v>
      </c>
      <c r="HL114" s="561">
        <v>0</v>
      </c>
      <c r="HM114" s="561">
        <v>0</v>
      </c>
      <c r="HN114" s="561">
        <v>0</v>
      </c>
      <c r="HO114" s="561">
        <v>0</v>
      </c>
      <c r="HP114" s="561">
        <v>0</v>
      </c>
      <c r="HQ114" s="561">
        <v>0</v>
      </c>
      <c r="HR114" s="561">
        <v>0</v>
      </c>
      <c r="HS114" s="561">
        <v>0</v>
      </c>
      <c r="HT114" s="561">
        <v>0</v>
      </c>
      <c r="HU114" s="561">
        <v>0</v>
      </c>
      <c r="HV114" s="561">
        <v>0</v>
      </c>
      <c r="HW114" s="561">
        <v>0</v>
      </c>
      <c r="HX114" s="561">
        <v>0</v>
      </c>
      <c r="HY114" s="561">
        <v>0</v>
      </c>
      <c r="HZ114" s="561">
        <v>0</v>
      </c>
      <c r="IA114" s="561">
        <v>0</v>
      </c>
      <c r="IB114" s="561">
        <v>0</v>
      </c>
      <c r="IC114" s="561">
        <v>0</v>
      </c>
      <c r="ID114" s="561">
        <v>0</v>
      </c>
      <c r="IE114" s="561">
        <v>0</v>
      </c>
      <c r="IF114" s="561">
        <v>0</v>
      </c>
      <c r="IG114" s="561">
        <v>0</v>
      </c>
      <c r="IH114" s="561">
        <v>0</v>
      </c>
      <c r="II114" s="561">
        <v>0</v>
      </c>
      <c r="IJ114" s="561">
        <v>0</v>
      </c>
      <c r="IK114" s="561">
        <v>0</v>
      </c>
      <c r="IL114" s="561">
        <v>0</v>
      </c>
      <c r="IM114" s="561">
        <v>0</v>
      </c>
      <c r="IN114" s="561">
        <v>0</v>
      </c>
      <c r="IO114" s="561">
        <v>0</v>
      </c>
      <c r="IP114" s="561">
        <v>0</v>
      </c>
      <c r="IQ114" s="561">
        <v>0</v>
      </c>
      <c r="IR114" s="561">
        <v>0</v>
      </c>
      <c r="IS114" s="561">
        <v>0</v>
      </c>
      <c r="IT114" s="561">
        <v>0</v>
      </c>
      <c r="IU114" s="561">
        <v>0</v>
      </c>
      <c r="IV114" s="561">
        <v>0</v>
      </c>
      <c r="IW114" s="561">
        <v>0</v>
      </c>
      <c r="IX114" s="561">
        <v>0</v>
      </c>
      <c r="IY114" s="561">
        <v>81335</v>
      </c>
      <c r="IZ114" s="561">
        <v>0</v>
      </c>
      <c r="JA114" s="561">
        <v>0</v>
      </c>
      <c r="JB114" s="561">
        <v>0</v>
      </c>
      <c r="JC114" s="561">
        <v>0</v>
      </c>
      <c r="JD114" s="561">
        <v>0</v>
      </c>
      <c r="JE114" s="561">
        <v>81335</v>
      </c>
      <c r="JF114" s="561">
        <v>0</v>
      </c>
      <c r="JG114" s="561">
        <v>0</v>
      </c>
      <c r="JH114" s="561">
        <v>0</v>
      </c>
      <c r="JI114" s="561">
        <v>0</v>
      </c>
      <c r="JJ114" s="561">
        <v>0</v>
      </c>
      <c r="JK114" s="561">
        <v>0</v>
      </c>
      <c r="JL114" s="561">
        <v>0</v>
      </c>
      <c r="JM114" s="561">
        <v>-75740</v>
      </c>
      <c r="JN114" s="561">
        <v>0</v>
      </c>
      <c r="JO114" s="561">
        <v>0</v>
      </c>
      <c r="JP114" s="561">
        <v>0</v>
      </c>
      <c r="JQ114" s="561">
        <v>0</v>
      </c>
      <c r="JR114" s="561">
        <v>0</v>
      </c>
      <c r="JS114" s="561">
        <v>0</v>
      </c>
      <c r="JT114" s="561">
        <v>-7</v>
      </c>
      <c r="JU114" s="561">
        <v>0</v>
      </c>
      <c r="JV114" s="561">
        <v>5588</v>
      </c>
      <c r="JW114" s="561">
        <v>0</v>
      </c>
      <c r="JX114" s="561">
        <v>0</v>
      </c>
      <c r="JY114" s="561">
        <v>0</v>
      </c>
      <c r="JZ114" s="561">
        <v>0</v>
      </c>
      <c r="KA114" s="561">
        <v>0</v>
      </c>
      <c r="KB114" s="561">
        <v>0</v>
      </c>
      <c r="KC114" s="561">
        <v>2207</v>
      </c>
      <c r="KD114" s="561">
        <v>0</v>
      </c>
      <c r="KE114" s="561">
        <v>84</v>
      </c>
      <c r="KF114" s="561">
        <v>0</v>
      </c>
      <c r="KG114" s="561">
        <v>7879</v>
      </c>
      <c r="KH114" s="561">
        <v>-722</v>
      </c>
      <c r="KI114" s="561">
        <v>0</v>
      </c>
      <c r="KJ114" s="561">
        <v>0</v>
      </c>
      <c r="KK114" s="561">
        <v>0</v>
      </c>
      <c r="KL114" s="561">
        <v>0</v>
      </c>
      <c r="KM114" s="561">
        <v>0</v>
      </c>
      <c r="KN114" s="561">
        <v>0</v>
      </c>
      <c r="KO114" s="561">
        <v>0</v>
      </c>
      <c r="KP114" s="561">
        <v>0</v>
      </c>
      <c r="KQ114" s="561">
        <v>0</v>
      </c>
      <c r="KR114" s="561">
        <v>7157</v>
      </c>
      <c r="KS114" s="561">
        <v>0</v>
      </c>
      <c r="KT114" s="561">
        <v>-3991</v>
      </c>
      <c r="KU114" s="561">
        <v>3166</v>
      </c>
      <c r="KV114" s="561">
        <v>0</v>
      </c>
      <c r="KW114" s="561">
        <v>0</v>
      </c>
      <c r="KX114" s="561">
        <v>0</v>
      </c>
      <c r="KY114" s="561">
        <v>0</v>
      </c>
      <c r="KZ114" s="561">
        <v>-3695</v>
      </c>
      <c r="LA114" s="561">
        <v>529</v>
      </c>
      <c r="LB114" s="561">
        <v>0</v>
      </c>
      <c r="LC114" s="561">
        <v>0</v>
      </c>
      <c r="LD114" s="561">
        <v>0</v>
      </c>
      <c r="LE114" s="561">
        <v>0</v>
      </c>
      <c r="LF114" s="561">
        <v>0</v>
      </c>
      <c r="LG114" s="561">
        <v>0</v>
      </c>
      <c r="LH114" s="561">
        <v>0</v>
      </c>
      <c r="LI114" s="561">
        <v>0</v>
      </c>
      <c r="LJ114" s="561">
        <v>0</v>
      </c>
      <c r="LK114" s="561">
        <v>0</v>
      </c>
      <c r="LL114" s="561">
        <v>11614</v>
      </c>
      <c r="LM114" s="561">
        <v>3900</v>
      </c>
      <c r="LN114" s="561">
        <v>0</v>
      </c>
      <c r="LO114" s="561">
        <v>0</v>
      </c>
      <c r="LP114" s="561">
        <v>0</v>
      </c>
      <c r="LQ114" s="561">
        <v>0</v>
      </c>
      <c r="LR114" s="561">
        <v>7919</v>
      </c>
      <c r="LS114" s="561">
        <v>4429</v>
      </c>
      <c r="LT114" s="561">
        <v>0</v>
      </c>
      <c r="LU114" s="561">
        <v>98</v>
      </c>
      <c r="LV114" s="561">
        <v>3212</v>
      </c>
      <c r="LW114" s="561">
        <v>0</v>
      </c>
      <c r="LX114" s="561">
        <v>0</v>
      </c>
      <c r="LY114" s="561">
        <v>0</v>
      </c>
      <c r="LZ114" s="561">
        <v>3310</v>
      </c>
      <c r="MA114" s="561">
        <v>0</v>
      </c>
      <c r="MB114" s="561">
        <v>0</v>
      </c>
      <c r="MC114" s="561">
        <v>0</v>
      </c>
      <c r="MD114" s="561">
        <v>0</v>
      </c>
      <c r="ME114" s="561">
        <v>0</v>
      </c>
      <c r="MF114" s="561">
        <v>0</v>
      </c>
      <c r="MG114" s="561">
        <v>0</v>
      </c>
      <c r="MH114" s="561">
        <v>0</v>
      </c>
      <c r="MI114" s="561">
        <v>0</v>
      </c>
      <c r="MJ114" s="561">
        <v>0</v>
      </c>
      <c r="MK114" s="561">
        <v>0</v>
      </c>
      <c r="ML114" s="561">
        <v>0</v>
      </c>
      <c r="MM114" s="561">
        <v>6419</v>
      </c>
      <c r="MN114" s="561">
        <v>1500</v>
      </c>
      <c r="MO114" s="561">
        <v>0</v>
      </c>
      <c r="MP114" s="561">
        <v>0</v>
      </c>
      <c r="MQ114" s="561">
        <v>0</v>
      </c>
      <c r="MR114" s="561">
        <v>0</v>
      </c>
      <c r="MS114" s="561">
        <v>0</v>
      </c>
      <c r="MT114" s="561">
        <v>0</v>
      </c>
      <c r="MU114" s="561">
        <v>0</v>
      </c>
      <c r="MV114" s="561">
        <v>0</v>
      </c>
      <c r="MW114" s="561">
        <v>0</v>
      </c>
      <c r="MX114" s="561">
        <v>81335</v>
      </c>
      <c r="MY114" s="561">
        <v>0</v>
      </c>
      <c r="MZ114" s="561">
        <v>0</v>
      </c>
      <c r="NA114" s="561">
        <v>0</v>
      </c>
      <c r="NB114" s="561">
        <v>0</v>
      </c>
      <c r="NC114" s="561">
        <v>0</v>
      </c>
      <c r="ND114" s="561">
        <v>81335</v>
      </c>
      <c r="NE114" s="561">
        <v>0</v>
      </c>
      <c r="NF114" s="561">
        <v>0</v>
      </c>
      <c r="NG114" s="561">
        <v>0</v>
      </c>
      <c r="NH114" s="561">
        <v>0</v>
      </c>
      <c r="NI114" s="561">
        <v>0</v>
      </c>
      <c r="NJ114" s="561">
        <v>0</v>
      </c>
      <c r="NK114" s="561">
        <v>0</v>
      </c>
      <c r="NL114" s="561">
        <v>0</v>
      </c>
      <c r="NM114" s="561">
        <v>0</v>
      </c>
      <c r="NN114" s="561">
        <v>0</v>
      </c>
      <c r="NO114" s="561">
        <v>0</v>
      </c>
      <c r="NP114" s="561">
        <v>0</v>
      </c>
      <c r="NQ114" s="561">
        <v>0</v>
      </c>
      <c r="NR114" s="561">
        <v>0</v>
      </c>
      <c r="NS114" s="561">
        <v>0</v>
      </c>
      <c r="NT114" s="561">
        <v>0</v>
      </c>
      <c r="NU114" s="561">
        <v>0</v>
      </c>
      <c r="NV114" s="561">
        <v>0</v>
      </c>
      <c r="NW114" s="561">
        <v>0</v>
      </c>
      <c r="NX114" s="561">
        <v>0</v>
      </c>
      <c r="NY114" s="561">
        <v>0</v>
      </c>
      <c r="NZ114" s="561">
        <v>0</v>
      </c>
      <c r="OA114" s="561">
        <v>0</v>
      </c>
      <c r="OB114" s="561">
        <v>0</v>
      </c>
      <c r="OC114" s="561">
        <v>0</v>
      </c>
      <c r="OD114" s="561">
        <v>0</v>
      </c>
      <c r="OE114" s="561">
        <v>0</v>
      </c>
      <c r="OF114" s="561">
        <v>0</v>
      </c>
      <c r="OG114" s="561">
        <v>0</v>
      </c>
      <c r="OH114" s="561">
        <v>0</v>
      </c>
      <c r="OI114" s="561">
        <v>0</v>
      </c>
      <c r="OJ114" s="561">
        <v>0</v>
      </c>
      <c r="OK114" s="561">
        <v>0</v>
      </c>
      <c r="OL114" s="561">
        <v>0</v>
      </c>
      <c r="OM114" s="561">
        <v>0</v>
      </c>
      <c r="ON114" s="561">
        <v>0</v>
      </c>
      <c r="OO114" s="561">
        <v>0</v>
      </c>
      <c r="OP114" s="561">
        <v>0</v>
      </c>
      <c r="OQ114" s="561">
        <v>0</v>
      </c>
      <c r="OR114" s="561">
        <v>0</v>
      </c>
      <c r="OS114" s="561">
        <v>0</v>
      </c>
      <c r="OT114" s="561">
        <v>0</v>
      </c>
      <c r="OU114" s="561">
        <v>0</v>
      </c>
      <c r="OV114" s="561">
        <v>0</v>
      </c>
      <c r="OW114" s="561">
        <v>0</v>
      </c>
      <c r="OX114" s="561">
        <v>0</v>
      </c>
      <c r="OY114" s="561">
        <v>0</v>
      </c>
      <c r="OZ114" s="561">
        <v>0</v>
      </c>
      <c r="PA114" s="561">
        <v>0</v>
      </c>
      <c r="PB114" s="561">
        <v>0</v>
      </c>
      <c r="PC114" s="561">
        <v>0</v>
      </c>
      <c r="PD114" s="561">
        <v>0</v>
      </c>
      <c r="PE114" s="561">
        <v>0</v>
      </c>
      <c r="PF114" s="561">
        <v>0</v>
      </c>
      <c r="PG114" s="561">
        <v>0</v>
      </c>
      <c r="PH114" s="561">
        <v>0</v>
      </c>
      <c r="PI114" s="561">
        <v>0</v>
      </c>
      <c r="PJ114" s="561">
        <v>0</v>
      </c>
    </row>
    <row r="115" spans="1:426" ht="14" x14ac:dyDescent="0.3">
      <c r="A115" t="s">
        <v>2777</v>
      </c>
      <c r="B115" t="s">
        <v>2778</v>
      </c>
      <c r="C115" t="s">
        <v>2779</v>
      </c>
      <c r="E115" t="s">
        <v>2466</v>
      </c>
      <c r="F115" s="561">
        <v>0</v>
      </c>
      <c r="G115" s="561">
        <v>0</v>
      </c>
      <c r="H115" s="561">
        <v>0</v>
      </c>
      <c r="I115" s="561">
        <v>0</v>
      </c>
      <c r="J115" s="561">
        <v>0</v>
      </c>
      <c r="K115" s="561">
        <v>3789.33</v>
      </c>
      <c r="L115" s="561">
        <v>3789.33</v>
      </c>
      <c r="M115" s="561">
        <v>56.97</v>
      </c>
      <c r="N115" s="561">
        <v>0</v>
      </c>
      <c r="O115" s="561">
        <v>2607.34</v>
      </c>
      <c r="P115" s="561">
        <v>0</v>
      </c>
      <c r="Q115" s="561">
        <v>0</v>
      </c>
      <c r="R115" s="561">
        <v>0</v>
      </c>
      <c r="S115" s="561">
        <v>0</v>
      </c>
      <c r="T115" s="561">
        <v>0</v>
      </c>
      <c r="U115" s="561">
        <v>0</v>
      </c>
      <c r="V115" s="561">
        <v>0</v>
      </c>
      <c r="W115" s="561">
        <v>0</v>
      </c>
      <c r="X115" s="561">
        <v>0</v>
      </c>
      <c r="Y115" s="561">
        <v>0</v>
      </c>
      <c r="Z115" s="561">
        <v>0</v>
      </c>
      <c r="AA115" s="561">
        <v>0</v>
      </c>
      <c r="AB115" s="561">
        <v>0</v>
      </c>
      <c r="AC115" s="561">
        <v>0</v>
      </c>
      <c r="AD115" s="561">
        <v>0</v>
      </c>
      <c r="AE115" s="561">
        <v>0</v>
      </c>
      <c r="AF115" s="561">
        <v>0</v>
      </c>
      <c r="AG115" s="561">
        <v>0</v>
      </c>
      <c r="AH115" s="561">
        <v>0</v>
      </c>
      <c r="AI115" s="561">
        <v>0</v>
      </c>
      <c r="AJ115" s="561">
        <v>2607.34</v>
      </c>
      <c r="AK115" s="561">
        <v>284.02999999999997</v>
      </c>
      <c r="AL115" s="561">
        <v>0</v>
      </c>
      <c r="AM115" s="561">
        <v>0</v>
      </c>
      <c r="AN115" s="561">
        <v>0</v>
      </c>
      <c r="AO115" s="561">
        <v>0</v>
      </c>
      <c r="AP115" s="561">
        <v>0</v>
      </c>
      <c r="AQ115" s="561">
        <v>0</v>
      </c>
      <c r="AR115" s="561">
        <v>0</v>
      </c>
      <c r="AS115" s="561">
        <v>0</v>
      </c>
      <c r="AT115" s="561">
        <v>0</v>
      </c>
      <c r="AU115" s="561">
        <v>0</v>
      </c>
      <c r="AV115" s="561">
        <v>0</v>
      </c>
      <c r="AW115" s="561">
        <v>0</v>
      </c>
      <c r="AX115" s="561">
        <v>0</v>
      </c>
      <c r="AY115" s="561">
        <v>0</v>
      </c>
      <c r="AZ115" s="561">
        <v>0</v>
      </c>
      <c r="BA115" s="561">
        <v>0</v>
      </c>
      <c r="BB115" s="561">
        <v>0</v>
      </c>
      <c r="BC115" s="561">
        <v>0</v>
      </c>
      <c r="BD115" s="561">
        <v>0</v>
      </c>
      <c r="BE115" s="561">
        <v>0</v>
      </c>
      <c r="BF115" s="561">
        <v>0</v>
      </c>
      <c r="BG115" s="561">
        <v>0</v>
      </c>
      <c r="BH115" s="561">
        <v>0</v>
      </c>
      <c r="BI115" s="561">
        <v>0</v>
      </c>
      <c r="BJ115" s="561">
        <v>0</v>
      </c>
      <c r="BK115" s="561">
        <v>0</v>
      </c>
      <c r="BL115" s="561">
        <v>0</v>
      </c>
      <c r="BM115" s="561">
        <v>0</v>
      </c>
      <c r="BN115" s="561">
        <v>0</v>
      </c>
      <c r="BO115" s="561">
        <v>0</v>
      </c>
      <c r="BP115" s="561">
        <v>0</v>
      </c>
      <c r="BQ115" s="561">
        <v>0</v>
      </c>
      <c r="BR115" s="561">
        <v>0</v>
      </c>
      <c r="BS115" s="561">
        <v>0</v>
      </c>
      <c r="BT115" s="561">
        <v>0</v>
      </c>
      <c r="BU115" s="561">
        <v>0</v>
      </c>
      <c r="BV115" s="561">
        <v>0</v>
      </c>
      <c r="BW115" s="561">
        <v>0</v>
      </c>
      <c r="BX115" s="561">
        <v>0</v>
      </c>
      <c r="BY115" s="561">
        <v>0</v>
      </c>
      <c r="BZ115" s="561">
        <v>0</v>
      </c>
      <c r="CA115" s="561">
        <v>0</v>
      </c>
      <c r="CB115" s="561">
        <v>0</v>
      </c>
      <c r="CC115" s="561">
        <v>0</v>
      </c>
      <c r="CD115" s="561">
        <v>0</v>
      </c>
      <c r="CE115" s="561">
        <v>0</v>
      </c>
      <c r="CF115" s="561">
        <v>0</v>
      </c>
      <c r="CG115" s="561">
        <v>0</v>
      </c>
      <c r="CH115" s="561">
        <v>0</v>
      </c>
      <c r="CI115" s="561">
        <v>0</v>
      </c>
      <c r="CJ115" s="561">
        <v>0</v>
      </c>
      <c r="CK115" s="561">
        <v>0</v>
      </c>
      <c r="CL115" s="561">
        <v>0</v>
      </c>
      <c r="CM115" s="561">
        <v>0</v>
      </c>
      <c r="CN115" s="561">
        <v>0</v>
      </c>
      <c r="CO115" s="561">
        <v>0</v>
      </c>
      <c r="CP115" s="561">
        <v>0</v>
      </c>
      <c r="CQ115" s="561">
        <v>0</v>
      </c>
      <c r="CR115" s="561">
        <v>0</v>
      </c>
      <c r="CS115" s="561">
        <v>0</v>
      </c>
      <c r="CT115" s="561">
        <v>0</v>
      </c>
      <c r="CU115" s="561">
        <v>0</v>
      </c>
      <c r="CV115" s="561">
        <v>0</v>
      </c>
      <c r="CW115" s="561">
        <v>0</v>
      </c>
      <c r="CX115" s="561">
        <v>0</v>
      </c>
      <c r="CY115" s="561">
        <v>0</v>
      </c>
      <c r="CZ115" s="561">
        <v>0</v>
      </c>
      <c r="DA115" s="561">
        <v>0</v>
      </c>
      <c r="DB115" s="561">
        <v>0</v>
      </c>
      <c r="DC115" s="561">
        <v>0</v>
      </c>
      <c r="DD115" s="561">
        <v>0</v>
      </c>
      <c r="DE115" s="561">
        <v>0</v>
      </c>
      <c r="DF115" s="561">
        <v>0</v>
      </c>
      <c r="DG115" s="561">
        <v>0</v>
      </c>
      <c r="DH115" s="561">
        <v>859.13</v>
      </c>
      <c r="DI115" s="561">
        <v>0</v>
      </c>
      <c r="DJ115" s="561">
        <v>0</v>
      </c>
      <c r="DK115" s="561">
        <v>0</v>
      </c>
      <c r="DL115" s="561">
        <v>0</v>
      </c>
      <c r="DM115" s="561">
        <v>0</v>
      </c>
      <c r="DN115" s="561">
        <v>0</v>
      </c>
      <c r="DO115" s="561">
        <v>0</v>
      </c>
      <c r="DP115" s="561">
        <v>0</v>
      </c>
      <c r="DQ115" s="561">
        <v>0</v>
      </c>
      <c r="DR115" s="561">
        <v>0</v>
      </c>
      <c r="DS115" s="561">
        <v>0</v>
      </c>
      <c r="DT115" s="561">
        <v>0</v>
      </c>
      <c r="DU115" s="561">
        <v>0</v>
      </c>
      <c r="DV115" s="561">
        <v>0</v>
      </c>
      <c r="DW115" s="561">
        <v>0</v>
      </c>
      <c r="DX115" s="561">
        <v>0</v>
      </c>
      <c r="DY115" s="561">
        <v>0</v>
      </c>
      <c r="DZ115" s="561">
        <v>0</v>
      </c>
      <c r="EA115" s="561">
        <v>0</v>
      </c>
      <c r="EB115" s="561">
        <v>0</v>
      </c>
      <c r="EC115" s="561">
        <v>859.13</v>
      </c>
      <c r="ED115" s="561">
        <v>336.92</v>
      </c>
      <c r="EE115" s="561">
        <v>0</v>
      </c>
      <c r="EF115" s="561">
        <v>0</v>
      </c>
      <c r="EG115" s="561">
        <v>0</v>
      </c>
      <c r="EH115" s="561">
        <v>0</v>
      </c>
      <c r="EI115" s="561">
        <v>0</v>
      </c>
      <c r="EJ115" s="561">
        <v>0</v>
      </c>
      <c r="EK115" s="561">
        <v>0</v>
      </c>
      <c r="EL115" s="561">
        <v>0</v>
      </c>
      <c r="EM115" s="561">
        <v>0</v>
      </c>
      <c r="EN115" s="561">
        <v>0</v>
      </c>
      <c r="EO115" s="561">
        <v>0</v>
      </c>
      <c r="EP115" s="561">
        <v>0</v>
      </c>
      <c r="EQ115" s="561">
        <v>0</v>
      </c>
      <c r="ER115" s="561">
        <v>0</v>
      </c>
      <c r="ES115" s="561" t="s">
        <v>4565</v>
      </c>
      <c r="ET115" s="561">
        <v>0</v>
      </c>
      <c r="EU115" s="561">
        <v>0</v>
      </c>
      <c r="EV115" s="561">
        <v>0</v>
      </c>
      <c r="EW115" s="561">
        <v>0</v>
      </c>
      <c r="EX115" s="561">
        <v>0</v>
      </c>
      <c r="EY115" s="561">
        <v>0</v>
      </c>
      <c r="EZ115" s="561">
        <v>0</v>
      </c>
      <c r="FA115" s="561">
        <v>0</v>
      </c>
      <c r="FB115" s="561">
        <v>0</v>
      </c>
      <c r="FC115" s="561">
        <v>0</v>
      </c>
      <c r="FD115" s="561">
        <v>0</v>
      </c>
      <c r="FE115" s="561">
        <v>0</v>
      </c>
      <c r="FF115" s="561">
        <v>0</v>
      </c>
      <c r="FG115" s="561">
        <v>0</v>
      </c>
      <c r="FH115" s="561">
        <v>0</v>
      </c>
      <c r="FI115" s="561">
        <v>0</v>
      </c>
      <c r="FJ115" s="561">
        <v>0</v>
      </c>
      <c r="FK115" s="561">
        <v>0</v>
      </c>
      <c r="FL115" s="561">
        <v>0</v>
      </c>
      <c r="FM115" s="561">
        <v>0</v>
      </c>
      <c r="FN115" s="561">
        <v>0</v>
      </c>
      <c r="FO115" s="561">
        <v>0</v>
      </c>
      <c r="FP115" s="561">
        <v>0</v>
      </c>
      <c r="FQ115" s="561">
        <v>0</v>
      </c>
      <c r="FR115" s="561">
        <v>0</v>
      </c>
      <c r="FS115" s="561">
        <v>0</v>
      </c>
      <c r="FT115" s="561">
        <v>0</v>
      </c>
      <c r="FU115" s="561">
        <v>0</v>
      </c>
      <c r="FV115" s="561">
        <v>0</v>
      </c>
      <c r="FW115" s="561">
        <v>0</v>
      </c>
      <c r="FX115" s="561">
        <v>0</v>
      </c>
      <c r="FY115" s="561">
        <v>0</v>
      </c>
      <c r="FZ115" s="561">
        <v>0</v>
      </c>
      <c r="GA115" s="561">
        <v>0</v>
      </c>
      <c r="GB115" s="561">
        <v>0</v>
      </c>
      <c r="GC115" s="561">
        <v>0</v>
      </c>
      <c r="GD115" s="561">
        <v>0</v>
      </c>
      <c r="GE115" s="561">
        <v>0</v>
      </c>
      <c r="GF115" s="561">
        <v>0</v>
      </c>
      <c r="GG115" s="561">
        <v>0</v>
      </c>
      <c r="GH115" s="561">
        <v>0</v>
      </c>
      <c r="GI115" s="561">
        <v>0</v>
      </c>
      <c r="GJ115" s="561">
        <v>0</v>
      </c>
      <c r="GK115" s="561">
        <v>0</v>
      </c>
      <c r="GL115" s="561">
        <v>0</v>
      </c>
      <c r="GM115" s="561">
        <v>0</v>
      </c>
      <c r="GN115" s="561">
        <v>0</v>
      </c>
      <c r="GO115" s="561">
        <v>0</v>
      </c>
      <c r="GP115" s="561">
        <v>0</v>
      </c>
      <c r="GQ115" s="561">
        <v>0</v>
      </c>
      <c r="GR115" s="561">
        <v>0</v>
      </c>
      <c r="GS115" s="561">
        <v>0</v>
      </c>
      <c r="GT115" s="561">
        <v>0</v>
      </c>
      <c r="GU115" s="561">
        <v>0</v>
      </c>
      <c r="GV115" s="561">
        <v>0</v>
      </c>
      <c r="GW115" s="561">
        <v>0</v>
      </c>
      <c r="GX115" s="561">
        <v>1425.48</v>
      </c>
      <c r="GY115" s="561">
        <v>1489.88</v>
      </c>
      <c r="GZ115" s="561">
        <v>4021.4</v>
      </c>
      <c r="HA115" s="561">
        <v>0</v>
      </c>
      <c r="HB115" s="561">
        <v>1452.01</v>
      </c>
      <c r="HC115" s="561">
        <v>1075.2</v>
      </c>
      <c r="HD115" s="561">
        <v>9463.9699999999993</v>
      </c>
      <c r="HE115" s="561">
        <v>976.85</v>
      </c>
      <c r="HF115" s="561">
        <v>9463.9699999999993</v>
      </c>
      <c r="HG115" s="561">
        <v>976.85</v>
      </c>
      <c r="HH115" s="561">
        <v>0</v>
      </c>
      <c r="HI115" s="561">
        <v>0</v>
      </c>
      <c r="HJ115" s="561">
        <v>0</v>
      </c>
      <c r="HK115" s="561">
        <v>0</v>
      </c>
      <c r="HL115" s="561">
        <v>0</v>
      </c>
      <c r="HM115" s="561">
        <v>0</v>
      </c>
      <c r="HN115" s="561">
        <v>0</v>
      </c>
      <c r="HO115" s="561">
        <v>880.94</v>
      </c>
      <c r="HP115" s="561">
        <v>0</v>
      </c>
      <c r="HQ115" s="561">
        <v>0</v>
      </c>
      <c r="HR115" s="561">
        <v>0</v>
      </c>
      <c r="HS115" s="561">
        <v>0</v>
      </c>
      <c r="HT115" s="561">
        <v>0</v>
      </c>
      <c r="HU115" s="561">
        <v>0</v>
      </c>
      <c r="HV115" s="561">
        <v>0</v>
      </c>
      <c r="HW115" s="561">
        <v>0</v>
      </c>
      <c r="HX115" s="561">
        <v>3375.53</v>
      </c>
      <c r="HY115" s="561">
        <v>0</v>
      </c>
      <c r="HZ115" s="561">
        <v>0</v>
      </c>
      <c r="IA115" s="561">
        <v>0</v>
      </c>
      <c r="IB115" s="561">
        <v>0</v>
      </c>
      <c r="IC115" s="561">
        <v>0</v>
      </c>
      <c r="ID115" s="561">
        <v>0</v>
      </c>
      <c r="IE115" s="561">
        <v>0</v>
      </c>
      <c r="IF115" s="561">
        <v>0</v>
      </c>
      <c r="IG115" s="561">
        <v>0</v>
      </c>
      <c r="IH115" s="561">
        <v>0</v>
      </c>
      <c r="II115" s="561">
        <v>4256.47</v>
      </c>
      <c r="IJ115" s="561">
        <v>3548.37</v>
      </c>
      <c r="IK115" s="561">
        <v>0</v>
      </c>
      <c r="IL115" s="561">
        <v>5818.33</v>
      </c>
      <c r="IM115" s="561">
        <v>0</v>
      </c>
      <c r="IN115" s="561">
        <v>0</v>
      </c>
      <c r="IO115" s="561">
        <v>0</v>
      </c>
      <c r="IP115" s="561">
        <v>0</v>
      </c>
      <c r="IQ115" s="561">
        <v>0</v>
      </c>
      <c r="IR115" s="561">
        <v>3789.33</v>
      </c>
      <c r="IS115" s="561">
        <v>2607.34</v>
      </c>
      <c r="IT115" s="561">
        <v>0</v>
      </c>
      <c r="IU115" s="561">
        <v>0</v>
      </c>
      <c r="IV115" s="561">
        <v>0</v>
      </c>
      <c r="IW115" s="561">
        <v>859.13</v>
      </c>
      <c r="IX115" s="561">
        <v>0</v>
      </c>
      <c r="IY115" s="561">
        <v>0</v>
      </c>
      <c r="IZ115" s="561">
        <v>9463.9699999999993</v>
      </c>
      <c r="JA115" s="561">
        <v>0</v>
      </c>
      <c r="JB115" s="561">
        <v>0</v>
      </c>
      <c r="JC115" s="561">
        <v>4256.47</v>
      </c>
      <c r="JD115" s="561">
        <v>0</v>
      </c>
      <c r="JE115" s="561">
        <v>20976.240000000002</v>
      </c>
      <c r="JF115" s="561">
        <v>0</v>
      </c>
      <c r="JG115" s="561">
        <v>0</v>
      </c>
      <c r="JH115" s="561">
        <v>0</v>
      </c>
      <c r="JI115" s="561">
        <v>0</v>
      </c>
      <c r="JJ115" s="561">
        <v>0</v>
      </c>
      <c r="JK115" s="561">
        <v>0</v>
      </c>
      <c r="JL115" s="561">
        <v>0</v>
      </c>
      <c r="JM115" s="561">
        <v>0</v>
      </c>
      <c r="JN115" s="561">
        <v>0</v>
      </c>
      <c r="JO115" s="561">
        <v>0</v>
      </c>
      <c r="JP115" s="561">
        <v>0</v>
      </c>
      <c r="JQ115" s="561">
        <v>0</v>
      </c>
      <c r="JR115" s="561">
        <v>0</v>
      </c>
      <c r="JS115" s="561">
        <v>0</v>
      </c>
      <c r="JT115" s="561">
        <v>0</v>
      </c>
      <c r="JU115" s="561">
        <v>0</v>
      </c>
      <c r="JV115" s="561">
        <v>20976.240000000002</v>
      </c>
      <c r="JW115" s="561">
        <v>0</v>
      </c>
      <c r="JX115" s="561">
        <v>0</v>
      </c>
      <c r="JY115" s="561">
        <v>0</v>
      </c>
      <c r="JZ115" s="561">
        <v>0</v>
      </c>
      <c r="KA115" s="561">
        <v>0</v>
      </c>
      <c r="KB115" s="561">
        <v>0</v>
      </c>
      <c r="KC115" s="561">
        <v>0</v>
      </c>
      <c r="KD115" s="561">
        <v>0</v>
      </c>
      <c r="KE115" s="561">
        <v>0</v>
      </c>
      <c r="KF115" s="561">
        <v>0</v>
      </c>
      <c r="KG115" s="561">
        <v>20976.240000000002</v>
      </c>
      <c r="KH115" s="561">
        <v>-3526.22</v>
      </c>
      <c r="KI115" s="561">
        <v>0</v>
      </c>
      <c r="KJ115" s="561">
        <v>0</v>
      </c>
      <c r="KK115" s="561">
        <v>0</v>
      </c>
      <c r="KL115" s="561">
        <v>0</v>
      </c>
      <c r="KM115" s="561">
        <v>0</v>
      </c>
      <c r="KN115" s="561">
        <v>0</v>
      </c>
      <c r="KO115" s="561">
        <v>0</v>
      </c>
      <c r="KP115" s="561">
        <v>0</v>
      </c>
      <c r="KQ115" s="561">
        <v>0</v>
      </c>
      <c r="KR115" s="561">
        <v>17450.02</v>
      </c>
      <c r="KS115" s="561">
        <v>0</v>
      </c>
      <c r="KT115" s="561">
        <v>-27857.29</v>
      </c>
      <c r="KU115" s="561">
        <v>-10407.27</v>
      </c>
      <c r="KV115" s="561">
        <v>0</v>
      </c>
      <c r="KW115" s="561">
        <v>0</v>
      </c>
      <c r="KX115" s="561">
        <v>0</v>
      </c>
      <c r="KY115" s="561">
        <v>0</v>
      </c>
      <c r="KZ115" s="561">
        <v>18379</v>
      </c>
      <c r="LA115" s="561">
        <v>-7971</v>
      </c>
      <c r="LB115" s="561">
        <v>0</v>
      </c>
      <c r="LC115" s="561">
        <v>0</v>
      </c>
      <c r="LD115" s="561">
        <v>0</v>
      </c>
      <c r="LE115" s="561">
        <v>0</v>
      </c>
      <c r="LF115" s="561">
        <v>0</v>
      </c>
      <c r="LG115" s="561">
        <v>0</v>
      </c>
      <c r="LH115" s="561">
        <v>0</v>
      </c>
      <c r="LI115" s="561">
        <v>0</v>
      </c>
      <c r="LJ115" s="561">
        <v>0</v>
      </c>
      <c r="LK115" s="561">
        <v>0</v>
      </c>
      <c r="LL115" s="561">
        <v>0</v>
      </c>
      <c r="LM115" s="561">
        <v>10493</v>
      </c>
      <c r="LN115" s="561">
        <v>0</v>
      </c>
      <c r="LO115" s="561">
        <v>0</v>
      </c>
      <c r="LP115" s="561">
        <v>0</v>
      </c>
      <c r="LQ115" s="561">
        <v>0</v>
      </c>
      <c r="LR115" s="561">
        <v>18379</v>
      </c>
      <c r="LS115" s="561">
        <v>2522</v>
      </c>
      <c r="LT115" s="561">
        <v>0</v>
      </c>
      <c r="LU115" s="561">
        <v>0</v>
      </c>
      <c r="LV115" s="561">
        <v>0</v>
      </c>
      <c r="LW115" s="561">
        <v>0</v>
      </c>
      <c r="LX115" s="561">
        <v>0</v>
      </c>
      <c r="LY115" s="561">
        <v>0</v>
      </c>
      <c r="LZ115" s="561">
        <v>0</v>
      </c>
      <c r="MA115" s="561">
        <v>0</v>
      </c>
      <c r="MB115" s="561">
        <v>0</v>
      </c>
      <c r="MC115" s="561">
        <v>0</v>
      </c>
      <c r="MD115" s="561">
        <v>0</v>
      </c>
      <c r="ME115" s="561">
        <v>0</v>
      </c>
      <c r="MF115" s="561">
        <v>0</v>
      </c>
      <c r="MG115" s="561">
        <v>0</v>
      </c>
      <c r="MH115" s="561">
        <v>0</v>
      </c>
      <c r="MI115" s="561">
        <v>0</v>
      </c>
      <c r="MJ115" s="561">
        <v>0</v>
      </c>
      <c r="MK115" s="561">
        <v>0</v>
      </c>
      <c r="ML115" s="561">
        <v>0</v>
      </c>
      <c r="MM115" s="561">
        <v>18379</v>
      </c>
      <c r="MN115" s="561">
        <v>0</v>
      </c>
      <c r="MO115" s="561">
        <v>0</v>
      </c>
      <c r="MP115" s="561">
        <v>0</v>
      </c>
      <c r="MQ115" s="561">
        <v>3789.33</v>
      </c>
      <c r="MR115" s="561">
        <v>2607.34</v>
      </c>
      <c r="MS115" s="561">
        <v>0</v>
      </c>
      <c r="MT115" s="561">
        <v>0</v>
      </c>
      <c r="MU115" s="561">
        <v>0</v>
      </c>
      <c r="MV115" s="561">
        <v>859.13</v>
      </c>
      <c r="MW115" s="561">
        <v>0</v>
      </c>
      <c r="MX115" s="561">
        <v>0</v>
      </c>
      <c r="MY115" s="561">
        <v>9463.9699999999993</v>
      </c>
      <c r="MZ115" s="561">
        <v>0</v>
      </c>
      <c r="NA115" s="561">
        <v>0</v>
      </c>
      <c r="NB115" s="561">
        <v>4256.47</v>
      </c>
      <c r="NC115" s="561">
        <v>0</v>
      </c>
      <c r="ND115" s="561">
        <v>20976.240000000002</v>
      </c>
      <c r="NE115" s="561">
        <v>0</v>
      </c>
      <c r="NF115" s="561">
        <v>0</v>
      </c>
      <c r="NG115" s="561">
        <v>0</v>
      </c>
      <c r="NH115" s="561">
        <v>0</v>
      </c>
      <c r="NI115" s="561">
        <v>0</v>
      </c>
      <c r="NJ115" s="561">
        <v>0</v>
      </c>
      <c r="NK115" s="561">
        <v>0</v>
      </c>
      <c r="NL115" s="561">
        <v>0</v>
      </c>
      <c r="NM115" s="561">
        <v>0</v>
      </c>
      <c r="NN115" s="561">
        <v>0</v>
      </c>
      <c r="NO115" s="561">
        <v>0</v>
      </c>
      <c r="NP115" s="561">
        <v>0</v>
      </c>
      <c r="NQ115" s="561">
        <v>0</v>
      </c>
      <c r="NR115" s="561">
        <v>0</v>
      </c>
      <c r="NS115" s="561">
        <v>0</v>
      </c>
      <c r="NT115" s="561">
        <v>0</v>
      </c>
      <c r="NU115" s="561">
        <v>0</v>
      </c>
      <c r="NV115" s="561">
        <v>0</v>
      </c>
      <c r="NW115" s="561">
        <v>0</v>
      </c>
      <c r="NX115" s="561">
        <v>0</v>
      </c>
      <c r="NY115" s="561">
        <v>0</v>
      </c>
      <c r="NZ115" s="561">
        <v>0</v>
      </c>
      <c r="OA115" s="561">
        <v>0</v>
      </c>
      <c r="OB115" s="561">
        <v>0</v>
      </c>
      <c r="OC115" s="561">
        <v>0</v>
      </c>
      <c r="OD115" s="561">
        <v>0</v>
      </c>
      <c r="OE115" s="561">
        <v>0</v>
      </c>
      <c r="OF115" s="561">
        <v>0</v>
      </c>
      <c r="OG115" s="561">
        <v>0</v>
      </c>
      <c r="OH115" s="561">
        <v>0</v>
      </c>
      <c r="OI115" s="561">
        <v>0</v>
      </c>
      <c r="OJ115" s="561">
        <v>0</v>
      </c>
      <c r="OK115" s="561">
        <v>0</v>
      </c>
      <c r="OL115" s="561">
        <v>0</v>
      </c>
      <c r="OM115" s="561">
        <v>0</v>
      </c>
      <c r="ON115" s="561">
        <v>0</v>
      </c>
      <c r="OO115" s="561">
        <v>0</v>
      </c>
      <c r="OP115" s="561">
        <v>0</v>
      </c>
      <c r="OQ115" s="561">
        <v>0</v>
      </c>
      <c r="OR115" s="561">
        <v>0</v>
      </c>
      <c r="OS115" s="561">
        <v>0</v>
      </c>
      <c r="OT115" s="561">
        <v>0</v>
      </c>
      <c r="OU115" s="561">
        <v>0</v>
      </c>
      <c r="OV115" s="561">
        <v>0</v>
      </c>
      <c r="OW115" s="561">
        <v>0</v>
      </c>
      <c r="OX115" s="561">
        <v>0</v>
      </c>
      <c r="OY115" s="561">
        <v>0</v>
      </c>
      <c r="OZ115" s="561">
        <v>0</v>
      </c>
      <c r="PA115" s="561">
        <v>0</v>
      </c>
      <c r="PB115" s="561">
        <v>0</v>
      </c>
      <c r="PC115" s="561">
        <v>0</v>
      </c>
      <c r="PD115" s="561">
        <v>0</v>
      </c>
      <c r="PE115" s="561">
        <v>0</v>
      </c>
      <c r="PF115" s="561">
        <v>0</v>
      </c>
      <c r="PG115" s="561">
        <v>0</v>
      </c>
      <c r="PH115" s="561">
        <v>0</v>
      </c>
      <c r="PI115" s="561">
        <v>0</v>
      </c>
      <c r="PJ115" s="561">
        <v>0</v>
      </c>
    </row>
    <row r="116" spans="1:426" ht="14" x14ac:dyDescent="0.3">
      <c r="A116" t="s">
        <v>2780</v>
      </c>
      <c r="B116" t="s">
        <v>2781</v>
      </c>
      <c r="C116" t="s">
        <v>4598</v>
      </c>
      <c r="E116" t="s">
        <v>385</v>
      </c>
      <c r="F116" s="561">
        <v>38345</v>
      </c>
      <c r="G116" s="561">
        <v>116281</v>
      </c>
      <c r="H116" s="561">
        <v>57230</v>
      </c>
      <c r="I116" s="561">
        <v>33212</v>
      </c>
      <c r="J116" s="561">
        <v>3267</v>
      </c>
      <c r="K116" s="561">
        <v>33605</v>
      </c>
      <c r="L116" s="561">
        <v>281940</v>
      </c>
      <c r="M116" s="561">
        <v>2826</v>
      </c>
      <c r="N116" s="561">
        <v>563</v>
      </c>
      <c r="O116" s="561">
        <v>509</v>
      </c>
      <c r="P116" s="561">
        <v>352</v>
      </c>
      <c r="Q116" s="561">
        <v>1854</v>
      </c>
      <c r="R116" s="561">
        <v>292</v>
      </c>
      <c r="S116" s="561">
        <v>1128</v>
      </c>
      <c r="T116" s="561">
        <v>8284</v>
      </c>
      <c r="U116" s="561">
        <v>1771</v>
      </c>
      <c r="V116" s="561">
        <v>3534</v>
      </c>
      <c r="W116" s="561">
        <v>0</v>
      </c>
      <c r="X116" s="561">
        <v>0</v>
      </c>
      <c r="Y116" s="561">
        <v>836</v>
      </c>
      <c r="Z116" s="561">
        <v>575</v>
      </c>
      <c r="AA116" s="561">
        <v>998</v>
      </c>
      <c r="AB116" s="561">
        <v>-2678</v>
      </c>
      <c r="AC116" s="561">
        <v>2857</v>
      </c>
      <c r="AD116" s="561">
        <v>0</v>
      </c>
      <c r="AE116" s="561">
        <v>3521</v>
      </c>
      <c r="AF116" s="561">
        <v>0</v>
      </c>
      <c r="AG116" s="561">
        <v>0</v>
      </c>
      <c r="AH116" s="561">
        <v>934</v>
      </c>
      <c r="AI116" s="561">
        <v>0</v>
      </c>
      <c r="AJ116" s="561">
        <v>25330</v>
      </c>
      <c r="AK116" s="561">
        <v>376</v>
      </c>
      <c r="AL116" s="561">
        <v>0</v>
      </c>
      <c r="AM116" s="561">
        <v>0</v>
      </c>
      <c r="AN116" s="561">
        <v>0</v>
      </c>
      <c r="AO116" s="561">
        <v>0</v>
      </c>
      <c r="AP116" s="561">
        <v>0</v>
      </c>
      <c r="AQ116" s="561">
        <v>0</v>
      </c>
      <c r="AR116" s="561">
        <v>0</v>
      </c>
      <c r="AS116" s="561">
        <v>0</v>
      </c>
      <c r="AT116" s="561">
        <v>975</v>
      </c>
      <c r="AU116" s="561">
        <v>0</v>
      </c>
      <c r="AV116" s="561">
        <v>0</v>
      </c>
      <c r="AW116" s="561">
        <v>0</v>
      </c>
      <c r="AX116" s="561">
        <v>5414</v>
      </c>
      <c r="AY116" s="561">
        <v>34879</v>
      </c>
      <c r="AZ116" s="561">
        <v>1462</v>
      </c>
      <c r="BA116" s="561">
        <v>13515</v>
      </c>
      <c r="BB116" s="561">
        <v>3218</v>
      </c>
      <c r="BC116" s="561">
        <v>17115</v>
      </c>
      <c r="BD116" s="561">
        <v>1396</v>
      </c>
      <c r="BE116" s="561">
        <v>0</v>
      </c>
      <c r="BF116" s="561">
        <v>76999</v>
      </c>
      <c r="BG116" s="561">
        <v>1935</v>
      </c>
      <c r="BH116" s="561">
        <v>10777</v>
      </c>
      <c r="BI116" s="561">
        <v>28214</v>
      </c>
      <c r="BJ116" s="561">
        <v>0</v>
      </c>
      <c r="BK116" s="561">
        <v>0</v>
      </c>
      <c r="BL116" s="561">
        <v>823</v>
      </c>
      <c r="BM116" s="561">
        <v>40126</v>
      </c>
      <c r="BN116" s="561">
        <v>45527</v>
      </c>
      <c r="BO116" s="561">
        <v>5108</v>
      </c>
      <c r="BP116" s="561">
        <v>6388</v>
      </c>
      <c r="BQ116" s="561">
        <v>3404</v>
      </c>
      <c r="BR116" s="561">
        <v>40</v>
      </c>
      <c r="BS116" s="561">
        <v>0</v>
      </c>
      <c r="BT116" s="561">
        <v>0</v>
      </c>
      <c r="BU116" s="561">
        <v>871</v>
      </c>
      <c r="BV116" s="561">
        <v>3830</v>
      </c>
      <c r="BW116" s="561">
        <v>17262</v>
      </c>
      <c r="BX116" s="561">
        <v>1907</v>
      </c>
      <c r="BY116" s="561">
        <v>11276</v>
      </c>
      <c r="BZ116" s="561">
        <v>175553</v>
      </c>
      <c r="CA116" s="561">
        <v>2140</v>
      </c>
      <c r="CB116" s="561">
        <v>993</v>
      </c>
      <c r="CC116" s="561">
        <v>810</v>
      </c>
      <c r="CD116" s="561">
        <v>287</v>
      </c>
      <c r="CE116" s="561">
        <v>64</v>
      </c>
      <c r="CF116" s="561">
        <v>369</v>
      </c>
      <c r="CG116" s="561">
        <v>32</v>
      </c>
      <c r="CH116" s="561">
        <v>270</v>
      </c>
      <c r="CI116" s="561">
        <v>407</v>
      </c>
      <c r="CJ116" s="561">
        <v>353</v>
      </c>
      <c r="CK116" s="561">
        <v>583</v>
      </c>
      <c r="CL116" s="561">
        <v>57</v>
      </c>
      <c r="CM116" s="561">
        <v>2813</v>
      </c>
      <c r="CN116" s="561">
        <v>808</v>
      </c>
      <c r="CO116" s="561">
        <v>312</v>
      </c>
      <c r="CP116" s="561">
        <v>327</v>
      </c>
      <c r="CQ116" s="561">
        <v>254</v>
      </c>
      <c r="CR116" s="561">
        <v>766</v>
      </c>
      <c r="CS116" s="561">
        <v>0</v>
      </c>
      <c r="CT116" s="561">
        <v>2276</v>
      </c>
      <c r="CU116" s="561">
        <v>2860</v>
      </c>
      <c r="CV116" s="561">
        <v>178</v>
      </c>
      <c r="CW116" s="561">
        <v>222</v>
      </c>
      <c r="CX116" s="561">
        <v>271</v>
      </c>
      <c r="CY116" s="561">
        <v>3675</v>
      </c>
      <c r="CZ116" s="561">
        <v>18987</v>
      </c>
      <c r="DA116" s="561">
        <v>0</v>
      </c>
      <c r="DB116" s="561">
        <v>0</v>
      </c>
      <c r="DC116" s="561">
        <v>0</v>
      </c>
      <c r="DD116" s="561">
        <v>0</v>
      </c>
      <c r="DE116" s="561">
        <v>0</v>
      </c>
      <c r="DF116" s="561">
        <v>0</v>
      </c>
      <c r="DG116" s="561">
        <v>0</v>
      </c>
      <c r="DH116" s="561">
        <v>156</v>
      </c>
      <c r="DI116" s="561">
        <v>0</v>
      </c>
      <c r="DJ116" s="561">
        <v>101</v>
      </c>
      <c r="DK116" s="561">
        <v>19</v>
      </c>
      <c r="DL116" s="561">
        <v>0</v>
      </c>
      <c r="DM116" s="561">
        <v>0</v>
      </c>
      <c r="DN116" s="561">
        <v>0</v>
      </c>
      <c r="DO116" s="561">
        <v>348</v>
      </c>
      <c r="DP116" s="561">
        <v>0</v>
      </c>
      <c r="DQ116" s="561">
        <v>0</v>
      </c>
      <c r="DR116" s="561">
        <v>0</v>
      </c>
      <c r="DS116" s="561">
        <v>603</v>
      </c>
      <c r="DT116" s="561">
        <v>655</v>
      </c>
      <c r="DU116" s="561">
        <v>1606</v>
      </c>
      <c r="DV116" s="561">
        <v>-640</v>
      </c>
      <c r="DW116" s="561">
        <v>0</v>
      </c>
      <c r="DX116" s="561">
        <v>0</v>
      </c>
      <c r="DY116" s="561">
        <v>2081</v>
      </c>
      <c r="DZ116" s="561">
        <v>-72</v>
      </c>
      <c r="EA116" s="561">
        <v>445</v>
      </c>
      <c r="EB116" s="561">
        <v>0</v>
      </c>
      <c r="EC116" s="561">
        <v>3696</v>
      </c>
      <c r="ED116" s="561">
        <v>0</v>
      </c>
      <c r="EE116" s="561">
        <v>57661</v>
      </c>
      <c r="EF116" s="561">
        <v>697</v>
      </c>
      <c r="EG116" s="561">
        <v>599</v>
      </c>
      <c r="EH116" s="561">
        <v>1268</v>
      </c>
      <c r="EI116" s="561">
        <v>0</v>
      </c>
      <c r="EJ116" s="561">
        <v>3000</v>
      </c>
      <c r="EK116" s="561">
        <v>0</v>
      </c>
      <c r="EL116" s="561">
        <v>0</v>
      </c>
      <c r="EM116" s="561">
        <v>20</v>
      </c>
      <c r="EN116" s="561">
        <v>14910</v>
      </c>
      <c r="EO116" s="561">
        <v>9391</v>
      </c>
      <c r="EP116" s="561">
        <v>3560</v>
      </c>
      <c r="EQ116" s="561">
        <v>1370</v>
      </c>
      <c r="ER116" s="561">
        <v>8460</v>
      </c>
      <c r="ES116" s="561" t="s">
        <v>4565</v>
      </c>
      <c r="ET116" s="561">
        <v>11404</v>
      </c>
      <c r="EU116" s="561">
        <v>10660</v>
      </c>
      <c r="EV116" s="561">
        <v>101</v>
      </c>
      <c r="EW116" s="561">
        <v>0</v>
      </c>
      <c r="EX116" s="561">
        <v>379</v>
      </c>
      <c r="EY116" s="561">
        <v>895</v>
      </c>
      <c r="EZ116" s="561">
        <v>2115</v>
      </c>
      <c r="FA116" s="561">
        <v>1753</v>
      </c>
      <c r="FB116" s="561">
        <v>605</v>
      </c>
      <c r="FC116" s="561">
        <v>442</v>
      </c>
      <c r="FD116" s="561">
        <v>167</v>
      </c>
      <c r="FE116" s="561">
        <v>1557</v>
      </c>
      <c r="FF116" s="561">
        <v>1910</v>
      </c>
      <c r="FG116" s="561">
        <v>-14</v>
      </c>
      <c r="FH116" s="561">
        <v>437</v>
      </c>
      <c r="FI116" s="561">
        <v>789</v>
      </c>
      <c r="FJ116" s="561">
        <v>8494</v>
      </c>
      <c r="FK116" s="561">
        <v>1643</v>
      </c>
      <c r="FL116" s="561">
        <v>13</v>
      </c>
      <c r="FM116" s="561">
        <v>1193</v>
      </c>
      <c r="FN116" s="561">
        <v>3673</v>
      </c>
      <c r="FO116" s="561">
        <v>20909</v>
      </c>
      <c r="FP116" s="561">
        <v>0</v>
      </c>
      <c r="FQ116" s="561">
        <v>536</v>
      </c>
      <c r="FR116" s="561">
        <v>1281</v>
      </c>
      <c r="FS116" s="561">
        <v>76</v>
      </c>
      <c r="FT116" s="561">
        <v>981</v>
      </c>
      <c r="FU116" s="561">
        <v>1422</v>
      </c>
      <c r="FV116" s="561">
        <v>812</v>
      </c>
      <c r="FW116" s="561">
        <v>430</v>
      </c>
      <c r="FX116" s="561">
        <v>0</v>
      </c>
      <c r="FY116" s="561">
        <v>41</v>
      </c>
      <c r="FZ116" s="561">
        <v>52</v>
      </c>
      <c r="GA116" s="561">
        <v>1089</v>
      </c>
      <c r="GB116" s="561">
        <v>586</v>
      </c>
      <c r="GC116" s="561">
        <v>79</v>
      </c>
      <c r="GD116" s="561">
        <v>478</v>
      </c>
      <c r="GE116" s="561">
        <v>0</v>
      </c>
      <c r="GF116" s="561">
        <v>169</v>
      </c>
      <c r="GG116" s="561">
        <v>1204</v>
      </c>
      <c r="GH116" s="561">
        <v>71</v>
      </c>
      <c r="GI116" s="561">
        <v>2313</v>
      </c>
      <c r="GJ116" s="561">
        <v>460</v>
      </c>
      <c r="GK116" s="561">
        <v>-405</v>
      </c>
      <c r="GL116" s="561">
        <v>5275</v>
      </c>
      <c r="GM116" s="561">
        <v>3202</v>
      </c>
      <c r="GN116" s="561">
        <v>17576</v>
      </c>
      <c r="GO116" s="561">
        <v>0</v>
      </c>
      <c r="GP116" s="561">
        <v>8852</v>
      </c>
      <c r="GQ116" s="561">
        <v>0</v>
      </c>
      <c r="GR116" s="561">
        <v>0</v>
      </c>
      <c r="GS116" s="561">
        <v>46580</v>
      </c>
      <c r="GT116" s="561">
        <v>0</v>
      </c>
      <c r="GU116" s="561">
        <v>572</v>
      </c>
      <c r="GV116" s="561">
        <v>2822</v>
      </c>
      <c r="GW116" s="561">
        <v>0</v>
      </c>
      <c r="GX116" s="561">
        <v>1258</v>
      </c>
      <c r="GY116" s="561">
        <v>1909</v>
      </c>
      <c r="GZ116" s="561">
        <v>8834</v>
      </c>
      <c r="HA116" s="561">
        <v>0</v>
      </c>
      <c r="HB116" s="561">
        <v>-342</v>
      </c>
      <c r="HC116" s="561">
        <v>441</v>
      </c>
      <c r="HD116" s="561">
        <v>15494</v>
      </c>
      <c r="HE116" s="561">
        <v>0</v>
      </c>
      <c r="HF116" s="561">
        <v>82983</v>
      </c>
      <c r="HG116" s="561">
        <v>0</v>
      </c>
      <c r="HH116" s="561">
        <v>0</v>
      </c>
      <c r="HI116" s="561">
        <v>0</v>
      </c>
      <c r="HJ116" s="561">
        <v>0</v>
      </c>
      <c r="HK116" s="561">
        <v>0</v>
      </c>
      <c r="HL116" s="561">
        <v>0</v>
      </c>
      <c r="HM116" s="561">
        <v>0</v>
      </c>
      <c r="HN116" s="561">
        <v>0</v>
      </c>
      <c r="HO116" s="561">
        <v>5660</v>
      </c>
      <c r="HP116" s="561">
        <v>1503</v>
      </c>
      <c r="HQ116" s="561">
        <v>0</v>
      </c>
      <c r="HR116" s="561">
        <v>196</v>
      </c>
      <c r="HS116" s="561">
        <v>1640</v>
      </c>
      <c r="HT116" s="561">
        <v>175</v>
      </c>
      <c r="HU116" s="561">
        <v>0</v>
      </c>
      <c r="HV116" s="561">
        <v>132</v>
      </c>
      <c r="HW116" s="561">
        <v>525</v>
      </c>
      <c r="HX116" s="561">
        <v>1240</v>
      </c>
      <c r="HY116" s="561">
        <v>509</v>
      </c>
      <c r="HZ116" s="561">
        <v>-142</v>
      </c>
      <c r="IA116" s="561">
        <v>4085</v>
      </c>
      <c r="IB116" s="561">
        <v>2957</v>
      </c>
      <c r="IC116" s="561">
        <v>1094</v>
      </c>
      <c r="ID116" s="561">
        <v>0</v>
      </c>
      <c r="IE116" s="561">
        <v>-517</v>
      </c>
      <c r="IF116" s="561">
        <v>0</v>
      </c>
      <c r="IG116" s="561">
        <v>0</v>
      </c>
      <c r="IH116" s="561">
        <v>768</v>
      </c>
      <c r="II116" s="561">
        <v>19825</v>
      </c>
      <c r="IJ116" s="561">
        <v>540</v>
      </c>
      <c r="IK116" s="561">
        <v>0</v>
      </c>
      <c r="IL116" s="561">
        <v>57850</v>
      </c>
      <c r="IM116" s="561">
        <v>0</v>
      </c>
      <c r="IN116" s="561">
        <v>5134</v>
      </c>
      <c r="IO116" s="561">
        <v>1810</v>
      </c>
      <c r="IP116" s="561">
        <v>0</v>
      </c>
      <c r="IQ116" s="561">
        <v>0</v>
      </c>
      <c r="IR116" s="561">
        <v>281940</v>
      </c>
      <c r="IS116" s="561">
        <v>25330</v>
      </c>
      <c r="IT116" s="561">
        <v>76999</v>
      </c>
      <c r="IU116" s="561">
        <v>175553</v>
      </c>
      <c r="IV116" s="561">
        <v>18987</v>
      </c>
      <c r="IW116" s="561">
        <v>3696</v>
      </c>
      <c r="IX116" s="561">
        <v>20909</v>
      </c>
      <c r="IY116" s="561">
        <v>46580</v>
      </c>
      <c r="IZ116" s="561">
        <v>15494</v>
      </c>
      <c r="JA116" s="561">
        <v>0</v>
      </c>
      <c r="JB116" s="561">
        <v>0</v>
      </c>
      <c r="JC116" s="561">
        <v>19825</v>
      </c>
      <c r="JD116" s="561">
        <v>0</v>
      </c>
      <c r="JE116" s="561">
        <v>685313</v>
      </c>
      <c r="JF116" s="561">
        <v>21505</v>
      </c>
      <c r="JG116" s="561">
        <v>242</v>
      </c>
      <c r="JH116" s="561">
        <v>18831</v>
      </c>
      <c r="JI116" s="561">
        <v>0</v>
      </c>
      <c r="JJ116" s="561">
        <v>0</v>
      </c>
      <c r="JK116" s="561">
        <v>8097</v>
      </c>
      <c r="JL116" s="561">
        <v>0</v>
      </c>
      <c r="JM116" s="561">
        <v>0</v>
      </c>
      <c r="JN116" s="561">
        <v>0</v>
      </c>
      <c r="JO116" s="561">
        <v>341</v>
      </c>
      <c r="JP116" s="561">
        <v>331</v>
      </c>
      <c r="JQ116" s="561">
        <v>2587</v>
      </c>
      <c r="JR116" s="561">
        <v>-4</v>
      </c>
      <c r="JS116" s="561">
        <v>-676</v>
      </c>
      <c r="JT116" s="561">
        <v>145</v>
      </c>
      <c r="JU116" s="561">
        <v>0</v>
      </c>
      <c r="JV116" s="561">
        <v>736712</v>
      </c>
      <c r="JW116" s="561">
        <v>232</v>
      </c>
      <c r="JX116" s="561">
        <v>8420</v>
      </c>
      <c r="JY116" s="561">
        <v>0</v>
      </c>
      <c r="JZ116" s="561">
        <v>0</v>
      </c>
      <c r="KA116" s="561">
        <v>0</v>
      </c>
      <c r="KB116" s="561">
        <v>474</v>
      </c>
      <c r="KC116" s="561">
        <v>11520</v>
      </c>
      <c r="KD116" s="561">
        <v>88</v>
      </c>
      <c r="KE116" s="561">
        <v>14011</v>
      </c>
      <c r="KF116" s="561">
        <v>-5461</v>
      </c>
      <c r="KG116" s="561">
        <v>765996</v>
      </c>
      <c r="KH116" s="561">
        <v>-8863</v>
      </c>
      <c r="KI116" s="561">
        <v>0</v>
      </c>
      <c r="KJ116" s="561">
        <v>5</v>
      </c>
      <c r="KK116" s="561">
        <v>0</v>
      </c>
      <c r="KL116" s="561">
        <v>-48314</v>
      </c>
      <c r="KM116" s="561">
        <v>0</v>
      </c>
      <c r="KN116" s="561">
        <v>0</v>
      </c>
      <c r="KO116" s="561">
        <v>0</v>
      </c>
      <c r="KP116" s="561">
        <v>0</v>
      </c>
      <c r="KQ116" s="561">
        <v>-14795</v>
      </c>
      <c r="KR116" s="561">
        <v>694029</v>
      </c>
      <c r="KS116" s="561">
        <v>-504</v>
      </c>
      <c r="KT116" s="561">
        <v>-328768</v>
      </c>
      <c r="KU116" s="561">
        <v>364757</v>
      </c>
      <c r="KV116" s="561">
        <v>0</v>
      </c>
      <c r="KW116" s="561">
        <v>-2180</v>
      </c>
      <c r="KX116" s="561">
        <v>0</v>
      </c>
      <c r="KY116" s="561">
        <v>-3074</v>
      </c>
      <c r="KZ116" s="561">
        <v>-27120</v>
      </c>
      <c r="LA116" s="561">
        <v>11260</v>
      </c>
      <c r="LB116" s="561">
        <v>-6302</v>
      </c>
      <c r="LC116" s="561">
        <v>0</v>
      </c>
      <c r="LD116" s="561">
        <v>-103321</v>
      </c>
      <c r="LE116" s="561">
        <v>-3316</v>
      </c>
      <c r="LF116" s="561">
        <v>0</v>
      </c>
      <c r="LG116" s="561">
        <v>230704</v>
      </c>
      <c r="LH116" s="561">
        <v>10356</v>
      </c>
      <c r="LI116" s="561">
        <v>-23435</v>
      </c>
      <c r="LJ116" s="561">
        <v>0</v>
      </c>
      <c r="LK116" s="561">
        <v>7583</v>
      </c>
      <c r="LL116" s="561">
        <v>92823</v>
      </c>
      <c r="LM116" s="561">
        <v>6882</v>
      </c>
      <c r="LN116" s="561">
        <v>8176</v>
      </c>
      <c r="LO116" s="561">
        <v>-38230</v>
      </c>
      <c r="LP116" s="561">
        <v>0</v>
      </c>
      <c r="LQ116" s="561">
        <v>4509</v>
      </c>
      <c r="LR116" s="561">
        <v>65703</v>
      </c>
      <c r="LS116" s="561">
        <v>18142</v>
      </c>
      <c r="LT116" s="561">
        <v>0</v>
      </c>
      <c r="LU116" s="561">
        <v>44197</v>
      </c>
      <c r="LV116" s="561">
        <v>-86</v>
      </c>
      <c r="LW116" s="561">
        <v>-75</v>
      </c>
      <c r="LX116" s="561">
        <v>-10478</v>
      </c>
      <c r="LY116" s="561">
        <v>13996</v>
      </c>
      <c r="LZ116" s="561">
        <v>47554</v>
      </c>
      <c r="MA116" s="561">
        <v>0</v>
      </c>
      <c r="MB116" s="561">
        <v>0</v>
      </c>
      <c r="MC116" s="561">
        <v>63245</v>
      </c>
      <c r="MD116" s="561">
        <v>61130</v>
      </c>
      <c r="ME116" s="561">
        <v>2115</v>
      </c>
      <c r="MF116" s="561">
        <v>1753</v>
      </c>
      <c r="MG116" s="561">
        <v>3868</v>
      </c>
      <c r="MH116" s="561">
        <v>11404</v>
      </c>
      <c r="MI116" s="561">
        <v>7899</v>
      </c>
      <c r="MJ116" s="561">
        <v>19303</v>
      </c>
      <c r="MK116" s="561">
        <v>0</v>
      </c>
      <c r="ML116" s="561">
        <v>462</v>
      </c>
      <c r="MM116" s="561">
        <v>54292</v>
      </c>
      <c r="MN116" s="561">
        <v>10949</v>
      </c>
      <c r="MO116" s="561">
        <v>0</v>
      </c>
      <c r="MP116" s="561">
        <v>0</v>
      </c>
      <c r="MQ116" s="561">
        <v>281940</v>
      </c>
      <c r="MR116" s="561">
        <v>25330</v>
      </c>
      <c r="MS116" s="561">
        <v>76999</v>
      </c>
      <c r="MT116" s="561">
        <v>175553</v>
      </c>
      <c r="MU116" s="561">
        <v>18987</v>
      </c>
      <c r="MV116" s="561">
        <v>3696</v>
      </c>
      <c r="MW116" s="561">
        <v>20909</v>
      </c>
      <c r="MX116" s="561">
        <v>46580</v>
      </c>
      <c r="MY116" s="561">
        <v>15494</v>
      </c>
      <c r="MZ116" s="561">
        <v>0</v>
      </c>
      <c r="NA116" s="561">
        <v>0</v>
      </c>
      <c r="NB116" s="561">
        <v>19825</v>
      </c>
      <c r="NC116" s="561">
        <v>0</v>
      </c>
      <c r="ND116" s="561">
        <v>685313</v>
      </c>
      <c r="NE116" s="561">
        <v>0</v>
      </c>
      <c r="NF116" s="561">
        <v>0</v>
      </c>
      <c r="NG116" s="561">
        <v>0</v>
      </c>
      <c r="NH116" s="561">
        <v>0</v>
      </c>
      <c r="NI116" s="561">
        <v>0</v>
      </c>
      <c r="NJ116" s="561">
        <v>0</v>
      </c>
      <c r="NK116" s="561">
        <v>0</v>
      </c>
      <c r="NL116" s="561">
        <v>0</v>
      </c>
      <c r="NM116" s="561">
        <v>0</v>
      </c>
      <c r="NN116" s="561">
        <v>0</v>
      </c>
      <c r="NO116" s="561">
        <v>62</v>
      </c>
      <c r="NP116" s="561">
        <v>0</v>
      </c>
      <c r="NQ116" s="561">
        <v>74</v>
      </c>
      <c r="NR116" s="561">
        <v>0</v>
      </c>
      <c r="NS116" s="561">
        <v>0</v>
      </c>
      <c r="NT116" s="561">
        <v>0</v>
      </c>
      <c r="NU116" s="561">
        <v>0</v>
      </c>
      <c r="NV116" s="561">
        <v>142</v>
      </c>
      <c r="NW116" s="561">
        <v>327</v>
      </c>
      <c r="NX116" s="561">
        <v>4</v>
      </c>
      <c r="NY116" s="561">
        <v>331</v>
      </c>
      <c r="NZ116" s="561">
        <v>0</v>
      </c>
      <c r="OA116" s="561">
        <v>0</v>
      </c>
      <c r="OB116" s="561">
        <v>0</v>
      </c>
      <c r="OC116" s="561">
        <v>0</v>
      </c>
      <c r="OD116" s="561">
        <v>0</v>
      </c>
      <c r="OE116" s="561">
        <v>0</v>
      </c>
      <c r="OF116" s="561">
        <v>0</v>
      </c>
      <c r="OG116" s="561">
        <v>0</v>
      </c>
      <c r="OH116" s="561">
        <v>0</v>
      </c>
      <c r="OI116" s="561">
        <v>-256</v>
      </c>
      <c r="OJ116" s="561">
        <v>378</v>
      </c>
      <c r="OK116" s="561">
        <v>354</v>
      </c>
      <c r="OL116" s="561">
        <v>-29</v>
      </c>
      <c r="OM116" s="561">
        <v>0</v>
      </c>
      <c r="ON116" s="561">
        <v>603</v>
      </c>
      <c r="OO116" s="561">
        <v>0</v>
      </c>
      <c r="OP116" s="561">
        <v>166</v>
      </c>
      <c r="OQ116" s="561">
        <v>0</v>
      </c>
      <c r="OR116" s="561">
        <v>0</v>
      </c>
      <c r="OS116" s="561">
        <v>0</v>
      </c>
      <c r="OT116" s="561">
        <v>0</v>
      </c>
      <c r="OU116" s="561">
        <v>0</v>
      </c>
      <c r="OV116" s="561">
        <v>2959</v>
      </c>
      <c r="OW116" s="561">
        <v>676</v>
      </c>
      <c r="OX116" s="561">
        <v>2587</v>
      </c>
      <c r="OY116" s="561">
        <v>4</v>
      </c>
      <c r="OZ116" s="561">
        <v>0</v>
      </c>
      <c r="PA116" s="561">
        <v>0</v>
      </c>
      <c r="PB116" s="561">
        <v>0</v>
      </c>
      <c r="PC116" s="561">
        <v>0</v>
      </c>
      <c r="PD116" s="561">
        <v>4</v>
      </c>
      <c r="PE116" s="561">
        <v>676</v>
      </c>
      <c r="PF116" s="561">
        <v>0</v>
      </c>
      <c r="PG116" s="561">
        <v>0</v>
      </c>
      <c r="PH116" s="561">
        <v>0</v>
      </c>
      <c r="PI116" s="561">
        <v>0</v>
      </c>
      <c r="PJ116" s="561">
        <v>676</v>
      </c>
    </row>
    <row r="117" spans="1:426" ht="14" x14ac:dyDescent="0.3">
      <c r="A117" t="s">
        <v>2783</v>
      </c>
      <c r="B117" t="s">
        <v>2784</v>
      </c>
      <c r="C117" t="s">
        <v>2785</v>
      </c>
      <c r="E117" t="s">
        <v>384</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0</v>
      </c>
      <c r="W117" s="561">
        <v>0</v>
      </c>
      <c r="X117" s="561">
        <v>0</v>
      </c>
      <c r="Y117" s="561">
        <v>0</v>
      </c>
      <c r="Z117" s="561">
        <v>0</v>
      </c>
      <c r="AA117" s="561">
        <v>0</v>
      </c>
      <c r="AB117" s="561">
        <v>-312.99</v>
      </c>
      <c r="AC117" s="561">
        <v>0</v>
      </c>
      <c r="AD117" s="561">
        <v>0</v>
      </c>
      <c r="AE117" s="561">
        <v>0</v>
      </c>
      <c r="AF117" s="561">
        <v>0</v>
      </c>
      <c r="AG117" s="561">
        <v>0</v>
      </c>
      <c r="AH117" s="561">
        <v>0</v>
      </c>
      <c r="AI117" s="561">
        <v>0</v>
      </c>
      <c r="AJ117" s="561">
        <v>-312.99</v>
      </c>
      <c r="AK117" s="561">
        <v>0</v>
      </c>
      <c r="AL117" s="561">
        <v>0</v>
      </c>
      <c r="AM117" s="561">
        <v>0</v>
      </c>
      <c r="AN117" s="561">
        <v>0</v>
      </c>
      <c r="AO117" s="561">
        <v>0</v>
      </c>
      <c r="AP117" s="561">
        <v>0</v>
      </c>
      <c r="AQ117" s="561">
        <v>0</v>
      </c>
      <c r="AR117" s="561">
        <v>0</v>
      </c>
      <c r="AS117" s="561">
        <v>0</v>
      </c>
      <c r="AT117" s="561">
        <v>0</v>
      </c>
      <c r="AU117" s="561">
        <v>0</v>
      </c>
      <c r="AV117" s="561">
        <v>0</v>
      </c>
      <c r="AW117" s="561">
        <v>0</v>
      </c>
      <c r="AX117" s="561">
        <v>0</v>
      </c>
      <c r="AY117" s="561">
        <v>0</v>
      </c>
      <c r="AZ117" s="561">
        <v>0</v>
      </c>
      <c r="BA117" s="561">
        <v>0</v>
      </c>
      <c r="BB117" s="561">
        <v>0</v>
      </c>
      <c r="BC117" s="561">
        <v>0</v>
      </c>
      <c r="BD117" s="561">
        <v>0</v>
      </c>
      <c r="BE117" s="561">
        <v>0</v>
      </c>
      <c r="BF117" s="561">
        <v>0</v>
      </c>
      <c r="BG117" s="561">
        <v>0</v>
      </c>
      <c r="BH117" s="561">
        <v>0</v>
      </c>
      <c r="BI117" s="561">
        <v>0</v>
      </c>
      <c r="BJ117" s="561">
        <v>0</v>
      </c>
      <c r="BK117" s="561">
        <v>0</v>
      </c>
      <c r="BL117" s="561">
        <v>0</v>
      </c>
      <c r="BM117" s="561">
        <v>0</v>
      </c>
      <c r="BN117" s="561">
        <v>0</v>
      </c>
      <c r="BO117" s="561">
        <v>0</v>
      </c>
      <c r="BP117" s="561">
        <v>0</v>
      </c>
      <c r="BQ117" s="561">
        <v>0</v>
      </c>
      <c r="BR117" s="561">
        <v>0</v>
      </c>
      <c r="BS117" s="561">
        <v>0</v>
      </c>
      <c r="BT117" s="561">
        <v>0</v>
      </c>
      <c r="BU117" s="561">
        <v>0</v>
      </c>
      <c r="BV117" s="561">
        <v>0</v>
      </c>
      <c r="BW117" s="561">
        <v>0</v>
      </c>
      <c r="BX117" s="561">
        <v>0</v>
      </c>
      <c r="BY117" s="561">
        <v>0</v>
      </c>
      <c r="BZ117" s="561">
        <v>0</v>
      </c>
      <c r="CA117" s="561">
        <v>0</v>
      </c>
      <c r="CB117" s="561">
        <v>0</v>
      </c>
      <c r="CC117" s="561">
        <v>0</v>
      </c>
      <c r="CD117" s="561">
        <v>0</v>
      </c>
      <c r="CE117" s="561">
        <v>0</v>
      </c>
      <c r="CF117" s="561">
        <v>0</v>
      </c>
      <c r="CG117" s="561">
        <v>0</v>
      </c>
      <c r="CH117" s="561">
        <v>0</v>
      </c>
      <c r="CI117" s="561">
        <v>0</v>
      </c>
      <c r="CJ117" s="561">
        <v>0</v>
      </c>
      <c r="CK117" s="561">
        <v>0</v>
      </c>
      <c r="CL117" s="561">
        <v>0</v>
      </c>
      <c r="CM117" s="561">
        <v>0</v>
      </c>
      <c r="CN117" s="561">
        <v>0</v>
      </c>
      <c r="CO117" s="561">
        <v>0</v>
      </c>
      <c r="CP117" s="561">
        <v>0</v>
      </c>
      <c r="CQ117" s="561">
        <v>0</v>
      </c>
      <c r="CR117" s="561">
        <v>0</v>
      </c>
      <c r="CS117" s="561">
        <v>0</v>
      </c>
      <c r="CT117" s="561">
        <v>0</v>
      </c>
      <c r="CU117" s="561">
        <v>0</v>
      </c>
      <c r="CV117" s="561">
        <v>0</v>
      </c>
      <c r="CW117" s="561">
        <v>0</v>
      </c>
      <c r="CX117" s="561">
        <v>0</v>
      </c>
      <c r="CY117" s="561">
        <v>0</v>
      </c>
      <c r="CZ117" s="561">
        <v>0</v>
      </c>
      <c r="DA117" s="561">
        <v>0</v>
      </c>
      <c r="DB117" s="561">
        <v>0</v>
      </c>
      <c r="DC117" s="561">
        <v>0</v>
      </c>
      <c r="DD117" s="561">
        <v>0</v>
      </c>
      <c r="DE117" s="561">
        <v>0</v>
      </c>
      <c r="DF117" s="561">
        <v>0</v>
      </c>
      <c r="DG117" s="561">
        <v>0</v>
      </c>
      <c r="DH117" s="561">
        <v>229.85</v>
      </c>
      <c r="DI117" s="561">
        <v>0</v>
      </c>
      <c r="DJ117" s="561">
        <v>72.06</v>
      </c>
      <c r="DK117" s="561">
        <v>0</v>
      </c>
      <c r="DL117" s="561">
        <v>0</v>
      </c>
      <c r="DM117" s="561">
        <v>28.74</v>
      </c>
      <c r="DN117" s="561">
        <v>0</v>
      </c>
      <c r="DO117" s="561">
        <v>510.35</v>
      </c>
      <c r="DP117" s="561">
        <v>0</v>
      </c>
      <c r="DQ117" s="561">
        <v>0</v>
      </c>
      <c r="DR117" s="561">
        <v>170.27</v>
      </c>
      <c r="DS117" s="561">
        <v>727.18</v>
      </c>
      <c r="DT117" s="561">
        <v>102.15</v>
      </c>
      <c r="DU117" s="561">
        <v>1538.69</v>
      </c>
      <c r="DV117" s="561">
        <v>118.54</v>
      </c>
      <c r="DW117" s="561">
        <v>0</v>
      </c>
      <c r="DX117" s="561">
        <v>0</v>
      </c>
      <c r="DY117" s="561">
        <v>301.25</v>
      </c>
      <c r="DZ117" s="561">
        <v>0</v>
      </c>
      <c r="EA117" s="561">
        <v>0</v>
      </c>
      <c r="EB117" s="561">
        <v>0</v>
      </c>
      <c r="EC117" s="561">
        <v>2260.39</v>
      </c>
      <c r="ED117" s="561">
        <v>37</v>
      </c>
      <c r="EE117" s="561">
        <v>0</v>
      </c>
      <c r="EF117" s="561">
        <v>0</v>
      </c>
      <c r="EG117" s="561">
        <v>0</v>
      </c>
      <c r="EH117" s="561">
        <v>0</v>
      </c>
      <c r="EI117" s="561">
        <v>0</v>
      </c>
      <c r="EJ117" s="561">
        <v>0</v>
      </c>
      <c r="EK117" s="561">
        <v>0</v>
      </c>
      <c r="EL117" s="561">
        <v>0</v>
      </c>
      <c r="EM117" s="561">
        <v>0</v>
      </c>
      <c r="EN117" s="561">
        <v>0</v>
      </c>
      <c r="EO117" s="561">
        <v>0</v>
      </c>
      <c r="EP117" s="561">
        <v>0</v>
      </c>
      <c r="EQ117" s="561">
        <v>0</v>
      </c>
      <c r="ER117" s="561">
        <v>0</v>
      </c>
      <c r="ES117" s="561" t="s">
        <v>4565</v>
      </c>
      <c r="ET117" s="561">
        <v>0</v>
      </c>
      <c r="EU117" s="561">
        <v>0</v>
      </c>
      <c r="EV117" s="561">
        <v>0</v>
      </c>
      <c r="EW117" s="561">
        <v>0</v>
      </c>
      <c r="EX117" s="561">
        <v>0</v>
      </c>
      <c r="EY117" s="561">
        <v>0</v>
      </c>
      <c r="EZ117" s="561">
        <v>0</v>
      </c>
      <c r="FA117" s="561">
        <v>0</v>
      </c>
      <c r="FB117" s="561">
        <v>0</v>
      </c>
      <c r="FC117" s="561">
        <v>122.1</v>
      </c>
      <c r="FD117" s="561">
        <v>0</v>
      </c>
      <c r="FE117" s="561">
        <v>0</v>
      </c>
      <c r="FF117" s="561">
        <v>981.28</v>
      </c>
      <c r="FG117" s="561">
        <v>27.94</v>
      </c>
      <c r="FH117" s="561">
        <v>0</v>
      </c>
      <c r="FI117" s="561">
        <v>119.94</v>
      </c>
      <c r="FJ117" s="561">
        <v>169.72</v>
      </c>
      <c r="FK117" s="561">
        <v>1999.6</v>
      </c>
      <c r="FL117" s="561">
        <v>0</v>
      </c>
      <c r="FM117" s="561">
        <v>245.32</v>
      </c>
      <c r="FN117" s="561">
        <v>0</v>
      </c>
      <c r="FO117" s="561">
        <v>3665.9</v>
      </c>
      <c r="FP117" s="561">
        <v>28</v>
      </c>
      <c r="FQ117" s="561">
        <v>82.87</v>
      </c>
      <c r="FR117" s="561">
        <v>0</v>
      </c>
      <c r="FS117" s="561">
        <v>0</v>
      </c>
      <c r="FT117" s="561">
        <v>226.56</v>
      </c>
      <c r="FU117" s="561">
        <v>664.34</v>
      </c>
      <c r="FV117" s="561">
        <v>240.95</v>
      </c>
      <c r="FW117" s="561">
        <v>75.52</v>
      </c>
      <c r="FX117" s="561">
        <v>0</v>
      </c>
      <c r="FY117" s="561">
        <v>0</v>
      </c>
      <c r="FZ117" s="561">
        <v>14.57</v>
      </c>
      <c r="GA117" s="561">
        <v>162.91</v>
      </c>
      <c r="GB117" s="561">
        <v>88.86</v>
      </c>
      <c r="GC117" s="561">
        <v>261.69</v>
      </c>
      <c r="GD117" s="561">
        <v>192.75</v>
      </c>
      <c r="GE117" s="561">
        <v>192.75</v>
      </c>
      <c r="GF117" s="561">
        <v>122.97</v>
      </c>
      <c r="GG117" s="561">
        <v>0</v>
      </c>
      <c r="GH117" s="561">
        <v>68.8</v>
      </c>
      <c r="GI117" s="561">
        <v>0</v>
      </c>
      <c r="GJ117" s="561">
        <v>0</v>
      </c>
      <c r="GK117" s="561">
        <v>0</v>
      </c>
      <c r="GL117" s="561">
        <v>1621.02</v>
      </c>
      <c r="GM117" s="561">
        <v>2024.44</v>
      </c>
      <c r="GN117" s="561">
        <v>0</v>
      </c>
      <c r="GO117" s="561">
        <v>42.37</v>
      </c>
      <c r="GP117" s="561">
        <v>1616.98</v>
      </c>
      <c r="GQ117" s="561">
        <v>0</v>
      </c>
      <c r="GR117" s="561">
        <v>93.24</v>
      </c>
      <c r="GS117" s="561">
        <v>7793.59</v>
      </c>
      <c r="GT117" s="561">
        <v>710</v>
      </c>
      <c r="GU117" s="561">
        <v>146.74</v>
      </c>
      <c r="GV117" s="561">
        <v>601.23</v>
      </c>
      <c r="GW117" s="561">
        <v>0</v>
      </c>
      <c r="GX117" s="561">
        <v>346.63</v>
      </c>
      <c r="GY117" s="561">
        <v>0</v>
      </c>
      <c r="GZ117" s="561">
        <v>1648.95</v>
      </c>
      <c r="HA117" s="561">
        <v>0</v>
      </c>
      <c r="HB117" s="561">
        <v>0</v>
      </c>
      <c r="HC117" s="561">
        <v>224.5</v>
      </c>
      <c r="HD117" s="561">
        <v>2968.05</v>
      </c>
      <c r="HE117" s="561">
        <v>251</v>
      </c>
      <c r="HF117" s="561">
        <v>14427.54</v>
      </c>
      <c r="HG117" s="561">
        <v>989</v>
      </c>
      <c r="HH117" s="561">
        <v>0</v>
      </c>
      <c r="HI117" s="561">
        <v>0</v>
      </c>
      <c r="HJ117" s="561">
        <v>0</v>
      </c>
      <c r="HK117" s="561">
        <v>0</v>
      </c>
      <c r="HL117" s="561">
        <v>0</v>
      </c>
      <c r="HM117" s="561">
        <v>0</v>
      </c>
      <c r="HN117" s="561">
        <v>0</v>
      </c>
      <c r="HO117" s="561">
        <v>1999.97</v>
      </c>
      <c r="HP117" s="561">
        <v>1640.07</v>
      </c>
      <c r="HQ117" s="561">
        <v>0</v>
      </c>
      <c r="HR117" s="561">
        <v>0</v>
      </c>
      <c r="HS117" s="561">
        <v>803.62</v>
      </c>
      <c r="HT117" s="561">
        <v>196.63</v>
      </c>
      <c r="HU117" s="561">
        <v>0</v>
      </c>
      <c r="HV117" s="561">
        <v>0</v>
      </c>
      <c r="HW117" s="561">
        <v>294.56</v>
      </c>
      <c r="HX117" s="561">
        <v>11.86</v>
      </c>
      <c r="HY117" s="561">
        <v>70.86</v>
      </c>
      <c r="HZ117" s="561">
        <v>131.09</v>
      </c>
      <c r="IA117" s="561">
        <v>0</v>
      </c>
      <c r="IB117" s="561">
        <v>0</v>
      </c>
      <c r="IC117" s="561">
        <v>0</v>
      </c>
      <c r="ID117" s="561">
        <v>0</v>
      </c>
      <c r="IE117" s="561">
        <v>226.14</v>
      </c>
      <c r="IF117" s="561">
        <v>0</v>
      </c>
      <c r="IG117" s="561">
        <v>0</v>
      </c>
      <c r="IH117" s="561">
        <v>169.57</v>
      </c>
      <c r="II117" s="561">
        <v>5544.37</v>
      </c>
      <c r="IJ117" s="561">
        <v>1034</v>
      </c>
      <c r="IK117" s="561">
        <v>3362.11</v>
      </c>
      <c r="IL117" s="561">
        <v>2900</v>
      </c>
      <c r="IM117" s="561">
        <v>0</v>
      </c>
      <c r="IN117" s="561">
        <v>0</v>
      </c>
      <c r="IO117" s="561">
        <v>69.22</v>
      </c>
      <c r="IP117" s="561">
        <v>0</v>
      </c>
      <c r="IQ117" s="561">
        <v>1034</v>
      </c>
      <c r="IR117" s="561">
        <v>0</v>
      </c>
      <c r="IS117" s="561">
        <v>-312.99</v>
      </c>
      <c r="IT117" s="561">
        <v>0</v>
      </c>
      <c r="IU117" s="561">
        <v>0</v>
      </c>
      <c r="IV117" s="561">
        <v>0</v>
      </c>
      <c r="IW117" s="561">
        <v>2260.39</v>
      </c>
      <c r="IX117" s="561">
        <v>3665.9</v>
      </c>
      <c r="IY117" s="561">
        <v>7793.59</v>
      </c>
      <c r="IZ117" s="561">
        <v>2968.05</v>
      </c>
      <c r="JA117" s="561">
        <v>0</v>
      </c>
      <c r="JB117" s="561">
        <v>0</v>
      </c>
      <c r="JC117" s="561">
        <v>5544.37</v>
      </c>
      <c r="JD117" s="561">
        <v>0</v>
      </c>
      <c r="JE117" s="561">
        <v>21919.31</v>
      </c>
      <c r="JF117" s="561">
        <v>16521.939999999999</v>
      </c>
      <c r="JG117" s="561">
        <v>569.46</v>
      </c>
      <c r="JH117" s="561">
        <v>0</v>
      </c>
      <c r="JI117" s="561">
        <v>0</v>
      </c>
      <c r="JJ117" s="561">
        <v>0</v>
      </c>
      <c r="JK117" s="561">
        <v>1505</v>
      </c>
      <c r="JL117" s="561">
        <v>0</v>
      </c>
      <c r="JM117" s="561">
        <v>0</v>
      </c>
      <c r="JN117" s="561">
        <v>0</v>
      </c>
      <c r="JO117" s="561">
        <v>36.9</v>
      </c>
      <c r="JP117" s="561">
        <v>-243.44</v>
      </c>
      <c r="JQ117" s="561">
        <v>0</v>
      </c>
      <c r="JR117" s="561">
        <v>243.44</v>
      </c>
      <c r="JS117" s="561">
        <v>0</v>
      </c>
      <c r="JT117" s="561">
        <v>2.66</v>
      </c>
      <c r="JU117" s="561">
        <v>0</v>
      </c>
      <c r="JV117" s="561">
        <v>40555.269999999997</v>
      </c>
      <c r="JW117" s="561">
        <v>0</v>
      </c>
      <c r="JX117" s="561">
        <v>2282.2399999999998</v>
      </c>
      <c r="JY117" s="561">
        <v>0</v>
      </c>
      <c r="JZ117" s="561">
        <v>0</v>
      </c>
      <c r="KA117" s="561">
        <v>0</v>
      </c>
      <c r="KB117" s="561">
        <v>0</v>
      </c>
      <c r="KC117" s="561">
        <v>867.95</v>
      </c>
      <c r="KD117" s="561">
        <v>0</v>
      </c>
      <c r="KE117" s="561">
        <v>289</v>
      </c>
      <c r="KF117" s="561">
        <v>0</v>
      </c>
      <c r="KG117" s="561">
        <v>43994.46</v>
      </c>
      <c r="KH117" s="561">
        <v>-4027.64</v>
      </c>
      <c r="KI117" s="561">
        <v>0</v>
      </c>
      <c r="KJ117" s="561">
        <v>25.64</v>
      </c>
      <c r="KK117" s="561">
        <v>0</v>
      </c>
      <c r="KL117" s="561">
        <v>-16528.349999999999</v>
      </c>
      <c r="KM117" s="561">
        <v>0</v>
      </c>
      <c r="KN117" s="561">
        <v>0</v>
      </c>
      <c r="KO117" s="561">
        <v>0</v>
      </c>
      <c r="KP117" s="561">
        <v>0</v>
      </c>
      <c r="KQ117" s="561">
        <v>0</v>
      </c>
      <c r="KR117" s="561">
        <v>23464.11</v>
      </c>
      <c r="KS117" s="561">
        <v>0</v>
      </c>
      <c r="KT117" s="561">
        <v>-3957.46</v>
      </c>
      <c r="KU117" s="561">
        <v>19506.650000000001</v>
      </c>
      <c r="KV117" s="561">
        <v>0</v>
      </c>
      <c r="KW117" s="561">
        <v>0</v>
      </c>
      <c r="KX117" s="561">
        <v>0</v>
      </c>
      <c r="KY117" s="561">
        <v>0</v>
      </c>
      <c r="KZ117" s="561">
        <v>-890.62</v>
      </c>
      <c r="LA117" s="561">
        <v>163.58000000000001</v>
      </c>
      <c r="LB117" s="561">
        <v>-124</v>
      </c>
      <c r="LC117" s="561">
        <v>0</v>
      </c>
      <c r="LD117" s="561">
        <v>-8569.2800000000007</v>
      </c>
      <c r="LE117" s="561">
        <v>-59.11</v>
      </c>
      <c r="LF117" s="561">
        <v>59.34</v>
      </c>
      <c r="LG117" s="561">
        <v>10087</v>
      </c>
      <c r="LH117" s="561">
        <v>0</v>
      </c>
      <c r="LI117" s="561">
        <v>0</v>
      </c>
      <c r="LJ117" s="561">
        <v>0</v>
      </c>
      <c r="LK117" s="561">
        <v>0</v>
      </c>
      <c r="LL117" s="561">
        <v>27885</v>
      </c>
      <c r="LM117" s="561">
        <v>2057</v>
      </c>
      <c r="LN117" s="561">
        <v>0</v>
      </c>
      <c r="LO117" s="561">
        <v>0</v>
      </c>
      <c r="LP117" s="561">
        <v>0</v>
      </c>
      <c r="LQ117" s="561">
        <v>0</v>
      </c>
      <c r="LR117" s="561">
        <v>26994.38</v>
      </c>
      <c r="LS117" s="561">
        <v>2220.58</v>
      </c>
      <c r="LT117" s="561">
        <v>0</v>
      </c>
      <c r="LU117" s="561">
        <v>1876.17</v>
      </c>
      <c r="LV117" s="561">
        <v>0</v>
      </c>
      <c r="LW117" s="561">
        <v>72.91</v>
      </c>
      <c r="LX117" s="561">
        <v>-14781.98</v>
      </c>
      <c r="LY117" s="561">
        <v>5202.22</v>
      </c>
      <c r="LZ117" s="561">
        <v>-7630.68</v>
      </c>
      <c r="MA117" s="561">
        <v>0</v>
      </c>
      <c r="MB117" s="561">
        <v>0</v>
      </c>
      <c r="MC117" s="561">
        <v>0</v>
      </c>
      <c r="MD117" s="561">
        <v>0</v>
      </c>
      <c r="ME117" s="561">
        <v>0</v>
      </c>
      <c r="MF117" s="561">
        <v>0</v>
      </c>
      <c r="MG117" s="561">
        <v>0</v>
      </c>
      <c r="MH117" s="561">
        <v>2766</v>
      </c>
      <c r="MI117" s="561">
        <v>3935</v>
      </c>
      <c r="MJ117" s="561">
        <v>6701</v>
      </c>
      <c r="MK117" s="561">
        <v>59.34</v>
      </c>
      <c r="ML117" s="561">
        <v>0</v>
      </c>
      <c r="MM117" s="561">
        <v>13670.32</v>
      </c>
      <c r="MN117" s="561">
        <v>7647.7</v>
      </c>
      <c r="MO117" s="561">
        <v>5676.36</v>
      </c>
      <c r="MP117" s="561">
        <v>0</v>
      </c>
      <c r="MQ117" s="561">
        <v>0</v>
      </c>
      <c r="MR117" s="561">
        <v>-312.99</v>
      </c>
      <c r="MS117" s="561">
        <v>0</v>
      </c>
      <c r="MT117" s="561">
        <v>0</v>
      </c>
      <c r="MU117" s="561">
        <v>0</v>
      </c>
      <c r="MV117" s="561">
        <v>2260.39</v>
      </c>
      <c r="MW117" s="561">
        <v>3665.9</v>
      </c>
      <c r="MX117" s="561">
        <v>7793.59</v>
      </c>
      <c r="MY117" s="561">
        <v>2968.05</v>
      </c>
      <c r="MZ117" s="561">
        <v>0</v>
      </c>
      <c r="NA117" s="561">
        <v>0</v>
      </c>
      <c r="NB117" s="561">
        <v>5544.37</v>
      </c>
      <c r="NC117" s="561">
        <v>0</v>
      </c>
      <c r="ND117" s="561">
        <v>21919.31</v>
      </c>
      <c r="NE117" s="561">
        <v>0</v>
      </c>
      <c r="NF117" s="561">
        <v>0</v>
      </c>
      <c r="NG117" s="561">
        <v>0</v>
      </c>
      <c r="NH117" s="561">
        <v>0</v>
      </c>
      <c r="NI117" s="561">
        <v>0</v>
      </c>
      <c r="NJ117" s="561">
        <v>0</v>
      </c>
      <c r="NK117" s="561">
        <v>0</v>
      </c>
      <c r="NL117" s="561">
        <v>0</v>
      </c>
      <c r="NM117" s="561">
        <v>0</v>
      </c>
      <c r="NN117" s="561">
        <v>0</v>
      </c>
      <c r="NO117" s="561">
        <v>0</v>
      </c>
      <c r="NP117" s="561">
        <v>0</v>
      </c>
      <c r="NQ117" s="561">
        <v>0</v>
      </c>
      <c r="NR117" s="561">
        <v>0</v>
      </c>
      <c r="NS117" s="561">
        <v>0</v>
      </c>
      <c r="NT117" s="561">
        <v>0</v>
      </c>
      <c r="NU117" s="561">
        <v>-744</v>
      </c>
      <c r="NV117" s="561">
        <v>0</v>
      </c>
      <c r="NW117" s="561">
        <v>0</v>
      </c>
      <c r="NX117" s="561">
        <v>-243.44</v>
      </c>
      <c r="NY117" s="561">
        <v>-243.44</v>
      </c>
      <c r="NZ117" s="561">
        <v>0</v>
      </c>
      <c r="OA117" s="561">
        <v>0</v>
      </c>
      <c r="OB117" s="561">
        <v>0</v>
      </c>
      <c r="OC117" s="561">
        <v>0</v>
      </c>
      <c r="OD117" s="561">
        <v>0</v>
      </c>
      <c r="OE117" s="561">
        <v>0</v>
      </c>
      <c r="OF117" s="561">
        <v>0</v>
      </c>
      <c r="OG117" s="561">
        <v>0</v>
      </c>
      <c r="OH117" s="561">
        <v>0</v>
      </c>
      <c r="OI117" s="561">
        <v>0</v>
      </c>
      <c r="OJ117" s="561">
        <v>0</v>
      </c>
      <c r="OK117" s="561">
        <v>0</v>
      </c>
      <c r="OL117" s="561">
        <v>0</v>
      </c>
      <c r="OM117" s="561">
        <v>0</v>
      </c>
      <c r="ON117" s="561">
        <v>0</v>
      </c>
      <c r="OO117" s="561">
        <v>0</v>
      </c>
      <c r="OP117" s="561">
        <v>0</v>
      </c>
      <c r="OQ117" s="561">
        <v>0</v>
      </c>
      <c r="OR117" s="561">
        <v>0</v>
      </c>
      <c r="OS117" s="561">
        <v>0</v>
      </c>
      <c r="OT117" s="561">
        <v>0</v>
      </c>
      <c r="OU117" s="561">
        <v>0</v>
      </c>
      <c r="OV117" s="561">
        <v>0</v>
      </c>
      <c r="OW117" s="561">
        <v>0</v>
      </c>
      <c r="OX117" s="561">
        <v>0</v>
      </c>
      <c r="OY117" s="561">
        <v>6.36</v>
      </c>
      <c r="OZ117" s="561">
        <v>0</v>
      </c>
      <c r="PA117" s="561">
        <v>-249.8</v>
      </c>
      <c r="PB117" s="561">
        <v>0</v>
      </c>
      <c r="PC117" s="561">
        <v>0</v>
      </c>
      <c r="PD117" s="561">
        <v>-243.44</v>
      </c>
      <c r="PE117" s="561">
        <v>0</v>
      </c>
      <c r="PF117" s="561">
        <v>0</v>
      </c>
      <c r="PG117" s="561">
        <v>0</v>
      </c>
      <c r="PH117" s="561">
        <v>0</v>
      </c>
      <c r="PI117" s="561">
        <v>0</v>
      </c>
      <c r="PJ117" s="561">
        <v>0</v>
      </c>
    </row>
    <row r="118" spans="1:426" ht="14" x14ac:dyDescent="0.3">
      <c r="A118" t="s">
        <v>2786</v>
      </c>
      <c r="B118" t="s">
        <v>2787</v>
      </c>
      <c r="C118" t="s">
        <v>2788</v>
      </c>
      <c r="E118" t="s">
        <v>384</v>
      </c>
      <c r="F118" s="561">
        <v>0</v>
      </c>
      <c r="G118" s="561">
        <v>0</v>
      </c>
      <c r="H118" s="561">
        <v>0</v>
      </c>
      <c r="I118" s="561">
        <v>0</v>
      </c>
      <c r="J118" s="561">
        <v>0</v>
      </c>
      <c r="K118" s="561">
        <v>0</v>
      </c>
      <c r="L118" s="561">
        <v>0</v>
      </c>
      <c r="M118" s="561">
        <v>0</v>
      </c>
      <c r="N118" s="561">
        <v>0</v>
      </c>
      <c r="O118" s="561">
        <v>0</v>
      </c>
      <c r="P118" s="561">
        <v>0</v>
      </c>
      <c r="Q118" s="561">
        <v>0</v>
      </c>
      <c r="R118" s="561">
        <v>0</v>
      </c>
      <c r="S118" s="561">
        <v>-11</v>
      </c>
      <c r="T118" s="561">
        <v>0</v>
      </c>
      <c r="U118" s="561">
        <v>0</v>
      </c>
      <c r="V118" s="561">
        <v>489</v>
      </c>
      <c r="W118" s="561">
        <v>0</v>
      </c>
      <c r="X118" s="561">
        <v>0</v>
      </c>
      <c r="Y118" s="561">
        <v>0</v>
      </c>
      <c r="Z118" s="561">
        <v>0</v>
      </c>
      <c r="AA118" s="561">
        <v>-99</v>
      </c>
      <c r="AB118" s="561">
        <v>-1096</v>
      </c>
      <c r="AC118" s="561">
        <v>0</v>
      </c>
      <c r="AD118" s="561">
        <v>0</v>
      </c>
      <c r="AE118" s="561">
        <v>0</v>
      </c>
      <c r="AF118" s="561">
        <v>0</v>
      </c>
      <c r="AG118" s="561">
        <v>0</v>
      </c>
      <c r="AH118" s="561">
        <v>0</v>
      </c>
      <c r="AI118" s="561">
        <v>0</v>
      </c>
      <c r="AJ118" s="561">
        <v>-717</v>
      </c>
      <c r="AK118" s="561">
        <v>0</v>
      </c>
      <c r="AL118" s="561">
        <v>0</v>
      </c>
      <c r="AM118" s="561">
        <v>0</v>
      </c>
      <c r="AN118" s="561">
        <v>0</v>
      </c>
      <c r="AO118" s="561">
        <v>0</v>
      </c>
      <c r="AP118" s="561">
        <v>0</v>
      </c>
      <c r="AQ118" s="561">
        <v>0</v>
      </c>
      <c r="AR118" s="561">
        <v>0</v>
      </c>
      <c r="AS118" s="561">
        <v>303</v>
      </c>
      <c r="AT118" s="561">
        <v>71</v>
      </c>
      <c r="AU118" s="561">
        <v>0</v>
      </c>
      <c r="AV118" s="561">
        <v>0</v>
      </c>
      <c r="AW118" s="561">
        <v>0</v>
      </c>
      <c r="AX118" s="561">
        <v>0</v>
      </c>
      <c r="AY118" s="561">
        <v>0</v>
      </c>
      <c r="AZ118" s="561">
        <v>0</v>
      </c>
      <c r="BA118" s="561">
        <v>0</v>
      </c>
      <c r="BB118" s="561">
        <v>0</v>
      </c>
      <c r="BC118" s="561">
        <v>0</v>
      </c>
      <c r="BD118" s="561">
        <v>0</v>
      </c>
      <c r="BE118" s="561">
        <v>0</v>
      </c>
      <c r="BF118" s="561">
        <v>0</v>
      </c>
      <c r="BG118" s="561">
        <v>0</v>
      </c>
      <c r="BH118" s="561">
        <v>0</v>
      </c>
      <c r="BI118" s="561">
        <v>0</v>
      </c>
      <c r="BJ118" s="561">
        <v>0</v>
      </c>
      <c r="BK118" s="561">
        <v>0</v>
      </c>
      <c r="BL118" s="561">
        <v>0</v>
      </c>
      <c r="BM118" s="561">
        <v>0</v>
      </c>
      <c r="BN118" s="561">
        <v>0</v>
      </c>
      <c r="BO118" s="561">
        <v>0</v>
      </c>
      <c r="BP118" s="561">
        <v>0</v>
      </c>
      <c r="BQ118" s="561">
        <v>0</v>
      </c>
      <c r="BR118" s="561">
        <v>0</v>
      </c>
      <c r="BS118" s="561">
        <v>0</v>
      </c>
      <c r="BT118" s="561">
        <v>0</v>
      </c>
      <c r="BU118" s="561">
        <v>0</v>
      </c>
      <c r="BV118" s="561">
        <v>0</v>
      </c>
      <c r="BW118" s="561">
        <v>0</v>
      </c>
      <c r="BX118" s="561">
        <v>0</v>
      </c>
      <c r="BY118" s="561">
        <v>0</v>
      </c>
      <c r="BZ118" s="561">
        <v>0</v>
      </c>
      <c r="CA118" s="561">
        <v>0</v>
      </c>
      <c r="CB118" s="561">
        <v>0</v>
      </c>
      <c r="CC118" s="561">
        <v>0</v>
      </c>
      <c r="CD118" s="561">
        <v>0</v>
      </c>
      <c r="CE118" s="561">
        <v>0</v>
      </c>
      <c r="CF118" s="561">
        <v>0</v>
      </c>
      <c r="CG118" s="561">
        <v>0</v>
      </c>
      <c r="CH118" s="561">
        <v>0</v>
      </c>
      <c r="CI118" s="561">
        <v>0</v>
      </c>
      <c r="CJ118" s="561">
        <v>0</v>
      </c>
      <c r="CK118" s="561">
        <v>0</v>
      </c>
      <c r="CL118" s="561">
        <v>0</v>
      </c>
      <c r="CM118" s="561">
        <v>0</v>
      </c>
      <c r="CN118" s="561">
        <v>0</v>
      </c>
      <c r="CO118" s="561">
        <v>0</v>
      </c>
      <c r="CP118" s="561">
        <v>0</v>
      </c>
      <c r="CQ118" s="561">
        <v>0</v>
      </c>
      <c r="CR118" s="561">
        <v>0</v>
      </c>
      <c r="CS118" s="561">
        <v>0</v>
      </c>
      <c r="CT118" s="561">
        <v>0</v>
      </c>
      <c r="CU118" s="561">
        <v>0</v>
      </c>
      <c r="CV118" s="561">
        <v>0</v>
      </c>
      <c r="CW118" s="561">
        <v>0</v>
      </c>
      <c r="CX118" s="561">
        <v>0</v>
      </c>
      <c r="CY118" s="561">
        <v>46</v>
      </c>
      <c r="CZ118" s="561">
        <v>46</v>
      </c>
      <c r="DA118" s="561">
        <v>0</v>
      </c>
      <c r="DB118" s="561">
        <v>0</v>
      </c>
      <c r="DC118" s="561">
        <v>0</v>
      </c>
      <c r="DD118" s="561">
        <v>0</v>
      </c>
      <c r="DE118" s="561">
        <v>0</v>
      </c>
      <c r="DF118" s="561">
        <v>0</v>
      </c>
      <c r="DG118" s="561">
        <v>0</v>
      </c>
      <c r="DH118" s="561">
        <v>86</v>
      </c>
      <c r="DI118" s="561">
        <v>0</v>
      </c>
      <c r="DJ118" s="561">
        <v>1930</v>
      </c>
      <c r="DK118" s="561">
        <v>0</v>
      </c>
      <c r="DL118" s="561">
        <v>66</v>
      </c>
      <c r="DM118" s="561">
        <v>30</v>
      </c>
      <c r="DN118" s="561">
        <v>72</v>
      </c>
      <c r="DO118" s="561">
        <v>970</v>
      </c>
      <c r="DP118" s="561">
        <v>0</v>
      </c>
      <c r="DQ118" s="561">
        <v>0</v>
      </c>
      <c r="DR118" s="561">
        <v>16</v>
      </c>
      <c r="DS118" s="561">
        <v>3967</v>
      </c>
      <c r="DT118" s="561">
        <v>100</v>
      </c>
      <c r="DU118" s="561">
        <v>5221</v>
      </c>
      <c r="DV118" s="561">
        <v>0</v>
      </c>
      <c r="DW118" s="561">
        <v>0</v>
      </c>
      <c r="DX118" s="561">
        <v>0</v>
      </c>
      <c r="DY118" s="561">
        <v>1922</v>
      </c>
      <c r="DZ118" s="561">
        <v>141</v>
      </c>
      <c r="EA118" s="561">
        <v>0</v>
      </c>
      <c r="EB118" s="561">
        <v>0</v>
      </c>
      <c r="EC118" s="561">
        <v>9300</v>
      </c>
      <c r="ED118" s="561">
        <v>532</v>
      </c>
      <c r="EE118" s="561">
        <v>22225</v>
      </c>
      <c r="EF118" s="561">
        <v>176</v>
      </c>
      <c r="EG118" s="561">
        <v>936</v>
      </c>
      <c r="EH118" s="561">
        <v>139</v>
      </c>
      <c r="EI118" s="561">
        <v>0</v>
      </c>
      <c r="EJ118" s="561">
        <v>914</v>
      </c>
      <c r="EK118" s="561">
        <v>0</v>
      </c>
      <c r="EL118" s="561">
        <v>0</v>
      </c>
      <c r="EM118" s="561">
        <v>0</v>
      </c>
      <c r="EN118" s="561">
        <v>8514</v>
      </c>
      <c r="EO118" s="561">
        <v>4260</v>
      </c>
      <c r="EP118" s="561">
        <v>3456</v>
      </c>
      <c r="EQ118" s="561">
        <v>317</v>
      </c>
      <c r="ER118" s="561">
        <v>1949</v>
      </c>
      <c r="ES118" s="561" t="s">
        <v>4565</v>
      </c>
      <c r="ET118" s="561">
        <v>0</v>
      </c>
      <c r="EU118" s="561">
        <v>6400</v>
      </c>
      <c r="EV118" s="561">
        <v>17</v>
      </c>
      <c r="EW118" s="561">
        <v>116</v>
      </c>
      <c r="EX118" s="561">
        <v>4993</v>
      </c>
      <c r="EY118" s="561">
        <v>157</v>
      </c>
      <c r="EZ118" s="561">
        <v>-5789</v>
      </c>
      <c r="FA118" s="561">
        <v>21148</v>
      </c>
      <c r="FB118" s="561">
        <v>0</v>
      </c>
      <c r="FC118" s="561">
        <v>0</v>
      </c>
      <c r="FD118" s="561">
        <v>1</v>
      </c>
      <c r="FE118" s="561">
        <v>0</v>
      </c>
      <c r="FF118" s="561">
        <v>171</v>
      </c>
      <c r="FG118" s="561">
        <v>29</v>
      </c>
      <c r="FH118" s="561">
        <v>-461</v>
      </c>
      <c r="FI118" s="561">
        <v>572</v>
      </c>
      <c r="FJ118" s="561">
        <v>1103</v>
      </c>
      <c r="FK118" s="561">
        <v>2568</v>
      </c>
      <c r="FL118" s="561">
        <v>0</v>
      </c>
      <c r="FM118" s="561">
        <v>-24</v>
      </c>
      <c r="FN118" s="561">
        <v>0</v>
      </c>
      <c r="FO118" s="561">
        <v>3959</v>
      </c>
      <c r="FP118" s="561">
        <v>114</v>
      </c>
      <c r="FQ118" s="561">
        <v>381</v>
      </c>
      <c r="FR118" s="561">
        <v>0</v>
      </c>
      <c r="FS118" s="561">
        <v>-3</v>
      </c>
      <c r="FT118" s="561">
        <v>1170</v>
      </c>
      <c r="FU118" s="561">
        <v>1751</v>
      </c>
      <c r="FV118" s="561">
        <v>0</v>
      </c>
      <c r="FW118" s="561">
        <v>-1</v>
      </c>
      <c r="FX118" s="561">
        <v>-3256</v>
      </c>
      <c r="FY118" s="561">
        <v>0</v>
      </c>
      <c r="FZ118" s="561">
        <v>13</v>
      </c>
      <c r="GA118" s="561">
        <v>1071</v>
      </c>
      <c r="GB118" s="561">
        <v>39</v>
      </c>
      <c r="GC118" s="561">
        <v>15</v>
      </c>
      <c r="GD118" s="561">
        <v>0</v>
      </c>
      <c r="GE118" s="561">
        <v>16</v>
      </c>
      <c r="GF118" s="561">
        <v>328</v>
      </c>
      <c r="GG118" s="561">
        <v>14</v>
      </c>
      <c r="GH118" s="561">
        <v>71</v>
      </c>
      <c r="GI118" s="561">
        <v>136</v>
      </c>
      <c r="GJ118" s="561">
        <v>2589</v>
      </c>
      <c r="GK118" s="561">
        <v>0</v>
      </c>
      <c r="GL118" s="561">
        <v>1823</v>
      </c>
      <c r="GM118" s="561">
        <v>5291</v>
      </c>
      <c r="GN118" s="561">
        <v>0</v>
      </c>
      <c r="GO118" s="561">
        <v>0</v>
      </c>
      <c r="GP118" s="561">
        <v>4507</v>
      </c>
      <c r="GQ118" s="561">
        <v>0</v>
      </c>
      <c r="GR118" s="561">
        <v>314</v>
      </c>
      <c r="GS118" s="561">
        <v>16269</v>
      </c>
      <c r="GT118" s="561">
        <v>254</v>
      </c>
      <c r="GU118" s="561">
        <v>1025</v>
      </c>
      <c r="GV118" s="561">
        <v>1832</v>
      </c>
      <c r="GW118" s="561">
        <v>1065</v>
      </c>
      <c r="GX118" s="561">
        <v>2360</v>
      </c>
      <c r="GY118" s="561">
        <v>8</v>
      </c>
      <c r="GZ118" s="561">
        <v>2608</v>
      </c>
      <c r="HA118" s="561">
        <v>0</v>
      </c>
      <c r="HB118" s="561">
        <v>2484</v>
      </c>
      <c r="HC118" s="561">
        <v>2730</v>
      </c>
      <c r="HD118" s="561">
        <v>14112</v>
      </c>
      <c r="HE118" s="561">
        <v>107</v>
      </c>
      <c r="HF118" s="561">
        <v>34340</v>
      </c>
      <c r="HG118" s="561">
        <v>475</v>
      </c>
      <c r="HH118" s="561">
        <v>0</v>
      </c>
      <c r="HI118" s="561">
        <v>0</v>
      </c>
      <c r="HJ118" s="561">
        <v>0</v>
      </c>
      <c r="HK118" s="561">
        <v>0</v>
      </c>
      <c r="HL118" s="561">
        <v>0</v>
      </c>
      <c r="HM118" s="561">
        <v>0</v>
      </c>
      <c r="HN118" s="561">
        <v>0</v>
      </c>
      <c r="HO118" s="561">
        <v>4472</v>
      </c>
      <c r="HP118" s="561">
        <v>-501</v>
      </c>
      <c r="HQ118" s="561">
        <v>0</v>
      </c>
      <c r="HR118" s="561">
        <v>0</v>
      </c>
      <c r="HS118" s="561">
        <v>1052</v>
      </c>
      <c r="HT118" s="561">
        <v>3091</v>
      </c>
      <c r="HU118" s="561">
        <v>0</v>
      </c>
      <c r="HV118" s="561">
        <v>0</v>
      </c>
      <c r="HW118" s="561">
        <v>703</v>
      </c>
      <c r="HX118" s="561">
        <v>-6</v>
      </c>
      <c r="HY118" s="561">
        <v>152</v>
      </c>
      <c r="HZ118" s="561">
        <v>-78</v>
      </c>
      <c r="IA118" s="561">
        <v>0</v>
      </c>
      <c r="IB118" s="561">
        <v>0</v>
      </c>
      <c r="IC118" s="561">
        <v>0</v>
      </c>
      <c r="ID118" s="561">
        <v>0</v>
      </c>
      <c r="IE118" s="561">
        <v>0</v>
      </c>
      <c r="IF118" s="561">
        <v>0</v>
      </c>
      <c r="IG118" s="561">
        <v>-101</v>
      </c>
      <c r="IH118" s="561">
        <v>-995</v>
      </c>
      <c r="II118" s="561">
        <v>7789</v>
      </c>
      <c r="IJ118" s="561">
        <v>469</v>
      </c>
      <c r="IK118" s="561">
        <v>5572</v>
      </c>
      <c r="IL118" s="561">
        <v>11165</v>
      </c>
      <c r="IM118" s="561">
        <v>0</v>
      </c>
      <c r="IN118" s="561">
        <v>0</v>
      </c>
      <c r="IO118" s="561">
        <v>356</v>
      </c>
      <c r="IP118" s="561">
        <v>1771</v>
      </c>
      <c r="IQ118" s="561">
        <v>0</v>
      </c>
      <c r="IR118" s="561">
        <v>0</v>
      </c>
      <c r="IS118" s="561">
        <v>-717</v>
      </c>
      <c r="IT118" s="561">
        <v>0</v>
      </c>
      <c r="IU118" s="561">
        <v>0</v>
      </c>
      <c r="IV118" s="561">
        <v>46</v>
      </c>
      <c r="IW118" s="561">
        <v>9300</v>
      </c>
      <c r="IX118" s="561">
        <v>3959</v>
      </c>
      <c r="IY118" s="561">
        <v>16269</v>
      </c>
      <c r="IZ118" s="561">
        <v>14112</v>
      </c>
      <c r="JA118" s="561">
        <v>0</v>
      </c>
      <c r="JB118" s="561">
        <v>0</v>
      </c>
      <c r="JC118" s="561">
        <v>7789</v>
      </c>
      <c r="JD118" s="561">
        <v>1771</v>
      </c>
      <c r="JE118" s="561">
        <v>52529</v>
      </c>
      <c r="JF118" s="561">
        <v>30380</v>
      </c>
      <c r="JG118" s="561">
        <v>0</v>
      </c>
      <c r="JH118" s="561">
        <v>7098</v>
      </c>
      <c r="JI118" s="561">
        <v>0</v>
      </c>
      <c r="JJ118" s="561">
        <v>0</v>
      </c>
      <c r="JK118" s="561">
        <v>7684</v>
      </c>
      <c r="JL118" s="561">
        <v>0</v>
      </c>
      <c r="JM118" s="561">
        <v>0</v>
      </c>
      <c r="JN118" s="561">
        <v>0</v>
      </c>
      <c r="JO118" s="561">
        <v>176</v>
      </c>
      <c r="JP118" s="561">
        <v>-310</v>
      </c>
      <c r="JQ118" s="561">
        <v>0</v>
      </c>
      <c r="JR118" s="561">
        <v>-253</v>
      </c>
      <c r="JS118" s="561">
        <v>0</v>
      </c>
      <c r="JT118" s="561">
        <v>0</v>
      </c>
      <c r="JU118" s="561">
        <v>0</v>
      </c>
      <c r="JV118" s="561">
        <v>97304</v>
      </c>
      <c r="JW118" s="561">
        <v>0</v>
      </c>
      <c r="JX118" s="561">
        <v>1430</v>
      </c>
      <c r="JY118" s="561">
        <v>0</v>
      </c>
      <c r="JZ118" s="561">
        <v>0</v>
      </c>
      <c r="KA118" s="561">
        <v>0</v>
      </c>
      <c r="KB118" s="561">
        <v>-500</v>
      </c>
      <c r="KC118" s="561">
        <v>2666</v>
      </c>
      <c r="KD118" s="561">
        <v>406</v>
      </c>
      <c r="KE118" s="561">
        <v>1297</v>
      </c>
      <c r="KF118" s="561">
        <v>798</v>
      </c>
      <c r="KG118" s="561">
        <v>103401</v>
      </c>
      <c r="KH118" s="561">
        <v>-5863</v>
      </c>
      <c r="KI118" s="561">
        <v>0</v>
      </c>
      <c r="KJ118" s="561">
        <v>0</v>
      </c>
      <c r="KK118" s="561">
        <v>0</v>
      </c>
      <c r="KL118" s="561">
        <v>-36770</v>
      </c>
      <c r="KM118" s="561">
        <v>0</v>
      </c>
      <c r="KN118" s="561">
        <v>-2380</v>
      </c>
      <c r="KO118" s="561">
        <v>0</v>
      </c>
      <c r="KP118" s="561">
        <v>0</v>
      </c>
      <c r="KQ118" s="561">
        <v>0</v>
      </c>
      <c r="KR118" s="561">
        <v>58388</v>
      </c>
      <c r="KS118" s="561">
        <v>0</v>
      </c>
      <c r="KT118" s="561">
        <v>-9436</v>
      </c>
      <c r="KU118" s="561">
        <v>48952</v>
      </c>
      <c r="KV118" s="561">
        <v>0</v>
      </c>
      <c r="KW118" s="561">
        <v>0</v>
      </c>
      <c r="KX118" s="561">
        <v>0</v>
      </c>
      <c r="KY118" s="561">
        <v>0</v>
      </c>
      <c r="KZ118" s="561">
        <v>2342</v>
      </c>
      <c r="LA118" s="561">
        <v>0</v>
      </c>
      <c r="LB118" s="561">
        <v>-751</v>
      </c>
      <c r="LC118" s="561">
        <v>0</v>
      </c>
      <c r="LD118" s="561">
        <v>-27598</v>
      </c>
      <c r="LE118" s="561">
        <v>-140</v>
      </c>
      <c r="LF118" s="561">
        <v>1860</v>
      </c>
      <c r="LG118" s="561">
        <v>24665</v>
      </c>
      <c r="LH118" s="561">
        <v>0</v>
      </c>
      <c r="LI118" s="561">
        <v>0</v>
      </c>
      <c r="LJ118" s="561">
        <v>0</v>
      </c>
      <c r="LK118" s="561">
        <v>0</v>
      </c>
      <c r="LL118" s="561">
        <v>41497</v>
      </c>
      <c r="LM118" s="561">
        <v>6000</v>
      </c>
      <c r="LN118" s="561">
        <v>0</v>
      </c>
      <c r="LO118" s="561">
        <v>0</v>
      </c>
      <c r="LP118" s="561">
        <v>0</v>
      </c>
      <c r="LQ118" s="561">
        <v>0</v>
      </c>
      <c r="LR118" s="561">
        <v>43839</v>
      </c>
      <c r="LS118" s="561">
        <v>6000</v>
      </c>
      <c r="LT118" s="561">
        <v>0</v>
      </c>
      <c r="LU118" s="561">
        <v>6352</v>
      </c>
      <c r="LV118" s="561">
        <v>0</v>
      </c>
      <c r="LW118" s="561">
        <v>3086</v>
      </c>
      <c r="LX118" s="561">
        <v>-23562</v>
      </c>
      <c r="LY118" s="561">
        <v>6762</v>
      </c>
      <c r="LZ118" s="561">
        <v>-7518</v>
      </c>
      <c r="MA118" s="561">
        <v>0</v>
      </c>
      <c r="MB118" s="561">
        <v>0</v>
      </c>
      <c r="MC118" s="561">
        <v>24390</v>
      </c>
      <c r="MD118" s="561">
        <v>30179</v>
      </c>
      <c r="ME118" s="561">
        <v>-5789</v>
      </c>
      <c r="MF118" s="561">
        <v>21148</v>
      </c>
      <c r="MG118" s="561">
        <v>15359</v>
      </c>
      <c r="MH118" s="561">
        <v>7880</v>
      </c>
      <c r="MI118" s="561">
        <v>8831</v>
      </c>
      <c r="MJ118" s="561">
        <v>16711</v>
      </c>
      <c r="MK118" s="561">
        <v>0</v>
      </c>
      <c r="ML118" s="561">
        <v>0</v>
      </c>
      <c r="MM118" s="561">
        <v>25898</v>
      </c>
      <c r="MN118" s="561">
        <v>14302</v>
      </c>
      <c r="MO118" s="561">
        <v>3639</v>
      </c>
      <c r="MP118" s="561">
        <v>0</v>
      </c>
      <c r="MQ118" s="561">
        <v>0</v>
      </c>
      <c r="MR118" s="561">
        <v>-717</v>
      </c>
      <c r="MS118" s="561">
        <v>0</v>
      </c>
      <c r="MT118" s="561">
        <v>0</v>
      </c>
      <c r="MU118" s="561">
        <v>46</v>
      </c>
      <c r="MV118" s="561">
        <v>9300</v>
      </c>
      <c r="MW118" s="561">
        <v>3959</v>
      </c>
      <c r="MX118" s="561">
        <v>16269</v>
      </c>
      <c r="MY118" s="561">
        <v>14112</v>
      </c>
      <c r="MZ118" s="561">
        <v>0</v>
      </c>
      <c r="NA118" s="561">
        <v>0</v>
      </c>
      <c r="NB118" s="561">
        <v>7789</v>
      </c>
      <c r="NC118" s="561">
        <v>1771</v>
      </c>
      <c r="ND118" s="561">
        <v>52529</v>
      </c>
      <c r="NE118" s="561">
        <v>0</v>
      </c>
      <c r="NF118" s="561">
        <v>0</v>
      </c>
      <c r="NG118" s="561">
        <v>0</v>
      </c>
      <c r="NH118" s="561">
        <v>0</v>
      </c>
      <c r="NI118" s="561">
        <v>-49</v>
      </c>
      <c r="NJ118" s="561">
        <v>0</v>
      </c>
      <c r="NK118" s="561">
        <v>0</v>
      </c>
      <c r="NL118" s="561">
        <v>0</v>
      </c>
      <c r="NM118" s="561">
        <v>0</v>
      </c>
      <c r="NN118" s="561">
        <v>0</v>
      </c>
      <c r="NO118" s="561">
        <v>0</v>
      </c>
      <c r="NP118" s="561">
        <v>53</v>
      </c>
      <c r="NQ118" s="561">
        <v>0</v>
      </c>
      <c r="NR118" s="561">
        <v>0</v>
      </c>
      <c r="NS118" s="561">
        <v>0</v>
      </c>
      <c r="NT118" s="561">
        <v>-567</v>
      </c>
      <c r="NU118" s="561">
        <v>0</v>
      </c>
      <c r="NV118" s="561">
        <v>0</v>
      </c>
      <c r="NW118" s="561">
        <v>-563</v>
      </c>
      <c r="NX118" s="561">
        <v>253</v>
      </c>
      <c r="NY118" s="561">
        <v>-310</v>
      </c>
      <c r="NZ118" s="561">
        <v>0</v>
      </c>
      <c r="OA118" s="561">
        <v>0</v>
      </c>
      <c r="OB118" s="561">
        <v>0</v>
      </c>
      <c r="OC118" s="561">
        <v>0</v>
      </c>
      <c r="OD118" s="561">
        <v>0</v>
      </c>
      <c r="OE118" s="561">
        <v>0</v>
      </c>
      <c r="OF118" s="561">
        <v>0</v>
      </c>
      <c r="OG118" s="561">
        <v>0</v>
      </c>
      <c r="OH118" s="561">
        <v>0</v>
      </c>
      <c r="OI118" s="561">
        <v>0</v>
      </c>
      <c r="OJ118" s="561">
        <v>0</v>
      </c>
      <c r="OK118" s="561">
        <v>0</v>
      </c>
      <c r="OL118" s="561">
        <v>0</v>
      </c>
      <c r="OM118" s="561">
        <v>0</v>
      </c>
      <c r="ON118" s="561">
        <v>0</v>
      </c>
      <c r="OO118" s="561">
        <v>0</v>
      </c>
      <c r="OP118" s="561">
        <v>0</v>
      </c>
      <c r="OQ118" s="561">
        <v>0</v>
      </c>
      <c r="OR118" s="561">
        <v>0</v>
      </c>
      <c r="OS118" s="561">
        <v>0</v>
      </c>
      <c r="OT118" s="561">
        <v>0</v>
      </c>
      <c r="OU118" s="561">
        <v>0</v>
      </c>
      <c r="OV118" s="561">
        <v>0</v>
      </c>
      <c r="OW118" s="561">
        <v>0</v>
      </c>
      <c r="OX118" s="561">
        <v>0</v>
      </c>
      <c r="OY118" s="561">
        <v>185</v>
      </c>
      <c r="OZ118" s="561">
        <v>0</v>
      </c>
      <c r="PA118" s="561">
        <v>68</v>
      </c>
      <c r="PB118" s="561">
        <v>0</v>
      </c>
      <c r="PC118" s="561">
        <v>0</v>
      </c>
      <c r="PD118" s="561">
        <v>253</v>
      </c>
      <c r="PE118" s="561">
        <v>0</v>
      </c>
      <c r="PF118" s="561">
        <v>0</v>
      </c>
      <c r="PG118" s="561">
        <v>0</v>
      </c>
      <c r="PH118" s="561">
        <v>0</v>
      </c>
      <c r="PI118" s="561">
        <v>0</v>
      </c>
      <c r="PJ118" s="561">
        <v>0</v>
      </c>
    </row>
    <row r="119" spans="1:426" ht="14" x14ac:dyDescent="0.3">
      <c r="A119" t="s">
        <v>2789</v>
      </c>
      <c r="B119" t="s">
        <v>2790</v>
      </c>
      <c r="C119" t="s">
        <v>4599</v>
      </c>
      <c r="E119" t="s">
        <v>2595</v>
      </c>
      <c r="F119" s="561">
        <v>46451</v>
      </c>
      <c r="G119" s="561">
        <v>132026</v>
      </c>
      <c r="H119" s="561">
        <v>69342</v>
      </c>
      <c r="I119" s="561">
        <v>50174</v>
      </c>
      <c r="J119" s="561">
        <v>1991</v>
      </c>
      <c r="K119" s="561">
        <v>66804</v>
      </c>
      <c r="L119" s="561">
        <v>366788</v>
      </c>
      <c r="M119" s="561">
        <v>0</v>
      </c>
      <c r="N119" s="561">
        <v>513</v>
      </c>
      <c r="O119" s="561">
        <v>2947</v>
      </c>
      <c r="P119" s="561">
        <v>3599</v>
      </c>
      <c r="Q119" s="561">
        <v>1997</v>
      </c>
      <c r="R119" s="561">
        <v>1200</v>
      </c>
      <c r="S119" s="561">
        <v>2294</v>
      </c>
      <c r="T119" s="561">
        <v>1594</v>
      </c>
      <c r="U119" s="561">
        <v>4092</v>
      </c>
      <c r="V119" s="561">
        <v>3120</v>
      </c>
      <c r="W119" s="561">
        <v>0</v>
      </c>
      <c r="X119" s="561">
        <v>0</v>
      </c>
      <c r="Y119" s="561">
        <v>1246</v>
      </c>
      <c r="Z119" s="561">
        <v>0</v>
      </c>
      <c r="AA119" s="561">
        <v>-2310</v>
      </c>
      <c r="AB119" s="561">
        <v>32</v>
      </c>
      <c r="AC119" s="561">
        <v>9584</v>
      </c>
      <c r="AD119" s="561">
        <v>0</v>
      </c>
      <c r="AE119" s="561">
        <v>11200</v>
      </c>
      <c r="AF119" s="561">
        <v>0</v>
      </c>
      <c r="AG119" s="561">
        <v>0</v>
      </c>
      <c r="AH119" s="561">
        <v>1386</v>
      </c>
      <c r="AI119" s="561">
        <v>0</v>
      </c>
      <c r="AJ119" s="561">
        <v>42494</v>
      </c>
      <c r="AK119" s="561">
        <v>43</v>
      </c>
      <c r="AL119" s="561">
        <v>0</v>
      </c>
      <c r="AM119" s="561">
        <v>0</v>
      </c>
      <c r="AN119" s="561">
        <v>0</v>
      </c>
      <c r="AO119" s="561">
        <v>0</v>
      </c>
      <c r="AP119" s="561">
        <v>0</v>
      </c>
      <c r="AQ119" s="561">
        <v>0</v>
      </c>
      <c r="AR119" s="561">
        <v>0</v>
      </c>
      <c r="AS119" s="561">
        <v>6665</v>
      </c>
      <c r="AT119" s="561">
        <v>0</v>
      </c>
      <c r="AU119" s="561">
        <v>0</v>
      </c>
      <c r="AV119" s="561">
        <v>0</v>
      </c>
      <c r="AW119" s="561">
        <v>0</v>
      </c>
      <c r="AX119" s="561">
        <v>1668</v>
      </c>
      <c r="AY119" s="561">
        <v>99671</v>
      </c>
      <c r="AZ119" s="561">
        <v>2849</v>
      </c>
      <c r="BA119" s="561">
        <v>20294</v>
      </c>
      <c r="BB119" s="561">
        <v>1809</v>
      </c>
      <c r="BC119" s="561">
        <v>16238</v>
      </c>
      <c r="BD119" s="561">
        <v>2223</v>
      </c>
      <c r="BE119" s="561">
        <v>11452</v>
      </c>
      <c r="BF119" s="561">
        <v>156204</v>
      </c>
      <c r="BG119" s="561">
        <v>3103</v>
      </c>
      <c r="BH119" s="561">
        <v>29109</v>
      </c>
      <c r="BI119" s="561">
        <v>65191</v>
      </c>
      <c r="BJ119" s="561">
        <v>1338</v>
      </c>
      <c r="BK119" s="561">
        <v>618</v>
      </c>
      <c r="BL119" s="561">
        <v>2490</v>
      </c>
      <c r="BM119" s="561">
        <v>28344</v>
      </c>
      <c r="BN119" s="561">
        <v>87214</v>
      </c>
      <c r="BO119" s="561">
        <v>10302</v>
      </c>
      <c r="BP119" s="561">
        <v>17909</v>
      </c>
      <c r="BQ119" s="561">
        <v>10429</v>
      </c>
      <c r="BR119" s="561">
        <v>2129</v>
      </c>
      <c r="BS119" s="561">
        <v>7</v>
      </c>
      <c r="BT119" s="561">
        <v>1661</v>
      </c>
      <c r="BU119" s="561">
        <v>2516</v>
      </c>
      <c r="BV119" s="561">
        <v>4909</v>
      </c>
      <c r="BW119" s="561">
        <v>34467</v>
      </c>
      <c r="BX119" s="561">
        <v>1146</v>
      </c>
      <c r="BY119" s="561">
        <v>18734</v>
      </c>
      <c r="BZ119" s="561">
        <v>318513</v>
      </c>
      <c r="CA119" s="561">
        <v>2804</v>
      </c>
      <c r="CB119" s="561">
        <v>2488</v>
      </c>
      <c r="CC119" s="561">
        <v>1961</v>
      </c>
      <c r="CD119" s="561">
        <v>358</v>
      </c>
      <c r="CE119" s="561">
        <v>1185</v>
      </c>
      <c r="CF119" s="561">
        <v>295</v>
      </c>
      <c r="CG119" s="561">
        <v>477</v>
      </c>
      <c r="CH119" s="561">
        <v>1255</v>
      </c>
      <c r="CI119" s="561">
        <v>694</v>
      </c>
      <c r="CJ119" s="561">
        <v>190</v>
      </c>
      <c r="CK119" s="561">
        <v>616</v>
      </c>
      <c r="CL119" s="561">
        <v>251</v>
      </c>
      <c r="CM119" s="561">
        <v>4897</v>
      </c>
      <c r="CN119" s="561">
        <v>2651</v>
      </c>
      <c r="CO119" s="561">
        <v>1069</v>
      </c>
      <c r="CP119" s="561">
        <v>104</v>
      </c>
      <c r="CQ119" s="561">
        <v>339</v>
      </c>
      <c r="CR119" s="561">
        <v>1992</v>
      </c>
      <c r="CS119" s="561">
        <v>328</v>
      </c>
      <c r="CT119" s="561">
        <v>3147</v>
      </c>
      <c r="CU119" s="561">
        <v>4857</v>
      </c>
      <c r="CV119" s="561">
        <v>3038</v>
      </c>
      <c r="CW119" s="561">
        <v>284</v>
      </c>
      <c r="CX119" s="561">
        <v>2180</v>
      </c>
      <c r="CY119" s="561">
        <v>2418</v>
      </c>
      <c r="CZ119" s="561">
        <v>37074</v>
      </c>
      <c r="DA119" s="561">
        <v>92</v>
      </c>
      <c r="DB119" s="561">
        <v>719</v>
      </c>
      <c r="DC119" s="561">
        <v>87</v>
      </c>
      <c r="DD119" s="561">
        <v>22</v>
      </c>
      <c r="DE119" s="561">
        <v>0</v>
      </c>
      <c r="DF119" s="561">
        <v>0</v>
      </c>
      <c r="DG119" s="561">
        <v>0</v>
      </c>
      <c r="DH119" s="561">
        <v>0</v>
      </c>
      <c r="DI119" s="561">
        <v>0</v>
      </c>
      <c r="DJ119" s="561">
        <v>0</v>
      </c>
      <c r="DK119" s="561">
        <v>0</v>
      </c>
      <c r="DL119" s="561">
        <v>0</v>
      </c>
      <c r="DM119" s="561">
        <v>0</v>
      </c>
      <c r="DN119" s="561">
        <v>0</v>
      </c>
      <c r="DO119" s="561">
        <v>0</v>
      </c>
      <c r="DP119" s="561">
        <v>0</v>
      </c>
      <c r="DQ119" s="561">
        <v>0</v>
      </c>
      <c r="DR119" s="561">
        <v>0</v>
      </c>
      <c r="DS119" s="561">
        <v>0</v>
      </c>
      <c r="DT119" s="561">
        <v>0</v>
      </c>
      <c r="DU119" s="561">
        <v>0</v>
      </c>
      <c r="DV119" s="561">
        <v>0</v>
      </c>
      <c r="DW119" s="561">
        <v>0</v>
      </c>
      <c r="DX119" s="561">
        <v>0</v>
      </c>
      <c r="DY119" s="561">
        <v>0</v>
      </c>
      <c r="DZ119" s="561">
        <v>93</v>
      </c>
      <c r="EA119" s="561">
        <v>10778</v>
      </c>
      <c r="EB119" s="561">
        <v>0</v>
      </c>
      <c r="EC119" s="561">
        <v>10871</v>
      </c>
      <c r="ED119" s="561">
        <v>0</v>
      </c>
      <c r="EE119" s="561">
        <v>0</v>
      </c>
      <c r="EF119" s="561">
        <v>0</v>
      </c>
      <c r="EG119" s="561">
        <v>0</v>
      </c>
      <c r="EH119" s="561">
        <v>0</v>
      </c>
      <c r="EI119" s="561">
        <v>0</v>
      </c>
      <c r="EJ119" s="561">
        <v>0</v>
      </c>
      <c r="EK119" s="561">
        <v>0</v>
      </c>
      <c r="EL119" s="561">
        <v>0</v>
      </c>
      <c r="EM119" s="561">
        <v>0</v>
      </c>
      <c r="EN119" s="561">
        <v>0</v>
      </c>
      <c r="EO119" s="561">
        <v>0</v>
      </c>
      <c r="EP119" s="561">
        <v>0</v>
      </c>
      <c r="EQ119" s="561">
        <v>0</v>
      </c>
      <c r="ER119" s="561">
        <v>0</v>
      </c>
      <c r="ES119" s="561" t="s">
        <v>4565</v>
      </c>
      <c r="ET119" s="561">
        <v>0</v>
      </c>
      <c r="EU119" s="561">
        <v>0</v>
      </c>
      <c r="EV119" s="561">
        <v>0</v>
      </c>
      <c r="EW119" s="561">
        <v>0</v>
      </c>
      <c r="EX119" s="561">
        <v>0</v>
      </c>
      <c r="EY119" s="561">
        <v>0</v>
      </c>
      <c r="EZ119" s="561">
        <v>0</v>
      </c>
      <c r="FA119" s="561">
        <v>0</v>
      </c>
      <c r="FB119" s="561">
        <v>1079</v>
      </c>
      <c r="FC119" s="561">
        <v>83</v>
      </c>
      <c r="FD119" s="561">
        <v>0</v>
      </c>
      <c r="FE119" s="561">
        <v>0</v>
      </c>
      <c r="FF119" s="561">
        <v>0</v>
      </c>
      <c r="FG119" s="561">
        <v>0</v>
      </c>
      <c r="FH119" s="561">
        <v>0</v>
      </c>
      <c r="FI119" s="561">
        <v>0</v>
      </c>
      <c r="FJ119" s="561">
        <v>0</v>
      </c>
      <c r="FK119" s="561">
        <v>2058</v>
      </c>
      <c r="FL119" s="561">
        <v>0</v>
      </c>
      <c r="FM119" s="561">
        <v>316</v>
      </c>
      <c r="FN119" s="561">
        <v>5245</v>
      </c>
      <c r="FO119" s="561">
        <v>8781</v>
      </c>
      <c r="FP119" s="561">
        <v>0</v>
      </c>
      <c r="FQ119" s="561">
        <v>0</v>
      </c>
      <c r="FR119" s="561">
        <v>1041</v>
      </c>
      <c r="FS119" s="561">
        <v>0</v>
      </c>
      <c r="FT119" s="561">
        <v>0</v>
      </c>
      <c r="FU119" s="561">
        <v>0</v>
      </c>
      <c r="FV119" s="561">
        <v>0</v>
      </c>
      <c r="FW119" s="561">
        <v>0</v>
      </c>
      <c r="FX119" s="561">
        <v>0</v>
      </c>
      <c r="FY119" s="561">
        <v>0</v>
      </c>
      <c r="FZ119" s="561">
        <v>0</v>
      </c>
      <c r="GA119" s="561">
        <v>0</v>
      </c>
      <c r="GB119" s="561">
        <v>0</v>
      </c>
      <c r="GC119" s="561">
        <v>0</v>
      </c>
      <c r="GD119" s="561">
        <v>1632</v>
      </c>
      <c r="GE119" s="561">
        <v>0</v>
      </c>
      <c r="GF119" s="561">
        <v>0</v>
      </c>
      <c r="GG119" s="561">
        <v>503</v>
      </c>
      <c r="GH119" s="561">
        <v>0</v>
      </c>
      <c r="GI119" s="561">
        <v>0</v>
      </c>
      <c r="GJ119" s="561">
        <v>3</v>
      </c>
      <c r="GK119" s="561">
        <v>0</v>
      </c>
      <c r="GL119" s="561">
        <v>0</v>
      </c>
      <c r="GM119" s="561">
        <v>0</v>
      </c>
      <c r="GN119" s="561">
        <v>36611</v>
      </c>
      <c r="GO119" s="561">
        <v>0</v>
      </c>
      <c r="GP119" s="561">
        <v>0</v>
      </c>
      <c r="GQ119" s="561">
        <v>0</v>
      </c>
      <c r="GR119" s="561">
        <v>0</v>
      </c>
      <c r="GS119" s="561">
        <v>39790</v>
      </c>
      <c r="GT119" s="561">
        <v>80</v>
      </c>
      <c r="GU119" s="561">
        <v>0</v>
      </c>
      <c r="GV119" s="561">
        <v>327</v>
      </c>
      <c r="GW119" s="561">
        <v>0</v>
      </c>
      <c r="GX119" s="561">
        <v>0</v>
      </c>
      <c r="GY119" s="561">
        <v>1112</v>
      </c>
      <c r="GZ119" s="561">
        <v>704</v>
      </c>
      <c r="HA119" s="561">
        <v>693</v>
      </c>
      <c r="HB119" s="561">
        <v>74</v>
      </c>
      <c r="HC119" s="561">
        <v>0</v>
      </c>
      <c r="HD119" s="561">
        <v>2910</v>
      </c>
      <c r="HE119" s="561">
        <v>0</v>
      </c>
      <c r="HF119" s="561">
        <v>51481</v>
      </c>
      <c r="HG119" s="561">
        <v>0</v>
      </c>
      <c r="HH119" s="561">
        <v>0</v>
      </c>
      <c r="HI119" s="561">
        <v>0</v>
      </c>
      <c r="HJ119" s="561">
        <v>0</v>
      </c>
      <c r="HK119" s="561">
        <v>0</v>
      </c>
      <c r="HL119" s="561">
        <v>0</v>
      </c>
      <c r="HM119" s="561">
        <v>0</v>
      </c>
      <c r="HN119" s="561">
        <v>0</v>
      </c>
      <c r="HO119" s="561">
        <v>4060</v>
      </c>
      <c r="HP119" s="561">
        <v>0</v>
      </c>
      <c r="HQ119" s="561">
        <v>0</v>
      </c>
      <c r="HR119" s="561">
        <v>0</v>
      </c>
      <c r="HS119" s="561">
        <v>195</v>
      </c>
      <c r="HT119" s="561">
        <v>0</v>
      </c>
      <c r="HU119" s="561">
        <v>0</v>
      </c>
      <c r="HV119" s="561">
        <v>228</v>
      </c>
      <c r="HW119" s="561">
        <v>0</v>
      </c>
      <c r="HX119" s="561">
        <v>0</v>
      </c>
      <c r="HY119" s="561">
        <v>262</v>
      </c>
      <c r="HZ119" s="561">
        <v>0</v>
      </c>
      <c r="IA119" s="561">
        <v>3617</v>
      </c>
      <c r="IB119" s="561">
        <v>0</v>
      </c>
      <c r="IC119" s="561">
        <v>1927</v>
      </c>
      <c r="ID119" s="561">
        <v>0</v>
      </c>
      <c r="IE119" s="561">
        <v>4323</v>
      </c>
      <c r="IF119" s="561">
        <v>0</v>
      </c>
      <c r="IG119" s="561">
        <v>-169</v>
      </c>
      <c r="IH119" s="561">
        <v>0</v>
      </c>
      <c r="II119" s="561">
        <v>14443</v>
      </c>
      <c r="IJ119" s="561">
        <v>3573</v>
      </c>
      <c r="IK119" s="561">
        <v>0</v>
      </c>
      <c r="IL119" s="561">
        <v>60633</v>
      </c>
      <c r="IM119" s="561">
        <v>0</v>
      </c>
      <c r="IN119" s="561">
        <v>0</v>
      </c>
      <c r="IO119" s="561">
        <v>0</v>
      </c>
      <c r="IP119" s="561">
        <v>0</v>
      </c>
      <c r="IQ119" s="561">
        <v>0</v>
      </c>
      <c r="IR119" s="561">
        <v>366788</v>
      </c>
      <c r="IS119" s="561">
        <v>42494</v>
      </c>
      <c r="IT119" s="561">
        <v>156204</v>
      </c>
      <c r="IU119" s="561">
        <v>318513</v>
      </c>
      <c r="IV119" s="561">
        <v>37074</v>
      </c>
      <c r="IW119" s="561">
        <v>10871</v>
      </c>
      <c r="IX119" s="561">
        <v>8781</v>
      </c>
      <c r="IY119" s="561">
        <v>39790</v>
      </c>
      <c r="IZ119" s="561">
        <v>2910</v>
      </c>
      <c r="JA119" s="561">
        <v>0</v>
      </c>
      <c r="JB119" s="561">
        <v>0</v>
      </c>
      <c r="JC119" s="561">
        <v>14443</v>
      </c>
      <c r="JD119" s="561">
        <v>0</v>
      </c>
      <c r="JE119" s="561">
        <v>997868</v>
      </c>
      <c r="JF119" s="561">
        <v>0</v>
      </c>
      <c r="JG119" s="561">
        <v>0</v>
      </c>
      <c r="JH119" s="561">
        <v>0</v>
      </c>
      <c r="JI119" s="561">
        <v>0</v>
      </c>
      <c r="JJ119" s="561">
        <v>0</v>
      </c>
      <c r="JK119" s="561">
        <v>0</v>
      </c>
      <c r="JL119" s="561">
        <v>0</v>
      </c>
      <c r="JM119" s="561">
        <v>0</v>
      </c>
      <c r="JN119" s="561">
        <v>0</v>
      </c>
      <c r="JO119" s="561">
        <v>485</v>
      </c>
      <c r="JP119" s="561">
        <v>0</v>
      </c>
      <c r="JQ119" s="561">
        <v>-422</v>
      </c>
      <c r="JR119" s="561">
        <v>0</v>
      </c>
      <c r="JS119" s="561">
        <v>0</v>
      </c>
      <c r="JT119" s="561">
        <v>-225</v>
      </c>
      <c r="JU119" s="561">
        <v>0</v>
      </c>
      <c r="JV119" s="561">
        <v>997706</v>
      </c>
      <c r="JW119" s="561">
        <v>177</v>
      </c>
      <c r="JX119" s="561">
        <v>10057</v>
      </c>
      <c r="JY119" s="561">
        <v>0</v>
      </c>
      <c r="JZ119" s="561">
        <v>0</v>
      </c>
      <c r="KA119" s="561">
        <v>0</v>
      </c>
      <c r="KB119" s="561">
        <v>750</v>
      </c>
      <c r="KC119" s="561">
        <v>9001</v>
      </c>
      <c r="KD119" s="561">
        <v>0</v>
      </c>
      <c r="KE119" s="561">
        <v>11929</v>
      </c>
      <c r="KF119" s="561">
        <v>0</v>
      </c>
      <c r="KG119" s="561">
        <v>1029620</v>
      </c>
      <c r="KH119" s="561">
        <v>-10687</v>
      </c>
      <c r="KI119" s="561">
        <v>0</v>
      </c>
      <c r="KJ119" s="561">
        <v>0</v>
      </c>
      <c r="KK119" s="561">
        <v>0</v>
      </c>
      <c r="KL119" s="561">
        <v>-2977</v>
      </c>
      <c r="KM119" s="561">
        <v>0</v>
      </c>
      <c r="KN119" s="561">
        <v>0</v>
      </c>
      <c r="KO119" s="561">
        <v>0</v>
      </c>
      <c r="KP119" s="561">
        <v>0</v>
      </c>
      <c r="KQ119" s="561">
        <v>0</v>
      </c>
      <c r="KR119" s="561">
        <v>1015956</v>
      </c>
      <c r="KS119" s="561">
        <v>0</v>
      </c>
      <c r="KT119" s="561">
        <v>-477777</v>
      </c>
      <c r="KU119" s="561">
        <v>538179</v>
      </c>
      <c r="KV119" s="561">
        <v>0</v>
      </c>
      <c r="KW119" s="561">
        <v>-2215</v>
      </c>
      <c r="KX119" s="561">
        <v>-12977</v>
      </c>
      <c r="KY119" s="561">
        <v>-2296</v>
      </c>
      <c r="KZ119" s="561">
        <v>-39713</v>
      </c>
      <c r="LA119" s="561">
        <v>0</v>
      </c>
      <c r="LB119" s="561">
        <v>-4346</v>
      </c>
      <c r="LC119" s="561">
        <v>0</v>
      </c>
      <c r="LD119" s="561">
        <v>-101751</v>
      </c>
      <c r="LE119" s="561">
        <v>-3881</v>
      </c>
      <c r="LF119" s="561">
        <v>0</v>
      </c>
      <c r="LG119" s="561">
        <v>371000</v>
      </c>
      <c r="LH119" s="561">
        <v>18258</v>
      </c>
      <c r="LI119" s="561">
        <v>0</v>
      </c>
      <c r="LJ119" s="561">
        <v>15815</v>
      </c>
      <c r="LK119" s="561">
        <v>6294</v>
      </c>
      <c r="LL119" s="561">
        <v>120229</v>
      </c>
      <c r="LM119" s="561">
        <v>9999</v>
      </c>
      <c r="LN119" s="561">
        <v>16043</v>
      </c>
      <c r="LO119" s="561">
        <v>0</v>
      </c>
      <c r="LP119" s="561">
        <v>2838</v>
      </c>
      <c r="LQ119" s="561">
        <v>3998</v>
      </c>
      <c r="LR119" s="561">
        <v>80516</v>
      </c>
      <c r="LS119" s="561">
        <v>9999</v>
      </c>
      <c r="LT119" s="561">
        <v>0</v>
      </c>
      <c r="LU119" s="561">
        <v>53433.32</v>
      </c>
      <c r="LV119" s="561">
        <v>0</v>
      </c>
      <c r="LW119" s="561">
        <v>48311.25</v>
      </c>
      <c r="LX119" s="561">
        <v>-55284.81</v>
      </c>
      <c r="LY119" s="561">
        <v>6977.92</v>
      </c>
      <c r="LZ119" s="561">
        <v>56156.959999999999</v>
      </c>
      <c r="MA119" s="561">
        <v>0</v>
      </c>
      <c r="MB119" s="561">
        <v>0</v>
      </c>
      <c r="MC119" s="561">
        <v>0</v>
      </c>
      <c r="MD119" s="561">
        <v>0</v>
      </c>
      <c r="ME119" s="561">
        <v>0</v>
      </c>
      <c r="MF119" s="561">
        <v>0</v>
      </c>
      <c r="MG119" s="561">
        <v>0</v>
      </c>
      <c r="MH119" s="561">
        <v>0</v>
      </c>
      <c r="MI119" s="561">
        <v>0</v>
      </c>
      <c r="MJ119" s="561">
        <v>0</v>
      </c>
      <c r="MK119" s="561">
        <v>0</v>
      </c>
      <c r="ML119" s="561">
        <v>19844</v>
      </c>
      <c r="MM119" s="561">
        <v>19738</v>
      </c>
      <c r="MN119" s="561">
        <v>12799</v>
      </c>
      <c r="MO119" s="561">
        <v>6156</v>
      </c>
      <c r="MP119" s="561">
        <v>21979</v>
      </c>
      <c r="MQ119" s="561">
        <v>366788</v>
      </c>
      <c r="MR119" s="561">
        <v>42494</v>
      </c>
      <c r="MS119" s="561">
        <v>156204</v>
      </c>
      <c r="MT119" s="561">
        <v>318513</v>
      </c>
      <c r="MU119" s="561">
        <v>37074</v>
      </c>
      <c r="MV119" s="561">
        <v>10871</v>
      </c>
      <c r="MW119" s="561">
        <v>8781</v>
      </c>
      <c r="MX119" s="561">
        <v>39790</v>
      </c>
      <c r="MY119" s="561">
        <v>2910</v>
      </c>
      <c r="MZ119" s="561">
        <v>0</v>
      </c>
      <c r="NA119" s="561">
        <v>0</v>
      </c>
      <c r="NB119" s="561">
        <v>14443</v>
      </c>
      <c r="NC119" s="561">
        <v>0</v>
      </c>
      <c r="ND119" s="561">
        <v>997868</v>
      </c>
      <c r="NE119" s="561">
        <v>0</v>
      </c>
      <c r="NF119" s="561">
        <v>0</v>
      </c>
      <c r="NG119" s="561">
        <v>0</v>
      </c>
      <c r="NH119" s="561">
        <v>0</v>
      </c>
      <c r="NI119" s="561">
        <v>0</v>
      </c>
      <c r="NJ119" s="561">
        <v>0</v>
      </c>
      <c r="NK119" s="561">
        <v>0</v>
      </c>
      <c r="NL119" s="561">
        <v>0</v>
      </c>
      <c r="NM119" s="561">
        <v>0</v>
      </c>
      <c r="NN119" s="561">
        <v>0</v>
      </c>
      <c r="NO119" s="561">
        <v>0</v>
      </c>
      <c r="NP119" s="561">
        <v>0</v>
      </c>
      <c r="NQ119" s="561">
        <v>0</v>
      </c>
      <c r="NR119" s="561">
        <v>0</v>
      </c>
      <c r="NS119" s="561">
        <v>0</v>
      </c>
      <c r="NT119" s="561">
        <v>0</v>
      </c>
      <c r="NU119" s="561">
        <v>0</v>
      </c>
      <c r="NV119" s="561">
        <v>0</v>
      </c>
      <c r="NW119" s="561">
        <v>0</v>
      </c>
      <c r="NX119" s="561">
        <v>0</v>
      </c>
      <c r="NY119" s="561">
        <v>0</v>
      </c>
      <c r="NZ119" s="561">
        <v>0</v>
      </c>
      <c r="OA119" s="561">
        <v>0</v>
      </c>
      <c r="OB119" s="561">
        <v>0</v>
      </c>
      <c r="OC119" s="561">
        <v>0</v>
      </c>
      <c r="OD119" s="561">
        <v>0</v>
      </c>
      <c r="OE119" s="561">
        <v>0</v>
      </c>
      <c r="OF119" s="561">
        <v>0</v>
      </c>
      <c r="OG119" s="561">
        <v>0</v>
      </c>
      <c r="OH119" s="561">
        <v>0</v>
      </c>
      <c r="OI119" s="561">
        <v>0</v>
      </c>
      <c r="OJ119" s="561">
        <v>0</v>
      </c>
      <c r="OK119" s="561">
        <v>0</v>
      </c>
      <c r="OL119" s="561">
        <v>0</v>
      </c>
      <c r="OM119" s="561">
        <v>0</v>
      </c>
      <c r="ON119" s="561">
        <v>-489</v>
      </c>
      <c r="OO119" s="561">
        <v>0</v>
      </c>
      <c r="OP119" s="561">
        <v>67</v>
      </c>
      <c r="OQ119" s="561">
        <v>0</v>
      </c>
      <c r="OR119" s="561">
        <v>0</v>
      </c>
      <c r="OS119" s="561">
        <v>0</v>
      </c>
      <c r="OT119" s="561">
        <v>0</v>
      </c>
      <c r="OU119" s="561">
        <v>0</v>
      </c>
      <c r="OV119" s="561">
        <v>-6</v>
      </c>
      <c r="OW119" s="561">
        <v>0</v>
      </c>
      <c r="OX119" s="561">
        <v>-422</v>
      </c>
      <c r="OY119" s="561">
        <v>0</v>
      </c>
      <c r="OZ119" s="561">
        <v>0</v>
      </c>
      <c r="PA119" s="561">
        <v>0</v>
      </c>
      <c r="PB119" s="561">
        <v>0</v>
      </c>
      <c r="PC119" s="561">
        <v>0</v>
      </c>
      <c r="PD119" s="561">
        <v>0</v>
      </c>
      <c r="PE119" s="561">
        <v>0</v>
      </c>
      <c r="PF119" s="561">
        <v>0</v>
      </c>
      <c r="PG119" s="561">
        <v>0</v>
      </c>
      <c r="PH119" s="561">
        <v>0</v>
      </c>
      <c r="PI119" s="561">
        <v>0</v>
      </c>
      <c r="PJ119" s="561">
        <v>0</v>
      </c>
    </row>
    <row r="120" spans="1:426" ht="14" x14ac:dyDescent="0.3">
      <c r="A120" t="s">
        <v>2792</v>
      </c>
      <c r="B120" t="s">
        <v>2793</v>
      </c>
      <c r="C120" t="s">
        <v>4600</v>
      </c>
      <c r="E120" t="s">
        <v>2466</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561">
        <v>0</v>
      </c>
      <c r="BI120" s="561">
        <v>0</v>
      </c>
      <c r="BJ120" s="561">
        <v>0</v>
      </c>
      <c r="BK120" s="561">
        <v>0</v>
      </c>
      <c r="BL120" s="561">
        <v>0</v>
      </c>
      <c r="BM120" s="561">
        <v>0</v>
      </c>
      <c r="BN120" s="561">
        <v>0</v>
      </c>
      <c r="BO120" s="561">
        <v>0</v>
      </c>
      <c r="BP120" s="561">
        <v>0</v>
      </c>
      <c r="BQ120" s="561">
        <v>0</v>
      </c>
      <c r="BR120" s="561">
        <v>0</v>
      </c>
      <c r="BS120" s="561">
        <v>0</v>
      </c>
      <c r="BT120" s="561">
        <v>0</v>
      </c>
      <c r="BU120" s="561">
        <v>0</v>
      </c>
      <c r="BV120" s="561">
        <v>0</v>
      </c>
      <c r="BW120" s="561">
        <v>0</v>
      </c>
      <c r="BX120" s="561">
        <v>0</v>
      </c>
      <c r="BY120" s="561">
        <v>0</v>
      </c>
      <c r="BZ120" s="561">
        <v>0</v>
      </c>
      <c r="CA120" s="561">
        <v>0</v>
      </c>
      <c r="CB120" s="561">
        <v>0</v>
      </c>
      <c r="CC120" s="561">
        <v>0</v>
      </c>
      <c r="CD120" s="561">
        <v>0</v>
      </c>
      <c r="CE120" s="561">
        <v>0</v>
      </c>
      <c r="CF120" s="561">
        <v>0</v>
      </c>
      <c r="CG120" s="561">
        <v>0</v>
      </c>
      <c r="CH120" s="561">
        <v>0</v>
      </c>
      <c r="CI120" s="561">
        <v>0</v>
      </c>
      <c r="CJ120" s="561">
        <v>0</v>
      </c>
      <c r="CK120" s="561">
        <v>0</v>
      </c>
      <c r="CL120" s="561">
        <v>0</v>
      </c>
      <c r="CM120" s="561">
        <v>0</v>
      </c>
      <c r="CN120" s="561">
        <v>0</v>
      </c>
      <c r="CO120" s="561">
        <v>0</v>
      </c>
      <c r="CP120" s="561">
        <v>0</v>
      </c>
      <c r="CQ120" s="561">
        <v>0</v>
      </c>
      <c r="CR120" s="561">
        <v>0</v>
      </c>
      <c r="CS120" s="561">
        <v>0</v>
      </c>
      <c r="CT120" s="561">
        <v>0</v>
      </c>
      <c r="CU120" s="561">
        <v>0</v>
      </c>
      <c r="CV120" s="561">
        <v>0</v>
      </c>
      <c r="CW120" s="561">
        <v>0</v>
      </c>
      <c r="CX120" s="561">
        <v>0</v>
      </c>
      <c r="CY120" s="561">
        <v>0</v>
      </c>
      <c r="CZ120" s="561">
        <v>0</v>
      </c>
      <c r="DA120" s="561">
        <v>0</v>
      </c>
      <c r="DB120" s="561">
        <v>0</v>
      </c>
      <c r="DC120" s="561">
        <v>0</v>
      </c>
      <c r="DD120" s="561">
        <v>0</v>
      </c>
      <c r="DE120" s="561">
        <v>0</v>
      </c>
      <c r="DF120" s="561">
        <v>0</v>
      </c>
      <c r="DG120" s="561">
        <v>0</v>
      </c>
      <c r="DH120" s="561">
        <v>0</v>
      </c>
      <c r="DI120" s="561">
        <v>0</v>
      </c>
      <c r="DJ120" s="561">
        <v>0</v>
      </c>
      <c r="DK120" s="561">
        <v>0</v>
      </c>
      <c r="DL120" s="561">
        <v>0</v>
      </c>
      <c r="DM120" s="561">
        <v>0</v>
      </c>
      <c r="DN120" s="561">
        <v>0</v>
      </c>
      <c r="DO120" s="561">
        <v>0</v>
      </c>
      <c r="DP120" s="561">
        <v>0</v>
      </c>
      <c r="DQ120" s="561">
        <v>0</v>
      </c>
      <c r="DR120" s="561">
        <v>0</v>
      </c>
      <c r="DS120" s="561">
        <v>0</v>
      </c>
      <c r="DT120" s="561">
        <v>0</v>
      </c>
      <c r="DU120" s="561">
        <v>0</v>
      </c>
      <c r="DV120" s="561">
        <v>0</v>
      </c>
      <c r="DW120" s="561">
        <v>0</v>
      </c>
      <c r="DX120" s="561">
        <v>0</v>
      </c>
      <c r="DY120" s="561">
        <v>0</v>
      </c>
      <c r="DZ120" s="561">
        <v>0</v>
      </c>
      <c r="EA120" s="561">
        <v>0</v>
      </c>
      <c r="EB120" s="561">
        <v>0</v>
      </c>
      <c r="EC120" s="561">
        <v>0</v>
      </c>
      <c r="ED120" s="561">
        <v>0</v>
      </c>
      <c r="EE120" s="561">
        <v>0</v>
      </c>
      <c r="EF120" s="561">
        <v>0</v>
      </c>
      <c r="EG120" s="561">
        <v>0</v>
      </c>
      <c r="EH120" s="561">
        <v>0</v>
      </c>
      <c r="EI120" s="561">
        <v>0</v>
      </c>
      <c r="EJ120" s="561">
        <v>0</v>
      </c>
      <c r="EK120" s="561">
        <v>0</v>
      </c>
      <c r="EL120" s="561">
        <v>0</v>
      </c>
      <c r="EM120" s="561">
        <v>0</v>
      </c>
      <c r="EN120" s="561">
        <v>0</v>
      </c>
      <c r="EO120" s="561">
        <v>0</v>
      </c>
      <c r="EP120" s="561">
        <v>0</v>
      </c>
      <c r="EQ120" s="561">
        <v>0</v>
      </c>
      <c r="ER120" s="561">
        <v>0</v>
      </c>
      <c r="ES120" s="561" t="s">
        <v>4565</v>
      </c>
      <c r="ET120" s="561">
        <v>0</v>
      </c>
      <c r="EU120" s="561">
        <v>0</v>
      </c>
      <c r="EV120" s="561">
        <v>0</v>
      </c>
      <c r="EW120" s="561">
        <v>0</v>
      </c>
      <c r="EX120" s="561">
        <v>0</v>
      </c>
      <c r="EY120" s="561">
        <v>0</v>
      </c>
      <c r="EZ120" s="561">
        <v>0</v>
      </c>
      <c r="FA120" s="561">
        <v>0</v>
      </c>
      <c r="FB120" s="561">
        <v>0</v>
      </c>
      <c r="FC120" s="561">
        <v>0</v>
      </c>
      <c r="FD120" s="561">
        <v>0</v>
      </c>
      <c r="FE120" s="561">
        <v>0</v>
      </c>
      <c r="FF120" s="561">
        <v>0</v>
      </c>
      <c r="FG120" s="561">
        <v>0</v>
      </c>
      <c r="FH120" s="561">
        <v>0</v>
      </c>
      <c r="FI120" s="561">
        <v>0</v>
      </c>
      <c r="FJ120" s="561">
        <v>0</v>
      </c>
      <c r="FK120" s="561">
        <v>0</v>
      </c>
      <c r="FL120" s="561">
        <v>0</v>
      </c>
      <c r="FM120" s="561">
        <v>0</v>
      </c>
      <c r="FN120" s="561">
        <v>0</v>
      </c>
      <c r="FO120" s="561">
        <v>0</v>
      </c>
      <c r="FP120" s="561">
        <v>0</v>
      </c>
      <c r="FQ120" s="561">
        <v>0</v>
      </c>
      <c r="FR120" s="561">
        <v>0</v>
      </c>
      <c r="FS120" s="561">
        <v>0</v>
      </c>
      <c r="FT120" s="561">
        <v>0</v>
      </c>
      <c r="FU120" s="561">
        <v>0</v>
      </c>
      <c r="FV120" s="561">
        <v>0</v>
      </c>
      <c r="FW120" s="561">
        <v>0</v>
      </c>
      <c r="FX120" s="561">
        <v>0</v>
      </c>
      <c r="FY120" s="561">
        <v>0</v>
      </c>
      <c r="FZ120" s="561">
        <v>0</v>
      </c>
      <c r="GA120" s="561">
        <v>0</v>
      </c>
      <c r="GB120" s="561">
        <v>0</v>
      </c>
      <c r="GC120" s="561">
        <v>0</v>
      </c>
      <c r="GD120" s="561">
        <v>0</v>
      </c>
      <c r="GE120" s="561">
        <v>0</v>
      </c>
      <c r="GF120" s="561">
        <v>0</v>
      </c>
      <c r="GG120" s="561">
        <v>0</v>
      </c>
      <c r="GH120" s="561">
        <v>0</v>
      </c>
      <c r="GI120" s="561">
        <v>0</v>
      </c>
      <c r="GJ120" s="561">
        <v>0</v>
      </c>
      <c r="GK120" s="561">
        <v>0</v>
      </c>
      <c r="GL120" s="561">
        <v>0</v>
      </c>
      <c r="GM120" s="561">
        <v>0</v>
      </c>
      <c r="GN120" s="561">
        <v>0</v>
      </c>
      <c r="GO120" s="561">
        <v>0</v>
      </c>
      <c r="GP120" s="561">
        <v>0</v>
      </c>
      <c r="GQ120" s="561">
        <v>0</v>
      </c>
      <c r="GR120" s="561">
        <v>0</v>
      </c>
      <c r="GS120" s="561">
        <v>0</v>
      </c>
      <c r="GT120" s="561">
        <v>0</v>
      </c>
      <c r="GU120" s="561">
        <v>0</v>
      </c>
      <c r="GV120" s="561">
        <v>0</v>
      </c>
      <c r="GW120" s="561">
        <v>0</v>
      </c>
      <c r="GX120" s="561">
        <v>0</v>
      </c>
      <c r="GY120" s="561">
        <v>0</v>
      </c>
      <c r="GZ120" s="561">
        <v>0</v>
      </c>
      <c r="HA120" s="561">
        <v>0</v>
      </c>
      <c r="HB120" s="561">
        <v>0</v>
      </c>
      <c r="HC120" s="561">
        <v>0</v>
      </c>
      <c r="HD120" s="561">
        <v>0</v>
      </c>
      <c r="HE120" s="561">
        <v>0</v>
      </c>
      <c r="HF120" s="561">
        <v>0</v>
      </c>
      <c r="HG120" s="561">
        <v>0</v>
      </c>
      <c r="HH120" s="561">
        <v>0</v>
      </c>
      <c r="HI120" s="561">
        <v>0</v>
      </c>
      <c r="HJ120" s="561">
        <v>3756</v>
      </c>
      <c r="HK120" s="561">
        <v>43650</v>
      </c>
      <c r="HL120" s="561">
        <v>0</v>
      </c>
      <c r="HM120" s="561">
        <v>47406</v>
      </c>
      <c r="HN120" s="561">
        <v>292</v>
      </c>
      <c r="HO120" s="561">
        <v>1232</v>
      </c>
      <c r="HP120" s="561">
        <v>0</v>
      </c>
      <c r="HQ120" s="561">
        <v>0</v>
      </c>
      <c r="HR120" s="561">
        <v>0</v>
      </c>
      <c r="HS120" s="561">
        <v>0</v>
      </c>
      <c r="HT120" s="561">
        <v>0</v>
      </c>
      <c r="HU120" s="561">
        <v>0</v>
      </c>
      <c r="HV120" s="561">
        <v>0</v>
      </c>
      <c r="HW120" s="561">
        <v>0</v>
      </c>
      <c r="HX120" s="561">
        <v>0</v>
      </c>
      <c r="HY120" s="561">
        <v>0</v>
      </c>
      <c r="HZ120" s="561">
        <v>0</v>
      </c>
      <c r="IA120" s="561">
        <v>0</v>
      </c>
      <c r="IB120" s="561">
        <v>0</v>
      </c>
      <c r="IC120" s="561">
        <v>0</v>
      </c>
      <c r="ID120" s="561">
        <v>0</v>
      </c>
      <c r="IE120" s="561">
        <v>0</v>
      </c>
      <c r="IF120" s="561">
        <v>0</v>
      </c>
      <c r="IG120" s="561">
        <v>0</v>
      </c>
      <c r="IH120" s="561">
        <v>0</v>
      </c>
      <c r="II120" s="561">
        <v>1232</v>
      </c>
      <c r="IJ120" s="561">
        <v>0</v>
      </c>
      <c r="IK120" s="561">
        <v>0</v>
      </c>
      <c r="IL120" s="561">
        <v>0</v>
      </c>
      <c r="IM120" s="561">
        <v>0</v>
      </c>
      <c r="IN120" s="561">
        <v>0</v>
      </c>
      <c r="IO120" s="561">
        <v>0</v>
      </c>
      <c r="IP120" s="561">
        <v>0</v>
      </c>
      <c r="IQ120" s="561">
        <v>0</v>
      </c>
      <c r="IR120" s="561">
        <v>0</v>
      </c>
      <c r="IS120" s="561">
        <v>0</v>
      </c>
      <c r="IT120" s="561">
        <v>0</v>
      </c>
      <c r="IU120" s="561">
        <v>0</v>
      </c>
      <c r="IV120" s="561">
        <v>0</v>
      </c>
      <c r="IW120" s="561">
        <v>0</v>
      </c>
      <c r="IX120" s="561">
        <v>0</v>
      </c>
      <c r="IY120" s="561">
        <v>0</v>
      </c>
      <c r="IZ120" s="561">
        <v>0</v>
      </c>
      <c r="JA120" s="561">
        <v>0</v>
      </c>
      <c r="JB120" s="561">
        <v>47406</v>
      </c>
      <c r="JC120" s="561">
        <v>1232</v>
      </c>
      <c r="JD120" s="561">
        <v>0</v>
      </c>
      <c r="JE120" s="561">
        <v>48638</v>
      </c>
      <c r="JF120" s="561">
        <v>0</v>
      </c>
      <c r="JG120" s="561">
        <v>0</v>
      </c>
      <c r="JH120" s="561">
        <v>0</v>
      </c>
      <c r="JI120" s="561">
        <v>0</v>
      </c>
      <c r="JJ120" s="561">
        <v>0</v>
      </c>
      <c r="JK120" s="561">
        <v>0</v>
      </c>
      <c r="JL120" s="561">
        <v>0</v>
      </c>
      <c r="JM120" s="561">
        <v>0</v>
      </c>
      <c r="JN120" s="561">
        <v>0</v>
      </c>
      <c r="JO120" s="561">
        <v>0</v>
      </c>
      <c r="JP120" s="561">
        <v>0</v>
      </c>
      <c r="JQ120" s="561">
        <v>0</v>
      </c>
      <c r="JR120" s="561">
        <v>0</v>
      </c>
      <c r="JS120" s="561">
        <v>0</v>
      </c>
      <c r="JT120" s="561">
        <v>-42</v>
      </c>
      <c r="JU120" s="561">
        <v>0</v>
      </c>
      <c r="JV120" s="561">
        <v>48596</v>
      </c>
      <c r="JW120" s="561">
        <v>0</v>
      </c>
      <c r="JX120" s="561">
        <v>5553</v>
      </c>
      <c r="JY120" s="561">
        <v>0</v>
      </c>
      <c r="JZ120" s="561">
        <v>0</v>
      </c>
      <c r="KA120" s="561">
        <v>0</v>
      </c>
      <c r="KB120" s="561">
        <v>0</v>
      </c>
      <c r="KC120" s="561">
        <v>425</v>
      </c>
      <c r="KD120" s="561">
        <v>0</v>
      </c>
      <c r="KE120" s="561">
        <v>433</v>
      </c>
      <c r="KF120" s="561">
        <v>0</v>
      </c>
      <c r="KG120" s="561">
        <v>55007</v>
      </c>
      <c r="KH120" s="561">
        <v>-787</v>
      </c>
      <c r="KI120" s="561">
        <v>0</v>
      </c>
      <c r="KJ120" s="561">
        <v>0</v>
      </c>
      <c r="KK120" s="561">
        <v>0</v>
      </c>
      <c r="KL120" s="561">
        <v>0</v>
      </c>
      <c r="KM120" s="561">
        <v>0</v>
      </c>
      <c r="KN120" s="561">
        <v>0</v>
      </c>
      <c r="KO120" s="561">
        <v>0</v>
      </c>
      <c r="KP120" s="561">
        <v>0</v>
      </c>
      <c r="KQ120" s="561">
        <v>0</v>
      </c>
      <c r="KR120" s="561">
        <v>54220</v>
      </c>
      <c r="KS120" s="561">
        <v>0</v>
      </c>
      <c r="KT120" s="561">
        <v>-5627</v>
      </c>
      <c r="KU120" s="561">
        <v>48593</v>
      </c>
      <c r="KV120" s="561">
        <v>0</v>
      </c>
      <c r="KW120" s="561">
        <v>0</v>
      </c>
      <c r="KX120" s="561">
        <v>0</v>
      </c>
      <c r="KY120" s="561">
        <v>0</v>
      </c>
      <c r="KZ120" s="561">
        <v>-2022</v>
      </c>
      <c r="LA120" s="561">
        <v>292</v>
      </c>
      <c r="LB120" s="561">
        <v>-5639</v>
      </c>
      <c r="LC120" s="561">
        <v>0</v>
      </c>
      <c r="LD120" s="561">
        <v>-8560</v>
      </c>
      <c r="LE120" s="561">
        <v>-181</v>
      </c>
      <c r="LF120" s="561">
        <v>0</v>
      </c>
      <c r="LG120" s="561">
        <v>32483</v>
      </c>
      <c r="LH120" s="561">
        <v>0</v>
      </c>
      <c r="LI120" s="561">
        <v>0</v>
      </c>
      <c r="LJ120" s="561">
        <v>0</v>
      </c>
      <c r="LK120" s="561">
        <v>0</v>
      </c>
      <c r="LL120" s="561">
        <v>10808</v>
      </c>
      <c r="LM120" s="561">
        <v>2500</v>
      </c>
      <c r="LN120" s="561">
        <v>0</v>
      </c>
      <c r="LO120" s="561">
        <v>0</v>
      </c>
      <c r="LP120" s="561">
        <v>0</v>
      </c>
      <c r="LQ120" s="561">
        <v>0</v>
      </c>
      <c r="LR120" s="561">
        <v>8786</v>
      </c>
      <c r="LS120" s="561">
        <v>2792</v>
      </c>
      <c r="LT120" s="561">
        <v>0</v>
      </c>
      <c r="LU120" s="561">
        <v>3083</v>
      </c>
      <c r="LV120" s="561">
        <v>2500</v>
      </c>
      <c r="LW120" s="561">
        <v>-34</v>
      </c>
      <c r="LX120" s="561">
        <v>-376</v>
      </c>
      <c r="LY120" s="561">
        <v>0</v>
      </c>
      <c r="LZ120" s="561">
        <v>5173</v>
      </c>
      <c r="MA120" s="561">
        <v>0</v>
      </c>
      <c r="MB120" s="561">
        <v>0</v>
      </c>
      <c r="MC120" s="561">
        <v>0</v>
      </c>
      <c r="MD120" s="561">
        <v>0</v>
      </c>
      <c r="ME120" s="561">
        <v>0</v>
      </c>
      <c r="MF120" s="561">
        <v>0</v>
      </c>
      <c r="MG120" s="561">
        <v>0</v>
      </c>
      <c r="MH120" s="561">
        <v>0</v>
      </c>
      <c r="MI120" s="561">
        <v>0</v>
      </c>
      <c r="MJ120" s="561">
        <v>0</v>
      </c>
      <c r="MK120" s="561">
        <v>0</v>
      </c>
      <c r="ML120" s="561">
        <v>0</v>
      </c>
      <c r="MM120" s="561">
        <v>7834</v>
      </c>
      <c r="MN120" s="561">
        <v>258</v>
      </c>
      <c r="MO120" s="561">
        <v>694</v>
      </c>
      <c r="MP120" s="561">
        <v>0</v>
      </c>
      <c r="MQ120" s="561">
        <v>0</v>
      </c>
      <c r="MR120" s="561">
        <v>0</v>
      </c>
      <c r="MS120" s="561">
        <v>0</v>
      </c>
      <c r="MT120" s="561">
        <v>0</v>
      </c>
      <c r="MU120" s="561">
        <v>0</v>
      </c>
      <c r="MV120" s="561">
        <v>0</v>
      </c>
      <c r="MW120" s="561">
        <v>0</v>
      </c>
      <c r="MX120" s="561">
        <v>0</v>
      </c>
      <c r="MY120" s="561">
        <v>0</v>
      </c>
      <c r="MZ120" s="561">
        <v>0</v>
      </c>
      <c r="NA120" s="561">
        <v>47406</v>
      </c>
      <c r="NB120" s="561">
        <v>1232</v>
      </c>
      <c r="NC120" s="561">
        <v>0</v>
      </c>
      <c r="ND120" s="561">
        <v>48638</v>
      </c>
      <c r="NE120" s="561">
        <v>0</v>
      </c>
      <c r="NF120" s="561">
        <v>0</v>
      </c>
      <c r="NG120" s="561">
        <v>0</v>
      </c>
      <c r="NH120" s="561">
        <v>0</v>
      </c>
      <c r="NI120" s="561">
        <v>0</v>
      </c>
      <c r="NJ120" s="561">
        <v>0</v>
      </c>
      <c r="NK120" s="561">
        <v>0</v>
      </c>
      <c r="NL120" s="561">
        <v>0</v>
      </c>
      <c r="NM120" s="561">
        <v>0</v>
      </c>
      <c r="NN120" s="561">
        <v>0</v>
      </c>
      <c r="NO120" s="561">
        <v>0</v>
      </c>
      <c r="NP120" s="561">
        <v>0</v>
      </c>
      <c r="NQ120" s="561">
        <v>0</v>
      </c>
      <c r="NR120" s="561">
        <v>0</v>
      </c>
      <c r="NS120" s="561">
        <v>0</v>
      </c>
      <c r="NT120" s="561">
        <v>0</v>
      </c>
      <c r="NU120" s="561">
        <v>0</v>
      </c>
      <c r="NV120" s="561">
        <v>0</v>
      </c>
      <c r="NW120" s="561">
        <v>0</v>
      </c>
      <c r="NX120" s="561">
        <v>0</v>
      </c>
      <c r="NY120" s="561">
        <v>0</v>
      </c>
      <c r="NZ120" s="561">
        <v>0</v>
      </c>
      <c r="OA120" s="561">
        <v>0</v>
      </c>
      <c r="OB120" s="561">
        <v>0</v>
      </c>
      <c r="OC120" s="561">
        <v>0</v>
      </c>
      <c r="OD120" s="561">
        <v>0</v>
      </c>
      <c r="OE120" s="561">
        <v>0</v>
      </c>
      <c r="OF120" s="561">
        <v>0</v>
      </c>
      <c r="OG120" s="561">
        <v>0</v>
      </c>
      <c r="OH120" s="561">
        <v>0</v>
      </c>
      <c r="OI120" s="561">
        <v>0</v>
      </c>
      <c r="OJ120" s="561">
        <v>0</v>
      </c>
      <c r="OK120" s="561">
        <v>0</v>
      </c>
      <c r="OL120" s="561">
        <v>0</v>
      </c>
      <c r="OM120" s="561">
        <v>0</v>
      </c>
      <c r="ON120" s="561">
        <v>0</v>
      </c>
      <c r="OO120" s="561">
        <v>0</v>
      </c>
      <c r="OP120" s="561">
        <v>0</v>
      </c>
      <c r="OQ120" s="561">
        <v>0</v>
      </c>
      <c r="OR120" s="561">
        <v>0</v>
      </c>
      <c r="OS120" s="561">
        <v>0</v>
      </c>
      <c r="OT120" s="561">
        <v>0</v>
      </c>
      <c r="OU120" s="561">
        <v>0</v>
      </c>
      <c r="OV120" s="561">
        <v>0</v>
      </c>
      <c r="OW120" s="561">
        <v>0</v>
      </c>
      <c r="OX120" s="561">
        <v>0</v>
      </c>
      <c r="OY120" s="561">
        <v>0</v>
      </c>
      <c r="OZ120" s="561">
        <v>0</v>
      </c>
      <c r="PA120" s="561">
        <v>0</v>
      </c>
      <c r="PB120" s="561">
        <v>0</v>
      </c>
      <c r="PC120" s="561">
        <v>0</v>
      </c>
      <c r="PD120" s="561">
        <v>0</v>
      </c>
      <c r="PE120" s="561">
        <v>0</v>
      </c>
      <c r="PF120" s="561">
        <v>0</v>
      </c>
      <c r="PG120" s="561">
        <v>0</v>
      </c>
      <c r="PH120" s="561">
        <v>0</v>
      </c>
      <c r="PI120" s="561">
        <v>0</v>
      </c>
      <c r="PJ120" s="561">
        <v>0</v>
      </c>
    </row>
    <row r="121" spans="1:426" ht="14" x14ac:dyDescent="0.3">
      <c r="A121" t="s">
        <v>2795</v>
      </c>
      <c r="B121" t="s">
        <v>2796</v>
      </c>
      <c r="C121" t="s">
        <v>2797</v>
      </c>
      <c r="E121" t="s">
        <v>384</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7</v>
      </c>
      <c r="U121" s="561">
        <v>0</v>
      </c>
      <c r="V121" s="561">
        <v>35</v>
      </c>
      <c r="W121" s="561">
        <v>0</v>
      </c>
      <c r="X121" s="561">
        <v>0</v>
      </c>
      <c r="Y121" s="561">
        <v>0</v>
      </c>
      <c r="Z121" s="561">
        <v>0</v>
      </c>
      <c r="AA121" s="561">
        <v>0</v>
      </c>
      <c r="AB121" s="561">
        <v>-328</v>
      </c>
      <c r="AC121" s="561">
        <v>0</v>
      </c>
      <c r="AD121" s="561">
        <v>0</v>
      </c>
      <c r="AE121" s="561">
        <v>0</v>
      </c>
      <c r="AF121" s="561">
        <v>0</v>
      </c>
      <c r="AG121" s="561">
        <v>0</v>
      </c>
      <c r="AH121" s="561">
        <v>0</v>
      </c>
      <c r="AI121" s="561">
        <v>0</v>
      </c>
      <c r="AJ121" s="561">
        <v>-286</v>
      </c>
      <c r="AK121" s="561">
        <v>0</v>
      </c>
      <c r="AL121" s="561">
        <v>0</v>
      </c>
      <c r="AM121" s="561">
        <v>0</v>
      </c>
      <c r="AN121" s="561">
        <v>0</v>
      </c>
      <c r="AO121" s="561">
        <v>0</v>
      </c>
      <c r="AP121" s="561">
        <v>0</v>
      </c>
      <c r="AQ121" s="561">
        <v>0</v>
      </c>
      <c r="AR121" s="561">
        <v>0</v>
      </c>
      <c r="AS121" s="561">
        <v>0</v>
      </c>
      <c r="AT121" s="561">
        <v>0</v>
      </c>
      <c r="AU121" s="561">
        <v>0</v>
      </c>
      <c r="AV121" s="561">
        <v>0</v>
      </c>
      <c r="AW121" s="561">
        <v>0</v>
      </c>
      <c r="AX121" s="561">
        <v>0</v>
      </c>
      <c r="AY121" s="561">
        <v>0</v>
      </c>
      <c r="AZ121" s="561">
        <v>0</v>
      </c>
      <c r="BA121" s="561">
        <v>0</v>
      </c>
      <c r="BB121" s="561">
        <v>0</v>
      </c>
      <c r="BC121" s="561">
        <v>0</v>
      </c>
      <c r="BD121" s="561">
        <v>0</v>
      </c>
      <c r="BE121" s="561">
        <v>0</v>
      </c>
      <c r="BF121" s="561">
        <v>0</v>
      </c>
      <c r="BG121" s="561">
        <v>0</v>
      </c>
      <c r="BH121" s="561">
        <v>0</v>
      </c>
      <c r="BI121" s="561">
        <v>0</v>
      </c>
      <c r="BJ121" s="561">
        <v>0</v>
      </c>
      <c r="BK121" s="561">
        <v>0</v>
      </c>
      <c r="BL121" s="561">
        <v>0</v>
      </c>
      <c r="BM121" s="561">
        <v>0</v>
      </c>
      <c r="BN121" s="561">
        <v>0</v>
      </c>
      <c r="BO121" s="561">
        <v>0</v>
      </c>
      <c r="BP121" s="561">
        <v>0</v>
      </c>
      <c r="BQ121" s="561">
        <v>0</v>
      </c>
      <c r="BR121" s="561">
        <v>0</v>
      </c>
      <c r="BS121" s="561">
        <v>0</v>
      </c>
      <c r="BT121" s="561">
        <v>0</v>
      </c>
      <c r="BU121" s="561">
        <v>0</v>
      </c>
      <c r="BV121" s="561">
        <v>0</v>
      </c>
      <c r="BW121" s="561">
        <v>0</v>
      </c>
      <c r="BX121" s="561">
        <v>0</v>
      </c>
      <c r="BY121" s="561">
        <v>0</v>
      </c>
      <c r="BZ121" s="561">
        <v>0</v>
      </c>
      <c r="CA121" s="561">
        <v>0</v>
      </c>
      <c r="CB121" s="561">
        <v>0</v>
      </c>
      <c r="CC121" s="561">
        <v>0</v>
      </c>
      <c r="CD121" s="561">
        <v>0</v>
      </c>
      <c r="CE121" s="561">
        <v>0</v>
      </c>
      <c r="CF121" s="561">
        <v>0</v>
      </c>
      <c r="CG121" s="561">
        <v>0</v>
      </c>
      <c r="CH121" s="561">
        <v>0</v>
      </c>
      <c r="CI121" s="561">
        <v>0</v>
      </c>
      <c r="CJ121" s="561">
        <v>0</v>
      </c>
      <c r="CK121" s="561">
        <v>0</v>
      </c>
      <c r="CL121" s="561">
        <v>0</v>
      </c>
      <c r="CM121" s="561">
        <v>0</v>
      </c>
      <c r="CN121" s="561">
        <v>0</v>
      </c>
      <c r="CO121" s="561">
        <v>0</v>
      </c>
      <c r="CP121" s="561">
        <v>0</v>
      </c>
      <c r="CQ121" s="561">
        <v>0</v>
      </c>
      <c r="CR121" s="561">
        <v>0</v>
      </c>
      <c r="CS121" s="561">
        <v>0</v>
      </c>
      <c r="CT121" s="561">
        <v>0</v>
      </c>
      <c r="CU121" s="561">
        <v>0</v>
      </c>
      <c r="CV121" s="561">
        <v>0</v>
      </c>
      <c r="CW121" s="561">
        <v>0</v>
      </c>
      <c r="CX121" s="561">
        <v>0</v>
      </c>
      <c r="CY121" s="561">
        <v>0</v>
      </c>
      <c r="CZ121" s="561">
        <v>0</v>
      </c>
      <c r="DA121" s="561">
        <v>0</v>
      </c>
      <c r="DB121" s="561">
        <v>0</v>
      </c>
      <c r="DC121" s="561">
        <v>0</v>
      </c>
      <c r="DD121" s="561">
        <v>0</v>
      </c>
      <c r="DE121" s="561">
        <v>0</v>
      </c>
      <c r="DF121" s="561">
        <v>0</v>
      </c>
      <c r="DG121" s="561">
        <v>0</v>
      </c>
      <c r="DH121" s="561">
        <v>-396</v>
      </c>
      <c r="DI121" s="561">
        <v>0</v>
      </c>
      <c r="DJ121" s="561">
        <v>97</v>
      </c>
      <c r="DK121" s="561">
        <v>0</v>
      </c>
      <c r="DL121" s="561">
        <v>0</v>
      </c>
      <c r="DM121" s="561">
        <v>0</v>
      </c>
      <c r="DN121" s="561">
        <v>0</v>
      </c>
      <c r="DO121" s="561">
        <v>464</v>
      </c>
      <c r="DP121" s="561">
        <v>0</v>
      </c>
      <c r="DQ121" s="561">
        <v>0</v>
      </c>
      <c r="DR121" s="561">
        <v>0</v>
      </c>
      <c r="DS121" s="561">
        <v>515</v>
      </c>
      <c r="DT121" s="561">
        <v>0</v>
      </c>
      <c r="DU121" s="561">
        <v>979</v>
      </c>
      <c r="DV121" s="561">
        <v>0</v>
      </c>
      <c r="DW121" s="561">
        <v>0</v>
      </c>
      <c r="DX121" s="561">
        <v>0</v>
      </c>
      <c r="DY121" s="561">
        <v>756</v>
      </c>
      <c r="DZ121" s="561">
        <v>0</v>
      </c>
      <c r="EA121" s="561">
        <v>448</v>
      </c>
      <c r="EB121" s="561">
        <v>82</v>
      </c>
      <c r="EC121" s="561">
        <v>1966</v>
      </c>
      <c r="ED121" s="561">
        <v>0</v>
      </c>
      <c r="EE121" s="561">
        <v>17710</v>
      </c>
      <c r="EF121" s="561">
        <v>303</v>
      </c>
      <c r="EG121" s="561">
        <v>1780</v>
      </c>
      <c r="EH121" s="561">
        <v>36</v>
      </c>
      <c r="EI121" s="561">
        <v>0</v>
      </c>
      <c r="EJ121" s="561">
        <v>185</v>
      </c>
      <c r="EK121" s="561">
        <v>0</v>
      </c>
      <c r="EL121" s="561">
        <v>0</v>
      </c>
      <c r="EM121" s="561">
        <v>0</v>
      </c>
      <c r="EN121" s="561">
        <v>0</v>
      </c>
      <c r="EO121" s="561">
        <v>11370</v>
      </c>
      <c r="EP121" s="561">
        <v>0</v>
      </c>
      <c r="EQ121" s="561">
        <v>0</v>
      </c>
      <c r="ER121" s="561">
        <v>4982</v>
      </c>
      <c r="ES121" s="561" t="s">
        <v>4565</v>
      </c>
      <c r="ET121" s="561">
        <v>0</v>
      </c>
      <c r="EU121" s="561">
        <v>2468</v>
      </c>
      <c r="EV121" s="561">
        <v>33</v>
      </c>
      <c r="EW121" s="561">
        <v>148</v>
      </c>
      <c r="EX121" s="561">
        <v>0</v>
      </c>
      <c r="EY121" s="561">
        <v>82</v>
      </c>
      <c r="EZ121" s="561">
        <v>931</v>
      </c>
      <c r="FA121" s="561">
        <v>1758</v>
      </c>
      <c r="FB121" s="561">
        <v>0</v>
      </c>
      <c r="FC121" s="561">
        <v>0</v>
      </c>
      <c r="FD121" s="561">
        <v>0</v>
      </c>
      <c r="FE121" s="561">
        <v>445.81</v>
      </c>
      <c r="FF121" s="561">
        <v>-531.72</v>
      </c>
      <c r="FG121" s="561">
        <v>0</v>
      </c>
      <c r="FH121" s="561">
        <v>-298</v>
      </c>
      <c r="FI121" s="561">
        <v>-46.06</v>
      </c>
      <c r="FJ121" s="561">
        <v>0</v>
      </c>
      <c r="FK121" s="561">
        <v>2329</v>
      </c>
      <c r="FL121" s="561">
        <v>0</v>
      </c>
      <c r="FM121" s="561">
        <v>470.32</v>
      </c>
      <c r="FN121" s="561">
        <v>0</v>
      </c>
      <c r="FO121" s="561">
        <v>2369.35</v>
      </c>
      <c r="FP121" s="561">
        <v>0</v>
      </c>
      <c r="FQ121" s="561">
        <v>-1100.04</v>
      </c>
      <c r="FR121" s="561">
        <v>0</v>
      </c>
      <c r="FS121" s="561">
        <v>0</v>
      </c>
      <c r="FT121" s="561">
        <v>0</v>
      </c>
      <c r="FU121" s="561">
        <v>15.4</v>
      </c>
      <c r="FV121" s="561">
        <v>53.07</v>
      </c>
      <c r="FW121" s="561">
        <v>0</v>
      </c>
      <c r="FX121" s="561">
        <v>0</v>
      </c>
      <c r="FY121" s="561">
        <v>0</v>
      </c>
      <c r="FZ121" s="561">
        <v>0</v>
      </c>
      <c r="GA121" s="561">
        <v>159.74</v>
      </c>
      <c r="GB121" s="561">
        <v>67.33</v>
      </c>
      <c r="GC121" s="561">
        <v>-75.81</v>
      </c>
      <c r="GD121" s="561">
        <v>-23</v>
      </c>
      <c r="GE121" s="561">
        <v>0</v>
      </c>
      <c r="GF121" s="561">
        <v>5</v>
      </c>
      <c r="GG121" s="561">
        <v>0</v>
      </c>
      <c r="GH121" s="561">
        <v>36.4</v>
      </c>
      <c r="GI121" s="561">
        <v>280.31</v>
      </c>
      <c r="GJ121" s="561">
        <v>24.53</v>
      </c>
      <c r="GK121" s="561">
        <v>-87</v>
      </c>
      <c r="GL121" s="561">
        <v>0</v>
      </c>
      <c r="GM121" s="561">
        <v>5034.74</v>
      </c>
      <c r="GN121" s="561">
        <v>0</v>
      </c>
      <c r="GO121" s="561">
        <v>0</v>
      </c>
      <c r="GP121" s="561">
        <v>-944</v>
      </c>
      <c r="GQ121" s="561">
        <v>0</v>
      </c>
      <c r="GR121" s="561">
        <v>0</v>
      </c>
      <c r="GS121" s="561">
        <v>3446.67</v>
      </c>
      <c r="GT121" s="561">
        <v>0</v>
      </c>
      <c r="GU121" s="561">
        <v>24.6</v>
      </c>
      <c r="GV121" s="561">
        <v>166.77</v>
      </c>
      <c r="GW121" s="561">
        <v>0</v>
      </c>
      <c r="GX121" s="561">
        <v>195.66</v>
      </c>
      <c r="GY121" s="561">
        <v>2</v>
      </c>
      <c r="GZ121" s="561">
        <v>627.08000000000004</v>
      </c>
      <c r="HA121" s="561">
        <v>0</v>
      </c>
      <c r="HB121" s="561">
        <v>96</v>
      </c>
      <c r="HC121" s="561">
        <v>7</v>
      </c>
      <c r="HD121" s="561">
        <v>1119.1099999999999</v>
      </c>
      <c r="HE121" s="561">
        <v>16</v>
      </c>
      <c r="HF121" s="561">
        <v>6935.13</v>
      </c>
      <c r="HG121" s="561">
        <v>0</v>
      </c>
      <c r="HH121" s="561">
        <v>0</v>
      </c>
      <c r="HI121" s="561">
        <v>0</v>
      </c>
      <c r="HJ121" s="561">
        <v>0</v>
      </c>
      <c r="HK121" s="561">
        <v>0</v>
      </c>
      <c r="HL121" s="561">
        <v>0</v>
      </c>
      <c r="HM121" s="561">
        <v>0</v>
      </c>
      <c r="HN121" s="561">
        <v>0</v>
      </c>
      <c r="HO121" s="561">
        <v>-97.2</v>
      </c>
      <c r="HP121" s="561">
        <v>-217</v>
      </c>
      <c r="HQ121" s="561">
        <v>0</v>
      </c>
      <c r="HR121" s="561">
        <v>0</v>
      </c>
      <c r="HS121" s="561">
        <v>0</v>
      </c>
      <c r="HT121" s="561">
        <v>-137</v>
      </c>
      <c r="HU121" s="561">
        <v>0</v>
      </c>
      <c r="HV121" s="561">
        <v>0</v>
      </c>
      <c r="HW121" s="561">
        <v>225.2</v>
      </c>
      <c r="HX121" s="561">
        <v>86.18</v>
      </c>
      <c r="HY121" s="561">
        <v>112.26</v>
      </c>
      <c r="HZ121" s="561">
        <v>-36.61</v>
      </c>
      <c r="IA121" s="561">
        <v>0</v>
      </c>
      <c r="IB121" s="561">
        <v>208</v>
      </c>
      <c r="IC121" s="561">
        <v>0</v>
      </c>
      <c r="ID121" s="561">
        <v>0</v>
      </c>
      <c r="IE121" s="561">
        <v>290</v>
      </c>
      <c r="IF121" s="561">
        <v>0</v>
      </c>
      <c r="IG121" s="561">
        <v>0</v>
      </c>
      <c r="IH121" s="561">
        <v>7944.27</v>
      </c>
      <c r="II121" s="561">
        <v>8378.1</v>
      </c>
      <c r="IJ121" s="561">
        <v>449</v>
      </c>
      <c r="IK121" s="561">
        <v>15501</v>
      </c>
      <c r="IL121" s="561">
        <v>0</v>
      </c>
      <c r="IM121" s="561">
        <v>0</v>
      </c>
      <c r="IN121" s="561">
        <v>0</v>
      </c>
      <c r="IO121" s="561">
        <v>0</v>
      </c>
      <c r="IP121" s="561">
        <v>1</v>
      </c>
      <c r="IQ121" s="561">
        <v>0</v>
      </c>
      <c r="IR121" s="561">
        <v>0</v>
      </c>
      <c r="IS121" s="561">
        <v>-286</v>
      </c>
      <c r="IT121" s="561">
        <v>0</v>
      </c>
      <c r="IU121" s="561">
        <v>0</v>
      </c>
      <c r="IV121" s="561">
        <v>0</v>
      </c>
      <c r="IW121" s="561">
        <v>1966</v>
      </c>
      <c r="IX121" s="561">
        <v>2369.35</v>
      </c>
      <c r="IY121" s="561">
        <v>3446.67</v>
      </c>
      <c r="IZ121" s="561">
        <v>1119.1099999999999</v>
      </c>
      <c r="JA121" s="561">
        <v>0</v>
      </c>
      <c r="JB121" s="561">
        <v>0</v>
      </c>
      <c r="JC121" s="561">
        <v>8378.1</v>
      </c>
      <c r="JD121" s="561">
        <v>1</v>
      </c>
      <c r="JE121" s="561">
        <v>16994.23</v>
      </c>
      <c r="JF121" s="561">
        <v>23842</v>
      </c>
      <c r="JG121" s="561">
        <v>5608</v>
      </c>
      <c r="JH121" s="561">
        <v>6104</v>
      </c>
      <c r="JI121" s="561">
        <v>0</v>
      </c>
      <c r="JJ121" s="561">
        <v>0</v>
      </c>
      <c r="JK121" s="561">
        <v>0</v>
      </c>
      <c r="JL121" s="561">
        <v>0</v>
      </c>
      <c r="JM121" s="561">
        <v>0</v>
      </c>
      <c r="JN121" s="561">
        <v>0</v>
      </c>
      <c r="JO121" s="561">
        <v>0</v>
      </c>
      <c r="JP121" s="561">
        <v>-561</v>
      </c>
      <c r="JQ121" s="561">
        <v>0</v>
      </c>
      <c r="JR121" s="561">
        <v>0</v>
      </c>
      <c r="JS121" s="561">
        <v>0</v>
      </c>
      <c r="JT121" s="561">
        <v>0</v>
      </c>
      <c r="JU121" s="561">
        <v>0</v>
      </c>
      <c r="JV121" s="561">
        <v>51987.23</v>
      </c>
      <c r="JW121" s="561">
        <v>0</v>
      </c>
      <c r="JX121" s="561">
        <v>0</v>
      </c>
      <c r="JY121" s="561">
        <v>0</v>
      </c>
      <c r="JZ121" s="561">
        <v>-1710</v>
      </c>
      <c r="KA121" s="561">
        <v>-3000</v>
      </c>
      <c r="KB121" s="561">
        <v>0</v>
      </c>
      <c r="KC121" s="561">
        <v>1707</v>
      </c>
      <c r="KD121" s="561">
        <v>0</v>
      </c>
      <c r="KE121" s="561">
        <v>4877</v>
      </c>
      <c r="KF121" s="561">
        <v>0</v>
      </c>
      <c r="KG121" s="561">
        <v>53861.23</v>
      </c>
      <c r="KH121" s="561">
        <v>-2961</v>
      </c>
      <c r="KI121" s="561">
        <v>0</v>
      </c>
      <c r="KJ121" s="561">
        <v>0</v>
      </c>
      <c r="KK121" s="561">
        <v>0</v>
      </c>
      <c r="KL121" s="561">
        <v>-31423</v>
      </c>
      <c r="KM121" s="561">
        <v>0</v>
      </c>
      <c r="KN121" s="561">
        <v>-1</v>
      </c>
      <c r="KO121" s="561">
        <v>0</v>
      </c>
      <c r="KP121" s="561">
        <v>0</v>
      </c>
      <c r="KQ121" s="561">
        <v>0</v>
      </c>
      <c r="KR121" s="561">
        <v>19476.23</v>
      </c>
      <c r="KS121" s="561">
        <v>0</v>
      </c>
      <c r="KT121" s="561">
        <v>-3620</v>
      </c>
      <c r="KU121" s="561">
        <v>15856.23</v>
      </c>
      <c r="KV121" s="561">
        <v>0</v>
      </c>
      <c r="KW121" s="561">
        <v>0</v>
      </c>
      <c r="KX121" s="561">
        <v>0</v>
      </c>
      <c r="KY121" s="561">
        <v>0</v>
      </c>
      <c r="KZ121" s="561">
        <v>1170</v>
      </c>
      <c r="LA121" s="561">
        <v>0</v>
      </c>
      <c r="LB121" s="561">
        <v>-142</v>
      </c>
      <c r="LC121" s="561">
        <v>0</v>
      </c>
      <c r="LD121" s="561">
        <v>-4928</v>
      </c>
      <c r="LE121" s="561">
        <v>-7</v>
      </c>
      <c r="LF121" s="561">
        <v>-2037</v>
      </c>
      <c r="LG121" s="561">
        <v>9912</v>
      </c>
      <c r="LH121" s="561">
        <v>0</v>
      </c>
      <c r="LI121" s="561">
        <v>0</v>
      </c>
      <c r="LJ121" s="561">
        <v>0</v>
      </c>
      <c r="LK121" s="561">
        <v>0</v>
      </c>
      <c r="LL121" s="561">
        <v>3508</v>
      </c>
      <c r="LM121" s="561">
        <v>2575</v>
      </c>
      <c r="LN121" s="561">
        <v>0</v>
      </c>
      <c r="LO121" s="561">
        <v>0</v>
      </c>
      <c r="LP121" s="561">
        <v>0</v>
      </c>
      <c r="LQ121" s="561">
        <v>0</v>
      </c>
      <c r="LR121" s="561">
        <v>4678</v>
      </c>
      <c r="LS121" s="561">
        <v>2575</v>
      </c>
      <c r="LT121" s="561">
        <v>0</v>
      </c>
      <c r="LU121" s="561">
        <v>3459</v>
      </c>
      <c r="LV121" s="561">
        <v>704</v>
      </c>
      <c r="LW121" s="561">
        <v>0</v>
      </c>
      <c r="LX121" s="561">
        <v>0</v>
      </c>
      <c r="LY121" s="561">
        <v>5040</v>
      </c>
      <c r="LZ121" s="561">
        <v>9203</v>
      </c>
      <c r="MA121" s="561">
        <v>0</v>
      </c>
      <c r="MB121" s="561">
        <v>0</v>
      </c>
      <c r="MC121" s="561">
        <v>20014</v>
      </c>
      <c r="MD121" s="561">
        <v>19083</v>
      </c>
      <c r="ME121" s="561">
        <v>931</v>
      </c>
      <c r="MF121" s="561">
        <v>1758</v>
      </c>
      <c r="MG121" s="561">
        <v>2689</v>
      </c>
      <c r="MH121" s="561">
        <v>4527</v>
      </c>
      <c r="MI121" s="561">
        <v>4162</v>
      </c>
      <c r="MJ121" s="561">
        <v>8689</v>
      </c>
      <c r="MK121" s="561">
        <v>0</v>
      </c>
      <c r="ML121" s="561">
        <v>894</v>
      </c>
      <c r="MM121" s="561">
        <v>804</v>
      </c>
      <c r="MN121" s="561">
        <v>890</v>
      </c>
      <c r="MO121" s="561">
        <v>1976</v>
      </c>
      <c r="MP121" s="561">
        <v>114</v>
      </c>
      <c r="MQ121" s="561">
        <v>0</v>
      </c>
      <c r="MR121" s="561">
        <v>-286</v>
      </c>
      <c r="MS121" s="561">
        <v>0</v>
      </c>
      <c r="MT121" s="561">
        <v>0</v>
      </c>
      <c r="MU121" s="561">
        <v>0</v>
      </c>
      <c r="MV121" s="561">
        <v>1966</v>
      </c>
      <c r="MW121" s="561">
        <v>2369.35</v>
      </c>
      <c r="MX121" s="561">
        <v>3446.67</v>
      </c>
      <c r="MY121" s="561">
        <v>1119.1099999999999</v>
      </c>
      <c r="MZ121" s="561">
        <v>0</v>
      </c>
      <c r="NA121" s="561">
        <v>0</v>
      </c>
      <c r="NB121" s="561">
        <v>8378.1</v>
      </c>
      <c r="NC121" s="561">
        <v>1</v>
      </c>
      <c r="ND121" s="561">
        <v>16994.23</v>
      </c>
      <c r="NE121" s="561">
        <v>0</v>
      </c>
      <c r="NF121" s="561">
        <v>0</v>
      </c>
      <c r="NG121" s="561">
        <v>0</v>
      </c>
      <c r="NH121" s="561">
        <v>0</v>
      </c>
      <c r="NI121" s="561">
        <v>0</v>
      </c>
      <c r="NJ121" s="561">
        <v>0</v>
      </c>
      <c r="NK121" s="561">
        <v>-186</v>
      </c>
      <c r="NL121" s="561">
        <v>0</v>
      </c>
      <c r="NM121" s="561">
        <v>0</v>
      </c>
      <c r="NN121" s="561">
        <v>0</v>
      </c>
      <c r="NO121" s="561">
        <v>0</v>
      </c>
      <c r="NP121" s="561">
        <v>0</v>
      </c>
      <c r="NQ121" s="561">
        <v>0</v>
      </c>
      <c r="NR121" s="561">
        <v>0</v>
      </c>
      <c r="NS121" s="561">
        <v>0</v>
      </c>
      <c r="NT121" s="561">
        <v>0</v>
      </c>
      <c r="NU121" s="561">
        <v>-1280</v>
      </c>
      <c r="NV121" s="561">
        <v>0</v>
      </c>
      <c r="NW121" s="561">
        <v>-561</v>
      </c>
      <c r="NX121" s="561">
        <v>0</v>
      </c>
      <c r="NY121" s="561">
        <v>-561</v>
      </c>
      <c r="NZ121" s="561">
        <v>0</v>
      </c>
      <c r="OA121" s="561">
        <v>0</v>
      </c>
      <c r="OB121" s="561">
        <v>0</v>
      </c>
      <c r="OC121" s="561">
        <v>0</v>
      </c>
      <c r="OD121" s="561">
        <v>0</v>
      </c>
      <c r="OE121" s="561">
        <v>0</v>
      </c>
      <c r="OF121" s="561">
        <v>0</v>
      </c>
      <c r="OG121" s="561">
        <v>0</v>
      </c>
      <c r="OH121" s="561">
        <v>0</v>
      </c>
      <c r="OI121" s="561">
        <v>0</v>
      </c>
      <c r="OJ121" s="561">
        <v>0</v>
      </c>
      <c r="OK121" s="561">
        <v>0</v>
      </c>
      <c r="OL121" s="561">
        <v>0</v>
      </c>
      <c r="OM121" s="561">
        <v>0</v>
      </c>
      <c r="ON121" s="561">
        <v>0</v>
      </c>
      <c r="OO121" s="561">
        <v>0</v>
      </c>
      <c r="OP121" s="561">
        <v>0</v>
      </c>
      <c r="OQ121" s="561">
        <v>0</v>
      </c>
      <c r="OR121" s="561">
        <v>0</v>
      </c>
      <c r="OS121" s="561">
        <v>0</v>
      </c>
      <c r="OT121" s="561">
        <v>0</v>
      </c>
      <c r="OU121" s="561">
        <v>0</v>
      </c>
      <c r="OV121" s="561">
        <v>0</v>
      </c>
      <c r="OW121" s="561">
        <v>0</v>
      </c>
      <c r="OX121" s="561">
        <v>0</v>
      </c>
      <c r="OY121" s="561">
        <v>0</v>
      </c>
      <c r="OZ121" s="561">
        <v>0</v>
      </c>
      <c r="PA121" s="561">
        <v>0</v>
      </c>
      <c r="PB121" s="561">
        <v>0</v>
      </c>
      <c r="PC121" s="561">
        <v>0</v>
      </c>
      <c r="PD121" s="561">
        <v>0</v>
      </c>
      <c r="PE121" s="561">
        <v>0</v>
      </c>
      <c r="PF121" s="561">
        <v>0</v>
      </c>
      <c r="PG121" s="561">
        <v>0</v>
      </c>
      <c r="PH121" s="561">
        <v>0</v>
      </c>
      <c r="PI121" s="561">
        <v>0</v>
      </c>
      <c r="PJ121" s="561">
        <v>0</v>
      </c>
    </row>
    <row r="122" spans="1:426" ht="14" x14ac:dyDescent="0.3">
      <c r="A122" t="s">
        <v>2798</v>
      </c>
      <c r="B122" t="s">
        <v>2799</v>
      </c>
      <c r="C122" t="s">
        <v>2800</v>
      </c>
      <c r="E122" t="s">
        <v>384</v>
      </c>
      <c r="F122" s="561">
        <v>0</v>
      </c>
      <c r="G122" s="561">
        <v>0</v>
      </c>
      <c r="H122" s="561">
        <v>0</v>
      </c>
      <c r="I122" s="561">
        <v>0</v>
      </c>
      <c r="J122" s="561">
        <v>0</v>
      </c>
      <c r="K122" s="561">
        <v>0</v>
      </c>
      <c r="L122" s="561">
        <v>0</v>
      </c>
      <c r="M122" s="561">
        <v>0</v>
      </c>
      <c r="N122" s="561">
        <v>9</v>
      </c>
      <c r="O122" s="561">
        <v>-61</v>
      </c>
      <c r="P122" s="561">
        <v>0</v>
      </c>
      <c r="Q122" s="561">
        <v>0</v>
      </c>
      <c r="R122" s="561">
        <v>0</v>
      </c>
      <c r="S122" s="561">
        <v>196</v>
      </c>
      <c r="T122" s="561">
        <v>4</v>
      </c>
      <c r="U122" s="561">
        <v>0</v>
      </c>
      <c r="V122" s="561">
        <v>33</v>
      </c>
      <c r="W122" s="561">
        <v>0</v>
      </c>
      <c r="X122" s="561">
        <v>0</v>
      </c>
      <c r="Y122" s="561">
        <v>0</v>
      </c>
      <c r="Z122" s="561">
        <v>0</v>
      </c>
      <c r="AA122" s="561">
        <v>0</v>
      </c>
      <c r="AB122" s="561">
        <v>-1053</v>
      </c>
      <c r="AC122" s="561">
        <v>0</v>
      </c>
      <c r="AD122" s="561">
        <v>0</v>
      </c>
      <c r="AE122" s="561">
        <v>0</v>
      </c>
      <c r="AF122" s="561">
        <v>0</v>
      </c>
      <c r="AG122" s="561">
        <v>0</v>
      </c>
      <c r="AH122" s="561">
        <v>110</v>
      </c>
      <c r="AI122" s="561">
        <v>-4</v>
      </c>
      <c r="AJ122" s="561">
        <v>-766</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561">
        <v>0</v>
      </c>
      <c r="BI122" s="561">
        <v>0</v>
      </c>
      <c r="BJ122" s="561">
        <v>0</v>
      </c>
      <c r="BK122" s="561">
        <v>0</v>
      </c>
      <c r="BL122" s="561">
        <v>0</v>
      </c>
      <c r="BM122" s="561">
        <v>0</v>
      </c>
      <c r="BN122" s="561">
        <v>0</v>
      </c>
      <c r="BO122" s="561">
        <v>0</v>
      </c>
      <c r="BP122" s="561">
        <v>0</v>
      </c>
      <c r="BQ122" s="561">
        <v>0</v>
      </c>
      <c r="BR122" s="561">
        <v>0</v>
      </c>
      <c r="BS122" s="561">
        <v>0</v>
      </c>
      <c r="BT122" s="561">
        <v>0</v>
      </c>
      <c r="BU122" s="561">
        <v>0</v>
      </c>
      <c r="BV122" s="561">
        <v>0</v>
      </c>
      <c r="BW122" s="561">
        <v>0</v>
      </c>
      <c r="BX122" s="561">
        <v>0</v>
      </c>
      <c r="BY122" s="561">
        <v>0</v>
      </c>
      <c r="BZ122" s="561">
        <v>0</v>
      </c>
      <c r="CA122" s="561">
        <v>0</v>
      </c>
      <c r="CB122" s="561">
        <v>0</v>
      </c>
      <c r="CC122" s="561">
        <v>0</v>
      </c>
      <c r="CD122" s="561">
        <v>0</v>
      </c>
      <c r="CE122" s="561">
        <v>0</v>
      </c>
      <c r="CF122" s="561">
        <v>0</v>
      </c>
      <c r="CG122" s="561">
        <v>0</v>
      </c>
      <c r="CH122" s="561">
        <v>0</v>
      </c>
      <c r="CI122" s="561">
        <v>0</v>
      </c>
      <c r="CJ122" s="561">
        <v>0</v>
      </c>
      <c r="CK122" s="561">
        <v>0</v>
      </c>
      <c r="CL122" s="561">
        <v>0</v>
      </c>
      <c r="CM122" s="561">
        <v>0</v>
      </c>
      <c r="CN122" s="561">
        <v>0</v>
      </c>
      <c r="CO122" s="561">
        <v>0</v>
      </c>
      <c r="CP122" s="561">
        <v>0</v>
      </c>
      <c r="CQ122" s="561">
        <v>0</v>
      </c>
      <c r="CR122" s="561">
        <v>0</v>
      </c>
      <c r="CS122" s="561">
        <v>0</v>
      </c>
      <c r="CT122" s="561">
        <v>0</v>
      </c>
      <c r="CU122" s="561">
        <v>0</v>
      </c>
      <c r="CV122" s="561">
        <v>0</v>
      </c>
      <c r="CW122" s="561">
        <v>0</v>
      </c>
      <c r="CX122" s="561">
        <v>0</v>
      </c>
      <c r="CY122" s="561">
        <v>0</v>
      </c>
      <c r="CZ122" s="561">
        <v>0</v>
      </c>
      <c r="DA122" s="561">
        <v>0</v>
      </c>
      <c r="DB122" s="561">
        <v>0</v>
      </c>
      <c r="DC122" s="561">
        <v>0</v>
      </c>
      <c r="DD122" s="561">
        <v>0</v>
      </c>
      <c r="DE122" s="561">
        <v>0</v>
      </c>
      <c r="DF122" s="561">
        <v>0</v>
      </c>
      <c r="DG122" s="561">
        <v>0</v>
      </c>
      <c r="DH122" s="561">
        <v>60</v>
      </c>
      <c r="DI122" s="561">
        <v>-2393</v>
      </c>
      <c r="DJ122" s="561">
        <v>152</v>
      </c>
      <c r="DK122" s="561">
        <v>-21</v>
      </c>
      <c r="DL122" s="561">
        <v>0</v>
      </c>
      <c r="DM122" s="561">
        <v>0</v>
      </c>
      <c r="DN122" s="561">
        <v>0</v>
      </c>
      <c r="DO122" s="561">
        <v>-4</v>
      </c>
      <c r="DP122" s="561">
        <v>0</v>
      </c>
      <c r="DQ122" s="561">
        <v>0</v>
      </c>
      <c r="DR122" s="561">
        <v>-199</v>
      </c>
      <c r="DS122" s="561">
        <v>0</v>
      </c>
      <c r="DT122" s="561">
        <v>0</v>
      </c>
      <c r="DU122" s="561">
        <v>-203</v>
      </c>
      <c r="DV122" s="561">
        <v>0</v>
      </c>
      <c r="DW122" s="561">
        <v>0</v>
      </c>
      <c r="DX122" s="561">
        <v>0</v>
      </c>
      <c r="DY122" s="561">
        <v>599</v>
      </c>
      <c r="DZ122" s="561">
        <v>0</v>
      </c>
      <c r="EA122" s="561">
        <v>0</v>
      </c>
      <c r="EB122" s="561">
        <v>0</v>
      </c>
      <c r="EC122" s="561">
        <v>-1806</v>
      </c>
      <c r="ED122" s="561">
        <v>0</v>
      </c>
      <c r="EE122" s="561">
        <v>0</v>
      </c>
      <c r="EF122" s="561">
        <v>0</v>
      </c>
      <c r="EG122" s="561">
        <v>0</v>
      </c>
      <c r="EH122" s="561">
        <v>0</v>
      </c>
      <c r="EI122" s="561">
        <v>0</v>
      </c>
      <c r="EJ122" s="561">
        <v>0</v>
      </c>
      <c r="EK122" s="561">
        <v>0</v>
      </c>
      <c r="EL122" s="561">
        <v>0</v>
      </c>
      <c r="EM122" s="561">
        <v>0</v>
      </c>
      <c r="EN122" s="561">
        <v>0</v>
      </c>
      <c r="EO122" s="561">
        <v>0</v>
      </c>
      <c r="EP122" s="561">
        <v>0</v>
      </c>
      <c r="EQ122" s="561">
        <v>0</v>
      </c>
      <c r="ER122" s="561">
        <v>0</v>
      </c>
      <c r="ES122" s="561" t="s">
        <v>4565</v>
      </c>
      <c r="ET122" s="561">
        <v>0</v>
      </c>
      <c r="EU122" s="561">
        <v>0</v>
      </c>
      <c r="EV122" s="561">
        <v>0</v>
      </c>
      <c r="EW122" s="561">
        <v>0</v>
      </c>
      <c r="EX122" s="561">
        <v>0</v>
      </c>
      <c r="EY122" s="561">
        <v>0</v>
      </c>
      <c r="EZ122" s="561">
        <v>0</v>
      </c>
      <c r="FA122" s="561">
        <v>0</v>
      </c>
      <c r="FB122" s="561">
        <v>0</v>
      </c>
      <c r="FC122" s="561">
        <v>-90</v>
      </c>
      <c r="FD122" s="561">
        <v>0</v>
      </c>
      <c r="FE122" s="561">
        <v>0</v>
      </c>
      <c r="FF122" s="561">
        <v>0</v>
      </c>
      <c r="FG122" s="561">
        <v>0</v>
      </c>
      <c r="FH122" s="561">
        <v>0</v>
      </c>
      <c r="FI122" s="561">
        <v>218</v>
      </c>
      <c r="FJ122" s="561">
        <v>-549</v>
      </c>
      <c r="FK122" s="561">
        <v>225</v>
      </c>
      <c r="FL122" s="561">
        <v>0</v>
      </c>
      <c r="FM122" s="561">
        <v>0</v>
      </c>
      <c r="FN122" s="561">
        <v>0</v>
      </c>
      <c r="FO122" s="561">
        <v>-196</v>
      </c>
      <c r="FP122" s="561">
        <v>197</v>
      </c>
      <c r="FQ122" s="561">
        <v>89</v>
      </c>
      <c r="FR122" s="561">
        <v>0</v>
      </c>
      <c r="FS122" s="561">
        <v>0</v>
      </c>
      <c r="FT122" s="561">
        <v>-47</v>
      </c>
      <c r="FU122" s="561">
        <v>0</v>
      </c>
      <c r="FV122" s="561">
        <v>0</v>
      </c>
      <c r="FW122" s="561">
        <v>0</v>
      </c>
      <c r="FX122" s="561">
        <v>0</v>
      </c>
      <c r="FY122" s="561">
        <v>0</v>
      </c>
      <c r="FZ122" s="561">
        <v>30</v>
      </c>
      <c r="GA122" s="561">
        <v>642</v>
      </c>
      <c r="GB122" s="561">
        <v>0</v>
      </c>
      <c r="GC122" s="561">
        <v>16</v>
      </c>
      <c r="GD122" s="561">
        <v>377</v>
      </c>
      <c r="GE122" s="561">
        <v>0</v>
      </c>
      <c r="GF122" s="561">
        <v>0</v>
      </c>
      <c r="GG122" s="561">
        <v>1</v>
      </c>
      <c r="GH122" s="561">
        <v>0</v>
      </c>
      <c r="GI122" s="561">
        <v>0</v>
      </c>
      <c r="GJ122" s="561">
        <v>1</v>
      </c>
      <c r="GK122" s="561">
        <v>0</v>
      </c>
      <c r="GL122" s="561">
        <v>1025</v>
      </c>
      <c r="GM122" s="561">
        <v>2553</v>
      </c>
      <c r="GN122" s="561">
        <v>10</v>
      </c>
      <c r="GO122" s="561">
        <v>0</v>
      </c>
      <c r="GP122" s="561">
        <v>965</v>
      </c>
      <c r="GQ122" s="561">
        <v>0</v>
      </c>
      <c r="GR122" s="561">
        <v>0</v>
      </c>
      <c r="GS122" s="561">
        <v>5662</v>
      </c>
      <c r="GT122" s="561">
        <v>873</v>
      </c>
      <c r="GU122" s="561">
        <v>38</v>
      </c>
      <c r="GV122" s="561">
        <v>355</v>
      </c>
      <c r="GW122" s="561">
        <v>172</v>
      </c>
      <c r="GX122" s="561">
        <v>494</v>
      </c>
      <c r="GY122" s="561">
        <v>-72</v>
      </c>
      <c r="GZ122" s="561">
        <v>46</v>
      </c>
      <c r="HA122" s="561">
        <v>0</v>
      </c>
      <c r="HB122" s="561">
        <v>0</v>
      </c>
      <c r="HC122" s="561">
        <v>536</v>
      </c>
      <c r="HD122" s="561">
        <v>1569</v>
      </c>
      <c r="HE122" s="561">
        <v>26</v>
      </c>
      <c r="HF122" s="561">
        <v>7035</v>
      </c>
      <c r="HG122" s="561">
        <v>1096</v>
      </c>
      <c r="HH122" s="561">
        <v>0</v>
      </c>
      <c r="HI122" s="561">
        <v>0</v>
      </c>
      <c r="HJ122" s="561">
        <v>0</v>
      </c>
      <c r="HK122" s="561">
        <v>0</v>
      </c>
      <c r="HL122" s="561">
        <v>0</v>
      </c>
      <c r="HM122" s="561">
        <v>0</v>
      </c>
      <c r="HN122" s="561">
        <v>0</v>
      </c>
      <c r="HO122" s="561">
        <v>1805</v>
      </c>
      <c r="HP122" s="561">
        <v>492</v>
      </c>
      <c r="HQ122" s="561">
        <v>0</v>
      </c>
      <c r="HR122" s="561">
        <v>0</v>
      </c>
      <c r="HS122" s="561">
        <v>590</v>
      </c>
      <c r="HT122" s="561">
        <v>-125</v>
      </c>
      <c r="HU122" s="561">
        <v>0</v>
      </c>
      <c r="HV122" s="561">
        <v>0</v>
      </c>
      <c r="HW122" s="561">
        <v>203</v>
      </c>
      <c r="HX122" s="561">
        <v>122</v>
      </c>
      <c r="HY122" s="561">
        <v>0</v>
      </c>
      <c r="HZ122" s="561">
        <v>-68</v>
      </c>
      <c r="IA122" s="561">
        <v>0</v>
      </c>
      <c r="IB122" s="561">
        <v>0</v>
      </c>
      <c r="IC122" s="561">
        <v>0</v>
      </c>
      <c r="ID122" s="561">
        <v>0</v>
      </c>
      <c r="IE122" s="561">
        <v>0</v>
      </c>
      <c r="IF122" s="561">
        <v>0</v>
      </c>
      <c r="IG122" s="561">
        <v>0</v>
      </c>
      <c r="IH122" s="561">
        <v>4864</v>
      </c>
      <c r="II122" s="561">
        <v>7883</v>
      </c>
      <c r="IJ122" s="561">
        <v>17</v>
      </c>
      <c r="IK122" s="561">
        <v>0</v>
      </c>
      <c r="IL122" s="561">
        <v>0</v>
      </c>
      <c r="IM122" s="561">
        <v>0</v>
      </c>
      <c r="IN122" s="561">
        <v>0</v>
      </c>
      <c r="IO122" s="561">
        <v>604</v>
      </c>
      <c r="IP122" s="561">
        <v>2798</v>
      </c>
      <c r="IQ122" s="561">
        <v>0</v>
      </c>
      <c r="IR122" s="561">
        <v>0</v>
      </c>
      <c r="IS122" s="561">
        <v>-766</v>
      </c>
      <c r="IT122" s="561">
        <v>0</v>
      </c>
      <c r="IU122" s="561">
        <v>0</v>
      </c>
      <c r="IV122" s="561">
        <v>0</v>
      </c>
      <c r="IW122" s="561">
        <v>-1806</v>
      </c>
      <c r="IX122" s="561">
        <v>-196</v>
      </c>
      <c r="IY122" s="561">
        <v>5662</v>
      </c>
      <c r="IZ122" s="561">
        <v>1569</v>
      </c>
      <c r="JA122" s="561">
        <v>0</v>
      </c>
      <c r="JB122" s="561">
        <v>0</v>
      </c>
      <c r="JC122" s="561">
        <v>7883</v>
      </c>
      <c r="JD122" s="561">
        <v>2798</v>
      </c>
      <c r="JE122" s="561">
        <v>15144</v>
      </c>
      <c r="JF122" s="561">
        <v>18490</v>
      </c>
      <c r="JG122" s="561">
        <v>46</v>
      </c>
      <c r="JH122" s="561">
        <v>0</v>
      </c>
      <c r="JI122" s="561">
        <v>0</v>
      </c>
      <c r="JJ122" s="561">
        <v>0</v>
      </c>
      <c r="JK122" s="561">
        <v>4842</v>
      </c>
      <c r="JL122" s="561">
        <v>0</v>
      </c>
      <c r="JM122" s="561">
        <v>0</v>
      </c>
      <c r="JN122" s="561">
        <v>0</v>
      </c>
      <c r="JO122" s="561">
        <v>0</v>
      </c>
      <c r="JP122" s="561">
        <v>-5862</v>
      </c>
      <c r="JQ122" s="561">
        <v>-962</v>
      </c>
      <c r="JR122" s="561">
        <v>0</v>
      </c>
      <c r="JS122" s="561">
        <v>0</v>
      </c>
      <c r="JT122" s="561">
        <v>0</v>
      </c>
      <c r="JU122" s="561">
        <v>0</v>
      </c>
      <c r="JV122" s="561">
        <v>31698</v>
      </c>
      <c r="JW122" s="561">
        <v>0</v>
      </c>
      <c r="JX122" s="561">
        <v>64</v>
      </c>
      <c r="JY122" s="561">
        <v>0</v>
      </c>
      <c r="JZ122" s="561">
        <v>0</v>
      </c>
      <c r="KA122" s="561">
        <v>0</v>
      </c>
      <c r="KB122" s="561">
        <v>0</v>
      </c>
      <c r="KC122" s="561">
        <v>6745</v>
      </c>
      <c r="KD122" s="561">
        <v>0</v>
      </c>
      <c r="KE122" s="561">
        <v>14089</v>
      </c>
      <c r="KF122" s="561">
        <v>0</v>
      </c>
      <c r="KG122" s="561">
        <v>52596</v>
      </c>
      <c r="KH122" s="561">
        <v>-9234</v>
      </c>
      <c r="KI122" s="561">
        <v>0</v>
      </c>
      <c r="KJ122" s="561">
        <v>0</v>
      </c>
      <c r="KK122" s="561">
        <v>0</v>
      </c>
      <c r="KL122" s="561">
        <v>-17749</v>
      </c>
      <c r="KM122" s="561">
        <v>0</v>
      </c>
      <c r="KN122" s="561">
        <v>0</v>
      </c>
      <c r="KO122" s="561">
        <v>0</v>
      </c>
      <c r="KP122" s="561">
        <v>0</v>
      </c>
      <c r="KQ122" s="561">
        <v>0</v>
      </c>
      <c r="KR122" s="561">
        <v>25613</v>
      </c>
      <c r="KS122" s="561">
        <v>0</v>
      </c>
      <c r="KT122" s="561">
        <v>-4542</v>
      </c>
      <c r="KU122" s="561">
        <v>21071</v>
      </c>
      <c r="KV122" s="561">
        <v>0</v>
      </c>
      <c r="KW122" s="561">
        <v>0</v>
      </c>
      <c r="KX122" s="561">
        <v>0</v>
      </c>
      <c r="KY122" s="561">
        <v>0</v>
      </c>
      <c r="KZ122" s="561">
        <v>-10437</v>
      </c>
      <c r="LA122" s="561">
        <v>7269</v>
      </c>
      <c r="LB122" s="561">
        <v>-90</v>
      </c>
      <c r="LC122" s="561">
        <v>0</v>
      </c>
      <c r="LD122" s="561">
        <v>-5568</v>
      </c>
      <c r="LE122" s="561">
        <v>-456</v>
      </c>
      <c r="LF122" s="561">
        <v>0</v>
      </c>
      <c r="LG122" s="561">
        <v>11789</v>
      </c>
      <c r="LH122" s="561">
        <v>0</v>
      </c>
      <c r="LI122" s="561">
        <v>0</v>
      </c>
      <c r="LJ122" s="561">
        <v>0</v>
      </c>
      <c r="LK122" s="561">
        <v>0</v>
      </c>
      <c r="LL122" s="561">
        <v>33722</v>
      </c>
      <c r="LM122" s="561">
        <v>11481</v>
      </c>
      <c r="LN122" s="561">
        <v>0</v>
      </c>
      <c r="LO122" s="561">
        <v>0</v>
      </c>
      <c r="LP122" s="561">
        <v>0</v>
      </c>
      <c r="LQ122" s="561">
        <v>0</v>
      </c>
      <c r="LR122" s="561">
        <v>23285</v>
      </c>
      <c r="LS122" s="561">
        <v>18750</v>
      </c>
      <c r="LT122" s="561">
        <v>0</v>
      </c>
      <c r="LU122" s="561">
        <v>-7742</v>
      </c>
      <c r="LV122" s="561">
        <v>0</v>
      </c>
      <c r="LW122" s="561">
        <v>0</v>
      </c>
      <c r="LX122" s="561">
        <v>0</v>
      </c>
      <c r="LY122" s="561">
        <v>-3591</v>
      </c>
      <c r="LZ122" s="561">
        <v>-11333</v>
      </c>
      <c r="MA122" s="561">
        <v>0</v>
      </c>
      <c r="MB122" s="561">
        <v>0</v>
      </c>
      <c r="MC122" s="561">
        <v>0</v>
      </c>
      <c r="MD122" s="561">
        <v>0</v>
      </c>
      <c r="ME122" s="561">
        <v>0</v>
      </c>
      <c r="MF122" s="561">
        <v>0</v>
      </c>
      <c r="MG122" s="561">
        <v>0</v>
      </c>
      <c r="MH122" s="561">
        <v>2405</v>
      </c>
      <c r="MI122" s="561">
        <v>3225</v>
      </c>
      <c r="MJ122" s="561">
        <v>5630</v>
      </c>
      <c r="MK122" s="561">
        <v>0</v>
      </c>
      <c r="ML122" s="561">
        <v>0</v>
      </c>
      <c r="MM122" s="561">
        <v>23285</v>
      </c>
      <c r="MN122" s="561">
        <v>0</v>
      </c>
      <c r="MO122" s="561">
        <v>0</v>
      </c>
      <c r="MP122" s="561">
        <v>0</v>
      </c>
      <c r="MQ122" s="561">
        <v>0</v>
      </c>
      <c r="MR122" s="561">
        <v>-766</v>
      </c>
      <c r="MS122" s="561">
        <v>0</v>
      </c>
      <c r="MT122" s="561">
        <v>0</v>
      </c>
      <c r="MU122" s="561">
        <v>0</v>
      </c>
      <c r="MV122" s="561">
        <v>-1806</v>
      </c>
      <c r="MW122" s="561">
        <v>-196</v>
      </c>
      <c r="MX122" s="561">
        <v>5662</v>
      </c>
      <c r="MY122" s="561">
        <v>1569</v>
      </c>
      <c r="MZ122" s="561">
        <v>0</v>
      </c>
      <c r="NA122" s="561">
        <v>0</v>
      </c>
      <c r="NB122" s="561">
        <v>7883</v>
      </c>
      <c r="NC122" s="561">
        <v>2798</v>
      </c>
      <c r="ND122" s="561">
        <v>15144</v>
      </c>
      <c r="NE122" s="561">
        <v>0</v>
      </c>
      <c r="NF122" s="561">
        <v>0</v>
      </c>
      <c r="NG122" s="561">
        <v>0</v>
      </c>
      <c r="NH122" s="561">
        <v>0</v>
      </c>
      <c r="NI122" s="561">
        <v>0</v>
      </c>
      <c r="NJ122" s="561">
        <v>0</v>
      </c>
      <c r="NK122" s="561">
        <v>684</v>
      </c>
      <c r="NL122" s="561">
        <v>0</v>
      </c>
      <c r="NM122" s="561">
        <v>0</v>
      </c>
      <c r="NN122" s="561">
        <v>0</v>
      </c>
      <c r="NO122" s="561">
        <v>0</v>
      </c>
      <c r="NP122" s="561">
        <v>0</v>
      </c>
      <c r="NQ122" s="561">
        <v>0</v>
      </c>
      <c r="NR122" s="561">
        <v>0</v>
      </c>
      <c r="NS122" s="561">
        <v>0</v>
      </c>
      <c r="NT122" s="561">
        <v>-6546</v>
      </c>
      <c r="NU122" s="561">
        <v>0</v>
      </c>
      <c r="NV122" s="561">
        <v>0</v>
      </c>
      <c r="NW122" s="561">
        <v>-5862</v>
      </c>
      <c r="NX122" s="561">
        <v>0</v>
      </c>
      <c r="NY122" s="561">
        <v>-5862</v>
      </c>
      <c r="NZ122" s="561">
        <v>0</v>
      </c>
      <c r="OA122" s="561">
        <v>0</v>
      </c>
      <c r="OB122" s="561">
        <v>0</v>
      </c>
      <c r="OC122" s="561">
        <v>-1</v>
      </c>
      <c r="OD122" s="561">
        <v>0</v>
      </c>
      <c r="OE122" s="561">
        <v>0</v>
      </c>
      <c r="OF122" s="561">
        <v>0</v>
      </c>
      <c r="OG122" s="561">
        <v>0</v>
      </c>
      <c r="OH122" s="561">
        <v>0</v>
      </c>
      <c r="OI122" s="561">
        <v>0</v>
      </c>
      <c r="OJ122" s="561">
        <v>0</v>
      </c>
      <c r="OK122" s="561">
        <v>0</v>
      </c>
      <c r="OL122" s="561">
        <v>62</v>
      </c>
      <c r="OM122" s="561">
        <v>211</v>
      </c>
      <c r="ON122" s="561">
        <v>-1234</v>
      </c>
      <c r="OO122" s="561">
        <v>0</v>
      </c>
      <c r="OP122" s="561">
        <v>0</v>
      </c>
      <c r="OQ122" s="561">
        <v>0</v>
      </c>
      <c r="OR122" s="561">
        <v>0</v>
      </c>
      <c r="OS122" s="561">
        <v>0</v>
      </c>
      <c r="OT122" s="561">
        <v>0</v>
      </c>
      <c r="OU122" s="561">
        <v>0</v>
      </c>
      <c r="OV122" s="561">
        <v>-653</v>
      </c>
      <c r="OW122" s="561">
        <v>0</v>
      </c>
      <c r="OX122" s="561">
        <v>-962</v>
      </c>
      <c r="OY122" s="561">
        <v>0</v>
      </c>
      <c r="OZ122" s="561">
        <v>0</v>
      </c>
      <c r="PA122" s="561">
        <v>0</v>
      </c>
      <c r="PB122" s="561">
        <v>0</v>
      </c>
      <c r="PC122" s="561">
        <v>0</v>
      </c>
      <c r="PD122" s="561">
        <v>0</v>
      </c>
      <c r="PE122" s="561">
        <v>0</v>
      </c>
      <c r="PF122" s="561">
        <v>0</v>
      </c>
      <c r="PG122" s="561">
        <v>0</v>
      </c>
      <c r="PH122" s="561">
        <v>0</v>
      </c>
      <c r="PI122" s="561">
        <v>0</v>
      </c>
      <c r="PJ122" s="561">
        <v>0</v>
      </c>
    </row>
    <row r="123" spans="1:426" ht="14" x14ac:dyDescent="0.3">
      <c r="A123" t="s">
        <v>2801</v>
      </c>
      <c r="B123" t="s">
        <v>2802</v>
      </c>
      <c r="C123" t="s">
        <v>2803</v>
      </c>
      <c r="E123" t="s">
        <v>384</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47</v>
      </c>
      <c r="U123" s="561">
        <v>0</v>
      </c>
      <c r="V123" s="561">
        <v>0</v>
      </c>
      <c r="W123" s="561">
        <v>0</v>
      </c>
      <c r="X123" s="561">
        <v>0</v>
      </c>
      <c r="Y123" s="561">
        <v>0</v>
      </c>
      <c r="Z123" s="561">
        <v>0</v>
      </c>
      <c r="AA123" s="561">
        <v>0</v>
      </c>
      <c r="AB123" s="561">
        <v>-2446</v>
      </c>
      <c r="AC123" s="561">
        <v>0</v>
      </c>
      <c r="AD123" s="561">
        <v>-72</v>
      </c>
      <c r="AE123" s="561">
        <v>0</v>
      </c>
      <c r="AF123" s="561">
        <v>0</v>
      </c>
      <c r="AG123" s="561">
        <v>0</v>
      </c>
      <c r="AH123" s="561">
        <v>88</v>
      </c>
      <c r="AI123" s="561">
        <v>0</v>
      </c>
      <c r="AJ123" s="561">
        <v>-2383</v>
      </c>
      <c r="AK123" s="561">
        <v>0</v>
      </c>
      <c r="AL123" s="561">
        <v>0</v>
      </c>
      <c r="AM123" s="561">
        <v>0</v>
      </c>
      <c r="AN123" s="561">
        <v>0</v>
      </c>
      <c r="AO123" s="561">
        <v>0</v>
      </c>
      <c r="AP123" s="561">
        <v>0</v>
      </c>
      <c r="AQ123" s="561">
        <v>0</v>
      </c>
      <c r="AR123" s="561">
        <v>0</v>
      </c>
      <c r="AS123" s="561">
        <v>0</v>
      </c>
      <c r="AT123" s="561">
        <v>0</v>
      </c>
      <c r="AU123" s="561">
        <v>0</v>
      </c>
      <c r="AV123" s="561">
        <v>0</v>
      </c>
      <c r="AW123" s="561">
        <v>0</v>
      </c>
      <c r="AX123" s="561">
        <v>0</v>
      </c>
      <c r="AY123" s="561">
        <v>0</v>
      </c>
      <c r="AZ123" s="561">
        <v>0</v>
      </c>
      <c r="BA123" s="561">
        <v>0</v>
      </c>
      <c r="BB123" s="561">
        <v>0</v>
      </c>
      <c r="BC123" s="561">
        <v>0</v>
      </c>
      <c r="BD123" s="561">
        <v>0</v>
      </c>
      <c r="BE123" s="561">
        <v>0</v>
      </c>
      <c r="BF123" s="561">
        <v>0</v>
      </c>
      <c r="BG123" s="561">
        <v>0</v>
      </c>
      <c r="BH123" s="561">
        <v>0</v>
      </c>
      <c r="BI123" s="561">
        <v>0</v>
      </c>
      <c r="BJ123" s="561">
        <v>0</v>
      </c>
      <c r="BK123" s="561">
        <v>3839</v>
      </c>
      <c r="BL123" s="561">
        <v>0</v>
      </c>
      <c r="BM123" s="561">
        <v>0</v>
      </c>
      <c r="BN123" s="561">
        <v>25</v>
      </c>
      <c r="BO123" s="561">
        <v>0</v>
      </c>
      <c r="BP123" s="561">
        <v>0</v>
      </c>
      <c r="BQ123" s="561">
        <v>0</v>
      </c>
      <c r="BR123" s="561">
        <v>0</v>
      </c>
      <c r="BS123" s="561">
        <v>0</v>
      </c>
      <c r="BT123" s="561">
        <v>48</v>
      </c>
      <c r="BU123" s="561">
        <v>0</v>
      </c>
      <c r="BV123" s="561">
        <v>0</v>
      </c>
      <c r="BW123" s="561">
        <v>0</v>
      </c>
      <c r="BX123" s="561">
        <v>0</v>
      </c>
      <c r="BY123" s="561">
        <v>0</v>
      </c>
      <c r="BZ123" s="561">
        <v>3912</v>
      </c>
      <c r="CA123" s="561">
        <v>0</v>
      </c>
      <c r="CB123" s="561">
        <v>0</v>
      </c>
      <c r="CC123" s="561">
        <v>0</v>
      </c>
      <c r="CD123" s="561">
        <v>0</v>
      </c>
      <c r="CE123" s="561">
        <v>0</v>
      </c>
      <c r="CF123" s="561">
        <v>0</v>
      </c>
      <c r="CG123" s="561">
        <v>0</v>
      </c>
      <c r="CH123" s="561">
        <v>0</v>
      </c>
      <c r="CI123" s="561">
        <v>0</v>
      </c>
      <c r="CJ123" s="561">
        <v>0</v>
      </c>
      <c r="CK123" s="561">
        <v>0</v>
      </c>
      <c r="CL123" s="561">
        <v>0</v>
      </c>
      <c r="CM123" s="561">
        <v>0</v>
      </c>
      <c r="CN123" s="561">
        <v>0</v>
      </c>
      <c r="CO123" s="561">
        <v>0</v>
      </c>
      <c r="CP123" s="561">
        <v>0</v>
      </c>
      <c r="CQ123" s="561">
        <v>0</v>
      </c>
      <c r="CR123" s="561">
        <v>0</v>
      </c>
      <c r="CS123" s="561">
        <v>0</v>
      </c>
      <c r="CT123" s="561">
        <v>0</v>
      </c>
      <c r="CU123" s="561">
        <v>0</v>
      </c>
      <c r="CV123" s="561">
        <v>0</v>
      </c>
      <c r="CW123" s="561">
        <v>0</v>
      </c>
      <c r="CX123" s="561">
        <v>0</v>
      </c>
      <c r="CY123" s="561">
        <v>0</v>
      </c>
      <c r="CZ123" s="561">
        <v>0</v>
      </c>
      <c r="DA123" s="561">
        <v>0</v>
      </c>
      <c r="DB123" s="561">
        <v>0</v>
      </c>
      <c r="DC123" s="561">
        <v>0</v>
      </c>
      <c r="DD123" s="561">
        <v>0</v>
      </c>
      <c r="DE123" s="561">
        <v>0</v>
      </c>
      <c r="DF123" s="561">
        <v>0</v>
      </c>
      <c r="DG123" s="561">
        <v>0</v>
      </c>
      <c r="DH123" s="561">
        <v>3130</v>
      </c>
      <c r="DI123" s="561">
        <v>0</v>
      </c>
      <c r="DJ123" s="561">
        <v>315</v>
      </c>
      <c r="DK123" s="561">
        <v>91</v>
      </c>
      <c r="DL123" s="561">
        <v>0</v>
      </c>
      <c r="DM123" s="561">
        <v>0</v>
      </c>
      <c r="DN123" s="561">
        <v>0</v>
      </c>
      <c r="DO123" s="561">
        <v>1236</v>
      </c>
      <c r="DP123" s="561">
        <v>0</v>
      </c>
      <c r="DQ123" s="561">
        <v>0</v>
      </c>
      <c r="DR123" s="561">
        <v>540</v>
      </c>
      <c r="DS123" s="561">
        <v>0</v>
      </c>
      <c r="DT123" s="561">
        <v>0</v>
      </c>
      <c r="DU123" s="561">
        <v>1776</v>
      </c>
      <c r="DV123" s="561">
        <v>190</v>
      </c>
      <c r="DW123" s="561">
        <v>0</v>
      </c>
      <c r="DX123" s="561">
        <v>0</v>
      </c>
      <c r="DY123" s="561">
        <v>1367</v>
      </c>
      <c r="DZ123" s="561">
        <v>0</v>
      </c>
      <c r="EA123" s="561">
        <v>0</v>
      </c>
      <c r="EB123" s="561">
        <v>0</v>
      </c>
      <c r="EC123" s="561">
        <v>6869</v>
      </c>
      <c r="ED123" s="561">
        <v>156</v>
      </c>
      <c r="EE123" s="561">
        <v>0</v>
      </c>
      <c r="EF123" s="561">
        <v>0</v>
      </c>
      <c r="EG123" s="561">
        <v>0</v>
      </c>
      <c r="EH123" s="561">
        <v>0</v>
      </c>
      <c r="EI123" s="561">
        <v>0</v>
      </c>
      <c r="EJ123" s="561">
        <v>0</v>
      </c>
      <c r="EK123" s="561">
        <v>0</v>
      </c>
      <c r="EL123" s="561">
        <v>0</v>
      </c>
      <c r="EM123" s="561">
        <v>0</v>
      </c>
      <c r="EN123" s="561">
        <v>0</v>
      </c>
      <c r="EO123" s="561">
        <v>0</v>
      </c>
      <c r="EP123" s="561">
        <v>0</v>
      </c>
      <c r="EQ123" s="561">
        <v>0</v>
      </c>
      <c r="ER123" s="561">
        <v>0</v>
      </c>
      <c r="ES123" s="561" t="s">
        <v>4565</v>
      </c>
      <c r="ET123" s="561">
        <v>0</v>
      </c>
      <c r="EU123" s="561">
        <v>0</v>
      </c>
      <c r="EV123" s="561">
        <v>0</v>
      </c>
      <c r="EW123" s="561">
        <v>0</v>
      </c>
      <c r="EX123" s="561">
        <v>0</v>
      </c>
      <c r="EY123" s="561">
        <v>0</v>
      </c>
      <c r="EZ123" s="561">
        <v>0</v>
      </c>
      <c r="FA123" s="561">
        <v>0</v>
      </c>
      <c r="FB123" s="561">
        <v>0</v>
      </c>
      <c r="FC123" s="561">
        <v>85</v>
      </c>
      <c r="FD123" s="561">
        <v>0</v>
      </c>
      <c r="FE123" s="561">
        <v>320</v>
      </c>
      <c r="FF123" s="561">
        <v>0</v>
      </c>
      <c r="FG123" s="561">
        <v>35</v>
      </c>
      <c r="FH123" s="561">
        <v>0</v>
      </c>
      <c r="FI123" s="561">
        <v>329</v>
      </c>
      <c r="FJ123" s="561">
        <v>863</v>
      </c>
      <c r="FK123" s="561">
        <v>1665</v>
      </c>
      <c r="FL123" s="561">
        <v>0</v>
      </c>
      <c r="FM123" s="561">
        <v>0</v>
      </c>
      <c r="FN123" s="561">
        <v>0</v>
      </c>
      <c r="FO123" s="561">
        <v>3297</v>
      </c>
      <c r="FP123" s="561">
        <v>32</v>
      </c>
      <c r="FQ123" s="561">
        <v>199</v>
      </c>
      <c r="FR123" s="561">
        <v>0</v>
      </c>
      <c r="FS123" s="561">
        <v>0</v>
      </c>
      <c r="FT123" s="561">
        <v>409</v>
      </c>
      <c r="FU123" s="561">
        <v>609</v>
      </c>
      <c r="FV123" s="561">
        <v>118</v>
      </c>
      <c r="FW123" s="561">
        <v>119</v>
      </c>
      <c r="FX123" s="561">
        <v>0</v>
      </c>
      <c r="FY123" s="561">
        <v>0</v>
      </c>
      <c r="FZ123" s="561">
        <v>0</v>
      </c>
      <c r="GA123" s="561">
        <v>353</v>
      </c>
      <c r="GB123" s="561">
        <v>125</v>
      </c>
      <c r="GC123" s="561">
        <v>495</v>
      </c>
      <c r="GD123" s="561">
        <v>60</v>
      </c>
      <c r="GE123" s="561">
        <v>0</v>
      </c>
      <c r="GF123" s="561">
        <v>80</v>
      </c>
      <c r="GG123" s="561">
        <v>24</v>
      </c>
      <c r="GH123" s="561">
        <v>0</v>
      </c>
      <c r="GI123" s="561">
        <v>0</v>
      </c>
      <c r="GJ123" s="561">
        <v>0</v>
      </c>
      <c r="GK123" s="561">
        <v>0</v>
      </c>
      <c r="GL123" s="561">
        <v>2170</v>
      </c>
      <c r="GM123" s="561">
        <v>1857</v>
      </c>
      <c r="GN123" s="561">
        <v>0</v>
      </c>
      <c r="GO123" s="561">
        <v>0</v>
      </c>
      <c r="GP123" s="561">
        <v>1191</v>
      </c>
      <c r="GQ123" s="561">
        <v>0</v>
      </c>
      <c r="GR123" s="561">
        <v>285</v>
      </c>
      <c r="GS123" s="561">
        <v>8094</v>
      </c>
      <c r="GT123" s="561">
        <v>231</v>
      </c>
      <c r="GU123" s="561">
        <v>48</v>
      </c>
      <c r="GV123" s="561">
        <v>2228</v>
      </c>
      <c r="GW123" s="561">
        <v>255</v>
      </c>
      <c r="GX123" s="561">
        <v>698</v>
      </c>
      <c r="GY123" s="561">
        <v>0</v>
      </c>
      <c r="GZ123" s="561">
        <v>-92</v>
      </c>
      <c r="HA123" s="561">
        <v>0</v>
      </c>
      <c r="HB123" s="561">
        <v>0</v>
      </c>
      <c r="HC123" s="561">
        <v>0</v>
      </c>
      <c r="HD123" s="561">
        <v>3137</v>
      </c>
      <c r="HE123" s="561">
        <v>44</v>
      </c>
      <c r="HF123" s="561">
        <v>14528</v>
      </c>
      <c r="HG123" s="561">
        <v>307</v>
      </c>
      <c r="HH123" s="561">
        <v>0</v>
      </c>
      <c r="HI123" s="561">
        <v>0</v>
      </c>
      <c r="HJ123" s="561">
        <v>0</v>
      </c>
      <c r="HK123" s="561">
        <v>0</v>
      </c>
      <c r="HL123" s="561">
        <v>0</v>
      </c>
      <c r="HM123" s="561">
        <v>0</v>
      </c>
      <c r="HN123" s="561">
        <v>0</v>
      </c>
      <c r="HO123" s="561">
        <v>2933</v>
      </c>
      <c r="HP123" s="561">
        <v>783</v>
      </c>
      <c r="HQ123" s="561">
        <v>0</v>
      </c>
      <c r="HR123" s="561">
        <v>0</v>
      </c>
      <c r="HS123" s="561">
        <v>0</v>
      </c>
      <c r="HT123" s="561">
        <v>286</v>
      </c>
      <c r="HU123" s="561">
        <v>0</v>
      </c>
      <c r="HV123" s="561">
        <v>0</v>
      </c>
      <c r="HW123" s="561">
        <v>375</v>
      </c>
      <c r="HX123" s="561">
        <v>12</v>
      </c>
      <c r="HY123" s="561">
        <v>54</v>
      </c>
      <c r="HZ123" s="561">
        <v>-12</v>
      </c>
      <c r="IA123" s="561">
        <v>0</v>
      </c>
      <c r="IB123" s="561">
        <v>454</v>
      </c>
      <c r="IC123" s="561">
        <v>0</v>
      </c>
      <c r="ID123" s="561">
        <v>0</v>
      </c>
      <c r="IE123" s="561">
        <v>2543</v>
      </c>
      <c r="IF123" s="561">
        <v>0</v>
      </c>
      <c r="IG123" s="561">
        <v>0</v>
      </c>
      <c r="IH123" s="561">
        <v>-1106</v>
      </c>
      <c r="II123" s="561">
        <v>6322</v>
      </c>
      <c r="IJ123" s="561">
        <v>365</v>
      </c>
      <c r="IK123" s="561">
        <v>869</v>
      </c>
      <c r="IL123" s="561">
        <v>14881</v>
      </c>
      <c r="IM123" s="561">
        <v>0</v>
      </c>
      <c r="IN123" s="561">
        <v>0</v>
      </c>
      <c r="IO123" s="561">
        <v>1517</v>
      </c>
      <c r="IP123" s="561">
        <v>492</v>
      </c>
      <c r="IQ123" s="561">
        <v>0</v>
      </c>
      <c r="IR123" s="561">
        <v>0</v>
      </c>
      <c r="IS123" s="561">
        <v>-2383</v>
      </c>
      <c r="IT123" s="561">
        <v>0</v>
      </c>
      <c r="IU123" s="561">
        <v>3912</v>
      </c>
      <c r="IV123" s="561">
        <v>0</v>
      </c>
      <c r="IW123" s="561">
        <v>6869</v>
      </c>
      <c r="IX123" s="561">
        <v>3297</v>
      </c>
      <c r="IY123" s="561">
        <v>8094</v>
      </c>
      <c r="IZ123" s="561">
        <v>3137</v>
      </c>
      <c r="JA123" s="561">
        <v>0</v>
      </c>
      <c r="JB123" s="561">
        <v>0</v>
      </c>
      <c r="JC123" s="561">
        <v>6322</v>
      </c>
      <c r="JD123" s="561">
        <v>492</v>
      </c>
      <c r="JE123" s="561">
        <v>29740</v>
      </c>
      <c r="JF123" s="561">
        <v>27175</v>
      </c>
      <c r="JG123" s="561">
        <v>140</v>
      </c>
      <c r="JH123" s="561">
        <v>0</v>
      </c>
      <c r="JI123" s="561">
        <v>0</v>
      </c>
      <c r="JJ123" s="561">
        <v>0</v>
      </c>
      <c r="JK123" s="561">
        <v>57</v>
      </c>
      <c r="JL123" s="561">
        <v>0</v>
      </c>
      <c r="JM123" s="561">
        <v>0</v>
      </c>
      <c r="JN123" s="561">
        <v>0</v>
      </c>
      <c r="JO123" s="561">
        <v>0</v>
      </c>
      <c r="JP123" s="561">
        <v>0</v>
      </c>
      <c r="JQ123" s="561">
        <v>0</v>
      </c>
      <c r="JR123" s="561">
        <v>0</v>
      </c>
      <c r="JS123" s="561">
        <v>0</v>
      </c>
      <c r="JT123" s="561">
        <v>0</v>
      </c>
      <c r="JU123" s="561">
        <v>0</v>
      </c>
      <c r="JV123" s="561">
        <v>57112</v>
      </c>
      <c r="JW123" s="561">
        <v>0</v>
      </c>
      <c r="JX123" s="561">
        <v>747</v>
      </c>
      <c r="JY123" s="561">
        <v>0</v>
      </c>
      <c r="JZ123" s="561">
        <v>0</v>
      </c>
      <c r="KA123" s="561">
        <v>0</v>
      </c>
      <c r="KB123" s="561">
        <v>-26</v>
      </c>
      <c r="KC123" s="561">
        <v>1681</v>
      </c>
      <c r="KD123" s="561">
        <v>0</v>
      </c>
      <c r="KE123" s="561">
        <v>1201</v>
      </c>
      <c r="KF123" s="561">
        <v>0</v>
      </c>
      <c r="KG123" s="561">
        <v>60715</v>
      </c>
      <c r="KH123" s="561">
        <v>-9062</v>
      </c>
      <c r="KI123" s="561">
        <v>0</v>
      </c>
      <c r="KJ123" s="561">
        <v>0</v>
      </c>
      <c r="KK123" s="561">
        <v>0</v>
      </c>
      <c r="KL123" s="561">
        <v>-27622</v>
      </c>
      <c r="KM123" s="561">
        <v>0</v>
      </c>
      <c r="KN123" s="561">
        <v>-887</v>
      </c>
      <c r="KO123" s="561">
        <v>0</v>
      </c>
      <c r="KP123" s="561">
        <v>0</v>
      </c>
      <c r="KQ123" s="561">
        <v>0</v>
      </c>
      <c r="KR123" s="561">
        <v>23144</v>
      </c>
      <c r="KS123" s="561">
        <v>0</v>
      </c>
      <c r="KT123" s="561">
        <v>-6246</v>
      </c>
      <c r="KU123" s="561">
        <v>16898</v>
      </c>
      <c r="KV123" s="561">
        <v>0</v>
      </c>
      <c r="KW123" s="561">
        <v>0</v>
      </c>
      <c r="KX123" s="561">
        <v>0</v>
      </c>
      <c r="KY123" s="561">
        <v>0</v>
      </c>
      <c r="KZ123" s="561">
        <v>4501</v>
      </c>
      <c r="LA123" s="561">
        <v>0</v>
      </c>
      <c r="LB123" s="561">
        <v>-142</v>
      </c>
      <c r="LC123" s="561">
        <v>0</v>
      </c>
      <c r="LD123" s="561">
        <v>-4464</v>
      </c>
      <c r="LE123" s="561">
        <v>-65</v>
      </c>
      <c r="LF123" s="561">
        <v>0</v>
      </c>
      <c r="LG123" s="561">
        <v>16728</v>
      </c>
      <c r="LH123" s="561">
        <v>0</v>
      </c>
      <c r="LI123" s="561">
        <v>0</v>
      </c>
      <c r="LJ123" s="561">
        <v>0</v>
      </c>
      <c r="LK123" s="561">
        <v>0</v>
      </c>
      <c r="LL123" s="561">
        <v>48655</v>
      </c>
      <c r="LM123" s="561">
        <v>4000</v>
      </c>
      <c r="LN123" s="561">
        <v>0</v>
      </c>
      <c r="LO123" s="561">
        <v>0</v>
      </c>
      <c r="LP123" s="561">
        <v>0</v>
      </c>
      <c r="LQ123" s="561">
        <v>0</v>
      </c>
      <c r="LR123" s="561">
        <v>53156</v>
      </c>
      <c r="LS123" s="561">
        <v>4000</v>
      </c>
      <c r="LT123" s="561">
        <v>0</v>
      </c>
      <c r="LU123" s="561">
        <v>5003</v>
      </c>
      <c r="LV123" s="561">
        <v>36</v>
      </c>
      <c r="LW123" s="561">
        <v>990</v>
      </c>
      <c r="LX123" s="561">
        <v>0</v>
      </c>
      <c r="LY123" s="561">
        <v>2417</v>
      </c>
      <c r="LZ123" s="561">
        <v>8537</v>
      </c>
      <c r="MA123" s="561">
        <v>0</v>
      </c>
      <c r="MB123" s="561">
        <v>0</v>
      </c>
      <c r="MC123" s="561">
        <v>0</v>
      </c>
      <c r="MD123" s="561">
        <v>0</v>
      </c>
      <c r="ME123" s="561">
        <v>0</v>
      </c>
      <c r="MF123" s="561">
        <v>0</v>
      </c>
      <c r="MG123" s="561">
        <v>0</v>
      </c>
      <c r="MH123" s="561">
        <v>3284</v>
      </c>
      <c r="MI123" s="561">
        <v>4636</v>
      </c>
      <c r="MJ123" s="561">
        <v>7920</v>
      </c>
      <c r="MK123" s="561">
        <v>3</v>
      </c>
      <c r="ML123" s="561">
        <v>0</v>
      </c>
      <c r="MM123" s="561">
        <v>28464</v>
      </c>
      <c r="MN123" s="561">
        <v>1831</v>
      </c>
      <c r="MO123" s="561">
        <v>22861</v>
      </c>
      <c r="MP123" s="561">
        <v>0</v>
      </c>
      <c r="MQ123" s="561">
        <v>0</v>
      </c>
      <c r="MR123" s="561">
        <v>-2383</v>
      </c>
      <c r="MS123" s="561">
        <v>0</v>
      </c>
      <c r="MT123" s="561">
        <v>3912</v>
      </c>
      <c r="MU123" s="561">
        <v>0</v>
      </c>
      <c r="MV123" s="561">
        <v>6869</v>
      </c>
      <c r="MW123" s="561">
        <v>3297</v>
      </c>
      <c r="MX123" s="561">
        <v>8094</v>
      </c>
      <c r="MY123" s="561">
        <v>3137</v>
      </c>
      <c r="MZ123" s="561">
        <v>0</v>
      </c>
      <c r="NA123" s="561">
        <v>0</v>
      </c>
      <c r="NB123" s="561">
        <v>6322</v>
      </c>
      <c r="NC123" s="561">
        <v>492</v>
      </c>
      <c r="ND123" s="561">
        <v>29740</v>
      </c>
      <c r="NE123" s="561">
        <v>0</v>
      </c>
      <c r="NF123" s="561">
        <v>0</v>
      </c>
      <c r="NG123" s="561">
        <v>0</v>
      </c>
      <c r="NH123" s="561">
        <v>0</v>
      </c>
      <c r="NI123" s="561">
        <v>0</v>
      </c>
      <c r="NJ123" s="561">
        <v>0</v>
      </c>
      <c r="NK123" s="561">
        <v>0</v>
      </c>
      <c r="NL123" s="561">
        <v>0</v>
      </c>
      <c r="NM123" s="561">
        <v>0</v>
      </c>
      <c r="NN123" s="561">
        <v>0</v>
      </c>
      <c r="NO123" s="561">
        <v>0</v>
      </c>
      <c r="NP123" s="561">
        <v>0</v>
      </c>
      <c r="NQ123" s="561">
        <v>0</v>
      </c>
      <c r="NR123" s="561">
        <v>0</v>
      </c>
      <c r="NS123" s="561">
        <v>0</v>
      </c>
      <c r="NT123" s="561">
        <v>0</v>
      </c>
      <c r="NU123" s="561">
        <v>0</v>
      </c>
      <c r="NV123" s="561">
        <v>0</v>
      </c>
      <c r="NW123" s="561">
        <v>0</v>
      </c>
      <c r="NX123" s="561">
        <v>0</v>
      </c>
      <c r="NY123" s="561">
        <v>0</v>
      </c>
      <c r="NZ123" s="561">
        <v>0</v>
      </c>
      <c r="OA123" s="561">
        <v>0</v>
      </c>
      <c r="OB123" s="561">
        <v>0</v>
      </c>
      <c r="OC123" s="561">
        <v>0</v>
      </c>
      <c r="OD123" s="561">
        <v>0</v>
      </c>
      <c r="OE123" s="561">
        <v>0</v>
      </c>
      <c r="OF123" s="561">
        <v>0</v>
      </c>
      <c r="OG123" s="561">
        <v>0</v>
      </c>
      <c r="OH123" s="561">
        <v>0</v>
      </c>
      <c r="OI123" s="561">
        <v>0</v>
      </c>
      <c r="OJ123" s="561">
        <v>0</v>
      </c>
      <c r="OK123" s="561">
        <v>0</v>
      </c>
      <c r="OL123" s="561">
        <v>0</v>
      </c>
      <c r="OM123" s="561">
        <v>0</v>
      </c>
      <c r="ON123" s="561">
        <v>0</v>
      </c>
      <c r="OO123" s="561">
        <v>0</v>
      </c>
      <c r="OP123" s="561">
        <v>0</v>
      </c>
      <c r="OQ123" s="561">
        <v>0</v>
      </c>
      <c r="OR123" s="561">
        <v>0</v>
      </c>
      <c r="OS123" s="561">
        <v>0</v>
      </c>
      <c r="OT123" s="561">
        <v>0</v>
      </c>
      <c r="OU123" s="561">
        <v>0</v>
      </c>
      <c r="OV123" s="561">
        <v>0</v>
      </c>
      <c r="OW123" s="561">
        <v>0</v>
      </c>
      <c r="OX123" s="561">
        <v>0</v>
      </c>
      <c r="OY123" s="561">
        <v>0</v>
      </c>
      <c r="OZ123" s="561">
        <v>0</v>
      </c>
      <c r="PA123" s="561">
        <v>0</v>
      </c>
      <c r="PB123" s="561">
        <v>0</v>
      </c>
      <c r="PC123" s="561">
        <v>0</v>
      </c>
      <c r="PD123" s="561">
        <v>0</v>
      </c>
      <c r="PE123" s="561">
        <v>0</v>
      </c>
      <c r="PF123" s="561">
        <v>0</v>
      </c>
      <c r="PG123" s="561">
        <v>0</v>
      </c>
      <c r="PH123" s="561">
        <v>0</v>
      </c>
      <c r="PI123" s="561">
        <v>0</v>
      </c>
      <c r="PJ123" s="561">
        <v>0</v>
      </c>
    </row>
    <row r="124" spans="1:426" ht="14" x14ac:dyDescent="0.3">
      <c r="A124" t="s">
        <v>2804</v>
      </c>
      <c r="B124" t="s">
        <v>2805</v>
      </c>
      <c r="C124" t="s">
        <v>2806</v>
      </c>
      <c r="E124" t="s">
        <v>2476</v>
      </c>
      <c r="F124" s="561">
        <v>37274</v>
      </c>
      <c r="G124" s="561">
        <v>91253</v>
      </c>
      <c r="H124" s="561">
        <v>79273</v>
      </c>
      <c r="I124" s="561">
        <v>88158</v>
      </c>
      <c r="J124" s="561">
        <v>18951</v>
      </c>
      <c r="K124" s="561">
        <v>14233</v>
      </c>
      <c r="L124" s="561">
        <v>329142</v>
      </c>
      <c r="M124" s="561">
        <v>0</v>
      </c>
      <c r="N124" s="561">
        <v>0</v>
      </c>
      <c r="O124" s="561">
        <v>0</v>
      </c>
      <c r="P124" s="561">
        <v>0</v>
      </c>
      <c r="Q124" s="561">
        <v>0</v>
      </c>
      <c r="R124" s="561">
        <v>83</v>
      </c>
      <c r="S124" s="561">
        <v>10</v>
      </c>
      <c r="T124" s="561">
        <v>2594</v>
      </c>
      <c r="U124" s="561">
        <v>278</v>
      </c>
      <c r="V124" s="561">
        <v>5386</v>
      </c>
      <c r="W124" s="561">
        <v>0</v>
      </c>
      <c r="X124" s="561">
        <v>-3754</v>
      </c>
      <c r="Y124" s="561">
        <v>0</v>
      </c>
      <c r="Z124" s="561">
        <v>771</v>
      </c>
      <c r="AA124" s="561">
        <v>-2328</v>
      </c>
      <c r="AB124" s="561">
        <v>-689</v>
      </c>
      <c r="AC124" s="561">
        <v>10123</v>
      </c>
      <c r="AD124" s="561">
        <v>0</v>
      </c>
      <c r="AE124" s="561">
        <v>0</v>
      </c>
      <c r="AF124" s="561">
        <v>0</v>
      </c>
      <c r="AG124" s="561">
        <v>0</v>
      </c>
      <c r="AH124" s="561">
        <v>0</v>
      </c>
      <c r="AI124" s="561">
        <v>0</v>
      </c>
      <c r="AJ124" s="561">
        <v>12474</v>
      </c>
      <c r="AK124" s="561">
        <v>0</v>
      </c>
      <c r="AL124" s="561">
        <v>0</v>
      </c>
      <c r="AM124" s="561">
        <v>0</v>
      </c>
      <c r="AN124" s="561">
        <v>0</v>
      </c>
      <c r="AO124" s="561">
        <v>0</v>
      </c>
      <c r="AP124" s="561">
        <v>0</v>
      </c>
      <c r="AQ124" s="561">
        <v>0</v>
      </c>
      <c r="AR124" s="561">
        <v>0</v>
      </c>
      <c r="AS124" s="561">
        <v>0</v>
      </c>
      <c r="AT124" s="561">
        <v>6300</v>
      </c>
      <c r="AU124" s="561">
        <v>0</v>
      </c>
      <c r="AV124" s="561">
        <v>0</v>
      </c>
      <c r="AW124" s="561">
        <v>0</v>
      </c>
      <c r="AX124" s="561">
        <v>0</v>
      </c>
      <c r="AY124" s="561">
        <v>40946</v>
      </c>
      <c r="AZ124" s="561">
        <v>0</v>
      </c>
      <c r="BA124" s="561">
        <v>11136</v>
      </c>
      <c r="BB124" s="561">
        <v>4132</v>
      </c>
      <c r="BC124" s="561">
        <v>24776</v>
      </c>
      <c r="BD124" s="561">
        <v>637</v>
      </c>
      <c r="BE124" s="561">
        <v>2535</v>
      </c>
      <c r="BF124" s="561">
        <v>84162</v>
      </c>
      <c r="BG124" s="561">
        <v>0</v>
      </c>
      <c r="BH124" s="561">
        <v>19459.02</v>
      </c>
      <c r="BI124" s="561">
        <v>39810.76</v>
      </c>
      <c r="BJ124" s="561">
        <v>403.05</v>
      </c>
      <c r="BK124" s="561">
        <v>217.84</v>
      </c>
      <c r="BL124" s="561">
        <v>317</v>
      </c>
      <c r="BM124" s="561">
        <v>3401.14</v>
      </c>
      <c r="BN124" s="561">
        <v>30880.71</v>
      </c>
      <c r="BO124" s="561">
        <v>3761.22</v>
      </c>
      <c r="BP124" s="561">
        <v>5162.8</v>
      </c>
      <c r="BQ124" s="561">
        <v>3494.42</v>
      </c>
      <c r="BR124" s="561">
        <v>0</v>
      </c>
      <c r="BS124" s="561">
        <v>477.89</v>
      </c>
      <c r="BT124" s="561">
        <v>0</v>
      </c>
      <c r="BU124" s="561">
        <v>308.97000000000003</v>
      </c>
      <c r="BV124" s="561">
        <v>1645</v>
      </c>
      <c r="BW124" s="561">
        <v>13818</v>
      </c>
      <c r="BX124" s="561">
        <v>2941</v>
      </c>
      <c r="BY124" s="561">
        <v>3188</v>
      </c>
      <c r="BZ124" s="561">
        <v>129286.82</v>
      </c>
      <c r="CA124" s="561">
        <v>5724</v>
      </c>
      <c r="CB124" s="561">
        <v>2701.57</v>
      </c>
      <c r="CC124" s="561">
        <v>1109.72</v>
      </c>
      <c r="CD124" s="561">
        <v>145.28</v>
      </c>
      <c r="CE124" s="561">
        <v>80.67</v>
      </c>
      <c r="CF124" s="561">
        <v>92.43</v>
      </c>
      <c r="CG124" s="561">
        <v>32.28</v>
      </c>
      <c r="CH124" s="561">
        <v>36.19</v>
      </c>
      <c r="CI124" s="561">
        <v>387.29</v>
      </c>
      <c r="CJ124" s="561">
        <v>405.59</v>
      </c>
      <c r="CK124" s="561">
        <v>337.69</v>
      </c>
      <c r="CL124" s="561">
        <v>367.51</v>
      </c>
      <c r="CM124" s="561">
        <v>2136.52</v>
      </c>
      <c r="CN124" s="561">
        <v>787.82</v>
      </c>
      <c r="CO124" s="561">
        <v>751.15</v>
      </c>
      <c r="CP124" s="561">
        <v>373.89</v>
      </c>
      <c r="CQ124" s="561">
        <v>497.26</v>
      </c>
      <c r="CR124" s="561">
        <v>499.51</v>
      </c>
      <c r="CS124" s="561">
        <v>123.65</v>
      </c>
      <c r="CT124" s="561">
        <v>1451.26</v>
      </c>
      <c r="CU124" s="561">
        <v>5358.51</v>
      </c>
      <c r="CV124" s="561">
        <v>444.2</v>
      </c>
      <c r="CW124" s="561">
        <v>49.35</v>
      </c>
      <c r="CX124" s="561">
        <v>1594.4</v>
      </c>
      <c r="CY124" s="561">
        <v>1676.68</v>
      </c>
      <c r="CZ124" s="561">
        <v>21440.42</v>
      </c>
      <c r="DA124" s="561">
        <v>165.6</v>
      </c>
      <c r="DB124" s="561">
        <v>128</v>
      </c>
      <c r="DC124" s="561">
        <v>86</v>
      </c>
      <c r="DD124" s="561">
        <v>41</v>
      </c>
      <c r="DE124" s="561">
        <v>0</v>
      </c>
      <c r="DF124" s="561">
        <v>0</v>
      </c>
      <c r="DG124" s="561">
        <v>0</v>
      </c>
      <c r="DH124" s="561">
        <v>0</v>
      </c>
      <c r="DI124" s="561">
        <v>0</v>
      </c>
      <c r="DJ124" s="561">
        <v>0</v>
      </c>
      <c r="DK124" s="561">
        <v>0</v>
      </c>
      <c r="DL124" s="561">
        <v>11451</v>
      </c>
      <c r="DM124" s="561">
        <v>2123</v>
      </c>
      <c r="DN124" s="561">
        <v>0</v>
      </c>
      <c r="DO124" s="561">
        <v>0</v>
      </c>
      <c r="DP124" s="561">
        <v>0</v>
      </c>
      <c r="DQ124" s="561">
        <v>28</v>
      </c>
      <c r="DR124" s="561">
        <v>18493</v>
      </c>
      <c r="DS124" s="561">
        <v>7537</v>
      </c>
      <c r="DT124" s="561">
        <v>-22</v>
      </c>
      <c r="DU124" s="561">
        <v>39610</v>
      </c>
      <c r="DV124" s="561">
        <v>0</v>
      </c>
      <c r="DW124" s="561">
        <v>0</v>
      </c>
      <c r="DX124" s="561">
        <v>0</v>
      </c>
      <c r="DY124" s="561">
        <v>3433</v>
      </c>
      <c r="DZ124" s="561">
        <v>0</v>
      </c>
      <c r="EA124" s="561">
        <v>2658</v>
      </c>
      <c r="EB124" s="561">
        <v>2404</v>
      </c>
      <c r="EC124" s="561">
        <v>48105</v>
      </c>
      <c r="ED124" s="561">
        <v>0</v>
      </c>
      <c r="EE124" s="561">
        <v>66980</v>
      </c>
      <c r="EF124" s="561">
        <v>3299</v>
      </c>
      <c r="EG124" s="561">
        <v>17485</v>
      </c>
      <c r="EH124" s="561">
        <v>1466</v>
      </c>
      <c r="EI124" s="561">
        <v>0</v>
      </c>
      <c r="EJ124" s="561">
        <v>0</v>
      </c>
      <c r="EK124" s="561">
        <v>0</v>
      </c>
      <c r="EL124" s="561">
        <v>0</v>
      </c>
      <c r="EM124" s="561">
        <v>0</v>
      </c>
      <c r="EN124" s="561">
        <v>16252</v>
      </c>
      <c r="EO124" s="561">
        <v>38057</v>
      </c>
      <c r="EP124" s="561">
        <v>0</v>
      </c>
      <c r="EQ124" s="561">
        <v>2417</v>
      </c>
      <c r="ER124" s="561">
        <v>14426</v>
      </c>
      <c r="ES124" s="561" t="s">
        <v>4565</v>
      </c>
      <c r="ET124" s="561">
        <v>0</v>
      </c>
      <c r="EU124" s="561">
        <v>4927</v>
      </c>
      <c r="EV124" s="561">
        <v>0</v>
      </c>
      <c r="EW124" s="561">
        <v>0</v>
      </c>
      <c r="EX124" s="561">
        <v>6163</v>
      </c>
      <c r="EY124" s="561">
        <v>428</v>
      </c>
      <c r="EZ124" s="561">
        <v>6560</v>
      </c>
      <c r="FA124" s="561">
        <v>23204</v>
      </c>
      <c r="FB124" s="561">
        <v>0</v>
      </c>
      <c r="FC124" s="561">
        <v>493</v>
      </c>
      <c r="FD124" s="561">
        <v>0</v>
      </c>
      <c r="FE124" s="561">
        <v>240</v>
      </c>
      <c r="FF124" s="561">
        <v>1597</v>
      </c>
      <c r="FG124" s="561">
        <v>497</v>
      </c>
      <c r="FH124" s="561">
        <v>0</v>
      </c>
      <c r="FI124" s="561">
        <v>0</v>
      </c>
      <c r="FJ124" s="561">
        <v>506</v>
      </c>
      <c r="FK124" s="561">
        <v>6955</v>
      </c>
      <c r="FL124" s="561">
        <v>0</v>
      </c>
      <c r="FM124" s="561">
        <v>0</v>
      </c>
      <c r="FN124" s="561">
        <v>1997</v>
      </c>
      <c r="FO124" s="561">
        <v>12285</v>
      </c>
      <c r="FP124" s="561">
        <v>0</v>
      </c>
      <c r="FQ124" s="561">
        <v>-1458</v>
      </c>
      <c r="FR124" s="561">
        <v>253</v>
      </c>
      <c r="FS124" s="561">
        <v>0</v>
      </c>
      <c r="FT124" s="561">
        <v>549</v>
      </c>
      <c r="FU124" s="561">
        <v>372</v>
      </c>
      <c r="FV124" s="561">
        <v>15</v>
      </c>
      <c r="FW124" s="561">
        <v>0</v>
      </c>
      <c r="FX124" s="561">
        <v>0</v>
      </c>
      <c r="FY124" s="561">
        <v>0</v>
      </c>
      <c r="FZ124" s="561">
        <v>66</v>
      </c>
      <c r="GA124" s="561">
        <v>0</v>
      </c>
      <c r="GB124" s="561">
        <v>871</v>
      </c>
      <c r="GC124" s="561">
        <v>1313</v>
      </c>
      <c r="GD124" s="561">
        <v>0</v>
      </c>
      <c r="GE124" s="561">
        <v>1676</v>
      </c>
      <c r="GF124" s="561">
        <v>658</v>
      </c>
      <c r="GG124" s="561">
        <v>0</v>
      </c>
      <c r="GH124" s="561">
        <v>0</v>
      </c>
      <c r="GI124" s="561">
        <v>0</v>
      </c>
      <c r="GJ124" s="561">
        <v>0</v>
      </c>
      <c r="GK124" s="561">
        <v>0</v>
      </c>
      <c r="GL124" s="561">
        <v>8579</v>
      </c>
      <c r="GM124" s="561">
        <v>9813</v>
      </c>
      <c r="GN124" s="561">
        <v>0</v>
      </c>
      <c r="GO124" s="561">
        <v>-820</v>
      </c>
      <c r="GP124" s="561">
        <v>-1533</v>
      </c>
      <c r="GQ124" s="561">
        <v>448</v>
      </c>
      <c r="GR124" s="561">
        <v>76</v>
      </c>
      <c r="GS124" s="561">
        <v>20878</v>
      </c>
      <c r="GT124" s="561">
        <v>64</v>
      </c>
      <c r="GU124" s="561">
        <v>252</v>
      </c>
      <c r="GV124" s="561">
        <v>1857</v>
      </c>
      <c r="GW124" s="561">
        <v>0</v>
      </c>
      <c r="GX124" s="561">
        <v>2399</v>
      </c>
      <c r="GY124" s="561">
        <v>514</v>
      </c>
      <c r="GZ124" s="561">
        <v>884</v>
      </c>
      <c r="HA124" s="561">
        <v>0</v>
      </c>
      <c r="HB124" s="561">
        <v>106</v>
      </c>
      <c r="HC124" s="561">
        <v>106</v>
      </c>
      <c r="HD124" s="561">
        <v>6118</v>
      </c>
      <c r="HE124" s="561">
        <v>0</v>
      </c>
      <c r="HF124" s="561">
        <v>39281</v>
      </c>
      <c r="HG124" s="561">
        <v>0</v>
      </c>
      <c r="HH124" s="561">
        <v>0</v>
      </c>
      <c r="HI124" s="561">
        <v>0</v>
      </c>
      <c r="HJ124" s="561">
        <v>0</v>
      </c>
      <c r="HK124" s="561">
        <v>0</v>
      </c>
      <c r="HL124" s="561">
        <v>0</v>
      </c>
      <c r="HM124" s="561">
        <v>0</v>
      </c>
      <c r="HN124" s="561">
        <v>0</v>
      </c>
      <c r="HO124" s="561">
        <v>4867</v>
      </c>
      <c r="HP124" s="561">
        <v>4581</v>
      </c>
      <c r="HQ124" s="561">
        <v>0</v>
      </c>
      <c r="HR124" s="561">
        <v>0</v>
      </c>
      <c r="HS124" s="561">
        <v>0</v>
      </c>
      <c r="HT124" s="561">
        <v>1526</v>
      </c>
      <c r="HU124" s="561">
        <v>0</v>
      </c>
      <c r="HV124" s="561">
        <v>145</v>
      </c>
      <c r="HW124" s="561">
        <v>876</v>
      </c>
      <c r="HX124" s="561">
        <v>1024</v>
      </c>
      <c r="HY124" s="561">
        <v>356</v>
      </c>
      <c r="HZ124" s="561">
        <v>-425</v>
      </c>
      <c r="IA124" s="561">
        <v>0</v>
      </c>
      <c r="IB124" s="561">
        <v>0</v>
      </c>
      <c r="IC124" s="561">
        <v>504</v>
      </c>
      <c r="ID124" s="561">
        <v>-3458</v>
      </c>
      <c r="IE124" s="561">
        <v>3318</v>
      </c>
      <c r="IF124" s="561">
        <v>0</v>
      </c>
      <c r="IG124" s="561">
        <v>85</v>
      </c>
      <c r="IH124" s="561">
        <v>3572</v>
      </c>
      <c r="II124" s="561">
        <v>16971</v>
      </c>
      <c r="IJ124" s="561">
        <v>77.36</v>
      </c>
      <c r="IK124" s="561">
        <v>6531</v>
      </c>
      <c r="IL124" s="561">
        <v>0</v>
      </c>
      <c r="IM124" s="561">
        <v>0</v>
      </c>
      <c r="IN124" s="561">
        <v>0</v>
      </c>
      <c r="IO124" s="561">
        <v>0</v>
      </c>
      <c r="IP124" s="561">
        <v>-1975</v>
      </c>
      <c r="IQ124" s="561">
        <v>0</v>
      </c>
      <c r="IR124" s="561">
        <v>329142</v>
      </c>
      <c r="IS124" s="561">
        <v>12474</v>
      </c>
      <c r="IT124" s="561">
        <v>84162</v>
      </c>
      <c r="IU124" s="561">
        <v>129286.82</v>
      </c>
      <c r="IV124" s="561">
        <v>21440.42</v>
      </c>
      <c r="IW124" s="561">
        <v>48105</v>
      </c>
      <c r="IX124" s="561">
        <v>12285</v>
      </c>
      <c r="IY124" s="561">
        <v>20878</v>
      </c>
      <c r="IZ124" s="561">
        <v>6118</v>
      </c>
      <c r="JA124" s="561">
        <v>0</v>
      </c>
      <c r="JB124" s="561">
        <v>0</v>
      </c>
      <c r="JC124" s="561">
        <v>16971</v>
      </c>
      <c r="JD124" s="561">
        <v>-1975</v>
      </c>
      <c r="JE124" s="561">
        <v>678887.24</v>
      </c>
      <c r="JF124" s="561">
        <v>103350</v>
      </c>
      <c r="JG124" s="561">
        <v>44775</v>
      </c>
      <c r="JH124" s="561">
        <v>0</v>
      </c>
      <c r="JI124" s="561">
        <v>0</v>
      </c>
      <c r="JJ124" s="561">
        <v>0</v>
      </c>
      <c r="JK124" s="561">
        <v>0</v>
      </c>
      <c r="JL124" s="561">
        <v>0</v>
      </c>
      <c r="JM124" s="561">
        <v>12171</v>
      </c>
      <c r="JN124" s="561">
        <v>324</v>
      </c>
      <c r="JO124" s="561">
        <v>512</v>
      </c>
      <c r="JP124" s="561">
        <v>0</v>
      </c>
      <c r="JQ124" s="561">
        <v>2667</v>
      </c>
      <c r="JR124" s="561">
        <v>0</v>
      </c>
      <c r="JS124" s="561">
        <v>0</v>
      </c>
      <c r="JT124" s="561">
        <v>0</v>
      </c>
      <c r="JU124" s="561">
        <v>0</v>
      </c>
      <c r="JV124" s="561">
        <v>842686.24</v>
      </c>
      <c r="JW124" s="561">
        <v>245</v>
      </c>
      <c r="JX124" s="561">
        <v>0</v>
      </c>
      <c r="JY124" s="561">
        <v>0</v>
      </c>
      <c r="JZ124" s="561">
        <v>-252</v>
      </c>
      <c r="KA124" s="561">
        <v>-20000</v>
      </c>
      <c r="KB124" s="561">
        <v>5816</v>
      </c>
      <c r="KC124" s="561">
        <v>22220</v>
      </c>
      <c r="KD124" s="561">
        <v>0</v>
      </c>
      <c r="KE124" s="561">
        <v>41309</v>
      </c>
      <c r="KF124" s="561">
        <v>-14427</v>
      </c>
      <c r="KG124" s="561">
        <v>877597.24</v>
      </c>
      <c r="KH124" s="561">
        <v>-20680</v>
      </c>
      <c r="KI124" s="561">
        <v>0</v>
      </c>
      <c r="KJ124" s="561">
        <v>0</v>
      </c>
      <c r="KK124" s="561">
        <v>0</v>
      </c>
      <c r="KL124" s="561">
        <v>-173260.62</v>
      </c>
      <c r="KM124" s="561">
        <v>0</v>
      </c>
      <c r="KN124" s="561">
        <v>-1266</v>
      </c>
      <c r="KO124" s="561">
        <v>0</v>
      </c>
      <c r="KP124" s="561">
        <v>0</v>
      </c>
      <c r="KQ124" s="561">
        <v>-2666</v>
      </c>
      <c r="KR124" s="561">
        <v>679724.62</v>
      </c>
      <c r="KS124" s="561">
        <v>0</v>
      </c>
      <c r="KT124" s="561">
        <v>-393832</v>
      </c>
      <c r="KU124" s="561">
        <v>285892.62</v>
      </c>
      <c r="KV124" s="561">
        <v>0</v>
      </c>
      <c r="KW124" s="561">
        <v>0</v>
      </c>
      <c r="KX124" s="561">
        <v>0</v>
      </c>
      <c r="KY124" s="561">
        <v>-562</v>
      </c>
      <c r="KZ124" s="561">
        <v>1751</v>
      </c>
      <c r="LA124" s="561">
        <v>1577</v>
      </c>
      <c r="LB124" s="561">
        <v>-22133</v>
      </c>
      <c r="LC124" s="561">
        <v>0</v>
      </c>
      <c r="LD124" s="561">
        <v>-101393</v>
      </c>
      <c r="LE124" s="561">
        <v>-1015</v>
      </c>
      <c r="LF124" s="561">
        <v>0</v>
      </c>
      <c r="LG124" s="561">
        <v>164118</v>
      </c>
      <c r="LH124" s="561">
        <v>0</v>
      </c>
      <c r="LI124" s="561">
        <v>-14752</v>
      </c>
      <c r="LJ124" s="561">
        <v>0</v>
      </c>
      <c r="LK124" s="561">
        <v>1645</v>
      </c>
      <c r="LL124" s="561">
        <v>58475</v>
      </c>
      <c r="LM124" s="561">
        <v>14350</v>
      </c>
      <c r="LN124" s="561">
        <v>0</v>
      </c>
      <c r="LO124" s="561">
        <v>-17418</v>
      </c>
      <c r="LP124" s="561">
        <v>0</v>
      </c>
      <c r="LQ124" s="561">
        <v>1083</v>
      </c>
      <c r="LR124" s="561">
        <v>60226</v>
      </c>
      <c r="LS124" s="561">
        <v>15927</v>
      </c>
      <c r="LT124" s="561">
        <v>0</v>
      </c>
      <c r="LU124" s="561">
        <v>37248</v>
      </c>
      <c r="LV124" s="561">
        <v>2026</v>
      </c>
      <c r="LW124" s="561">
        <v>0</v>
      </c>
      <c r="LX124" s="561">
        <v>-133469</v>
      </c>
      <c r="LY124" s="561">
        <v>-5082</v>
      </c>
      <c r="LZ124" s="561">
        <v>-67985</v>
      </c>
      <c r="MA124" s="561">
        <v>0</v>
      </c>
      <c r="MB124" s="561">
        <v>0</v>
      </c>
      <c r="MC124" s="561">
        <v>89230</v>
      </c>
      <c r="MD124" s="561">
        <v>82670</v>
      </c>
      <c r="ME124" s="561">
        <v>6560</v>
      </c>
      <c r="MF124" s="561">
        <v>23204</v>
      </c>
      <c r="MG124" s="561">
        <v>29764</v>
      </c>
      <c r="MH124" s="561">
        <v>12192</v>
      </c>
      <c r="MI124" s="561" t="s">
        <v>4582</v>
      </c>
      <c r="MJ124" s="561" t="s">
        <v>4582</v>
      </c>
      <c r="MK124" s="561">
        <v>0</v>
      </c>
      <c r="ML124" s="561">
        <v>0</v>
      </c>
      <c r="MM124" s="561">
        <v>27180</v>
      </c>
      <c r="MN124" s="561">
        <v>13355</v>
      </c>
      <c r="MO124" s="561">
        <v>19691</v>
      </c>
      <c r="MP124" s="561">
        <v>0</v>
      </c>
      <c r="MQ124" s="561">
        <v>329142</v>
      </c>
      <c r="MR124" s="561">
        <v>12474</v>
      </c>
      <c r="MS124" s="561">
        <v>84162</v>
      </c>
      <c r="MT124" s="561">
        <v>129286.82</v>
      </c>
      <c r="MU124" s="561">
        <v>21440.42</v>
      </c>
      <c r="MV124" s="561">
        <v>48105</v>
      </c>
      <c r="MW124" s="561">
        <v>12285</v>
      </c>
      <c r="MX124" s="561">
        <v>20878</v>
      </c>
      <c r="MY124" s="561">
        <v>6118</v>
      </c>
      <c r="MZ124" s="561">
        <v>0</v>
      </c>
      <c r="NA124" s="561">
        <v>0</v>
      </c>
      <c r="NB124" s="561">
        <v>16971</v>
      </c>
      <c r="NC124" s="561">
        <v>-1975</v>
      </c>
      <c r="ND124" s="561">
        <v>678887.24</v>
      </c>
      <c r="NE124" s="561">
        <v>0</v>
      </c>
      <c r="NF124" s="561">
        <v>0</v>
      </c>
      <c r="NG124" s="561">
        <v>0</v>
      </c>
      <c r="NH124" s="561">
        <v>0</v>
      </c>
      <c r="NI124" s="561">
        <v>0</v>
      </c>
      <c r="NJ124" s="561">
        <v>0</v>
      </c>
      <c r="NK124" s="561">
        <v>0</v>
      </c>
      <c r="NL124" s="561">
        <v>0</v>
      </c>
      <c r="NM124" s="561">
        <v>0</v>
      </c>
      <c r="NN124" s="561">
        <v>0</v>
      </c>
      <c r="NO124" s="561">
        <v>0</v>
      </c>
      <c r="NP124" s="561">
        <v>0</v>
      </c>
      <c r="NQ124" s="561">
        <v>0</v>
      </c>
      <c r="NR124" s="561">
        <v>0</v>
      </c>
      <c r="NS124" s="561">
        <v>0</v>
      </c>
      <c r="NT124" s="561">
        <v>0</v>
      </c>
      <c r="NU124" s="561">
        <v>0</v>
      </c>
      <c r="NV124" s="561">
        <v>0</v>
      </c>
      <c r="NW124" s="561">
        <v>0</v>
      </c>
      <c r="NX124" s="561">
        <v>0</v>
      </c>
      <c r="NY124" s="561">
        <v>0</v>
      </c>
      <c r="NZ124" s="561">
        <v>0</v>
      </c>
      <c r="OA124" s="561">
        <v>0</v>
      </c>
      <c r="OB124" s="561">
        <v>0</v>
      </c>
      <c r="OC124" s="561">
        <v>0</v>
      </c>
      <c r="OD124" s="561">
        <v>0</v>
      </c>
      <c r="OE124" s="561">
        <v>0</v>
      </c>
      <c r="OF124" s="561">
        <v>0</v>
      </c>
      <c r="OG124" s="561">
        <v>0</v>
      </c>
      <c r="OH124" s="561">
        <v>0</v>
      </c>
      <c r="OI124" s="561">
        <v>0</v>
      </c>
      <c r="OJ124" s="561">
        <v>0</v>
      </c>
      <c r="OK124" s="561">
        <v>0</v>
      </c>
      <c r="OL124" s="561">
        <v>0</v>
      </c>
      <c r="OM124" s="561">
        <v>0</v>
      </c>
      <c r="ON124" s="561">
        <v>0</v>
      </c>
      <c r="OO124" s="561">
        <v>0</v>
      </c>
      <c r="OP124" s="561">
        <v>2550</v>
      </c>
      <c r="OQ124" s="561">
        <v>-14</v>
      </c>
      <c r="OR124" s="561">
        <v>0</v>
      </c>
      <c r="OS124" s="561">
        <v>0</v>
      </c>
      <c r="OT124" s="561">
        <v>0</v>
      </c>
      <c r="OU124" s="561">
        <v>0</v>
      </c>
      <c r="OV124" s="561">
        <v>3106</v>
      </c>
      <c r="OW124" s="561">
        <v>0</v>
      </c>
      <c r="OX124" s="561">
        <v>2667</v>
      </c>
      <c r="OY124" s="561">
        <v>0</v>
      </c>
      <c r="OZ124" s="561">
        <v>0</v>
      </c>
      <c r="PA124" s="561">
        <v>0</v>
      </c>
      <c r="PB124" s="561">
        <v>0</v>
      </c>
      <c r="PC124" s="561">
        <v>0</v>
      </c>
      <c r="PD124" s="561">
        <v>0</v>
      </c>
      <c r="PE124" s="561">
        <v>0</v>
      </c>
      <c r="PF124" s="561">
        <v>0</v>
      </c>
      <c r="PG124" s="561">
        <v>0</v>
      </c>
      <c r="PH124" s="561">
        <v>0</v>
      </c>
      <c r="PI124" s="561">
        <v>0</v>
      </c>
      <c r="PJ124" s="561">
        <v>0</v>
      </c>
    </row>
    <row r="125" spans="1:426" ht="14" x14ac:dyDescent="0.3">
      <c r="A125" t="s">
        <v>2807</v>
      </c>
      <c r="B125" t="s">
        <v>2808</v>
      </c>
      <c r="C125" t="s">
        <v>2809</v>
      </c>
      <c r="E125" t="s">
        <v>384</v>
      </c>
      <c r="F125" s="561">
        <v>0</v>
      </c>
      <c r="G125" s="561">
        <v>0</v>
      </c>
      <c r="H125" s="561">
        <v>0</v>
      </c>
      <c r="I125" s="561">
        <v>0</v>
      </c>
      <c r="J125" s="561">
        <v>0</v>
      </c>
      <c r="K125" s="561">
        <v>0</v>
      </c>
      <c r="L125" s="561">
        <v>0</v>
      </c>
      <c r="M125" s="561">
        <v>0</v>
      </c>
      <c r="N125" s="561">
        <v>352</v>
      </c>
      <c r="O125" s="561">
        <v>0</v>
      </c>
      <c r="P125" s="561">
        <v>0</v>
      </c>
      <c r="Q125" s="561">
        <v>205</v>
      </c>
      <c r="R125" s="561">
        <v>0</v>
      </c>
      <c r="S125" s="561">
        <v>0</v>
      </c>
      <c r="T125" s="561">
        <v>-33</v>
      </c>
      <c r="U125" s="561">
        <v>0</v>
      </c>
      <c r="V125" s="561">
        <v>0</v>
      </c>
      <c r="W125" s="561">
        <v>0</v>
      </c>
      <c r="X125" s="561">
        <v>0</v>
      </c>
      <c r="Y125" s="561">
        <v>0</v>
      </c>
      <c r="Z125" s="561">
        <v>10</v>
      </c>
      <c r="AA125" s="561">
        <v>0</v>
      </c>
      <c r="AB125" s="561">
        <v>-482</v>
      </c>
      <c r="AC125" s="561">
        <v>3</v>
      </c>
      <c r="AD125" s="561">
        <v>0</v>
      </c>
      <c r="AE125" s="561">
        <v>0</v>
      </c>
      <c r="AF125" s="561">
        <v>17</v>
      </c>
      <c r="AG125" s="561">
        <v>0</v>
      </c>
      <c r="AH125" s="561">
        <v>0</v>
      </c>
      <c r="AI125" s="561">
        <v>0</v>
      </c>
      <c r="AJ125" s="561">
        <v>72</v>
      </c>
      <c r="AK125" s="561">
        <v>35</v>
      </c>
      <c r="AL125" s="561">
        <v>0</v>
      </c>
      <c r="AM125" s="561">
        <v>0</v>
      </c>
      <c r="AN125" s="561">
        <v>0</v>
      </c>
      <c r="AO125" s="561">
        <v>0</v>
      </c>
      <c r="AP125" s="561">
        <v>0</v>
      </c>
      <c r="AQ125" s="561">
        <v>0</v>
      </c>
      <c r="AR125" s="561">
        <v>0</v>
      </c>
      <c r="AS125" s="561">
        <v>0</v>
      </c>
      <c r="AT125" s="561">
        <v>0</v>
      </c>
      <c r="AU125" s="561">
        <v>0</v>
      </c>
      <c r="AV125" s="561">
        <v>0</v>
      </c>
      <c r="AW125" s="561">
        <v>0</v>
      </c>
      <c r="AX125" s="561">
        <v>0</v>
      </c>
      <c r="AY125" s="561">
        <v>0</v>
      </c>
      <c r="AZ125" s="561">
        <v>0</v>
      </c>
      <c r="BA125" s="561">
        <v>0</v>
      </c>
      <c r="BB125" s="561">
        <v>0</v>
      </c>
      <c r="BC125" s="561">
        <v>0</v>
      </c>
      <c r="BD125" s="561">
        <v>0</v>
      </c>
      <c r="BE125" s="561">
        <v>0</v>
      </c>
      <c r="BF125" s="561">
        <v>0</v>
      </c>
      <c r="BG125" s="561">
        <v>0</v>
      </c>
      <c r="BH125" s="561">
        <v>0</v>
      </c>
      <c r="BI125" s="561">
        <v>0</v>
      </c>
      <c r="BJ125" s="561">
        <v>0</v>
      </c>
      <c r="BK125" s="561">
        <v>0</v>
      </c>
      <c r="BL125" s="561">
        <v>0</v>
      </c>
      <c r="BM125" s="561">
        <v>0</v>
      </c>
      <c r="BN125" s="561">
        <v>0</v>
      </c>
      <c r="BO125" s="561">
        <v>0</v>
      </c>
      <c r="BP125" s="561">
        <v>0</v>
      </c>
      <c r="BQ125" s="561">
        <v>0</v>
      </c>
      <c r="BR125" s="561">
        <v>0</v>
      </c>
      <c r="BS125" s="561">
        <v>0</v>
      </c>
      <c r="BT125" s="561">
        <v>0</v>
      </c>
      <c r="BU125" s="561">
        <v>0</v>
      </c>
      <c r="BV125" s="561">
        <v>0</v>
      </c>
      <c r="BW125" s="561">
        <v>0</v>
      </c>
      <c r="BX125" s="561">
        <v>0</v>
      </c>
      <c r="BY125" s="561">
        <v>0</v>
      </c>
      <c r="BZ125" s="561">
        <v>0</v>
      </c>
      <c r="CA125" s="561">
        <v>0</v>
      </c>
      <c r="CB125" s="561">
        <v>0</v>
      </c>
      <c r="CC125" s="561">
        <v>0</v>
      </c>
      <c r="CD125" s="561">
        <v>0</v>
      </c>
      <c r="CE125" s="561">
        <v>0</v>
      </c>
      <c r="CF125" s="561">
        <v>0</v>
      </c>
      <c r="CG125" s="561">
        <v>0</v>
      </c>
      <c r="CH125" s="561">
        <v>0</v>
      </c>
      <c r="CI125" s="561">
        <v>0</v>
      </c>
      <c r="CJ125" s="561">
        <v>0</v>
      </c>
      <c r="CK125" s="561">
        <v>0</v>
      </c>
      <c r="CL125" s="561">
        <v>0</v>
      </c>
      <c r="CM125" s="561">
        <v>0</v>
      </c>
      <c r="CN125" s="561">
        <v>0</v>
      </c>
      <c r="CO125" s="561">
        <v>0</v>
      </c>
      <c r="CP125" s="561">
        <v>0</v>
      </c>
      <c r="CQ125" s="561">
        <v>0</v>
      </c>
      <c r="CR125" s="561">
        <v>0</v>
      </c>
      <c r="CS125" s="561">
        <v>0</v>
      </c>
      <c r="CT125" s="561">
        <v>0</v>
      </c>
      <c r="CU125" s="561">
        <v>0</v>
      </c>
      <c r="CV125" s="561">
        <v>0</v>
      </c>
      <c r="CW125" s="561">
        <v>0</v>
      </c>
      <c r="CX125" s="561">
        <v>0</v>
      </c>
      <c r="CY125" s="561">
        <v>156</v>
      </c>
      <c r="CZ125" s="561">
        <v>156</v>
      </c>
      <c r="DA125" s="561">
        <v>0</v>
      </c>
      <c r="DB125" s="561">
        <v>0</v>
      </c>
      <c r="DC125" s="561">
        <v>0</v>
      </c>
      <c r="DD125" s="561">
        <v>0</v>
      </c>
      <c r="DE125" s="561">
        <v>0</v>
      </c>
      <c r="DF125" s="561">
        <v>0</v>
      </c>
      <c r="DG125" s="561">
        <v>0</v>
      </c>
      <c r="DH125" s="561">
        <v>95</v>
      </c>
      <c r="DI125" s="561">
        <v>899.17</v>
      </c>
      <c r="DJ125" s="561">
        <v>-225.72</v>
      </c>
      <c r="DK125" s="561">
        <v>-27.2</v>
      </c>
      <c r="DL125" s="561">
        <v>531</v>
      </c>
      <c r="DM125" s="561">
        <v>0</v>
      </c>
      <c r="DN125" s="561">
        <v>0</v>
      </c>
      <c r="DO125" s="561">
        <v>-171</v>
      </c>
      <c r="DP125" s="561">
        <v>162</v>
      </c>
      <c r="DQ125" s="561">
        <v>4</v>
      </c>
      <c r="DR125" s="561">
        <v>110</v>
      </c>
      <c r="DS125" s="561">
        <v>1131</v>
      </c>
      <c r="DT125" s="561">
        <v>0</v>
      </c>
      <c r="DU125" s="561">
        <v>1767</v>
      </c>
      <c r="DV125" s="561">
        <v>-403</v>
      </c>
      <c r="DW125" s="561">
        <v>-12</v>
      </c>
      <c r="DX125" s="561">
        <v>146</v>
      </c>
      <c r="DY125" s="561">
        <v>1162.68</v>
      </c>
      <c r="DZ125" s="561">
        <v>0</v>
      </c>
      <c r="EA125" s="561">
        <v>0</v>
      </c>
      <c r="EB125" s="561">
        <v>0</v>
      </c>
      <c r="EC125" s="561">
        <v>3401.93</v>
      </c>
      <c r="ED125" s="561">
        <v>580</v>
      </c>
      <c r="EE125" s="561">
        <v>41583</v>
      </c>
      <c r="EF125" s="561">
        <v>836</v>
      </c>
      <c r="EG125" s="561">
        <v>2053</v>
      </c>
      <c r="EH125" s="561">
        <v>439</v>
      </c>
      <c r="EI125" s="561">
        <v>0</v>
      </c>
      <c r="EJ125" s="561">
        <v>401</v>
      </c>
      <c r="EK125" s="561">
        <v>0</v>
      </c>
      <c r="EL125" s="561">
        <v>0</v>
      </c>
      <c r="EM125" s="561">
        <v>0</v>
      </c>
      <c r="EN125" s="561">
        <v>11746</v>
      </c>
      <c r="EO125" s="561">
        <v>9314</v>
      </c>
      <c r="EP125" s="561">
        <v>3430</v>
      </c>
      <c r="EQ125" s="561">
        <v>604</v>
      </c>
      <c r="ER125" s="561">
        <v>5403</v>
      </c>
      <c r="ES125" s="561" t="s">
        <v>4565</v>
      </c>
      <c r="ET125" s="561">
        <v>0</v>
      </c>
      <c r="EU125" s="561">
        <v>0</v>
      </c>
      <c r="EV125" s="561">
        <v>27</v>
      </c>
      <c r="EW125" s="561">
        <v>0</v>
      </c>
      <c r="EX125" s="561">
        <v>11006</v>
      </c>
      <c r="EY125" s="561">
        <v>201</v>
      </c>
      <c r="EZ125" s="561">
        <v>3581</v>
      </c>
      <c r="FA125" s="561">
        <v>4798</v>
      </c>
      <c r="FB125" s="561">
        <v>0</v>
      </c>
      <c r="FC125" s="561">
        <v>0</v>
      </c>
      <c r="FD125" s="561">
        <v>0</v>
      </c>
      <c r="FE125" s="561">
        <v>491.03</v>
      </c>
      <c r="FF125" s="561">
        <v>0</v>
      </c>
      <c r="FG125" s="561">
        <v>1232.54</v>
      </c>
      <c r="FH125" s="561">
        <v>0</v>
      </c>
      <c r="FI125" s="561">
        <v>6</v>
      </c>
      <c r="FJ125" s="561">
        <v>-1174.1099999999999</v>
      </c>
      <c r="FK125" s="561">
        <v>1398.32</v>
      </c>
      <c r="FL125" s="561">
        <v>0</v>
      </c>
      <c r="FM125" s="561">
        <v>0</v>
      </c>
      <c r="FN125" s="561">
        <v>0</v>
      </c>
      <c r="FO125" s="561">
        <v>1953.78</v>
      </c>
      <c r="FP125" s="561">
        <v>118</v>
      </c>
      <c r="FQ125" s="561">
        <v>2.0299999999999998</v>
      </c>
      <c r="FR125" s="561">
        <v>0</v>
      </c>
      <c r="FS125" s="561">
        <v>59.52</v>
      </c>
      <c r="FT125" s="561">
        <v>2.23</v>
      </c>
      <c r="FU125" s="561">
        <v>2272.34</v>
      </c>
      <c r="FV125" s="561">
        <v>0</v>
      </c>
      <c r="FW125" s="561">
        <v>-13</v>
      </c>
      <c r="FX125" s="561">
        <v>0</v>
      </c>
      <c r="FY125" s="561">
        <v>0</v>
      </c>
      <c r="FZ125" s="561">
        <v>-20.52</v>
      </c>
      <c r="GA125" s="561">
        <v>172.13</v>
      </c>
      <c r="GB125" s="561">
        <v>12.83</v>
      </c>
      <c r="GC125" s="561">
        <v>500.75</v>
      </c>
      <c r="GD125" s="561">
        <v>195.49</v>
      </c>
      <c r="GE125" s="561">
        <v>0</v>
      </c>
      <c r="GF125" s="561">
        <v>24.54</v>
      </c>
      <c r="GG125" s="561">
        <v>0</v>
      </c>
      <c r="GH125" s="561">
        <v>940.13</v>
      </c>
      <c r="GI125" s="561">
        <v>0</v>
      </c>
      <c r="GJ125" s="561">
        <v>0</v>
      </c>
      <c r="GK125" s="561">
        <v>0</v>
      </c>
      <c r="GL125" s="561">
        <v>747.49</v>
      </c>
      <c r="GM125" s="561">
        <v>5995.39</v>
      </c>
      <c r="GN125" s="561">
        <v>0</v>
      </c>
      <c r="GO125" s="561">
        <v>73</v>
      </c>
      <c r="GP125" s="561">
        <v>1079.83</v>
      </c>
      <c r="GQ125" s="561">
        <v>0</v>
      </c>
      <c r="GR125" s="561">
        <v>0</v>
      </c>
      <c r="GS125" s="561">
        <v>12044.18</v>
      </c>
      <c r="GT125" s="561">
        <v>427</v>
      </c>
      <c r="GU125" s="561">
        <v>762.84</v>
      </c>
      <c r="GV125" s="561">
        <v>2378.9</v>
      </c>
      <c r="GW125" s="561">
        <v>28.23</v>
      </c>
      <c r="GX125" s="561">
        <v>762.66</v>
      </c>
      <c r="GY125" s="561">
        <v>374.68</v>
      </c>
      <c r="GZ125" s="561">
        <v>46.04</v>
      </c>
      <c r="HA125" s="561">
        <v>0</v>
      </c>
      <c r="HB125" s="561">
        <v>34.049999999999997</v>
      </c>
      <c r="HC125" s="561">
        <v>493</v>
      </c>
      <c r="HD125" s="561">
        <v>4880.3999999999996</v>
      </c>
      <c r="HE125" s="561">
        <v>719</v>
      </c>
      <c r="HF125" s="561">
        <v>18878.36</v>
      </c>
      <c r="HG125" s="561">
        <v>0</v>
      </c>
      <c r="HH125" s="561">
        <v>0</v>
      </c>
      <c r="HI125" s="561">
        <v>0</v>
      </c>
      <c r="HJ125" s="561">
        <v>0</v>
      </c>
      <c r="HK125" s="561">
        <v>0</v>
      </c>
      <c r="HL125" s="561">
        <v>0</v>
      </c>
      <c r="HM125" s="561">
        <v>0</v>
      </c>
      <c r="HN125" s="561">
        <v>0</v>
      </c>
      <c r="HO125" s="561">
        <v>3978.81</v>
      </c>
      <c r="HP125" s="561">
        <v>1442.23</v>
      </c>
      <c r="HQ125" s="561">
        <v>0</v>
      </c>
      <c r="HR125" s="561">
        <v>0</v>
      </c>
      <c r="HS125" s="561">
        <v>0</v>
      </c>
      <c r="HT125" s="561">
        <v>741.48</v>
      </c>
      <c r="HU125" s="561">
        <v>0</v>
      </c>
      <c r="HV125" s="561">
        <v>0</v>
      </c>
      <c r="HW125" s="561">
        <v>41.92</v>
      </c>
      <c r="HX125" s="561">
        <v>92.87</v>
      </c>
      <c r="HY125" s="561">
        <v>141.28</v>
      </c>
      <c r="HZ125" s="561">
        <v>338.84</v>
      </c>
      <c r="IA125" s="561">
        <v>0</v>
      </c>
      <c r="IB125" s="561">
        <v>247.13</v>
      </c>
      <c r="IC125" s="561">
        <v>0</v>
      </c>
      <c r="ID125" s="561">
        <v>0</v>
      </c>
      <c r="IE125" s="561">
        <v>0</v>
      </c>
      <c r="IF125" s="561">
        <v>-28</v>
      </c>
      <c r="IG125" s="561">
        <v>0</v>
      </c>
      <c r="IH125" s="561">
        <v>-4321.41</v>
      </c>
      <c r="II125" s="561">
        <v>2675.15</v>
      </c>
      <c r="IJ125" s="561">
        <v>599</v>
      </c>
      <c r="IK125" s="561">
        <v>0</v>
      </c>
      <c r="IL125" s="561">
        <v>4507</v>
      </c>
      <c r="IM125" s="561">
        <v>0</v>
      </c>
      <c r="IN125" s="561">
        <v>0</v>
      </c>
      <c r="IO125" s="561">
        <v>0</v>
      </c>
      <c r="IP125" s="561">
        <v>0</v>
      </c>
      <c r="IQ125" s="561">
        <v>0</v>
      </c>
      <c r="IR125" s="561">
        <v>0</v>
      </c>
      <c r="IS125" s="561">
        <v>72</v>
      </c>
      <c r="IT125" s="561">
        <v>0</v>
      </c>
      <c r="IU125" s="561">
        <v>0</v>
      </c>
      <c r="IV125" s="561">
        <v>156</v>
      </c>
      <c r="IW125" s="561">
        <v>3401.93</v>
      </c>
      <c r="IX125" s="561">
        <v>1953.78</v>
      </c>
      <c r="IY125" s="561">
        <v>12044.18</v>
      </c>
      <c r="IZ125" s="561">
        <v>4880.3999999999996</v>
      </c>
      <c r="JA125" s="561">
        <v>0</v>
      </c>
      <c r="JB125" s="561">
        <v>0</v>
      </c>
      <c r="JC125" s="561">
        <v>2675.15</v>
      </c>
      <c r="JD125" s="561">
        <v>0</v>
      </c>
      <c r="JE125" s="561">
        <v>25183.439999999999</v>
      </c>
      <c r="JF125" s="561">
        <v>9427</v>
      </c>
      <c r="JG125" s="561">
        <v>351</v>
      </c>
      <c r="JH125" s="561">
        <v>11121</v>
      </c>
      <c r="JI125" s="561">
        <v>0</v>
      </c>
      <c r="JJ125" s="561">
        <v>439.16</v>
      </c>
      <c r="JK125" s="561">
        <v>4566</v>
      </c>
      <c r="JL125" s="561">
        <v>0</v>
      </c>
      <c r="JM125" s="561">
        <v>0</v>
      </c>
      <c r="JN125" s="561">
        <v>0</v>
      </c>
      <c r="JO125" s="561">
        <v>0</v>
      </c>
      <c r="JP125" s="561">
        <v>-8725</v>
      </c>
      <c r="JQ125" s="561">
        <v>399</v>
      </c>
      <c r="JR125" s="561">
        <v>0</v>
      </c>
      <c r="JS125" s="561">
        <v>0</v>
      </c>
      <c r="JT125" s="561">
        <v>-14</v>
      </c>
      <c r="JU125" s="561">
        <v>0</v>
      </c>
      <c r="JV125" s="561">
        <v>42747.6</v>
      </c>
      <c r="JW125" s="561">
        <v>0</v>
      </c>
      <c r="JX125" s="561">
        <v>0</v>
      </c>
      <c r="JY125" s="561">
        <v>0</v>
      </c>
      <c r="JZ125" s="561">
        <v>0</v>
      </c>
      <c r="KA125" s="561">
        <v>0</v>
      </c>
      <c r="KB125" s="561">
        <v>241.93</v>
      </c>
      <c r="KC125" s="561">
        <v>2117</v>
      </c>
      <c r="KD125" s="561">
        <v>254</v>
      </c>
      <c r="KE125" s="561">
        <v>8437</v>
      </c>
      <c r="KF125" s="561">
        <v>-5002</v>
      </c>
      <c r="KG125" s="561">
        <v>48795.53</v>
      </c>
      <c r="KH125" s="561">
        <v>-6763</v>
      </c>
      <c r="KI125" s="561">
        <v>0</v>
      </c>
      <c r="KJ125" s="561">
        <v>0</v>
      </c>
      <c r="KK125" s="561">
        <v>0</v>
      </c>
      <c r="KL125" s="561">
        <v>-21248</v>
      </c>
      <c r="KM125" s="561">
        <v>0</v>
      </c>
      <c r="KN125" s="561">
        <v>0</v>
      </c>
      <c r="KO125" s="561">
        <v>0</v>
      </c>
      <c r="KP125" s="561">
        <v>0</v>
      </c>
      <c r="KQ125" s="561">
        <v>0</v>
      </c>
      <c r="KR125" s="561">
        <v>20784.53</v>
      </c>
      <c r="KS125" s="561">
        <v>0</v>
      </c>
      <c r="KT125" s="561">
        <v>-2275</v>
      </c>
      <c r="KU125" s="561">
        <v>18509.53</v>
      </c>
      <c r="KV125" s="561">
        <v>0</v>
      </c>
      <c r="KW125" s="561">
        <v>0</v>
      </c>
      <c r="KX125" s="561">
        <v>0</v>
      </c>
      <c r="KY125" s="561">
        <v>0</v>
      </c>
      <c r="KZ125" s="561">
        <v>3255</v>
      </c>
      <c r="LA125" s="561">
        <v>0</v>
      </c>
      <c r="LB125" s="561">
        <v>-137</v>
      </c>
      <c r="LC125" s="561">
        <v>0</v>
      </c>
      <c r="LD125" s="561">
        <v>-7864</v>
      </c>
      <c r="LE125" s="561">
        <v>90</v>
      </c>
      <c r="LF125" s="561">
        <v>0</v>
      </c>
      <c r="LG125" s="561">
        <v>13854</v>
      </c>
      <c r="LH125" s="561">
        <v>0</v>
      </c>
      <c r="LI125" s="561">
        <v>0</v>
      </c>
      <c r="LJ125" s="561">
        <v>0</v>
      </c>
      <c r="LK125" s="561">
        <v>0</v>
      </c>
      <c r="LL125" s="561">
        <v>4677</v>
      </c>
      <c r="LM125" s="561">
        <v>4000</v>
      </c>
      <c r="LN125" s="561">
        <v>0</v>
      </c>
      <c r="LO125" s="561">
        <v>0</v>
      </c>
      <c r="LP125" s="561">
        <v>0</v>
      </c>
      <c r="LQ125" s="561">
        <v>0</v>
      </c>
      <c r="LR125" s="561">
        <v>7932</v>
      </c>
      <c r="LS125" s="561">
        <v>4000</v>
      </c>
      <c r="LT125" s="561">
        <v>0</v>
      </c>
      <c r="LU125" s="561">
        <v>13459</v>
      </c>
      <c r="LV125" s="561">
        <v>0</v>
      </c>
      <c r="LW125" s="561">
        <v>15276</v>
      </c>
      <c r="LX125" s="561">
        <v>-3299</v>
      </c>
      <c r="LY125" s="561">
        <v>1918</v>
      </c>
      <c r="LZ125" s="561">
        <v>17005</v>
      </c>
      <c r="MA125" s="561">
        <v>0</v>
      </c>
      <c r="MB125" s="561">
        <v>0</v>
      </c>
      <c r="MC125" s="561">
        <v>45312</v>
      </c>
      <c r="MD125" s="561">
        <v>41731</v>
      </c>
      <c r="ME125" s="561">
        <v>3581</v>
      </c>
      <c r="MF125" s="561">
        <v>4798</v>
      </c>
      <c r="MG125" s="561">
        <v>8379</v>
      </c>
      <c r="MH125" s="561">
        <v>33</v>
      </c>
      <c r="MI125" s="561">
        <v>146</v>
      </c>
      <c r="MJ125" s="561">
        <v>179</v>
      </c>
      <c r="MK125" s="561">
        <v>0</v>
      </c>
      <c r="ML125" s="561">
        <v>0</v>
      </c>
      <c r="MM125" s="561">
        <v>6432</v>
      </c>
      <c r="MN125" s="561">
        <v>1500</v>
      </c>
      <c r="MO125" s="561">
        <v>0</v>
      </c>
      <c r="MP125" s="561">
        <v>0</v>
      </c>
      <c r="MQ125" s="561">
        <v>0</v>
      </c>
      <c r="MR125" s="561">
        <v>72</v>
      </c>
      <c r="MS125" s="561">
        <v>0</v>
      </c>
      <c r="MT125" s="561">
        <v>0</v>
      </c>
      <c r="MU125" s="561">
        <v>156</v>
      </c>
      <c r="MV125" s="561">
        <v>3401.93</v>
      </c>
      <c r="MW125" s="561">
        <v>1953.78</v>
      </c>
      <c r="MX125" s="561">
        <v>12044.18</v>
      </c>
      <c r="MY125" s="561">
        <v>4880.3999999999996</v>
      </c>
      <c r="MZ125" s="561">
        <v>0</v>
      </c>
      <c r="NA125" s="561">
        <v>0</v>
      </c>
      <c r="NB125" s="561">
        <v>2675.15</v>
      </c>
      <c r="NC125" s="561">
        <v>0</v>
      </c>
      <c r="ND125" s="561">
        <v>25183.439999999999</v>
      </c>
      <c r="NE125" s="561">
        <v>0</v>
      </c>
      <c r="NF125" s="561">
        <v>0</v>
      </c>
      <c r="NG125" s="561">
        <v>0</v>
      </c>
      <c r="NH125" s="561">
        <v>0</v>
      </c>
      <c r="NI125" s="561">
        <v>0</v>
      </c>
      <c r="NJ125" s="561">
        <v>0</v>
      </c>
      <c r="NK125" s="561">
        <v>0</v>
      </c>
      <c r="NL125" s="561">
        <v>0</v>
      </c>
      <c r="NM125" s="561">
        <v>0</v>
      </c>
      <c r="NN125" s="561">
        <v>-245</v>
      </c>
      <c r="NO125" s="561">
        <v>0</v>
      </c>
      <c r="NP125" s="561">
        <v>0</v>
      </c>
      <c r="NQ125" s="561">
        <v>0</v>
      </c>
      <c r="NR125" s="561">
        <v>0</v>
      </c>
      <c r="NS125" s="561">
        <v>0</v>
      </c>
      <c r="NT125" s="561">
        <v>-1752</v>
      </c>
      <c r="NU125" s="561">
        <v>-3593</v>
      </c>
      <c r="NV125" s="561">
        <v>0</v>
      </c>
      <c r="NW125" s="561">
        <v>-8725</v>
      </c>
      <c r="NX125" s="561">
        <v>0</v>
      </c>
      <c r="NY125" s="561">
        <v>-8725</v>
      </c>
      <c r="NZ125" s="561">
        <v>0</v>
      </c>
      <c r="OA125" s="561">
        <v>0</v>
      </c>
      <c r="OB125" s="561">
        <v>0</v>
      </c>
      <c r="OC125" s="561">
        <v>0</v>
      </c>
      <c r="OD125" s="561">
        <v>0</v>
      </c>
      <c r="OE125" s="561">
        <v>0</v>
      </c>
      <c r="OF125" s="561">
        <v>0</v>
      </c>
      <c r="OG125" s="561">
        <v>0</v>
      </c>
      <c r="OH125" s="561">
        <v>0</v>
      </c>
      <c r="OI125" s="561">
        <v>0</v>
      </c>
      <c r="OJ125" s="561">
        <v>0</v>
      </c>
      <c r="OK125" s="561">
        <v>0</v>
      </c>
      <c r="OL125" s="561">
        <v>0</v>
      </c>
      <c r="OM125" s="561">
        <v>399</v>
      </c>
      <c r="ON125" s="561">
        <v>0</v>
      </c>
      <c r="OO125" s="561">
        <v>0</v>
      </c>
      <c r="OP125" s="561">
        <v>0</v>
      </c>
      <c r="OQ125" s="561">
        <v>0</v>
      </c>
      <c r="OR125" s="561">
        <v>0</v>
      </c>
      <c r="OS125" s="561">
        <v>0</v>
      </c>
      <c r="OT125" s="561">
        <v>0</v>
      </c>
      <c r="OU125" s="561">
        <v>0</v>
      </c>
      <c r="OV125" s="561">
        <v>270</v>
      </c>
      <c r="OW125" s="561">
        <v>0</v>
      </c>
      <c r="OX125" s="561">
        <v>399</v>
      </c>
      <c r="OY125" s="561">
        <v>0</v>
      </c>
      <c r="OZ125" s="561">
        <v>0</v>
      </c>
      <c r="PA125" s="561">
        <v>0</v>
      </c>
      <c r="PB125" s="561">
        <v>0</v>
      </c>
      <c r="PC125" s="561">
        <v>0</v>
      </c>
      <c r="PD125" s="561">
        <v>0</v>
      </c>
      <c r="PE125" s="561">
        <v>0</v>
      </c>
      <c r="PF125" s="561">
        <v>0</v>
      </c>
      <c r="PG125" s="561">
        <v>0</v>
      </c>
      <c r="PH125" s="561">
        <v>0</v>
      </c>
      <c r="PI125" s="561">
        <v>0</v>
      </c>
      <c r="PJ125" s="561">
        <v>0</v>
      </c>
    </row>
    <row r="126" spans="1:426" ht="14" x14ac:dyDescent="0.3">
      <c r="A126" t="s">
        <v>2810</v>
      </c>
      <c r="B126" t="s">
        <v>2811</v>
      </c>
      <c r="C126" t="s">
        <v>2812</v>
      </c>
      <c r="E126" t="s">
        <v>384</v>
      </c>
      <c r="F126" s="561">
        <v>0</v>
      </c>
      <c r="G126" s="561">
        <v>0</v>
      </c>
      <c r="H126" s="561">
        <v>0</v>
      </c>
      <c r="I126" s="561">
        <v>0</v>
      </c>
      <c r="J126" s="561">
        <v>0</v>
      </c>
      <c r="K126" s="561">
        <v>0</v>
      </c>
      <c r="L126" s="561">
        <v>0</v>
      </c>
      <c r="M126" s="561">
        <v>0</v>
      </c>
      <c r="N126" s="561">
        <v>0</v>
      </c>
      <c r="O126" s="561">
        <v>0</v>
      </c>
      <c r="P126" s="561">
        <v>0</v>
      </c>
      <c r="Q126" s="561">
        <v>0</v>
      </c>
      <c r="R126" s="561">
        <v>0</v>
      </c>
      <c r="S126" s="561">
        <v>0</v>
      </c>
      <c r="T126" s="561">
        <v>394</v>
      </c>
      <c r="U126" s="561">
        <v>0</v>
      </c>
      <c r="V126" s="561">
        <v>0</v>
      </c>
      <c r="W126" s="561">
        <v>0</v>
      </c>
      <c r="X126" s="561">
        <v>0</v>
      </c>
      <c r="Y126" s="561">
        <v>0</v>
      </c>
      <c r="Z126" s="561">
        <v>0</v>
      </c>
      <c r="AA126" s="561">
        <v>0</v>
      </c>
      <c r="AB126" s="561">
        <v>-2813</v>
      </c>
      <c r="AC126" s="561">
        <v>0</v>
      </c>
      <c r="AD126" s="561">
        <v>0</v>
      </c>
      <c r="AE126" s="561">
        <v>0</v>
      </c>
      <c r="AF126" s="561">
        <v>0</v>
      </c>
      <c r="AG126" s="561">
        <v>0</v>
      </c>
      <c r="AH126" s="561">
        <v>0</v>
      </c>
      <c r="AI126" s="561">
        <v>0</v>
      </c>
      <c r="AJ126" s="561">
        <v>-2419</v>
      </c>
      <c r="AK126" s="561">
        <v>0</v>
      </c>
      <c r="AL126" s="561">
        <v>0</v>
      </c>
      <c r="AM126" s="561">
        <v>0</v>
      </c>
      <c r="AN126" s="561">
        <v>0</v>
      </c>
      <c r="AO126" s="561">
        <v>0</v>
      </c>
      <c r="AP126" s="561">
        <v>0</v>
      </c>
      <c r="AQ126" s="561">
        <v>0</v>
      </c>
      <c r="AR126" s="561">
        <v>0</v>
      </c>
      <c r="AS126" s="561">
        <v>0</v>
      </c>
      <c r="AT126" s="561">
        <v>0</v>
      </c>
      <c r="AU126" s="561">
        <v>0</v>
      </c>
      <c r="AV126" s="561">
        <v>0</v>
      </c>
      <c r="AW126" s="561">
        <v>0</v>
      </c>
      <c r="AX126" s="561">
        <v>0</v>
      </c>
      <c r="AY126" s="561">
        <v>0</v>
      </c>
      <c r="AZ126" s="561">
        <v>0</v>
      </c>
      <c r="BA126" s="561">
        <v>0</v>
      </c>
      <c r="BB126" s="561">
        <v>0</v>
      </c>
      <c r="BC126" s="561">
        <v>0</v>
      </c>
      <c r="BD126" s="561">
        <v>0</v>
      </c>
      <c r="BE126" s="561">
        <v>0</v>
      </c>
      <c r="BF126" s="561">
        <v>0</v>
      </c>
      <c r="BG126" s="561">
        <v>0</v>
      </c>
      <c r="BH126" s="561">
        <v>0</v>
      </c>
      <c r="BI126" s="561">
        <v>840</v>
      </c>
      <c r="BJ126" s="561">
        <v>0</v>
      </c>
      <c r="BK126" s="561">
        <v>0</v>
      </c>
      <c r="BL126" s="561">
        <v>0</v>
      </c>
      <c r="BM126" s="561">
        <v>0</v>
      </c>
      <c r="BN126" s="561">
        <v>0</v>
      </c>
      <c r="BO126" s="561">
        <v>0</v>
      </c>
      <c r="BP126" s="561">
        <v>0</v>
      </c>
      <c r="BQ126" s="561">
        <v>0</v>
      </c>
      <c r="BR126" s="561">
        <v>0</v>
      </c>
      <c r="BS126" s="561">
        <v>0</v>
      </c>
      <c r="BT126" s="561">
        <v>0</v>
      </c>
      <c r="BU126" s="561">
        <v>0</v>
      </c>
      <c r="BV126" s="561">
        <v>96</v>
      </c>
      <c r="BW126" s="561">
        <v>0</v>
      </c>
      <c r="BX126" s="561">
        <v>0</v>
      </c>
      <c r="BY126" s="561">
        <v>0</v>
      </c>
      <c r="BZ126" s="561">
        <v>936</v>
      </c>
      <c r="CA126" s="561">
        <v>79</v>
      </c>
      <c r="CB126" s="561">
        <v>0</v>
      </c>
      <c r="CC126" s="561">
        <v>0</v>
      </c>
      <c r="CD126" s="561">
        <v>0</v>
      </c>
      <c r="CE126" s="561">
        <v>0</v>
      </c>
      <c r="CF126" s="561">
        <v>0</v>
      </c>
      <c r="CG126" s="561">
        <v>0</v>
      </c>
      <c r="CH126" s="561">
        <v>0</v>
      </c>
      <c r="CI126" s="561">
        <v>0</v>
      </c>
      <c r="CJ126" s="561">
        <v>0</v>
      </c>
      <c r="CK126" s="561">
        <v>0</v>
      </c>
      <c r="CL126" s="561">
        <v>0</v>
      </c>
      <c r="CM126" s="561">
        <v>0</v>
      </c>
      <c r="CN126" s="561">
        <v>0</v>
      </c>
      <c r="CO126" s="561">
        <v>0</v>
      </c>
      <c r="CP126" s="561">
        <v>0</v>
      </c>
      <c r="CQ126" s="561">
        <v>0</v>
      </c>
      <c r="CR126" s="561">
        <v>0</v>
      </c>
      <c r="CS126" s="561">
        <v>0</v>
      </c>
      <c r="CT126" s="561">
        <v>0</v>
      </c>
      <c r="CU126" s="561">
        <v>0</v>
      </c>
      <c r="CV126" s="561">
        <v>0</v>
      </c>
      <c r="CW126" s="561">
        <v>0</v>
      </c>
      <c r="CX126" s="561">
        <v>0</v>
      </c>
      <c r="CY126" s="561">
        <v>324</v>
      </c>
      <c r="CZ126" s="561">
        <v>324</v>
      </c>
      <c r="DA126" s="561">
        <v>0</v>
      </c>
      <c r="DB126" s="561">
        <v>0</v>
      </c>
      <c r="DC126" s="561">
        <v>0</v>
      </c>
      <c r="DD126" s="561">
        <v>0</v>
      </c>
      <c r="DE126" s="561">
        <v>0</v>
      </c>
      <c r="DF126" s="561">
        <v>0</v>
      </c>
      <c r="DG126" s="561">
        <v>0</v>
      </c>
      <c r="DH126" s="561">
        <v>62</v>
      </c>
      <c r="DI126" s="561">
        <v>0</v>
      </c>
      <c r="DJ126" s="561">
        <v>-9</v>
      </c>
      <c r="DK126" s="561">
        <v>96</v>
      </c>
      <c r="DL126" s="561">
        <v>0</v>
      </c>
      <c r="DM126" s="561">
        <v>53</v>
      </c>
      <c r="DN126" s="561">
        <v>0</v>
      </c>
      <c r="DO126" s="561">
        <v>2127</v>
      </c>
      <c r="DP126" s="561">
        <v>97</v>
      </c>
      <c r="DQ126" s="561">
        <v>355</v>
      </c>
      <c r="DR126" s="561">
        <v>0</v>
      </c>
      <c r="DS126" s="561">
        <v>1514</v>
      </c>
      <c r="DT126" s="561">
        <v>0</v>
      </c>
      <c r="DU126" s="561">
        <v>4146</v>
      </c>
      <c r="DV126" s="561">
        <v>0</v>
      </c>
      <c r="DW126" s="561">
        <v>0</v>
      </c>
      <c r="DX126" s="561">
        <v>0</v>
      </c>
      <c r="DY126" s="561">
        <v>-49</v>
      </c>
      <c r="DZ126" s="561">
        <v>0</v>
      </c>
      <c r="EA126" s="561">
        <v>0</v>
      </c>
      <c r="EB126" s="561">
        <v>0</v>
      </c>
      <c r="EC126" s="561">
        <v>4246</v>
      </c>
      <c r="ED126" s="561">
        <v>0</v>
      </c>
      <c r="EE126" s="561">
        <v>0</v>
      </c>
      <c r="EF126" s="561">
        <v>0</v>
      </c>
      <c r="EG126" s="561">
        <v>0</v>
      </c>
      <c r="EH126" s="561">
        <v>0</v>
      </c>
      <c r="EI126" s="561">
        <v>0</v>
      </c>
      <c r="EJ126" s="561">
        <v>0</v>
      </c>
      <c r="EK126" s="561">
        <v>0</v>
      </c>
      <c r="EL126" s="561">
        <v>0</v>
      </c>
      <c r="EM126" s="561">
        <v>0</v>
      </c>
      <c r="EN126" s="561">
        <v>0</v>
      </c>
      <c r="EO126" s="561">
        <v>0</v>
      </c>
      <c r="EP126" s="561">
        <v>0</v>
      </c>
      <c r="EQ126" s="561">
        <v>0</v>
      </c>
      <c r="ER126" s="561">
        <v>0</v>
      </c>
      <c r="ES126" s="561" t="s">
        <v>4565</v>
      </c>
      <c r="ET126" s="561">
        <v>0</v>
      </c>
      <c r="EU126" s="561">
        <v>0</v>
      </c>
      <c r="EV126" s="561">
        <v>0</v>
      </c>
      <c r="EW126" s="561">
        <v>0</v>
      </c>
      <c r="EX126" s="561">
        <v>0</v>
      </c>
      <c r="EY126" s="561">
        <v>0</v>
      </c>
      <c r="EZ126" s="561">
        <v>0</v>
      </c>
      <c r="FA126" s="561">
        <v>0</v>
      </c>
      <c r="FB126" s="561">
        <v>0</v>
      </c>
      <c r="FC126" s="561">
        <v>0</v>
      </c>
      <c r="FD126" s="561">
        <v>0</v>
      </c>
      <c r="FE126" s="561">
        <v>232</v>
      </c>
      <c r="FF126" s="561">
        <v>415</v>
      </c>
      <c r="FG126" s="561">
        <v>754</v>
      </c>
      <c r="FH126" s="561">
        <v>0</v>
      </c>
      <c r="FI126" s="561">
        <v>8</v>
      </c>
      <c r="FJ126" s="561">
        <v>-139</v>
      </c>
      <c r="FK126" s="561">
        <v>2737</v>
      </c>
      <c r="FL126" s="561">
        <v>16</v>
      </c>
      <c r="FM126" s="561">
        <v>0</v>
      </c>
      <c r="FN126" s="561">
        <v>0</v>
      </c>
      <c r="FO126" s="561">
        <v>4023</v>
      </c>
      <c r="FP126" s="561">
        <v>415</v>
      </c>
      <c r="FQ126" s="561">
        <v>-26</v>
      </c>
      <c r="FR126" s="561">
        <v>0</v>
      </c>
      <c r="FS126" s="561">
        <v>0</v>
      </c>
      <c r="FT126" s="561">
        <v>0</v>
      </c>
      <c r="FU126" s="561">
        <v>650</v>
      </c>
      <c r="FV126" s="561">
        <v>0</v>
      </c>
      <c r="FW126" s="561">
        <v>0</v>
      </c>
      <c r="FX126" s="561">
        <v>0</v>
      </c>
      <c r="FY126" s="561">
        <v>0</v>
      </c>
      <c r="FZ126" s="561">
        <v>0</v>
      </c>
      <c r="GA126" s="561">
        <v>0</v>
      </c>
      <c r="GB126" s="561">
        <v>85</v>
      </c>
      <c r="GC126" s="561">
        <v>-200</v>
      </c>
      <c r="GD126" s="561">
        <v>0</v>
      </c>
      <c r="GE126" s="561">
        <v>96</v>
      </c>
      <c r="GF126" s="561">
        <v>11</v>
      </c>
      <c r="GG126" s="561">
        <v>0</v>
      </c>
      <c r="GH126" s="561">
        <v>82</v>
      </c>
      <c r="GI126" s="561">
        <v>0</v>
      </c>
      <c r="GJ126" s="561">
        <v>0</v>
      </c>
      <c r="GK126" s="561">
        <v>0</v>
      </c>
      <c r="GL126" s="561">
        <v>1030</v>
      </c>
      <c r="GM126" s="561">
        <v>2325</v>
      </c>
      <c r="GN126" s="561">
        <v>86</v>
      </c>
      <c r="GO126" s="561">
        <v>-156</v>
      </c>
      <c r="GP126" s="561">
        <v>0</v>
      </c>
      <c r="GQ126" s="561">
        <v>0</v>
      </c>
      <c r="GR126" s="561">
        <v>0</v>
      </c>
      <c r="GS126" s="561">
        <v>3983</v>
      </c>
      <c r="GT126" s="561">
        <v>786</v>
      </c>
      <c r="GU126" s="561">
        <v>101</v>
      </c>
      <c r="GV126" s="561">
        <v>981</v>
      </c>
      <c r="GW126" s="561">
        <v>0</v>
      </c>
      <c r="GX126" s="561">
        <v>870</v>
      </c>
      <c r="GY126" s="561">
        <v>0</v>
      </c>
      <c r="GZ126" s="561">
        <v>-4</v>
      </c>
      <c r="HA126" s="561">
        <v>0</v>
      </c>
      <c r="HB126" s="561">
        <v>0</v>
      </c>
      <c r="HC126" s="561">
        <v>0</v>
      </c>
      <c r="HD126" s="561">
        <v>1948</v>
      </c>
      <c r="HE126" s="561">
        <v>159</v>
      </c>
      <c r="HF126" s="561">
        <v>9954</v>
      </c>
      <c r="HG126" s="561">
        <v>0</v>
      </c>
      <c r="HH126" s="561">
        <v>0</v>
      </c>
      <c r="HI126" s="561">
        <v>0</v>
      </c>
      <c r="HJ126" s="561">
        <v>0</v>
      </c>
      <c r="HK126" s="561">
        <v>0</v>
      </c>
      <c r="HL126" s="561">
        <v>0</v>
      </c>
      <c r="HM126" s="561">
        <v>0</v>
      </c>
      <c r="HN126" s="561">
        <v>0</v>
      </c>
      <c r="HO126" s="561">
        <v>1977</v>
      </c>
      <c r="HP126" s="561">
        <v>762</v>
      </c>
      <c r="HQ126" s="561">
        <v>0</v>
      </c>
      <c r="HR126" s="561">
        <v>0</v>
      </c>
      <c r="HS126" s="561">
        <v>336</v>
      </c>
      <c r="HT126" s="561">
        <v>172</v>
      </c>
      <c r="HU126" s="561">
        <v>0</v>
      </c>
      <c r="HV126" s="561">
        <v>0</v>
      </c>
      <c r="HW126" s="561">
        <v>79</v>
      </c>
      <c r="HX126" s="561">
        <v>25</v>
      </c>
      <c r="HY126" s="561">
        <v>0</v>
      </c>
      <c r="HZ126" s="561">
        <v>18</v>
      </c>
      <c r="IA126" s="561">
        <v>0</v>
      </c>
      <c r="IB126" s="561">
        <v>242</v>
      </c>
      <c r="IC126" s="561">
        <v>0</v>
      </c>
      <c r="ID126" s="561">
        <v>0</v>
      </c>
      <c r="IE126" s="561">
        <v>861</v>
      </c>
      <c r="IF126" s="561">
        <v>0</v>
      </c>
      <c r="IG126" s="561">
        <v>0</v>
      </c>
      <c r="IH126" s="561">
        <v>160</v>
      </c>
      <c r="II126" s="561">
        <v>4632</v>
      </c>
      <c r="IJ126" s="561">
        <v>447</v>
      </c>
      <c r="IK126" s="561">
        <v>0</v>
      </c>
      <c r="IL126" s="561">
        <v>6501</v>
      </c>
      <c r="IM126" s="561">
        <v>0</v>
      </c>
      <c r="IN126" s="561">
        <v>0</v>
      </c>
      <c r="IO126" s="561">
        <v>0</v>
      </c>
      <c r="IP126" s="561">
        <v>0</v>
      </c>
      <c r="IQ126" s="561">
        <v>0</v>
      </c>
      <c r="IR126" s="561">
        <v>0</v>
      </c>
      <c r="IS126" s="561">
        <v>-2419</v>
      </c>
      <c r="IT126" s="561">
        <v>0</v>
      </c>
      <c r="IU126" s="561">
        <v>936</v>
      </c>
      <c r="IV126" s="561">
        <v>324</v>
      </c>
      <c r="IW126" s="561">
        <v>4246</v>
      </c>
      <c r="IX126" s="561">
        <v>4023</v>
      </c>
      <c r="IY126" s="561">
        <v>3983</v>
      </c>
      <c r="IZ126" s="561">
        <v>1948</v>
      </c>
      <c r="JA126" s="561">
        <v>0</v>
      </c>
      <c r="JB126" s="561">
        <v>0</v>
      </c>
      <c r="JC126" s="561">
        <v>4632</v>
      </c>
      <c r="JD126" s="561">
        <v>0</v>
      </c>
      <c r="JE126" s="561">
        <v>17673</v>
      </c>
      <c r="JF126" s="561">
        <v>14117</v>
      </c>
      <c r="JG126" s="561">
        <v>962</v>
      </c>
      <c r="JH126" s="561">
        <v>0</v>
      </c>
      <c r="JI126" s="561">
        <v>0</v>
      </c>
      <c r="JJ126" s="561">
        <v>0</v>
      </c>
      <c r="JK126" s="561">
        <v>0</v>
      </c>
      <c r="JL126" s="561">
        <v>0</v>
      </c>
      <c r="JM126" s="561">
        <v>0</v>
      </c>
      <c r="JN126" s="561">
        <v>0</v>
      </c>
      <c r="JO126" s="561">
        <v>0</v>
      </c>
      <c r="JP126" s="561">
        <v>-3186</v>
      </c>
      <c r="JQ126" s="561">
        <v>0</v>
      </c>
      <c r="JR126" s="561">
        <v>0</v>
      </c>
      <c r="JS126" s="561">
        <v>0</v>
      </c>
      <c r="JT126" s="561">
        <v>0</v>
      </c>
      <c r="JU126" s="561">
        <v>0</v>
      </c>
      <c r="JV126" s="561">
        <v>29566</v>
      </c>
      <c r="JW126" s="561">
        <v>0</v>
      </c>
      <c r="JX126" s="561">
        <v>458</v>
      </c>
      <c r="JY126" s="561">
        <v>0</v>
      </c>
      <c r="JZ126" s="561">
        <v>0</v>
      </c>
      <c r="KA126" s="561">
        <v>0</v>
      </c>
      <c r="KB126" s="561">
        <v>88</v>
      </c>
      <c r="KC126" s="561">
        <v>1081</v>
      </c>
      <c r="KD126" s="561">
        <v>660</v>
      </c>
      <c r="KE126" s="561">
        <v>1625</v>
      </c>
      <c r="KF126" s="561">
        <v>0</v>
      </c>
      <c r="KG126" s="561">
        <v>33478</v>
      </c>
      <c r="KH126" s="561">
        <v>-3973</v>
      </c>
      <c r="KI126" s="561">
        <v>0</v>
      </c>
      <c r="KJ126" s="561">
        <v>0</v>
      </c>
      <c r="KK126" s="561">
        <v>0</v>
      </c>
      <c r="KL126" s="561">
        <v>-14308</v>
      </c>
      <c r="KM126" s="561">
        <v>0</v>
      </c>
      <c r="KN126" s="561">
        <v>-925</v>
      </c>
      <c r="KO126" s="561">
        <v>0</v>
      </c>
      <c r="KP126" s="561">
        <v>0</v>
      </c>
      <c r="KQ126" s="561">
        <v>0</v>
      </c>
      <c r="KR126" s="561">
        <v>14272</v>
      </c>
      <c r="KS126" s="561">
        <v>0</v>
      </c>
      <c r="KT126" s="561">
        <v>-1516</v>
      </c>
      <c r="KU126" s="561">
        <v>12756</v>
      </c>
      <c r="KV126" s="561">
        <v>0</v>
      </c>
      <c r="KW126" s="561">
        <v>0</v>
      </c>
      <c r="KX126" s="561">
        <v>0</v>
      </c>
      <c r="KY126" s="561">
        <v>0</v>
      </c>
      <c r="KZ126" s="561">
        <v>-2723</v>
      </c>
      <c r="LA126" s="561">
        <v>-242</v>
      </c>
      <c r="LB126" s="561">
        <v>-56</v>
      </c>
      <c r="LC126" s="561">
        <v>0</v>
      </c>
      <c r="LD126" s="561">
        <v>-2041</v>
      </c>
      <c r="LE126" s="561">
        <v>-58</v>
      </c>
      <c r="LF126" s="561">
        <v>0</v>
      </c>
      <c r="LG126" s="561">
        <v>7636</v>
      </c>
      <c r="LH126" s="561">
        <v>0</v>
      </c>
      <c r="LI126" s="561">
        <v>0</v>
      </c>
      <c r="LJ126" s="561">
        <v>0</v>
      </c>
      <c r="LK126" s="561">
        <v>0</v>
      </c>
      <c r="LL126" s="561">
        <v>32261</v>
      </c>
      <c r="LM126" s="561">
        <v>2997</v>
      </c>
      <c r="LN126" s="561">
        <v>0</v>
      </c>
      <c r="LO126" s="561">
        <v>0</v>
      </c>
      <c r="LP126" s="561">
        <v>0</v>
      </c>
      <c r="LQ126" s="561">
        <v>0</v>
      </c>
      <c r="LR126" s="561">
        <v>29538</v>
      </c>
      <c r="LS126" s="561">
        <v>2755</v>
      </c>
      <c r="LT126" s="561">
        <v>0</v>
      </c>
      <c r="LU126" s="561">
        <v>1839</v>
      </c>
      <c r="LV126" s="561">
        <v>91</v>
      </c>
      <c r="LW126" s="561">
        <v>-1</v>
      </c>
      <c r="LX126" s="561">
        <v>-1271</v>
      </c>
      <c r="LY126" s="561">
        <v>1860</v>
      </c>
      <c r="LZ126" s="561">
        <v>3048</v>
      </c>
      <c r="MA126" s="561">
        <v>0</v>
      </c>
      <c r="MB126" s="561">
        <v>0</v>
      </c>
      <c r="MC126" s="561">
        <v>0</v>
      </c>
      <c r="MD126" s="561">
        <v>0</v>
      </c>
      <c r="ME126" s="561">
        <v>0</v>
      </c>
      <c r="MF126" s="561">
        <v>0</v>
      </c>
      <c r="MG126" s="561">
        <v>0</v>
      </c>
      <c r="MH126" s="561">
        <v>1473</v>
      </c>
      <c r="MI126" s="561">
        <v>2426</v>
      </c>
      <c r="MJ126" s="561">
        <v>3899</v>
      </c>
      <c r="MK126" s="561">
        <v>0</v>
      </c>
      <c r="ML126" s="561">
        <v>0</v>
      </c>
      <c r="MM126" s="561">
        <v>9803</v>
      </c>
      <c r="MN126" s="561">
        <v>12915</v>
      </c>
      <c r="MO126" s="561">
        <v>3838</v>
      </c>
      <c r="MP126" s="561">
        <v>2982</v>
      </c>
      <c r="MQ126" s="561">
        <v>0</v>
      </c>
      <c r="MR126" s="561">
        <v>-2419</v>
      </c>
      <c r="MS126" s="561">
        <v>0</v>
      </c>
      <c r="MT126" s="561">
        <v>936</v>
      </c>
      <c r="MU126" s="561">
        <v>324</v>
      </c>
      <c r="MV126" s="561">
        <v>4246</v>
      </c>
      <c r="MW126" s="561">
        <v>4023</v>
      </c>
      <c r="MX126" s="561">
        <v>3983</v>
      </c>
      <c r="MY126" s="561">
        <v>1948</v>
      </c>
      <c r="MZ126" s="561">
        <v>0</v>
      </c>
      <c r="NA126" s="561">
        <v>0</v>
      </c>
      <c r="NB126" s="561">
        <v>4632</v>
      </c>
      <c r="NC126" s="561">
        <v>0</v>
      </c>
      <c r="ND126" s="561">
        <v>17673</v>
      </c>
      <c r="NE126" s="561">
        <v>0</v>
      </c>
      <c r="NF126" s="561">
        <v>0</v>
      </c>
      <c r="NG126" s="561">
        <v>0</v>
      </c>
      <c r="NH126" s="561">
        <v>0</v>
      </c>
      <c r="NI126" s="561">
        <v>0</v>
      </c>
      <c r="NJ126" s="561">
        <v>0</v>
      </c>
      <c r="NK126" s="561">
        <v>0</v>
      </c>
      <c r="NL126" s="561">
        <v>0</v>
      </c>
      <c r="NM126" s="561">
        <v>0</v>
      </c>
      <c r="NN126" s="561">
        <v>0</v>
      </c>
      <c r="NO126" s="561">
        <v>0</v>
      </c>
      <c r="NP126" s="561">
        <v>0</v>
      </c>
      <c r="NQ126" s="561">
        <v>0</v>
      </c>
      <c r="NR126" s="561">
        <v>0</v>
      </c>
      <c r="NS126" s="561">
        <v>-1890</v>
      </c>
      <c r="NT126" s="561">
        <v>-1296</v>
      </c>
      <c r="NU126" s="561">
        <v>-1013</v>
      </c>
      <c r="NV126" s="561">
        <v>0</v>
      </c>
      <c r="NW126" s="561">
        <v>-3186</v>
      </c>
      <c r="NX126" s="561">
        <v>0</v>
      </c>
      <c r="NY126" s="561">
        <v>-3186</v>
      </c>
      <c r="NZ126" s="561">
        <v>0</v>
      </c>
      <c r="OA126" s="561">
        <v>0</v>
      </c>
      <c r="OB126" s="561">
        <v>0</v>
      </c>
      <c r="OC126" s="561">
        <v>0</v>
      </c>
      <c r="OD126" s="561">
        <v>0</v>
      </c>
      <c r="OE126" s="561">
        <v>0</v>
      </c>
      <c r="OF126" s="561">
        <v>0</v>
      </c>
      <c r="OG126" s="561">
        <v>0</v>
      </c>
      <c r="OH126" s="561">
        <v>0</v>
      </c>
      <c r="OI126" s="561">
        <v>0</v>
      </c>
      <c r="OJ126" s="561">
        <v>0</v>
      </c>
      <c r="OK126" s="561">
        <v>0</v>
      </c>
      <c r="OL126" s="561">
        <v>0</v>
      </c>
      <c r="OM126" s="561">
        <v>0</v>
      </c>
      <c r="ON126" s="561">
        <v>0</v>
      </c>
      <c r="OO126" s="561">
        <v>0</v>
      </c>
      <c r="OP126" s="561">
        <v>0</v>
      </c>
      <c r="OQ126" s="561">
        <v>0</v>
      </c>
      <c r="OR126" s="561">
        <v>0</v>
      </c>
      <c r="OS126" s="561">
        <v>0</v>
      </c>
      <c r="OT126" s="561">
        <v>0</v>
      </c>
      <c r="OU126" s="561">
        <v>0</v>
      </c>
      <c r="OV126" s="561">
        <v>0</v>
      </c>
      <c r="OW126" s="561">
        <v>0</v>
      </c>
      <c r="OX126" s="561">
        <v>0</v>
      </c>
      <c r="OY126" s="561">
        <v>0</v>
      </c>
      <c r="OZ126" s="561">
        <v>0</v>
      </c>
      <c r="PA126" s="561">
        <v>0</v>
      </c>
      <c r="PB126" s="561">
        <v>0</v>
      </c>
      <c r="PC126" s="561">
        <v>0</v>
      </c>
      <c r="PD126" s="561">
        <v>0</v>
      </c>
      <c r="PE126" s="561">
        <v>0</v>
      </c>
      <c r="PF126" s="561">
        <v>0</v>
      </c>
      <c r="PG126" s="561">
        <v>0</v>
      </c>
      <c r="PH126" s="561">
        <v>0</v>
      </c>
      <c r="PI126" s="561">
        <v>0</v>
      </c>
      <c r="PJ126" s="561">
        <v>0</v>
      </c>
    </row>
    <row r="127" spans="1:426" ht="14" x14ac:dyDescent="0.3">
      <c r="A127" t="s">
        <v>2813</v>
      </c>
      <c r="B127" t="s">
        <v>2814</v>
      </c>
      <c r="C127" t="s">
        <v>2815</v>
      </c>
      <c r="E127" t="s">
        <v>384</v>
      </c>
      <c r="F127" s="561">
        <v>0</v>
      </c>
      <c r="G127" s="561">
        <v>0</v>
      </c>
      <c r="H127" s="561">
        <v>0</v>
      </c>
      <c r="I127" s="561">
        <v>0</v>
      </c>
      <c r="J127" s="561">
        <v>0</v>
      </c>
      <c r="K127" s="561">
        <v>0</v>
      </c>
      <c r="L127" s="561">
        <v>0</v>
      </c>
      <c r="M127" s="561">
        <v>0</v>
      </c>
      <c r="N127" s="561">
        <v>0</v>
      </c>
      <c r="O127" s="561">
        <v>0</v>
      </c>
      <c r="P127" s="561">
        <v>0</v>
      </c>
      <c r="Q127" s="561">
        <v>0</v>
      </c>
      <c r="R127" s="561">
        <v>0</v>
      </c>
      <c r="S127" s="561">
        <v>0</v>
      </c>
      <c r="T127" s="561">
        <v>46</v>
      </c>
      <c r="U127" s="561">
        <v>0</v>
      </c>
      <c r="V127" s="561">
        <v>57</v>
      </c>
      <c r="W127" s="561">
        <v>0</v>
      </c>
      <c r="X127" s="561">
        <v>0</v>
      </c>
      <c r="Y127" s="561">
        <v>0</v>
      </c>
      <c r="Z127" s="561">
        <v>0</v>
      </c>
      <c r="AA127" s="561">
        <v>13</v>
      </c>
      <c r="AB127" s="561">
        <v>-607</v>
      </c>
      <c r="AC127" s="561">
        <v>0</v>
      </c>
      <c r="AD127" s="561">
        <v>0</v>
      </c>
      <c r="AE127" s="561">
        <v>0</v>
      </c>
      <c r="AF127" s="561">
        <v>0</v>
      </c>
      <c r="AG127" s="561">
        <v>0</v>
      </c>
      <c r="AH127" s="561">
        <v>0</v>
      </c>
      <c r="AI127" s="561">
        <v>0</v>
      </c>
      <c r="AJ127" s="561">
        <v>-491</v>
      </c>
      <c r="AK127" s="561">
        <v>0</v>
      </c>
      <c r="AL127" s="561">
        <v>0</v>
      </c>
      <c r="AM127" s="561">
        <v>0</v>
      </c>
      <c r="AN127" s="561">
        <v>0</v>
      </c>
      <c r="AO127" s="561">
        <v>0</v>
      </c>
      <c r="AP127" s="561">
        <v>0</v>
      </c>
      <c r="AQ127" s="561">
        <v>0</v>
      </c>
      <c r="AR127" s="561">
        <v>0</v>
      </c>
      <c r="AS127" s="561">
        <v>0</v>
      </c>
      <c r="AT127" s="561">
        <v>0</v>
      </c>
      <c r="AU127" s="561">
        <v>0</v>
      </c>
      <c r="AV127" s="561">
        <v>0</v>
      </c>
      <c r="AW127" s="561">
        <v>0</v>
      </c>
      <c r="AX127" s="561">
        <v>0</v>
      </c>
      <c r="AY127" s="561">
        <v>0</v>
      </c>
      <c r="AZ127" s="561">
        <v>0</v>
      </c>
      <c r="BA127" s="561">
        <v>0</v>
      </c>
      <c r="BB127" s="561">
        <v>0</v>
      </c>
      <c r="BC127" s="561">
        <v>0</v>
      </c>
      <c r="BD127" s="561">
        <v>0</v>
      </c>
      <c r="BE127" s="561">
        <v>0</v>
      </c>
      <c r="BF127" s="561">
        <v>0</v>
      </c>
      <c r="BG127" s="561">
        <v>0</v>
      </c>
      <c r="BH127" s="561">
        <v>0</v>
      </c>
      <c r="BI127" s="561">
        <v>0</v>
      </c>
      <c r="BJ127" s="561">
        <v>0</v>
      </c>
      <c r="BK127" s="561">
        <v>0</v>
      </c>
      <c r="BL127" s="561">
        <v>0</v>
      </c>
      <c r="BM127" s="561">
        <v>0</v>
      </c>
      <c r="BN127" s="561">
        <v>0</v>
      </c>
      <c r="BO127" s="561">
        <v>0</v>
      </c>
      <c r="BP127" s="561">
        <v>0</v>
      </c>
      <c r="BQ127" s="561">
        <v>0</v>
      </c>
      <c r="BR127" s="561">
        <v>0</v>
      </c>
      <c r="BS127" s="561">
        <v>0</v>
      </c>
      <c r="BT127" s="561">
        <v>0</v>
      </c>
      <c r="BU127" s="561">
        <v>0</v>
      </c>
      <c r="BV127" s="561">
        <v>0</v>
      </c>
      <c r="BW127" s="561">
        <v>0</v>
      </c>
      <c r="BX127" s="561">
        <v>0</v>
      </c>
      <c r="BY127" s="561">
        <v>0</v>
      </c>
      <c r="BZ127" s="561">
        <v>0</v>
      </c>
      <c r="CA127" s="561">
        <v>0</v>
      </c>
      <c r="CB127" s="561">
        <v>0</v>
      </c>
      <c r="CC127" s="561">
        <v>0</v>
      </c>
      <c r="CD127" s="561">
        <v>0</v>
      </c>
      <c r="CE127" s="561">
        <v>0</v>
      </c>
      <c r="CF127" s="561">
        <v>0</v>
      </c>
      <c r="CG127" s="561">
        <v>0</v>
      </c>
      <c r="CH127" s="561">
        <v>0</v>
      </c>
      <c r="CI127" s="561">
        <v>0</v>
      </c>
      <c r="CJ127" s="561">
        <v>0</v>
      </c>
      <c r="CK127" s="561">
        <v>0</v>
      </c>
      <c r="CL127" s="561">
        <v>0</v>
      </c>
      <c r="CM127" s="561">
        <v>0</v>
      </c>
      <c r="CN127" s="561">
        <v>0</v>
      </c>
      <c r="CO127" s="561">
        <v>0</v>
      </c>
      <c r="CP127" s="561">
        <v>0</v>
      </c>
      <c r="CQ127" s="561">
        <v>0</v>
      </c>
      <c r="CR127" s="561">
        <v>0</v>
      </c>
      <c r="CS127" s="561">
        <v>0</v>
      </c>
      <c r="CT127" s="561">
        <v>0</v>
      </c>
      <c r="CU127" s="561">
        <v>0</v>
      </c>
      <c r="CV127" s="561">
        <v>0</v>
      </c>
      <c r="CW127" s="561">
        <v>0</v>
      </c>
      <c r="CX127" s="561">
        <v>0</v>
      </c>
      <c r="CY127" s="561">
        <v>0</v>
      </c>
      <c r="CZ127" s="561">
        <v>0</v>
      </c>
      <c r="DA127" s="561">
        <v>0</v>
      </c>
      <c r="DB127" s="561">
        <v>0</v>
      </c>
      <c r="DC127" s="561">
        <v>0</v>
      </c>
      <c r="DD127" s="561">
        <v>0</v>
      </c>
      <c r="DE127" s="561">
        <v>0</v>
      </c>
      <c r="DF127" s="561">
        <v>0</v>
      </c>
      <c r="DG127" s="561">
        <v>0</v>
      </c>
      <c r="DH127" s="561">
        <v>247</v>
      </c>
      <c r="DI127" s="561">
        <v>0</v>
      </c>
      <c r="DJ127" s="561">
        <v>129</v>
      </c>
      <c r="DK127" s="561">
        <v>0</v>
      </c>
      <c r="DL127" s="561">
        <v>60</v>
      </c>
      <c r="DM127" s="561">
        <v>10</v>
      </c>
      <c r="DN127" s="561">
        <v>0</v>
      </c>
      <c r="DO127" s="561">
        <v>467</v>
      </c>
      <c r="DP127" s="561">
        <v>71</v>
      </c>
      <c r="DQ127" s="561">
        <v>0</v>
      </c>
      <c r="DR127" s="561">
        <v>377</v>
      </c>
      <c r="DS127" s="561">
        <v>190</v>
      </c>
      <c r="DT127" s="561">
        <v>0</v>
      </c>
      <c r="DU127" s="561">
        <v>1175</v>
      </c>
      <c r="DV127" s="561">
        <v>0</v>
      </c>
      <c r="DW127" s="561">
        <v>0</v>
      </c>
      <c r="DX127" s="561">
        <v>0</v>
      </c>
      <c r="DY127" s="561">
        <v>657</v>
      </c>
      <c r="DZ127" s="561">
        <v>0</v>
      </c>
      <c r="EA127" s="561">
        <v>119</v>
      </c>
      <c r="EB127" s="561">
        <v>0</v>
      </c>
      <c r="EC127" s="561">
        <v>2327</v>
      </c>
      <c r="ED127" s="561">
        <v>0</v>
      </c>
      <c r="EE127" s="561">
        <v>0</v>
      </c>
      <c r="EF127" s="561">
        <v>0</v>
      </c>
      <c r="EG127" s="561">
        <v>0</v>
      </c>
      <c r="EH127" s="561">
        <v>0</v>
      </c>
      <c r="EI127" s="561">
        <v>0</v>
      </c>
      <c r="EJ127" s="561">
        <v>0</v>
      </c>
      <c r="EK127" s="561">
        <v>0</v>
      </c>
      <c r="EL127" s="561">
        <v>0</v>
      </c>
      <c r="EM127" s="561">
        <v>0</v>
      </c>
      <c r="EN127" s="561">
        <v>0</v>
      </c>
      <c r="EO127" s="561">
        <v>0</v>
      </c>
      <c r="EP127" s="561">
        <v>0</v>
      </c>
      <c r="EQ127" s="561">
        <v>0</v>
      </c>
      <c r="ER127" s="561">
        <v>0</v>
      </c>
      <c r="ES127" s="561" t="s">
        <v>4565</v>
      </c>
      <c r="ET127" s="561">
        <v>0</v>
      </c>
      <c r="EU127" s="561">
        <v>0</v>
      </c>
      <c r="EV127" s="561">
        <v>0</v>
      </c>
      <c r="EW127" s="561">
        <v>0</v>
      </c>
      <c r="EX127" s="561">
        <v>0</v>
      </c>
      <c r="EY127" s="561">
        <v>0</v>
      </c>
      <c r="EZ127" s="561">
        <v>0</v>
      </c>
      <c r="FA127" s="561">
        <v>0</v>
      </c>
      <c r="FB127" s="561">
        <v>0</v>
      </c>
      <c r="FC127" s="561">
        <v>1</v>
      </c>
      <c r="FD127" s="561">
        <v>0</v>
      </c>
      <c r="FE127" s="561">
        <v>217</v>
      </c>
      <c r="FF127" s="561">
        <v>53</v>
      </c>
      <c r="FG127" s="561">
        <v>0</v>
      </c>
      <c r="FH127" s="561">
        <v>0</v>
      </c>
      <c r="FI127" s="561">
        <v>191</v>
      </c>
      <c r="FJ127" s="561">
        <v>-95</v>
      </c>
      <c r="FK127" s="561">
        <v>1412</v>
      </c>
      <c r="FL127" s="561">
        <v>2</v>
      </c>
      <c r="FM127" s="561">
        <v>0</v>
      </c>
      <c r="FN127" s="561">
        <v>0</v>
      </c>
      <c r="FO127" s="561">
        <v>1781</v>
      </c>
      <c r="FP127" s="561">
        <v>0</v>
      </c>
      <c r="FQ127" s="561">
        <v>-377</v>
      </c>
      <c r="FR127" s="561">
        <v>0</v>
      </c>
      <c r="FS127" s="561">
        <v>0</v>
      </c>
      <c r="FT127" s="561">
        <v>260</v>
      </c>
      <c r="FU127" s="561">
        <v>403</v>
      </c>
      <c r="FV127" s="561">
        <v>66</v>
      </c>
      <c r="FW127" s="561">
        <v>57</v>
      </c>
      <c r="FX127" s="561">
        <v>0</v>
      </c>
      <c r="FY127" s="561">
        <v>0</v>
      </c>
      <c r="FZ127" s="561">
        <v>0</v>
      </c>
      <c r="GA127" s="561">
        <v>103</v>
      </c>
      <c r="GB127" s="561">
        <v>38</v>
      </c>
      <c r="GC127" s="561">
        <v>144</v>
      </c>
      <c r="GD127" s="561">
        <v>14</v>
      </c>
      <c r="GE127" s="561">
        <v>364</v>
      </c>
      <c r="GF127" s="561">
        <v>39</v>
      </c>
      <c r="GG127" s="561">
        <v>0</v>
      </c>
      <c r="GH127" s="561">
        <v>19</v>
      </c>
      <c r="GI127" s="561">
        <v>0</v>
      </c>
      <c r="GJ127" s="561">
        <v>0</v>
      </c>
      <c r="GK127" s="561">
        <v>0</v>
      </c>
      <c r="GL127" s="561">
        <v>815</v>
      </c>
      <c r="GM127" s="561">
        <v>1020</v>
      </c>
      <c r="GN127" s="561">
        <v>0</v>
      </c>
      <c r="GO127" s="561">
        <v>-116</v>
      </c>
      <c r="GP127" s="561">
        <v>859</v>
      </c>
      <c r="GQ127" s="561">
        <v>0</v>
      </c>
      <c r="GR127" s="561">
        <v>0</v>
      </c>
      <c r="GS127" s="561">
        <v>3708</v>
      </c>
      <c r="GT127" s="561">
        <v>0</v>
      </c>
      <c r="GU127" s="561">
        <v>112</v>
      </c>
      <c r="GV127" s="561">
        <v>289</v>
      </c>
      <c r="GW127" s="561">
        <v>0</v>
      </c>
      <c r="GX127" s="561">
        <v>555</v>
      </c>
      <c r="GY127" s="561">
        <v>26</v>
      </c>
      <c r="GZ127" s="561">
        <v>723</v>
      </c>
      <c r="HA127" s="561">
        <v>0</v>
      </c>
      <c r="HB127" s="561">
        <v>81</v>
      </c>
      <c r="HC127" s="561">
        <v>80</v>
      </c>
      <c r="HD127" s="561">
        <v>1866</v>
      </c>
      <c r="HE127" s="561">
        <v>0</v>
      </c>
      <c r="HF127" s="561">
        <v>7355</v>
      </c>
      <c r="HG127" s="561">
        <v>0</v>
      </c>
      <c r="HH127" s="561">
        <v>0</v>
      </c>
      <c r="HI127" s="561">
        <v>0</v>
      </c>
      <c r="HJ127" s="561">
        <v>0</v>
      </c>
      <c r="HK127" s="561">
        <v>0</v>
      </c>
      <c r="HL127" s="561">
        <v>0</v>
      </c>
      <c r="HM127" s="561">
        <v>0</v>
      </c>
      <c r="HN127" s="561">
        <v>0</v>
      </c>
      <c r="HO127" s="561">
        <v>2343</v>
      </c>
      <c r="HP127" s="561">
        <v>628</v>
      </c>
      <c r="HQ127" s="561">
        <v>0</v>
      </c>
      <c r="HR127" s="561">
        <v>86</v>
      </c>
      <c r="HS127" s="561">
        <v>632</v>
      </c>
      <c r="HT127" s="561">
        <v>249</v>
      </c>
      <c r="HU127" s="561">
        <v>0</v>
      </c>
      <c r="HV127" s="561">
        <v>0</v>
      </c>
      <c r="HW127" s="561">
        <v>146</v>
      </c>
      <c r="HX127" s="561">
        <v>14</v>
      </c>
      <c r="HY127" s="561">
        <v>49</v>
      </c>
      <c r="HZ127" s="561">
        <v>-25</v>
      </c>
      <c r="IA127" s="561">
        <v>0</v>
      </c>
      <c r="IB127" s="561">
        <v>66</v>
      </c>
      <c r="IC127" s="561">
        <v>0</v>
      </c>
      <c r="ID127" s="561">
        <v>0</v>
      </c>
      <c r="IE127" s="561">
        <v>641</v>
      </c>
      <c r="IF127" s="561">
        <v>0</v>
      </c>
      <c r="IG127" s="561">
        <v>0</v>
      </c>
      <c r="IH127" s="561">
        <v>58</v>
      </c>
      <c r="II127" s="561">
        <v>4887</v>
      </c>
      <c r="IJ127" s="561">
        <v>0</v>
      </c>
      <c r="IK127" s="561">
        <v>3026</v>
      </c>
      <c r="IL127" s="561">
        <v>3148</v>
      </c>
      <c r="IM127" s="561">
        <v>0</v>
      </c>
      <c r="IN127" s="561">
        <v>0</v>
      </c>
      <c r="IO127" s="561">
        <v>0</v>
      </c>
      <c r="IP127" s="561">
        <v>0</v>
      </c>
      <c r="IQ127" s="561">
        <v>0</v>
      </c>
      <c r="IR127" s="561">
        <v>0</v>
      </c>
      <c r="IS127" s="561">
        <v>-491</v>
      </c>
      <c r="IT127" s="561">
        <v>0</v>
      </c>
      <c r="IU127" s="561">
        <v>0</v>
      </c>
      <c r="IV127" s="561">
        <v>0</v>
      </c>
      <c r="IW127" s="561">
        <v>2327</v>
      </c>
      <c r="IX127" s="561">
        <v>1781</v>
      </c>
      <c r="IY127" s="561">
        <v>3708</v>
      </c>
      <c r="IZ127" s="561">
        <v>1866</v>
      </c>
      <c r="JA127" s="561">
        <v>0</v>
      </c>
      <c r="JB127" s="561">
        <v>0</v>
      </c>
      <c r="JC127" s="561">
        <v>4887</v>
      </c>
      <c r="JD127" s="561">
        <v>0</v>
      </c>
      <c r="JE127" s="561">
        <v>14078</v>
      </c>
      <c r="JF127" s="561">
        <v>19309</v>
      </c>
      <c r="JG127" s="561">
        <v>175</v>
      </c>
      <c r="JH127" s="561">
        <v>0</v>
      </c>
      <c r="JI127" s="561">
        <v>0</v>
      </c>
      <c r="JJ127" s="561">
        <v>0</v>
      </c>
      <c r="JK127" s="561">
        <v>744</v>
      </c>
      <c r="JL127" s="561">
        <v>0</v>
      </c>
      <c r="JM127" s="561">
        <v>0</v>
      </c>
      <c r="JN127" s="561">
        <v>0</v>
      </c>
      <c r="JO127" s="561">
        <v>0</v>
      </c>
      <c r="JP127" s="561">
        <v>0</v>
      </c>
      <c r="JQ127" s="561">
        <v>0</v>
      </c>
      <c r="JR127" s="561">
        <v>0</v>
      </c>
      <c r="JS127" s="561">
        <v>0</v>
      </c>
      <c r="JT127" s="561">
        <v>-21</v>
      </c>
      <c r="JU127" s="561">
        <v>0</v>
      </c>
      <c r="JV127" s="561">
        <v>34285</v>
      </c>
      <c r="JW127" s="561">
        <v>0</v>
      </c>
      <c r="JX127" s="561">
        <v>43</v>
      </c>
      <c r="JY127" s="561">
        <v>0</v>
      </c>
      <c r="JZ127" s="561">
        <v>0</v>
      </c>
      <c r="KA127" s="561">
        <v>0</v>
      </c>
      <c r="KB127" s="561">
        <v>50</v>
      </c>
      <c r="KC127" s="561">
        <v>71</v>
      </c>
      <c r="KD127" s="561">
        <v>4</v>
      </c>
      <c r="KE127" s="561">
        <v>0</v>
      </c>
      <c r="KF127" s="561">
        <v>0</v>
      </c>
      <c r="KG127" s="561">
        <v>34453</v>
      </c>
      <c r="KH127" s="561">
        <v>-1442</v>
      </c>
      <c r="KI127" s="561">
        <v>0</v>
      </c>
      <c r="KJ127" s="561">
        <v>0</v>
      </c>
      <c r="KK127" s="561">
        <v>0</v>
      </c>
      <c r="KL127" s="561">
        <v>-19212</v>
      </c>
      <c r="KM127" s="561">
        <v>0</v>
      </c>
      <c r="KN127" s="561">
        <v>0</v>
      </c>
      <c r="KO127" s="561">
        <v>0</v>
      </c>
      <c r="KP127" s="561">
        <v>0</v>
      </c>
      <c r="KQ127" s="561">
        <v>0</v>
      </c>
      <c r="KR127" s="561">
        <v>13799</v>
      </c>
      <c r="KS127" s="561">
        <v>0</v>
      </c>
      <c r="KT127" s="561">
        <v>-2252</v>
      </c>
      <c r="KU127" s="561">
        <v>11547</v>
      </c>
      <c r="KV127" s="561">
        <v>0</v>
      </c>
      <c r="KW127" s="561">
        <v>0</v>
      </c>
      <c r="KX127" s="561">
        <v>0</v>
      </c>
      <c r="KY127" s="561">
        <v>0</v>
      </c>
      <c r="KZ127" s="561">
        <v>986</v>
      </c>
      <c r="LA127" s="561">
        <v>1897</v>
      </c>
      <c r="LB127" s="561">
        <v>-277</v>
      </c>
      <c r="LC127" s="561">
        <v>0</v>
      </c>
      <c r="LD127" s="561">
        <v>-6132</v>
      </c>
      <c r="LE127" s="561">
        <v>102</v>
      </c>
      <c r="LF127" s="561">
        <v>0</v>
      </c>
      <c r="LG127" s="561">
        <v>8123</v>
      </c>
      <c r="LH127" s="561">
        <v>0</v>
      </c>
      <c r="LI127" s="561">
        <v>0</v>
      </c>
      <c r="LJ127" s="561">
        <v>0</v>
      </c>
      <c r="LK127" s="561">
        <v>0</v>
      </c>
      <c r="LL127" s="561">
        <v>3168</v>
      </c>
      <c r="LM127" s="561">
        <v>2431</v>
      </c>
      <c r="LN127" s="561">
        <v>0</v>
      </c>
      <c r="LO127" s="561">
        <v>0</v>
      </c>
      <c r="LP127" s="561">
        <v>0</v>
      </c>
      <c r="LQ127" s="561">
        <v>0</v>
      </c>
      <c r="LR127" s="561">
        <v>4154</v>
      </c>
      <c r="LS127" s="561">
        <v>4328</v>
      </c>
      <c r="LT127" s="561">
        <v>0</v>
      </c>
      <c r="LU127" s="561">
        <v>1457</v>
      </c>
      <c r="LV127" s="561">
        <v>0</v>
      </c>
      <c r="LW127" s="561">
        <v>47</v>
      </c>
      <c r="LX127" s="561">
        <v>0</v>
      </c>
      <c r="LY127" s="561">
        <v>314</v>
      </c>
      <c r="LZ127" s="561">
        <v>1791</v>
      </c>
      <c r="MA127" s="561">
        <v>0</v>
      </c>
      <c r="MB127" s="561">
        <v>0</v>
      </c>
      <c r="MC127" s="561">
        <v>0</v>
      </c>
      <c r="MD127" s="561">
        <v>0</v>
      </c>
      <c r="ME127" s="561">
        <v>0</v>
      </c>
      <c r="MF127" s="561">
        <v>0</v>
      </c>
      <c r="MG127" s="561">
        <v>0</v>
      </c>
      <c r="MH127" s="561">
        <v>3570</v>
      </c>
      <c r="MI127" s="561">
        <v>4888</v>
      </c>
      <c r="MJ127" s="561">
        <v>8458</v>
      </c>
      <c r="MK127" s="561">
        <v>1328</v>
      </c>
      <c r="ML127" s="561">
        <v>686</v>
      </c>
      <c r="MM127" s="561">
        <v>2571</v>
      </c>
      <c r="MN127" s="561">
        <v>0</v>
      </c>
      <c r="MO127" s="561">
        <v>897</v>
      </c>
      <c r="MP127" s="561">
        <v>0</v>
      </c>
      <c r="MQ127" s="561">
        <v>0</v>
      </c>
      <c r="MR127" s="561">
        <v>-491</v>
      </c>
      <c r="MS127" s="561">
        <v>0</v>
      </c>
      <c r="MT127" s="561">
        <v>0</v>
      </c>
      <c r="MU127" s="561">
        <v>0</v>
      </c>
      <c r="MV127" s="561">
        <v>2327</v>
      </c>
      <c r="MW127" s="561">
        <v>1781</v>
      </c>
      <c r="MX127" s="561">
        <v>3708</v>
      </c>
      <c r="MY127" s="561">
        <v>1866</v>
      </c>
      <c r="MZ127" s="561">
        <v>0</v>
      </c>
      <c r="NA127" s="561">
        <v>0</v>
      </c>
      <c r="NB127" s="561">
        <v>4887</v>
      </c>
      <c r="NC127" s="561">
        <v>0</v>
      </c>
      <c r="ND127" s="561">
        <v>14078</v>
      </c>
      <c r="NE127" s="561">
        <v>0</v>
      </c>
      <c r="NF127" s="561">
        <v>0</v>
      </c>
      <c r="NG127" s="561">
        <v>0</v>
      </c>
      <c r="NH127" s="561">
        <v>0</v>
      </c>
      <c r="NI127" s="561">
        <v>0</v>
      </c>
      <c r="NJ127" s="561">
        <v>0</v>
      </c>
      <c r="NK127" s="561">
        <v>0</v>
      </c>
      <c r="NL127" s="561">
        <v>0</v>
      </c>
      <c r="NM127" s="561">
        <v>0</v>
      </c>
      <c r="NN127" s="561">
        <v>0</v>
      </c>
      <c r="NO127" s="561">
        <v>0</v>
      </c>
      <c r="NP127" s="561">
        <v>0</v>
      </c>
      <c r="NQ127" s="561">
        <v>0</v>
      </c>
      <c r="NR127" s="561">
        <v>0</v>
      </c>
      <c r="NS127" s="561">
        <v>0</v>
      </c>
      <c r="NT127" s="561">
        <v>0</v>
      </c>
      <c r="NU127" s="561">
        <v>0</v>
      </c>
      <c r="NV127" s="561">
        <v>0</v>
      </c>
      <c r="NW127" s="561">
        <v>0</v>
      </c>
      <c r="NX127" s="561">
        <v>0</v>
      </c>
      <c r="NY127" s="561">
        <v>0</v>
      </c>
      <c r="NZ127" s="561">
        <v>0</v>
      </c>
      <c r="OA127" s="561">
        <v>0</v>
      </c>
      <c r="OB127" s="561">
        <v>0</v>
      </c>
      <c r="OC127" s="561">
        <v>0</v>
      </c>
      <c r="OD127" s="561">
        <v>0</v>
      </c>
      <c r="OE127" s="561">
        <v>0</v>
      </c>
      <c r="OF127" s="561">
        <v>0</v>
      </c>
      <c r="OG127" s="561">
        <v>0</v>
      </c>
      <c r="OH127" s="561">
        <v>0</v>
      </c>
      <c r="OI127" s="561">
        <v>0</v>
      </c>
      <c r="OJ127" s="561">
        <v>0</v>
      </c>
      <c r="OK127" s="561">
        <v>0</v>
      </c>
      <c r="OL127" s="561">
        <v>0</v>
      </c>
      <c r="OM127" s="561">
        <v>0</v>
      </c>
      <c r="ON127" s="561">
        <v>0</v>
      </c>
      <c r="OO127" s="561">
        <v>0</v>
      </c>
      <c r="OP127" s="561">
        <v>0</v>
      </c>
      <c r="OQ127" s="561">
        <v>0</v>
      </c>
      <c r="OR127" s="561">
        <v>0</v>
      </c>
      <c r="OS127" s="561">
        <v>0</v>
      </c>
      <c r="OT127" s="561">
        <v>0</v>
      </c>
      <c r="OU127" s="561">
        <v>0</v>
      </c>
      <c r="OV127" s="561">
        <v>0</v>
      </c>
      <c r="OW127" s="561">
        <v>0</v>
      </c>
      <c r="OX127" s="561">
        <v>0</v>
      </c>
      <c r="OY127" s="561">
        <v>0</v>
      </c>
      <c r="OZ127" s="561">
        <v>0</v>
      </c>
      <c r="PA127" s="561">
        <v>0</v>
      </c>
      <c r="PB127" s="561">
        <v>0</v>
      </c>
      <c r="PC127" s="561">
        <v>0</v>
      </c>
      <c r="PD127" s="561">
        <v>0</v>
      </c>
      <c r="PE127" s="561">
        <v>0</v>
      </c>
      <c r="PF127" s="561">
        <v>0</v>
      </c>
      <c r="PG127" s="561">
        <v>0</v>
      </c>
      <c r="PH127" s="561">
        <v>0</v>
      </c>
      <c r="PI127" s="561">
        <v>0</v>
      </c>
      <c r="PJ127" s="561">
        <v>0</v>
      </c>
    </row>
    <row r="128" spans="1:426" ht="14" x14ac:dyDescent="0.3">
      <c r="A128" t="s">
        <v>2816</v>
      </c>
      <c r="B128" t="s">
        <v>2817</v>
      </c>
      <c r="C128" t="s">
        <v>4601</v>
      </c>
      <c r="E128" t="s">
        <v>2595</v>
      </c>
      <c r="F128" s="561">
        <v>174723</v>
      </c>
      <c r="G128" s="561">
        <v>349704</v>
      </c>
      <c r="H128" s="561">
        <v>75579</v>
      </c>
      <c r="I128" s="561">
        <v>170179</v>
      </c>
      <c r="J128" s="561">
        <v>14071</v>
      </c>
      <c r="K128" s="561">
        <v>79194</v>
      </c>
      <c r="L128" s="561">
        <v>863450</v>
      </c>
      <c r="M128" s="561">
        <v>1212</v>
      </c>
      <c r="N128" s="561">
        <v>924</v>
      </c>
      <c r="O128" s="561">
        <v>12048</v>
      </c>
      <c r="P128" s="561">
        <v>16039</v>
      </c>
      <c r="Q128" s="561">
        <v>1643</v>
      </c>
      <c r="R128" s="561">
        <v>1603</v>
      </c>
      <c r="S128" s="561">
        <v>0</v>
      </c>
      <c r="T128" s="561">
        <v>15453</v>
      </c>
      <c r="U128" s="561">
        <v>2684</v>
      </c>
      <c r="V128" s="561">
        <v>6579</v>
      </c>
      <c r="W128" s="561">
        <v>0</v>
      </c>
      <c r="X128" s="561">
        <v>-1483</v>
      </c>
      <c r="Y128" s="561">
        <v>3572</v>
      </c>
      <c r="Z128" s="561">
        <v>607</v>
      </c>
      <c r="AA128" s="561">
        <v>1073</v>
      </c>
      <c r="AB128" s="561">
        <v>0</v>
      </c>
      <c r="AC128" s="561">
        <v>14975</v>
      </c>
      <c r="AD128" s="561">
        <v>0</v>
      </c>
      <c r="AE128" s="561">
        <v>14974</v>
      </c>
      <c r="AF128" s="561">
        <v>0</v>
      </c>
      <c r="AG128" s="561">
        <v>0</v>
      </c>
      <c r="AH128" s="561">
        <v>6266</v>
      </c>
      <c r="AI128" s="561">
        <v>0</v>
      </c>
      <c r="AJ128" s="561">
        <v>96957</v>
      </c>
      <c r="AK128" s="561">
        <v>1077</v>
      </c>
      <c r="AL128" s="561">
        <v>0</v>
      </c>
      <c r="AM128" s="561">
        <v>0</v>
      </c>
      <c r="AN128" s="561">
        <v>0</v>
      </c>
      <c r="AO128" s="561">
        <v>0</v>
      </c>
      <c r="AP128" s="561">
        <v>-1303</v>
      </c>
      <c r="AQ128" s="561">
        <v>0</v>
      </c>
      <c r="AR128" s="561">
        <v>0</v>
      </c>
      <c r="AS128" s="561">
        <v>6056</v>
      </c>
      <c r="AT128" s="561">
        <v>0</v>
      </c>
      <c r="AU128" s="561">
        <v>0</v>
      </c>
      <c r="AV128" s="561">
        <v>0</v>
      </c>
      <c r="AW128" s="561">
        <v>0</v>
      </c>
      <c r="AX128" s="561">
        <v>0</v>
      </c>
      <c r="AY128" s="561">
        <v>129698</v>
      </c>
      <c r="AZ128" s="561">
        <v>6373</v>
      </c>
      <c r="BA128" s="561">
        <v>58791</v>
      </c>
      <c r="BB128" s="561">
        <v>6824</v>
      </c>
      <c r="BC128" s="561">
        <v>53354</v>
      </c>
      <c r="BD128" s="561">
        <v>6898</v>
      </c>
      <c r="BE128" s="561">
        <v>0</v>
      </c>
      <c r="BF128" s="561">
        <v>261938</v>
      </c>
      <c r="BG128" s="561">
        <v>902</v>
      </c>
      <c r="BH128" s="561">
        <v>54022</v>
      </c>
      <c r="BI128" s="561">
        <v>149981</v>
      </c>
      <c r="BJ128" s="561">
        <v>3821</v>
      </c>
      <c r="BK128" s="561">
        <v>4297</v>
      </c>
      <c r="BL128" s="561">
        <v>2373</v>
      </c>
      <c r="BM128" s="561">
        <v>47028</v>
      </c>
      <c r="BN128" s="561">
        <v>247481</v>
      </c>
      <c r="BO128" s="561">
        <v>26994</v>
      </c>
      <c r="BP128" s="561">
        <v>17503</v>
      </c>
      <c r="BQ128" s="561">
        <v>21160</v>
      </c>
      <c r="BR128" s="561">
        <v>123</v>
      </c>
      <c r="BS128" s="561">
        <v>8279</v>
      </c>
      <c r="BT128" s="561">
        <v>511</v>
      </c>
      <c r="BU128" s="561">
        <v>1117</v>
      </c>
      <c r="BV128" s="561">
        <v>15782</v>
      </c>
      <c r="BW128" s="561">
        <v>95282</v>
      </c>
      <c r="BX128" s="561">
        <v>2415</v>
      </c>
      <c r="BY128" s="561">
        <v>367</v>
      </c>
      <c r="BZ128" s="561">
        <v>698536</v>
      </c>
      <c r="CA128" s="561">
        <v>5682</v>
      </c>
      <c r="CB128" s="561">
        <v>6004</v>
      </c>
      <c r="CC128" s="561">
        <v>2207</v>
      </c>
      <c r="CD128" s="561">
        <v>618</v>
      </c>
      <c r="CE128" s="561">
        <v>2034</v>
      </c>
      <c r="CF128" s="561">
        <v>27</v>
      </c>
      <c r="CG128" s="561">
        <v>5</v>
      </c>
      <c r="CH128" s="561">
        <v>2906</v>
      </c>
      <c r="CI128" s="561">
        <v>985</v>
      </c>
      <c r="CJ128" s="561">
        <v>200</v>
      </c>
      <c r="CK128" s="561">
        <v>26</v>
      </c>
      <c r="CL128" s="561">
        <v>5</v>
      </c>
      <c r="CM128" s="561">
        <v>5855</v>
      </c>
      <c r="CN128" s="561">
        <v>6092</v>
      </c>
      <c r="CO128" s="561">
        <v>3220</v>
      </c>
      <c r="CP128" s="561">
        <v>3352</v>
      </c>
      <c r="CQ128" s="561">
        <v>1394</v>
      </c>
      <c r="CR128" s="561">
        <v>972</v>
      </c>
      <c r="CS128" s="561">
        <v>277</v>
      </c>
      <c r="CT128" s="561">
        <v>4247</v>
      </c>
      <c r="CU128" s="561">
        <v>19982</v>
      </c>
      <c r="CV128" s="561">
        <v>750</v>
      </c>
      <c r="CW128" s="561">
        <v>0</v>
      </c>
      <c r="CX128" s="561">
        <v>165</v>
      </c>
      <c r="CY128" s="561">
        <v>23692</v>
      </c>
      <c r="CZ128" s="561">
        <v>85015</v>
      </c>
      <c r="DA128" s="561">
        <v>0</v>
      </c>
      <c r="DB128" s="561">
        <v>160</v>
      </c>
      <c r="DC128" s="561">
        <v>0</v>
      </c>
      <c r="DD128" s="561">
        <v>249</v>
      </c>
      <c r="DE128" s="561">
        <v>0</v>
      </c>
      <c r="DF128" s="561">
        <v>2598</v>
      </c>
      <c r="DG128" s="561">
        <v>1808</v>
      </c>
      <c r="DH128" s="561">
        <v>958</v>
      </c>
      <c r="DI128" s="561">
        <v>0</v>
      </c>
      <c r="DJ128" s="561">
        <v>0</v>
      </c>
      <c r="DK128" s="561">
        <v>0</v>
      </c>
      <c r="DL128" s="561">
        <v>0</v>
      </c>
      <c r="DM128" s="561">
        <v>0</v>
      </c>
      <c r="DN128" s="561">
        <v>0</v>
      </c>
      <c r="DO128" s="561">
        <v>0</v>
      </c>
      <c r="DP128" s="561">
        <v>0</v>
      </c>
      <c r="DQ128" s="561">
        <v>0</v>
      </c>
      <c r="DR128" s="561">
        <v>0</v>
      </c>
      <c r="DS128" s="561">
        <v>0</v>
      </c>
      <c r="DT128" s="561">
        <v>0</v>
      </c>
      <c r="DU128" s="561">
        <v>0</v>
      </c>
      <c r="DV128" s="561">
        <v>0</v>
      </c>
      <c r="DW128" s="561">
        <v>0</v>
      </c>
      <c r="DX128" s="561">
        <v>0</v>
      </c>
      <c r="DY128" s="561">
        <v>0</v>
      </c>
      <c r="DZ128" s="561">
        <v>716</v>
      </c>
      <c r="EA128" s="561">
        <v>0</v>
      </c>
      <c r="EB128" s="561">
        <v>0</v>
      </c>
      <c r="EC128" s="561">
        <v>1674</v>
      </c>
      <c r="ED128" s="561">
        <v>4</v>
      </c>
      <c r="EE128" s="561">
        <v>0</v>
      </c>
      <c r="EF128" s="561">
        <v>0</v>
      </c>
      <c r="EG128" s="561">
        <v>0</v>
      </c>
      <c r="EH128" s="561">
        <v>0</v>
      </c>
      <c r="EI128" s="561">
        <v>0</v>
      </c>
      <c r="EJ128" s="561">
        <v>0</v>
      </c>
      <c r="EK128" s="561">
        <v>0</v>
      </c>
      <c r="EL128" s="561">
        <v>0</v>
      </c>
      <c r="EM128" s="561">
        <v>0</v>
      </c>
      <c r="EN128" s="561">
        <v>0</v>
      </c>
      <c r="EO128" s="561">
        <v>0</v>
      </c>
      <c r="EP128" s="561">
        <v>0</v>
      </c>
      <c r="EQ128" s="561">
        <v>0</v>
      </c>
      <c r="ER128" s="561">
        <v>0</v>
      </c>
      <c r="ES128" s="561" t="s">
        <v>4565</v>
      </c>
      <c r="ET128" s="561">
        <v>0</v>
      </c>
      <c r="EU128" s="561">
        <v>0</v>
      </c>
      <c r="EV128" s="561">
        <v>0</v>
      </c>
      <c r="EW128" s="561">
        <v>0</v>
      </c>
      <c r="EX128" s="561">
        <v>0</v>
      </c>
      <c r="EY128" s="561">
        <v>0</v>
      </c>
      <c r="EZ128" s="561">
        <v>0</v>
      </c>
      <c r="FA128" s="561">
        <v>0</v>
      </c>
      <c r="FB128" s="561">
        <v>1484</v>
      </c>
      <c r="FC128" s="561">
        <v>13</v>
      </c>
      <c r="FD128" s="561">
        <v>199</v>
      </c>
      <c r="FE128" s="561">
        <v>789</v>
      </c>
      <c r="FF128" s="561">
        <v>0</v>
      </c>
      <c r="FG128" s="561">
        <v>0</v>
      </c>
      <c r="FH128" s="561">
        <v>0</v>
      </c>
      <c r="FI128" s="561">
        <v>484</v>
      </c>
      <c r="FJ128" s="561">
        <v>0</v>
      </c>
      <c r="FK128" s="561">
        <v>3115</v>
      </c>
      <c r="FL128" s="561">
        <v>0</v>
      </c>
      <c r="FM128" s="561">
        <v>316</v>
      </c>
      <c r="FN128" s="561">
        <v>23717</v>
      </c>
      <c r="FO128" s="561">
        <v>30117</v>
      </c>
      <c r="FP128" s="561">
        <v>284</v>
      </c>
      <c r="FQ128" s="561">
        <v>0</v>
      </c>
      <c r="FR128" s="561">
        <v>2058</v>
      </c>
      <c r="FS128" s="561">
        <v>0</v>
      </c>
      <c r="FT128" s="561">
        <v>0</v>
      </c>
      <c r="FU128" s="561">
        <v>0</v>
      </c>
      <c r="FV128" s="561">
        <v>0</v>
      </c>
      <c r="FW128" s="561">
        <v>0</v>
      </c>
      <c r="FX128" s="561">
        <v>0</v>
      </c>
      <c r="FY128" s="561">
        <v>0</v>
      </c>
      <c r="FZ128" s="561">
        <v>0</v>
      </c>
      <c r="GA128" s="561">
        <v>0</v>
      </c>
      <c r="GB128" s="561">
        <v>0</v>
      </c>
      <c r="GC128" s="561">
        <v>0</v>
      </c>
      <c r="GD128" s="561">
        <v>3063</v>
      </c>
      <c r="GE128" s="561">
        <v>0</v>
      </c>
      <c r="GF128" s="561">
        <v>0</v>
      </c>
      <c r="GG128" s="561">
        <v>0</v>
      </c>
      <c r="GH128" s="561">
        <v>0</v>
      </c>
      <c r="GI128" s="561">
        <v>0</v>
      </c>
      <c r="GJ128" s="561">
        <v>0</v>
      </c>
      <c r="GK128" s="561">
        <v>0</v>
      </c>
      <c r="GL128" s="561">
        <v>0</v>
      </c>
      <c r="GM128" s="561">
        <v>0</v>
      </c>
      <c r="GN128" s="561">
        <v>65625</v>
      </c>
      <c r="GO128" s="561">
        <v>-2950</v>
      </c>
      <c r="GP128" s="561">
        <v>23338</v>
      </c>
      <c r="GQ128" s="561">
        <v>240</v>
      </c>
      <c r="GR128" s="561">
        <v>0</v>
      </c>
      <c r="GS128" s="561">
        <v>91374</v>
      </c>
      <c r="GT128" s="561">
        <v>1397</v>
      </c>
      <c r="GU128" s="561">
        <v>0</v>
      </c>
      <c r="GV128" s="561">
        <v>1733</v>
      </c>
      <c r="GW128" s="561">
        <v>90</v>
      </c>
      <c r="GX128" s="561">
        <v>1447</v>
      </c>
      <c r="GY128" s="561">
        <v>1507</v>
      </c>
      <c r="GZ128" s="561">
        <v>6447</v>
      </c>
      <c r="HA128" s="561">
        <v>0</v>
      </c>
      <c r="HB128" s="561">
        <v>9258</v>
      </c>
      <c r="HC128" s="561">
        <v>4413</v>
      </c>
      <c r="HD128" s="561">
        <v>24895</v>
      </c>
      <c r="HE128" s="561">
        <v>72</v>
      </c>
      <c r="HF128" s="561">
        <v>146386</v>
      </c>
      <c r="HG128" s="561">
        <v>0</v>
      </c>
      <c r="HH128" s="561">
        <v>0</v>
      </c>
      <c r="HI128" s="561">
        <v>0</v>
      </c>
      <c r="HJ128" s="561">
        <v>0</v>
      </c>
      <c r="HK128" s="561">
        <v>0</v>
      </c>
      <c r="HL128" s="561">
        <v>0</v>
      </c>
      <c r="HM128" s="561">
        <v>0</v>
      </c>
      <c r="HN128" s="561">
        <v>0</v>
      </c>
      <c r="HO128" s="561">
        <v>22310</v>
      </c>
      <c r="HP128" s="561">
        <v>0</v>
      </c>
      <c r="HQ128" s="561">
        <v>0</v>
      </c>
      <c r="HR128" s="561">
        <v>0</v>
      </c>
      <c r="HS128" s="561">
        <v>0</v>
      </c>
      <c r="HT128" s="561">
        <v>0</v>
      </c>
      <c r="HU128" s="561">
        <v>0</v>
      </c>
      <c r="HV128" s="561">
        <v>1535</v>
      </c>
      <c r="HW128" s="561">
        <v>0</v>
      </c>
      <c r="HX128" s="561">
        <v>87</v>
      </c>
      <c r="HY128" s="561">
        <v>663</v>
      </c>
      <c r="HZ128" s="561">
        <v>0</v>
      </c>
      <c r="IA128" s="561">
        <v>0</v>
      </c>
      <c r="IB128" s="561">
        <v>207</v>
      </c>
      <c r="IC128" s="561">
        <v>5407</v>
      </c>
      <c r="ID128" s="561">
        <v>0</v>
      </c>
      <c r="IE128" s="561">
        <v>555</v>
      </c>
      <c r="IF128" s="561">
        <v>1260</v>
      </c>
      <c r="IG128" s="561">
        <v>0</v>
      </c>
      <c r="IH128" s="561">
        <v>-1</v>
      </c>
      <c r="II128" s="561">
        <v>32023</v>
      </c>
      <c r="IJ128" s="561">
        <v>0</v>
      </c>
      <c r="IK128" s="561">
        <v>6059</v>
      </c>
      <c r="IL128" s="561">
        <v>117239</v>
      </c>
      <c r="IM128" s="561">
        <v>0</v>
      </c>
      <c r="IN128" s="561">
        <v>0</v>
      </c>
      <c r="IO128" s="561">
        <v>26490</v>
      </c>
      <c r="IP128" s="561">
        <v>0</v>
      </c>
      <c r="IQ128" s="561">
        <v>0</v>
      </c>
      <c r="IR128" s="561">
        <v>863450</v>
      </c>
      <c r="IS128" s="561">
        <v>96957</v>
      </c>
      <c r="IT128" s="561">
        <v>261938</v>
      </c>
      <c r="IU128" s="561">
        <v>698536</v>
      </c>
      <c r="IV128" s="561">
        <v>85015</v>
      </c>
      <c r="IW128" s="561">
        <v>1674</v>
      </c>
      <c r="IX128" s="561">
        <v>30117</v>
      </c>
      <c r="IY128" s="561">
        <v>91374</v>
      </c>
      <c r="IZ128" s="561">
        <v>24895</v>
      </c>
      <c r="JA128" s="561">
        <v>0</v>
      </c>
      <c r="JB128" s="561">
        <v>0</v>
      </c>
      <c r="JC128" s="561">
        <v>32023</v>
      </c>
      <c r="JD128" s="561">
        <v>0</v>
      </c>
      <c r="JE128" s="561">
        <v>2185979</v>
      </c>
      <c r="JF128" s="561">
        <v>0</v>
      </c>
      <c r="JG128" s="561">
        <v>0</v>
      </c>
      <c r="JH128" s="561">
        <v>0</v>
      </c>
      <c r="JI128" s="561">
        <v>0</v>
      </c>
      <c r="JJ128" s="561">
        <v>0</v>
      </c>
      <c r="JK128" s="561">
        <v>0</v>
      </c>
      <c r="JL128" s="561">
        <v>0</v>
      </c>
      <c r="JM128" s="561">
        <v>0</v>
      </c>
      <c r="JN128" s="561">
        <v>0</v>
      </c>
      <c r="JO128" s="561">
        <v>1876</v>
      </c>
      <c r="JP128" s="561">
        <v>0</v>
      </c>
      <c r="JQ128" s="561">
        <v>-335</v>
      </c>
      <c r="JR128" s="561">
        <v>0</v>
      </c>
      <c r="JS128" s="561">
        <v>0</v>
      </c>
      <c r="JT128" s="561">
        <v>1910</v>
      </c>
      <c r="JU128" s="561">
        <v>0</v>
      </c>
      <c r="JV128" s="561">
        <v>2189430</v>
      </c>
      <c r="JW128" s="561">
        <v>1869</v>
      </c>
      <c r="JX128" s="561">
        <v>34636</v>
      </c>
      <c r="JY128" s="561">
        <v>0</v>
      </c>
      <c r="JZ128" s="561">
        <v>0</v>
      </c>
      <c r="KA128" s="561">
        <v>0</v>
      </c>
      <c r="KB128" s="561">
        <v>0</v>
      </c>
      <c r="KC128" s="561">
        <v>51167</v>
      </c>
      <c r="KD128" s="561">
        <v>2305</v>
      </c>
      <c r="KE128" s="561">
        <v>20231.36</v>
      </c>
      <c r="KF128" s="561">
        <v>0</v>
      </c>
      <c r="KG128" s="561">
        <v>2299638.36</v>
      </c>
      <c r="KH128" s="561">
        <v>-30249</v>
      </c>
      <c r="KI128" s="561">
        <v>0</v>
      </c>
      <c r="KJ128" s="561">
        <v>787</v>
      </c>
      <c r="KK128" s="561">
        <v>0</v>
      </c>
      <c r="KL128" s="561">
        <v>-11688</v>
      </c>
      <c r="KM128" s="561">
        <v>0</v>
      </c>
      <c r="KN128" s="561">
        <v>0</v>
      </c>
      <c r="KO128" s="561">
        <v>0</v>
      </c>
      <c r="KP128" s="561">
        <v>0</v>
      </c>
      <c r="KQ128" s="561">
        <v>0</v>
      </c>
      <c r="KR128" s="561">
        <v>2258488.36</v>
      </c>
      <c r="KS128" s="561">
        <v>-1941</v>
      </c>
      <c r="KT128" s="561">
        <v>-1146952</v>
      </c>
      <c r="KU128" s="561">
        <v>1109595.3600000001</v>
      </c>
      <c r="KV128" s="561">
        <v>0</v>
      </c>
      <c r="KW128" s="561">
        <v>-1682</v>
      </c>
      <c r="KX128" s="561">
        <v>0</v>
      </c>
      <c r="KY128" s="561">
        <v>-4180.2</v>
      </c>
      <c r="KZ128" s="561">
        <v>19674</v>
      </c>
      <c r="LA128" s="561">
        <v>0</v>
      </c>
      <c r="LB128" s="561">
        <v>-22694</v>
      </c>
      <c r="LC128" s="561">
        <v>0</v>
      </c>
      <c r="LD128" s="561">
        <v>-244540</v>
      </c>
      <c r="LE128" s="561">
        <v>-7200</v>
      </c>
      <c r="LF128" s="561">
        <v>-690</v>
      </c>
      <c r="LG128" s="561">
        <v>848283</v>
      </c>
      <c r="LH128" s="561">
        <v>43307</v>
      </c>
      <c r="LI128" s="561">
        <v>0</v>
      </c>
      <c r="LJ128" s="561">
        <v>0</v>
      </c>
      <c r="LK128" s="561">
        <v>16593</v>
      </c>
      <c r="LL128" s="561">
        <v>562008</v>
      </c>
      <c r="LM128" s="561">
        <v>68092</v>
      </c>
      <c r="LN128" s="561">
        <v>41625</v>
      </c>
      <c r="LO128" s="561">
        <v>0</v>
      </c>
      <c r="LP128" s="561">
        <v>0</v>
      </c>
      <c r="LQ128" s="561">
        <v>12412.8</v>
      </c>
      <c r="LR128" s="561">
        <v>581682</v>
      </c>
      <c r="LS128" s="561">
        <v>68092</v>
      </c>
      <c r="LT128" s="561">
        <v>0</v>
      </c>
      <c r="LU128" s="561">
        <v>107725</v>
      </c>
      <c r="LV128" s="561">
        <v>18107</v>
      </c>
      <c r="LW128" s="561">
        <v>0</v>
      </c>
      <c r="LX128" s="561">
        <v>-213804</v>
      </c>
      <c r="LY128" s="561">
        <v>57080</v>
      </c>
      <c r="LZ128" s="561">
        <v>-35025</v>
      </c>
      <c r="MA128" s="561">
        <v>0</v>
      </c>
      <c r="MB128" s="561">
        <v>0</v>
      </c>
      <c r="MC128" s="561">
        <v>0</v>
      </c>
      <c r="MD128" s="561">
        <v>0</v>
      </c>
      <c r="ME128" s="561">
        <v>0</v>
      </c>
      <c r="MF128" s="561">
        <v>0</v>
      </c>
      <c r="MG128" s="561">
        <v>0</v>
      </c>
      <c r="MH128" s="561">
        <v>0</v>
      </c>
      <c r="MI128" s="561">
        <v>0</v>
      </c>
      <c r="MJ128" s="561">
        <v>0</v>
      </c>
      <c r="MK128" s="561">
        <v>0</v>
      </c>
      <c r="ML128" s="561">
        <v>6376</v>
      </c>
      <c r="MM128" s="561">
        <v>273630</v>
      </c>
      <c r="MN128" s="561">
        <v>226147</v>
      </c>
      <c r="MO128" s="561">
        <v>63067</v>
      </c>
      <c r="MP128" s="561">
        <v>12462</v>
      </c>
      <c r="MQ128" s="561">
        <v>863450</v>
      </c>
      <c r="MR128" s="561">
        <v>96957</v>
      </c>
      <c r="MS128" s="561">
        <v>261938</v>
      </c>
      <c r="MT128" s="561">
        <v>698536</v>
      </c>
      <c r="MU128" s="561">
        <v>85015</v>
      </c>
      <c r="MV128" s="561">
        <v>1674</v>
      </c>
      <c r="MW128" s="561">
        <v>30117</v>
      </c>
      <c r="MX128" s="561">
        <v>91374</v>
      </c>
      <c r="MY128" s="561">
        <v>24895</v>
      </c>
      <c r="MZ128" s="561">
        <v>0</v>
      </c>
      <c r="NA128" s="561">
        <v>0</v>
      </c>
      <c r="NB128" s="561">
        <v>32023</v>
      </c>
      <c r="NC128" s="561">
        <v>0</v>
      </c>
      <c r="ND128" s="561">
        <v>2185979</v>
      </c>
      <c r="NE128" s="561">
        <v>0</v>
      </c>
      <c r="NF128" s="561">
        <v>0</v>
      </c>
      <c r="NG128" s="561">
        <v>0</v>
      </c>
      <c r="NH128" s="561">
        <v>0</v>
      </c>
      <c r="NI128" s="561">
        <v>0</v>
      </c>
      <c r="NJ128" s="561">
        <v>0</v>
      </c>
      <c r="NK128" s="561">
        <v>0</v>
      </c>
      <c r="NL128" s="561">
        <v>0</v>
      </c>
      <c r="NM128" s="561">
        <v>0</v>
      </c>
      <c r="NN128" s="561">
        <v>0</v>
      </c>
      <c r="NO128" s="561">
        <v>0</v>
      </c>
      <c r="NP128" s="561">
        <v>0</v>
      </c>
      <c r="NQ128" s="561">
        <v>0</v>
      </c>
      <c r="NR128" s="561">
        <v>0</v>
      </c>
      <c r="NS128" s="561">
        <v>0</v>
      </c>
      <c r="NT128" s="561">
        <v>0</v>
      </c>
      <c r="NU128" s="561">
        <v>0</v>
      </c>
      <c r="NV128" s="561">
        <v>0</v>
      </c>
      <c r="NW128" s="561">
        <v>0</v>
      </c>
      <c r="NX128" s="561">
        <v>0</v>
      </c>
      <c r="NY128" s="561">
        <v>0</v>
      </c>
      <c r="NZ128" s="561">
        <v>0</v>
      </c>
      <c r="OA128" s="561">
        <v>0</v>
      </c>
      <c r="OB128" s="561">
        <v>0</v>
      </c>
      <c r="OC128" s="561">
        <v>0</v>
      </c>
      <c r="OD128" s="561">
        <v>0</v>
      </c>
      <c r="OE128" s="561">
        <v>0</v>
      </c>
      <c r="OF128" s="561">
        <v>0</v>
      </c>
      <c r="OG128" s="561">
        <v>0</v>
      </c>
      <c r="OH128" s="561">
        <v>0</v>
      </c>
      <c r="OI128" s="561">
        <v>0</v>
      </c>
      <c r="OJ128" s="561">
        <v>0</v>
      </c>
      <c r="OK128" s="561">
        <v>0</v>
      </c>
      <c r="OL128" s="561">
        <v>0</v>
      </c>
      <c r="OM128" s="561">
        <v>0</v>
      </c>
      <c r="ON128" s="561">
        <v>0</v>
      </c>
      <c r="OO128" s="561">
        <v>0</v>
      </c>
      <c r="OP128" s="561">
        <v>0</v>
      </c>
      <c r="OQ128" s="561">
        <v>0</v>
      </c>
      <c r="OR128" s="561">
        <v>0</v>
      </c>
      <c r="OS128" s="561">
        <v>0</v>
      </c>
      <c r="OT128" s="561">
        <v>0</v>
      </c>
      <c r="OU128" s="561">
        <v>0</v>
      </c>
      <c r="OV128" s="561">
        <v>-642</v>
      </c>
      <c r="OW128" s="561">
        <v>0</v>
      </c>
      <c r="OX128" s="561">
        <v>-335</v>
      </c>
      <c r="OY128" s="561">
        <v>0</v>
      </c>
      <c r="OZ128" s="561">
        <v>0</v>
      </c>
      <c r="PA128" s="561">
        <v>0</v>
      </c>
      <c r="PB128" s="561">
        <v>0</v>
      </c>
      <c r="PC128" s="561">
        <v>0</v>
      </c>
      <c r="PD128" s="561">
        <v>0</v>
      </c>
      <c r="PE128" s="561">
        <v>0</v>
      </c>
      <c r="PF128" s="561">
        <v>0</v>
      </c>
      <c r="PG128" s="561">
        <v>0</v>
      </c>
      <c r="PH128" s="561">
        <v>0</v>
      </c>
      <c r="PI128" s="561">
        <v>0</v>
      </c>
      <c r="PJ128" s="561">
        <v>0</v>
      </c>
    </row>
    <row r="129" spans="1:426" ht="14" x14ac:dyDescent="0.3">
      <c r="A129" t="s">
        <v>2822</v>
      </c>
      <c r="B129" t="s">
        <v>2823</v>
      </c>
      <c r="C129" t="s">
        <v>4602</v>
      </c>
      <c r="E129" t="s">
        <v>2466</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0</v>
      </c>
      <c r="AS129" s="561">
        <v>0</v>
      </c>
      <c r="AT129" s="561">
        <v>0</v>
      </c>
      <c r="AU129" s="561">
        <v>0</v>
      </c>
      <c r="AV129" s="561">
        <v>0</v>
      </c>
      <c r="AW129" s="561">
        <v>0</v>
      </c>
      <c r="AX129" s="561">
        <v>0</v>
      </c>
      <c r="AY129" s="561">
        <v>0</v>
      </c>
      <c r="AZ129" s="561">
        <v>0</v>
      </c>
      <c r="BA129" s="561">
        <v>0</v>
      </c>
      <c r="BB129" s="561">
        <v>0</v>
      </c>
      <c r="BC129" s="561">
        <v>0</v>
      </c>
      <c r="BD129" s="561">
        <v>0</v>
      </c>
      <c r="BE129" s="561">
        <v>0</v>
      </c>
      <c r="BF129" s="561">
        <v>0</v>
      </c>
      <c r="BG129" s="561">
        <v>0</v>
      </c>
      <c r="BH129" s="561">
        <v>0</v>
      </c>
      <c r="BI129" s="561">
        <v>0</v>
      </c>
      <c r="BJ129" s="561">
        <v>0</v>
      </c>
      <c r="BK129" s="561">
        <v>0</v>
      </c>
      <c r="BL129" s="561">
        <v>0</v>
      </c>
      <c r="BM129" s="561">
        <v>0</v>
      </c>
      <c r="BN129" s="561">
        <v>0</v>
      </c>
      <c r="BO129" s="561">
        <v>0</v>
      </c>
      <c r="BP129" s="561">
        <v>0</v>
      </c>
      <c r="BQ129" s="561">
        <v>0</v>
      </c>
      <c r="BR129" s="561">
        <v>0</v>
      </c>
      <c r="BS129" s="561">
        <v>0</v>
      </c>
      <c r="BT129" s="561">
        <v>0</v>
      </c>
      <c r="BU129" s="561">
        <v>0</v>
      </c>
      <c r="BV129" s="561">
        <v>0</v>
      </c>
      <c r="BW129" s="561">
        <v>0</v>
      </c>
      <c r="BX129" s="561">
        <v>0</v>
      </c>
      <c r="BY129" s="561">
        <v>0</v>
      </c>
      <c r="BZ129" s="561">
        <v>0</v>
      </c>
      <c r="CA129" s="561">
        <v>0</v>
      </c>
      <c r="CB129" s="561">
        <v>0</v>
      </c>
      <c r="CC129" s="561">
        <v>0</v>
      </c>
      <c r="CD129" s="561">
        <v>0</v>
      </c>
      <c r="CE129" s="561">
        <v>0</v>
      </c>
      <c r="CF129" s="561">
        <v>0</v>
      </c>
      <c r="CG129" s="561">
        <v>0</v>
      </c>
      <c r="CH129" s="561">
        <v>0</v>
      </c>
      <c r="CI129" s="561">
        <v>0</v>
      </c>
      <c r="CJ129" s="561">
        <v>0</v>
      </c>
      <c r="CK129" s="561">
        <v>0</v>
      </c>
      <c r="CL129" s="561">
        <v>0</v>
      </c>
      <c r="CM129" s="561">
        <v>0</v>
      </c>
      <c r="CN129" s="561">
        <v>0</v>
      </c>
      <c r="CO129" s="561">
        <v>0</v>
      </c>
      <c r="CP129" s="561">
        <v>0</v>
      </c>
      <c r="CQ129" s="561">
        <v>0</v>
      </c>
      <c r="CR129" s="561">
        <v>0</v>
      </c>
      <c r="CS129" s="561">
        <v>0</v>
      </c>
      <c r="CT129" s="561">
        <v>0</v>
      </c>
      <c r="CU129" s="561">
        <v>0</v>
      </c>
      <c r="CV129" s="561">
        <v>0</v>
      </c>
      <c r="CW129" s="561">
        <v>0</v>
      </c>
      <c r="CX129" s="561">
        <v>0</v>
      </c>
      <c r="CY129" s="561">
        <v>0</v>
      </c>
      <c r="CZ129" s="561">
        <v>0</v>
      </c>
      <c r="DA129" s="561">
        <v>0</v>
      </c>
      <c r="DB129" s="561">
        <v>0</v>
      </c>
      <c r="DC129" s="561">
        <v>0</v>
      </c>
      <c r="DD129" s="561">
        <v>0</v>
      </c>
      <c r="DE129" s="561">
        <v>0</v>
      </c>
      <c r="DF129" s="561">
        <v>0</v>
      </c>
      <c r="DG129" s="561">
        <v>0</v>
      </c>
      <c r="DH129" s="561">
        <v>0</v>
      </c>
      <c r="DI129" s="561">
        <v>0</v>
      </c>
      <c r="DJ129" s="561">
        <v>0</v>
      </c>
      <c r="DK129" s="561">
        <v>0</v>
      </c>
      <c r="DL129" s="561">
        <v>0</v>
      </c>
      <c r="DM129" s="561">
        <v>0</v>
      </c>
      <c r="DN129" s="561">
        <v>0</v>
      </c>
      <c r="DO129" s="561">
        <v>0</v>
      </c>
      <c r="DP129" s="561">
        <v>0</v>
      </c>
      <c r="DQ129" s="561">
        <v>0</v>
      </c>
      <c r="DR129" s="561">
        <v>0</v>
      </c>
      <c r="DS129" s="561">
        <v>0</v>
      </c>
      <c r="DT129" s="561">
        <v>0</v>
      </c>
      <c r="DU129" s="561">
        <v>0</v>
      </c>
      <c r="DV129" s="561">
        <v>0</v>
      </c>
      <c r="DW129" s="561">
        <v>0</v>
      </c>
      <c r="DX129" s="561">
        <v>0</v>
      </c>
      <c r="DY129" s="561">
        <v>0</v>
      </c>
      <c r="DZ129" s="561">
        <v>0</v>
      </c>
      <c r="EA129" s="561">
        <v>0</v>
      </c>
      <c r="EB129" s="561">
        <v>0</v>
      </c>
      <c r="EC129" s="561">
        <v>0</v>
      </c>
      <c r="ED129" s="561">
        <v>0</v>
      </c>
      <c r="EE129" s="561">
        <v>0</v>
      </c>
      <c r="EF129" s="561">
        <v>0</v>
      </c>
      <c r="EG129" s="561">
        <v>0</v>
      </c>
      <c r="EH129" s="561">
        <v>0</v>
      </c>
      <c r="EI129" s="561">
        <v>0</v>
      </c>
      <c r="EJ129" s="561">
        <v>0</v>
      </c>
      <c r="EK129" s="561">
        <v>0</v>
      </c>
      <c r="EL129" s="561">
        <v>0</v>
      </c>
      <c r="EM129" s="561">
        <v>0</v>
      </c>
      <c r="EN129" s="561">
        <v>0</v>
      </c>
      <c r="EO129" s="561">
        <v>0</v>
      </c>
      <c r="EP129" s="561">
        <v>0</v>
      </c>
      <c r="EQ129" s="561">
        <v>0</v>
      </c>
      <c r="ER129" s="561">
        <v>0</v>
      </c>
      <c r="ES129" s="561" t="s">
        <v>4565</v>
      </c>
      <c r="ET129" s="561">
        <v>0</v>
      </c>
      <c r="EU129" s="561">
        <v>0</v>
      </c>
      <c r="EV129" s="561">
        <v>0</v>
      </c>
      <c r="EW129" s="561">
        <v>0</v>
      </c>
      <c r="EX129" s="561">
        <v>0</v>
      </c>
      <c r="EY129" s="561">
        <v>0</v>
      </c>
      <c r="EZ129" s="561">
        <v>0</v>
      </c>
      <c r="FA129" s="561">
        <v>0</v>
      </c>
      <c r="FB129" s="561">
        <v>0</v>
      </c>
      <c r="FC129" s="561">
        <v>0</v>
      </c>
      <c r="FD129" s="561">
        <v>0</v>
      </c>
      <c r="FE129" s="561">
        <v>0</v>
      </c>
      <c r="FF129" s="561">
        <v>0</v>
      </c>
      <c r="FG129" s="561">
        <v>0</v>
      </c>
      <c r="FH129" s="561">
        <v>0</v>
      </c>
      <c r="FI129" s="561">
        <v>0</v>
      </c>
      <c r="FJ129" s="561">
        <v>0</v>
      </c>
      <c r="FK129" s="561">
        <v>0</v>
      </c>
      <c r="FL129" s="561">
        <v>0</v>
      </c>
      <c r="FM129" s="561">
        <v>0</v>
      </c>
      <c r="FN129" s="561">
        <v>0</v>
      </c>
      <c r="FO129" s="561">
        <v>0</v>
      </c>
      <c r="FP129" s="561">
        <v>0</v>
      </c>
      <c r="FQ129" s="561">
        <v>0</v>
      </c>
      <c r="FR129" s="561">
        <v>0</v>
      </c>
      <c r="FS129" s="561">
        <v>0</v>
      </c>
      <c r="FT129" s="561">
        <v>0</v>
      </c>
      <c r="FU129" s="561">
        <v>0</v>
      </c>
      <c r="FV129" s="561">
        <v>0</v>
      </c>
      <c r="FW129" s="561">
        <v>0</v>
      </c>
      <c r="FX129" s="561">
        <v>0</v>
      </c>
      <c r="FY129" s="561">
        <v>0</v>
      </c>
      <c r="FZ129" s="561">
        <v>0</v>
      </c>
      <c r="GA129" s="561">
        <v>0</v>
      </c>
      <c r="GB129" s="561">
        <v>0</v>
      </c>
      <c r="GC129" s="561">
        <v>0</v>
      </c>
      <c r="GD129" s="561">
        <v>0</v>
      </c>
      <c r="GE129" s="561">
        <v>0</v>
      </c>
      <c r="GF129" s="561">
        <v>0</v>
      </c>
      <c r="GG129" s="561">
        <v>0</v>
      </c>
      <c r="GH129" s="561">
        <v>0</v>
      </c>
      <c r="GI129" s="561">
        <v>0</v>
      </c>
      <c r="GJ129" s="561">
        <v>0</v>
      </c>
      <c r="GK129" s="561">
        <v>0</v>
      </c>
      <c r="GL129" s="561">
        <v>0</v>
      </c>
      <c r="GM129" s="561">
        <v>0</v>
      </c>
      <c r="GN129" s="561">
        <v>0</v>
      </c>
      <c r="GO129" s="561">
        <v>0</v>
      </c>
      <c r="GP129" s="561">
        <v>0</v>
      </c>
      <c r="GQ129" s="561">
        <v>0</v>
      </c>
      <c r="GR129" s="561">
        <v>0</v>
      </c>
      <c r="GS129" s="561">
        <v>0</v>
      </c>
      <c r="GT129" s="561">
        <v>0</v>
      </c>
      <c r="GU129" s="561">
        <v>0</v>
      </c>
      <c r="GV129" s="561">
        <v>0</v>
      </c>
      <c r="GW129" s="561">
        <v>0</v>
      </c>
      <c r="GX129" s="561">
        <v>0</v>
      </c>
      <c r="GY129" s="561">
        <v>0</v>
      </c>
      <c r="GZ129" s="561">
        <v>0</v>
      </c>
      <c r="HA129" s="561">
        <v>0</v>
      </c>
      <c r="HB129" s="561">
        <v>0</v>
      </c>
      <c r="HC129" s="561">
        <v>0</v>
      </c>
      <c r="HD129" s="561">
        <v>0</v>
      </c>
      <c r="HE129" s="561">
        <v>0</v>
      </c>
      <c r="HF129" s="561">
        <v>0</v>
      </c>
      <c r="HG129" s="561">
        <v>0</v>
      </c>
      <c r="HH129" s="561">
        <v>0</v>
      </c>
      <c r="HI129" s="561">
        <v>0</v>
      </c>
      <c r="HJ129" s="561">
        <v>19160</v>
      </c>
      <c r="HK129" s="561">
        <v>71017</v>
      </c>
      <c r="HL129" s="561">
        <v>1567</v>
      </c>
      <c r="HM129" s="561">
        <v>91744</v>
      </c>
      <c r="HN129" s="561">
        <v>316</v>
      </c>
      <c r="HO129" s="561">
        <v>360</v>
      </c>
      <c r="HP129" s="561">
        <v>0</v>
      </c>
      <c r="HQ129" s="561">
        <v>0</v>
      </c>
      <c r="HR129" s="561">
        <v>0</v>
      </c>
      <c r="HS129" s="561">
        <v>0</v>
      </c>
      <c r="HT129" s="561">
        <v>0</v>
      </c>
      <c r="HU129" s="561">
        <v>0</v>
      </c>
      <c r="HV129" s="561">
        <v>0</v>
      </c>
      <c r="HW129" s="561">
        <v>0</v>
      </c>
      <c r="HX129" s="561">
        <v>0</v>
      </c>
      <c r="HY129" s="561">
        <v>0</v>
      </c>
      <c r="HZ129" s="561">
        <v>0</v>
      </c>
      <c r="IA129" s="561">
        <v>0</v>
      </c>
      <c r="IB129" s="561">
        <v>0</v>
      </c>
      <c r="IC129" s="561">
        <v>0</v>
      </c>
      <c r="ID129" s="561">
        <v>0</v>
      </c>
      <c r="IE129" s="561">
        <v>0</v>
      </c>
      <c r="IF129" s="561">
        <v>0</v>
      </c>
      <c r="IG129" s="561">
        <v>0</v>
      </c>
      <c r="IH129" s="561">
        <v>0</v>
      </c>
      <c r="II129" s="561">
        <v>360</v>
      </c>
      <c r="IJ129" s="561">
        <v>0</v>
      </c>
      <c r="IK129" s="561">
        <v>0</v>
      </c>
      <c r="IL129" s="561">
        <v>0</v>
      </c>
      <c r="IM129" s="561">
        <v>0</v>
      </c>
      <c r="IN129" s="561">
        <v>0</v>
      </c>
      <c r="IO129" s="561">
        <v>0</v>
      </c>
      <c r="IP129" s="561">
        <v>0</v>
      </c>
      <c r="IQ129" s="561">
        <v>0</v>
      </c>
      <c r="IR129" s="561">
        <v>0</v>
      </c>
      <c r="IS129" s="561">
        <v>0</v>
      </c>
      <c r="IT129" s="561">
        <v>0</v>
      </c>
      <c r="IU129" s="561">
        <v>0</v>
      </c>
      <c r="IV129" s="561">
        <v>0</v>
      </c>
      <c r="IW129" s="561">
        <v>0</v>
      </c>
      <c r="IX129" s="561">
        <v>0</v>
      </c>
      <c r="IY129" s="561">
        <v>0</v>
      </c>
      <c r="IZ129" s="561">
        <v>0</v>
      </c>
      <c r="JA129" s="561">
        <v>0</v>
      </c>
      <c r="JB129" s="561">
        <v>91744</v>
      </c>
      <c r="JC129" s="561">
        <v>360</v>
      </c>
      <c r="JD129" s="561">
        <v>0</v>
      </c>
      <c r="JE129" s="561">
        <v>92104</v>
      </c>
      <c r="JF129" s="561">
        <v>0</v>
      </c>
      <c r="JG129" s="561">
        <v>0</v>
      </c>
      <c r="JH129" s="561">
        <v>0</v>
      </c>
      <c r="JI129" s="561">
        <v>0</v>
      </c>
      <c r="JJ129" s="561">
        <v>0</v>
      </c>
      <c r="JK129" s="561">
        <v>0</v>
      </c>
      <c r="JL129" s="561">
        <v>0</v>
      </c>
      <c r="JM129" s="561">
        <v>0</v>
      </c>
      <c r="JN129" s="561">
        <v>0</v>
      </c>
      <c r="JO129" s="561">
        <v>0</v>
      </c>
      <c r="JP129" s="561">
        <v>0</v>
      </c>
      <c r="JQ129" s="561">
        <v>0</v>
      </c>
      <c r="JR129" s="561">
        <v>0</v>
      </c>
      <c r="JS129" s="561">
        <v>0</v>
      </c>
      <c r="JT129" s="561">
        <v>52</v>
      </c>
      <c r="JU129" s="561">
        <v>131</v>
      </c>
      <c r="JV129" s="561">
        <v>92287</v>
      </c>
      <c r="JW129" s="561">
        <v>0</v>
      </c>
      <c r="JX129" s="561">
        <v>0</v>
      </c>
      <c r="JY129" s="561">
        <v>0</v>
      </c>
      <c r="JZ129" s="561">
        <v>0</v>
      </c>
      <c r="KA129" s="561">
        <v>0</v>
      </c>
      <c r="KB129" s="561">
        <v>0</v>
      </c>
      <c r="KC129" s="561">
        <v>4210</v>
      </c>
      <c r="KD129" s="561">
        <v>0</v>
      </c>
      <c r="KE129" s="561">
        <v>1129</v>
      </c>
      <c r="KF129" s="561">
        <v>0</v>
      </c>
      <c r="KG129" s="561">
        <v>97626</v>
      </c>
      <c r="KH129" s="561">
        <v>-1406</v>
      </c>
      <c r="KI129" s="561">
        <v>0</v>
      </c>
      <c r="KJ129" s="561">
        <v>0</v>
      </c>
      <c r="KK129" s="561">
        <v>0</v>
      </c>
      <c r="KL129" s="561">
        <v>0</v>
      </c>
      <c r="KM129" s="561">
        <v>0</v>
      </c>
      <c r="KN129" s="561">
        <v>0</v>
      </c>
      <c r="KO129" s="561">
        <v>0</v>
      </c>
      <c r="KP129" s="561">
        <v>0</v>
      </c>
      <c r="KQ129" s="561">
        <v>0</v>
      </c>
      <c r="KR129" s="561">
        <v>96220</v>
      </c>
      <c r="KS129" s="561">
        <v>0</v>
      </c>
      <c r="KT129" s="561">
        <v>-10942</v>
      </c>
      <c r="KU129" s="561">
        <v>85278</v>
      </c>
      <c r="KV129" s="561">
        <v>0</v>
      </c>
      <c r="KW129" s="561">
        <v>0</v>
      </c>
      <c r="KX129" s="561">
        <v>0</v>
      </c>
      <c r="KY129" s="561">
        <v>0</v>
      </c>
      <c r="KZ129" s="561">
        <v>-322</v>
      </c>
      <c r="LA129" s="561">
        <v>1684</v>
      </c>
      <c r="LB129" s="561">
        <v>-13828</v>
      </c>
      <c r="LC129" s="561">
        <v>0</v>
      </c>
      <c r="LD129" s="561">
        <v>-17383</v>
      </c>
      <c r="LE129" s="561">
        <v>0</v>
      </c>
      <c r="LF129" s="561">
        <v>0</v>
      </c>
      <c r="LG129" s="561">
        <v>55428</v>
      </c>
      <c r="LH129" s="561">
        <v>0</v>
      </c>
      <c r="LI129" s="561">
        <v>0</v>
      </c>
      <c r="LJ129" s="561">
        <v>0</v>
      </c>
      <c r="LK129" s="561">
        <v>0</v>
      </c>
      <c r="LL129" s="561">
        <v>6231</v>
      </c>
      <c r="LM129" s="561">
        <v>4157</v>
      </c>
      <c r="LN129" s="561">
        <v>0</v>
      </c>
      <c r="LO129" s="561">
        <v>0</v>
      </c>
      <c r="LP129" s="561">
        <v>0</v>
      </c>
      <c r="LQ129" s="561">
        <v>0</v>
      </c>
      <c r="LR129" s="561">
        <v>5909</v>
      </c>
      <c r="LS129" s="561">
        <v>5841</v>
      </c>
      <c r="LT129" s="561">
        <v>0</v>
      </c>
      <c r="LU129" s="561">
        <v>4554</v>
      </c>
      <c r="LV129" s="561">
        <v>0</v>
      </c>
      <c r="LW129" s="561">
        <v>-358</v>
      </c>
      <c r="LX129" s="561">
        <v>0</v>
      </c>
      <c r="LY129" s="561">
        <v>0</v>
      </c>
      <c r="LZ129" s="561">
        <v>4196</v>
      </c>
      <c r="MA129" s="561">
        <v>0</v>
      </c>
      <c r="MB129" s="561">
        <v>0</v>
      </c>
      <c r="MC129" s="561">
        <v>0</v>
      </c>
      <c r="MD129" s="561">
        <v>0</v>
      </c>
      <c r="ME129" s="561">
        <v>0</v>
      </c>
      <c r="MF129" s="561">
        <v>0</v>
      </c>
      <c r="MG129" s="561">
        <v>0</v>
      </c>
      <c r="MH129" s="561">
        <v>0</v>
      </c>
      <c r="MI129" s="561">
        <v>0</v>
      </c>
      <c r="MJ129" s="561">
        <v>0</v>
      </c>
      <c r="MK129" s="561">
        <v>0</v>
      </c>
      <c r="ML129" s="561">
        <v>0</v>
      </c>
      <c r="MM129" s="561">
        <v>1445</v>
      </c>
      <c r="MN129" s="561">
        <v>3093</v>
      </c>
      <c r="MO129" s="561">
        <v>1371</v>
      </c>
      <c r="MP129" s="561">
        <v>0</v>
      </c>
      <c r="MQ129" s="561">
        <v>0</v>
      </c>
      <c r="MR129" s="561">
        <v>0</v>
      </c>
      <c r="MS129" s="561">
        <v>0</v>
      </c>
      <c r="MT129" s="561">
        <v>0</v>
      </c>
      <c r="MU129" s="561">
        <v>0</v>
      </c>
      <c r="MV129" s="561">
        <v>0</v>
      </c>
      <c r="MW129" s="561">
        <v>0</v>
      </c>
      <c r="MX129" s="561">
        <v>0</v>
      </c>
      <c r="MY129" s="561">
        <v>0</v>
      </c>
      <c r="MZ129" s="561">
        <v>0</v>
      </c>
      <c r="NA129" s="561">
        <v>91744</v>
      </c>
      <c r="NB129" s="561">
        <v>360</v>
      </c>
      <c r="NC129" s="561">
        <v>0</v>
      </c>
      <c r="ND129" s="561">
        <v>92104</v>
      </c>
      <c r="NE129" s="561">
        <v>0</v>
      </c>
      <c r="NF129" s="561">
        <v>0</v>
      </c>
      <c r="NG129" s="561">
        <v>0</v>
      </c>
      <c r="NH129" s="561">
        <v>0</v>
      </c>
      <c r="NI129" s="561">
        <v>0</v>
      </c>
      <c r="NJ129" s="561">
        <v>0</v>
      </c>
      <c r="NK129" s="561">
        <v>0</v>
      </c>
      <c r="NL129" s="561">
        <v>0</v>
      </c>
      <c r="NM129" s="561">
        <v>0</v>
      </c>
      <c r="NN129" s="561">
        <v>0</v>
      </c>
      <c r="NO129" s="561">
        <v>0</v>
      </c>
      <c r="NP129" s="561">
        <v>0</v>
      </c>
      <c r="NQ129" s="561">
        <v>0</v>
      </c>
      <c r="NR129" s="561">
        <v>0</v>
      </c>
      <c r="NS129" s="561">
        <v>0</v>
      </c>
      <c r="NT129" s="561">
        <v>0</v>
      </c>
      <c r="NU129" s="561">
        <v>0</v>
      </c>
      <c r="NV129" s="561">
        <v>0</v>
      </c>
      <c r="NW129" s="561">
        <v>0</v>
      </c>
      <c r="NX129" s="561">
        <v>0</v>
      </c>
      <c r="NY129" s="561">
        <v>0</v>
      </c>
      <c r="NZ129" s="561">
        <v>0</v>
      </c>
      <c r="OA129" s="561">
        <v>0</v>
      </c>
      <c r="OB129" s="561">
        <v>0</v>
      </c>
      <c r="OC129" s="561">
        <v>0</v>
      </c>
      <c r="OD129" s="561">
        <v>0</v>
      </c>
      <c r="OE129" s="561">
        <v>0</v>
      </c>
      <c r="OF129" s="561">
        <v>0</v>
      </c>
      <c r="OG129" s="561">
        <v>0</v>
      </c>
      <c r="OH129" s="561">
        <v>0</v>
      </c>
      <c r="OI129" s="561">
        <v>0</v>
      </c>
      <c r="OJ129" s="561">
        <v>0</v>
      </c>
      <c r="OK129" s="561">
        <v>0</v>
      </c>
      <c r="OL129" s="561">
        <v>0</v>
      </c>
      <c r="OM129" s="561">
        <v>0</v>
      </c>
      <c r="ON129" s="561">
        <v>0</v>
      </c>
      <c r="OO129" s="561">
        <v>0</v>
      </c>
      <c r="OP129" s="561">
        <v>0</v>
      </c>
      <c r="OQ129" s="561">
        <v>0</v>
      </c>
      <c r="OR129" s="561">
        <v>0</v>
      </c>
      <c r="OS129" s="561">
        <v>0</v>
      </c>
      <c r="OT129" s="561">
        <v>0</v>
      </c>
      <c r="OU129" s="561">
        <v>0</v>
      </c>
      <c r="OV129" s="561">
        <v>0</v>
      </c>
      <c r="OW129" s="561">
        <v>0</v>
      </c>
      <c r="OX129" s="561">
        <v>0</v>
      </c>
      <c r="OY129" s="561">
        <v>0</v>
      </c>
      <c r="OZ129" s="561">
        <v>0</v>
      </c>
      <c r="PA129" s="561">
        <v>0</v>
      </c>
      <c r="PB129" s="561">
        <v>0</v>
      </c>
      <c r="PC129" s="561">
        <v>0</v>
      </c>
      <c r="PD129" s="561">
        <v>0</v>
      </c>
      <c r="PE129" s="561">
        <v>0</v>
      </c>
      <c r="PF129" s="561">
        <v>0</v>
      </c>
      <c r="PG129" s="561">
        <v>0</v>
      </c>
      <c r="PH129" s="561">
        <v>0</v>
      </c>
      <c r="PI129" s="561">
        <v>0</v>
      </c>
      <c r="PJ129" s="561">
        <v>0</v>
      </c>
    </row>
    <row r="130" spans="1:426" ht="14" x14ac:dyDescent="0.3">
      <c r="A130" t="s">
        <v>2819</v>
      </c>
      <c r="B130" t="s">
        <v>2820</v>
      </c>
      <c r="C130" t="s">
        <v>2821</v>
      </c>
      <c r="E130" t="s">
        <v>2466</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561">
        <v>0</v>
      </c>
      <c r="BG130" s="561">
        <v>0</v>
      </c>
      <c r="BH130" s="561">
        <v>0</v>
      </c>
      <c r="BI130" s="561">
        <v>0</v>
      </c>
      <c r="BJ130" s="561">
        <v>0</v>
      </c>
      <c r="BK130" s="561">
        <v>0</v>
      </c>
      <c r="BL130" s="561">
        <v>0</v>
      </c>
      <c r="BM130" s="561">
        <v>0</v>
      </c>
      <c r="BN130" s="561">
        <v>0</v>
      </c>
      <c r="BO130" s="561">
        <v>0</v>
      </c>
      <c r="BP130" s="561">
        <v>0</v>
      </c>
      <c r="BQ130" s="561">
        <v>0</v>
      </c>
      <c r="BR130" s="561">
        <v>0</v>
      </c>
      <c r="BS130" s="561">
        <v>0</v>
      </c>
      <c r="BT130" s="561">
        <v>0</v>
      </c>
      <c r="BU130" s="561">
        <v>0</v>
      </c>
      <c r="BV130" s="561">
        <v>0</v>
      </c>
      <c r="BW130" s="561">
        <v>0</v>
      </c>
      <c r="BX130" s="561">
        <v>0</v>
      </c>
      <c r="BY130" s="561">
        <v>0</v>
      </c>
      <c r="BZ130" s="561">
        <v>0</v>
      </c>
      <c r="CA130" s="561">
        <v>0</v>
      </c>
      <c r="CB130" s="561">
        <v>0</v>
      </c>
      <c r="CC130" s="561">
        <v>0</v>
      </c>
      <c r="CD130" s="561">
        <v>0</v>
      </c>
      <c r="CE130" s="561">
        <v>0</v>
      </c>
      <c r="CF130" s="561">
        <v>0</v>
      </c>
      <c r="CG130" s="561">
        <v>0</v>
      </c>
      <c r="CH130" s="561">
        <v>0</v>
      </c>
      <c r="CI130" s="561">
        <v>0</v>
      </c>
      <c r="CJ130" s="561">
        <v>0</v>
      </c>
      <c r="CK130" s="561">
        <v>0</v>
      </c>
      <c r="CL130" s="561">
        <v>0</v>
      </c>
      <c r="CM130" s="561">
        <v>0</v>
      </c>
      <c r="CN130" s="561">
        <v>0</v>
      </c>
      <c r="CO130" s="561">
        <v>0</v>
      </c>
      <c r="CP130" s="561">
        <v>0</v>
      </c>
      <c r="CQ130" s="561">
        <v>0</v>
      </c>
      <c r="CR130" s="561">
        <v>0</v>
      </c>
      <c r="CS130" s="561">
        <v>0</v>
      </c>
      <c r="CT130" s="561">
        <v>0</v>
      </c>
      <c r="CU130" s="561">
        <v>0</v>
      </c>
      <c r="CV130" s="561">
        <v>0</v>
      </c>
      <c r="CW130" s="561">
        <v>0</v>
      </c>
      <c r="CX130" s="561">
        <v>0</v>
      </c>
      <c r="CY130" s="561">
        <v>0</v>
      </c>
      <c r="CZ130" s="561">
        <v>0</v>
      </c>
      <c r="DA130" s="561">
        <v>0</v>
      </c>
      <c r="DB130" s="561">
        <v>0</v>
      </c>
      <c r="DC130" s="561">
        <v>0</v>
      </c>
      <c r="DD130" s="561">
        <v>0</v>
      </c>
      <c r="DE130" s="561">
        <v>0</v>
      </c>
      <c r="DF130" s="561">
        <v>0</v>
      </c>
      <c r="DG130" s="561">
        <v>0</v>
      </c>
      <c r="DH130" s="561">
        <v>0</v>
      </c>
      <c r="DI130" s="561">
        <v>0</v>
      </c>
      <c r="DJ130" s="561">
        <v>0</v>
      </c>
      <c r="DK130" s="561">
        <v>0</v>
      </c>
      <c r="DL130" s="561">
        <v>0</v>
      </c>
      <c r="DM130" s="561">
        <v>0</v>
      </c>
      <c r="DN130" s="561">
        <v>0</v>
      </c>
      <c r="DO130" s="561">
        <v>0</v>
      </c>
      <c r="DP130" s="561">
        <v>0</v>
      </c>
      <c r="DQ130" s="561">
        <v>0</v>
      </c>
      <c r="DR130" s="561">
        <v>0</v>
      </c>
      <c r="DS130" s="561">
        <v>0</v>
      </c>
      <c r="DT130" s="561">
        <v>0</v>
      </c>
      <c r="DU130" s="561">
        <v>0</v>
      </c>
      <c r="DV130" s="561">
        <v>0</v>
      </c>
      <c r="DW130" s="561">
        <v>0</v>
      </c>
      <c r="DX130" s="561">
        <v>0</v>
      </c>
      <c r="DY130" s="561">
        <v>0</v>
      </c>
      <c r="DZ130" s="561">
        <v>0</v>
      </c>
      <c r="EA130" s="561">
        <v>0</v>
      </c>
      <c r="EB130" s="561">
        <v>0</v>
      </c>
      <c r="EC130" s="561">
        <v>0</v>
      </c>
      <c r="ED130" s="561">
        <v>0</v>
      </c>
      <c r="EE130" s="561">
        <v>0</v>
      </c>
      <c r="EF130" s="561">
        <v>0</v>
      </c>
      <c r="EG130" s="561">
        <v>0</v>
      </c>
      <c r="EH130" s="561">
        <v>0</v>
      </c>
      <c r="EI130" s="561">
        <v>0</v>
      </c>
      <c r="EJ130" s="561">
        <v>0</v>
      </c>
      <c r="EK130" s="561">
        <v>0</v>
      </c>
      <c r="EL130" s="561">
        <v>0</v>
      </c>
      <c r="EM130" s="561">
        <v>0</v>
      </c>
      <c r="EN130" s="561">
        <v>0</v>
      </c>
      <c r="EO130" s="561">
        <v>0</v>
      </c>
      <c r="EP130" s="561">
        <v>0</v>
      </c>
      <c r="EQ130" s="561">
        <v>0</v>
      </c>
      <c r="ER130" s="561">
        <v>0</v>
      </c>
      <c r="ES130" s="561" t="s">
        <v>4565</v>
      </c>
      <c r="ET130" s="561">
        <v>0</v>
      </c>
      <c r="EU130" s="561">
        <v>0</v>
      </c>
      <c r="EV130" s="561">
        <v>0</v>
      </c>
      <c r="EW130" s="561">
        <v>0</v>
      </c>
      <c r="EX130" s="561">
        <v>0</v>
      </c>
      <c r="EY130" s="561">
        <v>0</v>
      </c>
      <c r="EZ130" s="561">
        <v>0</v>
      </c>
      <c r="FA130" s="561">
        <v>0</v>
      </c>
      <c r="FB130" s="561">
        <v>0</v>
      </c>
      <c r="FC130" s="561">
        <v>0</v>
      </c>
      <c r="FD130" s="561">
        <v>0</v>
      </c>
      <c r="FE130" s="561">
        <v>0</v>
      </c>
      <c r="FF130" s="561">
        <v>0</v>
      </c>
      <c r="FG130" s="561">
        <v>0</v>
      </c>
      <c r="FH130" s="561">
        <v>0</v>
      </c>
      <c r="FI130" s="561">
        <v>0</v>
      </c>
      <c r="FJ130" s="561">
        <v>0</v>
      </c>
      <c r="FK130" s="561">
        <v>0</v>
      </c>
      <c r="FL130" s="561">
        <v>0</v>
      </c>
      <c r="FM130" s="561">
        <v>0</v>
      </c>
      <c r="FN130" s="561">
        <v>0</v>
      </c>
      <c r="FO130" s="561">
        <v>0</v>
      </c>
      <c r="FP130" s="561">
        <v>0</v>
      </c>
      <c r="FQ130" s="561">
        <v>0</v>
      </c>
      <c r="FR130" s="561">
        <v>0</v>
      </c>
      <c r="FS130" s="561">
        <v>0</v>
      </c>
      <c r="FT130" s="561">
        <v>0</v>
      </c>
      <c r="FU130" s="561">
        <v>0</v>
      </c>
      <c r="FV130" s="561">
        <v>0</v>
      </c>
      <c r="FW130" s="561">
        <v>0</v>
      </c>
      <c r="FX130" s="561">
        <v>0</v>
      </c>
      <c r="FY130" s="561">
        <v>0</v>
      </c>
      <c r="FZ130" s="561">
        <v>0</v>
      </c>
      <c r="GA130" s="561">
        <v>0</v>
      </c>
      <c r="GB130" s="561">
        <v>0</v>
      </c>
      <c r="GC130" s="561">
        <v>0</v>
      </c>
      <c r="GD130" s="561">
        <v>0</v>
      </c>
      <c r="GE130" s="561">
        <v>0</v>
      </c>
      <c r="GF130" s="561">
        <v>0</v>
      </c>
      <c r="GG130" s="561">
        <v>0</v>
      </c>
      <c r="GH130" s="561">
        <v>0</v>
      </c>
      <c r="GI130" s="561">
        <v>0</v>
      </c>
      <c r="GJ130" s="561">
        <v>0</v>
      </c>
      <c r="GK130" s="561">
        <v>0</v>
      </c>
      <c r="GL130" s="561">
        <v>0</v>
      </c>
      <c r="GM130" s="561">
        <v>0</v>
      </c>
      <c r="GN130" s="561">
        <v>0</v>
      </c>
      <c r="GO130" s="561">
        <v>0</v>
      </c>
      <c r="GP130" s="561">
        <v>0</v>
      </c>
      <c r="GQ130" s="561">
        <v>0</v>
      </c>
      <c r="GR130" s="561">
        <v>0</v>
      </c>
      <c r="GS130" s="561">
        <v>0</v>
      </c>
      <c r="GT130" s="561">
        <v>0</v>
      </c>
      <c r="GU130" s="561">
        <v>0</v>
      </c>
      <c r="GV130" s="561">
        <v>0</v>
      </c>
      <c r="GW130" s="561">
        <v>0</v>
      </c>
      <c r="GX130" s="561">
        <v>0</v>
      </c>
      <c r="GY130" s="561">
        <v>0</v>
      </c>
      <c r="GZ130" s="561">
        <v>0</v>
      </c>
      <c r="HA130" s="561">
        <v>0</v>
      </c>
      <c r="HB130" s="561">
        <v>0</v>
      </c>
      <c r="HC130" s="561">
        <v>0</v>
      </c>
      <c r="HD130" s="561">
        <v>0</v>
      </c>
      <c r="HE130" s="561">
        <v>0</v>
      </c>
      <c r="HF130" s="561">
        <v>0</v>
      </c>
      <c r="HG130" s="561">
        <v>0</v>
      </c>
      <c r="HH130" s="561">
        <v>430357</v>
      </c>
      <c r="HI130" s="561">
        <v>185</v>
      </c>
      <c r="HJ130" s="561">
        <v>0</v>
      </c>
      <c r="HK130" s="561">
        <v>0</v>
      </c>
      <c r="HL130" s="561">
        <v>0</v>
      </c>
      <c r="HM130" s="561">
        <v>0</v>
      </c>
      <c r="HN130" s="561">
        <v>0</v>
      </c>
      <c r="HO130" s="561">
        <v>2926</v>
      </c>
      <c r="HP130" s="561">
        <v>0</v>
      </c>
      <c r="HQ130" s="561">
        <v>0</v>
      </c>
      <c r="HR130" s="561">
        <v>0</v>
      </c>
      <c r="HS130" s="561">
        <v>0</v>
      </c>
      <c r="HT130" s="561">
        <v>0</v>
      </c>
      <c r="HU130" s="561">
        <v>0</v>
      </c>
      <c r="HV130" s="561">
        <v>0</v>
      </c>
      <c r="HW130" s="561">
        <v>0</v>
      </c>
      <c r="HX130" s="561">
        <v>0</v>
      </c>
      <c r="HY130" s="561">
        <v>0</v>
      </c>
      <c r="HZ130" s="561">
        <v>0</v>
      </c>
      <c r="IA130" s="561">
        <v>0</v>
      </c>
      <c r="IB130" s="561">
        <v>0</v>
      </c>
      <c r="IC130" s="561">
        <v>0</v>
      </c>
      <c r="ID130" s="561">
        <v>0</v>
      </c>
      <c r="IE130" s="561">
        <v>0</v>
      </c>
      <c r="IF130" s="561">
        <v>0</v>
      </c>
      <c r="IG130" s="561">
        <v>0</v>
      </c>
      <c r="IH130" s="561">
        <v>0</v>
      </c>
      <c r="II130" s="561">
        <v>2926</v>
      </c>
      <c r="IJ130" s="561">
        <v>0</v>
      </c>
      <c r="IK130" s="561">
        <v>0</v>
      </c>
      <c r="IL130" s="561">
        <v>0</v>
      </c>
      <c r="IM130" s="561">
        <v>0</v>
      </c>
      <c r="IN130" s="561">
        <v>0</v>
      </c>
      <c r="IO130" s="561">
        <v>0</v>
      </c>
      <c r="IP130" s="561">
        <v>0</v>
      </c>
      <c r="IQ130" s="561">
        <v>0</v>
      </c>
      <c r="IR130" s="561">
        <v>0</v>
      </c>
      <c r="IS130" s="561">
        <v>0</v>
      </c>
      <c r="IT130" s="561">
        <v>0</v>
      </c>
      <c r="IU130" s="561">
        <v>0</v>
      </c>
      <c r="IV130" s="561">
        <v>0</v>
      </c>
      <c r="IW130" s="561">
        <v>0</v>
      </c>
      <c r="IX130" s="561">
        <v>0</v>
      </c>
      <c r="IY130" s="561">
        <v>0</v>
      </c>
      <c r="IZ130" s="561">
        <v>0</v>
      </c>
      <c r="JA130" s="561">
        <v>430357</v>
      </c>
      <c r="JB130" s="561">
        <v>0</v>
      </c>
      <c r="JC130" s="561">
        <v>2926</v>
      </c>
      <c r="JD130" s="561">
        <v>0</v>
      </c>
      <c r="JE130" s="561">
        <v>433283</v>
      </c>
      <c r="JF130" s="561">
        <v>0</v>
      </c>
      <c r="JG130" s="561">
        <v>0</v>
      </c>
      <c r="JH130" s="561">
        <v>0</v>
      </c>
      <c r="JI130" s="561">
        <v>0</v>
      </c>
      <c r="JJ130" s="561">
        <v>0</v>
      </c>
      <c r="JK130" s="561">
        <v>0</v>
      </c>
      <c r="JL130" s="561">
        <v>0</v>
      </c>
      <c r="JM130" s="561">
        <v>0</v>
      </c>
      <c r="JN130" s="561">
        <v>0</v>
      </c>
      <c r="JO130" s="561">
        <v>0</v>
      </c>
      <c r="JP130" s="561">
        <v>0</v>
      </c>
      <c r="JQ130" s="561">
        <v>0</v>
      </c>
      <c r="JR130" s="561">
        <v>0</v>
      </c>
      <c r="JS130" s="561">
        <v>0</v>
      </c>
      <c r="JT130" s="561">
        <v>-96</v>
      </c>
      <c r="JU130" s="561">
        <v>0</v>
      </c>
      <c r="JV130" s="561">
        <v>433187</v>
      </c>
      <c r="JW130" s="561">
        <v>0</v>
      </c>
      <c r="JX130" s="561">
        <v>1037</v>
      </c>
      <c r="JY130" s="561">
        <v>0</v>
      </c>
      <c r="JZ130" s="561">
        <v>0</v>
      </c>
      <c r="KA130" s="561">
        <v>0</v>
      </c>
      <c r="KB130" s="561">
        <v>-39</v>
      </c>
      <c r="KC130" s="561">
        <v>1894</v>
      </c>
      <c r="KD130" s="561">
        <v>0</v>
      </c>
      <c r="KE130" s="561">
        <v>264</v>
      </c>
      <c r="KF130" s="561">
        <v>0</v>
      </c>
      <c r="KG130" s="561">
        <v>436343</v>
      </c>
      <c r="KH130" s="561">
        <v>-1074</v>
      </c>
      <c r="KI130" s="561">
        <v>0</v>
      </c>
      <c r="KJ130" s="561">
        <v>0</v>
      </c>
      <c r="KK130" s="561">
        <v>0</v>
      </c>
      <c r="KL130" s="561">
        <v>0</v>
      </c>
      <c r="KM130" s="561">
        <v>0</v>
      </c>
      <c r="KN130" s="561">
        <v>0</v>
      </c>
      <c r="KO130" s="561">
        <v>0</v>
      </c>
      <c r="KP130" s="561">
        <v>0</v>
      </c>
      <c r="KQ130" s="561">
        <v>0</v>
      </c>
      <c r="KR130" s="561">
        <v>435269</v>
      </c>
      <c r="KS130" s="561">
        <v>0</v>
      </c>
      <c r="KT130" s="561">
        <v>-48074</v>
      </c>
      <c r="KU130" s="561">
        <v>387195</v>
      </c>
      <c r="KV130" s="561">
        <v>0</v>
      </c>
      <c r="KW130" s="561">
        <v>0</v>
      </c>
      <c r="KX130" s="561">
        <v>0</v>
      </c>
      <c r="KY130" s="561">
        <v>0</v>
      </c>
      <c r="KZ130" s="561">
        <v>-2680</v>
      </c>
      <c r="LA130" s="561">
        <v>1022</v>
      </c>
      <c r="LB130" s="561">
        <v>0</v>
      </c>
      <c r="LC130" s="561">
        <v>-218877</v>
      </c>
      <c r="LD130" s="561">
        <v>0</v>
      </c>
      <c r="LE130" s="561">
        <v>-1341</v>
      </c>
      <c r="LF130" s="561">
        <v>0</v>
      </c>
      <c r="LG130" s="561">
        <v>165319</v>
      </c>
      <c r="LH130" s="561">
        <v>0</v>
      </c>
      <c r="LI130" s="561">
        <v>0</v>
      </c>
      <c r="LJ130" s="561">
        <v>0</v>
      </c>
      <c r="LK130" s="561">
        <v>0</v>
      </c>
      <c r="LL130" s="561">
        <v>14704</v>
      </c>
      <c r="LM130" s="561">
        <v>11046</v>
      </c>
      <c r="LN130" s="561">
        <v>0</v>
      </c>
      <c r="LO130" s="561">
        <v>0</v>
      </c>
      <c r="LP130" s="561">
        <v>0</v>
      </c>
      <c r="LQ130" s="561">
        <v>0</v>
      </c>
      <c r="LR130" s="561">
        <v>12024</v>
      </c>
      <c r="LS130" s="561">
        <v>12068</v>
      </c>
      <c r="LT130" s="561">
        <v>0</v>
      </c>
      <c r="LU130" s="561">
        <v>8250</v>
      </c>
      <c r="LV130" s="561">
        <v>0</v>
      </c>
      <c r="LW130" s="561">
        <v>4222</v>
      </c>
      <c r="LX130" s="561">
        <v>0</v>
      </c>
      <c r="LY130" s="561">
        <v>0</v>
      </c>
      <c r="LZ130" s="561">
        <v>12472</v>
      </c>
      <c r="MA130" s="561">
        <v>0</v>
      </c>
      <c r="MB130" s="561">
        <v>0</v>
      </c>
      <c r="MC130" s="561">
        <v>0</v>
      </c>
      <c r="MD130" s="561">
        <v>0</v>
      </c>
      <c r="ME130" s="561">
        <v>0</v>
      </c>
      <c r="MF130" s="561">
        <v>0</v>
      </c>
      <c r="MG130" s="561">
        <v>0</v>
      </c>
      <c r="MH130" s="561">
        <v>0</v>
      </c>
      <c r="MI130" s="561">
        <v>0</v>
      </c>
      <c r="MJ130" s="561">
        <v>0</v>
      </c>
      <c r="MK130" s="561">
        <v>0</v>
      </c>
      <c r="ML130" s="561">
        <v>121</v>
      </c>
      <c r="MM130" s="561">
        <v>10556</v>
      </c>
      <c r="MN130" s="561">
        <v>1347</v>
      </c>
      <c r="MO130" s="561">
        <v>0</v>
      </c>
      <c r="MP130" s="561">
        <v>0</v>
      </c>
      <c r="MQ130" s="561">
        <v>0</v>
      </c>
      <c r="MR130" s="561">
        <v>0</v>
      </c>
      <c r="MS130" s="561">
        <v>0</v>
      </c>
      <c r="MT130" s="561">
        <v>0</v>
      </c>
      <c r="MU130" s="561">
        <v>0</v>
      </c>
      <c r="MV130" s="561">
        <v>0</v>
      </c>
      <c r="MW130" s="561">
        <v>0</v>
      </c>
      <c r="MX130" s="561">
        <v>0</v>
      </c>
      <c r="MY130" s="561">
        <v>0</v>
      </c>
      <c r="MZ130" s="561">
        <v>430357</v>
      </c>
      <c r="NA130" s="561">
        <v>0</v>
      </c>
      <c r="NB130" s="561">
        <v>2926</v>
      </c>
      <c r="NC130" s="561">
        <v>0</v>
      </c>
      <c r="ND130" s="561">
        <v>433283</v>
      </c>
      <c r="NE130" s="561">
        <v>0</v>
      </c>
      <c r="NF130" s="561">
        <v>0</v>
      </c>
      <c r="NG130" s="561">
        <v>0</v>
      </c>
      <c r="NH130" s="561">
        <v>0</v>
      </c>
      <c r="NI130" s="561">
        <v>0</v>
      </c>
      <c r="NJ130" s="561">
        <v>0</v>
      </c>
      <c r="NK130" s="561">
        <v>0</v>
      </c>
      <c r="NL130" s="561">
        <v>0</v>
      </c>
      <c r="NM130" s="561">
        <v>0</v>
      </c>
      <c r="NN130" s="561">
        <v>0</v>
      </c>
      <c r="NO130" s="561">
        <v>0</v>
      </c>
      <c r="NP130" s="561">
        <v>0</v>
      </c>
      <c r="NQ130" s="561">
        <v>0</v>
      </c>
      <c r="NR130" s="561">
        <v>0</v>
      </c>
      <c r="NS130" s="561">
        <v>0</v>
      </c>
      <c r="NT130" s="561">
        <v>0</v>
      </c>
      <c r="NU130" s="561">
        <v>0</v>
      </c>
      <c r="NV130" s="561">
        <v>0</v>
      </c>
      <c r="NW130" s="561">
        <v>0</v>
      </c>
      <c r="NX130" s="561">
        <v>0</v>
      </c>
      <c r="NY130" s="561">
        <v>0</v>
      </c>
      <c r="NZ130" s="561">
        <v>0</v>
      </c>
      <c r="OA130" s="561">
        <v>0</v>
      </c>
      <c r="OB130" s="561">
        <v>0</v>
      </c>
      <c r="OC130" s="561">
        <v>0</v>
      </c>
      <c r="OD130" s="561">
        <v>0</v>
      </c>
      <c r="OE130" s="561">
        <v>0</v>
      </c>
      <c r="OF130" s="561">
        <v>0</v>
      </c>
      <c r="OG130" s="561">
        <v>0</v>
      </c>
      <c r="OH130" s="561">
        <v>0</v>
      </c>
      <c r="OI130" s="561">
        <v>0</v>
      </c>
      <c r="OJ130" s="561">
        <v>0</v>
      </c>
      <c r="OK130" s="561">
        <v>0</v>
      </c>
      <c r="OL130" s="561">
        <v>0</v>
      </c>
      <c r="OM130" s="561">
        <v>0</v>
      </c>
      <c r="ON130" s="561">
        <v>0</v>
      </c>
      <c r="OO130" s="561">
        <v>0</v>
      </c>
      <c r="OP130" s="561">
        <v>0</v>
      </c>
      <c r="OQ130" s="561">
        <v>0</v>
      </c>
      <c r="OR130" s="561">
        <v>0</v>
      </c>
      <c r="OS130" s="561">
        <v>0</v>
      </c>
      <c r="OT130" s="561">
        <v>0</v>
      </c>
      <c r="OU130" s="561">
        <v>0</v>
      </c>
      <c r="OV130" s="561">
        <v>0</v>
      </c>
      <c r="OW130" s="561">
        <v>0</v>
      </c>
      <c r="OX130" s="561">
        <v>0</v>
      </c>
      <c r="OY130" s="561">
        <v>0</v>
      </c>
      <c r="OZ130" s="561">
        <v>0</v>
      </c>
      <c r="PA130" s="561">
        <v>0</v>
      </c>
      <c r="PB130" s="561">
        <v>0</v>
      </c>
      <c r="PC130" s="561">
        <v>0</v>
      </c>
      <c r="PD130" s="561">
        <v>0</v>
      </c>
      <c r="PE130" s="561">
        <v>0</v>
      </c>
      <c r="PF130" s="561">
        <v>0</v>
      </c>
      <c r="PG130" s="561">
        <v>0</v>
      </c>
      <c r="PH130" s="561">
        <v>0</v>
      </c>
      <c r="PI130" s="561">
        <v>0</v>
      </c>
      <c r="PJ130" s="561">
        <v>0</v>
      </c>
    </row>
    <row r="131" spans="1:426" ht="14" x14ac:dyDescent="0.3">
      <c r="A131" t="s">
        <v>2825</v>
      </c>
      <c r="B131" t="s">
        <v>2826</v>
      </c>
      <c r="C131" t="s">
        <v>2827</v>
      </c>
      <c r="E131" t="s">
        <v>384</v>
      </c>
      <c r="F131" s="561">
        <v>0</v>
      </c>
      <c r="G131" s="561">
        <v>0</v>
      </c>
      <c r="H131" s="561">
        <v>0</v>
      </c>
      <c r="I131" s="561">
        <v>0</v>
      </c>
      <c r="J131" s="561">
        <v>0</v>
      </c>
      <c r="K131" s="561">
        <v>0</v>
      </c>
      <c r="L131" s="561">
        <v>0</v>
      </c>
      <c r="M131" s="561">
        <v>0</v>
      </c>
      <c r="N131" s="561">
        <v>0</v>
      </c>
      <c r="O131" s="561">
        <v>-47</v>
      </c>
      <c r="P131" s="561">
        <v>0</v>
      </c>
      <c r="Q131" s="561">
        <v>0</v>
      </c>
      <c r="R131" s="561">
        <v>4</v>
      </c>
      <c r="S131" s="561">
        <v>0</v>
      </c>
      <c r="T131" s="561">
        <v>250</v>
      </c>
      <c r="U131" s="561">
        <v>0</v>
      </c>
      <c r="V131" s="561">
        <v>53</v>
      </c>
      <c r="W131" s="561">
        <v>0</v>
      </c>
      <c r="X131" s="561">
        <v>0</v>
      </c>
      <c r="Y131" s="561">
        <v>0</v>
      </c>
      <c r="Z131" s="561">
        <v>0</v>
      </c>
      <c r="AA131" s="561">
        <v>0</v>
      </c>
      <c r="AB131" s="561">
        <v>-5992</v>
      </c>
      <c r="AC131" s="561">
        <v>0</v>
      </c>
      <c r="AD131" s="561">
        <v>0</v>
      </c>
      <c r="AE131" s="561">
        <v>0</v>
      </c>
      <c r="AF131" s="561">
        <v>0</v>
      </c>
      <c r="AG131" s="561">
        <v>0</v>
      </c>
      <c r="AH131" s="561">
        <v>0</v>
      </c>
      <c r="AI131" s="561">
        <v>0</v>
      </c>
      <c r="AJ131" s="561">
        <v>-5732</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561">
        <v>0</v>
      </c>
      <c r="BG131" s="561">
        <v>0</v>
      </c>
      <c r="BH131" s="561">
        <v>0</v>
      </c>
      <c r="BI131" s="561">
        <v>0</v>
      </c>
      <c r="BJ131" s="561">
        <v>0</v>
      </c>
      <c r="BK131" s="561">
        <v>0</v>
      </c>
      <c r="BL131" s="561">
        <v>0</v>
      </c>
      <c r="BM131" s="561">
        <v>0</v>
      </c>
      <c r="BN131" s="561">
        <v>0</v>
      </c>
      <c r="BO131" s="561">
        <v>0</v>
      </c>
      <c r="BP131" s="561">
        <v>0</v>
      </c>
      <c r="BQ131" s="561">
        <v>0</v>
      </c>
      <c r="BR131" s="561">
        <v>0</v>
      </c>
      <c r="BS131" s="561">
        <v>0</v>
      </c>
      <c r="BT131" s="561">
        <v>0</v>
      </c>
      <c r="BU131" s="561">
        <v>0</v>
      </c>
      <c r="BV131" s="561">
        <v>0</v>
      </c>
      <c r="BW131" s="561">
        <v>0</v>
      </c>
      <c r="BX131" s="561">
        <v>0</v>
      </c>
      <c r="BY131" s="561">
        <v>0</v>
      </c>
      <c r="BZ131" s="561">
        <v>0</v>
      </c>
      <c r="CA131" s="561">
        <v>0</v>
      </c>
      <c r="CB131" s="561">
        <v>0</v>
      </c>
      <c r="CC131" s="561">
        <v>0</v>
      </c>
      <c r="CD131" s="561">
        <v>0</v>
      </c>
      <c r="CE131" s="561">
        <v>0</v>
      </c>
      <c r="CF131" s="561">
        <v>0</v>
      </c>
      <c r="CG131" s="561">
        <v>0</v>
      </c>
      <c r="CH131" s="561">
        <v>0</v>
      </c>
      <c r="CI131" s="561">
        <v>0</v>
      </c>
      <c r="CJ131" s="561">
        <v>0</v>
      </c>
      <c r="CK131" s="561">
        <v>0</v>
      </c>
      <c r="CL131" s="561">
        <v>0</v>
      </c>
      <c r="CM131" s="561">
        <v>0</v>
      </c>
      <c r="CN131" s="561">
        <v>0</v>
      </c>
      <c r="CO131" s="561">
        <v>0</v>
      </c>
      <c r="CP131" s="561">
        <v>0</v>
      </c>
      <c r="CQ131" s="561">
        <v>0</v>
      </c>
      <c r="CR131" s="561">
        <v>0</v>
      </c>
      <c r="CS131" s="561">
        <v>0</v>
      </c>
      <c r="CT131" s="561">
        <v>0</v>
      </c>
      <c r="CU131" s="561">
        <v>0</v>
      </c>
      <c r="CV131" s="561">
        <v>0</v>
      </c>
      <c r="CW131" s="561">
        <v>0</v>
      </c>
      <c r="CX131" s="561">
        <v>0</v>
      </c>
      <c r="CY131" s="561">
        <v>0</v>
      </c>
      <c r="CZ131" s="561">
        <v>0</v>
      </c>
      <c r="DA131" s="561">
        <v>0</v>
      </c>
      <c r="DB131" s="561">
        <v>0</v>
      </c>
      <c r="DC131" s="561">
        <v>0</v>
      </c>
      <c r="DD131" s="561">
        <v>0</v>
      </c>
      <c r="DE131" s="561">
        <v>0</v>
      </c>
      <c r="DF131" s="561">
        <v>0</v>
      </c>
      <c r="DG131" s="561">
        <v>0</v>
      </c>
      <c r="DH131" s="561">
        <v>521</v>
      </c>
      <c r="DI131" s="561">
        <v>0</v>
      </c>
      <c r="DJ131" s="561">
        <v>226</v>
      </c>
      <c r="DK131" s="561">
        <v>170</v>
      </c>
      <c r="DL131" s="561">
        <v>0</v>
      </c>
      <c r="DM131" s="561">
        <v>499</v>
      </c>
      <c r="DN131" s="561">
        <v>93</v>
      </c>
      <c r="DO131" s="561">
        <v>467</v>
      </c>
      <c r="DP131" s="561">
        <v>0</v>
      </c>
      <c r="DQ131" s="561">
        <v>720</v>
      </c>
      <c r="DR131" s="561">
        <v>0</v>
      </c>
      <c r="DS131" s="561">
        <v>1891</v>
      </c>
      <c r="DT131" s="561">
        <v>1267</v>
      </c>
      <c r="DU131" s="561">
        <v>4937</v>
      </c>
      <c r="DV131" s="561">
        <v>5</v>
      </c>
      <c r="DW131" s="561">
        <v>0</v>
      </c>
      <c r="DX131" s="561">
        <v>0</v>
      </c>
      <c r="DY131" s="561">
        <v>1681</v>
      </c>
      <c r="DZ131" s="561">
        <v>0</v>
      </c>
      <c r="EA131" s="561">
        <v>0</v>
      </c>
      <c r="EB131" s="561">
        <v>0</v>
      </c>
      <c r="EC131" s="561">
        <v>7540</v>
      </c>
      <c r="ED131" s="561">
        <v>0</v>
      </c>
      <c r="EE131" s="561">
        <v>22515</v>
      </c>
      <c r="EF131" s="561">
        <v>419</v>
      </c>
      <c r="EG131" s="561">
        <v>2240</v>
      </c>
      <c r="EH131" s="561">
        <v>114</v>
      </c>
      <c r="EI131" s="561">
        <v>0</v>
      </c>
      <c r="EJ131" s="561">
        <v>1085</v>
      </c>
      <c r="EK131" s="561">
        <v>0</v>
      </c>
      <c r="EL131" s="561">
        <v>0</v>
      </c>
      <c r="EM131" s="561">
        <v>0</v>
      </c>
      <c r="EN131" s="561">
        <v>10045</v>
      </c>
      <c r="EO131" s="561">
        <v>7975</v>
      </c>
      <c r="EP131" s="561">
        <v>668</v>
      </c>
      <c r="EQ131" s="561">
        <v>35</v>
      </c>
      <c r="ER131" s="561">
        <v>2130</v>
      </c>
      <c r="ES131" s="561" t="s">
        <v>4565</v>
      </c>
      <c r="ET131" s="561">
        <v>3742</v>
      </c>
      <c r="EU131" s="561">
        <v>2500</v>
      </c>
      <c r="EV131" s="561">
        <v>25</v>
      </c>
      <c r="EW131" s="561">
        <v>0</v>
      </c>
      <c r="EX131" s="561">
        <v>0</v>
      </c>
      <c r="EY131" s="561">
        <v>0</v>
      </c>
      <c r="EZ131" s="561">
        <v>-747</v>
      </c>
      <c r="FA131" s="561">
        <v>5993</v>
      </c>
      <c r="FB131" s="561">
        <v>0</v>
      </c>
      <c r="FC131" s="561">
        <v>0</v>
      </c>
      <c r="FD131" s="561">
        <v>78</v>
      </c>
      <c r="FE131" s="561">
        <v>2567</v>
      </c>
      <c r="FF131" s="561">
        <v>387</v>
      </c>
      <c r="FG131" s="561">
        <v>0</v>
      </c>
      <c r="FH131" s="561">
        <v>0</v>
      </c>
      <c r="FI131" s="561">
        <v>1798</v>
      </c>
      <c r="FJ131" s="561">
        <v>1165</v>
      </c>
      <c r="FK131" s="561">
        <v>2654</v>
      </c>
      <c r="FL131" s="561">
        <v>13</v>
      </c>
      <c r="FM131" s="561">
        <v>128</v>
      </c>
      <c r="FN131" s="561">
        <v>0</v>
      </c>
      <c r="FO131" s="561">
        <v>8790</v>
      </c>
      <c r="FP131" s="561">
        <v>0</v>
      </c>
      <c r="FQ131" s="561">
        <v>154</v>
      </c>
      <c r="FR131" s="561">
        <v>0</v>
      </c>
      <c r="FS131" s="561">
        <v>0</v>
      </c>
      <c r="FT131" s="561">
        <v>-2</v>
      </c>
      <c r="FU131" s="561">
        <v>193</v>
      </c>
      <c r="FV131" s="561">
        <v>0</v>
      </c>
      <c r="FW131" s="561">
        <v>142</v>
      </c>
      <c r="FX131" s="561">
        <v>0</v>
      </c>
      <c r="FY131" s="561">
        <v>0</v>
      </c>
      <c r="FZ131" s="561">
        <v>0</v>
      </c>
      <c r="GA131" s="561">
        <v>228</v>
      </c>
      <c r="GB131" s="561">
        <v>20</v>
      </c>
      <c r="GC131" s="561">
        <v>593</v>
      </c>
      <c r="GD131" s="561">
        <v>50</v>
      </c>
      <c r="GE131" s="561">
        <v>253</v>
      </c>
      <c r="GF131" s="561">
        <v>317</v>
      </c>
      <c r="GG131" s="561">
        <v>0</v>
      </c>
      <c r="GH131" s="561">
        <v>37</v>
      </c>
      <c r="GI131" s="561">
        <v>0</v>
      </c>
      <c r="GJ131" s="561">
        <v>0</v>
      </c>
      <c r="GK131" s="561">
        <v>0</v>
      </c>
      <c r="GL131" s="561">
        <v>1907</v>
      </c>
      <c r="GM131" s="561">
        <v>3056</v>
      </c>
      <c r="GN131" s="561">
        <v>0</v>
      </c>
      <c r="GO131" s="561">
        <v>-137</v>
      </c>
      <c r="GP131" s="561">
        <v>1096</v>
      </c>
      <c r="GQ131" s="561">
        <v>0</v>
      </c>
      <c r="GR131" s="561">
        <v>0</v>
      </c>
      <c r="GS131" s="561">
        <v>7907</v>
      </c>
      <c r="GT131" s="561">
        <v>0</v>
      </c>
      <c r="GU131" s="561">
        <v>186</v>
      </c>
      <c r="GV131" s="561">
        <v>1354</v>
      </c>
      <c r="GW131" s="561">
        <v>0</v>
      </c>
      <c r="GX131" s="561">
        <v>985</v>
      </c>
      <c r="GY131" s="561">
        <v>387</v>
      </c>
      <c r="GZ131" s="561">
        <v>-6791</v>
      </c>
      <c r="HA131" s="561">
        <v>0</v>
      </c>
      <c r="HB131" s="561">
        <v>87</v>
      </c>
      <c r="HC131" s="561">
        <v>61</v>
      </c>
      <c r="HD131" s="561">
        <v>-3731</v>
      </c>
      <c r="HE131" s="561">
        <v>0</v>
      </c>
      <c r="HF131" s="561">
        <v>12966</v>
      </c>
      <c r="HG131" s="561">
        <v>0</v>
      </c>
      <c r="HH131" s="561">
        <v>0</v>
      </c>
      <c r="HI131" s="561">
        <v>0</v>
      </c>
      <c r="HJ131" s="561">
        <v>0</v>
      </c>
      <c r="HK131" s="561">
        <v>0</v>
      </c>
      <c r="HL131" s="561">
        <v>0</v>
      </c>
      <c r="HM131" s="561">
        <v>0</v>
      </c>
      <c r="HN131" s="561">
        <v>0</v>
      </c>
      <c r="HO131" s="561">
        <v>1489</v>
      </c>
      <c r="HP131" s="561">
        <v>867</v>
      </c>
      <c r="HQ131" s="561">
        <v>0</v>
      </c>
      <c r="HR131" s="561">
        <v>0</v>
      </c>
      <c r="HS131" s="561">
        <v>0</v>
      </c>
      <c r="HT131" s="561">
        <v>330</v>
      </c>
      <c r="HU131" s="561">
        <v>0</v>
      </c>
      <c r="HV131" s="561">
        <v>0</v>
      </c>
      <c r="HW131" s="561">
        <v>375</v>
      </c>
      <c r="HX131" s="561">
        <v>-12</v>
      </c>
      <c r="HY131" s="561">
        <v>0</v>
      </c>
      <c r="HZ131" s="561">
        <v>22</v>
      </c>
      <c r="IA131" s="561">
        <v>0</v>
      </c>
      <c r="IB131" s="561">
        <v>3</v>
      </c>
      <c r="IC131" s="561">
        <v>0</v>
      </c>
      <c r="ID131" s="561">
        <v>0</v>
      </c>
      <c r="IE131" s="561">
        <v>2286</v>
      </c>
      <c r="IF131" s="561">
        <v>-24</v>
      </c>
      <c r="IG131" s="561">
        <v>0</v>
      </c>
      <c r="IH131" s="561">
        <v>0</v>
      </c>
      <c r="II131" s="561">
        <v>5336</v>
      </c>
      <c r="IJ131" s="561">
        <v>0</v>
      </c>
      <c r="IK131" s="561">
        <v>0</v>
      </c>
      <c r="IL131" s="561">
        <v>0</v>
      </c>
      <c r="IM131" s="561">
        <v>0</v>
      </c>
      <c r="IN131" s="561">
        <v>0</v>
      </c>
      <c r="IO131" s="561">
        <v>0</v>
      </c>
      <c r="IP131" s="561">
        <v>0</v>
      </c>
      <c r="IQ131" s="561">
        <v>0</v>
      </c>
      <c r="IR131" s="561">
        <v>0</v>
      </c>
      <c r="IS131" s="561">
        <v>-5732</v>
      </c>
      <c r="IT131" s="561">
        <v>0</v>
      </c>
      <c r="IU131" s="561">
        <v>0</v>
      </c>
      <c r="IV131" s="561">
        <v>0</v>
      </c>
      <c r="IW131" s="561">
        <v>7540</v>
      </c>
      <c r="IX131" s="561">
        <v>8790</v>
      </c>
      <c r="IY131" s="561">
        <v>7907</v>
      </c>
      <c r="IZ131" s="561">
        <v>-3731</v>
      </c>
      <c r="JA131" s="561">
        <v>0</v>
      </c>
      <c r="JB131" s="561">
        <v>0</v>
      </c>
      <c r="JC131" s="561">
        <v>5336</v>
      </c>
      <c r="JD131" s="561">
        <v>0</v>
      </c>
      <c r="JE131" s="561">
        <v>20110</v>
      </c>
      <c r="JF131" s="561">
        <v>20599</v>
      </c>
      <c r="JG131" s="561">
        <v>1572</v>
      </c>
      <c r="JH131" s="561">
        <v>6886</v>
      </c>
      <c r="JI131" s="561">
        <v>0</v>
      </c>
      <c r="JJ131" s="561">
        <v>0</v>
      </c>
      <c r="JK131" s="561">
        <v>0</v>
      </c>
      <c r="JL131" s="561">
        <v>0</v>
      </c>
      <c r="JM131" s="561">
        <v>0</v>
      </c>
      <c r="JN131" s="561">
        <v>0</v>
      </c>
      <c r="JO131" s="561">
        <v>0</v>
      </c>
      <c r="JP131" s="561">
        <v>0</v>
      </c>
      <c r="JQ131" s="561">
        <v>0</v>
      </c>
      <c r="JR131" s="561">
        <v>0</v>
      </c>
      <c r="JS131" s="561">
        <v>0</v>
      </c>
      <c r="JT131" s="561">
        <v>0</v>
      </c>
      <c r="JU131" s="561">
        <v>0</v>
      </c>
      <c r="JV131" s="561">
        <v>49167</v>
      </c>
      <c r="JW131" s="561">
        <v>0</v>
      </c>
      <c r="JX131" s="561">
        <v>115</v>
      </c>
      <c r="JY131" s="561">
        <v>0</v>
      </c>
      <c r="JZ131" s="561">
        <v>0</v>
      </c>
      <c r="KA131" s="561">
        <v>0</v>
      </c>
      <c r="KB131" s="561">
        <v>0</v>
      </c>
      <c r="KC131" s="561">
        <v>1805</v>
      </c>
      <c r="KD131" s="561">
        <v>0</v>
      </c>
      <c r="KE131" s="561">
        <v>8735</v>
      </c>
      <c r="KF131" s="561">
        <v>0</v>
      </c>
      <c r="KG131" s="561">
        <v>59822</v>
      </c>
      <c r="KH131" s="561">
        <v>-7458</v>
      </c>
      <c r="KI131" s="561">
        <v>0</v>
      </c>
      <c r="KJ131" s="561">
        <v>0</v>
      </c>
      <c r="KK131" s="561">
        <v>0</v>
      </c>
      <c r="KL131" s="561">
        <v>-28178</v>
      </c>
      <c r="KM131" s="561">
        <v>0</v>
      </c>
      <c r="KN131" s="561">
        <v>-774</v>
      </c>
      <c r="KO131" s="561">
        <v>0</v>
      </c>
      <c r="KP131" s="561">
        <v>0</v>
      </c>
      <c r="KQ131" s="561">
        <v>0</v>
      </c>
      <c r="KR131" s="561">
        <v>23412</v>
      </c>
      <c r="KS131" s="561">
        <v>0</v>
      </c>
      <c r="KT131" s="561">
        <v>-4788</v>
      </c>
      <c r="KU131" s="561">
        <v>18624</v>
      </c>
      <c r="KV131" s="561">
        <v>0</v>
      </c>
      <c r="KW131" s="561">
        <v>0</v>
      </c>
      <c r="KX131" s="561">
        <v>0</v>
      </c>
      <c r="KY131" s="561">
        <v>0</v>
      </c>
      <c r="KZ131" s="561">
        <v>-1031</v>
      </c>
      <c r="LA131" s="561">
        <v>-578</v>
      </c>
      <c r="LB131" s="561">
        <v>-600</v>
      </c>
      <c r="LC131" s="561">
        <v>0</v>
      </c>
      <c r="LD131" s="561">
        <v>-9245</v>
      </c>
      <c r="LE131" s="561">
        <v>-127</v>
      </c>
      <c r="LF131" s="561">
        <v>0</v>
      </c>
      <c r="LG131" s="561">
        <v>7043</v>
      </c>
      <c r="LH131" s="561">
        <v>0</v>
      </c>
      <c r="LI131" s="561">
        <v>0</v>
      </c>
      <c r="LJ131" s="561">
        <v>0</v>
      </c>
      <c r="LK131" s="561">
        <v>0</v>
      </c>
      <c r="LL131" s="561">
        <v>13569</v>
      </c>
      <c r="LM131" s="561">
        <v>5883</v>
      </c>
      <c r="LN131" s="561">
        <v>0</v>
      </c>
      <c r="LO131" s="561">
        <v>0</v>
      </c>
      <c r="LP131" s="561">
        <v>0</v>
      </c>
      <c r="LQ131" s="561">
        <v>0</v>
      </c>
      <c r="LR131" s="561">
        <v>12538</v>
      </c>
      <c r="LS131" s="561">
        <v>5305</v>
      </c>
      <c r="LT131" s="561">
        <v>0</v>
      </c>
      <c r="LU131" s="561">
        <v>5185</v>
      </c>
      <c r="LV131" s="561">
        <v>15105</v>
      </c>
      <c r="LW131" s="561">
        <v>0</v>
      </c>
      <c r="LX131" s="561">
        <v>0</v>
      </c>
      <c r="LY131" s="561">
        <v>-34</v>
      </c>
      <c r="LZ131" s="561">
        <v>20256</v>
      </c>
      <c r="MA131" s="561">
        <v>0</v>
      </c>
      <c r="MB131" s="561">
        <v>0</v>
      </c>
      <c r="MC131" s="561">
        <v>26373</v>
      </c>
      <c r="MD131" s="561">
        <v>27120</v>
      </c>
      <c r="ME131" s="561">
        <v>-747</v>
      </c>
      <c r="MF131" s="561">
        <v>5993</v>
      </c>
      <c r="MG131" s="561">
        <v>5246</v>
      </c>
      <c r="MH131" s="561">
        <v>3388</v>
      </c>
      <c r="MI131" s="561">
        <v>4277</v>
      </c>
      <c r="MJ131" s="561">
        <v>7665</v>
      </c>
      <c r="MK131" s="561">
        <v>0</v>
      </c>
      <c r="ML131" s="561">
        <v>0</v>
      </c>
      <c r="MM131" s="561">
        <v>9216</v>
      </c>
      <c r="MN131" s="561">
        <v>23</v>
      </c>
      <c r="MO131" s="561">
        <v>0</v>
      </c>
      <c r="MP131" s="561">
        <v>3299</v>
      </c>
      <c r="MQ131" s="561">
        <v>0</v>
      </c>
      <c r="MR131" s="561">
        <v>-5732</v>
      </c>
      <c r="MS131" s="561">
        <v>0</v>
      </c>
      <c r="MT131" s="561">
        <v>0</v>
      </c>
      <c r="MU131" s="561">
        <v>0</v>
      </c>
      <c r="MV131" s="561">
        <v>7540</v>
      </c>
      <c r="MW131" s="561">
        <v>8790</v>
      </c>
      <c r="MX131" s="561">
        <v>7907</v>
      </c>
      <c r="MY131" s="561">
        <v>-3731</v>
      </c>
      <c r="MZ131" s="561">
        <v>0</v>
      </c>
      <c r="NA131" s="561">
        <v>0</v>
      </c>
      <c r="NB131" s="561">
        <v>5336</v>
      </c>
      <c r="NC131" s="561">
        <v>0</v>
      </c>
      <c r="ND131" s="561">
        <v>20110</v>
      </c>
      <c r="NE131" s="561">
        <v>0</v>
      </c>
      <c r="NF131" s="561">
        <v>0</v>
      </c>
      <c r="NG131" s="561">
        <v>0</v>
      </c>
      <c r="NH131" s="561">
        <v>0</v>
      </c>
      <c r="NI131" s="561">
        <v>0</v>
      </c>
      <c r="NJ131" s="561">
        <v>0</v>
      </c>
      <c r="NK131" s="561">
        <v>0</v>
      </c>
      <c r="NL131" s="561">
        <v>0</v>
      </c>
      <c r="NM131" s="561">
        <v>0</v>
      </c>
      <c r="NN131" s="561">
        <v>0</v>
      </c>
      <c r="NO131" s="561">
        <v>0</v>
      </c>
      <c r="NP131" s="561">
        <v>0</v>
      </c>
      <c r="NQ131" s="561">
        <v>0</v>
      </c>
      <c r="NR131" s="561">
        <v>0</v>
      </c>
      <c r="NS131" s="561">
        <v>0</v>
      </c>
      <c r="NT131" s="561">
        <v>0</v>
      </c>
      <c r="NU131" s="561">
        <v>0</v>
      </c>
      <c r="NV131" s="561">
        <v>0</v>
      </c>
      <c r="NW131" s="561">
        <v>0</v>
      </c>
      <c r="NX131" s="561">
        <v>0</v>
      </c>
      <c r="NY131" s="561">
        <v>0</v>
      </c>
      <c r="NZ131" s="561">
        <v>0</v>
      </c>
      <c r="OA131" s="561">
        <v>0</v>
      </c>
      <c r="OB131" s="561">
        <v>0</v>
      </c>
      <c r="OC131" s="561">
        <v>0</v>
      </c>
      <c r="OD131" s="561">
        <v>0</v>
      </c>
      <c r="OE131" s="561">
        <v>0</v>
      </c>
      <c r="OF131" s="561">
        <v>0</v>
      </c>
      <c r="OG131" s="561">
        <v>0</v>
      </c>
      <c r="OH131" s="561">
        <v>0</v>
      </c>
      <c r="OI131" s="561">
        <v>0</v>
      </c>
      <c r="OJ131" s="561">
        <v>0</v>
      </c>
      <c r="OK131" s="561">
        <v>0</v>
      </c>
      <c r="OL131" s="561">
        <v>0</v>
      </c>
      <c r="OM131" s="561">
        <v>0</v>
      </c>
      <c r="ON131" s="561">
        <v>0</v>
      </c>
      <c r="OO131" s="561">
        <v>0</v>
      </c>
      <c r="OP131" s="561">
        <v>0</v>
      </c>
      <c r="OQ131" s="561">
        <v>0</v>
      </c>
      <c r="OR131" s="561">
        <v>0</v>
      </c>
      <c r="OS131" s="561">
        <v>0</v>
      </c>
      <c r="OT131" s="561">
        <v>0</v>
      </c>
      <c r="OU131" s="561">
        <v>0</v>
      </c>
      <c r="OV131" s="561">
        <v>0</v>
      </c>
      <c r="OW131" s="561">
        <v>0</v>
      </c>
      <c r="OX131" s="561">
        <v>0</v>
      </c>
      <c r="OY131" s="561">
        <v>0</v>
      </c>
      <c r="OZ131" s="561">
        <v>0</v>
      </c>
      <c r="PA131" s="561">
        <v>0</v>
      </c>
      <c r="PB131" s="561">
        <v>0</v>
      </c>
      <c r="PC131" s="561">
        <v>0</v>
      </c>
      <c r="PD131" s="561">
        <v>0</v>
      </c>
      <c r="PE131" s="561">
        <v>0</v>
      </c>
      <c r="PF131" s="561">
        <v>0</v>
      </c>
      <c r="PG131" s="561">
        <v>0</v>
      </c>
      <c r="PH131" s="561">
        <v>0</v>
      </c>
      <c r="PI131" s="561">
        <v>0</v>
      </c>
      <c r="PJ131" s="561">
        <v>0</v>
      </c>
    </row>
    <row r="132" spans="1:426" ht="14" x14ac:dyDescent="0.3">
      <c r="A132" t="s">
        <v>2828</v>
      </c>
      <c r="B132" t="s">
        <v>2829</v>
      </c>
      <c r="C132" t="s">
        <v>2830</v>
      </c>
      <c r="E132" t="s">
        <v>2466</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61">
        <v>0</v>
      </c>
      <c r="U132" s="561">
        <v>0</v>
      </c>
      <c r="V132" s="561">
        <v>0</v>
      </c>
      <c r="W132" s="561">
        <v>0</v>
      </c>
      <c r="X132" s="561">
        <v>0</v>
      </c>
      <c r="Y132" s="561">
        <v>0</v>
      </c>
      <c r="Z132" s="561">
        <v>0</v>
      </c>
      <c r="AA132" s="561">
        <v>0</v>
      </c>
      <c r="AB132" s="561">
        <v>-75</v>
      </c>
      <c r="AC132" s="561">
        <v>0</v>
      </c>
      <c r="AD132" s="561">
        <v>0</v>
      </c>
      <c r="AE132" s="561">
        <v>0</v>
      </c>
      <c r="AF132" s="561">
        <v>0</v>
      </c>
      <c r="AG132" s="561">
        <v>0</v>
      </c>
      <c r="AH132" s="561">
        <v>0</v>
      </c>
      <c r="AI132" s="561">
        <v>0</v>
      </c>
      <c r="AJ132" s="561">
        <v>-75</v>
      </c>
      <c r="AK132" s="561">
        <v>0</v>
      </c>
      <c r="AL132" s="561">
        <v>0</v>
      </c>
      <c r="AM132" s="561">
        <v>0</v>
      </c>
      <c r="AN132" s="561">
        <v>0</v>
      </c>
      <c r="AO132" s="561">
        <v>0</v>
      </c>
      <c r="AP132" s="561">
        <v>0</v>
      </c>
      <c r="AQ132" s="561">
        <v>0</v>
      </c>
      <c r="AR132" s="561">
        <v>0</v>
      </c>
      <c r="AS132" s="561">
        <v>0</v>
      </c>
      <c r="AT132" s="561">
        <v>0</v>
      </c>
      <c r="AU132" s="561">
        <v>0</v>
      </c>
      <c r="AV132" s="561">
        <v>0</v>
      </c>
      <c r="AW132" s="561">
        <v>0</v>
      </c>
      <c r="AX132" s="561">
        <v>0</v>
      </c>
      <c r="AY132" s="561">
        <v>0</v>
      </c>
      <c r="AZ132" s="561">
        <v>0</v>
      </c>
      <c r="BA132" s="561">
        <v>0</v>
      </c>
      <c r="BB132" s="561">
        <v>0</v>
      </c>
      <c r="BC132" s="561">
        <v>0</v>
      </c>
      <c r="BD132" s="561">
        <v>0</v>
      </c>
      <c r="BE132" s="561">
        <v>0</v>
      </c>
      <c r="BF132" s="561">
        <v>0</v>
      </c>
      <c r="BG132" s="561">
        <v>0</v>
      </c>
      <c r="BH132" s="561">
        <v>0</v>
      </c>
      <c r="BI132" s="561">
        <v>0</v>
      </c>
      <c r="BJ132" s="561">
        <v>0</v>
      </c>
      <c r="BK132" s="561">
        <v>0</v>
      </c>
      <c r="BL132" s="561">
        <v>0</v>
      </c>
      <c r="BM132" s="561">
        <v>0</v>
      </c>
      <c r="BN132" s="561">
        <v>0</v>
      </c>
      <c r="BO132" s="561">
        <v>0</v>
      </c>
      <c r="BP132" s="561">
        <v>0</v>
      </c>
      <c r="BQ132" s="561">
        <v>0</v>
      </c>
      <c r="BR132" s="561">
        <v>0</v>
      </c>
      <c r="BS132" s="561">
        <v>0</v>
      </c>
      <c r="BT132" s="561">
        <v>0</v>
      </c>
      <c r="BU132" s="561">
        <v>0</v>
      </c>
      <c r="BV132" s="561">
        <v>0</v>
      </c>
      <c r="BW132" s="561">
        <v>0</v>
      </c>
      <c r="BX132" s="561">
        <v>0</v>
      </c>
      <c r="BY132" s="561">
        <v>0</v>
      </c>
      <c r="BZ132" s="561">
        <v>0</v>
      </c>
      <c r="CA132" s="561">
        <v>0</v>
      </c>
      <c r="CB132" s="561">
        <v>0</v>
      </c>
      <c r="CC132" s="561">
        <v>0</v>
      </c>
      <c r="CD132" s="561">
        <v>0</v>
      </c>
      <c r="CE132" s="561">
        <v>0</v>
      </c>
      <c r="CF132" s="561">
        <v>0</v>
      </c>
      <c r="CG132" s="561">
        <v>0</v>
      </c>
      <c r="CH132" s="561">
        <v>0</v>
      </c>
      <c r="CI132" s="561">
        <v>0</v>
      </c>
      <c r="CJ132" s="561">
        <v>0</v>
      </c>
      <c r="CK132" s="561">
        <v>0</v>
      </c>
      <c r="CL132" s="561">
        <v>0</v>
      </c>
      <c r="CM132" s="561">
        <v>0</v>
      </c>
      <c r="CN132" s="561">
        <v>0</v>
      </c>
      <c r="CO132" s="561">
        <v>0</v>
      </c>
      <c r="CP132" s="561">
        <v>0</v>
      </c>
      <c r="CQ132" s="561">
        <v>0</v>
      </c>
      <c r="CR132" s="561">
        <v>0</v>
      </c>
      <c r="CS132" s="561">
        <v>0</v>
      </c>
      <c r="CT132" s="561">
        <v>0</v>
      </c>
      <c r="CU132" s="561">
        <v>0</v>
      </c>
      <c r="CV132" s="561">
        <v>0</v>
      </c>
      <c r="CW132" s="561">
        <v>0</v>
      </c>
      <c r="CX132" s="561">
        <v>0</v>
      </c>
      <c r="CY132" s="561">
        <v>0</v>
      </c>
      <c r="CZ132" s="561">
        <v>0</v>
      </c>
      <c r="DA132" s="561">
        <v>0</v>
      </c>
      <c r="DB132" s="561">
        <v>0</v>
      </c>
      <c r="DC132" s="561">
        <v>0</v>
      </c>
      <c r="DD132" s="561">
        <v>0</v>
      </c>
      <c r="DE132" s="561">
        <v>0</v>
      </c>
      <c r="DF132" s="561">
        <v>0</v>
      </c>
      <c r="DG132" s="561">
        <v>0</v>
      </c>
      <c r="DH132" s="561">
        <v>0</v>
      </c>
      <c r="DI132" s="561">
        <v>0</v>
      </c>
      <c r="DJ132" s="561">
        <v>0</v>
      </c>
      <c r="DK132" s="561">
        <v>0</v>
      </c>
      <c r="DL132" s="561">
        <v>0</v>
      </c>
      <c r="DM132" s="561">
        <v>0</v>
      </c>
      <c r="DN132" s="561">
        <v>0</v>
      </c>
      <c r="DO132" s="561">
        <v>0</v>
      </c>
      <c r="DP132" s="561">
        <v>0</v>
      </c>
      <c r="DQ132" s="561">
        <v>0</v>
      </c>
      <c r="DR132" s="561">
        <v>0</v>
      </c>
      <c r="DS132" s="561">
        <v>0</v>
      </c>
      <c r="DT132" s="561">
        <v>0</v>
      </c>
      <c r="DU132" s="561">
        <v>0</v>
      </c>
      <c r="DV132" s="561">
        <v>0</v>
      </c>
      <c r="DW132" s="561">
        <v>0</v>
      </c>
      <c r="DX132" s="561">
        <v>0</v>
      </c>
      <c r="DY132" s="561">
        <v>0</v>
      </c>
      <c r="DZ132" s="561">
        <v>0</v>
      </c>
      <c r="EA132" s="561">
        <v>0</v>
      </c>
      <c r="EB132" s="561">
        <v>0</v>
      </c>
      <c r="EC132" s="561">
        <v>0</v>
      </c>
      <c r="ED132" s="561">
        <v>0</v>
      </c>
      <c r="EE132" s="561">
        <v>0</v>
      </c>
      <c r="EF132" s="561">
        <v>0</v>
      </c>
      <c r="EG132" s="561">
        <v>0</v>
      </c>
      <c r="EH132" s="561">
        <v>0</v>
      </c>
      <c r="EI132" s="561">
        <v>0</v>
      </c>
      <c r="EJ132" s="561">
        <v>0</v>
      </c>
      <c r="EK132" s="561">
        <v>0</v>
      </c>
      <c r="EL132" s="561">
        <v>0</v>
      </c>
      <c r="EM132" s="561">
        <v>0</v>
      </c>
      <c r="EN132" s="561">
        <v>0</v>
      </c>
      <c r="EO132" s="561">
        <v>0</v>
      </c>
      <c r="EP132" s="561">
        <v>0</v>
      </c>
      <c r="EQ132" s="561">
        <v>0</v>
      </c>
      <c r="ER132" s="561">
        <v>0</v>
      </c>
      <c r="ES132" s="561" t="s">
        <v>4565</v>
      </c>
      <c r="ET132" s="561">
        <v>0</v>
      </c>
      <c r="EU132" s="561">
        <v>0</v>
      </c>
      <c r="EV132" s="561">
        <v>0</v>
      </c>
      <c r="EW132" s="561">
        <v>0</v>
      </c>
      <c r="EX132" s="561">
        <v>0</v>
      </c>
      <c r="EY132" s="561">
        <v>0</v>
      </c>
      <c r="EZ132" s="561">
        <v>0</v>
      </c>
      <c r="FA132" s="561">
        <v>0</v>
      </c>
      <c r="FB132" s="561">
        <v>0</v>
      </c>
      <c r="FC132" s="561">
        <v>0</v>
      </c>
      <c r="FD132" s="561">
        <v>421</v>
      </c>
      <c r="FE132" s="561">
        <v>0</v>
      </c>
      <c r="FF132" s="561">
        <v>0</v>
      </c>
      <c r="FG132" s="561">
        <v>0</v>
      </c>
      <c r="FH132" s="561">
        <v>0</v>
      </c>
      <c r="FI132" s="561">
        <v>0</v>
      </c>
      <c r="FJ132" s="561">
        <v>0</v>
      </c>
      <c r="FK132" s="561">
        <v>965</v>
      </c>
      <c r="FL132" s="561">
        <v>0</v>
      </c>
      <c r="FM132" s="561">
        <v>0</v>
      </c>
      <c r="FN132" s="561">
        <v>0</v>
      </c>
      <c r="FO132" s="561">
        <v>1386</v>
      </c>
      <c r="FP132" s="561">
        <v>0</v>
      </c>
      <c r="FQ132" s="561">
        <v>0</v>
      </c>
      <c r="FR132" s="561">
        <v>0</v>
      </c>
      <c r="FS132" s="561">
        <v>0</v>
      </c>
      <c r="FT132" s="561">
        <v>0</v>
      </c>
      <c r="FU132" s="561">
        <v>0</v>
      </c>
      <c r="FV132" s="561">
        <v>0</v>
      </c>
      <c r="FW132" s="561">
        <v>0</v>
      </c>
      <c r="FX132" s="561">
        <v>0</v>
      </c>
      <c r="FY132" s="561">
        <v>0</v>
      </c>
      <c r="FZ132" s="561">
        <v>0</v>
      </c>
      <c r="GA132" s="561">
        <v>75</v>
      </c>
      <c r="GB132" s="561">
        <v>0</v>
      </c>
      <c r="GC132" s="561">
        <v>0</v>
      </c>
      <c r="GD132" s="561">
        <v>0</v>
      </c>
      <c r="GE132" s="561">
        <v>0</v>
      </c>
      <c r="GF132" s="561">
        <v>0</v>
      </c>
      <c r="GG132" s="561">
        <v>0</v>
      </c>
      <c r="GH132" s="561">
        <v>0</v>
      </c>
      <c r="GI132" s="561">
        <v>0</v>
      </c>
      <c r="GJ132" s="561">
        <v>0</v>
      </c>
      <c r="GK132" s="561">
        <v>0</v>
      </c>
      <c r="GL132" s="561">
        <v>0</v>
      </c>
      <c r="GM132" s="561">
        <v>0</v>
      </c>
      <c r="GN132" s="561">
        <v>0</v>
      </c>
      <c r="GO132" s="561">
        <v>0</v>
      </c>
      <c r="GP132" s="561">
        <v>0</v>
      </c>
      <c r="GQ132" s="561">
        <v>0</v>
      </c>
      <c r="GR132" s="561">
        <v>0</v>
      </c>
      <c r="GS132" s="561">
        <v>75</v>
      </c>
      <c r="GT132" s="561">
        <v>0</v>
      </c>
      <c r="GU132" s="561">
        <v>0</v>
      </c>
      <c r="GV132" s="561">
        <v>949</v>
      </c>
      <c r="GW132" s="561">
        <v>0</v>
      </c>
      <c r="GX132" s="561">
        <v>-88</v>
      </c>
      <c r="GY132" s="561">
        <v>0</v>
      </c>
      <c r="GZ132" s="561">
        <v>0</v>
      </c>
      <c r="HA132" s="561">
        <v>0</v>
      </c>
      <c r="HB132" s="561">
        <v>0</v>
      </c>
      <c r="HC132" s="561">
        <v>0</v>
      </c>
      <c r="HD132" s="561">
        <v>861</v>
      </c>
      <c r="HE132" s="561">
        <v>0</v>
      </c>
      <c r="HF132" s="561">
        <v>2322</v>
      </c>
      <c r="HG132" s="561">
        <v>0</v>
      </c>
      <c r="HH132" s="561">
        <v>0</v>
      </c>
      <c r="HI132" s="561">
        <v>0</v>
      </c>
      <c r="HJ132" s="561">
        <v>0</v>
      </c>
      <c r="HK132" s="561">
        <v>0</v>
      </c>
      <c r="HL132" s="561">
        <v>0</v>
      </c>
      <c r="HM132" s="561">
        <v>0</v>
      </c>
      <c r="HN132" s="561">
        <v>0</v>
      </c>
      <c r="HO132" s="561">
        <v>667</v>
      </c>
      <c r="HP132" s="561">
        <v>0</v>
      </c>
      <c r="HQ132" s="561">
        <v>0</v>
      </c>
      <c r="HR132" s="561">
        <v>0</v>
      </c>
      <c r="HS132" s="561">
        <v>0</v>
      </c>
      <c r="HT132" s="561">
        <v>0</v>
      </c>
      <c r="HU132" s="561">
        <v>0</v>
      </c>
      <c r="HV132" s="561">
        <v>0</v>
      </c>
      <c r="HW132" s="561">
        <v>0</v>
      </c>
      <c r="HX132" s="561">
        <v>0</v>
      </c>
      <c r="HY132" s="561">
        <v>0</v>
      </c>
      <c r="HZ132" s="561">
        <v>0</v>
      </c>
      <c r="IA132" s="561">
        <v>0</v>
      </c>
      <c r="IB132" s="561">
        <v>0</v>
      </c>
      <c r="IC132" s="561">
        <v>0</v>
      </c>
      <c r="ID132" s="561">
        <v>0</v>
      </c>
      <c r="IE132" s="561">
        <v>0</v>
      </c>
      <c r="IF132" s="561">
        <v>0</v>
      </c>
      <c r="IG132" s="561">
        <v>0</v>
      </c>
      <c r="IH132" s="561">
        <v>0</v>
      </c>
      <c r="II132" s="561">
        <v>667</v>
      </c>
      <c r="IJ132" s="561">
        <v>0</v>
      </c>
      <c r="IK132" s="561">
        <v>0</v>
      </c>
      <c r="IL132" s="561">
        <v>0</v>
      </c>
      <c r="IM132" s="561">
        <v>0</v>
      </c>
      <c r="IN132" s="561">
        <v>0</v>
      </c>
      <c r="IO132" s="561">
        <v>0</v>
      </c>
      <c r="IP132" s="561">
        <v>0</v>
      </c>
      <c r="IQ132" s="561">
        <v>0</v>
      </c>
      <c r="IR132" s="561">
        <v>0</v>
      </c>
      <c r="IS132" s="561">
        <v>-75</v>
      </c>
      <c r="IT132" s="561">
        <v>0</v>
      </c>
      <c r="IU132" s="561">
        <v>0</v>
      </c>
      <c r="IV132" s="561">
        <v>0</v>
      </c>
      <c r="IW132" s="561">
        <v>0</v>
      </c>
      <c r="IX132" s="561">
        <v>1386</v>
      </c>
      <c r="IY132" s="561">
        <v>75</v>
      </c>
      <c r="IZ132" s="561">
        <v>861</v>
      </c>
      <c r="JA132" s="561">
        <v>0</v>
      </c>
      <c r="JB132" s="561">
        <v>0</v>
      </c>
      <c r="JC132" s="561">
        <v>667</v>
      </c>
      <c r="JD132" s="561">
        <v>0</v>
      </c>
      <c r="JE132" s="561">
        <v>2914</v>
      </c>
      <c r="JF132" s="561">
        <v>0</v>
      </c>
      <c r="JG132" s="561">
        <v>0</v>
      </c>
      <c r="JH132" s="561">
        <v>0</v>
      </c>
      <c r="JI132" s="561">
        <v>0</v>
      </c>
      <c r="JJ132" s="561">
        <v>0</v>
      </c>
      <c r="JK132" s="561">
        <v>0</v>
      </c>
      <c r="JL132" s="561">
        <v>0</v>
      </c>
      <c r="JM132" s="561">
        <v>0</v>
      </c>
      <c r="JN132" s="561">
        <v>0</v>
      </c>
      <c r="JO132" s="561">
        <v>0</v>
      </c>
      <c r="JP132" s="561">
        <v>0</v>
      </c>
      <c r="JQ132" s="561">
        <v>0</v>
      </c>
      <c r="JR132" s="561">
        <v>0</v>
      </c>
      <c r="JS132" s="561">
        <v>0</v>
      </c>
      <c r="JT132" s="561">
        <v>0</v>
      </c>
      <c r="JU132" s="561">
        <v>0</v>
      </c>
      <c r="JV132" s="561">
        <v>2914</v>
      </c>
      <c r="JW132" s="561">
        <v>0</v>
      </c>
      <c r="JX132" s="561">
        <v>545</v>
      </c>
      <c r="JY132" s="561">
        <v>0</v>
      </c>
      <c r="JZ132" s="561">
        <v>0</v>
      </c>
      <c r="KA132" s="561">
        <v>0</v>
      </c>
      <c r="KB132" s="561">
        <v>0</v>
      </c>
      <c r="KC132" s="561">
        <v>0</v>
      </c>
      <c r="KD132" s="561">
        <v>0</v>
      </c>
      <c r="KE132" s="561">
        <v>0</v>
      </c>
      <c r="KF132" s="561">
        <v>0</v>
      </c>
      <c r="KG132" s="561">
        <v>3459</v>
      </c>
      <c r="KH132" s="561">
        <v>-184</v>
      </c>
      <c r="KI132" s="561">
        <v>0</v>
      </c>
      <c r="KJ132" s="561">
        <v>0</v>
      </c>
      <c r="KK132" s="561">
        <v>0</v>
      </c>
      <c r="KL132" s="561">
        <v>0</v>
      </c>
      <c r="KM132" s="561">
        <v>0</v>
      </c>
      <c r="KN132" s="561">
        <v>0</v>
      </c>
      <c r="KO132" s="561">
        <v>0</v>
      </c>
      <c r="KP132" s="561">
        <v>0</v>
      </c>
      <c r="KQ132" s="561">
        <v>0</v>
      </c>
      <c r="KR132" s="561">
        <v>3275</v>
      </c>
      <c r="KS132" s="561">
        <v>0</v>
      </c>
      <c r="KT132" s="561">
        <v>-3712</v>
      </c>
      <c r="KU132" s="561">
        <v>-437</v>
      </c>
      <c r="KV132" s="561">
        <v>0</v>
      </c>
      <c r="KW132" s="561">
        <v>0</v>
      </c>
      <c r="KX132" s="561">
        <v>0</v>
      </c>
      <c r="KY132" s="561">
        <v>0</v>
      </c>
      <c r="KZ132" s="561">
        <v>439</v>
      </c>
      <c r="LA132" s="561">
        <v>0</v>
      </c>
      <c r="LB132" s="561">
        <v>0</v>
      </c>
      <c r="LC132" s="561">
        <v>0</v>
      </c>
      <c r="LD132" s="561">
        <v>0</v>
      </c>
      <c r="LE132" s="561">
        <v>0</v>
      </c>
      <c r="LF132" s="561">
        <v>0</v>
      </c>
      <c r="LG132" s="561">
        <v>0</v>
      </c>
      <c r="LH132" s="561">
        <v>0</v>
      </c>
      <c r="LI132" s="561">
        <v>0</v>
      </c>
      <c r="LJ132" s="561">
        <v>0</v>
      </c>
      <c r="LK132" s="561">
        <v>0</v>
      </c>
      <c r="LL132" s="561">
        <v>3267</v>
      </c>
      <c r="LM132" s="561">
        <v>232</v>
      </c>
      <c r="LN132" s="561">
        <v>0</v>
      </c>
      <c r="LO132" s="561">
        <v>0</v>
      </c>
      <c r="LP132" s="561">
        <v>0</v>
      </c>
      <c r="LQ132" s="561">
        <v>0</v>
      </c>
      <c r="LR132" s="561">
        <v>3706</v>
      </c>
      <c r="LS132" s="561">
        <v>232</v>
      </c>
      <c r="LT132" s="561">
        <v>0</v>
      </c>
      <c r="LU132" s="561">
        <v>0</v>
      </c>
      <c r="LV132" s="561">
        <v>0</v>
      </c>
      <c r="LW132" s="561">
        <v>0</v>
      </c>
      <c r="LX132" s="561">
        <v>0</v>
      </c>
      <c r="LY132" s="561">
        <v>0</v>
      </c>
      <c r="LZ132" s="561">
        <v>0</v>
      </c>
      <c r="MA132" s="561">
        <v>0</v>
      </c>
      <c r="MB132" s="561">
        <v>0</v>
      </c>
      <c r="MC132" s="561">
        <v>0</v>
      </c>
      <c r="MD132" s="561">
        <v>0</v>
      </c>
      <c r="ME132" s="561">
        <v>0</v>
      </c>
      <c r="MF132" s="561">
        <v>0</v>
      </c>
      <c r="MG132" s="561">
        <v>0</v>
      </c>
      <c r="MH132" s="561">
        <v>0</v>
      </c>
      <c r="MI132" s="561">
        <v>0</v>
      </c>
      <c r="MJ132" s="561">
        <v>0</v>
      </c>
      <c r="MK132" s="561">
        <v>0</v>
      </c>
      <c r="ML132" s="561">
        <v>0</v>
      </c>
      <c r="MM132" s="561">
        <v>3179</v>
      </c>
      <c r="MN132" s="561">
        <v>0</v>
      </c>
      <c r="MO132" s="561">
        <v>527</v>
      </c>
      <c r="MP132" s="561">
        <v>0</v>
      </c>
      <c r="MQ132" s="561">
        <v>0</v>
      </c>
      <c r="MR132" s="561">
        <v>-75</v>
      </c>
      <c r="MS132" s="561">
        <v>0</v>
      </c>
      <c r="MT132" s="561">
        <v>0</v>
      </c>
      <c r="MU132" s="561">
        <v>0</v>
      </c>
      <c r="MV132" s="561">
        <v>0</v>
      </c>
      <c r="MW132" s="561">
        <v>1386</v>
      </c>
      <c r="MX132" s="561">
        <v>75</v>
      </c>
      <c r="MY132" s="561">
        <v>861</v>
      </c>
      <c r="MZ132" s="561">
        <v>0</v>
      </c>
      <c r="NA132" s="561">
        <v>0</v>
      </c>
      <c r="NB132" s="561">
        <v>667</v>
      </c>
      <c r="NC132" s="561">
        <v>0</v>
      </c>
      <c r="ND132" s="561">
        <v>2914</v>
      </c>
      <c r="NE132" s="561">
        <v>0</v>
      </c>
      <c r="NF132" s="561">
        <v>0</v>
      </c>
      <c r="NG132" s="561">
        <v>0</v>
      </c>
      <c r="NH132" s="561">
        <v>0</v>
      </c>
      <c r="NI132" s="561">
        <v>0</v>
      </c>
      <c r="NJ132" s="561">
        <v>0</v>
      </c>
      <c r="NK132" s="561">
        <v>0</v>
      </c>
      <c r="NL132" s="561">
        <v>0</v>
      </c>
      <c r="NM132" s="561">
        <v>0</v>
      </c>
      <c r="NN132" s="561">
        <v>0</v>
      </c>
      <c r="NO132" s="561">
        <v>0</v>
      </c>
      <c r="NP132" s="561">
        <v>0</v>
      </c>
      <c r="NQ132" s="561">
        <v>0</v>
      </c>
      <c r="NR132" s="561">
        <v>0</v>
      </c>
      <c r="NS132" s="561">
        <v>0</v>
      </c>
      <c r="NT132" s="561">
        <v>0</v>
      </c>
      <c r="NU132" s="561">
        <v>0</v>
      </c>
      <c r="NV132" s="561">
        <v>0</v>
      </c>
      <c r="NW132" s="561">
        <v>0</v>
      </c>
      <c r="NX132" s="561">
        <v>0</v>
      </c>
      <c r="NY132" s="561">
        <v>0</v>
      </c>
      <c r="NZ132" s="561">
        <v>0</v>
      </c>
      <c r="OA132" s="561">
        <v>0</v>
      </c>
      <c r="OB132" s="561">
        <v>0</v>
      </c>
      <c r="OC132" s="561">
        <v>0</v>
      </c>
      <c r="OD132" s="561">
        <v>0</v>
      </c>
      <c r="OE132" s="561">
        <v>0</v>
      </c>
      <c r="OF132" s="561">
        <v>0</v>
      </c>
      <c r="OG132" s="561">
        <v>0</v>
      </c>
      <c r="OH132" s="561">
        <v>0</v>
      </c>
      <c r="OI132" s="561">
        <v>0</v>
      </c>
      <c r="OJ132" s="561">
        <v>0</v>
      </c>
      <c r="OK132" s="561">
        <v>0</v>
      </c>
      <c r="OL132" s="561">
        <v>0</v>
      </c>
      <c r="OM132" s="561">
        <v>0</v>
      </c>
      <c r="ON132" s="561">
        <v>0</v>
      </c>
      <c r="OO132" s="561">
        <v>0</v>
      </c>
      <c r="OP132" s="561">
        <v>0</v>
      </c>
      <c r="OQ132" s="561">
        <v>0</v>
      </c>
      <c r="OR132" s="561">
        <v>0</v>
      </c>
      <c r="OS132" s="561">
        <v>0</v>
      </c>
      <c r="OT132" s="561">
        <v>0</v>
      </c>
      <c r="OU132" s="561">
        <v>0</v>
      </c>
      <c r="OV132" s="561">
        <v>0</v>
      </c>
      <c r="OW132" s="561">
        <v>0</v>
      </c>
      <c r="OX132" s="561">
        <v>0</v>
      </c>
      <c r="OY132" s="561">
        <v>0</v>
      </c>
      <c r="OZ132" s="561">
        <v>0</v>
      </c>
      <c r="PA132" s="561">
        <v>0</v>
      </c>
      <c r="PB132" s="561">
        <v>0</v>
      </c>
      <c r="PC132" s="561">
        <v>0</v>
      </c>
      <c r="PD132" s="561">
        <v>0</v>
      </c>
      <c r="PE132" s="561">
        <v>0</v>
      </c>
      <c r="PF132" s="561">
        <v>0</v>
      </c>
      <c r="PG132" s="561">
        <v>0</v>
      </c>
      <c r="PH132" s="561">
        <v>0</v>
      </c>
      <c r="PI132" s="561">
        <v>0</v>
      </c>
      <c r="PJ132" s="561">
        <v>0</v>
      </c>
    </row>
    <row r="133" spans="1:426" ht="14" x14ac:dyDescent="0.3">
      <c r="A133" t="s">
        <v>2831</v>
      </c>
      <c r="B133" t="s">
        <v>2832</v>
      </c>
      <c r="C133" t="s">
        <v>2833</v>
      </c>
      <c r="E133" t="s">
        <v>384</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41.83</v>
      </c>
      <c r="W133" s="561">
        <v>0</v>
      </c>
      <c r="X133" s="561">
        <v>0</v>
      </c>
      <c r="Y133" s="561">
        <v>0</v>
      </c>
      <c r="Z133" s="561">
        <v>0</v>
      </c>
      <c r="AA133" s="561">
        <v>0</v>
      </c>
      <c r="AB133" s="561">
        <v>-1003</v>
      </c>
      <c r="AC133" s="561">
        <v>0</v>
      </c>
      <c r="AD133" s="561">
        <v>28</v>
      </c>
      <c r="AE133" s="561">
        <v>7</v>
      </c>
      <c r="AF133" s="561">
        <v>0</v>
      </c>
      <c r="AG133" s="561">
        <v>0</v>
      </c>
      <c r="AH133" s="561">
        <v>0</v>
      </c>
      <c r="AI133" s="561">
        <v>0</v>
      </c>
      <c r="AJ133" s="561">
        <v>-926.17</v>
      </c>
      <c r="AK133" s="561">
        <v>0</v>
      </c>
      <c r="AL133" s="561">
        <v>0</v>
      </c>
      <c r="AM133" s="561">
        <v>0</v>
      </c>
      <c r="AN133" s="561">
        <v>0</v>
      </c>
      <c r="AO133" s="561">
        <v>0</v>
      </c>
      <c r="AP133" s="561">
        <v>0</v>
      </c>
      <c r="AQ133" s="561">
        <v>0</v>
      </c>
      <c r="AR133" s="561">
        <v>0</v>
      </c>
      <c r="AS133" s="561">
        <v>0</v>
      </c>
      <c r="AT133" s="561">
        <v>0</v>
      </c>
      <c r="AU133" s="561">
        <v>0</v>
      </c>
      <c r="AV133" s="561">
        <v>0</v>
      </c>
      <c r="AW133" s="561">
        <v>0</v>
      </c>
      <c r="AX133" s="561">
        <v>0</v>
      </c>
      <c r="AY133" s="561">
        <v>0</v>
      </c>
      <c r="AZ133" s="561">
        <v>0</v>
      </c>
      <c r="BA133" s="561">
        <v>0</v>
      </c>
      <c r="BB133" s="561">
        <v>0</v>
      </c>
      <c r="BC133" s="561">
        <v>0</v>
      </c>
      <c r="BD133" s="561">
        <v>0</v>
      </c>
      <c r="BE133" s="561">
        <v>0</v>
      </c>
      <c r="BF133" s="561">
        <v>0</v>
      </c>
      <c r="BG133" s="561">
        <v>0</v>
      </c>
      <c r="BH133" s="561">
        <v>0</v>
      </c>
      <c r="BI133" s="561">
        <v>0</v>
      </c>
      <c r="BJ133" s="561">
        <v>0</v>
      </c>
      <c r="BK133" s="561">
        <v>0</v>
      </c>
      <c r="BL133" s="561">
        <v>0</v>
      </c>
      <c r="BM133" s="561">
        <v>0</v>
      </c>
      <c r="BN133" s="561">
        <v>0</v>
      </c>
      <c r="BO133" s="561">
        <v>0</v>
      </c>
      <c r="BP133" s="561">
        <v>0</v>
      </c>
      <c r="BQ133" s="561">
        <v>0</v>
      </c>
      <c r="BR133" s="561">
        <v>0</v>
      </c>
      <c r="BS133" s="561">
        <v>0</v>
      </c>
      <c r="BT133" s="561">
        <v>0</v>
      </c>
      <c r="BU133" s="561">
        <v>0</v>
      </c>
      <c r="BV133" s="561">
        <v>0</v>
      </c>
      <c r="BW133" s="561">
        <v>0</v>
      </c>
      <c r="BX133" s="561">
        <v>0</v>
      </c>
      <c r="BY133" s="561">
        <v>0</v>
      </c>
      <c r="BZ133" s="561">
        <v>0</v>
      </c>
      <c r="CA133" s="561">
        <v>0</v>
      </c>
      <c r="CB133" s="561">
        <v>0</v>
      </c>
      <c r="CC133" s="561">
        <v>0</v>
      </c>
      <c r="CD133" s="561">
        <v>0</v>
      </c>
      <c r="CE133" s="561">
        <v>0</v>
      </c>
      <c r="CF133" s="561">
        <v>0</v>
      </c>
      <c r="CG133" s="561">
        <v>0</v>
      </c>
      <c r="CH133" s="561">
        <v>0</v>
      </c>
      <c r="CI133" s="561">
        <v>0</v>
      </c>
      <c r="CJ133" s="561">
        <v>0</v>
      </c>
      <c r="CK133" s="561">
        <v>0</v>
      </c>
      <c r="CL133" s="561">
        <v>0</v>
      </c>
      <c r="CM133" s="561">
        <v>0</v>
      </c>
      <c r="CN133" s="561">
        <v>0</v>
      </c>
      <c r="CO133" s="561">
        <v>0</v>
      </c>
      <c r="CP133" s="561">
        <v>0</v>
      </c>
      <c r="CQ133" s="561">
        <v>0</v>
      </c>
      <c r="CR133" s="561">
        <v>0</v>
      </c>
      <c r="CS133" s="561">
        <v>0</v>
      </c>
      <c r="CT133" s="561">
        <v>0</v>
      </c>
      <c r="CU133" s="561">
        <v>0</v>
      </c>
      <c r="CV133" s="561">
        <v>0</v>
      </c>
      <c r="CW133" s="561">
        <v>0</v>
      </c>
      <c r="CX133" s="561">
        <v>0</v>
      </c>
      <c r="CY133" s="561">
        <v>0</v>
      </c>
      <c r="CZ133" s="561">
        <v>0</v>
      </c>
      <c r="DA133" s="561">
        <v>0</v>
      </c>
      <c r="DB133" s="561">
        <v>0</v>
      </c>
      <c r="DC133" s="561">
        <v>0</v>
      </c>
      <c r="DD133" s="561">
        <v>0</v>
      </c>
      <c r="DE133" s="561">
        <v>0</v>
      </c>
      <c r="DF133" s="561">
        <v>0</v>
      </c>
      <c r="DG133" s="561">
        <v>0</v>
      </c>
      <c r="DH133" s="561">
        <v>987</v>
      </c>
      <c r="DI133" s="561">
        <v>0</v>
      </c>
      <c r="DJ133" s="561">
        <v>3</v>
      </c>
      <c r="DK133" s="561">
        <v>49</v>
      </c>
      <c r="DL133" s="561">
        <v>0</v>
      </c>
      <c r="DM133" s="561">
        <v>-118</v>
      </c>
      <c r="DN133" s="561">
        <v>0</v>
      </c>
      <c r="DO133" s="561">
        <v>401</v>
      </c>
      <c r="DP133" s="561">
        <v>-97</v>
      </c>
      <c r="DQ133" s="561">
        <v>0</v>
      </c>
      <c r="DR133" s="561">
        <v>260</v>
      </c>
      <c r="DS133" s="561">
        <v>782</v>
      </c>
      <c r="DT133" s="561">
        <v>0</v>
      </c>
      <c r="DU133" s="561">
        <v>1228</v>
      </c>
      <c r="DV133" s="561">
        <v>86</v>
      </c>
      <c r="DW133" s="561">
        <v>0</v>
      </c>
      <c r="DX133" s="561">
        <v>0</v>
      </c>
      <c r="DY133" s="561">
        <v>672</v>
      </c>
      <c r="DZ133" s="561">
        <v>0</v>
      </c>
      <c r="EA133" s="561">
        <v>-23</v>
      </c>
      <c r="EB133" s="561">
        <v>0</v>
      </c>
      <c r="EC133" s="561">
        <v>3002</v>
      </c>
      <c r="ED133" s="561">
        <v>254</v>
      </c>
      <c r="EE133" s="561">
        <v>13923</v>
      </c>
      <c r="EF133" s="561">
        <v>409</v>
      </c>
      <c r="EG133" s="561">
        <v>1686</v>
      </c>
      <c r="EH133" s="561">
        <v>0</v>
      </c>
      <c r="EI133" s="561">
        <v>94</v>
      </c>
      <c r="EJ133" s="561">
        <v>1</v>
      </c>
      <c r="EK133" s="561">
        <v>98</v>
      </c>
      <c r="EL133" s="561">
        <v>1</v>
      </c>
      <c r="EM133" s="561">
        <v>0</v>
      </c>
      <c r="EN133" s="561">
        <v>4806</v>
      </c>
      <c r="EO133" s="561">
        <v>4348</v>
      </c>
      <c r="EP133" s="561">
        <v>1</v>
      </c>
      <c r="EQ133" s="561">
        <v>307</v>
      </c>
      <c r="ER133" s="561">
        <v>2107</v>
      </c>
      <c r="ES133" s="561" t="s">
        <v>4565</v>
      </c>
      <c r="ET133" s="561">
        <v>500</v>
      </c>
      <c r="EU133" s="561">
        <v>155</v>
      </c>
      <c r="EV133" s="561">
        <v>41</v>
      </c>
      <c r="EW133" s="561">
        <v>0</v>
      </c>
      <c r="EX133" s="561">
        <v>3717</v>
      </c>
      <c r="EY133" s="561">
        <v>-45</v>
      </c>
      <c r="EZ133" s="561">
        <v>275</v>
      </c>
      <c r="FA133" s="561">
        <v>10343</v>
      </c>
      <c r="FB133" s="561">
        <v>0</v>
      </c>
      <c r="FC133" s="561">
        <v>0</v>
      </c>
      <c r="FD133" s="561">
        <v>23</v>
      </c>
      <c r="FE133" s="561">
        <v>1</v>
      </c>
      <c r="FF133" s="561">
        <v>684</v>
      </c>
      <c r="FG133" s="561">
        <v>128</v>
      </c>
      <c r="FH133" s="561">
        <v>-100</v>
      </c>
      <c r="FI133" s="561">
        <v>0</v>
      </c>
      <c r="FJ133" s="561">
        <v>-1210</v>
      </c>
      <c r="FK133" s="561">
        <v>2396</v>
      </c>
      <c r="FL133" s="561">
        <v>0</v>
      </c>
      <c r="FM133" s="561">
        <v>0</v>
      </c>
      <c r="FN133" s="561">
        <v>0</v>
      </c>
      <c r="FO133" s="561">
        <v>1922</v>
      </c>
      <c r="FP133" s="561">
        <v>60</v>
      </c>
      <c r="FQ133" s="561">
        <v>-14</v>
      </c>
      <c r="FR133" s="561">
        <v>0</v>
      </c>
      <c r="FS133" s="561">
        <v>0</v>
      </c>
      <c r="FT133" s="561">
        <v>148</v>
      </c>
      <c r="FU133" s="561">
        <v>172</v>
      </c>
      <c r="FV133" s="561">
        <v>0</v>
      </c>
      <c r="FW133" s="561">
        <v>166</v>
      </c>
      <c r="FX133" s="561">
        <v>0</v>
      </c>
      <c r="FY133" s="561">
        <v>0</v>
      </c>
      <c r="FZ133" s="561">
        <v>59</v>
      </c>
      <c r="GA133" s="561">
        <v>284</v>
      </c>
      <c r="GB133" s="561">
        <v>0</v>
      </c>
      <c r="GC133" s="561">
        <v>-90</v>
      </c>
      <c r="GD133" s="561">
        <v>5</v>
      </c>
      <c r="GE133" s="561">
        <v>213</v>
      </c>
      <c r="GF133" s="561">
        <v>0</v>
      </c>
      <c r="GG133" s="561">
        <v>9</v>
      </c>
      <c r="GH133" s="561">
        <v>0</v>
      </c>
      <c r="GI133" s="561">
        <v>0</v>
      </c>
      <c r="GJ133" s="561">
        <v>188</v>
      </c>
      <c r="GK133" s="561">
        <v>0</v>
      </c>
      <c r="GL133" s="561">
        <v>1538</v>
      </c>
      <c r="GM133" s="561">
        <v>1586</v>
      </c>
      <c r="GN133" s="561">
        <v>0</v>
      </c>
      <c r="GO133" s="561">
        <v>0</v>
      </c>
      <c r="GP133" s="561">
        <v>874</v>
      </c>
      <c r="GQ133" s="561">
        <v>0</v>
      </c>
      <c r="GR133" s="561">
        <v>0</v>
      </c>
      <c r="GS133" s="561">
        <v>5138</v>
      </c>
      <c r="GT133" s="561">
        <v>253</v>
      </c>
      <c r="GU133" s="561">
        <v>175</v>
      </c>
      <c r="GV133" s="561">
        <v>1430</v>
      </c>
      <c r="GW133" s="561">
        <v>68</v>
      </c>
      <c r="GX133" s="561">
        <v>889</v>
      </c>
      <c r="GY133" s="561">
        <v>68</v>
      </c>
      <c r="GZ133" s="561">
        <v>91</v>
      </c>
      <c r="HA133" s="561">
        <v>0</v>
      </c>
      <c r="HB133" s="561">
        <v>124</v>
      </c>
      <c r="HC133" s="561">
        <v>270</v>
      </c>
      <c r="HD133" s="561">
        <v>3115</v>
      </c>
      <c r="HE133" s="561">
        <v>0</v>
      </c>
      <c r="HF133" s="561">
        <v>10175</v>
      </c>
      <c r="HG133" s="561">
        <v>0</v>
      </c>
      <c r="HH133" s="561">
        <v>0</v>
      </c>
      <c r="HI133" s="561">
        <v>0</v>
      </c>
      <c r="HJ133" s="561">
        <v>0</v>
      </c>
      <c r="HK133" s="561">
        <v>0</v>
      </c>
      <c r="HL133" s="561">
        <v>0</v>
      </c>
      <c r="HM133" s="561">
        <v>0</v>
      </c>
      <c r="HN133" s="561">
        <v>0</v>
      </c>
      <c r="HO133" s="561">
        <v>2514</v>
      </c>
      <c r="HP133" s="561">
        <v>783</v>
      </c>
      <c r="HQ133" s="561">
        <v>0</v>
      </c>
      <c r="HR133" s="561">
        <v>0</v>
      </c>
      <c r="HS133" s="561">
        <v>408</v>
      </c>
      <c r="HT133" s="561">
        <v>4</v>
      </c>
      <c r="HU133" s="561">
        <v>0</v>
      </c>
      <c r="HV133" s="561">
        <v>0</v>
      </c>
      <c r="HW133" s="561">
        <v>213</v>
      </c>
      <c r="HX133" s="561">
        <v>280</v>
      </c>
      <c r="HY133" s="561">
        <v>61</v>
      </c>
      <c r="HZ133" s="561">
        <v>-23</v>
      </c>
      <c r="IA133" s="561">
        <v>0</v>
      </c>
      <c r="IB133" s="561">
        <v>199</v>
      </c>
      <c r="IC133" s="561">
        <v>0</v>
      </c>
      <c r="ID133" s="561">
        <v>0</v>
      </c>
      <c r="IE133" s="561">
        <v>0</v>
      </c>
      <c r="IF133" s="561">
        <v>0</v>
      </c>
      <c r="IG133" s="561">
        <v>0</v>
      </c>
      <c r="IH133" s="561">
        <v>-1201</v>
      </c>
      <c r="II133" s="561">
        <v>3238</v>
      </c>
      <c r="IJ133" s="561">
        <v>0</v>
      </c>
      <c r="IK133" s="561">
        <v>0</v>
      </c>
      <c r="IL133" s="561">
        <v>6479</v>
      </c>
      <c r="IM133" s="561">
        <v>0</v>
      </c>
      <c r="IN133" s="561">
        <v>0</v>
      </c>
      <c r="IO133" s="561">
        <v>81</v>
      </c>
      <c r="IP133" s="561">
        <v>0</v>
      </c>
      <c r="IQ133" s="561">
        <v>0</v>
      </c>
      <c r="IR133" s="561">
        <v>0</v>
      </c>
      <c r="IS133" s="561">
        <v>-926.17</v>
      </c>
      <c r="IT133" s="561">
        <v>0</v>
      </c>
      <c r="IU133" s="561">
        <v>0</v>
      </c>
      <c r="IV133" s="561">
        <v>0</v>
      </c>
      <c r="IW133" s="561">
        <v>3002</v>
      </c>
      <c r="IX133" s="561">
        <v>1922</v>
      </c>
      <c r="IY133" s="561">
        <v>5138</v>
      </c>
      <c r="IZ133" s="561">
        <v>3115</v>
      </c>
      <c r="JA133" s="561">
        <v>0</v>
      </c>
      <c r="JB133" s="561">
        <v>0</v>
      </c>
      <c r="JC133" s="561">
        <v>3238</v>
      </c>
      <c r="JD133" s="561">
        <v>0</v>
      </c>
      <c r="JE133" s="561">
        <v>15488.83</v>
      </c>
      <c r="JF133" s="561">
        <v>7278</v>
      </c>
      <c r="JG133" s="561">
        <v>879</v>
      </c>
      <c r="JH133" s="561">
        <v>5130</v>
      </c>
      <c r="JI133" s="561">
        <v>0</v>
      </c>
      <c r="JJ133" s="561">
        <v>0</v>
      </c>
      <c r="JK133" s="561">
        <v>0</v>
      </c>
      <c r="JL133" s="561">
        <v>0</v>
      </c>
      <c r="JM133" s="561">
        <v>0</v>
      </c>
      <c r="JN133" s="561">
        <v>0</v>
      </c>
      <c r="JO133" s="561">
        <v>0</v>
      </c>
      <c r="JP133" s="561">
        <v>5023</v>
      </c>
      <c r="JQ133" s="561">
        <v>0</v>
      </c>
      <c r="JR133" s="561">
        <v>-7708</v>
      </c>
      <c r="JS133" s="561">
        <v>0</v>
      </c>
      <c r="JT133" s="561">
        <v>130</v>
      </c>
      <c r="JU133" s="561">
        <v>0</v>
      </c>
      <c r="JV133" s="561">
        <v>26220.83</v>
      </c>
      <c r="JW133" s="561">
        <v>0</v>
      </c>
      <c r="JX133" s="561">
        <v>1978</v>
      </c>
      <c r="JY133" s="561">
        <v>0</v>
      </c>
      <c r="JZ133" s="561">
        <v>0</v>
      </c>
      <c r="KA133" s="561">
        <v>0</v>
      </c>
      <c r="KB133" s="561">
        <v>-222</v>
      </c>
      <c r="KC133" s="561">
        <v>1892</v>
      </c>
      <c r="KD133" s="561">
        <v>32</v>
      </c>
      <c r="KE133" s="561">
        <v>2751</v>
      </c>
      <c r="KF133" s="561">
        <v>-303</v>
      </c>
      <c r="KG133" s="561">
        <v>32348.83</v>
      </c>
      <c r="KH133" s="561">
        <v>-3397</v>
      </c>
      <c r="KI133" s="561">
        <v>0</v>
      </c>
      <c r="KJ133" s="561">
        <v>135</v>
      </c>
      <c r="KK133" s="561">
        <v>0</v>
      </c>
      <c r="KL133" s="561">
        <v>-13146</v>
      </c>
      <c r="KM133" s="561">
        <v>0</v>
      </c>
      <c r="KN133" s="561">
        <v>-3044</v>
      </c>
      <c r="KO133" s="561">
        <v>0</v>
      </c>
      <c r="KP133" s="561">
        <v>0</v>
      </c>
      <c r="KQ133" s="561">
        <v>0</v>
      </c>
      <c r="KR133" s="561">
        <v>12896.83</v>
      </c>
      <c r="KS133" s="561">
        <v>0</v>
      </c>
      <c r="KT133" s="561">
        <v>-1550</v>
      </c>
      <c r="KU133" s="561">
        <v>11346.83</v>
      </c>
      <c r="KV133" s="561">
        <v>0</v>
      </c>
      <c r="KW133" s="561">
        <v>0</v>
      </c>
      <c r="KX133" s="561">
        <v>0</v>
      </c>
      <c r="KY133" s="561">
        <v>0</v>
      </c>
      <c r="KZ133" s="561">
        <v>163.46</v>
      </c>
      <c r="LA133" s="561">
        <v>949</v>
      </c>
      <c r="LB133" s="561">
        <v>-107</v>
      </c>
      <c r="LC133" s="561">
        <v>0</v>
      </c>
      <c r="LD133" s="561">
        <v>-4139</v>
      </c>
      <c r="LE133" s="561">
        <v>0</v>
      </c>
      <c r="LF133" s="561">
        <v>0</v>
      </c>
      <c r="LG133" s="561">
        <v>8213</v>
      </c>
      <c r="LH133" s="561">
        <v>0</v>
      </c>
      <c r="LI133" s="561">
        <v>0</v>
      </c>
      <c r="LJ133" s="561">
        <v>0</v>
      </c>
      <c r="LK133" s="561">
        <v>0</v>
      </c>
      <c r="LL133" s="561">
        <v>21508</v>
      </c>
      <c r="LM133" s="561">
        <v>463</v>
      </c>
      <c r="LN133" s="561">
        <v>0</v>
      </c>
      <c r="LO133" s="561">
        <v>0</v>
      </c>
      <c r="LP133" s="561">
        <v>0</v>
      </c>
      <c r="LQ133" s="561">
        <v>0</v>
      </c>
      <c r="LR133" s="561">
        <v>21671.46</v>
      </c>
      <c r="LS133" s="561">
        <v>1412</v>
      </c>
      <c r="LT133" s="561">
        <v>0</v>
      </c>
      <c r="LU133" s="561">
        <v>4889</v>
      </c>
      <c r="LV133" s="561">
        <v>0</v>
      </c>
      <c r="LW133" s="561">
        <v>3085</v>
      </c>
      <c r="LX133" s="561">
        <v>0</v>
      </c>
      <c r="LY133" s="561">
        <v>619</v>
      </c>
      <c r="LZ133" s="561">
        <v>8489</v>
      </c>
      <c r="MA133" s="561">
        <v>0</v>
      </c>
      <c r="MB133" s="561">
        <v>0</v>
      </c>
      <c r="MC133" s="561">
        <v>16212</v>
      </c>
      <c r="MD133" s="561">
        <v>15937</v>
      </c>
      <c r="ME133" s="561">
        <v>275</v>
      </c>
      <c r="MF133" s="561">
        <v>10343</v>
      </c>
      <c r="MG133" s="561">
        <v>10618</v>
      </c>
      <c r="MH133" s="561">
        <v>2082</v>
      </c>
      <c r="MI133" s="561">
        <v>2209</v>
      </c>
      <c r="MJ133" s="561">
        <v>4291</v>
      </c>
      <c r="MK133" s="561">
        <v>0</v>
      </c>
      <c r="ML133" s="561">
        <v>0</v>
      </c>
      <c r="MM133" s="561">
        <v>16403.36</v>
      </c>
      <c r="MN133" s="561">
        <v>861</v>
      </c>
      <c r="MO133" s="561">
        <v>4407.1000000000004</v>
      </c>
      <c r="MP133" s="561">
        <v>0</v>
      </c>
      <c r="MQ133" s="561">
        <v>0</v>
      </c>
      <c r="MR133" s="561">
        <v>-926.17</v>
      </c>
      <c r="MS133" s="561">
        <v>0</v>
      </c>
      <c r="MT133" s="561">
        <v>0</v>
      </c>
      <c r="MU133" s="561">
        <v>0</v>
      </c>
      <c r="MV133" s="561">
        <v>3002</v>
      </c>
      <c r="MW133" s="561">
        <v>1922</v>
      </c>
      <c r="MX133" s="561">
        <v>5138</v>
      </c>
      <c r="MY133" s="561">
        <v>3115</v>
      </c>
      <c r="MZ133" s="561">
        <v>0</v>
      </c>
      <c r="NA133" s="561">
        <v>0</v>
      </c>
      <c r="NB133" s="561">
        <v>3238</v>
      </c>
      <c r="NC133" s="561">
        <v>0</v>
      </c>
      <c r="ND133" s="561">
        <v>15488.83</v>
      </c>
      <c r="NE133" s="561">
        <v>0</v>
      </c>
      <c r="NF133" s="561">
        <v>0</v>
      </c>
      <c r="NG133" s="561">
        <v>0</v>
      </c>
      <c r="NH133" s="561">
        <v>0</v>
      </c>
      <c r="NI133" s="561">
        <v>0</v>
      </c>
      <c r="NJ133" s="561">
        <v>0</v>
      </c>
      <c r="NK133" s="561">
        <v>0</v>
      </c>
      <c r="NL133" s="561">
        <v>0</v>
      </c>
      <c r="NM133" s="561">
        <v>0</v>
      </c>
      <c r="NN133" s="561">
        <v>0</v>
      </c>
      <c r="NO133" s="561">
        <v>0</v>
      </c>
      <c r="NP133" s="561">
        <v>0</v>
      </c>
      <c r="NQ133" s="561">
        <v>-103</v>
      </c>
      <c r="NR133" s="561">
        <v>6</v>
      </c>
      <c r="NS133" s="561">
        <v>-3118</v>
      </c>
      <c r="NT133" s="561">
        <v>-379</v>
      </c>
      <c r="NU133" s="561">
        <v>-2501</v>
      </c>
      <c r="NV133" s="561">
        <v>0</v>
      </c>
      <c r="NW133" s="561">
        <v>-2685</v>
      </c>
      <c r="NX133" s="561">
        <v>7708</v>
      </c>
      <c r="NY133" s="561">
        <v>5023</v>
      </c>
      <c r="NZ133" s="561">
        <v>0</v>
      </c>
      <c r="OA133" s="561">
        <v>0</v>
      </c>
      <c r="OB133" s="561">
        <v>0</v>
      </c>
      <c r="OC133" s="561">
        <v>0</v>
      </c>
      <c r="OD133" s="561">
        <v>0</v>
      </c>
      <c r="OE133" s="561">
        <v>0</v>
      </c>
      <c r="OF133" s="561">
        <v>0</v>
      </c>
      <c r="OG133" s="561">
        <v>0</v>
      </c>
      <c r="OH133" s="561">
        <v>0</v>
      </c>
      <c r="OI133" s="561">
        <v>0</v>
      </c>
      <c r="OJ133" s="561">
        <v>0</v>
      </c>
      <c r="OK133" s="561">
        <v>0</v>
      </c>
      <c r="OL133" s="561">
        <v>0</v>
      </c>
      <c r="OM133" s="561">
        <v>0</v>
      </c>
      <c r="ON133" s="561">
        <v>0</v>
      </c>
      <c r="OO133" s="561">
        <v>0</v>
      </c>
      <c r="OP133" s="561">
        <v>0</v>
      </c>
      <c r="OQ133" s="561">
        <v>0</v>
      </c>
      <c r="OR133" s="561">
        <v>0</v>
      </c>
      <c r="OS133" s="561">
        <v>0</v>
      </c>
      <c r="OT133" s="561">
        <v>0</v>
      </c>
      <c r="OU133" s="561">
        <v>0</v>
      </c>
      <c r="OV133" s="561">
        <v>0</v>
      </c>
      <c r="OW133" s="561">
        <v>0</v>
      </c>
      <c r="OX133" s="561">
        <v>0</v>
      </c>
      <c r="OY133" s="561">
        <v>909</v>
      </c>
      <c r="OZ133" s="561">
        <v>0</v>
      </c>
      <c r="PA133" s="561">
        <v>6799</v>
      </c>
      <c r="PB133" s="561">
        <v>0</v>
      </c>
      <c r="PC133" s="561">
        <v>0</v>
      </c>
      <c r="PD133" s="561">
        <v>7708</v>
      </c>
      <c r="PE133" s="561">
        <v>0</v>
      </c>
      <c r="PF133" s="561">
        <v>0</v>
      </c>
      <c r="PG133" s="561">
        <v>0</v>
      </c>
      <c r="PH133" s="561">
        <v>0</v>
      </c>
      <c r="PI133" s="561">
        <v>0</v>
      </c>
      <c r="PJ133" s="561">
        <v>0</v>
      </c>
    </row>
    <row r="134" spans="1:426" ht="14" x14ac:dyDescent="0.3">
      <c r="A134" t="s">
        <v>2834</v>
      </c>
      <c r="B134" t="s">
        <v>2835</v>
      </c>
      <c r="C134" t="s">
        <v>2836</v>
      </c>
      <c r="E134" t="s">
        <v>384</v>
      </c>
      <c r="F134" s="561">
        <v>0</v>
      </c>
      <c r="G134" s="561">
        <v>0</v>
      </c>
      <c r="H134" s="561">
        <v>0</v>
      </c>
      <c r="I134" s="561">
        <v>0</v>
      </c>
      <c r="J134" s="561">
        <v>0</v>
      </c>
      <c r="K134" s="561">
        <v>0</v>
      </c>
      <c r="L134" s="561">
        <v>0</v>
      </c>
      <c r="M134" s="561">
        <v>0</v>
      </c>
      <c r="N134" s="561">
        <v>0</v>
      </c>
      <c r="O134" s="561">
        <v>134</v>
      </c>
      <c r="P134" s="561">
        <v>0</v>
      </c>
      <c r="Q134" s="561">
        <v>0</v>
      </c>
      <c r="R134" s="561">
        <v>0</v>
      </c>
      <c r="S134" s="561">
        <v>0</v>
      </c>
      <c r="T134" s="561">
        <v>0</v>
      </c>
      <c r="U134" s="561">
        <v>0</v>
      </c>
      <c r="V134" s="561">
        <v>0</v>
      </c>
      <c r="W134" s="561">
        <v>0</v>
      </c>
      <c r="X134" s="561">
        <v>0</v>
      </c>
      <c r="Y134" s="561">
        <v>0</v>
      </c>
      <c r="Z134" s="561">
        <v>0</v>
      </c>
      <c r="AA134" s="561">
        <v>577</v>
      </c>
      <c r="AB134" s="561">
        <v>0</v>
      </c>
      <c r="AC134" s="561">
        <v>0</v>
      </c>
      <c r="AD134" s="561">
        <v>0</v>
      </c>
      <c r="AE134" s="561">
        <v>0</v>
      </c>
      <c r="AF134" s="561">
        <v>0</v>
      </c>
      <c r="AG134" s="561">
        <v>0</v>
      </c>
      <c r="AH134" s="561">
        <v>0</v>
      </c>
      <c r="AI134" s="561">
        <v>0</v>
      </c>
      <c r="AJ134" s="561">
        <v>711</v>
      </c>
      <c r="AK134" s="561">
        <v>0</v>
      </c>
      <c r="AL134" s="561">
        <v>0</v>
      </c>
      <c r="AM134" s="561">
        <v>0</v>
      </c>
      <c r="AN134" s="561">
        <v>0</v>
      </c>
      <c r="AO134" s="561">
        <v>0</v>
      </c>
      <c r="AP134" s="561">
        <v>0</v>
      </c>
      <c r="AQ134" s="561">
        <v>0</v>
      </c>
      <c r="AR134" s="561">
        <v>0</v>
      </c>
      <c r="AS134" s="561">
        <v>0</v>
      </c>
      <c r="AT134" s="561">
        <v>0</v>
      </c>
      <c r="AU134" s="561">
        <v>0</v>
      </c>
      <c r="AV134" s="561">
        <v>0</v>
      </c>
      <c r="AW134" s="561">
        <v>0</v>
      </c>
      <c r="AX134" s="561">
        <v>0</v>
      </c>
      <c r="AY134" s="561">
        <v>0</v>
      </c>
      <c r="AZ134" s="561">
        <v>0</v>
      </c>
      <c r="BA134" s="561">
        <v>0</v>
      </c>
      <c r="BB134" s="561">
        <v>0</v>
      </c>
      <c r="BC134" s="561">
        <v>0</v>
      </c>
      <c r="BD134" s="561">
        <v>0</v>
      </c>
      <c r="BE134" s="561">
        <v>0</v>
      </c>
      <c r="BF134" s="561">
        <v>0</v>
      </c>
      <c r="BG134" s="561">
        <v>0</v>
      </c>
      <c r="BH134" s="561">
        <v>0</v>
      </c>
      <c r="BI134" s="561">
        <v>0</v>
      </c>
      <c r="BJ134" s="561">
        <v>0</v>
      </c>
      <c r="BK134" s="561">
        <v>0</v>
      </c>
      <c r="BL134" s="561">
        <v>0</v>
      </c>
      <c r="BM134" s="561">
        <v>0</v>
      </c>
      <c r="BN134" s="561">
        <v>0</v>
      </c>
      <c r="BO134" s="561">
        <v>0</v>
      </c>
      <c r="BP134" s="561">
        <v>0</v>
      </c>
      <c r="BQ134" s="561">
        <v>0</v>
      </c>
      <c r="BR134" s="561">
        <v>0</v>
      </c>
      <c r="BS134" s="561">
        <v>0</v>
      </c>
      <c r="BT134" s="561">
        <v>0</v>
      </c>
      <c r="BU134" s="561">
        <v>0</v>
      </c>
      <c r="BV134" s="561">
        <v>0</v>
      </c>
      <c r="BW134" s="561">
        <v>0</v>
      </c>
      <c r="BX134" s="561">
        <v>0</v>
      </c>
      <c r="BY134" s="561">
        <v>0</v>
      </c>
      <c r="BZ134" s="561">
        <v>0</v>
      </c>
      <c r="CA134" s="561">
        <v>0</v>
      </c>
      <c r="CB134" s="561">
        <v>0</v>
      </c>
      <c r="CC134" s="561">
        <v>0</v>
      </c>
      <c r="CD134" s="561">
        <v>0</v>
      </c>
      <c r="CE134" s="561">
        <v>0</v>
      </c>
      <c r="CF134" s="561">
        <v>0</v>
      </c>
      <c r="CG134" s="561">
        <v>0</v>
      </c>
      <c r="CH134" s="561">
        <v>0</v>
      </c>
      <c r="CI134" s="561">
        <v>0</v>
      </c>
      <c r="CJ134" s="561">
        <v>0</v>
      </c>
      <c r="CK134" s="561">
        <v>0</v>
      </c>
      <c r="CL134" s="561">
        <v>0</v>
      </c>
      <c r="CM134" s="561">
        <v>0</v>
      </c>
      <c r="CN134" s="561">
        <v>0</v>
      </c>
      <c r="CO134" s="561">
        <v>0</v>
      </c>
      <c r="CP134" s="561">
        <v>0</v>
      </c>
      <c r="CQ134" s="561">
        <v>0</v>
      </c>
      <c r="CR134" s="561">
        <v>0</v>
      </c>
      <c r="CS134" s="561">
        <v>0</v>
      </c>
      <c r="CT134" s="561">
        <v>0</v>
      </c>
      <c r="CU134" s="561">
        <v>0</v>
      </c>
      <c r="CV134" s="561">
        <v>0</v>
      </c>
      <c r="CW134" s="561">
        <v>0</v>
      </c>
      <c r="CX134" s="561">
        <v>-5</v>
      </c>
      <c r="CY134" s="561">
        <v>0</v>
      </c>
      <c r="CZ134" s="561">
        <v>-5</v>
      </c>
      <c r="DA134" s="561">
        <v>0</v>
      </c>
      <c r="DB134" s="561">
        <v>0</v>
      </c>
      <c r="DC134" s="561">
        <v>0</v>
      </c>
      <c r="DD134" s="561">
        <v>0</v>
      </c>
      <c r="DE134" s="561">
        <v>0</v>
      </c>
      <c r="DF134" s="561">
        <v>0</v>
      </c>
      <c r="DG134" s="561">
        <v>0</v>
      </c>
      <c r="DH134" s="561">
        <v>179</v>
      </c>
      <c r="DI134" s="561">
        <v>0</v>
      </c>
      <c r="DJ134" s="561">
        <v>120</v>
      </c>
      <c r="DK134" s="561">
        <v>0</v>
      </c>
      <c r="DL134" s="561">
        <v>0</v>
      </c>
      <c r="DM134" s="561">
        <v>0</v>
      </c>
      <c r="DN134" s="561">
        <v>18</v>
      </c>
      <c r="DO134" s="561">
        <v>544</v>
      </c>
      <c r="DP134" s="561">
        <v>43</v>
      </c>
      <c r="DQ134" s="561">
        <v>-48</v>
      </c>
      <c r="DR134" s="561">
        <v>0</v>
      </c>
      <c r="DS134" s="561">
        <v>559</v>
      </c>
      <c r="DT134" s="561">
        <v>-167</v>
      </c>
      <c r="DU134" s="561">
        <v>949</v>
      </c>
      <c r="DV134" s="561">
        <v>281</v>
      </c>
      <c r="DW134" s="561">
        <v>0</v>
      </c>
      <c r="DX134" s="561">
        <v>0</v>
      </c>
      <c r="DY134" s="561">
        <v>0</v>
      </c>
      <c r="DZ134" s="561">
        <v>0</v>
      </c>
      <c r="EA134" s="561">
        <v>37</v>
      </c>
      <c r="EB134" s="561">
        <v>0</v>
      </c>
      <c r="EC134" s="561">
        <v>1566</v>
      </c>
      <c r="ED134" s="561">
        <v>0</v>
      </c>
      <c r="EE134" s="561">
        <v>0</v>
      </c>
      <c r="EF134" s="561">
        <v>0</v>
      </c>
      <c r="EG134" s="561">
        <v>0</v>
      </c>
      <c r="EH134" s="561">
        <v>0</v>
      </c>
      <c r="EI134" s="561">
        <v>0</v>
      </c>
      <c r="EJ134" s="561">
        <v>0</v>
      </c>
      <c r="EK134" s="561">
        <v>0</v>
      </c>
      <c r="EL134" s="561">
        <v>0</v>
      </c>
      <c r="EM134" s="561">
        <v>0</v>
      </c>
      <c r="EN134" s="561">
        <v>0</v>
      </c>
      <c r="EO134" s="561">
        <v>0</v>
      </c>
      <c r="EP134" s="561">
        <v>0</v>
      </c>
      <c r="EQ134" s="561">
        <v>0</v>
      </c>
      <c r="ER134" s="561">
        <v>0</v>
      </c>
      <c r="ES134" s="561" t="s">
        <v>4565</v>
      </c>
      <c r="ET134" s="561">
        <v>0</v>
      </c>
      <c r="EU134" s="561">
        <v>0</v>
      </c>
      <c r="EV134" s="561">
        <v>0</v>
      </c>
      <c r="EW134" s="561">
        <v>0</v>
      </c>
      <c r="EX134" s="561">
        <v>0</v>
      </c>
      <c r="EY134" s="561">
        <v>0</v>
      </c>
      <c r="EZ134" s="561">
        <v>0</v>
      </c>
      <c r="FA134" s="561">
        <v>0</v>
      </c>
      <c r="FB134" s="561">
        <v>0</v>
      </c>
      <c r="FC134" s="561">
        <v>47</v>
      </c>
      <c r="FD134" s="561">
        <v>3</v>
      </c>
      <c r="FE134" s="561">
        <v>0</v>
      </c>
      <c r="FF134" s="561">
        <v>0</v>
      </c>
      <c r="FG134" s="561">
        <v>0</v>
      </c>
      <c r="FH134" s="561">
        <v>0</v>
      </c>
      <c r="FI134" s="561">
        <v>247</v>
      </c>
      <c r="FJ134" s="561">
        <v>63</v>
      </c>
      <c r="FK134" s="561">
        <v>1109</v>
      </c>
      <c r="FL134" s="561">
        <v>0</v>
      </c>
      <c r="FM134" s="561">
        <v>0</v>
      </c>
      <c r="FN134" s="561">
        <v>0</v>
      </c>
      <c r="FO134" s="561">
        <v>1469</v>
      </c>
      <c r="FP134" s="561">
        <v>0</v>
      </c>
      <c r="FQ134" s="561">
        <v>41</v>
      </c>
      <c r="FR134" s="561">
        <v>0</v>
      </c>
      <c r="FS134" s="561">
        <v>193</v>
      </c>
      <c r="FT134" s="561">
        <v>195</v>
      </c>
      <c r="FU134" s="561">
        <v>234</v>
      </c>
      <c r="FV134" s="561">
        <v>69</v>
      </c>
      <c r="FW134" s="561">
        <v>113</v>
      </c>
      <c r="FX134" s="561">
        <v>2</v>
      </c>
      <c r="FY134" s="561">
        <v>0</v>
      </c>
      <c r="FZ134" s="561">
        <v>6</v>
      </c>
      <c r="GA134" s="561">
        <v>43</v>
      </c>
      <c r="GB134" s="561">
        <v>224</v>
      </c>
      <c r="GC134" s="561">
        <v>122</v>
      </c>
      <c r="GD134" s="561">
        <v>181</v>
      </c>
      <c r="GE134" s="561">
        <v>0</v>
      </c>
      <c r="GF134" s="561">
        <v>89</v>
      </c>
      <c r="GG134" s="561">
        <v>0</v>
      </c>
      <c r="GH134" s="561">
        <v>24</v>
      </c>
      <c r="GI134" s="561">
        <v>0</v>
      </c>
      <c r="GJ134" s="561">
        <v>0</v>
      </c>
      <c r="GK134" s="561">
        <v>0</v>
      </c>
      <c r="GL134" s="561">
        <v>1212</v>
      </c>
      <c r="GM134" s="561">
        <v>2562</v>
      </c>
      <c r="GN134" s="561">
        <v>0</v>
      </c>
      <c r="GO134" s="561">
        <v>0</v>
      </c>
      <c r="GP134" s="561">
        <v>-25</v>
      </c>
      <c r="GQ134" s="561">
        <v>0</v>
      </c>
      <c r="GR134" s="561">
        <v>38</v>
      </c>
      <c r="GS134" s="561">
        <v>5323</v>
      </c>
      <c r="GT134" s="561">
        <v>0</v>
      </c>
      <c r="GU134" s="561">
        <v>54</v>
      </c>
      <c r="GV134" s="561">
        <v>1012</v>
      </c>
      <c r="GW134" s="561">
        <v>58</v>
      </c>
      <c r="GX134" s="561">
        <v>76</v>
      </c>
      <c r="GY134" s="561">
        <v>0</v>
      </c>
      <c r="GZ134" s="561">
        <v>28</v>
      </c>
      <c r="HA134" s="561">
        <v>0</v>
      </c>
      <c r="HB134" s="561">
        <v>0</v>
      </c>
      <c r="HC134" s="561">
        <v>381</v>
      </c>
      <c r="HD134" s="561">
        <v>1609</v>
      </c>
      <c r="HE134" s="561">
        <v>0</v>
      </c>
      <c r="HF134" s="561">
        <v>8401</v>
      </c>
      <c r="HG134" s="561">
        <v>0</v>
      </c>
      <c r="HH134" s="561">
        <v>0</v>
      </c>
      <c r="HI134" s="561">
        <v>0</v>
      </c>
      <c r="HJ134" s="561">
        <v>0</v>
      </c>
      <c r="HK134" s="561">
        <v>0</v>
      </c>
      <c r="HL134" s="561">
        <v>0</v>
      </c>
      <c r="HM134" s="561">
        <v>0</v>
      </c>
      <c r="HN134" s="561">
        <v>0</v>
      </c>
      <c r="HO134" s="561">
        <v>4652</v>
      </c>
      <c r="HP134" s="561">
        <v>1317</v>
      </c>
      <c r="HQ134" s="561">
        <v>0</v>
      </c>
      <c r="HR134" s="561">
        <v>0</v>
      </c>
      <c r="HS134" s="561">
        <v>344</v>
      </c>
      <c r="HT134" s="561">
        <v>79</v>
      </c>
      <c r="HU134" s="561">
        <v>0</v>
      </c>
      <c r="HV134" s="561">
        <v>0</v>
      </c>
      <c r="HW134" s="561">
        <v>175</v>
      </c>
      <c r="HX134" s="561">
        <v>157</v>
      </c>
      <c r="HY134" s="561">
        <v>30</v>
      </c>
      <c r="HZ134" s="561">
        <v>70</v>
      </c>
      <c r="IA134" s="561">
        <v>0</v>
      </c>
      <c r="IB134" s="561">
        <v>57</v>
      </c>
      <c r="IC134" s="561">
        <v>0</v>
      </c>
      <c r="ID134" s="561">
        <v>0</v>
      </c>
      <c r="IE134" s="561">
        <v>0</v>
      </c>
      <c r="IF134" s="561">
        <v>0</v>
      </c>
      <c r="IG134" s="561">
        <v>0</v>
      </c>
      <c r="IH134" s="561">
        <v>-33</v>
      </c>
      <c r="II134" s="561">
        <v>6848</v>
      </c>
      <c r="IJ134" s="561">
        <v>0</v>
      </c>
      <c r="IK134" s="561">
        <v>0</v>
      </c>
      <c r="IL134" s="561">
        <v>0</v>
      </c>
      <c r="IM134" s="561">
        <v>0</v>
      </c>
      <c r="IN134" s="561">
        <v>0</v>
      </c>
      <c r="IO134" s="561">
        <v>0</v>
      </c>
      <c r="IP134" s="561">
        <v>0</v>
      </c>
      <c r="IQ134" s="561">
        <v>0</v>
      </c>
      <c r="IR134" s="561">
        <v>0</v>
      </c>
      <c r="IS134" s="561">
        <v>711</v>
      </c>
      <c r="IT134" s="561">
        <v>0</v>
      </c>
      <c r="IU134" s="561">
        <v>0</v>
      </c>
      <c r="IV134" s="561">
        <v>-5</v>
      </c>
      <c r="IW134" s="561">
        <v>1566</v>
      </c>
      <c r="IX134" s="561">
        <v>1469</v>
      </c>
      <c r="IY134" s="561">
        <v>5323</v>
      </c>
      <c r="IZ134" s="561">
        <v>1609</v>
      </c>
      <c r="JA134" s="561">
        <v>0</v>
      </c>
      <c r="JB134" s="561">
        <v>0</v>
      </c>
      <c r="JC134" s="561">
        <v>6848</v>
      </c>
      <c r="JD134" s="561">
        <v>0</v>
      </c>
      <c r="JE134" s="561">
        <v>17521</v>
      </c>
      <c r="JF134" s="561">
        <v>19681</v>
      </c>
      <c r="JG134" s="561">
        <v>868</v>
      </c>
      <c r="JH134" s="561">
        <v>0</v>
      </c>
      <c r="JI134" s="561">
        <v>0</v>
      </c>
      <c r="JJ134" s="561">
        <v>0</v>
      </c>
      <c r="JK134" s="561">
        <v>1665</v>
      </c>
      <c r="JL134" s="561">
        <v>0</v>
      </c>
      <c r="JM134" s="561">
        <v>0</v>
      </c>
      <c r="JN134" s="561">
        <v>0</v>
      </c>
      <c r="JO134" s="561">
        <v>0</v>
      </c>
      <c r="JP134" s="561">
        <v>140</v>
      </c>
      <c r="JQ134" s="561">
        <v>0</v>
      </c>
      <c r="JR134" s="561">
        <v>-160</v>
      </c>
      <c r="JS134" s="561">
        <v>0</v>
      </c>
      <c r="JT134" s="561">
        <v>139</v>
      </c>
      <c r="JU134" s="561">
        <v>0</v>
      </c>
      <c r="JV134" s="561">
        <v>39854</v>
      </c>
      <c r="JW134" s="561">
        <v>0</v>
      </c>
      <c r="JX134" s="561">
        <v>0</v>
      </c>
      <c r="JY134" s="561">
        <v>0</v>
      </c>
      <c r="JZ134" s="561">
        <v>0</v>
      </c>
      <c r="KA134" s="561">
        <v>0</v>
      </c>
      <c r="KB134" s="561">
        <v>216</v>
      </c>
      <c r="KC134" s="561">
        <v>0</v>
      </c>
      <c r="KD134" s="561">
        <v>0</v>
      </c>
      <c r="KE134" s="561">
        <v>485</v>
      </c>
      <c r="KF134" s="561">
        <v>0</v>
      </c>
      <c r="KG134" s="561">
        <v>40555</v>
      </c>
      <c r="KH134" s="561">
        <v>-968</v>
      </c>
      <c r="KI134" s="561">
        <v>0</v>
      </c>
      <c r="KJ134" s="561">
        <v>0</v>
      </c>
      <c r="KK134" s="561">
        <v>0</v>
      </c>
      <c r="KL134" s="561">
        <v>-22996</v>
      </c>
      <c r="KM134" s="561">
        <v>0</v>
      </c>
      <c r="KN134" s="561">
        <v>0</v>
      </c>
      <c r="KO134" s="561">
        <v>0</v>
      </c>
      <c r="KP134" s="561">
        <v>0</v>
      </c>
      <c r="KQ134" s="561">
        <v>0</v>
      </c>
      <c r="KR134" s="561">
        <v>16591</v>
      </c>
      <c r="KS134" s="561">
        <v>0</v>
      </c>
      <c r="KT134" s="561">
        <v>-1868</v>
      </c>
      <c r="KU134" s="561">
        <v>14723</v>
      </c>
      <c r="KV134" s="561">
        <v>0</v>
      </c>
      <c r="KW134" s="561">
        <v>0</v>
      </c>
      <c r="KX134" s="561">
        <v>0</v>
      </c>
      <c r="KY134" s="561">
        <v>0</v>
      </c>
      <c r="KZ134" s="561">
        <v>916</v>
      </c>
      <c r="LA134" s="561">
        <v>0</v>
      </c>
      <c r="LB134" s="561">
        <v>-185</v>
      </c>
      <c r="LC134" s="561">
        <v>0</v>
      </c>
      <c r="LD134" s="561">
        <v>-5688</v>
      </c>
      <c r="LE134" s="561">
        <v>-57</v>
      </c>
      <c r="LF134" s="561">
        <v>0</v>
      </c>
      <c r="LG134" s="561">
        <v>9709</v>
      </c>
      <c r="LH134" s="561">
        <v>0</v>
      </c>
      <c r="LI134" s="561">
        <v>0</v>
      </c>
      <c r="LJ134" s="561">
        <v>0</v>
      </c>
      <c r="LK134" s="561">
        <v>0</v>
      </c>
      <c r="LL134" s="561">
        <v>10270</v>
      </c>
      <c r="LM134" s="561">
        <v>2000</v>
      </c>
      <c r="LN134" s="561">
        <v>0</v>
      </c>
      <c r="LO134" s="561">
        <v>0</v>
      </c>
      <c r="LP134" s="561">
        <v>0</v>
      </c>
      <c r="LQ134" s="561">
        <v>0</v>
      </c>
      <c r="LR134" s="561">
        <v>11186</v>
      </c>
      <c r="LS134" s="561">
        <v>2000</v>
      </c>
      <c r="LT134" s="561">
        <v>0</v>
      </c>
      <c r="LU134" s="561">
        <v>0</v>
      </c>
      <c r="LV134" s="561">
        <v>0</v>
      </c>
      <c r="LW134" s="561">
        <v>0</v>
      </c>
      <c r="LX134" s="561">
        <v>0</v>
      </c>
      <c r="LY134" s="561">
        <v>0</v>
      </c>
      <c r="LZ134" s="561">
        <v>0</v>
      </c>
      <c r="MA134" s="561">
        <v>0</v>
      </c>
      <c r="MB134" s="561">
        <v>0</v>
      </c>
      <c r="MC134" s="561">
        <v>0</v>
      </c>
      <c r="MD134" s="561">
        <v>0</v>
      </c>
      <c r="ME134" s="561">
        <v>0</v>
      </c>
      <c r="MF134" s="561">
        <v>0</v>
      </c>
      <c r="MG134" s="561">
        <v>0</v>
      </c>
      <c r="MH134" s="561">
        <v>3677</v>
      </c>
      <c r="MI134" s="561">
        <v>3756</v>
      </c>
      <c r="MJ134" s="561">
        <v>7433</v>
      </c>
      <c r="MK134" s="561">
        <v>0</v>
      </c>
      <c r="ML134" s="561">
        <v>0</v>
      </c>
      <c r="MM134" s="561">
        <v>8873</v>
      </c>
      <c r="MN134" s="561">
        <v>100</v>
      </c>
      <c r="MO134" s="561">
        <v>2213</v>
      </c>
      <c r="MP134" s="561">
        <v>0</v>
      </c>
      <c r="MQ134" s="561">
        <v>0</v>
      </c>
      <c r="MR134" s="561">
        <v>711</v>
      </c>
      <c r="MS134" s="561">
        <v>0</v>
      </c>
      <c r="MT134" s="561">
        <v>0</v>
      </c>
      <c r="MU134" s="561">
        <v>-5</v>
      </c>
      <c r="MV134" s="561">
        <v>1566</v>
      </c>
      <c r="MW134" s="561">
        <v>1469</v>
      </c>
      <c r="MX134" s="561">
        <v>5323</v>
      </c>
      <c r="MY134" s="561">
        <v>1609</v>
      </c>
      <c r="MZ134" s="561">
        <v>0</v>
      </c>
      <c r="NA134" s="561">
        <v>0</v>
      </c>
      <c r="NB134" s="561">
        <v>6848</v>
      </c>
      <c r="NC134" s="561">
        <v>0</v>
      </c>
      <c r="ND134" s="561">
        <v>17521</v>
      </c>
      <c r="NE134" s="561">
        <v>0</v>
      </c>
      <c r="NF134" s="561">
        <v>0</v>
      </c>
      <c r="NG134" s="561">
        <v>217</v>
      </c>
      <c r="NH134" s="561">
        <v>0</v>
      </c>
      <c r="NI134" s="561">
        <v>0</v>
      </c>
      <c r="NJ134" s="561">
        <v>0</v>
      </c>
      <c r="NK134" s="561">
        <v>0</v>
      </c>
      <c r="NL134" s="561">
        <v>0</v>
      </c>
      <c r="NM134" s="561">
        <v>0</v>
      </c>
      <c r="NN134" s="561">
        <v>0</v>
      </c>
      <c r="NO134" s="561">
        <v>0</v>
      </c>
      <c r="NP134" s="561">
        <v>0</v>
      </c>
      <c r="NQ134" s="561">
        <v>-205</v>
      </c>
      <c r="NR134" s="561">
        <v>0</v>
      </c>
      <c r="NS134" s="561">
        <v>0</v>
      </c>
      <c r="NT134" s="561">
        <v>-124</v>
      </c>
      <c r="NU134" s="561">
        <v>75</v>
      </c>
      <c r="NV134" s="561">
        <v>92</v>
      </c>
      <c r="NW134" s="561">
        <v>-20</v>
      </c>
      <c r="NX134" s="561">
        <v>160</v>
      </c>
      <c r="NY134" s="561">
        <v>140</v>
      </c>
      <c r="NZ134" s="561">
        <v>0</v>
      </c>
      <c r="OA134" s="561">
        <v>0</v>
      </c>
      <c r="OB134" s="561">
        <v>0</v>
      </c>
      <c r="OC134" s="561">
        <v>0</v>
      </c>
      <c r="OD134" s="561">
        <v>0</v>
      </c>
      <c r="OE134" s="561">
        <v>0</v>
      </c>
      <c r="OF134" s="561">
        <v>0</v>
      </c>
      <c r="OG134" s="561">
        <v>0</v>
      </c>
      <c r="OH134" s="561">
        <v>0</v>
      </c>
      <c r="OI134" s="561">
        <v>0</v>
      </c>
      <c r="OJ134" s="561">
        <v>0</v>
      </c>
      <c r="OK134" s="561">
        <v>0</v>
      </c>
      <c r="OL134" s="561">
        <v>0</v>
      </c>
      <c r="OM134" s="561">
        <v>0</v>
      </c>
      <c r="ON134" s="561">
        <v>0</v>
      </c>
      <c r="OO134" s="561">
        <v>0</v>
      </c>
      <c r="OP134" s="561">
        <v>0</v>
      </c>
      <c r="OQ134" s="561">
        <v>0</v>
      </c>
      <c r="OR134" s="561">
        <v>0</v>
      </c>
      <c r="OS134" s="561">
        <v>0</v>
      </c>
      <c r="OT134" s="561">
        <v>0</v>
      </c>
      <c r="OU134" s="561">
        <v>0</v>
      </c>
      <c r="OV134" s="561">
        <v>0</v>
      </c>
      <c r="OW134" s="561">
        <v>0</v>
      </c>
      <c r="OX134" s="561">
        <v>0</v>
      </c>
      <c r="OY134" s="561">
        <v>160</v>
      </c>
      <c r="OZ134" s="561">
        <v>0</v>
      </c>
      <c r="PA134" s="561">
        <v>0</v>
      </c>
      <c r="PB134" s="561">
        <v>0</v>
      </c>
      <c r="PC134" s="561">
        <v>0</v>
      </c>
      <c r="PD134" s="561">
        <v>160</v>
      </c>
      <c r="PE134" s="561">
        <v>0</v>
      </c>
      <c r="PF134" s="561">
        <v>0</v>
      </c>
      <c r="PG134" s="561">
        <v>0</v>
      </c>
      <c r="PH134" s="561">
        <v>0</v>
      </c>
      <c r="PI134" s="561">
        <v>0</v>
      </c>
      <c r="PJ134" s="561">
        <v>0</v>
      </c>
    </row>
    <row r="135" spans="1:426" ht="14" x14ac:dyDescent="0.3">
      <c r="A135" t="s">
        <v>2837</v>
      </c>
      <c r="B135" t="s">
        <v>2838</v>
      </c>
      <c r="C135" t="s">
        <v>2839</v>
      </c>
      <c r="E135" t="s">
        <v>384</v>
      </c>
      <c r="F135" s="561">
        <v>0</v>
      </c>
      <c r="G135" s="561">
        <v>0</v>
      </c>
      <c r="H135" s="561">
        <v>0</v>
      </c>
      <c r="I135" s="561">
        <v>0</v>
      </c>
      <c r="J135" s="561">
        <v>0</v>
      </c>
      <c r="K135" s="561">
        <v>0</v>
      </c>
      <c r="L135" s="561">
        <v>0</v>
      </c>
      <c r="M135" s="561">
        <v>0</v>
      </c>
      <c r="N135" s="561">
        <v>0</v>
      </c>
      <c r="O135" s="561">
        <v>0</v>
      </c>
      <c r="P135" s="561">
        <v>0</v>
      </c>
      <c r="Q135" s="561">
        <v>0</v>
      </c>
      <c r="R135" s="561">
        <v>0</v>
      </c>
      <c r="S135" s="561">
        <v>0</v>
      </c>
      <c r="T135" s="561">
        <v>0</v>
      </c>
      <c r="U135" s="561">
        <v>0</v>
      </c>
      <c r="V135" s="561">
        <v>101</v>
      </c>
      <c r="W135" s="561">
        <v>0</v>
      </c>
      <c r="X135" s="561">
        <v>0</v>
      </c>
      <c r="Y135" s="561">
        <v>0</v>
      </c>
      <c r="Z135" s="561">
        <v>46</v>
      </c>
      <c r="AA135" s="561">
        <v>-525</v>
      </c>
      <c r="AB135" s="561">
        <v>-1078</v>
      </c>
      <c r="AC135" s="561">
        <v>0</v>
      </c>
      <c r="AD135" s="561">
        <v>0</v>
      </c>
      <c r="AE135" s="561">
        <v>0</v>
      </c>
      <c r="AF135" s="561">
        <v>0</v>
      </c>
      <c r="AG135" s="561">
        <v>0</v>
      </c>
      <c r="AH135" s="561">
        <v>19</v>
      </c>
      <c r="AI135" s="561">
        <v>0</v>
      </c>
      <c r="AJ135" s="561">
        <v>-1437</v>
      </c>
      <c r="AK135" s="561">
        <v>0</v>
      </c>
      <c r="AL135" s="561">
        <v>0</v>
      </c>
      <c r="AM135" s="561">
        <v>0</v>
      </c>
      <c r="AN135" s="561">
        <v>0</v>
      </c>
      <c r="AO135" s="561">
        <v>0</v>
      </c>
      <c r="AP135" s="561">
        <v>0</v>
      </c>
      <c r="AQ135" s="561">
        <v>0</v>
      </c>
      <c r="AR135" s="561">
        <v>0</v>
      </c>
      <c r="AS135" s="561">
        <v>138</v>
      </c>
      <c r="AT135" s="561">
        <v>1248</v>
      </c>
      <c r="AU135" s="561">
        <v>0</v>
      </c>
      <c r="AV135" s="561">
        <v>0</v>
      </c>
      <c r="AW135" s="561">
        <v>0</v>
      </c>
      <c r="AX135" s="561">
        <v>0</v>
      </c>
      <c r="AY135" s="561">
        <v>0</v>
      </c>
      <c r="AZ135" s="561">
        <v>0</v>
      </c>
      <c r="BA135" s="561">
        <v>0</v>
      </c>
      <c r="BB135" s="561">
        <v>0</v>
      </c>
      <c r="BC135" s="561">
        <v>0</v>
      </c>
      <c r="BD135" s="561">
        <v>0</v>
      </c>
      <c r="BE135" s="561">
        <v>0</v>
      </c>
      <c r="BF135" s="561">
        <v>0</v>
      </c>
      <c r="BG135" s="561">
        <v>0</v>
      </c>
      <c r="BH135" s="561">
        <v>0</v>
      </c>
      <c r="BI135" s="561">
        <v>0</v>
      </c>
      <c r="BJ135" s="561">
        <v>0</v>
      </c>
      <c r="BK135" s="561">
        <v>0</v>
      </c>
      <c r="BL135" s="561">
        <v>0</v>
      </c>
      <c r="BM135" s="561">
        <v>0</v>
      </c>
      <c r="BN135" s="561">
        <v>0</v>
      </c>
      <c r="BO135" s="561">
        <v>0</v>
      </c>
      <c r="BP135" s="561">
        <v>0</v>
      </c>
      <c r="BQ135" s="561">
        <v>0</v>
      </c>
      <c r="BR135" s="561">
        <v>0</v>
      </c>
      <c r="BS135" s="561">
        <v>0</v>
      </c>
      <c r="BT135" s="561">
        <v>0</v>
      </c>
      <c r="BU135" s="561">
        <v>0</v>
      </c>
      <c r="BV135" s="561">
        <v>0</v>
      </c>
      <c r="BW135" s="561">
        <v>0</v>
      </c>
      <c r="BX135" s="561">
        <v>0</v>
      </c>
      <c r="BY135" s="561">
        <v>0</v>
      </c>
      <c r="BZ135" s="561">
        <v>0</v>
      </c>
      <c r="CA135" s="561">
        <v>0</v>
      </c>
      <c r="CB135" s="561">
        <v>0</v>
      </c>
      <c r="CC135" s="561">
        <v>0</v>
      </c>
      <c r="CD135" s="561">
        <v>0</v>
      </c>
      <c r="CE135" s="561">
        <v>0</v>
      </c>
      <c r="CF135" s="561">
        <v>0</v>
      </c>
      <c r="CG135" s="561">
        <v>0</v>
      </c>
      <c r="CH135" s="561">
        <v>0</v>
      </c>
      <c r="CI135" s="561">
        <v>0</v>
      </c>
      <c r="CJ135" s="561">
        <v>0</v>
      </c>
      <c r="CK135" s="561">
        <v>0</v>
      </c>
      <c r="CL135" s="561">
        <v>0</v>
      </c>
      <c r="CM135" s="561">
        <v>0</v>
      </c>
      <c r="CN135" s="561">
        <v>0</v>
      </c>
      <c r="CO135" s="561">
        <v>0</v>
      </c>
      <c r="CP135" s="561">
        <v>0</v>
      </c>
      <c r="CQ135" s="561">
        <v>0</v>
      </c>
      <c r="CR135" s="561">
        <v>0</v>
      </c>
      <c r="CS135" s="561">
        <v>0</v>
      </c>
      <c r="CT135" s="561">
        <v>0</v>
      </c>
      <c r="CU135" s="561">
        <v>0</v>
      </c>
      <c r="CV135" s="561">
        <v>0</v>
      </c>
      <c r="CW135" s="561">
        <v>0</v>
      </c>
      <c r="CX135" s="561">
        <v>0</v>
      </c>
      <c r="CY135" s="561">
        <v>0</v>
      </c>
      <c r="CZ135" s="561">
        <v>0</v>
      </c>
      <c r="DA135" s="561">
        <v>0</v>
      </c>
      <c r="DB135" s="561">
        <v>0</v>
      </c>
      <c r="DC135" s="561">
        <v>0</v>
      </c>
      <c r="DD135" s="561">
        <v>0</v>
      </c>
      <c r="DE135" s="561">
        <v>0</v>
      </c>
      <c r="DF135" s="561">
        <v>0</v>
      </c>
      <c r="DG135" s="561">
        <v>0</v>
      </c>
      <c r="DH135" s="561">
        <v>126</v>
      </c>
      <c r="DI135" s="561">
        <v>0</v>
      </c>
      <c r="DJ135" s="561">
        <v>1292</v>
      </c>
      <c r="DK135" s="561">
        <v>201</v>
      </c>
      <c r="DL135" s="561">
        <v>805</v>
      </c>
      <c r="DM135" s="561">
        <v>0</v>
      </c>
      <c r="DN135" s="561">
        <v>0</v>
      </c>
      <c r="DO135" s="561">
        <v>326</v>
      </c>
      <c r="DP135" s="561">
        <v>0</v>
      </c>
      <c r="DQ135" s="561">
        <v>63</v>
      </c>
      <c r="DR135" s="561">
        <v>0</v>
      </c>
      <c r="DS135" s="561">
        <v>0</v>
      </c>
      <c r="DT135" s="561">
        <v>0</v>
      </c>
      <c r="DU135" s="561">
        <v>1194</v>
      </c>
      <c r="DV135" s="561">
        <v>0</v>
      </c>
      <c r="DW135" s="561">
        <v>0</v>
      </c>
      <c r="DX135" s="561">
        <v>0</v>
      </c>
      <c r="DY135" s="561">
        <v>541</v>
      </c>
      <c r="DZ135" s="561">
        <v>0</v>
      </c>
      <c r="EA135" s="561">
        <v>0</v>
      </c>
      <c r="EB135" s="561">
        <v>215</v>
      </c>
      <c r="EC135" s="561">
        <v>3569</v>
      </c>
      <c r="ED135" s="561">
        <v>0</v>
      </c>
      <c r="EE135" s="561">
        <v>18854</v>
      </c>
      <c r="EF135" s="561">
        <v>389</v>
      </c>
      <c r="EG135" s="561">
        <v>1168</v>
      </c>
      <c r="EH135" s="561">
        <v>0</v>
      </c>
      <c r="EI135" s="561">
        <v>0</v>
      </c>
      <c r="EJ135" s="561">
        <v>218</v>
      </c>
      <c r="EK135" s="561">
        <v>52</v>
      </c>
      <c r="EL135" s="561">
        <v>0</v>
      </c>
      <c r="EM135" s="561">
        <v>0</v>
      </c>
      <c r="EN135" s="561">
        <v>4968</v>
      </c>
      <c r="EO135" s="561">
        <v>7105</v>
      </c>
      <c r="EP135" s="561">
        <v>0</v>
      </c>
      <c r="EQ135" s="561">
        <v>17</v>
      </c>
      <c r="ER135" s="561">
        <v>4940</v>
      </c>
      <c r="ES135" s="561" t="s">
        <v>4565</v>
      </c>
      <c r="ET135" s="561">
        <v>0</v>
      </c>
      <c r="EU135" s="561">
        <v>0</v>
      </c>
      <c r="EV135" s="561">
        <v>36</v>
      </c>
      <c r="EW135" s="561">
        <v>0</v>
      </c>
      <c r="EX135" s="561">
        <v>0</v>
      </c>
      <c r="EY135" s="561">
        <v>91</v>
      </c>
      <c r="EZ135" s="561">
        <v>3524</v>
      </c>
      <c r="FA135" s="561">
        <v>3364</v>
      </c>
      <c r="FB135" s="561">
        <v>0</v>
      </c>
      <c r="FC135" s="561">
        <v>0</v>
      </c>
      <c r="FD135" s="561">
        <v>10</v>
      </c>
      <c r="FE135" s="561">
        <v>0</v>
      </c>
      <c r="FF135" s="561">
        <v>1013</v>
      </c>
      <c r="FG135" s="561">
        <v>0</v>
      </c>
      <c r="FH135" s="561">
        <v>0</v>
      </c>
      <c r="FI135" s="561">
        <v>28</v>
      </c>
      <c r="FJ135" s="561">
        <v>667</v>
      </c>
      <c r="FK135" s="561">
        <v>1677</v>
      </c>
      <c r="FL135" s="561">
        <v>0</v>
      </c>
      <c r="FM135" s="561">
        <v>0</v>
      </c>
      <c r="FN135" s="561">
        <v>0</v>
      </c>
      <c r="FO135" s="561">
        <v>3395</v>
      </c>
      <c r="FP135" s="561">
        <v>0</v>
      </c>
      <c r="FQ135" s="561">
        <v>128</v>
      </c>
      <c r="FR135" s="561">
        <v>0</v>
      </c>
      <c r="FS135" s="561">
        <v>0</v>
      </c>
      <c r="FT135" s="561">
        <v>387</v>
      </c>
      <c r="FU135" s="561">
        <v>495</v>
      </c>
      <c r="FV135" s="561">
        <v>0</v>
      </c>
      <c r="FW135" s="561">
        <v>0</v>
      </c>
      <c r="FX135" s="561">
        <v>0</v>
      </c>
      <c r="FY135" s="561">
        <v>0</v>
      </c>
      <c r="FZ135" s="561">
        <v>43</v>
      </c>
      <c r="GA135" s="561">
        <v>423</v>
      </c>
      <c r="GB135" s="561">
        <v>449</v>
      </c>
      <c r="GC135" s="561">
        <v>363</v>
      </c>
      <c r="GD135" s="561">
        <v>268</v>
      </c>
      <c r="GE135" s="561">
        <v>0</v>
      </c>
      <c r="GF135" s="561">
        <v>0</v>
      </c>
      <c r="GG135" s="561">
        <v>33</v>
      </c>
      <c r="GH135" s="561">
        <v>0</v>
      </c>
      <c r="GI135" s="561">
        <v>0</v>
      </c>
      <c r="GJ135" s="561">
        <v>-82</v>
      </c>
      <c r="GK135" s="561">
        <v>0</v>
      </c>
      <c r="GL135" s="561">
        <v>1802</v>
      </c>
      <c r="GM135" s="561">
        <v>1833</v>
      </c>
      <c r="GN135" s="561">
        <v>0</v>
      </c>
      <c r="GO135" s="561">
        <v>0</v>
      </c>
      <c r="GP135" s="561">
        <v>-83</v>
      </c>
      <c r="GQ135" s="561">
        <v>0</v>
      </c>
      <c r="GR135" s="561">
        <v>110</v>
      </c>
      <c r="GS135" s="561">
        <v>6169</v>
      </c>
      <c r="GT135" s="561">
        <v>0</v>
      </c>
      <c r="GU135" s="561">
        <v>609</v>
      </c>
      <c r="GV135" s="561">
        <v>1280</v>
      </c>
      <c r="GW135" s="561">
        <v>0</v>
      </c>
      <c r="GX135" s="561">
        <v>487</v>
      </c>
      <c r="GY135" s="561">
        <v>59</v>
      </c>
      <c r="GZ135" s="561">
        <v>1226</v>
      </c>
      <c r="HA135" s="561">
        <v>0</v>
      </c>
      <c r="HB135" s="561">
        <v>0</v>
      </c>
      <c r="HC135" s="561">
        <v>91</v>
      </c>
      <c r="HD135" s="561">
        <v>3752</v>
      </c>
      <c r="HE135" s="561">
        <v>0</v>
      </c>
      <c r="HF135" s="561">
        <v>13316</v>
      </c>
      <c r="HG135" s="561">
        <v>0</v>
      </c>
      <c r="HH135" s="561">
        <v>0</v>
      </c>
      <c r="HI135" s="561">
        <v>0</v>
      </c>
      <c r="HJ135" s="561">
        <v>0</v>
      </c>
      <c r="HK135" s="561">
        <v>0</v>
      </c>
      <c r="HL135" s="561">
        <v>0</v>
      </c>
      <c r="HM135" s="561">
        <v>0</v>
      </c>
      <c r="HN135" s="561">
        <v>0</v>
      </c>
      <c r="HO135" s="561">
        <v>1902</v>
      </c>
      <c r="HP135" s="561">
        <v>200</v>
      </c>
      <c r="HQ135" s="561">
        <v>0</v>
      </c>
      <c r="HR135" s="561">
        <v>0</v>
      </c>
      <c r="HS135" s="561">
        <v>6</v>
      </c>
      <c r="HT135" s="561">
        <v>-108</v>
      </c>
      <c r="HU135" s="561">
        <v>0</v>
      </c>
      <c r="HV135" s="561">
        <v>0</v>
      </c>
      <c r="HW135" s="561">
        <v>239</v>
      </c>
      <c r="HX135" s="561">
        <v>171</v>
      </c>
      <c r="HY135" s="561">
        <v>30</v>
      </c>
      <c r="HZ135" s="561">
        <v>-43</v>
      </c>
      <c r="IA135" s="561">
        <v>0</v>
      </c>
      <c r="IB135" s="561">
        <v>177</v>
      </c>
      <c r="IC135" s="561">
        <v>0</v>
      </c>
      <c r="ID135" s="561">
        <v>0</v>
      </c>
      <c r="IE135" s="561">
        <v>189</v>
      </c>
      <c r="IF135" s="561">
        <v>0</v>
      </c>
      <c r="IG135" s="561">
        <v>0</v>
      </c>
      <c r="IH135" s="561">
        <v>0</v>
      </c>
      <c r="II135" s="561">
        <v>2763</v>
      </c>
      <c r="IJ135" s="561">
        <v>0</v>
      </c>
      <c r="IK135" s="561">
        <v>0</v>
      </c>
      <c r="IL135" s="561">
        <v>0</v>
      </c>
      <c r="IM135" s="561">
        <v>0</v>
      </c>
      <c r="IN135" s="561">
        <v>0</v>
      </c>
      <c r="IO135" s="561">
        <v>0</v>
      </c>
      <c r="IP135" s="561">
        <v>0</v>
      </c>
      <c r="IQ135" s="561">
        <v>0</v>
      </c>
      <c r="IR135" s="561">
        <v>0</v>
      </c>
      <c r="IS135" s="561">
        <v>-1437</v>
      </c>
      <c r="IT135" s="561">
        <v>0</v>
      </c>
      <c r="IU135" s="561">
        <v>0</v>
      </c>
      <c r="IV135" s="561">
        <v>0</v>
      </c>
      <c r="IW135" s="561">
        <v>3569</v>
      </c>
      <c r="IX135" s="561">
        <v>3395</v>
      </c>
      <c r="IY135" s="561">
        <v>6169</v>
      </c>
      <c r="IZ135" s="561">
        <v>3752</v>
      </c>
      <c r="JA135" s="561">
        <v>0</v>
      </c>
      <c r="JB135" s="561">
        <v>0</v>
      </c>
      <c r="JC135" s="561">
        <v>2763</v>
      </c>
      <c r="JD135" s="561">
        <v>0</v>
      </c>
      <c r="JE135" s="561">
        <v>18211</v>
      </c>
      <c r="JF135" s="561">
        <v>16348</v>
      </c>
      <c r="JG135" s="561">
        <v>1214</v>
      </c>
      <c r="JH135" s="561">
        <v>7267</v>
      </c>
      <c r="JI135" s="561">
        <v>0</v>
      </c>
      <c r="JJ135" s="561">
        <v>52</v>
      </c>
      <c r="JK135" s="561">
        <v>2994</v>
      </c>
      <c r="JL135" s="561">
        <v>0</v>
      </c>
      <c r="JM135" s="561">
        <v>0</v>
      </c>
      <c r="JN135" s="561">
        <v>0</v>
      </c>
      <c r="JO135" s="561">
        <v>566</v>
      </c>
      <c r="JP135" s="561">
        <v>0</v>
      </c>
      <c r="JQ135" s="561">
        <v>0</v>
      </c>
      <c r="JR135" s="561">
        <v>0</v>
      </c>
      <c r="JS135" s="561">
        <v>0</v>
      </c>
      <c r="JT135" s="561">
        <v>0</v>
      </c>
      <c r="JU135" s="561">
        <v>0</v>
      </c>
      <c r="JV135" s="561">
        <v>46652</v>
      </c>
      <c r="JW135" s="561">
        <v>0</v>
      </c>
      <c r="JX135" s="561">
        <v>635</v>
      </c>
      <c r="JY135" s="561">
        <v>0</v>
      </c>
      <c r="JZ135" s="561">
        <v>0</v>
      </c>
      <c r="KA135" s="561">
        <v>0</v>
      </c>
      <c r="KB135" s="561">
        <v>431</v>
      </c>
      <c r="KC135" s="561">
        <v>2256</v>
      </c>
      <c r="KD135" s="561">
        <v>0</v>
      </c>
      <c r="KE135" s="561">
        <v>2765</v>
      </c>
      <c r="KF135" s="561">
        <v>-1890</v>
      </c>
      <c r="KG135" s="561">
        <v>50849</v>
      </c>
      <c r="KH135" s="561">
        <v>-3120</v>
      </c>
      <c r="KI135" s="561">
        <v>0</v>
      </c>
      <c r="KJ135" s="561">
        <v>0</v>
      </c>
      <c r="KK135" s="561">
        <v>0</v>
      </c>
      <c r="KL135" s="561">
        <v>-24349</v>
      </c>
      <c r="KM135" s="561">
        <v>0</v>
      </c>
      <c r="KN135" s="561">
        <v>0</v>
      </c>
      <c r="KO135" s="561">
        <v>0</v>
      </c>
      <c r="KP135" s="561">
        <v>0</v>
      </c>
      <c r="KQ135" s="561">
        <v>0</v>
      </c>
      <c r="KR135" s="561">
        <v>23380</v>
      </c>
      <c r="KS135" s="561">
        <v>0</v>
      </c>
      <c r="KT135" s="561">
        <v>-9719</v>
      </c>
      <c r="KU135" s="561">
        <v>13661</v>
      </c>
      <c r="KV135" s="561">
        <v>0</v>
      </c>
      <c r="KW135" s="561">
        <v>0</v>
      </c>
      <c r="KX135" s="561">
        <v>0</v>
      </c>
      <c r="KY135" s="561">
        <v>0</v>
      </c>
      <c r="KZ135" s="561">
        <v>3589</v>
      </c>
      <c r="LA135" s="561">
        <v>212</v>
      </c>
      <c r="LB135" s="561">
        <v>-226</v>
      </c>
      <c r="LC135" s="561">
        <v>0</v>
      </c>
      <c r="LD135" s="561">
        <v>0</v>
      </c>
      <c r="LE135" s="561">
        <v>2824</v>
      </c>
      <c r="LF135" s="561">
        <v>-5089</v>
      </c>
      <c r="LG135" s="561">
        <v>14970</v>
      </c>
      <c r="LH135" s="561">
        <v>0</v>
      </c>
      <c r="LI135" s="561">
        <v>0</v>
      </c>
      <c r="LJ135" s="561">
        <v>0</v>
      </c>
      <c r="LK135" s="561">
        <v>0</v>
      </c>
      <c r="LL135" s="561">
        <v>12070</v>
      </c>
      <c r="LM135" s="561">
        <v>4684</v>
      </c>
      <c r="LN135" s="561">
        <v>0</v>
      </c>
      <c r="LO135" s="561">
        <v>0</v>
      </c>
      <c r="LP135" s="561">
        <v>0</v>
      </c>
      <c r="LQ135" s="561">
        <v>0</v>
      </c>
      <c r="LR135" s="561">
        <v>15659</v>
      </c>
      <c r="LS135" s="561">
        <v>4896</v>
      </c>
      <c r="LT135" s="561">
        <v>0</v>
      </c>
      <c r="LU135" s="561">
        <v>5713</v>
      </c>
      <c r="LV135" s="561">
        <v>0</v>
      </c>
      <c r="LW135" s="561">
        <v>0</v>
      </c>
      <c r="LX135" s="561">
        <v>-9376</v>
      </c>
      <c r="LY135" s="561">
        <v>1397</v>
      </c>
      <c r="LZ135" s="561">
        <v>-2266</v>
      </c>
      <c r="MA135" s="561">
        <v>0</v>
      </c>
      <c r="MB135" s="561">
        <v>0</v>
      </c>
      <c r="MC135" s="561">
        <v>20681</v>
      </c>
      <c r="MD135" s="561">
        <v>17157</v>
      </c>
      <c r="ME135" s="561">
        <v>3524</v>
      </c>
      <c r="MF135" s="561">
        <v>3364</v>
      </c>
      <c r="MG135" s="561">
        <v>6888</v>
      </c>
      <c r="MH135" s="561">
        <v>4967</v>
      </c>
      <c r="MI135" s="561">
        <v>5416</v>
      </c>
      <c r="MJ135" s="561">
        <v>10383</v>
      </c>
      <c r="MK135" s="561">
        <v>0</v>
      </c>
      <c r="ML135" s="561">
        <v>1896</v>
      </c>
      <c r="MM135" s="561">
        <v>3658</v>
      </c>
      <c r="MN135" s="561">
        <v>2983</v>
      </c>
      <c r="MO135" s="561">
        <v>7122</v>
      </c>
      <c r="MP135" s="561">
        <v>0</v>
      </c>
      <c r="MQ135" s="561">
        <v>0</v>
      </c>
      <c r="MR135" s="561">
        <v>-1437</v>
      </c>
      <c r="MS135" s="561">
        <v>0</v>
      </c>
      <c r="MT135" s="561">
        <v>0</v>
      </c>
      <c r="MU135" s="561">
        <v>0</v>
      </c>
      <c r="MV135" s="561">
        <v>3569</v>
      </c>
      <c r="MW135" s="561">
        <v>3395</v>
      </c>
      <c r="MX135" s="561">
        <v>6169</v>
      </c>
      <c r="MY135" s="561">
        <v>3752</v>
      </c>
      <c r="MZ135" s="561">
        <v>0</v>
      </c>
      <c r="NA135" s="561">
        <v>0</v>
      </c>
      <c r="NB135" s="561">
        <v>2763</v>
      </c>
      <c r="NC135" s="561">
        <v>0</v>
      </c>
      <c r="ND135" s="561">
        <v>18211</v>
      </c>
      <c r="NE135" s="561">
        <v>0</v>
      </c>
      <c r="NF135" s="561">
        <v>0</v>
      </c>
      <c r="NG135" s="561">
        <v>0</v>
      </c>
      <c r="NH135" s="561">
        <v>0</v>
      </c>
      <c r="NI135" s="561">
        <v>0</v>
      </c>
      <c r="NJ135" s="561">
        <v>0</v>
      </c>
      <c r="NK135" s="561">
        <v>0</v>
      </c>
      <c r="NL135" s="561">
        <v>0</v>
      </c>
      <c r="NM135" s="561">
        <v>0</v>
      </c>
      <c r="NN135" s="561">
        <v>0</v>
      </c>
      <c r="NO135" s="561">
        <v>0</v>
      </c>
      <c r="NP135" s="561">
        <v>0</v>
      </c>
      <c r="NQ135" s="561">
        <v>0</v>
      </c>
      <c r="NR135" s="561">
        <v>0</v>
      </c>
      <c r="NS135" s="561">
        <v>0</v>
      </c>
      <c r="NT135" s="561">
        <v>0</v>
      </c>
      <c r="NU135" s="561">
        <v>0</v>
      </c>
      <c r="NV135" s="561">
        <v>0</v>
      </c>
      <c r="NW135" s="561">
        <v>0</v>
      </c>
      <c r="NX135" s="561">
        <v>0</v>
      </c>
      <c r="NY135" s="561">
        <v>0</v>
      </c>
      <c r="NZ135" s="561">
        <v>0</v>
      </c>
      <c r="OA135" s="561">
        <v>0</v>
      </c>
      <c r="OB135" s="561">
        <v>0</v>
      </c>
      <c r="OC135" s="561">
        <v>0</v>
      </c>
      <c r="OD135" s="561">
        <v>0</v>
      </c>
      <c r="OE135" s="561">
        <v>0</v>
      </c>
      <c r="OF135" s="561">
        <v>0</v>
      </c>
      <c r="OG135" s="561">
        <v>0</v>
      </c>
      <c r="OH135" s="561">
        <v>0</v>
      </c>
      <c r="OI135" s="561">
        <v>0</v>
      </c>
      <c r="OJ135" s="561">
        <v>0</v>
      </c>
      <c r="OK135" s="561">
        <v>0</v>
      </c>
      <c r="OL135" s="561">
        <v>0</v>
      </c>
      <c r="OM135" s="561">
        <v>0</v>
      </c>
      <c r="ON135" s="561">
        <v>0</v>
      </c>
      <c r="OO135" s="561">
        <v>0</v>
      </c>
      <c r="OP135" s="561">
        <v>0</v>
      </c>
      <c r="OQ135" s="561">
        <v>0</v>
      </c>
      <c r="OR135" s="561">
        <v>0</v>
      </c>
      <c r="OS135" s="561">
        <v>0</v>
      </c>
      <c r="OT135" s="561">
        <v>0</v>
      </c>
      <c r="OU135" s="561">
        <v>0</v>
      </c>
      <c r="OV135" s="561">
        <v>0</v>
      </c>
      <c r="OW135" s="561">
        <v>0</v>
      </c>
      <c r="OX135" s="561">
        <v>0</v>
      </c>
      <c r="OY135" s="561">
        <v>0</v>
      </c>
      <c r="OZ135" s="561">
        <v>0</v>
      </c>
      <c r="PA135" s="561">
        <v>0</v>
      </c>
      <c r="PB135" s="561">
        <v>0</v>
      </c>
      <c r="PC135" s="561">
        <v>0</v>
      </c>
      <c r="PD135" s="561">
        <v>0</v>
      </c>
      <c r="PE135" s="561">
        <v>0</v>
      </c>
      <c r="PF135" s="561">
        <v>0</v>
      </c>
      <c r="PG135" s="561">
        <v>0</v>
      </c>
      <c r="PH135" s="561">
        <v>0</v>
      </c>
      <c r="PI135" s="561">
        <v>0</v>
      </c>
      <c r="PJ135" s="561">
        <v>0</v>
      </c>
    </row>
    <row r="136" spans="1:426" ht="14" x14ac:dyDescent="0.3">
      <c r="A136" t="s">
        <v>2840</v>
      </c>
      <c r="B136" t="s">
        <v>2841</v>
      </c>
      <c r="C136" t="s">
        <v>2842</v>
      </c>
      <c r="E136" t="s">
        <v>384</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42</v>
      </c>
      <c r="AC136" s="561">
        <v>0</v>
      </c>
      <c r="AD136" s="561">
        <v>0</v>
      </c>
      <c r="AE136" s="561">
        <v>0</v>
      </c>
      <c r="AF136" s="561">
        <v>0</v>
      </c>
      <c r="AG136" s="561">
        <v>0</v>
      </c>
      <c r="AH136" s="561">
        <v>0</v>
      </c>
      <c r="AI136" s="561">
        <v>0</v>
      </c>
      <c r="AJ136" s="561">
        <v>42</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561">
        <v>0</v>
      </c>
      <c r="BG136" s="561">
        <v>0</v>
      </c>
      <c r="BH136" s="561">
        <v>0</v>
      </c>
      <c r="BI136" s="561">
        <v>0</v>
      </c>
      <c r="BJ136" s="561">
        <v>0</v>
      </c>
      <c r="BK136" s="561">
        <v>0</v>
      </c>
      <c r="BL136" s="561">
        <v>0</v>
      </c>
      <c r="BM136" s="561">
        <v>0</v>
      </c>
      <c r="BN136" s="561">
        <v>0</v>
      </c>
      <c r="BO136" s="561">
        <v>0</v>
      </c>
      <c r="BP136" s="561">
        <v>0</v>
      </c>
      <c r="BQ136" s="561">
        <v>0</v>
      </c>
      <c r="BR136" s="561">
        <v>0</v>
      </c>
      <c r="BS136" s="561">
        <v>0</v>
      </c>
      <c r="BT136" s="561">
        <v>0</v>
      </c>
      <c r="BU136" s="561">
        <v>0</v>
      </c>
      <c r="BV136" s="561">
        <v>0</v>
      </c>
      <c r="BW136" s="561">
        <v>0</v>
      </c>
      <c r="BX136" s="561">
        <v>0</v>
      </c>
      <c r="BY136" s="561">
        <v>0</v>
      </c>
      <c r="BZ136" s="561">
        <v>0</v>
      </c>
      <c r="CA136" s="561">
        <v>0</v>
      </c>
      <c r="CB136" s="561">
        <v>0</v>
      </c>
      <c r="CC136" s="561">
        <v>0</v>
      </c>
      <c r="CD136" s="561">
        <v>0</v>
      </c>
      <c r="CE136" s="561">
        <v>0</v>
      </c>
      <c r="CF136" s="561">
        <v>0</v>
      </c>
      <c r="CG136" s="561">
        <v>0</v>
      </c>
      <c r="CH136" s="561">
        <v>0</v>
      </c>
      <c r="CI136" s="561">
        <v>0</v>
      </c>
      <c r="CJ136" s="561">
        <v>0</v>
      </c>
      <c r="CK136" s="561">
        <v>0</v>
      </c>
      <c r="CL136" s="561">
        <v>0</v>
      </c>
      <c r="CM136" s="561">
        <v>0</v>
      </c>
      <c r="CN136" s="561">
        <v>0</v>
      </c>
      <c r="CO136" s="561">
        <v>0</v>
      </c>
      <c r="CP136" s="561">
        <v>0</v>
      </c>
      <c r="CQ136" s="561">
        <v>0</v>
      </c>
      <c r="CR136" s="561">
        <v>0</v>
      </c>
      <c r="CS136" s="561">
        <v>0</v>
      </c>
      <c r="CT136" s="561">
        <v>0</v>
      </c>
      <c r="CU136" s="561">
        <v>0</v>
      </c>
      <c r="CV136" s="561">
        <v>0</v>
      </c>
      <c r="CW136" s="561">
        <v>0</v>
      </c>
      <c r="CX136" s="561">
        <v>0</v>
      </c>
      <c r="CY136" s="561">
        <v>0</v>
      </c>
      <c r="CZ136" s="561">
        <v>0</v>
      </c>
      <c r="DA136" s="561">
        <v>0</v>
      </c>
      <c r="DB136" s="561">
        <v>0</v>
      </c>
      <c r="DC136" s="561">
        <v>0</v>
      </c>
      <c r="DD136" s="561">
        <v>0</v>
      </c>
      <c r="DE136" s="561">
        <v>0</v>
      </c>
      <c r="DF136" s="561">
        <v>0</v>
      </c>
      <c r="DG136" s="561">
        <v>0</v>
      </c>
      <c r="DH136" s="561">
        <v>154</v>
      </c>
      <c r="DI136" s="561">
        <v>0</v>
      </c>
      <c r="DJ136" s="561">
        <v>0</v>
      </c>
      <c r="DK136" s="561">
        <v>0</v>
      </c>
      <c r="DL136" s="561">
        <v>0</v>
      </c>
      <c r="DM136" s="561">
        <v>0</v>
      </c>
      <c r="DN136" s="561">
        <v>0</v>
      </c>
      <c r="DO136" s="561">
        <v>1418</v>
      </c>
      <c r="DP136" s="561">
        <v>0</v>
      </c>
      <c r="DQ136" s="561">
        <v>0</v>
      </c>
      <c r="DR136" s="561">
        <v>0</v>
      </c>
      <c r="DS136" s="561">
        <v>0</v>
      </c>
      <c r="DT136" s="561">
        <v>0</v>
      </c>
      <c r="DU136" s="561">
        <v>1418</v>
      </c>
      <c r="DV136" s="561">
        <v>0</v>
      </c>
      <c r="DW136" s="561">
        <v>0</v>
      </c>
      <c r="DX136" s="561">
        <v>0</v>
      </c>
      <c r="DY136" s="561">
        <v>0</v>
      </c>
      <c r="DZ136" s="561">
        <v>0</v>
      </c>
      <c r="EA136" s="561">
        <v>-17</v>
      </c>
      <c r="EB136" s="561">
        <v>0</v>
      </c>
      <c r="EC136" s="561">
        <v>1555</v>
      </c>
      <c r="ED136" s="561">
        <v>45</v>
      </c>
      <c r="EE136" s="561">
        <v>0</v>
      </c>
      <c r="EF136" s="561">
        <v>0</v>
      </c>
      <c r="EG136" s="561">
        <v>0</v>
      </c>
      <c r="EH136" s="561">
        <v>0</v>
      </c>
      <c r="EI136" s="561">
        <v>0</v>
      </c>
      <c r="EJ136" s="561">
        <v>0</v>
      </c>
      <c r="EK136" s="561">
        <v>0</v>
      </c>
      <c r="EL136" s="561">
        <v>0</v>
      </c>
      <c r="EM136" s="561">
        <v>0</v>
      </c>
      <c r="EN136" s="561">
        <v>0</v>
      </c>
      <c r="EO136" s="561">
        <v>0</v>
      </c>
      <c r="EP136" s="561">
        <v>0</v>
      </c>
      <c r="EQ136" s="561">
        <v>0</v>
      </c>
      <c r="ER136" s="561">
        <v>0</v>
      </c>
      <c r="ES136" s="561" t="s">
        <v>4565</v>
      </c>
      <c r="ET136" s="561">
        <v>0</v>
      </c>
      <c r="EU136" s="561">
        <v>0</v>
      </c>
      <c r="EV136" s="561">
        <v>0</v>
      </c>
      <c r="EW136" s="561">
        <v>0</v>
      </c>
      <c r="EX136" s="561">
        <v>0</v>
      </c>
      <c r="EY136" s="561">
        <v>0</v>
      </c>
      <c r="EZ136" s="561">
        <v>0</v>
      </c>
      <c r="FA136" s="561">
        <v>0</v>
      </c>
      <c r="FB136" s="561">
        <v>0</v>
      </c>
      <c r="FC136" s="561">
        <v>0</v>
      </c>
      <c r="FD136" s="561">
        <v>0</v>
      </c>
      <c r="FE136" s="561">
        <v>0</v>
      </c>
      <c r="FF136" s="561">
        <v>0</v>
      </c>
      <c r="FG136" s="561">
        <v>0</v>
      </c>
      <c r="FH136" s="561">
        <v>0</v>
      </c>
      <c r="FI136" s="561">
        <v>281</v>
      </c>
      <c r="FJ136" s="561">
        <v>39</v>
      </c>
      <c r="FK136" s="561">
        <v>113</v>
      </c>
      <c r="FL136" s="561">
        <v>0</v>
      </c>
      <c r="FM136" s="561">
        <v>41</v>
      </c>
      <c r="FN136" s="561">
        <v>0</v>
      </c>
      <c r="FO136" s="561">
        <v>474</v>
      </c>
      <c r="FP136" s="561">
        <v>0</v>
      </c>
      <c r="FQ136" s="561">
        <v>142</v>
      </c>
      <c r="FR136" s="561">
        <v>0</v>
      </c>
      <c r="FS136" s="561">
        <v>0</v>
      </c>
      <c r="FT136" s="561">
        <v>144</v>
      </c>
      <c r="FU136" s="561">
        <v>253</v>
      </c>
      <c r="FV136" s="561">
        <v>0</v>
      </c>
      <c r="FW136" s="561">
        <v>0</v>
      </c>
      <c r="FX136" s="561">
        <v>0</v>
      </c>
      <c r="FY136" s="561">
        <v>0</v>
      </c>
      <c r="FZ136" s="561">
        <v>0</v>
      </c>
      <c r="GA136" s="561">
        <v>223</v>
      </c>
      <c r="GB136" s="561">
        <v>0</v>
      </c>
      <c r="GC136" s="561">
        <v>18</v>
      </c>
      <c r="GD136" s="561">
        <v>515</v>
      </c>
      <c r="GE136" s="561">
        <v>0</v>
      </c>
      <c r="GF136" s="561">
        <v>0</v>
      </c>
      <c r="GG136" s="561">
        <v>111</v>
      </c>
      <c r="GH136" s="561">
        <v>0</v>
      </c>
      <c r="GI136" s="561">
        <v>0</v>
      </c>
      <c r="GJ136" s="561">
        <v>0</v>
      </c>
      <c r="GK136" s="561">
        <v>0</v>
      </c>
      <c r="GL136" s="561">
        <v>733</v>
      </c>
      <c r="GM136" s="561">
        <v>1687</v>
      </c>
      <c r="GN136" s="561">
        <v>0</v>
      </c>
      <c r="GO136" s="561">
        <v>0</v>
      </c>
      <c r="GP136" s="561">
        <v>1445</v>
      </c>
      <c r="GQ136" s="561">
        <v>0</v>
      </c>
      <c r="GR136" s="561">
        <v>37</v>
      </c>
      <c r="GS136" s="561">
        <v>5308</v>
      </c>
      <c r="GT136" s="561">
        <v>75</v>
      </c>
      <c r="GU136" s="561">
        <v>248</v>
      </c>
      <c r="GV136" s="561">
        <v>1525</v>
      </c>
      <c r="GW136" s="561">
        <v>31</v>
      </c>
      <c r="GX136" s="561">
        <v>241</v>
      </c>
      <c r="GY136" s="561">
        <v>154</v>
      </c>
      <c r="GZ136" s="561">
        <v>960</v>
      </c>
      <c r="HA136" s="561">
        <v>0</v>
      </c>
      <c r="HB136" s="561">
        <v>0</v>
      </c>
      <c r="HC136" s="561">
        <v>204</v>
      </c>
      <c r="HD136" s="561">
        <v>3363</v>
      </c>
      <c r="HE136" s="561">
        <v>176</v>
      </c>
      <c r="HF136" s="561">
        <v>9145</v>
      </c>
      <c r="HG136" s="561">
        <v>0</v>
      </c>
      <c r="HH136" s="561">
        <v>0</v>
      </c>
      <c r="HI136" s="561">
        <v>0</v>
      </c>
      <c r="HJ136" s="561">
        <v>0</v>
      </c>
      <c r="HK136" s="561">
        <v>0</v>
      </c>
      <c r="HL136" s="561">
        <v>0</v>
      </c>
      <c r="HM136" s="561">
        <v>0</v>
      </c>
      <c r="HN136" s="561">
        <v>0</v>
      </c>
      <c r="HO136" s="561">
        <v>2780</v>
      </c>
      <c r="HP136" s="561">
        <v>130</v>
      </c>
      <c r="HQ136" s="561">
        <v>0</v>
      </c>
      <c r="HR136" s="561">
        <v>0</v>
      </c>
      <c r="HS136" s="561">
        <v>0</v>
      </c>
      <c r="HT136" s="561">
        <v>0</v>
      </c>
      <c r="HU136" s="561">
        <v>0</v>
      </c>
      <c r="HV136" s="561">
        <v>0</v>
      </c>
      <c r="HW136" s="561">
        <v>276</v>
      </c>
      <c r="HX136" s="561">
        <v>121</v>
      </c>
      <c r="HY136" s="561">
        <v>22</v>
      </c>
      <c r="HZ136" s="561">
        <v>-42</v>
      </c>
      <c r="IA136" s="561">
        <v>0</v>
      </c>
      <c r="IB136" s="561">
        <v>0</v>
      </c>
      <c r="IC136" s="561">
        <v>0</v>
      </c>
      <c r="ID136" s="561">
        <v>0</v>
      </c>
      <c r="IE136" s="561">
        <v>1791</v>
      </c>
      <c r="IF136" s="561">
        <v>0</v>
      </c>
      <c r="IG136" s="561">
        <v>0</v>
      </c>
      <c r="IH136" s="561">
        <v>0</v>
      </c>
      <c r="II136" s="561">
        <v>5078</v>
      </c>
      <c r="IJ136" s="561">
        <v>102</v>
      </c>
      <c r="IK136" s="561">
        <v>0</v>
      </c>
      <c r="IL136" s="561">
        <v>0</v>
      </c>
      <c r="IM136" s="561">
        <v>0</v>
      </c>
      <c r="IN136" s="561">
        <v>0</v>
      </c>
      <c r="IO136" s="561">
        <v>0</v>
      </c>
      <c r="IP136" s="561">
        <v>0</v>
      </c>
      <c r="IQ136" s="561">
        <v>0</v>
      </c>
      <c r="IR136" s="561">
        <v>0</v>
      </c>
      <c r="IS136" s="561">
        <v>42</v>
      </c>
      <c r="IT136" s="561">
        <v>0</v>
      </c>
      <c r="IU136" s="561">
        <v>0</v>
      </c>
      <c r="IV136" s="561">
        <v>0</v>
      </c>
      <c r="IW136" s="561">
        <v>1555</v>
      </c>
      <c r="IX136" s="561">
        <v>474</v>
      </c>
      <c r="IY136" s="561">
        <v>5308</v>
      </c>
      <c r="IZ136" s="561">
        <v>3363</v>
      </c>
      <c r="JA136" s="561">
        <v>0</v>
      </c>
      <c r="JB136" s="561">
        <v>0</v>
      </c>
      <c r="JC136" s="561">
        <v>5078</v>
      </c>
      <c r="JD136" s="561">
        <v>0</v>
      </c>
      <c r="JE136" s="561">
        <v>15820</v>
      </c>
      <c r="JF136" s="561">
        <v>14762</v>
      </c>
      <c r="JG136" s="561">
        <v>0</v>
      </c>
      <c r="JH136" s="561">
        <v>0</v>
      </c>
      <c r="JI136" s="561">
        <v>0</v>
      </c>
      <c r="JJ136" s="561">
        <v>0</v>
      </c>
      <c r="JK136" s="561">
        <v>3329</v>
      </c>
      <c r="JL136" s="561">
        <v>0</v>
      </c>
      <c r="JM136" s="561">
        <v>0</v>
      </c>
      <c r="JN136" s="561">
        <v>0</v>
      </c>
      <c r="JO136" s="561">
        <v>56</v>
      </c>
      <c r="JP136" s="561">
        <v>0</v>
      </c>
      <c r="JQ136" s="561">
        <v>0</v>
      </c>
      <c r="JR136" s="561">
        <v>0</v>
      </c>
      <c r="JS136" s="561">
        <v>0</v>
      </c>
      <c r="JT136" s="561">
        <v>0</v>
      </c>
      <c r="JU136" s="561">
        <v>0</v>
      </c>
      <c r="JV136" s="561">
        <v>33967</v>
      </c>
      <c r="JW136" s="561">
        <v>0</v>
      </c>
      <c r="JX136" s="561">
        <v>372</v>
      </c>
      <c r="JY136" s="561">
        <v>0</v>
      </c>
      <c r="JZ136" s="561">
        <v>0</v>
      </c>
      <c r="KA136" s="561">
        <v>0</v>
      </c>
      <c r="KB136" s="561">
        <v>81</v>
      </c>
      <c r="KC136" s="561">
        <v>57</v>
      </c>
      <c r="KD136" s="561">
        <v>0</v>
      </c>
      <c r="KE136" s="561">
        <v>2</v>
      </c>
      <c r="KF136" s="561">
        <v>0</v>
      </c>
      <c r="KG136" s="561">
        <v>34479</v>
      </c>
      <c r="KH136" s="561">
        <v>-1765</v>
      </c>
      <c r="KI136" s="561">
        <v>0</v>
      </c>
      <c r="KJ136" s="561">
        <v>0</v>
      </c>
      <c r="KK136" s="561">
        <v>0</v>
      </c>
      <c r="KL136" s="561">
        <v>-14498</v>
      </c>
      <c r="KM136" s="561">
        <v>0</v>
      </c>
      <c r="KN136" s="561">
        <v>0</v>
      </c>
      <c r="KO136" s="561">
        <v>0</v>
      </c>
      <c r="KP136" s="561">
        <v>0</v>
      </c>
      <c r="KQ136" s="561">
        <v>0</v>
      </c>
      <c r="KR136" s="561">
        <v>18216</v>
      </c>
      <c r="KS136" s="561">
        <v>0</v>
      </c>
      <c r="KT136" s="561">
        <v>-5541</v>
      </c>
      <c r="KU136" s="561">
        <v>12675</v>
      </c>
      <c r="KV136" s="561">
        <v>0</v>
      </c>
      <c r="KW136" s="561">
        <v>0</v>
      </c>
      <c r="KX136" s="561">
        <v>0</v>
      </c>
      <c r="KY136" s="561">
        <v>0</v>
      </c>
      <c r="KZ136" s="561">
        <v>-582</v>
      </c>
      <c r="LA136" s="561">
        <v>0</v>
      </c>
      <c r="LB136" s="561">
        <v>-191</v>
      </c>
      <c r="LC136" s="561">
        <v>0</v>
      </c>
      <c r="LD136" s="561">
        <v>-1978</v>
      </c>
      <c r="LE136" s="561">
        <v>-180</v>
      </c>
      <c r="LF136" s="561">
        <v>0</v>
      </c>
      <c r="LG136" s="561">
        <v>9744</v>
      </c>
      <c r="LH136" s="561">
        <v>0</v>
      </c>
      <c r="LI136" s="561">
        <v>0</v>
      </c>
      <c r="LJ136" s="561">
        <v>0</v>
      </c>
      <c r="LK136" s="561">
        <v>0</v>
      </c>
      <c r="LL136" s="561">
        <v>13076</v>
      </c>
      <c r="LM136" s="561">
        <v>1015</v>
      </c>
      <c r="LN136" s="561">
        <v>0</v>
      </c>
      <c r="LO136" s="561">
        <v>0</v>
      </c>
      <c r="LP136" s="561">
        <v>0</v>
      </c>
      <c r="LQ136" s="561">
        <v>0</v>
      </c>
      <c r="LR136" s="561">
        <v>12494</v>
      </c>
      <c r="LS136" s="561">
        <v>1015</v>
      </c>
      <c r="LT136" s="561">
        <v>0</v>
      </c>
      <c r="LU136" s="561">
        <v>365</v>
      </c>
      <c r="LV136" s="561">
        <v>0</v>
      </c>
      <c r="LW136" s="561">
        <v>0</v>
      </c>
      <c r="LX136" s="561">
        <v>-3053</v>
      </c>
      <c r="LY136" s="561">
        <v>2225</v>
      </c>
      <c r="LZ136" s="561">
        <v>-864</v>
      </c>
      <c r="MA136" s="561">
        <v>0</v>
      </c>
      <c r="MB136" s="561">
        <v>0</v>
      </c>
      <c r="MC136" s="561">
        <v>0</v>
      </c>
      <c r="MD136" s="561">
        <v>0</v>
      </c>
      <c r="ME136" s="561">
        <v>0</v>
      </c>
      <c r="MF136" s="561">
        <v>0</v>
      </c>
      <c r="MG136" s="561">
        <v>0</v>
      </c>
      <c r="MH136" s="561">
        <v>2650</v>
      </c>
      <c r="MI136" s="561">
        <v>3004</v>
      </c>
      <c r="MJ136" s="561">
        <v>5654</v>
      </c>
      <c r="MK136" s="561">
        <v>0</v>
      </c>
      <c r="ML136" s="561">
        <v>0</v>
      </c>
      <c r="MM136" s="561">
        <v>6899</v>
      </c>
      <c r="MN136" s="561">
        <v>0</v>
      </c>
      <c r="MO136" s="561">
        <v>3192</v>
      </c>
      <c r="MP136" s="561">
        <v>2403</v>
      </c>
      <c r="MQ136" s="561">
        <v>0</v>
      </c>
      <c r="MR136" s="561">
        <v>42</v>
      </c>
      <c r="MS136" s="561">
        <v>0</v>
      </c>
      <c r="MT136" s="561">
        <v>0</v>
      </c>
      <c r="MU136" s="561">
        <v>0</v>
      </c>
      <c r="MV136" s="561">
        <v>1555</v>
      </c>
      <c r="MW136" s="561">
        <v>474</v>
      </c>
      <c r="MX136" s="561">
        <v>5308</v>
      </c>
      <c r="MY136" s="561">
        <v>3363</v>
      </c>
      <c r="MZ136" s="561">
        <v>0</v>
      </c>
      <c r="NA136" s="561">
        <v>0</v>
      </c>
      <c r="NB136" s="561">
        <v>5078</v>
      </c>
      <c r="NC136" s="561">
        <v>0</v>
      </c>
      <c r="ND136" s="561">
        <v>15820</v>
      </c>
      <c r="NE136" s="561">
        <v>0</v>
      </c>
      <c r="NF136" s="561">
        <v>0</v>
      </c>
      <c r="NG136" s="561">
        <v>0</v>
      </c>
      <c r="NH136" s="561">
        <v>0</v>
      </c>
      <c r="NI136" s="561">
        <v>0</v>
      </c>
      <c r="NJ136" s="561">
        <v>0</v>
      </c>
      <c r="NK136" s="561">
        <v>0</v>
      </c>
      <c r="NL136" s="561">
        <v>0</v>
      </c>
      <c r="NM136" s="561">
        <v>0</v>
      </c>
      <c r="NN136" s="561">
        <v>0</v>
      </c>
      <c r="NO136" s="561">
        <v>0</v>
      </c>
      <c r="NP136" s="561">
        <v>0</v>
      </c>
      <c r="NQ136" s="561">
        <v>0</v>
      </c>
      <c r="NR136" s="561">
        <v>0</v>
      </c>
      <c r="NS136" s="561">
        <v>0</v>
      </c>
      <c r="NT136" s="561">
        <v>0</v>
      </c>
      <c r="NU136" s="561">
        <v>-602</v>
      </c>
      <c r="NV136" s="561">
        <v>0</v>
      </c>
      <c r="NW136" s="561">
        <v>0</v>
      </c>
      <c r="NX136" s="561">
        <v>0</v>
      </c>
      <c r="NY136" s="561">
        <v>0</v>
      </c>
      <c r="NZ136" s="561">
        <v>0</v>
      </c>
      <c r="OA136" s="561">
        <v>0</v>
      </c>
      <c r="OB136" s="561">
        <v>0</v>
      </c>
      <c r="OC136" s="561">
        <v>0</v>
      </c>
      <c r="OD136" s="561">
        <v>0</v>
      </c>
      <c r="OE136" s="561">
        <v>0</v>
      </c>
      <c r="OF136" s="561">
        <v>0</v>
      </c>
      <c r="OG136" s="561">
        <v>0</v>
      </c>
      <c r="OH136" s="561">
        <v>0</v>
      </c>
      <c r="OI136" s="561">
        <v>0</v>
      </c>
      <c r="OJ136" s="561">
        <v>0</v>
      </c>
      <c r="OK136" s="561">
        <v>0</v>
      </c>
      <c r="OL136" s="561">
        <v>0</v>
      </c>
      <c r="OM136" s="561">
        <v>0</v>
      </c>
      <c r="ON136" s="561">
        <v>0</v>
      </c>
      <c r="OO136" s="561">
        <v>0</v>
      </c>
      <c r="OP136" s="561">
        <v>0</v>
      </c>
      <c r="OQ136" s="561">
        <v>0</v>
      </c>
      <c r="OR136" s="561">
        <v>0</v>
      </c>
      <c r="OS136" s="561">
        <v>0</v>
      </c>
      <c r="OT136" s="561">
        <v>0</v>
      </c>
      <c r="OU136" s="561">
        <v>0</v>
      </c>
      <c r="OV136" s="561">
        <v>0</v>
      </c>
      <c r="OW136" s="561">
        <v>0</v>
      </c>
      <c r="OX136" s="561">
        <v>0</v>
      </c>
      <c r="OY136" s="561">
        <v>0</v>
      </c>
      <c r="OZ136" s="561">
        <v>0</v>
      </c>
      <c r="PA136" s="561">
        <v>0</v>
      </c>
      <c r="PB136" s="561">
        <v>0</v>
      </c>
      <c r="PC136" s="561">
        <v>0</v>
      </c>
      <c r="PD136" s="561">
        <v>0</v>
      </c>
      <c r="PE136" s="561">
        <v>0</v>
      </c>
      <c r="PF136" s="561">
        <v>0</v>
      </c>
      <c r="PG136" s="561">
        <v>0</v>
      </c>
      <c r="PH136" s="561">
        <v>0</v>
      </c>
      <c r="PI136" s="561">
        <v>0</v>
      </c>
      <c r="PJ136" s="561">
        <v>0</v>
      </c>
    </row>
    <row r="137" spans="1:426" ht="14" x14ac:dyDescent="0.3">
      <c r="A137" t="s">
        <v>2843</v>
      </c>
      <c r="B137" t="s">
        <v>2844</v>
      </c>
      <c r="C137" t="s">
        <v>2845</v>
      </c>
      <c r="E137" t="s">
        <v>384</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61">
        <v>98</v>
      </c>
      <c r="U137" s="561">
        <v>0</v>
      </c>
      <c r="V137" s="561">
        <v>80</v>
      </c>
      <c r="W137" s="561">
        <v>0</v>
      </c>
      <c r="X137" s="561">
        <v>0</v>
      </c>
      <c r="Y137" s="561">
        <v>0</v>
      </c>
      <c r="Z137" s="561">
        <v>0</v>
      </c>
      <c r="AA137" s="561">
        <v>0</v>
      </c>
      <c r="AB137" s="561">
        <v>-483</v>
      </c>
      <c r="AC137" s="561">
        <v>0</v>
      </c>
      <c r="AD137" s="561">
        <v>0</v>
      </c>
      <c r="AE137" s="561">
        <v>0</v>
      </c>
      <c r="AF137" s="561">
        <v>0</v>
      </c>
      <c r="AG137" s="561">
        <v>0</v>
      </c>
      <c r="AH137" s="561">
        <v>-27</v>
      </c>
      <c r="AI137" s="561">
        <v>0</v>
      </c>
      <c r="AJ137" s="561">
        <v>-332</v>
      </c>
      <c r="AK137" s="561">
        <v>0</v>
      </c>
      <c r="AL137" s="561">
        <v>0</v>
      </c>
      <c r="AM137" s="561">
        <v>0</v>
      </c>
      <c r="AN137" s="561">
        <v>0</v>
      </c>
      <c r="AO137" s="561">
        <v>0</v>
      </c>
      <c r="AP137" s="561">
        <v>0</v>
      </c>
      <c r="AQ137" s="561">
        <v>0</v>
      </c>
      <c r="AR137" s="561">
        <v>0</v>
      </c>
      <c r="AS137" s="561">
        <v>0</v>
      </c>
      <c r="AT137" s="561">
        <v>0</v>
      </c>
      <c r="AU137" s="561">
        <v>0</v>
      </c>
      <c r="AV137" s="561">
        <v>0</v>
      </c>
      <c r="AW137" s="561">
        <v>0</v>
      </c>
      <c r="AX137" s="561">
        <v>0</v>
      </c>
      <c r="AY137" s="561">
        <v>0</v>
      </c>
      <c r="AZ137" s="561">
        <v>0</v>
      </c>
      <c r="BA137" s="561">
        <v>0</v>
      </c>
      <c r="BB137" s="561">
        <v>0</v>
      </c>
      <c r="BC137" s="561">
        <v>0</v>
      </c>
      <c r="BD137" s="561">
        <v>0</v>
      </c>
      <c r="BE137" s="561">
        <v>0</v>
      </c>
      <c r="BF137" s="561">
        <v>0</v>
      </c>
      <c r="BG137" s="561">
        <v>0</v>
      </c>
      <c r="BH137" s="561">
        <v>0</v>
      </c>
      <c r="BI137" s="561">
        <v>0</v>
      </c>
      <c r="BJ137" s="561">
        <v>0</v>
      </c>
      <c r="BK137" s="561">
        <v>0</v>
      </c>
      <c r="BL137" s="561">
        <v>0</v>
      </c>
      <c r="BM137" s="561">
        <v>0</v>
      </c>
      <c r="BN137" s="561">
        <v>0</v>
      </c>
      <c r="BO137" s="561">
        <v>0</v>
      </c>
      <c r="BP137" s="561">
        <v>0</v>
      </c>
      <c r="BQ137" s="561">
        <v>0</v>
      </c>
      <c r="BR137" s="561">
        <v>0</v>
      </c>
      <c r="BS137" s="561">
        <v>0</v>
      </c>
      <c r="BT137" s="561">
        <v>0</v>
      </c>
      <c r="BU137" s="561">
        <v>0</v>
      </c>
      <c r="BV137" s="561">
        <v>0</v>
      </c>
      <c r="BW137" s="561">
        <v>0</v>
      </c>
      <c r="BX137" s="561">
        <v>0</v>
      </c>
      <c r="BY137" s="561">
        <v>0</v>
      </c>
      <c r="BZ137" s="561">
        <v>0</v>
      </c>
      <c r="CA137" s="561">
        <v>0</v>
      </c>
      <c r="CB137" s="561">
        <v>0</v>
      </c>
      <c r="CC137" s="561">
        <v>0</v>
      </c>
      <c r="CD137" s="561">
        <v>0</v>
      </c>
      <c r="CE137" s="561">
        <v>0</v>
      </c>
      <c r="CF137" s="561">
        <v>0</v>
      </c>
      <c r="CG137" s="561">
        <v>0</v>
      </c>
      <c r="CH137" s="561">
        <v>0</v>
      </c>
      <c r="CI137" s="561">
        <v>0</v>
      </c>
      <c r="CJ137" s="561">
        <v>0</v>
      </c>
      <c r="CK137" s="561">
        <v>0</v>
      </c>
      <c r="CL137" s="561">
        <v>0</v>
      </c>
      <c r="CM137" s="561">
        <v>0</v>
      </c>
      <c r="CN137" s="561">
        <v>0</v>
      </c>
      <c r="CO137" s="561">
        <v>0</v>
      </c>
      <c r="CP137" s="561">
        <v>0</v>
      </c>
      <c r="CQ137" s="561">
        <v>0</v>
      </c>
      <c r="CR137" s="561">
        <v>0</v>
      </c>
      <c r="CS137" s="561">
        <v>0</v>
      </c>
      <c r="CT137" s="561">
        <v>0</v>
      </c>
      <c r="CU137" s="561">
        <v>0</v>
      </c>
      <c r="CV137" s="561">
        <v>0</v>
      </c>
      <c r="CW137" s="561">
        <v>0</v>
      </c>
      <c r="CX137" s="561">
        <v>0</v>
      </c>
      <c r="CY137" s="561">
        <v>0</v>
      </c>
      <c r="CZ137" s="561">
        <v>0</v>
      </c>
      <c r="DA137" s="561">
        <v>0</v>
      </c>
      <c r="DB137" s="561">
        <v>0</v>
      </c>
      <c r="DC137" s="561">
        <v>0</v>
      </c>
      <c r="DD137" s="561">
        <v>0</v>
      </c>
      <c r="DE137" s="561">
        <v>0</v>
      </c>
      <c r="DF137" s="561">
        <v>0</v>
      </c>
      <c r="DG137" s="561">
        <v>0</v>
      </c>
      <c r="DH137" s="561">
        <v>268</v>
      </c>
      <c r="DI137" s="561">
        <v>0</v>
      </c>
      <c r="DJ137" s="561">
        <v>162</v>
      </c>
      <c r="DK137" s="561">
        <v>0</v>
      </c>
      <c r="DL137" s="561">
        <v>0</v>
      </c>
      <c r="DM137" s="561">
        <v>0</v>
      </c>
      <c r="DN137" s="561">
        <v>0</v>
      </c>
      <c r="DO137" s="561">
        <v>0</v>
      </c>
      <c r="DP137" s="561">
        <v>0</v>
      </c>
      <c r="DQ137" s="561">
        <v>0</v>
      </c>
      <c r="DR137" s="561">
        <v>283</v>
      </c>
      <c r="DS137" s="561">
        <v>0</v>
      </c>
      <c r="DT137" s="561">
        <v>0</v>
      </c>
      <c r="DU137" s="561">
        <v>283</v>
      </c>
      <c r="DV137" s="561">
        <v>0</v>
      </c>
      <c r="DW137" s="561">
        <v>0</v>
      </c>
      <c r="DX137" s="561">
        <v>0</v>
      </c>
      <c r="DY137" s="561">
        <v>488</v>
      </c>
      <c r="DZ137" s="561">
        <v>0</v>
      </c>
      <c r="EA137" s="561">
        <v>57</v>
      </c>
      <c r="EB137" s="561">
        <v>0</v>
      </c>
      <c r="EC137" s="561">
        <v>1258</v>
      </c>
      <c r="ED137" s="561">
        <v>0</v>
      </c>
      <c r="EE137" s="561">
        <v>0</v>
      </c>
      <c r="EF137" s="561">
        <v>0</v>
      </c>
      <c r="EG137" s="561">
        <v>0</v>
      </c>
      <c r="EH137" s="561">
        <v>0</v>
      </c>
      <c r="EI137" s="561">
        <v>0</v>
      </c>
      <c r="EJ137" s="561">
        <v>0</v>
      </c>
      <c r="EK137" s="561">
        <v>0</v>
      </c>
      <c r="EL137" s="561">
        <v>0</v>
      </c>
      <c r="EM137" s="561">
        <v>0</v>
      </c>
      <c r="EN137" s="561">
        <v>0</v>
      </c>
      <c r="EO137" s="561">
        <v>0</v>
      </c>
      <c r="EP137" s="561">
        <v>0</v>
      </c>
      <c r="EQ137" s="561">
        <v>0</v>
      </c>
      <c r="ER137" s="561">
        <v>0</v>
      </c>
      <c r="ES137" s="561" t="s">
        <v>4565</v>
      </c>
      <c r="ET137" s="561">
        <v>0</v>
      </c>
      <c r="EU137" s="561">
        <v>0</v>
      </c>
      <c r="EV137" s="561">
        <v>0</v>
      </c>
      <c r="EW137" s="561">
        <v>0</v>
      </c>
      <c r="EX137" s="561">
        <v>0</v>
      </c>
      <c r="EY137" s="561">
        <v>0</v>
      </c>
      <c r="EZ137" s="561">
        <v>0</v>
      </c>
      <c r="FA137" s="561">
        <v>0</v>
      </c>
      <c r="FB137" s="561">
        <v>0</v>
      </c>
      <c r="FC137" s="561">
        <v>116</v>
      </c>
      <c r="FD137" s="561">
        <v>264</v>
      </c>
      <c r="FE137" s="561">
        <v>0</v>
      </c>
      <c r="FF137" s="561">
        <v>43</v>
      </c>
      <c r="FG137" s="561">
        <v>0</v>
      </c>
      <c r="FH137" s="561">
        <v>0</v>
      </c>
      <c r="FI137" s="561">
        <v>84</v>
      </c>
      <c r="FJ137" s="561">
        <v>910</v>
      </c>
      <c r="FK137" s="561">
        <v>1518</v>
      </c>
      <c r="FL137" s="561">
        <v>0</v>
      </c>
      <c r="FM137" s="561">
        <v>217</v>
      </c>
      <c r="FN137" s="561">
        <v>0</v>
      </c>
      <c r="FO137" s="561">
        <v>3152</v>
      </c>
      <c r="FP137" s="561">
        <v>0</v>
      </c>
      <c r="FQ137" s="561">
        <v>-527</v>
      </c>
      <c r="FR137" s="561">
        <v>0</v>
      </c>
      <c r="FS137" s="561">
        <v>30</v>
      </c>
      <c r="FT137" s="561">
        <v>269</v>
      </c>
      <c r="FU137" s="561">
        <v>158</v>
      </c>
      <c r="FV137" s="561">
        <v>0</v>
      </c>
      <c r="FW137" s="561">
        <v>23</v>
      </c>
      <c r="FX137" s="561">
        <v>0</v>
      </c>
      <c r="FY137" s="561">
        <v>0</v>
      </c>
      <c r="FZ137" s="561">
        <v>0</v>
      </c>
      <c r="GA137" s="561">
        <v>258</v>
      </c>
      <c r="GB137" s="561">
        <v>404</v>
      </c>
      <c r="GC137" s="561">
        <v>86</v>
      </c>
      <c r="GD137" s="561">
        <v>0</v>
      </c>
      <c r="GE137" s="561">
        <v>0</v>
      </c>
      <c r="GF137" s="561">
        <v>374</v>
      </c>
      <c r="GG137" s="561">
        <v>0</v>
      </c>
      <c r="GH137" s="561">
        <v>53</v>
      </c>
      <c r="GI137" s="561">
        <v>0</v>
      </c>
      <c r="GJ137" s="561">
        <v>90</v>
      </c>
      <c r="GK137" s="561">
        <v>0</v>
      </c>
      <c r="GL137" s="561">
        <v>1009</v>
      </c>
      <c r="GM137" s="561">
        <v>1820</v>
      </c>
      <c r="GN137" s="561">
        <v>0</v>
      </c>
      <c r="GO137" s="561">
        <v>-79</v>
      </c>
      <c r="GP137" s="561">
        <v>0</v>
      </c>
      <c r="GQ137" s="561">
        <v>0</v>
      </c>
      <c r="GR137" s="561">
        <v>0</v>
      </c>
      <c r="GS137" s="561">
        <v>3968</v>
      </c>
      <c r="GT137" s="561">
        <v>0</v>
      </c>
      <c r="GU137" s="561">
        <v>165</v>
      </c>
      <c r="GV137" s="561">
        <v>687</v>
      </c>
      <c r="GW137" s="561">
        <v>0</v>
      </c>
      <c r="GX137" s="561">
        <v>440</v>
      </c>
      <c r="GY137" s="561">
        <v>0</v>
      </c>
      <c r="GZ137" s="561">
        <v>0</v>
      </c>
      <c r="HA137" s="561">
        <v>0</v>
      </c>
      <c r="HB137" s="561">
        <v>140</v>
      </c>
      <c r="HC137" s="561">
        <v>0</v>
      </c>
      <c r="HD137" s="561">
        <v>1432</v>
      </c>
      <c r="HE137" s="561">
        <v>0</v>
      </c>
      <c r="HF137" s="561">
        <v>8552</v>
      </c>
      <c r="HG137" s="561">
        <v>0</v>
      </c>
      <c r="HH137" s="561">
        <v>0</v>
      </c>
      <c r="HI137" s="561">
        <v>0</v>
      </c>
      <c r="HJ137" s="561">
        <v>0</v>
      </c>
      <c r="HK137" s="561">
        <v>0</v>
      </c>
      <c r="HL137" s="561">
        <v>0</v>
      </c>
      <c r="HM137" s="561">
        <v>0</v>
      </c>
      <c r="HN137" s="561">
        <v>0</v>
      </c>
      <c r="HO137" s="561">
        <v>2767</v>
      </c>
      <c r="HP137" s="561">
        <v>489</v>
      </c>
      <c r="HQ137" s="561">
        <v>0</v>
      </c>
      <c r="HR137" s="561">
        <v>0</v>
      </c>
      <c r="HS137" s="561">
        <v>0</v>
      </c>
      <c r="HT137" s="561">
        <v>159</v>
      </c>
      <c r="HU137" s="561">
        <v>0</v>
      </c>
      <c r="HV137" s="561">
        <v>0</v>
      </c>
      <c r="HW137" s="561">
        <v>206</v>
      </c>
      <c r="HX137" s="561">
        <v>140</v>
      </c>
      <c r="HY137" s="561">
        <v>30</v>
      </c>
      <c r="HZ137" s="561">
        <v>38</v>
      </c>
      <c r="IA137" s="561">
        <v>0</v>
      </c>
      <c r="IB137" s="561">
        <v>152</v>
      </c>
      <c r="IC137" s="561">
        <v>0</v>
      </c>
      <c r="ID137" s="561">
        <v>0</v>
      </c>
      <c r="IE137" s="561">
        <v>131</v>
      </c>
      <c r="IF137" s="561">
        <v>0</v>
      </c>
      <c r="IG137" s="561">
        <v>0</v>
      </c>
      <c r="IH137" s="561">
        <v>-1730</v>
      </c>
      <c r="II137" s="561">
        <v>2382</v>
      </c>
      <c r="IJ137" s="561">
        <v>0</v>
      </c>
      <c r="IK137" s="561">
        <v>6706</v>
      </c>
      <c r="IL137" s="561">
        <v>5965</v>
      </c>
      <c r="IM137" s="561">
        <v>0</v>
      </c>
      <c r="IN137" s="561">
        <v>0</v>
      </c>
      <c r="IO137" s="561">
        <v>543</v>
      </c>
      <c r="IP137" s="561">
        <v>0</v>
      </c>
      <c r="IQ137" s="561">
        <v>0</v>
      </c>
      <c r="IR137" s="561">
        <v>0</v>
      </c>
      <c r="IS137" s="561">
        <v>-332</v>
      </c>
      <c r="IT137" s="561">
        <v>0</v>
      </c>
      <c r="IU137" s="561">
        <v>0</v>
      </c>
      <c r="IV137" s="561">
        <v>0</v>
      </c>
      <c r="IW137" s="561">
        <v>1258</v>
      </c>
      <c r="IX137" s="561">
        <v>3152</v>
      </c>
      <c r="IY137" s="561">
        <v>3968</v>
      </c>
      <c r="IZ137" s="561">
        <v>1432</v>
      </c>
      <c r="JA137" s="561">
        <v>0</v>
      </c>
      <c r="JB137" s="561">
        <v>0</v>
      </c>
      <c r="JC137" s="561">
        <v>2382</v>
      </c>
      <c r="JD137" s="561">
        <v>0</v>
      </c>
      <c r="JE137" s="561">
        <v>11860</v>
      </c>
      <c r="JF137" s="561">
        <v>13939</v>
      </c>
      <c r="JG137" s="561">
        <v>0</v>
      </c>
      <c r="JH137" s="561">
        <v>0</v>
      </c>
      <c r="JI137" s="561">
        <v>0</v>
      </c>
      <c r="JJ137" s="561">
        <v>0</v>
      </c>
      <c r="JK137" s="561">
        <v>1388</v>
      </c>
      <c r="JL137" s="561">
        <v>0</v>
      </c>
      <c r="JM137" s="561">
        <v>0</v>
      </c>
      <c r="JN137" s="561">
        <v>0</v>
      </c>
      <c r="JO137" s="561">
        <v>0</v>
      </c>
      <c r="JP137" s="561">
        <v>0</v>
      </c>
      <c r="JQ137" s="561">
        <v>0</v>
      </c>
      <c r="JR137" s="561">
        <v>0</v>
      </c>
      <c r="JS137" s="561">
        <v>0</v>
      </c>
      <c r="JT137" s="561">
        <v>0</v>
      </c>
      <c r="JU137" s="561">
        <v>0</v>
      </c>
      <c r="JV137" s="561">
        <v>27187</v>
      </c>
      <c r="JW137" s="561">
        <v>0</v>
      </c>
      <c r="JX137" s="561">
        <v>3189</v>
      </c>
      <c r="JY137" s="561">
        <v>0</v>
      </c>
      <c r="JZ137" s="561">
        <v>0</v>
      </c>
      <c r="KA137" s="561">
        <v>0</v>
      </c>
      <c r="KB137" s="561">
        <v>-14</v>
      </c>
      <c r="KC137" s="561">
        <v>505</v>
      </c>
      <c r="KD137" s="561">
        <v>0</v>
      </c>
      <c r="KE137" s="561">
        <v>0</v>
      </c>
      <c r="KF137" s="561">
        <v>0</v>
      </c>
      <c r="KG137" s="561">
        <v>30867</v>
      </c>
      <c r="KH137" s="561">
        <v>-1413</v>
      </c>
      <c r="KI137" s="561">
        <v>0</v>
      </c>
      <c r="KJ137" s="561">
        <v>0</v>
      </c>
      <c r="KK137" s="561">
        <v>0</v>
      </c>
      <c r="KL137" s="561">
        <v>-13119</v>
      </c>
      <c r="KM137" s="561">
        <v>0</v>
      </c>
      <c r="KN137" s="561">
        <v>0</v>
      </c>
      <c r="KO137" s="561">
        <v>0</v>
      </c>
      <c r="KP137" s="561">
        <v>0</v>
      </c>
      <c r="KQ137" s="561">
        <v>0</v>
      </c>
      <c r="KR137" s="561">
        <v>16335</v>
      </c>
      <c r="KS137" s="561">
        <v>0</v>
      </c>
      <c r="KT137" s="561">
        <v>-1930</v>
      </c>
      <c r="KU137" s="561">
        <v>14405</v>
      </c>
      <c r="KV137" s="561">
        <v>0</v>
      </c>
      <c r="KW137" s="561">
        <v>0</v>
      </c>
      <c r="KX137" s="561">
        <v>0</v>
      </c>
      <c r="KY137" s="561">
        <v>0</v>
      </c>
      <c r="KZ137" s="561">
        <v>-1169</v>
      </c>
      <c r="LA137" s="561">
        <v>-168</v>
      </c>
      <c r="LB137" s="561">
        <v>-104</v>
      </c>
      <c r="LC137" s="561">
        <v>0</v>
      </c>
      <c r="LD137" s="561">
        <v>-4293</v>
      </c>
      <c r="LE137" s="561">
        <v>-22</v>
      </c>
      <c r="LF137" s="561">
        <v>0</v>
      </c>
      <c r="LG137" s="561">
        <v>8649</v>
      </c>
      <c r="LH137" s="561">
        <v>0</v>
      </c>
      <c r="LI137" s="561">
        <v>0</v>
      </c>
      <c r="LJ137" s="561">
        <v>0</v>
      </c>
      <c r="LK137" s="561">
        <v>0</v>
      </c>
      <c r="LL137" s="561">
        <v>11989</v>
      </c>
      <c r="LM137" s="561">
        <v>5105</v>
      </c>
      <c r="LN137" s="561">
        <v>0</v>
      </c>
      <c r="LO137" s="561">
        <v>0</v>
      </c>
      <c r="LP137" s="561">
        <v>0</v>
      </c>
      <c r="LQ137" s="561">
        <v>0</v>
      </c>
      <c r="LR137" s="561">
        <v>10820</v>
      </c>
      <c r="LS137" s="561">
        <v>4937</v>
      </c>
      <c r="LT137" s="561">
        <v>0</v>
      </c>
      <c r="LU137" s="561">
        <v>1683</v>
      </c>
      <c r="LV137" s="561">
        <v>3076</v>
      </c>
      <c r="LW137" s="561">
        <v>0</v>
      </c>
      <c r="LX137" s="561">
        <v>-5738</v>
      </c>
      <c r="LY137" s="561">
        <v>6132</v>
      </c>
      <c r="LZ137" s="561">
        <v>5440</v>
      </c>
      <c r="MA137" s="561">
        <v>0</v>
      </c>
      <c r="MB137" s="561">
        <v>0</v>
      </c>
      <c r="MC137" s="561">
        <v>0</v>
      </c>
      <c r="MD137" s="561">
        <v>0</v>
      </c>
      <c r="ME137" s="561">
        <v>0</v>
      </c>
      <c r="MF137" s="561">
        <v>0</v>
      </c>
      <c r="MG137" s="561">
        <v>0</v>
      </c>
      <c r="MH137" s="561">
        <v>2827</v>
      </c>
      <c r="MI137" s="561">
        <v>2654</v>
      </c>
      <c r="MJ137" s="561">
        <v>5481</v>
      </c>
      <c r="MK137" s="561">
        <v>0</v>
      </c>
      <c r="ML137" s="561">
        <v>0</v>
      </c>
      <c r="MM137" s="561">
        <v>9422</v>
      </c>
      <c r="MN137" s="561">
        <v>1398</v>
      </c>
      <c r="MO137" s="561">
        <v>0</v>
      </c>
      <c r="MP137" s="561">
        <v>0</v>
      </c>
      <c r="MQ137" s="561">
        <v>0</v>
      </c>
      <c r="MR137" s="561">
        <v>-332</v>
      </c>
      <c r="MS137" s="561">
        <v>0</v>
      </c>
      <c r="MT137" s="561">
        <v>0</v>
      </c>
      <c r="MU137" s="561">
        <v>0</v>
      </c>
      <c r="MV137" s="561">
        <v>1258</v>
      </c>
      <c r="MW137" s="561">
        <v>3152</v>
      </c>
      <c r="MX137" s="561">
        <v>3968</v>
      </c>
      <c r="MY137" s="561">
        <v>1432</v>
      </c>
      <c r="MZ137" s="561">
        <v>0</v>
      </c>
      <c r="NA137" s="561">
        <v>0</v>
      </c>
      <c r="NB137" s="561">
        <v>2382</v>
      </c>
      <c r="NC137" s="561">
        <v>0</v>
      </c>
      <c r="ND137" s="561">
        <v>11860</v>
      </c>
      <c r="NE137" s="561">
        <v>0</v>
      </c>
      <c r="NF137" s="561">
        <v>0</v>
      </c>
      <c r="NG137" s="561">
        <v>0</v>
      </c>
      <c r="NH137" s="561">
        <v>0</v>
      </c>
      <c r="NI137" s="561">
        <v>0</v>
      </c>
      <c r="NJ137" s="561">
        <v>0</v>
      </c>
      <c r="NK137" s="561">
        <v>0</v>
      </c>
      <c r="NL137" s="561">
        <v>0</v>
      </c>
      <c r="NM137" s="561">
        <v>0</v>
      </c>
      <c r="NN137" s="561">
        <v>0</v>
      </c>
      <c r="NO137" s="561">
        <v>0</v>
      </c>
      <c r="NP137" s="561">
        <v>0</v>
      </c>
      <c r="NQ137" s="561">
        <v>0</v>
      </c>
      <c r="NR137" s="561">
        <v>0</v>
      </c>
      <c r="NS137" s="561">
        <v>0</v>
      </c>
      <c r="NT137" s="561">
        <v>0</v>
      </c>
      <c r="NU137" s="561">
        <v>0</v>
      </c>
      <c r="NV137" s="561">
        <v>0</v>
      </c>
      <c r="NW137" s="561">
        <v>0</v>
      </c>
      <c r="NX137" s="561">
        <v>0</v>
      </c>
      <c r="NY137" s="561">
        <v>0</v>
      </c>
      <c r="NZ137" s="561">
        <v>0</v>
      </c>
      <c r="OA137" s="561">
        <v>0</v>
      </c>
      <c r="OB137" s="561">
        <v>0</v>
      </c>
      <c r="OC137" s="561">
        <v>0</v>
      </c>
      <c r="OD137" s="561">
        <v>0</v>
      </c>
      <c r="OE137" s="561">
        <v>0</v>
      </c>
      <c r="OF137" s="561">
        <v>0</v>
      </c>
      <c r="OG137" s="561">
        <v>0</v>
      </c>
      <c r="OH137" s="561">
        <v>0</v>
      </c>
      <c r="OI137" s="561">
        <v>0</v>
      </c>
      <c r="OJ137" s="561">
        <v>0</v>
      </c>
      <c r="OK137" s="561">
        <v>0</v>
      </c>
      <c r="OL137" s="561">
        <v>0</v>
      </c>
      <c r="OM137" s="561">
        <v>0</v>
      </c>
      <c r="ON137" s="561">
        <v>0</v>
      </c>
      <c r="OO137" s="561">
        <v>0</v>
      </c>
      <c r="OP137" s="561">
        <v>0</v>
      </c>
      <c r="OQ137" s="561">
        <v>0</v>
      </c>
      <c r="OR137" s="561">
        <v>0</v>
      </c>
      <c r="OS137" s="561">
        <v>0</v>
      </c>
      <c r="OT137" s="561">
        <v>0</v>
      </c>
      <c r="OU137" s="561">
        <v>0</v>
      </c>
      <c r="OV137" s="561">
        <v>0</v>
      </c>
      <c r="OW137" s="561">
        <v>0</v>
      </c>
      <c r="OX137" s="561">
        <v>0</v>
      </c>
      <c r="OY137" s="561">
        <v>0</v>
      </c>
      <c r="OZ137" s="561">
        <v>0</v>
      </c>
      <c r="PA137" s="561">
        <v>0</v>
      </c>
      <c r="PB137" s="561">
        <v>0</v>
      </c>
      <c r="PC137" s="561">
        <v>0</v>
      </c>
      <c r="PD137" s="561">
        <v>0</v>
      </c>
      <c r="PE137" s="561">
        <v>0</v>
      </c>
      <c r="PF137" s="561">
        <v>0</v>
      </c>
      <c r="PG137" s="561">
        <v>0</v>
      </c>
      <c r="PH137" s="561">
        <v>0</v>
      </c>
      <c r="PI137" s="561">
        <v>0</v>
      </c>
      <c r="PJ137" s="561">
        <v>0</v>
      </c>
    </row>
    <row r="138" spans="1:426" ht="14" x14ac:dyDescent="0.3">
      <c r="A138" t="s">
        <v>2846</v>
      </c>
      <c r="B138" t="s">
        <v>2847</v>
      </c>
      <c r="C138" t="s">
        <v>2848</v>
      </c>
      <c r="E138" t="s">
        <v>379</v>
      </c>
      <c r="F138" s="561">
        <v>18419</v>
      </c>
      <c r="G138" s="561">
        <v>84396</v>
      </c>
      <c r="H138" s="561">
        <v>17272</v>
      </c>
      <c r="I138" s="561">
        <v>23095</v>
      </c>
      <c r="J138" s="561">
        <v>2225</v>
      </c>
      <c r="K138" s="561">
        <v>19956</v>
      </c>
      <c r="L138" s="561">
        <v>165363</v>
      </c>
      <c r="M138" s="561">
        <v>2551</v>
      </c>
      <c r="N138" s="561">
        <v>349</v>
      </c>
      <c r="O138" s="561">
        <v>81</v>
      </c>
      <c r="P138" s="561">
        <v>648</v>
      </c>
      <c r="Q138" s="561">
        <v>261</v>
      </c>
      <c r="R138" s="561">
        <v>1534</v>
      </c>
      <c r="S138" s="561">
        <v>-8</v>
      </c>
      <c r="T138" s="561">
        <v>2628</v>
      </c>
      <c r="U138" s="561">
        <v>367</v>
      </c>
      <c r="V138" s="561">
        <v>1516</v>
      </c>
      <c r="W138" s="561">
        <v>0</v>
      </c>
      <c r="X138" s="561">
        <v>-506</v>
      </c>
      <c r="Y138" s="561">
        <v>-73</v>
      </c>
      <c r="Z138" s="561">
        <v>61</v>
      </c>
      <c r="AA138" s="561">
        <v>-223</v>
      </c>
      <c r="AB138" s="561">
        <v>-411</v>
      </c>
      <c r="AC138" s="561">
        <v>0</v>
      </c>
      <c r="AD138" s="561">
        <v>0</v>
      </c>
      <c r="AE138" s="561">
        <v>0</v>
      </c>
      <c r="AF138" s="561">
        <v>0</v>
      </c>
      <c r="AG138" s="561">
        <v>0</v>
      </c>
      <c r="AH138" s="561">
        <v>350</v>
      </c>
      <c r="AI138" s="561">
        <v>0</v>
      </c>
      <c r="AJ138" s="561">
        <v>6574</v>
      </c>
      <c r="AK138" s="561">
        <v>0</v>
      </c>
      <c r="AL138" s="561">
        <v>0</v>
      </c>
      <c r="AM138" s="561">
        <v>0</v>
      </c>
      <c r="AN138" s="561">
        <v>0</v>
      </c>
      <c r="AO138" s="561">
        <v>0</v>
      </c>
      <c r="AP138" s="561">
        <v>0</v>
      </c>
      <c r="AQ138" s="561">
        <v>0</v>
      </c>
      <c r="AR138" s="561">
        <v>0</v>
      </c>
      <c r="AS138" s="561">
        <v>430</v>
      </c>
      <c r="AT138" s="561">
        <v>0</v>
      </c>
      <c r="AU138" s="561">
        <v>0</v>
      </c>
      <c r="AV138" s="561">
        <v>0</v>
      </c>
      <c r="AW138" s="561">
        <v>0</v>
      </c>
      <c r="AX138" s="561">
        <v>1242</v>
      </c>
      <c r="AY138" s="561">
        <v>39182.999589999999</v>
      </c>
      <c r="AZ138" s="561">
        <v>305</v>
      </c>
      <c r="BA138" s="561">
        <v>10303</v>
      </c>
      <c r="BB138" s="561">
        <v>509</v>
      </c>
      <c r="BC138" s="561">
        <v>15917</v>
      </c>
      <c r="BD138" s="561">
        <v>1415</v>
      </c>
      <c r="BE138" s="561">
        <v>187</v>
      </c>
      <c r="BF138" s="561">
        <v>69060.999590000007</v>
      </c>
      <c r="BG138" s="561">
        <v>1055</v>
      </c>
      <c r="BH138" s="561">
        <v>7322</v>
      </c>
      <c r="BI138" s="561">
        <v>21086</v>
      </c>
      <c r="BJ138" s="561">
        <v>434</v>
      </c>
      <c r="BK138" s="561">
        <v>1309</v>
      </c>
      <c r="BL138" s="561">
        <v>89</v>
      </c>
      <c r="BM138" s="561">
        <v>11182</v>
      </c>
      <c r="BN138" s="561">
        <v>27051</v>
      </c>
      <c r="BO138" s="561">
        <v>1084</v>
      </c>
      <c r="BP138" s="561">
        <v>6539</v>
      </c>
      <c r="BQ138" s="561">
        <v>6241</v>
      </c>
      <c r="BR138" s="561">
        <v>0</v>
      </c>
      <c r="BS138" s="561">
        <v>1251</v>
      </c>
      <c r="BT138" s="561">
        <v>200</v>
      </c>
      <c r="BU138" s="561">
        <v>552</v>
      </c>
      <c r="BV138" s="561">
        <v>-1202</v>
      </c>
      <c r="BW138" s="561">
        <v>9378</v>
      </c>
      <c r="BX138" s="561">
        <v>1946</v>
      </c>
      <c r="BY138" s="561">
        <v>10889</v>
      </c>
      <c r="BZ138" s="561">
        <v>105351</v>
      </c>
      <c r="CA138" s="561">
        <v>1131</v>
      </c>
      <c r="CB138" s="561">
        <v>69</v>
      </c>
      <c r="CC138" s="561">
        <v>1659</v>
      </c>
      <c r="CD138" s="561">
        <v>336</v>
      </c>
      <c r="CE138" s="561">
        <v>247</v>
      </c>
      <c r="CF138" s="561">
        <v>31</v>
      </c>
      <c r="CG138" s="561">
        <v>41</v>
      </c>
      <c r="CH138" s="561">
        <v>33</v>
      </c>
      <c r="CI138" s="561">
        <v>74</v>
      </c>
      <c r="CJ138" s="561">
        <v>74</v>
      </c>
      <c r="CK138" s="561">
        <v>73</v>
      </c>
      <c r="CL138" s="561">
        <v>74</v>
      </c>
      <c r="CM138" s="561">
        <v>4239</v>
      </c>
      <c r="CN138" s="561">
        <v>1340</v>
      </c>
      <c r="CO138" s="561">
        <v>217</v>
      </c>
      <c r="CP138" s="561">
        <v>151</v>
      </c>
      <c r="CQ138" s="561">
        <v>441</v>
      </c>
      <c r="CR138" s="561">
        <v>704</v>
      </c>
      <c r="CS138" s="561">
        <v>4</v>
      </c>
      <c r="CT138" s="561">
        <v>1511</v>
      </c>
      <c r="CU138" s="561">
        <v>5076</v>
      </c>
      <c r="CV138" s="561">
        <v>75</v>
      </c>
      <c r="CW138" s="561">
        <v>172</v>
      </c>
      <c r="CX138" s="561">
        <v>1147</v>
      </c>
      <c r="CY138" s="561">
        <v>3187</v>
      </c>
      <c r="CZ138" s="561">
        <v>20975</v>
      </c>
      <c r="DA138" s="561">
        <v>24</v>
      </c>
      <c r="DB138" s="561">
        <v>0</v>
      </c>
      <c r="DC138" s="561">
        <v>0</v>
      </c>
      <c r="DD138" s="561">
        <v>0</v>
      </c>
      <c r="DE138" s="561">
        <v>0</v>
      </c>
      <c r="DF138" s="561">
        <v>0</v>
      </c>
      <c r="DG138" s="561">
        <v>0</v>
      </c>
      <c r="DH138" s="561">
        <v>0</v>
      </c>
      <c r="DI138" s="561">
        <v>0</v>
      </c>
      <c r="DJ138" s="561">
        <v>0</v>
      </c>
      <c r="DK138" s="561">
        <v>1547</v>
      </c>
      <c r="DL138" s="561">
        <v>0</v>
      </c>
      <c r="DM138" s="561">
        <v>0</v>
      </c>
      <c r="DN138" s="561">
        <v>0</v>
      </c>
      <c r="DO138" s="561">
        <v>1442</v>
      </c>
      <c r="DP138" s="561">
        <v>0</v>
      </c>
      <c r="DQ138" s="561">
        <v>0</v>
      </c>
      <c r="DR138" s="561">
        <v>0</v>
      </c>
      <c r="DS138" s="561">
        <v>791</v>
      </c>
      <c r="DT138" s="561">
        <v>0</v>
      </c>
      <c r="DU138" s="561">
        <v>2233</v>
      </c>
      <c r="DV138" s="561">
        <v>0</v>
      </c>
      <c r="DW138" s="561">
        <v>0</v>
      </c>
      <c r="DX138" s="561">
        <v>0</v>
      </c>
      <c r="DY138" s="561">
        <v>1109</v>
      </c>
      <c r="DZ138" s="561">
        <v>24</v>
      </c>
      <c r="EA138" s="561">
        <v>1602</v>
      </c>
      <c r="EB138" s="561">
        <v>0</v>
      </c>
      <c r="EC138" s="561">
        <v>6515</v>
      </c>
      <c r="ED138" s="561">
        <v>242</v>
      </c>
      <c r="EE138" s="561">
        <v>87071</v>
      </c>
      <c r="EF138" s="561">
        <v>1166</v>
      </c>
      <c r="EG138" s="561">
        <v>5737</v>
      </c>
      <c r="EH138" s="561">
        <v>1272</v>
      </c>
      <c r="EI138" s="561">
        <v>0</v>
      </c>
      <c r="EJ138" s="561">
        <v>59</v>
      </c>
      <c r="EK138" s="561">
        <v>0</v>
      </c>
      <c r="EL138" s="561">
        <v>0</v>
      </c>
      <c r="EM138" s="561">
        <v>0</v>
      </c>
      <c r="EN138" s="561">
        <v>34141</v>
      </c>
      <c r="EO138" s="561">
        <v>28518</v>
      </c>
      <c r="EP138" s="561">
        <v>0</v>
      </c>
      <c r="EQ138" s="561">
        <v>0</v>
      </c>
      <c r="ER138" s="561">
        <v>11893</v>
      </c>
      <c r="ES138" s="561" t="s">
        <v>4565</v>
      </c>
      <c r="ET138" s="561">
        <v>20037</v>
      </c>
      <c r="EU138" s="561">
        <v>0</v>
      </c>
      <c r="EV138" s="561">
        <v>101</v>
      </c>
      <c r="EW138" s="561">
        <v>0</v>
      </c>
      <c r="EX138" s="561">
        <v>0</v>
      </c>
      <c r="EY138" s="561">
        <v>1104</v>
      </c>
      <c r="EZ138" s="561">
        <v>-489</v>
      </c>
      <c r="FA138" s="561">
        <v>11208</v>
      </c>
      <c r="FB138" s="561">
        <v>0</v>
      </c>
      <c r="FC138" s="561">
        <v>613</v>
      </c>
      <c r="FD138" s="561">
        <v>0</v>
      </c>
      <c r="FE138" s="561">
        <v>375</v>
      </c>
      <c r="FF138" s="561">
        <v>723</v>
      </c>
      <c r="FG138" s="561">
        <v>1330</v>
      </c>
      <c r="FH138" s="561">
        <v>0</v>
      </c>
      <c r="FI138" s="561">
        <v>863</v>
      </c>
      <c r="FJ138" s="561">
        <v>3111</v>
      </c>
      <c r="FK138" s="561">
        <v>5945</v>
      </c>
      <c r="FL138" s="561">
        <v>15</v>
      </c>
      <c r="FM138" s="561">
        <v>0</v>
      </c>
      <c r="FN138" s="561">
        <v>2001</v>
      </c>
      <c r="FO138" s="561">
        <v>14976</v>
      </c>
      <c r="FP138" s="561">
        <v>0</v>
      </c>
      <c r="FQ138" s="561">
        <v>-1310</v>
      </c>
      <c r="FR138" s="561">
        <v>512</v>
      </c>
      <c r="FS138" s="561">
        <v>0</v>
      </c>
      <c r="FT138" s="561">
        <v>136</v>
      </c>
      <c r="FU138" s="561">
        <v>370</v>
      </c>
      <c r="FV138" s="561">
        <v>0</v>
      </c>
      <c r="FW138" s="561">
        <v>679</v>
      </c>
      <c r="FX138" s="561">
        <v>0</v>
      </c>
      <c r="FY138" s="561">
        <v>0</v>
      </c>
      <c r="FZ138" s="561">
        <v>70</v>
      </c>
      <c r="GA138" s="561">
        <v>47</v>
      </c>
      <c r="GB138" s="561">
        <v>558</v>
      </c>
      <c r="GC138" s="561">
        <v>767</v>
      </c>
      <c r="GD138" s="561">
        <v>592</v>
      </c>
      <c r="GE138" s="561">
        <v>480</v>
      </c>
      <c r="GF138" s="561">
        <v>0</v>
      </c>
      <c r="GG138" s="561">
        <v>0</v>
      </c>
      <c r="GH138" s="561">
        <v>0</v>
      </c>
      <c r="GI138" s="561">
        <v>0</v>
      </c>
      <c r="GJ138" s="561">
        <v>0</v>
      </c>
      <c r="GK138" s="561">
        <v>0</v>
      </c>
      <c r="GL138" s="561">
        <v>2720</v>
      </c>
      <c r="GM138" s="561">
        <v>5596</v>
      </c>
      <c r="GN138" s="561">
        <v>9009</v>
      </c>
      <c r="GO138" s="561">
        <v>-1075</v>
      </c>
      <c r="GP138" s="561">
        <v>1624</v>
      </c>
      <c r="GQ138" s="561">
        <v>0</v>
      </c>
      <c r="GR138" s="561">
        <v>0</v>
      </c>
      <c r="GS138" s="561">
        <v>20775</v>
      </c>
      <c r="GT138" s="561">
        <v>307</v>
      </c>
      <c r="GU138" s="561">
        <v>46</v>
      </c>
      <c r="GV138" s="561">
        <v>410</v>
      </c>
      <c r="GW138" s="561">
        <v>0</v>
      </c>
      <c r="GX138" s="561">
        <v>2524</v>
      </c>
      <c r="GY138" s="561">
        <v>-100</v>
      </c>
      <c r="GZ138" s="561">
        <v>12102</v>
      </c>
      <c r="HA138" s="561">
        <v>0</v>
      </c>
      <c r="HB138" s="561">
        <v>-639</v>
      </c>
      <c r="HC138" s="561">
        <v>1398</v>
      </c>
      <c r="HD138" s="561">
        <v>15741</v>
      </c>
      <c r="HE138" s="561">
        <v>5</v>
      </c>
      <c r="HF138" s="561">
        <v>51492</v>
      </c>
      <c r="HG138" s="561">
        <v>312</v>
      </c>
      <c r="HH138" s="561">
        <v>0</v>
      </c>
      <c r="HI138" s="561">
        <v>0</v>
      </c>
      <c r="HJ138" s="561">
        <v>0</v>
      </c>
      <c r="HK138" s="561">
        <v>0</v>
      </c>
      <c r="HL138" s="561">
        <v>0</v>
      </c>
      <c r="HM138" s="561">
        <v>0</v>
      </c>
      <c r="HN138" s="561">
        <v>0</v>
      </c>
      <c r="HO138" s="561">
        <v>4261</v>
      </c>
      <c r="HP138" s="561">
        <v>1657</v>
      </c>
      <c r="HQ138" s="561">
        <v>0</v>
      </c>
      <c r="HR138" s="561">
        <v>0</v>
      </c>
      <c r="HS138" s="561">
        <v>1095</v>
      </c>
      <c r="HT138" s="561">
        <v>125</v>
      </c>
      <c r="HU138" s="561">
        <v>0</v>
      </c>
      <c r="HV138" s="561">
        <v>420</v>
      </c>
      <c r="HW138" s="561">
        <v>380</v>
      </c>
      <c r="HX138" s="561">
        <v>174</v>
      </c>
      <c r="HY138" s="561">
        <v>0</v>
      </c>
      <c r="HZ138" s="561">
        <v>-19</v>
      </c>
      <c r="IA138" s="561">
        <v>0</v>
      </c>
      <c r="IB138" s="561">
        <v>0</v>
      </c>
      <c r="IC138" s="561">
        <v>657</v>
      </c>
      <c r="ID138" s="561">
        <v>0</v>
      </c>
      <c r="IE138" s="561">
        <v>2118</v>
      </c>
      <c r="IF138" s="561">
        <v>0</v>
      </c>
      <c r="IG138" s="561">
        <v>0</v>
      </c>
      <c r="IH138" s="561">
        <v>383</v>
      </c>
      <c r="II138" s="561">
        <v>11251</v>
      </c>
      <c r="IJ138" s="561">
        <v>71</v>
      </c>
      <c r="IK138" s="561">
        <v>1418</v>
      </c>
      <c r="IL138" s="561">
        <v>37001</v>
      </c>
      <c r="IM138" s="561">
        <v>0</v>
      </c>
      <c r="IN138" s="561">
        <v>0</v>
      </c>
      <c r="IO138" s="561">
        <v>0</v>
      </c>
      <c r="IP138" s="561">
        <v>0</v>
      </c>
      <c r="IQ138" s="561">
        <v>0</v>
      </c>
      <c r="IR138" s="561">
        <v>165363</v>
      </c>
      <c r="IS138" s="561">
        <v>6574</v>
      </c>
      <c r="IT138" s="561">
        <v>69060.999590000007</v>
      </c>
      <c r="IU138" s="561">
        <v>105351</v>
      </c>
      <c r="IV138" s="561">
        <v>20975</v>
      </c>
      <c r="IW138" s="561">
        <v>6515</v>
      </c>
      <c r="IX138" s="561">
        <v>14976</v>
      </c>
      <c r="IY138" s="561">
        <v>20775</v>
      </c>
      <c r="IZ138" s="561">
        <v>15741</v>
      </c>
      <c r="JA138" s="561">
        <v>0</v>
      </c>
      <c r="JB138" s="561">
        <v>0</v>
      </c>
      <c r="JC138" s="561">
        <v>11251</v>
      </c>
      <c r="JD138" s="561">
        <v>0</v>
      </c>
      <c r="JE138" s="561">
        <v>436581.99959000002</v>
      </c>
      <c r="JF138" s="561">
        <v>23928</v>
      </c>
      <c r="JG138" s="561">
        <v>0</v>
      </c>
      <c r="JH138" s="561">
        <v>26319</v>
      </c>
      <c r="JI138" s="561">
        <v>0</v>
      </c>
      <c r="JJ138" s="561">
        <v>0</v>
      </c>
      <c r="JK138" s="561">
        <v>12</v>
      </c>
      <c r="JL138" s="561">
        <v>12174</v>
      </c>
      <c r="JM138" s="561">
        <v>0</v>
      </c>
      <c r="JN138" s="561">
        <v>0</v>
      </c>
      <c r="JO138" s="561">
        <v>22</v>
      </c>
      <c r="JP138" s="561">
        <v>-1098</v>
      </c>
      <c r="JQ138" s="561">
        <v>7860</v>
      </c>
      <c r="JR138" s="561">
        <v>0</v>
      </c>
      <c r="JS138" s="561">
        <v>-2873</v>
      </c>
      <c r="JT138" s="561">
        <v>0</v>
      </c>
      <c r="JU138" s="561">
        <v>0</v>
      </c>
      <c r="JV138" s="561">
        <v>502925.99959000002</v>
      </c>
      <c r="JW138" s="561">
        <v>193</v>
      </c>
      <c r="JX138" s="561">
        <v>7061</v>
      </c>
      <c r="JY138" s="561">
        <v>0</v>
      </c>
      <c r="JZ138" s="561">
        <v>0</v>
      </c>
      <c r="KA138" s="561">
        <v>0</v>
      </c>
      <c r="KB138" s="561">
        <v>0</v>
      </c>
      <c r="KC138" s="561">
        <v>20215</v>
      </c>
      <c r="KD138" s="561">
        <v>0</v>
      </c>
      <c r="KE138" s="561">
        <v>23980</v>
      </c>
      <c r="KF138" s="561">
        <v>-11893</v>
      </c>
      <c r="KG138" s="561">
        <v>542481.99959000002</v>
      </c>
      <c r="KH138" s="561">
        <v>-7359</v>
      </c>
      <c r="KI138" s="561">
        <v>0</v>
      </c>
      <c r="KJ138" s="561">
        <v>468</v>
      </c>
      <c r="KK138" s="561">
        <v>0</v>
      </c>
      <c r="KL138" s="561">
        <v>-53116</v>
      </c>
      <c r="KM138" s="561">
        <v>0</v>
      </c>
      <c r="KN138" s="561">
        <v>-94</v>
      </c>
      <c r="KO138" s="561">
        <v>0</v>
      </c>
      <c r="KP138" s="561">
        <v>0</v>
      </c>
      <c r="KQ138" s="561">
        <v>-616</v>
      </c>
      <c r="KR138" s="561">
        <v>481764.99959000002</v>
      </c>
      <c r="KS138" s="561">
        <v>0</v>
      </c>
      <c r="KT138" s="561">
        <v>-275597</v>
      </c>
      <c r="KU138" s="561">
        <v>206167.99958999999</v>
      </c>
      <c r="KV138" s="561">
        <v>0</v>
      </c>
      <c r="KW138" s="561">
        <v>-2179</v>
      </c>
      <c r="KX138" s="561">
        <v>-2719</v>
      </c>
      <c r="KY138" s="561">
        <v>414</v>
      </c>
      <c r="KZ138" s="561">
        <v>-4434</v>
      </c>
      <c r="LA138" s="561">
        <v>4735</v>
      </c>
      <c r="LB138" s="561">
        <v>-18948</v>
      </c>
      <c r="LC138" s="561">
        <v>0</v>
      </c>
      <c r="LD138" s="561">
        <v>-65230</v>
      </c>
      <c r="LE138" s="561">
        <v>-322</v>
      </c>
      <c r="LF138" s="561">
        <v>0</v>
      </c>
      <c r="LG138" s="561">
        <v>117485</v>
      </c>
      <c r="LH138" s="561">
        <v>7517</v>
      </c>
      <c r="LI138" s="561">
        <v>0</v>
      </c>
      <c r="LJ138" s="561">
        <v>2719</v>
      </c>
      <c r="LK138" s="561">
        <v>4992</v>
      </c>
      <c r="LL138" s="561">
        <v>61687</v>
      </c>
      <c r="LM138" s="561">
        <v>16218</v>
      </c>
      <c r="LN138" s="561">
        <v>5338</v>
      </c>
      <c r="LO138" s="561">
        <v>-616</v>
      </c>
      <c r="LP138" s="561">
        <v>0</v>
      </c>
      <c r="LQ138" s="561">
        <v>5406</v>
      </c>
      <c r="LR138" s="561">
        <v>57253</v>
      </c>
      <c r="LS138" s="561">
        <v>20953</v>
      </c>
      <c r="LT138" s="561">
        <v>0</v>
      </c>
      <c r="LU138" s="561">
        <v>57450</v>
      </c>
      <c r="LV138" s="561">
        <v>1780</v>
      </c>
      <c r="LW138" s="561">
        <v>14675</v>
      </c>
      <c r="LX138" s="561">
        <v>-27531</v>
      </c>
      <c r="LY138" s="561">
        <v>5989</v>
      </c>
      <c r="LZ138" s="561">
        <v>52363</v>
      </c>
      <c r="MA138" s="561">
        <v>0</v>
      </c>
      <c r="MB138" s="561">
        <v>0</v>
      </c>
      <c r="MC138" s="561">
        <v>95305</v>
      </c>
      <c r="MD138" s="561">
        <v>95794</v>
      </c>
      <c r="ME138" s="561">
        <v>-489</v>
      </c>
      <c r="MF138" s="561">
        <v>11208</v>
      </c>
      <c r="MG138" s="561">
        <v>10719</v>
      </c>
      <c r="MH138" s="561">
        <v>9948</v>
      </c>
      <c r="MI138" s="561">
        <v>13688</v>
      </c>
      <c r="MJ138" s="561">
        <v>23636</v>
      </c>
      <c r="MK138" s="561">
        <v>0</v>
      </c>
      <c r="ML138" s="561">
        <v>0</v>
      </c>
      <c r="MM138" s="561">
        <v>27004</v>
      </c>
      <c r="MN138" s="561">
        <v>0</v>
      </c>
      <c r="MO138" s="561">
        <v>17175</v>
      </c>
      <c r="MP138" s="561">
        <v>13074</v>
      </c>
      <c r="MQ138" s="561">
        <v>165363</v>
      </c>
      <c r="MR138" s="561">
        <v>6574</v>
      </c>
      <c r="MS138" s="561">
        <v>69060.999590000007</v>
      </c>
      <c r="MT138" s="561">
        <v>105351</v>
      </c>
      <c r="MU138" s="561">
        <v>20975</v>
      </c>
      <c r="MV138" s="561">
        <v>6515</v>
      </c>
      <c r="MW138" s="561">
        <v>14976</v>
      </c>
      <c r="MX138" s="561">
        <v>20775</v>
      </c>
      <c r="MY138" s="561">
        <v>15741</v>
      </c>
      <c r="MZ138" s="561">
        <v>0</v>
      </c>
      <c r="NA138" s="561">
        <v>0</v>
      </c>
      <c r="NB138" s="561">
        <v>11251</v>
      </c>
      <c r="NC138" s="561">
        <v>0</v>
      </c>
      <c r="ND138" s="561">
        <v>436581.99959000002</v>
      </c>
      <c r="NE138" s="561">
        <v>0</v>
      </c>
      <c r="NF138" s="561">
        <v>0</v>
      </c>
      <c r="NG138" s="561">
        <v>0</v>
      </c>
      <c r="NH138" s="561">
        <v>0</v>
      </c>
      <c r="NI138" s="561">
        <v>0</v>
      </c>
      <c r="NJ138" s="561">
        <v>0</v>
      </c>
      <c r="NK138" s="561">
        <v>0</v>
      </c>
      <c r="NL138" s="561">
        <v>0</v>
      </c>
      <c r="NM138" s="561">
        <v>-162</v>
      </c>
      <c r="NN138" s="561">
        <v>0</v>
      </c>
      <c r="NO138" s="561">
        <v>0</v>
      </c>
      <c r="NP138" s="561">
        <v>0</v>
      </c>
      <c r="NQ138" s="561">
        <v>0</v>
      </c>
      <c r="NR138" s="561">
        <v>0</v>
      </c>
      <c r="NS138" s="561">
        <v>0</v>
      </c>
      <c r="NT138" s="561">
        <v>0</v>
      </c>
      <c r="NU138" s="561">
        <v>0</v>
      </c>
      <c r="NV138" s="561">
        <v>0</v>
      </c>
      <c r="NW138" s="561">
        <v>-1098</v>
      </c>
      <c r="NX138" s="561">
        <v>0</v>
      </c>
      <c r="NY138" s="561">
        <v>-1098</v>
      </c>
      <c r="NZ138" s="561">
        <v>0</v>
      </c>
      <c r="OA138" s="561">
        <v>0</v>
      </c>
      <c r="OB138" s="561">
        <v>0</v>
      </c>
      <c r="OC138" s="561">
        <v>0</v>
      </c>
      <c r="OD138" s="561">
        <v>0</v>
      </c>
      <c r="OE138" s="561">
        <v>0</v>
      </c>
      <c r="OF138" s="561">
        <v>0</v>
      </c>
      <c r="OG138" s="561">
        <v>0</v>
      </c>
      <c r="OH138" s="561">
        <v>0</v>
      </c>
      <c r="OI138" s="561">
        <v>3093</v>
      </c>
      <c r="OJ138" s="561">
        <v>1274</v>
      </c>
      <c r="OK138" s="561">
        <v>0</v>
      </c>
      <c r="OL138" s="561">
        <v>0</v>
      </c>
      <c r="OM138" s="561">
        <v>-50</v>
      </c>
      <c r="ON138" s="561">
        <v>-506</v>
      </c>
      <c r="OO138" s="561">
        <v>0</v>
      </c>
      <c r="OP138" s="561">
        <v>1176</v>
      </c>
      <c r="OQ138" s="561">
        <v>0</v>
      </c>
      <c r="OR138" s="561">
        <v>0</v>
      </c>
      <c r="OS138" s="561">
        <v>0</v>
      </c>
      <c r="OT138" s="561">
        <v>0</v>
      </c>
      <c r="OU138" s="561">
        <v>0</v>
      </c>
      <c r="OV138" s="561">
        <v>4463</v>
      </c>
      <c r="OW138" s="561">
        <v>2873</v>
      </c>
      <c r="OX138" s="561">
        <v>7860</v>
      </c>
      <c r="OY138" s="561">
        <v>0</v>
      </c>
      <c r="OZ138" s="561">
        <v>0</v>
      </c>
      <c r="PA138" s="561">
        <v>0</v>
      </c>
      <c r="PB138" s="561">
        <v>0</v>
      </c>
      <c r="PC138" s="561">
        <v>0</v>
      </c>
      <c r="PD138" s="561">
        <v>0</v>
      </c>
      <c r="PE138" s="561">
        <v>2873</v>
      </c>
      <c r="PF138" s="561">
        <v>0</v>
      </c>
      <c r="PG138" s="561">
        <v>0</v>
      </c>
      <c r="PH138" s="561">
        <v>0</v>
      </c>
      <c r="PI138" s="561">
        <v>0</v>
      </c>
      <c r="PJ138" s="561">
        <v>2873</v>
      </c>
    </row>
    <row r="139" spans="1:426" ht="14" x14ac:dyDescent="0.3">
      <c r="A139" t="s">
        <v>2849</v>
      </c>
      <c r="B139" t="s">
        <v>2850</v>
      </c>
      <c r="C139" t="s">
        <v>2851</v>
      </c>
      <c r="E139" t="s">
        <v>384</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47</v>
      </c>
      <c r="W139" s="561">
        <v>0</v>
      </c>
      <c r="X139" s="561">
        <v>0</v>
      </c>
      <c r="Y139" s="561">
        <v>0</v>
      </c>
      <c r="Z139" s="561">
        <v>0</v>
      </c>
      <c r="AA139" s="561">
        <v>0</v>
      </c>
      <c r="AB139" s="561">
        <v>171</v>
      </c>
      <c r="AC139" s="561">
        <v>0</v>
      </c>
      <c r="AD139" s="561">
        <v>0</v>
      </c>
      <c r="AE139" s="561">
        <v>0</v>
      </c>
      <c r="AF139" s="561">
        <v>0</v>
      </c>
      <c r="AG139" s="561">
        <v>0</v>
      </c>
      <c r="AH139" s="561">
        <v>0</v>
      </c>
      <c r="AI139" s="561">
        <v>0</v>
      </c>
      <c r="AJ139" s="561">
        <v>218</v>
      </c>
      <c r="AK139" s="561">
        <v>0</v>
      </c>
      <c r="AL139" s="561">
        <v>0</v>
      </c>
      <c r="AM139" s="561">
        <v>0</v>
      </c>
      <c r="AN139" s="561">
        <v>0</v>
      </c>
      <c r="AO139" s="561">
        <v>0</v>
      </c>
      <c r="AP139" s="561">
        <v>0</v>
      </c>
      <c r="AQ139" s="561">
        <v>0</v>
      </c>
      <c r="AR139" s="561">
        <v>0</v>
      </c>
      <c r="AS139" s="561">
        <v>0</v>
      </c>
      <c r="AT139" s="561">
        <v>0</v>
      </c>
      <c r="AU139" s="561">
        <v>0</v>
      </c>
      <c r="AV139" s="561">
        <v>0</v>
      </c>
      <c r="AW139" s="561">
        <v>0</v>
      </c>
      <c r="AX139" s="561">
        <v>0</v>
      </c>
      <c r="AY139" s="561">
        <v>0</v>
      </c>
      <c r="AZ139" s="561">
        <v>0</v>
      </c>
      <c r="BA139" s="561">
        <v>0</v>
      </c>
      <c r="BB139" s="561">
        <v>0</v>
      </c>
      <c r="BC139" s="561">
        <v>0</v>
      </c>
      <c r="BD139" s="561">
        <v>0</v>
      </c>
      <c r="BE139" s="561">
        <v>0</v>
      </c>
      <c r="BF139" s="561">
        <v>0</v>
      </c>
      <c r="BG139" s="561">
        <v>0</v>
      </c>
      <c r="BH139" s="561">
        <v>0</v>
      </c>
      <c r="BI139" s="561">
        <v>0</v>
      </c>
      <c r="BJ139" s="561">
        <v>0</v>
      </c>
      <c r="BK139" s="561">
        <v>0</v>
      </c>
      <c r="BL139" s="561">
        <v>0</v>
      </c>
      <c r="BM139" s="561">
        <v>0</v>
      </c>
      <c r="BN139" s="561">
        <v>0</v>
      </c>
      <c r="BO139" s="561">
        <v>0</v>
      </c>
      <c r="BP139" s="561">
        <v>0</v>
      </c>
      <c r="BQ139" s="561">
        <v>0</v>
      </c>
      <c r="BR139" s="561">
        <v>0</v>
      </c>
      <c r="BS139" s="561">
        <v>0</v>
      </c>
      <c r="BT139" s="561">
        <v>0</v>
      </c>
      <c r="BU139" s="561">
        <v>0</v>
      </c>
      <c r="BV139" s="561">
        <v>0</v>
      </c>
      <c r="BW139" s="561">
        <v>0</v>
      </c>
      <c r="BX139" s="561">
        <v>0</v>
      </c>
      <c r="BY139" s="561">
        <v>0</v>
      </c>
      <c r="BZ139" s="561">
        <v>0</v>
      </c>
      <c r="CA139" s="561">
        <v>0</v>
      </c>
      <c r="CB139" s="561">
        <v>0</v>
      </c>
      <c r="CC139" s="561">
        <v>0</v>
      </c>
      <c r="CD139" s="561">
        <v>0</v>
      </c>
      <c r="CE139" s="561">
        <v>0</v>
      </c>
      <c r="CF139" s="561">
        <v>0</v>
      </c>
      <c r="CG139" s="561">
        <v>0</v>
      </c>
      <c r="CH139" s="561">
        <v>0</v>
      </c>
      <c r="CI139" s="561">
        <v>0</v>
      </c>
      <c r="CJ139" s="561">
        <v>0</v>
      </c>
      <c r="CK139" s="561">
        <v>0</v>
      </c>
      <c r="CL139" s="561">
        <v>0</v>
      </c>
      <c r="CM139" s="561">
        <v>0</v>
      </c>
      <c r="CN139" s="561">
        <v>0</v>
      </c>
      <c r="CO139" s="561">
        <v>0</v>
      </c>
      <c r="CP139" s="561">
        <v>0</v>
      </c>
      <c r="CQ139" s="561">
        <v>0</v>
      </c>
      <c r="CR139" s="561">
        <v>0</v>
      </c>
      <c r="CS139" s="561">
        <v>0</v>
      </c>
      <c r="CT139" s="561">
        <v>0</v>
      </c>
      <c r="CU139" s="561">
        <v>0</v>
      </c>
      <c r="CV139" s="561">
        <v>0</v>
      </c>
      <c r="CW139" s="561">
        <v>0</v>
      </c>
      <c r="CX139" s="561">
        <v>0</v>
      </c>
      <c r="CY139" s="561">
        <v>0</v>
      </c>
      <c r="CZ139" s="561">
        <v>0</v>
      </c>
      <c r="DA139" s="561">
        <v>0</v>
      </c>
      <c r="DB139" s="561">
        <v>0</v>
      </c>
      <c r="DC139" s="561">
        <v>0</v>
      </c>
      <c r="DD139" s="561">
        <v>0</v>
      </c>
      <c r="DE139" s="561">
        <v>0</v>
      </c>
      <c r="DF139" s="561">
        <v>0</v>
      </c>
      <c r="DG139" s="561">
        <v>0</v>
      </c>
      <c r="DH139" s="561">
        <v>71</v>
      </c>
      <c r="DI139" s="561">
        <v>0</v>
      </c>
      <c r="DJ139" s="561">
        <v>206</v>
      </c>
      <c r="DK139" s="561">
        <v>-136</v>
      </c>
      <c r="DL139" s="561">
        <v>0</v>
      </c>
      <c r="DM139" s="561">
        <v>0</v>
      </c>
      <c r="DN139" s="561">
        <v>0</v>
      </c>
      <c r="DO139" s="561">
        <v>222</v>
      </c>
      <c r="DP139" s="561">
        <v>115</v>
      </c>
      <c r="DQ139" s="561">
        <v>0</v>
      </c>
      <c r="DR139" s="561">
        <v>65</v>
      </c>
      <c r="DS139" s="561">
        <v>598</v>
      </c>
      <c r="DT139" s="561">
        <v>357</v>
      </c>
      <c r="DU139" s="561">
        <v>1357</v>
      </c>
      <c r="DV139" s="561">
        <v>0</v>
      </c>
      <c r="DW139" s="561">
        <v>0</v>
      </c>
      <c r="DX139" s="561">
        <v>0</v>
      </c>
      <c r="DY139" s="561">
        <v>630</v>
      </c>
      <c r="DZ139" s="561">
        <v>0</v>
      </c>
      <c r="EA139" s="561">
        <v>0</v>
      </c>
      <c r="EB139" s="561">
        <v>0</v>
      </c>
      <c r="EC139" s="561">
        <v>2128</v>
      </c>
      <c r="ED139" s="561">
        <v>0</v>
      </c>
      <c r="EE139" s="561">
        <v>0</v>
      </c>
      <c r="EF139" s="561">
        <v>0</v>
      </c>
      <c r="EG139" s="561">
        <v>0</v>
      </c>
      <c r="EH139" s="561">
        <v>0</v>
      </c>
      <c r="EI139" s="561">
        <v>0</v>
      </c>
      <c r="EJ139" s="561">
        <v>0</v>
      </c>
      <c r="EK139" s="561">
        <v>0</v>
      </c>
      <c r="EL139" s="561">
        <v>0</v>
      </c>
      <c r="EM139" s="561">
        <v>0</v>
      </c>
      <c r="EN139" s="561">
        <v>0</v>
      </c>
      <c r="EO139" s="561">
        <v>0</v>
      </c>
      <c r="EP139" s="561">
        <v>0</v>
      </c>
      <c r="EQ139" s="561">
        <v>0</v>
      </c>
      <c r="ER139" s="561">
        <v>0</v>
      </c>
      <c r="ES139" s="561" t="s">
        <v>4565</v>
      </c>
      <c r="ET139" s="561">
        <v>0</v>
      </c>
      <c r="EU139" s="561">
        <v>0</v>
      </c>
      <c r="EV139" s="561">
        <v>0</v>
      </c>
      <c r="EW139" s="561">
        <v>0</v>
      </c>
      <c r="EX139" s="561">
        <v>0</v>
      </c>
      <c r="EY139" s="561">
        <v>0</v>
      </c>
      <c r="EZ139" s="561">
        <v>0</v>
      </c>
      <c r="FA139" s="561">
        <v>0</v>
      </c>
      <c r="FB139" s="561">
        <v>0</v>
      </c>
      <c r="FC139" s="561">
        <v>173</v>
      </c>
      <c r="FD139" s="561">
        <v>0</v>
      </c>
      <c r="FE139" s="561">
        <v>0</v>
      </c>
      <c r="FF139" s="561">
        <v>178</v>
      </c>
      <c r="FG139" s="561">
        <v>142</v>
      </c>
      <c r="FH139" s="561">
        <v>0</v>
      </c>
      <c r="FI139" s="561">
        <v>435</v>
      </c>
      <c r="FJ139" s="561">
        <v>1105</v>
      </c>
      <c r="FK139" s="561">
        <v>1483</v>
      </c>
      <c r="FL139" s="561">
        <v>30</v>
      </c>
      <c r="FM139" s="561">
        <v>0</v>
      </c>
      <c r="FN139" s="561">
        <v>0</v>
      </c>
      <c r="FO139" s="561">
        <v>3546</v>
      </c>
      <c r="FP139" s="561">
        <v>56</v>
      </c>
      <c r="FQ139" s="561">
        <v>96</v>
      </c>
      <c r="FR139" s="561">
        <v>0</v>
      </c>
      <c r="FS139" s="561">
        <v>0</v>
      </c>
      <c r="FT139" s="561">
        <v>302</v>
      </c>
      <c r="FU139" s="561">
        <v>283</v>
      </c>
      <c r="FV139" s="561">
        <v>0</v>
      </c>
      <c r="FW139" s="561">
        <v>0</v>
      </c>
      <c r="FX139" s="561">
        <v>0</v>
      </c>
      <c r="FY139" s="561">
        <v>0</v>
      </c>
      <c r="FZ139" s="561">
        <v>56</v>
      </c>
      <c r="GA139" s="561">
        <v>37</v>
      </c>
      <c r="GB139" s="561">
        <v>0</v>
      </c>
      <c r="GC139" s="561">
        <v>71</v>
      </c>
      <c r="GD139" s="561">
        <v>0</v>
      </c>
      <c r="GE139" s="561">
        <v>538</v>
      </c>
      <c r="GF139" s="561">
        <v>0</v>
      </c>
      <c r="GG139" s="561">
        <v>0</v>
      </c>
      <c r="GH139" s="561">
        <v>0</v>
      </c>
      <c r="GI139" s="561">
        <v>38</v>
      </c>
      <c r="GJ139" s="561">
        <v>0</v>
      </c>
      <c r="GK139" s="561">
        <v>0</v>
      </c>
      <c r="GL139" s="561">
        <v>1360</v>
      </c>
      <c r="GM139" s="561">
        <v>1885</v>
      </c>
      <c r="GN139" s="561">
        <v>0</v>
      </c>
      <c r="GO139" s="561">
        <v>-334</v>
      </c>
      <c r="GP139" s="561">
        <v>1891</v>
      </c>
      <c r="GQ139" s="561">
        <v>0</v>
      </c>
      <c r="GR139" s="561">
        <v>66</v>
      </c>
      <c r="GS139" s="561">
        <v>6289</v>
      </c>
      <c r="GT139" s="561">
        <v>600</v>
      </c>
      <c r="GU139" s="561">
        <v>83</v>
      </c>
      <c r="GV139" s="561">
        <v>373</v>
      </c>
      <c r="GW139" s="561">
        <v>0</v>
      </c>
      <c r="GX139" s="561">
        <v>487</v>
      </c>
      <c r="GY139" s="561">
        <v>0</v>
      </c>
      <c r="GZ139" s="561">
        <v>1600</v>
      </c>
      <c r="HA139" s="561">
        <v>0</v>
      </c>
      <c r="HB139" s="561">
        <v>0</v>
      </c>
      <c r="HC139" s="561">
        <v>2</v>
      </c>
      <c r="HD139" s="561">
        <v>2545</v>
      </c>
      <c r="HE139" s="561">
        <v>146</v>
      </c>
      <c r="HF139" s="561">
        <v>12380</v>
      </c>
      <c r="HG139" s="561">
        <v>802</v>
      </c>
      <c r="HH139" s="561">
        <v>0</v>
      </c>
      <c r="HI139" s="561">
        <v>0</v>
      </c>
      <c r="HJ139" s="561">
        <v>0</v>
      </c>
      <c r="HK139" s="561">
        <v>0</v>
      </c>
      <c r="HL139" s="561">
        <v>0</v>
      </c>
      <c r="HM139" s="561">
        <v>0</v>
      </c>
      <c r="HN139" s="561">
        <v>0</v>
      </c>
      <c r="HO139" s="561">
        <v>1998</v>
      </c>
      <c r="HP139" s="561">
        <v>842</v>
      </c>
      <c r="HQ139" s="561">
        <v>0</v>
      </c>
      <c r="HR139" s="561">
        <v>0</v>
      </c>
      <c r="HS139" s="561">
        <v>0</v>
      </c>
      <c r="HT139" s="561">
        <v>94</v>
      </c>
      <c r="HU139" s="561">
        <v>0</v>
      </c>
      <c r="HV139" s="561">
        <v>0</v>
      </c>
      <c r="HW139" s="561">
        <v>288</v>
      </c>
      <c r="HX139" s="561">
        <v>44</v>
      </c>
      <c r="HY139" s="561">
        <v>17</v>
      </c>
      <c r="HZ139" s="561">
        <v>0</v>
      </c>
      <c r="IA139" s="561">
        <v>0</v>
      </c>
      <c r="IB139" s="561">
        <v>-69</v>
      </c>
      <c r="IC139" s="561">
        <v>0</v>
      </c>
      <c r="ID139" s="561">
        <v>0</v>
      </c>
      <c r="IE139" s="561">
        <v>141</v>
      </c>
      <c r="IF139" s="561">
        <v>0</v>
      </c>
      <c r="IG139" s="561">
        <v>0</v>
      </c>
      <c r="IH139" s="561">
        <v>-641</v>
      </c>
      <c r="II139" s="561">
        <v>2714</v>
      </c>
      <c r="IJ139" s="561">
        <v>245</v>
      </c>
      <c r="IK139" s="561">
        <v>7704</v>
      </c>
      <c r="IL139" s="561">
        <v>0</v>
      </c>
      <c r="IM139" s="561">
        <v>0</v>
      </c>
      <c r="IN139" s="561">
        <v>0</v>
      </c>
      <c r="IO139" s="561">
        <v>0</v>
      </c>
      <c r="IP139" s="561">
        <v>340</v>
      </c>
      <c r="IQ139" s="561">
        <v>0</v>
      </c>
      <c r="IR139" s="561">
        <v>0</v>
      </c>
      <c r="IS139" s="561">
        <v>218</v>
      </c>
      <c r="IT139" s="561">
        <v>0</v>
      </c>
      <c r="IU139" s="561">
        <v>0</v>
      </c>
      <c r="IV139" s="561">
        <v>0</v>
      </c>
      <c r="IW139" s="561">
        <v>2128</v>
      </c>
      <c r="IX139" s="561">
        <v>3546</v>
      </c>
      <c r="IY139" s="561">
        <v>6289</v>
      </c>
      <c r="IZ139" s="561">
        <v>2545</v>
      </c>
      <c r="JA139" s="561">
        <v>0</v>
      </c>
      <c r="JB139" s="561">
        <v>0</v>
      </c>
      <c r="JC139" s="561">
        <v>2714</v>
      </c>
      <c r="JD139" s="561">
        <v>340</v>
      </c>
      <c r="JE139" s="561">
        <v>17780</v>
      </c>
      <c r="JF139" s="561">
        <v>18520</v>
      </c>
      <c r="JG139" s="561">
        <v>253</v>
      </c>
      <c r="JH139" s="561">
        <v>0</v>
      </c>
      <c r="JI139" s="561">
        <v>0</v>
      </c>
      <c r="JJ139" s="561">
        <v>0</v>
      </c>
      <c r="JK139" s="561">
        <v>921</v>
      </c>
      <c r="JL139" s="561">
        <v>0</v>
      </c>
      <c r="JM139" s="561">
        <v>0</v>
      </c>
      <c r="JN139" s="561">
        <v>0</v>
      </c>
      <c r="JO139" s="561">
        <v>0</v>
      </c>
      <c r="JP139" s="561">
        <v>0</v>
      </c>
      <c r="JQ139" s="561">
        <v>0</v>
      </c>
      <c r="JR139" s="561">
        <v>0</v>
      </c>
      <c r="JS139" s="561">
        <v>0</v>
      </c>
      <c r="JT139" s="561">
        <v>0</v>
      </c>
      <c r="JU139" s="561">
        <v>0</v>
      </c>
      <c r="JV139" s="561">
        <v>37474</v>
      </c>
      <c r="JW139" s="561">
        <v>0</v>
      </c>
      <c r="JX139" s="561">
        <v>195</v>
      </c>
      <c r="JY139" s="561">
        <v>0</v>
      </c>
      <c r="JZ139" s="561">
        <v>0</v>
      </c>
      <c r="KA139" s="561">
        <v>0</v>
      </c>
      <c r="KB139" s="561">
        <v>-140</v>
      </c>
      <c r="KC139" s="561">
        <v>1016</v>
      </c>
      <c r="KD139" s="561">
        <v>0</v>
      </c>
      <c r="KE139" s="561">
        <v>359</v>
      </c>
      <c r="KF139" s="561">
        <v>0</v>
      </c>
      <c r="KG139" s="561">
        <v>38904</v>
      </c>
      <c r="KH139" s="561">
        <v>-1055</v>
      </c>
      <c r="KI139" s="561">
        <v>0</v>
      </c>
      <c r="KJ139" s="561">
        <v>0</v>
      </c>
      <c r="KK139" s="561">
        <v>0</v>
      </c>
      <c r="KL139" s="561">
        <v>-18278</v>
      </c>
      <c r="KM139" s="561">
        <v>0</v>
      </c>
      <c r="KN139" s="561">
        <v>-1454</v>
      </c>
      <c r="KO139" s="561">
        <v>0</v>
      </c>
      <c r="KP139" s="561">
        <v>0</v>
      </c>
      <c r="KQ139" s="561">
        <v>0</v>
      </c>
      <c r="KR139" s="561">
        <v>18117</v>
      </c>
      <c r="KS139" s="561">
        <v>0</v>
      </c>
      <c r="KT139" s="561">
        <v>-3243</v>
      </c>
      <c r="KU139" s="561">
        <v>14874</v>
      </c>
      <c r="KV139" s="561">
        <v>0</v>
      </c>
      <c r="KW139" s="561">
        <v>0</v>
      </c>
      <c r="KX139" s="561">
        <v>0</v>
      </c>
      <c r="KY139" s="561">
        <v>0</v>
      </c>
      <c r="KZ139" s="561">
        <v>-9</v>
      </c>
      <c r="LA139" s="561">
        <v>379</v>
      </c>
      <c r="LB139" s="561">
        <v>-125</v>
      </c>
      <c r="LC139" s="561">
        <v>0</v>
      </c>
      <c r="LD139" s="561">
        <v>-7934</v>
      </c>
      <c r="LE139" s="561">
        <v>0</v>
      </c>
      <c r="LF139" s="561">
        <v>-21</v>
      </c>
      <c r="LG139" s="561">
        <v>8279</v>
      </c>
      <c r="LH139" s="561">
        <v>0</v>
      </c>
      <c r="LI139" s="561">
        <v>0</v>
      </c>
      <c r="LJ139" s="561">
        <v>0</v>
      </c>
      <c r="LK139" s="561">
        <v>0</v>
      </c>
      <c r="LL139" s="561">
        <v>8603</v>
      </c>
      <c r="LM139" s="561">
        <v>4913</v>
      </c>
      <c r="LN139" s="561">
        <v>0</v>
      </c>
      <c r="LO139" s="561">
        <v>0</v>
      </c>
      <c r="LP139" s="561">
        <v>0</v>
      </c>
      <c r="LQ139" s="561">
        <v>0</v>
      </c>
      <c r="LR139" s="561">
        <v>8594</v>
      </c>
      <c r="LS139" s="561">
        <v>5292</v>
      </c>
      <c r="LT139" s="561">
        <v>0</v>
      </c>
      <c r="LU139" s="561">
        <v>2056</v>
      </c>
      <c r="LV139" s="561">
        <v>0</v>
      </c>
      <c r="LW139" s="561">
        <v>0</v>
      </c>
      <c r="LX139" s="561">
        <v>3233</v>
      </c>
      <c r="LY139" s="561">
        <v>2035</v>
      </c>
      <c r="LZ139" s="561">
        <v>7324</v>
      </c>
      <c r="MA139" s="561">
        <v>0</v>
      </c>
      <c r="MB139" s="561">
        <v>0</v>
      </c>
      <c r="MC139" s="561">
        <v>0</v>
      </c>
      <c r="MD139" s="561">
        <v>0</v>
      </c>
      <c r="ME139" s="561">
        <v>0</v>
      </c>
      <c r="MF139" s="561">
        <v>0</v>
      </c>
      <c r="MG139" s="561">
        <v>0</v>
      </c>
      <c r="MH139" s="561">
        <v>3233</v>
      </c>
      <c r="MI139" s="561">
        <v>4583</v>
      </c>
      <c r="MJ139" s="561">
        <v>7816</v>
      </c>
      <c r="MK139" s="561">
        <v>0</v>
      </c>
      <c r="ML139" s="561">
        <v>0</v>
      </c>
      <c r="MM139" s="561">
        <v>8421</v>
      </c>
      <c r="MN139" s="561">
        <v>173</v>
      </c>
      <c r="MO139" s="561">
        <v>0</v>
      </c>
      <c r="MP139" s="561">
        <v>0</v>
      </c>
      <c r="MQ139" s="561">
        <v>0</v>
      </c>
      <c r="MR139" s="561">
        <v>218</v>
      </c>
      <c r="MS139" s="561">
        <v>0</v>
      </c>
      <c r="MT139" s="561">
        <v>0</v>
      </c>
      <c r="MU139" s="561">
        <v>0</v>
      </c>
      <c r="MV139" s="561">
        <v>2128</v>
      </c>
      <c r="MW139" s="561">
        <v>3546</v>
      </c>
      <c r="MX139" s="561">
        <v>6289</v>
      </c>
      <c r="MY139" s="561">
        <v>2545</v>
      </c>
      <c r="MZ139" s="561">
        <v>0</v>
      </c>
      <c r="NA139" s="561">
        <v>0</v>
      </c>
      <c r="NB139" s="561">
        <v>2714</v>
      </c>
      <c r="NC139" s="561">
        <v>340</v>
      </c>
      <c r="ND139" s="561">
        <v>17780</v>
      </c>
      <c r="NE139" s="561">
        <v>0</v>
      </c>
      <c r="NF139" s="561">
        <v>0</v>
      </c>
      <c r="NG139" s="561">
        <v>0</v>
      </c>
      <c r="NH139" s="561">
        <v>0</v>
      </c>
      <c r="NI139" s="561">
        <v>0</v>
      </c>
      <c r="NJ139" s="561">
        <v>0</v>
      </c>
      <c r="NK139" s="561">
        <v>0</v>
      </c>
      <c r="NL139" s="561">
        <v>0</v>
      </c>
      <c r="NM139" s="561">
        <v>0</v>
      </c>
      <c r="NN139" s="561">
        <v>0</v>
      </c>
      <c r="NO139" s="561">
        <v>0</v>
      </c>
      <c r="NP139" s="561">
        <v>0</v>
      </c>
      <c r="NQ139" s="561">
        <v>0</v>
      </c>
      <c r="NR139" s="561">
        <v>0</v>
      </c>
      <c r="NS139" s="561">
        <v>0</v>
      </c>
      <c r="NT139" s="561">
        <v>0</v>
      </c>
      <c r="NU139" s="561">
        <v>0</v>
      </c>
      <c r="NV139" s="561">
        <v>0</v>
      </c>
      <c r="NW139" s="561">
        <v>0</v>
      </c>
      <c r="NX139" s="561">
        <v>0</v>
      </c>
      <c r="NY139" s="561">
        <v>0</v>
      </c>
      <c r="NZ139" s="561">
        <v>0</v>
      </c>
      <c r="OA139" s="561">
        <v>0</v>
      </c>
      <c r="OB139" s="561">
        <v>0</v>
      </c>
      <c r="OC139" s="561">
        <v>0</v>
      </c>
      <c r="OD139" s="561">
        <v>0</v>
      </c>
      <c r="OE139" s="561">
        <v>0</v>
      </c>
      <c r="OF139" s="561">
        <v>0</v>
      </c>
      <c r="OG139" s="561">
        <v>0</v>
      </c>
      <c r="OH139" s="561">
        <v>0</v>
      </c>
      <c r="OI139" s="561">
        <v>0</v>
      </c>
      <c r="OJ139" s="561">
        <v>0</v>
      </c>
      <c r="OK139" s="561">
        <v>0</v>
      </c>
      <c r="OL139" s="561">
        <v>0</v>
      </c>
      <c r="OM139" s="561">
        <v>0</v>
      </c>
      <c r="ON139" s="561">
        <v>0</v>
      </c>
      <c r="OO139" s="561">
        <v>0</v>
      </c>
      <c r="OP139" s="561">
        <v>0</v>
      </c>
      <c r="OQ139" s="561">
        <v>0</v>
      </c>
      <c r="OR139" s="561">
        <v>0</v>
      </c>
      <c r="OS139" s="561">
        <v>0</v>
      </c>
      <c r="OT139" s="561">
        <v>0</v>
      </c>
      <c r="OU139" s="561">
        <v>0</v>
      </c>
      <c r="OV139" s="561">
        <v>0</v>
      </c>
      <c r="OW139" s="561">
        <v>0</v>
      </c>
      <c r="OX139" s="561">
        <v>0</v>
      </c>
      <c r="OY139" s="561">
        <v>0</v>
      </c>
      <c r="OZ139" s="561">
        <v>0</v>
      </c>
      <c r="PA139" s="561">
        <v>0</v>
      </c>
      <c r="PB139" s="561">
        <v>0</v>
      </c>
      <c r="PC139" s="561">
        <v>0</v>
      </c>
      <c r="PD139" s="561">
        <v>0</v>
      </c>
      <c r="PE139" s="561">
        <v>0</v>
      </c>
      <c r="PF139" s="561">
        <v>0</v>
      </c>
      <c r="PG139" s="561">
        <v>0</v>
      </c>
      <c r="PH139" s="561">
        <v>0</v>
      </c>
      <c r="PI139" s="561">
        <v>0</v>
      </c>
      <c r="PJ139" s="561">
        <v>0</v>
      </c>
    </row>
    <row r="140" spans="1:426" ht="14" x14ac:dyDescent="0.3">
      <c r="A140" t="s">
        <v>2852</v>
      </c>
      <c r="B140" t="s">
        <v>2853</v>
      </c>
      <c r="C140" t="s">
        <v>2854</v>
      </c>
      <c r="E140" t="s">
        <v>384</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61">
        <v>25</v>
      </c>
      <c r="U140" s="561">
        <v>0</v>
      </c>
      <c r="V140" s="561">
        <v>0</v>
      </c>
      <c r="W140" s="561">
        <v>0</v>
      </c>
      <c r="X140" s="561">
        <v>0</v>
      </c>
      <c r="Y140" s="561">
        <v>0</v>
      </c>
      <c r="Z140" s="561">
        <v>0</v>
      </c>
      <c r="AA140" s="561">
        <v>0</v>
      </c>
      <c r="AB140" s="561">
        <v>-1483</v>
      </c>
      <c r="AC140" s="561">
        <v>0</v>
      </c>
      <c r="AD140" s="561">
        <v>0</v>
      </c>
      <c r="AE140" s="561">
        <v>0</v>
      </c>
      <c r="AF140" s="561">
        <v>0</v>
      </c>
      <c r="AG140" s="561">
        <v>0</v>
      </c>
      <c r="AH140" s="561">
        <v>64</v>
      </c>
      <c r="AI140" s="561">
        <v>0</v>
      </c>
      <c r="AJ140" s="561">
        <v>-1394</v>
      </c>
      <c r="AK140" s="561">
        <v>0</v>
      </c>
      <c r="AL140" s="561">
        <v>0</v>
      </c>
      <c r="AM140" s="561">
        <v>0</v>
      </c>
      <c r="AN140" s="561">
        <v>0</v>
      </c>
      <c r="AO140" s="561">
        <v>0</v>
      </c>
      <c r="AP140" s="561">
        <v>0</v>
      </c>
      <c r="AQ140" s="561">
        <v>0</v>
      </c>
      <c r="AR140" s="561">
        <v>0</v>
      </c>
      <c r="AS140" s="561">
        <v>0</v>
      </c>
      <c r="AT140" s="561">
        <v>0</v>
      </c>
      <c r="AU140" s="561">
        <v>0</v>
      </c>
      <c r="AV140" s="561">
        <v>0</v>
      </c>
      <c r="AW140" s="561">
        <v>0</v>
      </c>
      <c r="AX140" s="561">
        <v>0</v>
      </c>
      <c r="AY140" s="561">
        <v>0</v>
      </c>
      <c r="AZ140" s="561">
        <v>0</v>
      </c>
      <c r="BA140" s="561">
        <v>0</v>
      </c>
      <c r="BB140" s="561">
        <v>0</v>
      </c>
      <c r="BC140" s="561">
        <v>0</v>
      </c>
      <c r="BD140" s="561">
        <v>0</v>
      </c>
      <c r="BE140" s="561">
        <v>0</v>
      </c>
      <c r="BF140" s="561">
        <v>0</v>
      </c>
      <c r="BG140" s="561">
        <v>0</v>
      </c>
      <c r="BH140" s="561">
        <v>0</v>
      </c>
      <c r="BI140" s="561">
        <v>0</v>
      </c>
      <c r="BJ140" s="561">
        <v>0</v>
      </c>
      <c r="BK140" s="561">
        <v>0</v>
      </c>
      <c r="BL140" s="561">
        <v>0</v>
      </c>
      <c r="BM140" s="561">
        <v>0</v>
      </c>
      <c r="BN140" s="561">
        <v>0</v>
      </c>
      <c r="BO140" s="561">
        <v>0</v>
      </c>
      <c r="BP140" s="561">
        <v>0</v>
      </c>
      <c r="BQ140" s="561">
        <v>0</v>
      </c>
      <c r="BR140" s="561">
        <v>0</v>
      </c>
      <c r="BS140" s="561">
        <v>0</v>
      </c>
      <c r="BT140" s="561">
        <v>0</v>
      </c>
      <c r="BU140" s="561">
        <v>0</v>
      </c>
      <c r="BV140" s="561">
        <v>0</v>
      </c>
      <c r="BW140" s="561">
        <v>0</v>
      </c>
      <c r="BX140" s="561">
        <v>0</v>
      </c>
      <c r="BY140" s="561">
        <v>0</v>
      </c>
      <c r="BZ140" s="561">
        <v>0</v>
      </c>
      <c r="CA140" s="561">
        <v>0</v>
      </c>
      <c r="CB140" s="561">
        <v>0</v>
      </c>
      <c r="CC140" s="561">
        <v>0</v>
      </c>
      <c r="CD140" s="561">
        <v>0</v>
      </c>
      <c r="CE140" s="561">
        <v>0</v>
      </c>
      <c r="CF140" s="561">
        <v>0</v>
      </c>
      <c r="CG140" s="561">
        <v>0</v>
      </c>
      <c r="CH140" s="561">
        <v>0</v>
      </c>
      <c r="CI140" s="561">
        <v>0</v>
      </c>
      <c r="CJ140" s="561">
        <v>0</v>
      </c>
      <c r="CK140" s="561">
        <v>0</v>
      </c>
      <c r="CL140" s="561">
        <v>0</v>
      </c>
      <c r="CM140" s="561">
        <v>0</v>
      </c>
      <c r="CN140" s="561">
        <v>0</v>
      </c>
      <c r="CO140" s="561">
        <v>0</v>
      </c>
      <c r="CP140" s="561">
        <v>0</v>
      </c>
      <c r="CQ140" s="561">
        <v>0</v>
      </c>
      <c r="CR140" s="561">
        <v>0</v>
      </c>
      <c r="CS140" s="561">
        <v>0</v>
      </c>
      <c r="CT140" s="561">
        <v>0</v>
      </c>
      <c r="CU140" s="561">
        <v>0</v>
      </c>
      <c r="CV140" s="561">
        <v>0</v>
      </c>
      <c r="CW140" s="561">
        <v>0</v>
      </c>
      <c r="CX140" s="561">
        <v>0</v>
      </c>
      <c r="CY140" s="561">
        <v>0</v>
      </c>
      <c r="CZ140" s="561">
        <v>0</v>
      </c>
      <c r="DA140" s="561">
        <v>0</v>
      </c>
      <c r="DB140" s="561">
        <v>0</v>
      </c>
      <c r="DC140" s="561">
        <v>0</v>
      </c>
      <c r="DD140" s="561">
        <v>0</v>
      </c>
      <c r="DE140" s="561">
        <v>0</v>
      </c>
      <c r="DF140" s="561">
        <v>0</v>
      </c>
      <c r="DG140" s="561">
        <v>0</v>
      </c>
      <c r="DH140" s="561">
        <v>0</v>
      </c>
      <c r="DI140" s="561">
        <v>0</v>
      </c>
      <c r="DJ140" s="561">
        <v>0</v>
      </c>
      <c r="DK140" s="561">
        <v>0</v>
      </c>
      <c r="DL140" s="561">
        <v>14</v>
      </c>
      <c r="DM140" s="561">
        <v>0</v>
      </c>
      <c r="DN140" s="561">
        <v>0</v>
      </c>
      <c r="DO140" s="561">
        <v>385</v>
      </c>
      <c r="DP140" s="561">
        <v>85</v>
      </c>
      <c r="DQ140" s="561">
        <v>0</v>
      </c>
      <c r="DR140" s="561">
        <v>73</v>
      </c>
      <c r="DS140" s="561">
        <v>1008</v>
      </c>
      <c r="DT140" s="561">
        <v>620</v>
      </c>
      <c r="DU140" s="561">
        <v>2185</v>
      </c>
      <c r="DV140" s="561">
        <v>0</v>
      </c>
      <c r="DW140" s="561">
        <v>0</v>
      </c>
      <c r="DX140" s="561">
        <v>0</v>
      </c>
      <c r="DY140" s="561">
        <v>101</v>
      </c>
      <c r="DZ140" s="561">
        <v>0</v>
      </c>
      <c r="EA140" s="561">
        <v>0</v>
      </c>
      <c r="EB140" s="561">
        <v>0</v>
      </c>
      <c r="EC140" s="561">
        <v>2286</v>
      </c>
      <c r="ED140" s="561">
        <v>0</v>
      </c>
      <c r="EE140" s="561">
        <v>0</v>
      </c>
      <c r="EF140" s="561">
        <v>0</v>
      </c>
      <c r="EG140" s="561">
        <v>0</v>
      </c>
      <c r="EH140" s="561">
        <v>0</v>
      </c>
      <c r="EI140" s="561">
        <v>0</v>
      </c>
      <c r="EJ140" s="561">
        <v>0</v>
      </c>
      <c r="EK140" s="561">
        <v>0</v>
      </c>
      <c r="EL140" s="561">
        <v>0</v>
      </c>
      <c r="EM140" s="561">
        <v>0</v>
      </c>
      <c r="EN140" s="561">
        <v>0</v>
      </c>
      <c r="EO140" s="561">
        <v>0</v>
      </c>
      <c r="EP140" s="561">
        <v>0</v>
      </c>
      <c r="EQ140" s="561">
        <v>0</v>
      </c>
      <c r="ER140" s="561">
        <v>0</v>
      </c>
      <c r="ES140" s="561" t="s">
        <v>4565</v>
      </c>
      <c r="ET140" s="561">
        <v>0</v>
      </c>
      <c r="EU140" s="561">
        <v>0</v>
      </c>
      <c r="EV140" s="561">
        <v>0</v>
      </c>
      <c r="EW140" s="561">
        <v>0</v>
      </c>
      <c r="EX140" s="561">
        <v>0</v>
      </c>
      <c r="EY140" s="561">
        <v>0</v>
      </c>
      <c r="EZ140" s="561">
        <v>0</v>
      </c>
      <c r="FA140" s="561">
        <v>0</v>
      </c>
      <c r="FB140" s="561">
        <v>0</v>
      </c>
      <c r="FC140" s="561">
        <v>1260</v>
      </c>
      <c r="FD140" s="561">
        <v>271</v>
      </c>
      <c r="FE140" s="561">
        <v>874</v>
      </c>
      <c r="FF140" s="561">
        <v>39</v>
      </c>
      <c r="FG140" s="561">
        <v>0</v>
      </c>
      <c r="FH140" s="561">
        <v>0</v>
      </c>
      <c r="FI140" s="561">
        <v>0</v>
      </c>
      <c r="FJ140" s="561">
        <v>516</v>
      </c>
      <c r="FK140" s="561">
        <v>372</v>
      </c>
      <c r="FL140" s="561">
        <v>-15</v>
      </c>
      <c r="FM140" s="561">
        <v>224</v>
      </c>
      <c r="FN140" s="561">
        <v>0</v>
      </c>
      <c r="FO140" s="561">
        <v>3541</v>
      </c>
      <c r="FP140" s="561">
        <v>0</v>
      </c>
      <c r="FQ140" s="561">
        <v>-708</v>
      </c>
      <c r="FR140" s="561">
        <v>1</v>
      </c>
      <c r="FS140" s="561">
        <v>0</v>
      </c>
      <c r="FT140" s="561">
        <v>821</v>
      </c>
      <c r="FU140" s="561">
        <v>23</v>
      </c>
      <c r="FV140" s="561">
        <v>-99</v>
      </c>
      <c r="FW140" s="561">
        <v>-3</v>
      </c>
      <c r="FX140" s="561">
        <v>0</v>
      </c>
      <c r="FY140" s="561">
        <v>0</v>
      </c>
      <c r="FZ140" s="561">
        <v>5</v>
      </c>
      <c r="GA140" s="561">
        <v>4</v>
      </c>
      <c r="GB140" s="561">
        <v>12</v>
      </c>
      <c r="GC140" s="561">
        <v>-122</v>
      </c>
      <c r="GD140" s="561">
        <v>141</v>
      </c>
      <c r="GE140" s="561">
        <v>40</v>
      </c>
      <c r="GF140" s="561">
        <v>118</v>
      </c>
      <c r="GG140" s="561">
        <v>187</v>
      </c>
      <c r="GH140" s="561">
        <v>0</v>
      </c>
      <c r="GI140" s="561">
        <v>0</v>
      </c>
      <c r="GJ140" s="561">
        <v>0</v>
      </c>
      <c r="GK140" s="561">
        <v>0</v>
      </c>
      <c r="GL140" s="561">
        <v>957</v>
      </c>
      <c r="GM140" s="561">
        <v>6075</v>
      </c>
      <c r="GN140" s="561">
        <v>0</v>
      </c>
      <c r="GO140" s="561">
        <v>0</v>
      </c>
      <c r="GP140" s="561">
        <v>0</v>
      </c>
      <c r="GQ140" s="561">
        <v>0</v>
      </c>
      <c r="GR140" s="561">
        <v>108</v>
      </c>
      <c r="GS140" s="561">
        <v>7560</v>
      </c>
      <c r="GT140" s="561">
        <v>0</v>
      </c>
      <c r="GU140" s="561">
        <v>97</v>
      </c>
      <c r="GV140" s="561">
        <v>300</v>
      </c>
      <c r="GW140" s="561">
        <v>180</v>
      </c>
      <c r="GX140" s="561">
        <v>395</v>
      </c>
      <c r="GY140" s="561">
        <v>0</v>
      </c>
      <c r="GZ140" s="561">
        <v>-4451</v>
      </c>
      <c r="HA140" s="561">
        <v>0</v>
      </c>
      <c r="HB140" s="561">
        <v>0</v>
      </c>
      <c r="HC140" s="561">
        <v>202</v>
      </c>
      <c r="HD140" s="561">
        <v>-3277</v>
      </c>
      <c r="HE140" s="561">
        <v>0</v>
      </c>
      <c r="HF140" s="561">
        <v>7824</v>
      </c>
      <c r="HG140" s="561">
        <v>0</v>
      </c>
      <c r="HH140" s="561">
        <v>0</v>
      </c>
      <c r="HI140" s="561">
        <v>0</v>
      </c>
      <c r="HJ140" s="561">
        <v>0</v>
      </c>
      <c r="HK140" s="561">
        <v>0</v>
      </c>
      <c r="HL140" s="561">
        <v>0</v>
      </c>
      <c r="HM140" s="561">
        <v>0</v>
      </c>
      <c r="HN140" s="561">
        <v>0</v>
      </c>
      <c r="HO140" s="561">
        <v>3062</v>
      </c>
      <c r="HP140" s="561">
        <v>667</v>
      </c>
      <c r="HQ140" s="561">
        <v>0</v>
      </c>
      <c r="HR140" s="561">
        <v>0</v>
      </c>
      <c r="HS140" s="561">
        <v>0</v>
      </c>
      <c r="HT140" s="561">
        <v>667</v>
      </c>
      <c r="HU140" s="561">
        <v>0</v>
      </c>
      <c r="HV140" s="561">
        <v>0</v>
      </c>
      <c r="HW140" s="561">
        <v>77</v>
      </c>
      <c r="HX140" s="561">
        <v>231</v>
      </c>
      <c r="HY140" s="561">
        <v>26</v>
      </c>
      <c r="HZ140" s="561">
        <v>20</v>
      </c>
      <c r="IA140" s="561">
        <v>0</v>
      </c>
      <c r="IB140" s="561">
        <v>0</v>
      </c>
      <c r="IC140" s="561">
        <v>0</v>
      </c>
      <c r="ID140" s="561">
        <v>0</v>
      </c>
      <c r="IE140" s="561">
        <v>0</v>
      </c>
      <c r="IF140" s="561">
        <v>0</v>
      </c>
      <c r="IG140" s="561">
        <v>0</v>
      </c>
      <c r="IH140" s="561">
        <v>421</v>
      </c>
      <c r="II140" s="561">
        <v>5171</v>
      </c>
      <c r="IJ140" s="561">
        <v>0</v>
      </c>
      <c r="IK140" s="561">
        <v>0</v>
      </c>
      <c r="IL140" s="561">
        <v>0</v>
      </c>
      <c r="IM140" s="561">
        <v>0</v>
      </c>
      <c r="IN140" s="561">
        <v>0</v>
      </c>
      <c r="IO140" s="561">
        <v>0</v>
      </c>
      <c r="IP140" s="561">
        <v>0</v>
      </c>
      <c r="IQ140" s="561">
        <v>0</v>
      </c>
      <c r="IR140" s="561">
        <v>0</v>
      </c>
      <c r="IS140" s="561">
        <v>-1394</v>
      </c>
      <c r="IT140" s="561">
        <v>0</v>
      </c>
      <c r="IU140" s="561">
        <v>0</v>
      </c>
      <c r="IV140" s="561">
        <v>0</v>
      </c>
      <c r="IW140" s="561">
        <v>2286</v>
      </c>
      <c r="IX140" s="561">
        <v>3541</v>
      </c>
      <c r="IY140" s="561">
        <v>7560</v>
      </c>
      <c r="IZ140" s="561">
        <v>-3277</v>
      </c>
      <c r="JA140" s="561">
        <v>0</v>
      </c>
      <c r="JB140" s="561">
        <v>0</v>
      </c>
      <c r="JC140" s="561">
        <v>5171</v>
      </c>
      <c r="JD140" s="561">
        <v>0</v>
      </c>
      <c r="JE140" s="561">
        <v>13887</v>
      </c>
      <c r="JF140" s="561">
        <v>33715</v>
      </c>
      <c r="JG140" s="561">
        <v>0</v>
      </c>
      <c r="JH140" s="561">
        <v>0</v>
      </c>
      <c r="JI140" s="561">
        <v>0</v>
      </c>
      <c r="JJ140" s="561">
        <v>0</v>
      </c>
      <c r="JK140" s="561">
        <v>285</v>
      </c>
      <c r="JL140" s="561">
        <v>0</v>
      </c>
      <c r="JM140" s="561">
        <v>0</v>
      </c>
      <c r="JN140" s="561">
        <v>0</v>
      </c>
      <c r="JO140" s="561">
        <v>0</v>
      </c>
      <c r="JP140" s="561">
        <v>0</v>
      </c>
      <c r="JQ140" s="561">
        <v>0</v>
      </c>
      <c r="JR140" s="561">
        <v>0</v>
      </c>
      <c r="JS140" s="561">
        <v>0</v>
      </c>
      <c r="JT140" s="561">
        <v>0</v>
      </c>
      <c r="JU140" s="561">
        <v>0</v>
      </c>
      <c r="JV140" s="561">
        <v>47887</v>
      </c>
      <c r="JW140" s="561">
        <v>0</v>
      </c>
      <c r="JX140" s="561">
        <v>0</v>
      </c>
      <c r="JY140" s="561">
        <v>0</v>
      </c>
      <c r="JZ140" s="561">
        <v>0</v>
      </c>
      <c r="KA140" s="561">
        <v>0</v>
      </c>
      <c r="KB140" s="561">
        <v>0</v>
      </c>
      <c r="KC140" s="561">
        <v>1706</v>
      </c>
      <c r="KD140" s="561">
        <v>1859</v>
      </c>
      <c r="KE140" s="561">
        <v>4046</v>
      </c>
      <c r="KF140" s="561">
        <v>0</v>
      </c>
      <c r="KG140" s="561">
        <v>55498</v>
      </c>
      <c r="KH140" s="561">
        <v>-1740</v>
      </c>
      <c r="KI140" s="561">
        <v>0</v>
      </c>
      <c r="KJ140" s="561">
        <v>0</v>
      </c>
      <c r="KK140" s="561">
        <v>0</v>
      </c>
      <c r="KL140" s="561">
        <v>-32427</v>
      </c>
      <c r="KM140" s="561">
        <v>0</v>
      </c>
      <c r="KN140" s="561">
        <v>-393</v>
      </c>
      <c r="KO140" s="561">
        <v>0</v>
      </c>
      <c r="KP140" s="561">
        <v>0</v>
      </c>
      <c r="KQ140" s="561">
        <v>0</v>
      </c>
      <c r="KR140" s="561">
        <v>20938</v>
      </c>
      <c r="KS140" s="561">
        <v>0</v>
      </c>
      <c r="KT140" s="561">
        <v>-2868</v>
      </c>
      <c r="KU140" s="561">
        <v>18070</v>
      </c>
      <c r="KV140" s="561">
        <v>0</v>
      </c>
      <c r="KW140" s="561">
        <v>0</v>
      </c>
      <c r="KX140" s="561">
        <v>0</v>
      </c>
      <c r="KY140" s="561">
        <v>0</v>
      </c>
      <c r="KZ140" s="561">
        <v>-536</v>
      </c>
      <c r="LA140" s="561">
        <v>-262</v>
      </c>
      <c r="LB140" s="561">
        <v>-274</v>
      </c>
      <c r="LC140" s="561">
        <v>0</v>
      </c>
      <c r="LD140" s="561">
        <v>-7738</v>
      </c>
      <c r="LE140" s="561">
        <v>77</v>
      </c>
      <c r="LF140" s="561">
        <v>0</v>
      </c>
      <c r="LG140" s="561">
        <v>9337</v>
      </c>
      <c r="LH140" s="561">
        <v>0</v>
      </c>
      <c r="LI140" s="561">
        <v>0</v>
      </c>
      <c r="LJ140" s="561">
        <v>0</v>
      </c>
      <c r="LK140" s="561">
        <v>0</v>
      </c>
      <c r="LL140" s="561">
        <v>2385</v>
      </c>
      <c r="LM140" s="561">
        <v>394</v>
      </c>
      <c r="LN140" s="561">
        <v>0</v>
      </c>
      <c r="LO140" s="561">
        <v>0</v>
      </c>
      <c r="LP140" s="561">
        <v>0</v>
      </c>
      <c r="LQ140" s="561">
        <v>0</v>
      </c>
      <c r="LR140" s="561">
        <v>1849</v>
      </c>
      <c r="LS140" s="561">
        <v>132</v>
      </c>
      <c r="LT140" s="561">
        <v>0</v>
      </c>
      <c r="LU140" s="561">
        <v>4970</v>
      </c>
      <c r="LV140" s="561">
        <v>0</v>
      </c>
      <c r="LW140" s="561">
        <v>0</v>
      </c>
      <c r="LX140" s="561">
        <v>0</v>
      </c>
      <c r="LY140" s="561">
        <v>0</v>
      </c>
      <c r="LZ140" s="561">
        <v>4970</v>
      </c>
      <c r="MA140" s="561">
        <v>0</v>
      </c>
      <c r="MB140" s="561">
        <v>0</v>
      </c>
      <c r="MC140" s="561">
        <v>0</v>
      </c>
      <c r="MD140" s="561">
        <v>0</v>
      </c>
      <c r="ME140" s="561">
        <v>0</v>
      </c>
      <c r="MF140" s="561">
        <v>0</v>
      </c>
      <c r="MG140" s="561">
        <v>0</v>
      </c>
      <c r="MH140" s="561">
        <v>2982</v>
      </c>
      <c r="MI140" s="561">
        <v>6430</v>
      </c>
      <c r="MJ140" s="561">
        <v>9412</v>
      </c>
      <c r="MK140" s="561">
        <v>1203</v>
      </c>
      <c r="ML140" s="561">
        <v>0</v>
      </c>
      <c r="MM140" s="561">
        <v>1367</v>
      </c>
      <c r="MN140" s="561">
        <v>424</v>
      </c>
      <c r="MO140" s="561">
        <v>58</v>
      </c>
      <c r="MP140" s="561">
        <v>0</v>
      </c>
      <c r="MQ140" s="561">
        <v>0</v>
      </c>
      <c r="MR140" s="561">
        <v>-1394</v>
      </c>
      <c r="MS140" s="561">
        <v>0</v>
      </c>
      <c r="MT140" s="561">
        <v>0</v>
      </c>
      <c r="MU140" s="561">
        <v>0</v>
      </c>
      <c r="MV140" s="561">
        <v>2286</v>
      </c>
      <c r="MW140" s="561">
        <v>3541</v>
      </c>
      <c r="MX140" s="561">
        <v>7560</v>
      </c>
      <c r="MY140" s="561">
        <v>-3277</v>
      </c>
      <c r="MZ140" s="561">
        <v>0</v>
      </c>
      <c r="NA140" s="561">
        <v>0</v>
      </c>
      <c r="NB140" s="561">
        <v>5171</v>
      </c>
      <c r="NC140" s="561">
        <v>0</v>
      </c>
      <c r="ND140" s="561">
        <v>13887</v>
      </c>
      <c r="NE140" s="561">
        <v>0</v>
      </c>
      <c r="NF140" s="561">
        <v>0</v>
      </c>
      <c r="NG140" s="561">
        <v>0</v>
      </c>
      <c r="NH140" s="561">
        <v>0</v>
      </c>
      <c r="NI140" s="561">
        <v>0</v>
      </c>
      <c r="NJ140" s="561">
        <v>0</v>
      </c>
      <c r="NK140" s="561">
        <v>0</v>
      </c>
      <c r="NL140" s="561">
        <v>0</v>
      </c>
      <c r="NM140" s="561">
        <v>0</v>
      </c>
      <c r="NN140" s="561">
        <v>0</v>
      </c>
      <c r="NO140" s="561">
        <v>0</v>
      </c>
      <c r="NP140" s="561">
        <v>0</v>
      </c>
      <c r="NQ140" s="561">
        <v>0</v>
      </c>
      <c r="NR140" s="561">
        <v>0</v>
      </c>
      <c r="NS140" s="561">
        <v>0</v>
      </c>
      <c r="NT140" s="561">
        <v>0</v>
      </c>
      <c r="NU140" s="561">
        <v>-1969</v>
      </c>
      <c r="NV140" s="561">
        <v>0</v>
      </c>
      <c r="NW140" s="561">
        <v>0</v>
      </c>
      <c r="NX140" s="561">
        <v>0</v>
      </c>
      <c r="NY140" s="561">
        <v>0</v>
      </c>
      <c r="NZ140" s="561">
        <v>0</v>
      </c>
      <c r="OA140" s="561">
        <v>0</v>
      </c>
      <c r="OB140" s="561">
        <v>0</v>
      </c>
      <c r="OC140" s="561">
        <v>0</v>
      </c>
      <c r="OD140" s="561">
        <v>0</v>
      </c>
      <c r="OE140" s="561">
        <v>0</v>
      </c>
      <c r="OF140" s="561">
        <v>0</v>
      </c>
      <c r="OG140" s="561">
        <v>0</v>
      </c>
      <c r="OH140" s="561">
        <v>0</v>
      </c>
      <c r="OI140" s="561">
        <v>0</v>
      </c>
      <c r="OJ140" s="561">
        <v>0</v>
      </c>
      <c r="OK140" s="561">
        <v>0</v>
      </c>
      <c r="OL140" s="561">
        <v>0</v>
      </c>
      <c r="OM140" s="561">
        <v>0</v>
      </c>
      <c r="ON140" s="561">
        <v>0</v>
      </c>
      <c r="OO140" s="561">
        <v>0</v>
      </c>
      <c r="OP140" s="561">
        <v>0</v>
      </c>
      <c r="OQ140" s="561">
        <v>0</v>
      </c>
      <c r="OR140" s="561">
        <v>0</v>
      </c>
      <c r="OS140" s="561">
        <v>0</v>
      </c>
      <c r="OT140" s="561">
        <v>0</v>
      </c>
      <c r="OU140" s="561">
        <v>0</v>
      </c>
      <c r="OV140" s="561">
        <v>0</v>
      </c>
      <c r="OW140" s="561">
        <v>0</v>
      </c>
      <c r="OX140" s="561">
        <v>0</v>
      </c>
      <c r="OY140" s="561">
        <v>0</v>
      </c>
      <c r="OZ140" s="561">
        <v>0</v>
      </c>
      <c r="PA140" s="561">
        <v>0</v>
      </c>
      <c r="PB140" s="561">
        <v>0</v>
      </c>
      <c r="PC140" s="561">
        <v>0</v>
      </c>
      <c r="PD140" s="561">
        <v>0</v>
      </c>
      <c r="PE140" s="561">
        <v>0</v>
      </c>
      <c r="PF140" s="561">
        <v>0</v>
      </c>
      <c r="PG140" s="561">
        <v>0</v>
      </c>
      <c r="PH140" s="561">
        <v>0</v>
      </c>
      <c r="PI140" s="561">
        <v>0</v>
      </c>
      <c r="PJ140" s="561">
        <v>0</v>
      </c>
    </row>
    <row r="141" spans="1:426" ht="14" x14ac:dyDescent="0.3">
      <c r="A141" t="s">
        <v>2855</v>
      </c>
      <c r="B141" t="s">
        <v>2856</v>
      </c>
      <c r="C141" t="s">
        <v>4603</v>
      </c>
      <c r="E141" t="s">
        <v>2595</v>
      </c>
      <c r="F141" s="561">
        <v>71302</v>
      </c>
      <c r="G141" s="561">
        <v>200433</v>
      </c>
      <c r="H141" s="561">
        <v>68719</v>
      </c>
      <c r="I141" s="561">
        <v>68310</v>
      </c>
      <c r="J141" s="561">
        <v>13914</v>
      </c>
      <c r="K141" s="561">
        <v>46898</v>
      </c>
      <c r="L141" s="561">
        <v>469576</v>
      </c>
      <c r="M141" s="561">
        <v>4903</v>
      </c>
      <c r="N141" s="561">
        <v>1958</v>
      </c>
      <c r="O141" s="561">
        <v>3802</v>
      </c>
      <c r="P141" s="561">
        <v>4719</v>
      </c>
      <c r="Q141" s="561">
        <v>0</v>
      </c>
      <c r="R141" s="561">
        <v>0</v>
      </c>
      <c r="S141" s="561">
        <v>2961</v>
      </c>
      <c r="T141" s="561">
        <v>23056</v>
      </c>
      <c r="U141" s="561">
        <v>3389</v>
      </c>
      <c r="V141" s="561">
        <v>5493</v>
      </c>
      <c r="W141" s="561">
        <v>0</v>
      </c>
      <c r="X141" s="561">
        <v>0</v>
      </c>
      <c r="Y141" s="561">
        <v>808</v>
      </c>
      <c r="Z141" s="561">
        <v>169</v>
      </c>
      <c r="AA141" s="561">
        <v>-3050</v>
      </c>
      <c r="AB141" s="561">
        <v>160</v>
      </c>
      <c r="AC141" s="561">
        <v>5812</v>
      </c>
      <c r="AD141" s="561">
        <v>0</v>
      </c>
      <c r="AE141" s="561">
        <v>8862</v>
      </c>
      <c r="AF141" s="561">
        <v>0</v>
      </c>
      <c r="AG141" s="561">
        <v>0</v>
      </c>
      <c r="AH141" s="561">
        <v>749</v>
      </c>
      <c r="AI141" s="561">
        <v>0</v>
      </c>
      <c r="AJ141" s="561">
        <v>58888</v>
      </c>
      <c r="AK141" s="561">
        <v>0</v>
      </c>
      <c r="AL141" s="561">
        <v>0</v>
      </c>
      <c r="AM141" s="561">
        <v>0</v>
      </c>
      <c r="AN141" s="561">
        <v>0</v>
      </c>
      <c r="AO141" s="561">
        <v>0</v>
      </c>
      <c r="AP141" s="561">
        <v>0</v>
      </c>
      <c r="AQ141" s="561">
        <v>0</v>
      </c>
      <c r="AR141" s="561">
        <v>0</v>
      </c>
      <c r="AS141" s="561">
        <v>1951</v>
      </c>
      <c r="AT141" s="561">
        <v>4048</v>
      </c>
      <c r="AU141" s="561">
        <v>0</v>
      </c>
      <c r="AV141" s="561">
        <v>0</v>
      </c>
      <c r="AW141" s="561">
        <v>0</v>
      </c>
      <c r="AX141" s="561">
        <v>6818</v>
      </c>
      <c r="AY141" s="561">
        <v>82210</v>
      </c>
      <c r="AZ141" s="561">
        <v>878</v>
      </c>
      <c r="BA141" s="561">
        <v>30115</v>
      </c>
      <c r="BB141" s="561">
        <v>0</v>
      </c>
      <c r="BC141" s="561">
        <v>44143</v>
      </c>
      <c r="BD141" s="561">
        <v>4105</v>
      </c>
      <c r="BE141" s="561">
        <v>8128</v>
      </c>
      <c r="BF141" s="561">
        <v>176397</v>
      </c>
      <c r="BG141" s="561">
        <v>0</v>
      </c>
      <c r="BH141" s="561">
        <v>26551</v>
      </c>
      <c r="BI141" s="561">
        <v>76936</v>
      </c>
      <c r="BJ141" s="561">
        <v>406</v>
      </c>
      <c r="BK141" s="561">
        <v>523</v>
      </c>
      <c r="BL141" s="561">
        <v>2282</v>
      </c>
      <c r="BM141" s="561">
        <v>11237</v>
      </c>
      <c r="BN141" s="561">
        <v>62058</v>
      </c>
      <c r="BO141" s="561">
        <v>2804</v>
      </c>
      <c r="BP141" s="561">
        <v>10074</v>
      </c>
      <c r="BQ141" s="561">
        <v>2039</v>
      </c>
      <c r="BR141" s="561">
        <v>0</v>
      </c>
      <c r="BS141" s="561">
        <v>4538</v>
      </c>
      <c r="BT141" s="561">
        <v>5740</v>
      </c>
      <c r="BU141" s="561">
        <v>-893</v>
      </c>
      <c r="BV141" s="561">
        <v>5980</v>
      </c>
      <c r="BW141" s="561">
        <v>38870</v>
      </c>
      <c r="BX141" s="561">
        <v>1239</v>
      </c>
      <c r="BY141" s="561">
        <v>-155</v>
      </c>
      <c r="BZ141" s="561">
        <v>250229</v>
      </c>
      <c r="CA141" s="561">
        <v>0</v>
      </c>
      <c r="CB141" s="561">
        <v>2361</v>
      </c>
      <c r="CC141" s="561">
        <v>1282</v>
      </c>
      <c r="CD141" s="561">
        <v>209</v>
      </c>
      <c r="CE141" s="561">
        <v>616</v>
      </c>
      <c r="CF141" s="561">
        <v>1567</v>
      </c>
      <c r="CG141" s="561">
        <v>163</v>
      </c>
      <c r="CH141" s="561">
        <v>205</v>
      </c>
      <c r="CI141" s="561">
        <v>453</v>
      </c>
      <c r="CJ141" s="561">
        <v>509</v>
      </c>
      <c r="CK141" s="561">
        <v>197</v>
      </c>
      <c r="CL141" s="561">
        <v>0</v>
      </c>
      <c r="CM141" s="561">
        <v>3906</v>
      </c>
      <c r="CN141" s="561">
        <v>1997</v>
      </c>
      <c r="CO141" s="561">
        <v>833</v>
      </c>
      <c r="CP141" s="561">
        <v>625</v>
      </c>
      <c r="CQ141" s="561">
        <v>372</v>
      </c>
      <c r="CR141" s="561">
        <v>1118</v>
      </c>
      <c r="CS141" s="561">
        <v>103</v>
      </c>
      <c r="CT141" s="561">
        <v>1104</v>
      </c>
      <c r="CU141" s="561">
        <v>7662</v>
      </c>
      <c r="CV141" s="561">
        <v>3986</v>
      </c>
      <c r="CW141" s="561">
        <v>22</v>
      </c>
      <c r="CX141" s="561">
        <v>518</v>
      </c>
      <c r="CY141" s="561">
        <v>1197</v>
      </c>
      <c r="CZ141" s="561">
        <v>31005</v>
      </c>
      <c r="DA141" s="561">
        <v>67</v>
      </c>
      <c r="DB141" s="561">
        <v>0</v>
      </c>
      <c r="DC141" s="561">
        <v>0</v>
      </c>
      <c r="DD141" s="561">
        <v>0</v>
      </c>
      <c r="DE141" s="561">
        <v>0</v>
      </c>
      <c r="DF141" s="561">
        <v>2658</v>
      </c>
      <c r="DG141" s="561">
        <v>12702</v>
      </c>
      <c r="DH141" s="561">
        <v>0</v>
      </c>
      <c r="DI141" s="561">
        <v>0</v>
      </c>
      <c r="DJ141" s="561">
        <v>0</v>
      </c>
      <c r="DK141" s="561">
        <v>0</v>
      </c>
      <c r="DL141" s="561">
        <v>0</v>
      </c>
      <c r="DM141" s="561">
        <v>0</v>
      </c>
      <c r="DN141" s="561">
        <v>0</v>
      </c>
      <c r="DO141" s="561">
        <v>0</v>
      </c>
      <c r="DP141" s="561">
        <v>0</v>
      </c>
      <c r="DQ141" s="561">
        <v>0</v>
      </c>
      <c r="DR141" s="561">
        <v>0</v>
      </c>
      <c r="DS141" s="561">
        <v>0</v>
      </c>
      <c r="DT141" s="561">
        <v>0</v>
      </c>
      <c r="DU141" s="561">
        <v>0</v>
      </c>
      <c r="DV141" s="561">
        <v>0</v>
      </c>
      <c r="DW141" s="561">
        <v>0</v>
      </c>
      <c r="DX141" s="561">
        <v>0</v>
      </c>
      <c r="DY141" s="561">
        <v>0</v>
      </c>
      <c r="DZ141" s="561">
        <v>247</v>
      </c>
      <c r="EA141" s="561">
        <v>0</v>
      </c>
      <c r="EB141" s="561">
        <v>0</v>
      </c>
      <c r="EC141" s="561">
        <v>247</v>
      </c>
      <c r="ED141" s="561">
        <v>0</v>
      </c>
      <c r="EE141" s="561">
        <v>0</v>
      </c>
      <c r="EF141" s="561">
        <v>0</v>
      </c>
      <c r="EG141" s="561">
        <v>0</v>
      </c>
      <c r="EH141" s="561">
        <v>0</v>
      </c>
      <c r="EI141" s="561">
        <v>0</v>
      </c>
      <c r="EJ141" s="561">
        <v>0</v>
      </c>
      <c r="EK141" s="561">
        <v>0</v>
      </c>
      <c r="EL141" s="561">
        <v>0</v>
      </c>
      <c r="EM141" s="561">
        <v>0</v>
      </c>
      <c r="EN141" s="561">
        <v>0</v>
      </c>
      <c r="EO141" s="561">
        <v>0</v>
      </c>
      <c r="EP141" s="561">
        <v>0</v>
      </c>
      <c r="EQ141" s="561">
        <v>0</v>
      </c>
      <c r="ER141" s="561">
        <v>0</v>
      </c>
      <c r="ES141" s="561" t="s">
        <v>4565</v>
      </c>
      <c r="ET141" s="561">
        <v>0</v>
      </c>
      <c r="EU141" s="561">
        <v>0</v>
      </c>
      <c r="EV141" s="561">
        <v>0</v>
      </c>
      <c r="EW141" s="561">
        <v>0</v>
      </c>
      <c r="EX141" s="561">
        <v>0</v>
      </c>
      <c r="EY141" s="561">
        <v>0</v>
      </c>
      <c r="EZ141" s="561">
        <v>0</v>
      </c>
      <c r="FA141" s="561">
        <v>0</v>
      </c>
      <c r="FB141" s="561">
        <v>3575</v>
      </c>
      <c r="FC141" s="561">
        <v>0</v>
      </c>
      <c r="FD141" s="561">
        <v>0</v>
      </c>
      <c r="FE141" s="561">
        <v>0</v>
      </c>
      <c r="FF141" s="561">
        <v>0</v>
      </c>
      <c r="FG141" s="561">
        <v>0</v>
      </c>
      <c r="FH141" s="561">
        <v>0</v>
      </c>
      <c r="FI141" s="561">
        <v>0</v>
      </c>
      <c r="FJ141" s="561">
        <v>0</v>
      </c>
      <c r="FK141" s="561">
        <v>1036</v>
      </c>
      <c r="FL141" s="561">
        <v>0</v>
      </c>
      <c r="FM141" s="561">
        <v>0</v>
      </c>
      <c r="FN141" s="561">
        <v>8170</v>
      </c>
      <c r="FO141" s="561">
        <v>12781</v>
      </c>
      <c r="FP141" s="561">
        <v>0</v>
      </c>
      <c r="FQ141" s="561">
        <v>1301</v>
      </c>
      <c r="FR141" s="561">
        <v>0</v>
      </c>
      <c r="FS141" s="561">
        <v>0</v>
      </c>
      <c r="FT141" s="561">
        <v>0</v>
      </c>
      <c r="FU141" s="561">
        <v>0</v>
      </c>
      <c r="FV141" s="561">
        <v>0</v>
      </c>
      <c r="FW141" s="561">
        <v>0</v>
      </c>
      <c r="FX141" s="561">
        <v>0</v>
      </c>
      <c r="FY141" s="561">
        <v>0</v>
      </c>
      <c r="FZ141" s="561">
        <v>0</v>
      </c>
      <c r="GA141" s="561">
        <v>0</v>
      </c>
      <c r="GB141" s="561">
        <v>0</v>
      </c>
      <c r="GC141" s="561">
        <v>0</v>
      </c>
      <c r="GD141" s="561">
        <v>0</v>
      </c>
      <c r="GE141" s="561">
        <v>0</v>
      </c>
      <c r="GF141" s="561">
        <v>0</v>
      </c>
      <c r="GG141" s="561">
        <v>1143</v>
      </c>
      <c r="GH141" s="561">
        <v>0</v>
      </c>
      <c r="GI141" s="561">
        <v>0</v>
      </c>
      <c r="GJ141" s="561">
        <v>0</v>
      </c>
      <c r="GK141" s="561">
        <v>-306</v>
      </c>
      <c r="GL141" s="561">
        <v>0</v>
      </c>
      <c r="GM141" s="561">
        <v>0</v>
      </c>
      <c r="GN141" s="561">
        <v>-2828</v>
      </c>
      <c r="GO141" s="561">
        <v>0</v>
      </c>
      <c r="GP141" s="561">
        <v>5937</v>
      </c>
      <c r="GQ141" s="561">
        <v>188</v>
      </c>
      <c r="GR141" s="561">
        <v>1118</v>
      </c>
      <c r="GS141" s="561">
        <v>6553</v>
      </c>
      <c r="GT141" s="561">
        <v>0</v>
      </c>
      <c r="GU141" s="561">
        <v>0</v>
      </c>
      <c r="GV141" s="561">
        <v>1511</v>
      </c>
      <c r="GW141" s="561">
        <v>0</v>
      </c>
      <c r="GX141" s="561">
        <v>871</v>
      </c>
      <c r="GY141" s="561">
        <v>0</v>
      </c>
      <c r="GZ141" s="561">
        <v>-6043</v>
      </c>
      <c r="HA141" s="561">
        <v>0</v>
      </c>
      <c r="HB141" s="561">
        <v>1362</v>
      </c>
      <c r="HC141" s="561">
        <v>144</v>
      </c>
      <c r="HD141" s="561">
        <v>-2155</v>
      </c>
      <c r="HE141" s="561">
        <v>502</v>
      </c>
      <c r="HF141" s="561">
        <v>17179</v>
      </c>
      <c r="HG141" s="561">
        <v>618</v>
      </c>
      <c r="HH141" s="561">
        <v>0</v>
      </c>
      <c r="HI141" s="561">
        <v>0</v>
      </c>
      <c r="HJ141" s="561">
        <v>3177</v>
      </c>
      <c r="HK141" s="561">
        <v>29173</v>
      </c>
      <c r="HL141" s="561">
        <v>59</v>
      </c>
      <c r="HM141" s="561">
        <v>32409</v>
      </c>
      <c r="HN141" s="561">
        <v>0</v>
      </c>
      <c r="HO141" s="561">
        <v>7541</v>
      </c>
      <c r="HP141" s="561">
        <v>0</v>
      </c>
      <c r="HQ141" s="561">
        <v>0</v>
      </c>
      <c r="HR141" s="561">
        <v>0</v>
      </c>
      <c r="HS141" s="561">
        <v>0</v>
      </c>
      <c r="HT141" s="561">
        <v>0</v>
      </c>
      <c r="HU141" s="561">
        <v>0</v>
      </c>
      <c r="HV141" s="561">
        <v>594</v>
      </c>
      <c r="HW141" s="561">
        <v>0</v>
      </c>
      <c r="HX141" s="561">
        <v>0</v>
      </c>
      <c r="HY141" s="561">
        <v>520</v>
      </c>
      <c r="HZ141" s="561">
        <v>0</v>
      </c>
      <c r="IA141" s="561">
        <v>349</v>
      </c>
      <c r="IB141" s="561">
        <v>0</v>
      </c>
      <c r="IC141" s="561">
        <v>1690</v>
      </c>
      <c r="ID141" s="561">
        <v>0</v>
      </c>
      <c r="IE141" s="561">
        <v>8004</v>
      </c>
      <c r="IF141" s="561">
        <v>763</v>
      </c>
      <c r="IG141" s="561">
        <v>0</v>
      </c>
      <c r="IH141" s="561">
        <v>13637</v>
      </c>
      <c r="II141" s="561">
        <v>33098</v>
      </c>
      <c r="IJ141" s="561">
        <v>708</v>
      </c>
      <c r="IK141" s="561">
        <v>0</v>
      </c>
      <c r="IL141" s="561">
        <v>0</v>
      </c>
      <c r="IM141" s="561">
        <v>0</v>
      </c>
      <c r="IN141" s="561">
        <v>0</v>
      </c>
      <c r="IO141" s="561">
        <v>0</v>
      </c>
      <c r="IP141" s="561">
        <v>0</v>
      </c>
      <c r="IQ141" s="561">
        <v>0</v>
      </c>
      <c r="IR141" s="561">
        <v>469576</v>
      </c>
      <c r="IS141" s="561">
        <v>58888</v>
      </c>
      <c r="IT141" s="561">
        <v>176397</v>
      </c>
      <c r="IU141" s="561">
        <v>250229</v>
      </c>
      <c r="IV141" s="561">
        <v>31005</v>
      </c>
      <c r="IW141" s="561">
        <v>247</v>
      </c>
      <c r="IX141" s="561">
        <v>12781</v>
      </c>
      <c r="IY141" s="561">
        <v>6553</v>
      </c>
      <c r="IZ141" s="561">
        <v>-2155</v>
      </c>
      <c r="JA141" s="561">
        <v>0</v>
      </c>
      <c r="JB141" s="561">
        <v>32409</v>
      </c>
      <c r="JC141" s="561">
        <v>33098</v>
      </c>
      <c r="JD141" s="561">
        <v>0</v>
      </c>
      <c r="JE141" s="561">
        <v>1069028</v>
      </c>
      <c r="JF141" s="561">
        <v>0</v>
      </c>
      <c r="JG141" s="561">
        <v>0</v>
      </c>
      <c r="JH141" s="561">
        <v>0</v>
      </c>
      <c r="JI141" s="561">
        <v>0</v>
      </c>
      <c r="JJ141" s="561">
        <v>0</v>
      </c>
      <c r="JK141" s="561">
        <v>0</v>
      </c>
      <c r="JL141" s="561">
        <v>0</v>
      </c>
      <c r="JM141" s="561">
        <v>0</v>
      </c>
      <c r="JN141" s="561">
        <v>0</v>
      </c>
      <c r="JO141" s="561">
        <v>1382</v>
      </c>
      <c r="JP141" s="561">
        <v>0</v>
      </c>
      <c r="JQ141" s="561">
        <v>0</v>
      </c>
      <c r="JR141" s="561">
        <v>0</v>
      </c>
      <c r="JS141" s="561">
        <v>0</v>
      </c>
      <c r="JT141" s="561">
        <v>-3801</v>
      </c>
      <c r="JU141" s="561">
        <v>0</v>
      </c>
      <c r="JV141" s="561">
        <v>1066609</v>
      </c>
      <c r="JW141" s="561">
        <v>1</v>
      </c>
      <c r="JX141" s="561">
        <v>5584</v>
      </c>
      <c r="JY141" s="561">
        <v>0</v>
      </c>
      <c r="JZ141" s="561">
        <v>0</v>
      </c>
      <c r="KA141" s="561">
        <v>2485</v>
      </c>
      <c r="KB141" s="561">
        <v>0</v>
      </c>
      <c r="KC141" s="561">
        <v>11618</v>
      </c>
      <c r="KD141" s="561">
        <v>0</v>
      </c>
      <c r="KE141" s="561">
        <v>11285</v>
      </c>
      <c r="KF141" s="561">
        <v>0</v>
      </c>
      <c r="KG141" s="561">
        <v>1097582</v>
      </c>
      <c r="KH141" s="561">
        <v>-12041</v>
      </c>
      <c r="KI141" s="561">
        <v>0</v>
      </c>
      <c r="KJ141" s="561">
        <v>176</v>
      </c>
      <c r="KK141" s="561">
        <v>0</v>
      </c>
      <c r="KL141" s="561">
        <v>-5014</v>
      </c>
      <c r="KM141" s="561">
        <v>0</v>
      </c>
      <c r="KN141" s="561">
        <v>0</v>
      </c>
      <c r="KO141" s="561">
        <v>0</v>
      </c>
      <c r="KP141" s="561">
        <v>0</v>
      </c>
      <c r="KQ141" s="561">
        <v>-32786</v>
      </c>
      <c r="KR141" s="561">
        <v>1047917</v>
      </c>
      <c r="KS141" s="561">
        <v>-1144</v>
      </c>
      <c r="KT141" s="561">
        <v>-628005</v>
      </c>
      <c r="KU141" s="561">
        <v>418768</v>
      </c>
      <c r="KV141" s="561">
        <v>0</v>
      </c>
      <c r="KW141" s="561">
        <v>-1787</v>
      </c>
      <c r="KX141" s="561">
        <v>0</v>
      </c>
      <c r="KY141" s="561">
        <v>687</v>
      </c>
      <c r="KZ141" s="561">
        <v>3527</v>
      </c>
      <c r="LA141" s="561">
        <v>4447</v>
      </c>
      <c r="LB141" s="561">
        <v>-11071</v>
      </c>
      <c r="LC141" s="561">
        <v>0</v>
      </c>
      <c r="LD141" s="561">
        <v>-27770</v>
      </c>
      <c r="LE141" s="561">
        <v>0</v>
      </c>
      <c r="LF141" s="561">
        <v>0</v>
      </c>
      <c r="LG141" s="561">
        <v>386801</v>
      </c>
      <c r="LH141" s="561">
        <v>25708</v>
      </c>
      <c r="LI141" s="561">
        <v>-45751</v>
      </c>
      <c r="LJ141" s="561">
        <v>0</v>
      </c>
      <c r="LK141" s="561">
        <v>3807</v>
      </c>
      <c r="LL141" s="561">
        <v>216308</v>
      </c>
      <c r="LM141" s="561">
        <v>32384</v>
      </c>
      <c r="LN141" s="561">
        <v>23921</v>
      </c>
      <c r="LO141" s="561">
        <v>-78537</v>
      </c>
      <c r="LP141" s="561">
        <v>0</v>
      </c>
      <c r="LQ141" s="561">
        <v>4494</v>
      </c>
      <c r="LR141" s="561">
        <v>219835</v>
      </c>
      <c r="LS141" s="561">
        <v>36831</v>
      </c>
      <c r="LT141" s="561">
        <v>0</v>
      </c>
      <c r="LU141" s="561">
        <v>0</v>
      </c>
      <c r="LV141" s="561">
        <v>8602</v>
      </c>
      <c r="LW141" s="561">
        <v>-55898</v>
      </c>
      <c r="LX141" s="561">
        <v>-40</v>
      </c>
      <c r="LY141" s="561">
        <v>-17245</v>
      </c>
      <c r="LZ141" s="561">
        <v>-17285</v>
      </c>
      <c r="MA141" s="561">
        <v>0</v>
      </c>
      <c r="MB141" s="561">
        <v>0</v>
      </c>
      <c r="MC141" s="561">
        <v>0</v>
      </c>
      <c r="MD141" s="561">
        <v>0</v>
      </c>
      <c r="ME141" s="561">
        <v>0</v>
      </c>
      <c r="MF141" s="561">
        <v>0</v>
      </c>
      <c r="MG141" s="561">
        <v>0</v>
      </c>
      <c r="MH141" s="561">
        <v>0</v>
      </c>
      <c r="MI141" s="561">
        <v>0</v>
      </c>
      <c r="MJ141" s="561">
        <v>0</v>
      </c>
      <c r="MK141" s="561">
        <v>0</v>
      </c>
      <c r="ML141" s="561">
        <v>7903</v>
      </c>
      <c r="MM141" s="561">
        <v>154231</v>
      </c>
      <c r="MN141" s="561">
        <v>33741</v>
      </c>
      <c r="MO141" s="561">
        <v>23960</v>
      </c>
      <c r="MP141" s="561">
        <v>0</v>
      </c>
      <c r="MQ141" s="561">
        <v>469576</v>
      </c>
      <c r="MR141" s="561">
        <v>58888</v>
      </c>
      <c r="MS141" s="561">
        <v>176397</v>
      </c>
      <c r="MT141" s="561">
        <v>250229</v>
      </c>
      <c r="MU141" s="561">
        <v>31005</v>
      </c>
      <c r="MV141" s="561">
        <v>247</v>
      </c>
      <c r="MW141" s="561">
        <v>12781</v>
      </c>
      <c r="MX141" s="561">
        <v>6553</v>
      </c>
      <c r="MY141" s="561">
        <v>-2155</v>
      </c>
      <c r="MZ141" s="561">
        <v>0</v>
      </c>
      <c r="NA141" s="561">
        <v>32409</v>
      </c>
      <c r="NB141" s="561">
        <v>33098</v>
      </c>
      <c r="NC141" s="561">
        <v>0</v>
      </c>
      <c r="ND141" s="561">
        <v>1069028</v>
      </c>
      <c r="NE141" s="561">
        <v>0</v>
      </c>
      <c r="NF141" s="561">
        <v>0</v>
      </c>
      <c r="NG141" s="561">
        <v>0</v>
      </c>
      <c r="NH141" s="561">
        <v>0</v>
      </c>
      <c r="NI141" s="561">
        <v>0</v>
      </c>
      <c r="NJ141" s="561">
        <v>0</v>
      </c>
      <c r="NK141" s="561">
        <v>0</v>
      </c>
      <c r="NL141" s="561">
        <v>0</v>
      </c>
      <c r="NM141" s="561">
        <v>0</v>
      </c>
      <c r="NN141" s="561">
        <v>0</v>
      </c>
      <c r="NO141" s="561">
        <v>0</v>
      </c>
      <c r="NP141" s="561">
        <v>0</v>
      </c>
      <c r="NQ141" s="561">
        <v>0</v>
      </c>
      <c r="NR141" s="561">
        <v>0</v>
      </c>
      <c r="NS141" s="561">
        <v>0</v>
      </c>
      <c r="NT141" s="561">
        <v>0</v>
      </c>
      <c r="NU141" s="561">
        <v>0</v>
      </c>
      <c r="NV141" s="561">
        <v>0</v>
      </c>
      <c r="NW141" s="561">
        <v>0</v>
      </c>
      <c r="NX141" s="561">
        <v>0</v>
      </c>
      <c r="NY141" s="561">
        <v>0</v>
      </c>
      <c r="NZ141" s="561">
        <v>0</v>
      </c>
      <c r="OA141" s="561">
        <v>0</v>
      </c>
      <c r="OB141" s="561">
        <v>0</v>
      </c>
      <c r="OC141" s="561">
        <v>0</v>
      </c>
      <c r="OD141" s="561">
        <v>0</v>
      </c>
      <c r="OE141" s="561">
        <v>0</v>
      </c>
      <c r="OF141" s="561">
        <v>0</v>
      </c>
      <c r="OG141" s="561">
        <v>0</v>
      </c>
      <c r="OH141" s="561">
        <v>0</v>
      </c>
      <c r="OI141" s="561">
        <v>0</v>
      </c>
      <c r="OJ141" s="561">
        <v>0</v>
      </c>
      <c r="OK141" s="561">
        <v>0</v>
      </c>
      <c r="OL141" s="561">
        <v>0</v>
      </c>
      <c r="OM141" s="561">
        <v>0</v>
      </c>
      <c r="ON141" s="561">
        <v>0</v>
      </c>
      <c r="OO141" s="561">
        <v>0</v>
      </c>
      <c r="OP141" s="561">
        <v>0</v>
      </c>
      <c r="OQ141" s="561">
        <v>0</v>
      </c>
      <c r="OR141" s="561">
        <v>0</v>
      </c>
      <c r="OS141" s="561">
        <v>0</v>
      </c>
      <c r="OT141" s="561">
        <v>0</v>
      </c>
      <c r="OU141" s="561">
        <v>0</v>
      </c>
      <c r="OV141" s="561">
        <v>0</v>
      </c>
      <c r="OW141" s="561">
        <v>0</v>
      </c>
      <c r="OX141" s="561">
        <v>0</v>
      </c>
      <c r="OY141" s="561">
        <v>0</v>
      </c>
      <c r="OZ141" s="561">
        <v>0</v>
      </c>
      <c r="PA141" s="561">
        <v>0</v>
      </c>
      <c r="PB141" s="561">
        <v>0</v>
      </c>
      <c r="PC141" s="561">
        <v>0</v>
      </c>
      <c r="PD141" s="561">
        <v>0</v>
      </c>
      <c r="PE141" s="561">
        <v>0</v>
      </c>
      <c r="PF141" s="561">
        <v>0</v>
      </c>
      <c r="PG141" s="561">
        <v>0</v>
      </c>
      <c r="PH141" s="561">
        <v>0</v>
      </c>
      <c r="PI141" s="561">
        <v>0</v>
      </c>
      <c r="PJ141" s="561">
        <v>0</v>
      </c>
    </row>
    <row r="142" spans="1:426" ht="14" x14ac:dyDescent="0.3">
      <c r="A142" t="s">
        <v>2858</v>
      </c>
      <c r="B142" t="s">
        <v>2859</v>
      </c>
      <c r="C142" t="s">
        <v>2860</v>
      </c>
      <c r="E142" t="s">
        <v>2466</v>
      </c>
      <c r="F142" s="561">
        <v>0</v>
      </c>
      <c r="G142" s="561">
        <v>0</v>
      </c>
      <c r="H142" s="561">
        <v>0</v>
      </c>
      <c r="I142" s="561">
        <v>0</v>
      </c>
      <c r="J142" s="561">
        <v>0</v>
      </c>
      <c r="K142" s="561">
        <v>0</v>
      </c>
      <c r="L142" s="561">
        <v>0</v>
      </c>
      <c r="M142" s="561">
        <v>0</v>
      </c>
      <c r="N142" s="561">
        <v>0</v>
      </c>
      <c r="O142" s="561">
        <v>0</v>
      </c>
      <c r="P142" s="561">
        <v>0</v>
      </c>
      <c r="Q142" s="561">
        <v>0</v>
      </c>
      <c r="R142" s="561">
        <v>0</v>
      </c>
      <c r="S142" s="561">
        <v>0</v>
      </c>
      <c r="T142" s="561">
        <v>0</v>
      </c>
      <c r="U142" s="561">
        <v>0</v>
      </c>
      <c r="V142" s="561">
        <v>0</v>
      </c>
      <c r="W142" s="561">
        <v>0</v>
      </c>
      <c r="X142" s="561">
        <v>0</v>
      </c>
      <c r="Y142" s="561">
        <v>0</v>
      </c>
      <c r="Z142" s="561">
        <v>0</v>
      </c>
      <c r="AA142" s="561">
        <v>0</v>
      </c>
      <c r="AB142" s="561">
        <v>0</v>
      </c>
      <c r="AC142" s="561">
        <v>0</v>
      </c>
      <c r="AD142" s="561">
        <v>0</v>
      </c>
      <c r="AE142" s="561">
        <v>0</v>
      </c>
      <c r="AF142" s="561">
        <v>0</v>
      </c>
      <c r="AG142" s="561">
        <v>0</v>
      </c>
      <c r="AH142" s="561">
        <v>0</v>
      </c>
      <c r="AI142" s="561">
        <v>0</v>
      </c>
      <c r="AJ142" s="561">
        <v>0</v>
      </c>
      <c r="AK142" s="561">
        <v>0</v>
      </c>
      <c r="AL142" s="561">
        <v>0</v>
      </c>
      <c r="AM142" s="561">
        <v>0</v>
      </c>
      <c r="AN142" s="561">
        <v>0</v>
      </c>
      <c r="AO142" s="561">
        <v>0</v>
      </c>
      <c r="AP142" s="561">
        <v>0</v>
      </c>
      <c r="AQ142" s="561">
        <v>0</v>
      </c>
      <c r="AR142" s="561">
        <v>0</v>
      </c>
      <c r="AS142" s="561">
        <v>0</v>
      </c>
      <c r="AT142" s="561">
        <v>0</v>
      </c>
      <c r="AU142" s="561">
        <v>0</v>
      </c>
      <c r="AV142" s="561">
        <v>0</v>
      </c>
      <c r="AW142" s="561">
        <v>0</v>
      </c>
      <c r="AX142" s="561">
        <v>0</v>
      </c>
      <c r="AY142" s="561">
        <v>0</v>
      </c>
      <c r="AZ142" s="561">
        <v>0</v>
      </c>
      <c r="BA142" s="561">
        <v>0</v>
      </c>
      <c r="BB142" s="561">
        <v>0</v>
      </c>
      <c r="BC142" s="561">
        <v>0</v>
      </c>
      <c r="BD142" s="561">
        <v>0</v>
      </c>
      <c r="BE142" s="561">
        <v>0</v>
      </c>
      <c r="BF142" s="561">
        <v>0</v>
      </c>
      <c r="BG142" s="561">
        <v>0</v>
      </c>
      <c r="BH142" s="561">
        <v>0</v>
      </c>
      <c r="BI142" s="561">
        <v>0</v>
      </c>
      <c r="BJ142" s="561">
        <v>0</v>
      </c>
      <c r="BK142" s="561">
        <v>0</v>
      </c>
      <c r="BL142" s="561">
        <v>0</v>
      </c>
      <c r="BM142" s="561">
        <v>0</v>
      </c>
      <c r="BN142" s="561">
        <v>0</v>
      </c>
      <c r="BO142" s="561">
        <v>0</v>
      </c>
      <c r="BP142" s="561">
        <v>0</v>
      </c>
      <c r="BQ142" s="561">
        <v>0</v>
      </c>
      <c r="BR142" s="561">
        <v>0</v>
      </c>
      <c r="BS142" s="561">
        <v>0</v>
      </c>
      <c r="BT142" s="561">
        <v>0</v>
      </c>
      <c r="BU142" s="561">
        <v>0</v>
      </c>
      <c r="BV142" s="561">
        <v>0</v>
      </c>
      <c r="BW142" s="561">
        <v>0</v>
      </c>
      <c r="BX142" s="561">
        <v>0</v>
      </c>
      <c r="BY142" s="561">
        <v>0</v>
      </c>
      <c r="BZ142" s="561">
        <v>0</v>
      </c>
      <c r="CA142" s="561">
        <v>0</v>
      </c>
      <c r="CB142" s="561">
        <v>0</v>
      </c>
      <c r="CC142" s="561">
        <v>0</v>
      </c>
      <c r="CD142" s="561">
        <v>0</v>
      </c>
      <c r="CE142" s="561">
        <v>0</v>
      </c>
      <c r="CF142" s="561">
        <v>0</v>
      </c>
      <c r="CG142" s="561">
        <v>0</v>
      </c>
      <c r="CH142" s="561">
        <v>0</v>
      </c>
      <c r="CI142" s="561">
        <v>0</v>
      </c>
      <c r="CJ142" s="561">
        <v>0</v>
      </c>
      <c r="CK142" s="561">
        <v>0</v>
      </c>
      <c r="CL142" s="561">
        <v>0</v>
      </c>
      <c r="CM142" s="561">
        <v>0</v>
      </c>
      <c r="CN142" s="561">
        <v>0</v>
      </c>
      <c r="CO142" s="561">
        <v>0</v>
      </c>
      <c r="CP142" s="561">
        <v>0</v>
      </c>
      <c r="CQ142" s="561">
        <v>0</v>
      </c>
      <c r="CR142" s="561">
        <v>0</v>
      </c>
      <c r="CS142" s="561">
        <v>0</v>
      </c>
      <c r="CT142" s="561">
        <v>0</v>
      </c>
      <c r="CU142" s="561">
        <v>0</v>
      </c>
      <c r="CV142" s="561">
        <v>0</v>
      </c>
      <c r="CW142" s="561">
        <v>0</v>
      </c>
      <c r="CX142" s="561">
        <v>0</v>
      </c>
      <c r="CY142" s="561">
        <v>0</v>
      </c>
      <c r="CZ142" s="561">
        <v>0</v>
      </c>
      <c r="DA142" s="561">
        <v>0</v>
      </c>
      <c r="DB142" s="561">
        <v>0</v>
      </c>
      <c r="DC142" s="561">
        <v>0</v>
      </c>
      <c r="DD142" s="561">
        <v>0</v>
      </c>
      <c r="DE142" s="561">
        <v>0</v>
      </c>
      <c r="DF142" s="561">
        <v>0</v>
      </c>
      <c r="DG142" s="561">
        <v>0</v>
      </c>
      <c r="DH142" s="561">
        <v>0</v>
      </c>
      <c r="DI142" s="561">
        <v>0</v>
      </c>
      <c r="DJ142" s="561">
        <v>0</v>
      </c>
      <c r="DK142" s="561">
        <v>0</v>
      </c>
      <c r="DL142" s="561">
        <v>0</v>
      </c>
      <c r="DM142" s="561">
        <v>0</v>
      </c>
      <c r="DN142" s="561">
        <v>0</v>
      </c>
      <c r="DO142" s="561">
        <v>0</v>
      </c>
      <c r="DP142" s="561">
        <v>0</v>
      </c>
      <c r="DQ142" s="561">
        <v>0</v>
      </c>
      <c r="DR142" s="561">
        <v>0</v>
      </c>
      <c r="DS142" s="561">
        <v>0</v>
      </c>
      <c r="DT142" s="561">
        <v>0</v>
      </c>
      <c r="DU142" s="561">
        <v>0</v>
      </c>
      <c r="DV142" s="561">
        <v>0</v>
      </c>
      <c r="DW142" s="561">
        <v>0</v>
      </c>
      <c r="DX142" s="561">
        <v>0</v>
      </c>
      <c r="DY142" s="561">
        <v>0</v>
      </c>
      <c r="DZ142" s="561">
        <v>0</v>
      </c>
      <c r="EA142" s="561">
        <v>0</v>
      </c>
      <c r="EB142" s="561">
        <v>0</v>
      </c>
      <c r="EC142" s="561">
        <v>0</v>
      </c>
      <c r="ED142" s="561">
        <v>0</v>
      </c>
      <c r="EE142" s="561">
        <v>0</v>
      </c>
      <c r="EF142" s="561">
        <v>0</v>
      </c>
      <c r="EG142" s="561">
        <v>0</v>
      </c>
      <c r="EH142" s="561">
        <v>0</v>
      </c>
      <c r="EI142" s="561">
        <v>0</v>
      </c>
      <c r="EJ142" s="561">
        <v>0</v>
      </c>
      <c r="EK142" s="561">
        <v>0</v>
      </c>
      <c r="EL142" s="561">
        <v>0</v>
      </c>
      <c r="EM142" s="561">
        <v>0</v>
      </c>
      <c r="EN142" s="561">
        <v>0</v>
      </c>
      <c r="EO142" s="561">
        <v>0</v>
      </c>
      <c r="EP142" s="561">
        <v>0</v>
      </c>
      <c r="EQ142" s="561">
        <v>0</v>
      </c>
      <c r="ER142" s="561">
        <v>0</v>
      </c>
      <c r="ES142" s="561" t="s">
        <v>4565</v>
      </c>
      <c r="ET142" s="561">
        <v>0</v>
      </c>
      <c r="EU142" s="561">
        <v>0</v>
      </c>
      <c r="EV142" s="561">
        <v>0</v>
      </c>
      <c r="EW142" s="561">
        <v>0</v>
      </c>
      <c r="EX142" s="561">
        <v>0</v>
      </c>
      <c r="EY142" s="561">
        <v>0</v>
      </c>
      <c r="EZ142" s="561">
        <v>0</v>
      </c>
      <c r="FA142" s="561">
        <v>0</v>
      </c>
      <c r="FB142" s="561">
        <v>0</v>
      </c>
      <c r="FC142" s="561">
        <v>0</v>
      </c>
      <c r="FD142" s="561">
        <v>0</v>
      </c>
      <c r="FE142" s="561">
        <v>0</v>
      </c>
      <c r="FF142" s="561">
        <v>0</v>
      </c>
      <c r="FG142" s="561">
        <v>0</v>
      </c>
      <c r="FH142" s="561">
        <v>0</v>
      </c>
      <c r="FI142" s="561">
        <v>0</v>
      </c>
      <c r="FJ142" s="561">
        <v>0</v>
      </c>
      <c r="FK142" s="561">
        <v>0</v>
      </c>
      <c r="FL142" s="561">
        <v>0</v>
      </c>
      <c r="FM142" s="561">
        <v>0</v>
      </c>
      <c r="FN142" s="561">
        <v>0</v>
      </c>
      <c r="FO142" s="561">
        <v>0</v>
      </c>
      <c r="FP142" s="561">
        <v>0</v>
      </c>
      <c r="FQ142" s="561">
        <v>0</v>
      </c>
      <c r="FR142" s="561">
        <v>0</v>
      </c>
      <c r="FS142" s="561">
        <v>0</v>
      </c>
      <c r="FT142" s="561">
        <v>0</v>
      </c>
      <c r="FU142" s="561">
        <v>0</v>
      </c>
      <c r="FV142" s="561">
        <v>0</v>
      </c>
      <c r="FW142" s="561">
        <v>0</v>
      </c>
      <c r="FX142" s="561">
        <v>0</v>
      </c>
      <c r="FY142" s="561">
        <v>0</v>
      </c>
      <c r="FZ142" s="561">
        <v>0</v>
      </c>
      <c r="GA142" s="561">
        <v>0</v>
      </c>
      <c r="GB142" s="561">
        <v>0</v>
      </c>
      <c r="GC142" s="561">
        <v>0</v>
      </c>
      <c r="GD142" s="561">
        <v>0</v>
      </c>
      <c r="GE142" s="561">
        <v>0</v>
      </c>
      <c r="GF142" s="561">
        <v>0</v>
      </c>
      <c r="GG142" s="561">
        <v>0</v>
      </c>
      <c r="GH142" s="561">
        <v>0</v>
      </c>
      <c r="GI142" s="561">
        <v>0</v>
      </c>
      <c r="GJ142" s="561">
        <v>0</v>
      </c>
      <c r="GK142" s="561">
        <v>0</v>
      </c>
      <c r="GL142" s="561">
        <v>0</v>
      </c>
      <c r="GM142" s="561">
        <v>0</v>
      </c>
      <c r="GN142" s="561">
        <v>0</v>
      </c>
      <c r="GO142" s="561">
        <v>0</v>
      </c>
      <c r="GP142" s="561">
        <v>0</v>
      </c>
      <c r="GQ142" s="561">
        <v>0</v>
      </c>
      <c r="GR142" s="561">
        <v>0</v>
      </c>
      <c r="GS142" s="561">
        <v>0</v>
      </c>
      <c r="GT142" s="561">
        <v>0</v>
      </c>
      <c r="GU142" s="561">
        <v>0</v>
      </c>
      <c r="GV142" s="561">
        <v>0</v>
      </c>
      <c r="GW142" s="561">
        <v>0</v>
      </c>
      <c r="GX142" s="561">
        <v>0</v>
      </c>
      <c r="GY142" s="561">
        <v>0</v>
      </c>
      <c r="GZ142" s="561">
        <v>0</v>
      </c>
      <c r="HA142" s="561">
        <v>0</v>
      </c>
      <c r="HB142" s="561">
        <v>0</v>
      </c>
      <c r="HC142" s="561">
        <v>0</v>
      </c>
      <c r="HD142" s="561">
        <v>0</v>
      </c>
      <c r="HE142" s="561">
        <v>0</v>
      </c>
      <c r="HF142" s="561">
        <v>0</v>
      </c>
      <c r="HG142" s="561">
        <v>0</v>
      </c>
      <c r="HH142" s="561">
        <v>171150</v>
      </c>
      <c r="HI142" s="561">
        <v>1001</v>
      </c>
      <c r="HJ142" s="561">
        <v>0</v>
      </c>
      <c r="HK142" s="561">
        <v>0</v>
      </c>
      <c r="HL142" s="561">
        <v>0</v>
      </c>
      <c r="HM142" s="561">
        <v>0</v>
      </c>
      <c r="HN142" s="561">
        <v>0</v>
      </c>
      <c r="HO142" s="561">
        <v>2191</v>
      </c>
      <c r="HP142" s="561">
        <v>0</v>
      </c>
      <c r="HQ142" s="561">
        <v>0</v>
      </c>
      <c r="HR142" s="561">
        <v>0</v>
      </c>
      <c r="HS142" s="561">
        <v>0</v>
      </c>
      <c r="HT142" s="561">
        <v>0</v>
      </c>
      <c r="HU142" s="561">
        <v>0</v>
      </c>
      <c r="HV142" s="561">
        <v>0</v>
      </c>
      <c r="HW142" s="561">
        <v>0</v>
      </c>
      <c r="HX142" s="561">
        <v>0</v>
      </c>
      <c r="HY142" s="561">
        <v>0</v>
      </c>
      <c r="HZ142" s="561">
        <v>0</v>
      </c>
      <c r="IA142" s="561">
        <v>0</v>
      </c>
      <c r="IB142" s="561">
        <v>0</v>
      </c>
      <c r="IC142" s="561">
        <v>0</v>
      </c>
      <c r="ID142" s="561">
        <v>0</v>
      </c>
      <c r="IE142" s="561">
        <v>977</v>
      </c>
      <c r="IF142" s="561">
        <v>0</v>
      </c>
      <c r="IG142" s="561">
        <v>0</v>
      </c>
      <c r="IH142" s="561">
        <v>0</v>
      </c>
      <c r="II142" s="561">
        <v>3168</v>
      </c>
      <c r="IJ142" s="561">
        <v>0</v>
      </c>
      <c r="IK142" s="561">
        <v>0</v>
      </c>
      <c r="IL142" s="561">
        <v>0</v>
      </c>
      <c r="IM142" s="561">
        <v>0</v>
      </c>
      <c r="IN142" s="561">
        <v>0</v>
      </c>
      <c r="IO142" s="561">
        <v>0</v>
      </c>
      <c r="IP142" s="561">
        <v>0</v>
      </c>
      <c r="IQ142" s="561">
        <v>0</v>
      </c>
      <c r="IR142" s="561">
        <v>0</v>
      </c>
      <c r="IS142" s="561">
        <v>0</v>
      </c>
      <c r="IT142" s="561">
        <v>0</v>
      </c>
      <c r="IU142" s="561">
        <v>0</v>
      </c>
      <c r="IV142" s="561">
        <v>0</v>
      </c>
      <c r="IW142" s="561">
        <v>0</v>
      </c>
      <c r="IX142" s="561">
        <v>0</v>
      </c>
      <c r="IY142" s="561">
        <v>0</v>
      </c>
      <c r="IZ142" s="561">
        <v>0</v>
      </c>
      <c r="JA142" s="561">
        <v>171150</v>
      </c>
      <c r="JB142" s="561">
        <v>0</v>
      </c>
      <c r="JC142" s="561">
        <v>3168</v>
      </c>
      <c r="JD142" s="561">
        <v>0</v>
      </c>
      <c r="JE142" s="561">
        <v>174318</v>
      </c>
      <c r="JF142" s="561">
        <v>0</v>
      </c>
      <c r="JG142" s="561">
        <v>0</v>
      </c>
      <c r="JH142" s="561">
        <v>0</v>
      </c>
      <c r="JI142" s="561">
        <v>0</v>
      </c>
      <c r="JJ142" s="561">
        <v>0</v>
      </c>
      <c r="JK142" s="561">
        <v>0</v>
      </c>
      <c r="JL142" s="561">
        <v>0</v>
      </c>
      <c r="JM142" s="561">
        <v>0</v>
      </c>
      <c r="JN142" s="561">
        <v>0</v>
      </c>
      <c r="JO142" s="561">
        <v>0</v>
      </c>
      <c r="JP142" s="561">
        <v>0</v>
      </c>
      <c r="JQ142" s="561">
        <v>0</v>
      </c>
      <c r="JR142" s="561">
        <v>0</v>
      </c>
      <c r="JS142" s="561">
        <v>0</v>
      </c>
      <c r="JT142" s="561">
        <v>-1149</v>
      </c>
      <c r="JU142" s="561">
        <v>0</v>
      </c>
      <c r="JV142" s="561">
        <v>173169</v>
      </c>
      <c r="JW142" s="561">
        <v>0</v>
      </c>
      <c r="JX142" s="561">
        <v>1900</v>
      </c>
      <c r="JY142" s="561">
        <v>0</v>
      </c>
      <c r="JZ142" s="561">
        <v>0</v>
      </c>
      <c r="KA142" s="561">
        <v>0</v>
      </c>
      <c r="KB142" s="561">
        <v>0</v>
      </c>
      <c r="KC142" s="561">
        <v>1590</v>
      </c>
      <c r="KD142" s="561">
        <v>0</v>
      </c>
      <c r="KE142" s="561">
        <v>1041</v>
      </c>
      <c r="KF142" s="561">
        <v>0</v>
      </c>
      <c r="KG142" s="561">
        <v>177700</v>
      </c>
      <c r="KH142" s="561">
        <v>-1433</v>
      </c>
      <c r="KI142" s="561">
        <v>0</v>
      </c>
      <c r="KJ142" s="561">
        <v>0</v>
      </c>
      <c r="KK142" s="561">
        <v>0</v>
      </c>
      <c r="KL142" s="561">
        <v>0</v>
      </c>
      <c r="KM142" s="561">
        <v>0</v>
      </c>
      <c r="KN142" s="561">
        <v>0</v>
      </c>
      <c r="KO142" s="561">
        <v>0</v>
      </c>
      <c r="KP142" s="561">
        <v>0</v>
      </c>
      <c r="KQ142" s="561">
        <v>0</v>
      </c>
      <c r="KR142" s="561">
        <v>176267</v>
      </c>
      <c r="KS142" s="561">
        <v>0</v>
      </c>
      <c r="KT142" s="561">
        <v>-17716</v>
      </c>
      <c r="KU142" s="561">
        <v>158551</v>
      </c>
      <c r="KV142" s="561">
        <v>0</v>
      </c>
      <c r="KW142" s="561">
        <v>0</v>
      </c>
      <c r="KX142" s="561">
        <v>0</v>
      </c>
      <c r="KY142" s="561">
        <v>0</v>
      </c>
      <c r="KZ142" s="561">
        <v>-4454</v>
      </c>
      <c r="LA142" s="561">
        <v>200</v>
      </c>
      <c r="LB142" s="561">
        <v>0</v>
      </c>
      <c r="LC142" s="561">
        <v>-79302</v>
      </c>
      <c r="LD142" s="561">
        <v>0</v>
      </c>
      <c r="LE142" s="561">
        <v>-508</v>
      </c>
      <c r="LF142" s="561">
        <v>0</v>
      </c>
      <c r="LG142" s="561">
        <v>74487</v>
      </c>
      <c r="LH142" s="561">
        <v>0</v>
      </c>
      <c r="LI142" s="561">
        <v>0</v>
      </c>
      <c r="LJ142" s="561">
        <v>0</v>
      </c>
      <c r="LK142" s="561">
        <v>0</v>
      </c>
      <c r="LL142" s="561">
        <v>19402</v>
      </c>
      <c r="LM142" s="561">
        <v>5835</v>
      </c>
      <c r="LN142" s="561">
        <v>0</v>
      </c>
      <c r="LO142" s="561">
        <v>0</v>
      </c>
      <c r="LP142" s="561">
        <v>0</v>
      </c>
      <c r="LQ142" s="561">
        <v>0</v>
      </c>
      <c r="LR142" s="561">
        <v>14948</v>
      </c>
      <c r="LS142" s="561">
        <v>6035</v>
      </c>
      <c r="LT142" s="561">
        <v>0</v>
      </c>
      <c r="LU142" s="561">
        <v>5450</v>
      </c>
      <c r="LV142" s="561">
        <v>0</v>
      </c>
      <c r="LW142" s="561">
        <v>842</v>
      </c>
      <c r="LX142" s="561">
        <v>0</v>
      </c>
      <c r="LY142" s="561">
        <v>0</v>
      </c>
      <c r="LZ142" s="561">
        <v>6292</v>
      </c>
      <c r="MA142" s="561">
        <v>0</v>
      </c>
      <c r="MB142" s="561">
        <v>0</v>
      </c>
      <c r="MC142" s="561">
        <v>0</v>
      </c>
      <c r="MD142" s="561">
        <v>0</v>
      </c>
      <c r="ME142" s="561">
        <v>0</v>
      </c>
      <c r="MF142" s="561">
        <v>0</v>
      </c>
      <c r="MG142" s="561">
        <v>0</v>
      </c>
      <c r="MH142" s="561">
        <v>0</v>
      </c>
      <c r="MI142" s="561">
        <v>0</v>
      </c>
      <c r="MJ142" s="561">
        <v>0</v>
      </c>
      <c r="MK142" s="561">
        <v>0</v>
      </c>
      <c r="ML142" s="561">
        <v>0</v>
      </c>
      <c r="MM142" s="561">
        <v>13813</v>
      </c>
      <c r="MN142" s="561">
        <v>1135</v>
      </c>
      <c r="MO142" s="561">
        <v>0</v>
      </c>
      <c r="MP142" s="561">
        <v>0</v>
      </c>
      <c r="MQ142" s="561">
        <v>0</v>
      </c>
      <c r="MR142" s="561">
        <v>0</v>
      </c>
      <c r="MS142" s="561">
        <v>0</v>
      </c>
      <c r="MT142" s="561">
        <v>0</v>
      </c>
      <c r="MU142" s="561">
        <v>0</v>
      </c>
      <c r="MV142" s="561">
        <v>0</v>
      </c>
      <c r="MW142" s="561">
        <v>0</v>
      </c>
      <c r="MX142" s="561">
        <v>0</v>
      </c>
      <c r="MY142" s="561">
        <v>0</v>
      </c>
      <c r="MZ142" s="561">
        <v>171150</v>
      </c>
      <c r="NA142" s="561">
        <v>0</v>
      </c>
      <c r="NB142" s="561">
        <v>3168</v>
      </c>
      <c r="NC142" s="561">
        <v>0</v>
      </c>
      <c r="ND142" s="561">
        <v>174318</v>
      </c>
      <c r="NE142" s="561">
        <v>0</v>
      </c>
      <c r="NF142" s="561">
        <v>0</v>
      </c>
      <c r="NG142" s="561">
        <v>0</v>
      </c>
      <c r="NH142" s="561">
        <v>0</v>
      </c>
      <c r="NI142" s="561">
        <v>0</v>
      </c>
      <c r="NJ142" s="561">
        <v>0</v>
      </c>
      <c r="NK142" s="561">
        <v>0</v>
      </c>
      <c r="NL142" s="561">
        <v>0</v>
      </c>
      <c r="NM142" s="561">
        <v>0</v>
      </c>
      <c r="NN142" s="561">
        <v>0</v>
      </c>
      <c r="NO142" s="561">
        <v>0</v>
      </c>
      <c r="NP142" s="561">
        <v>0</v>
      </c>
      <c r="NQ142" s="561">
        <v>0</v>
      </c>
      <c r="NR142" s="561">
        <v>0</v>
      </c>
      <c r="NS142" s="561">
        <v>0</v>
      </c>
      <c r="NT142" s="561">
        <v>0</v>
      </c>
      <c r="NU142" s="561">
        <v>0</v>
      </c>
      <c r="NV142" s="561">
        <v>0</v>
      </c>
      <c r="NW142" s="561">
        <v>0</v>
      </c>
      <c r="NX142" s="561">
        <v>0</v>
      </c>
      <c r="NY142" s="561">
        <v>0</v>
      </c>
      <c r="NZ142" s="561">
        <v>0</v>
      </c>
      <c r="OA142" s="561">
        <v>0</v>
      </c>
      <c r="OB142" s="561">
        <v>0</v>
      </c>
      <c r="OC142" s="561">
        <v>0</v>
      </c>
      <c r="OD142" s="561">
        <v>0</v>
      </c>
      <c r="OE142" s="561">
        <v>0</v>
      </c>
      <c r="OF142" s="561">
        <v>0</v>
      </c>
      <c r="OG142" s="561">
        <v>0</v>
      </c>
      <c r="OH142" s="561">
        <v>0</v>
      </c>
      <c r="OI142" s="561">
        <v>0</v>
      </c>
      <c r="OJ142" s="561">
        <v>0</v>
      </c>
      <c r="OK142" s="561">
        <v>0</v>
      </c>
      <c r="OL142" s="561">
        <v>0</v>
      </c>
      <c r="OM142" s="561">
        <v>0</v>
      </c>
      <c r="ON142" s="561">
        <v>0</v>
      </c>
      <c r="OO142" s="561">
        <v>0</v>
      </c>
      <c r="OP142" s="561">
        <v>0</v>
      </c>
      <c r="OQ142" s="561">
        <v>0</v>
      </c>
      <c r="OR142" s="561">
        <v>0</v>
      </c>
      <c r="OS142" s="561">
        <v>0</v>
      </c>
      <c r="OT142" s="561">
        <v>0</v>
      </c>
      <c r="OU142" s="561">
        <v>0</v>
      </c>
      <c r="OV142" s="561">
        <v>0</v>
      </c>
      <c r="OW142" s="561">
        <v>0</v>
      </c>
      <c r="OX142" s="561">
        <v>0</v>
      </c>
      <c r="OY142" s="561">
        <v>0</v>
      </c>
      <c r="OZ142" s="561">
        <v>0</v>
      </c>
      <c r="PA142" s="561">
        <v>0</v>
      </c>
      <c r="PB142" s="561">
        <v>0</v>
      </c>
      <c r="PC142" s="561">
        <v>0</v>
      </c>
      <c r="PD142" s="561">
        <v>0</v>
      </c>
      <c r="PE142" s="561">
        <v>0</v>
      </c>
      <c r="PF142" s="561">
        <v>0</v>
      </c>
      <c r="PG142" s="561">
        <v>0</v>
      </c>
      <c r="PH142" s="561">
        <v>0</v>
      </c>
      <c r="PI142" s="561">
        <v>0</v>
      </c>
      <c r="PJ142" s="561">
        <v>0</v>
      </c>
    </row>
    <row r="143" spans="1:426" ht="14" x14ac:dyDescent="0.3">
      <c r="A143" t="s">
        <v>2861</v>
      </c>
      <c r="B143" t="s">
        <v>2862</v>
      </c>
      <c r="C143" t="s">
        <v>2863</v>
      </c>
      <c r="E143" t="s">
        <v>384</v>
      </c>
      <c r="F143" s="561">
        <v>0</v>
      </c>
      <c r="G143" s="561">
        <v>0</v>
      </c>
      <c r="H143" s="561">
        <v>0</v>
      </c>
      <c r="I143" s="561">
        <v>0</v>
      </c>
      <c r="J143" s="561">
        <v>0</v>
      </c>
      <c r="K143" s="561">
        <v>0</v>
      </c>
      <c r="L143" s="561">
        <v>0</v>
      </c>
      <c r="M143" s="561">
        <v>0</v>
      </c>
      <c r="N143" s="561">
        <v>0</v>
      </c>
      <c r="O143" s="561">
        <v>0</v>
      </c>
      <c r="P143" s="561">
        <v>0</v>
      </c>
      <c r="Q143" s="561">
        <v>0</v>
      </c>
      <c r="R143" s="561">
        <v>20</v>
      </c>
      <c r="S143" s="561">
        <v>0</v>
      </c>
      <c r="T143" s="561">
        <v>51</v>
      </c>
      <c r="U143" s="561">
        <v>0</v>
      </c>
      <c r="V143" s="561">
        <v>24</v>
      </c>
      <c r="W143" s="561">
        <v>0</v>
      </c>
      <c r="X143" s="561">
        <v>0</v>
      </c>
      <c r="Y143" s="561">
        <v>0</v>
      </c>
      <c r="Z143" s="561">
        <v>0</v>
      </c>
      <c r="AA143" s="561">
        <v>0</v>
      </c>
      <c r="AB143" s="561">
        <v>-609</v>
      </c>
      <c r="AC143" s="561">
        <v>0</v>
      </c>
      <c r="AD143" s="561">
        <v>0</v>
      </c>
      <c r="AE143" s="561">
        <v>66</v>
      </c>
      <c r="AF143" s="561">
        <v>0</v>
      </c>
      <c r="AG143" s="561">
        <v>-12</v>
      </c>
      <c r="AH143" s="561">
        <v>0</v>
      </c>
      <c r="AI143" s="561">
        <v>0</v>
      </c>
      <c r="AJ143" s="561">
        <v>-460</v>
      </c>
      <c r="AK143" s="561">
        <v>0</v>
      </c>
      <c r="AL143" s="561">
        <v>0</v>
      </c>
      <c r="AM143" s="561">
        <v>0</v>
      </c>
      <c r="AN143" s="561">
        <v>0</v>
      </c>
      <c r="AO143" s="561">
        <v>0</v>
      </c>
      <c r="AP143" s="561">
        <v>0</v>
      </c>
      <c r="AQ143" s="561">
        <v>0</v>
      </c>
      <c r="AR143" s="561">
        <v>0</v>
      </c>
      <c r="AS143" s="561">
        <v>0</v>
      </c>
      <c r="AT143" s="561">
        <v>0</v>
      </c>
      <c r="AU143" s="561">
        <v>0</v>
      </c>
      <c r="AV143" s="561">
        <v>0</v>
      </c>
      <c r="AW143" s="561">
        <v>0</v>
      </c>
      <c r="AX143" s="561">
        <v>0</v>
      </c>
      <c r="AY143" s="561">
        <v>0</v>
      </c>
      <c r="AZ143" s="561">
        <v>0</v>
      </c>
      <c r="BA143" s="561">
        <v>0</v>
      </c>
      <c r="BB143" s="561">
        <v>0</v>
      </c>
      <c r="BC143" s="561">
        <v>0</v>
      </c>
      <c r="BD143" s="561">
        <v>0</v>
      </c>
      <c r="BE143" s="561">
        <v>0</v>
      </c>
      <c r="BF143" s="561">
        <v>0</v>
      </c>
      <c r="BG143" s="561">
        <v>0</v>
      </c>
      <c r="BH143" s="561">
        <v>0</v>
      </c>
      <c r="BI143" s="561">
        <v>0</v>
      </c>
      <c r="BJ143" s="561">
        <v>0</v>
      </c>
      <c r="BK143" s="561">
        <v>0</v>
      </c>
      <c r="BL143" s="561">
        <v>0</v>
      </c>
      <c r="BM143" s="561">
        <v>0</v>
      </c>
      <c r="BN143" s="561">
        <v>0</v>
      </c>
      <c r="BO143" s="561">
        <v>0</v>
      </c>
      <c r="BP143" s="561">
        <v>0</v>
      </c>
      <c r="BQ143" s="561">
        <v>0</v>
      </c>
      <c r="BR143" s="561">
        <v>0</v>
      </c>
      <c r="BS143" s="561">
        <v>0</v>
      </c>
      <c r="BT143" s="561">
        <v>0</v>
      </c>
      <c r="BU143" s="561">
        <v>0</v>
      </c>
      <c r="BV143" s="561">
        <v>0</v>
      </c>
      <c r="BW143" s="561">
        <v>0</v>
      </c>
      <c r="BX143" s="561">
        <v>0</v>
      </c>
      <c r="BY143" s="561">
        <v>0</v>
      </c>
      <c r="BZ143" s="561">
        <v>0</v>
      </c>
      <c r="CA143" s="561">
        <v>0</v>
      </c>
      <c r="CB143" s="561">
        <v>0</v>
      </c>
      <c r="CC143" s="561">
        <v>0</v>
      </c>
      <c r="CD143" s="561">
        <v>0</v>
      </c>
      <c r="CE143" s="561">
        <v>0</v>
      </c>
      <c r="CF143" s="561">
        <v>0</v>
      </c>
      <c r="CG143" s="561">
        <v>0</v>
      </c>
      <c r="CH143" s="561">
        <v>0</v>
      </c>
      <c r="CI143" s="561">
        <v>0</v>
      </c>
      <c r="CJ143" s="561">
        <v>0</v>
      </c>
      <c r="CK143" s="561">
        <v>0</v>
      </c>
      <c r="CL143" s="561">
        <v>0</v>
      </c>
      <c r="CM143" s="561">
        <v>0</v>
      </c>
      <c r="CN143" s="561">
        <v>0</v>
      </c>
      <c r="CO143" s="561">
        <v>0</v>
      </c>
      <c r="CP143" s="561">
        <v>0</v>
      </c>
      <c r="CQ143" s="561">
        <v>0</v>
      </c>
      <c r="CR143" s="561">
        <v>0</v>
      </c>
      <c r="CS143" s="561">
        <v>0</v>
      </c>
      <c r="CT143" s="561">
        <v>0</v>
      </c>
      <c r="CU143" s="561">
        <v>0</v>
      </c>
      <c r="CV143" s="561">
        <v>0</v>
      </c>
      <c r="CW143" s="561">
        <v>0</v>
      </c>
      <c r="CX143" s="561">
        <v>0</v>
      </c>
      <c r="CY143" s="561">
        <v>0</v>
      </c>
      <c r="CZ143" s="561">
        <v>0</v>
      </c>
      <c r="DA143" s="561">
        <v>0</v>
      </c>
      <c r="DB143" s="561">
        <v>0</v>
      </c>
      <c r="DC143" s="561">
        <v>0</v>
      </c>
      <c r="DD143" s="561">
        <v>0</v>
      </c>
      <c r="DE143" s="561">
        <v>0</v>
      </c>
      <c r="DF143" s="561">
        <v>0</v>
      </c>
      <c r="DG143" s="561">
        <v>0</v>
      </c>
      <c r="DH143" s="561">
        <v>0</v>
      </c>
      <c r="DI143" s="561">
        <v>0</v>
      </c>
      <c r="DJ143" s="561">
        <v>17</v>
      </c>
      <c r="DK143" s="561">
        <v>0</v>
      </c>
      <c r="DL143" s="561">
        <v>0</v>
      </c>
      <c r="DM143" s="561">
        <v>-483</v>
      </c>
      <c r="DN143" s="561">
        <v>0</v>
      </c>
      <c r="DO143" s="561">
        <v>-23</v>
      </c>
      <c r="DP143" s="561">
        <v>63</v>
      </c>
      <c r="DQ143" s="561">
        <v>0</v>
      </c>
      <c r="DR143" s="561">
        <v>227</v>
      </c>
      <c r="DS143" s="561">
        <v>202</v>
      </c>
      <c r="DT143" s="561">
        <v>641</v>
      </c>
      <c r="DU143" s="561">
        <v>627</v>
      </c>
      <c r="DV143" s="561">
        <v>0</v>
      </c>
      <c r="DW143" s="561">
        <v>64</v>
      </c>
      <c r="DX143" s="561">
        <v>0</v>
      </c>
      <c r="DY143" s="561">
        <v>603</v>
      </c>
      <c r="DZ143" s="561">
        <v>86</v>
      </c>
      <c r="EA143" s="561">
        <v>0</v>
      </c>
      <c r="EB143" s="561">
        <v>0</v>
      </c>
      <c r="EC143" s="561">
        <v>1397</v>
      </c>
      <c r="ED143" s="561">
        <v>44</v>
      </c>
      <c r="EE143" s="561">
        <v>17506</v>
      </c>
      <c r="EF143" s="561">
        <v>391</v>
      </c>
      <c r="EG143" s="561">
        <v>526</v>
      </c>
      <c r="EH143" s="561">
        <v>0</v>
      </c>
      <c r="EI143" s="561">
        <v>0</v>
      </c>
      <c r="EJ143" s="561">
        <v>443</v>
      </c>
      <c r="EK143" s="561">
        <v>0</v>
      </c>
      <c r="EL143" s="561">
        <v>0</v>
      </c>
      <c r="EM143" s="561">
        <v>-13</v>
      </c>
      <c r="EN143" s="561">
        <v>5950</v>
      </c>
      <c r="EO143" s="561">
        <v>5953</v>
      </c>
      <c r="EP143" s="561">
        <v>0</v>
      </c>
      <c r="EQ143" s="561">
        <v>54</v>
      </c>
      <c r="ER143" s="561">
        <v>2213</v>
      </c>
      <c r="ES143" s="561" t="s">
        <v>4565</v>
      </c>
      <c r="ET143" s="561">
        <v>0</v>
      </c>
      <c r="EU143" s="561">
        <v>105</v>
      </c>
      <c r="EV143" s="561">
        <v>50</v>
      </c>
      <c r="EW143" s="561">
        <v>0</v>
      </c>
      <c r="EX143" s="561">
        <v>3371</v>
      </c>
      <c r="EY143" s="561">
        <v>74</v>
      </c>
      <c r="EZ143" s="561">
        <v>1083</v>
      </c>
      <c r="FA143" s="561">
        <v>5178</v>
      </c>
      <c r="FB143" s="561">
        <v>0</v>
      </c>
      <c r="FC143" s="561">
        <v>13</v>
      </c>
      <c r="FD143" s="561">
        <v>27</v>
      </c>
      <c r="FE143" s="561">
        <v>52</v>
      </c>
      <c r="FF143" s="561">
        <v>0</v>
      </c>
      <c r="FG143" s="561">
        <v>0</v>
      </c>
      <c r="FH143" s="561">
        <v>51</v>
      </c>
      <c r="FI143" s="561">
        <v>0</v>
      </c>
      <c r="FJ143" s="561">
        <v>647</v>
      </c>
      <c r="FK143" s="561">
        <v>1693</v>
      </c>
      <c r="FL143" s="561">
        <v>65</v>
      </c>
      <c r="FM143" s="561">
        <v>145</v>
      </c>
      <c r="FN143" s="561">
        <v>0</v>
      </c>
      <c r="FO143" s="561">
        <v>2693</v>
      </c>
      <c r="FP143" s="561">
        <v>355</v>
      </c>
      <c r="FQ143" s="561">
        <v>131</v>
      </c>
      <c r="FR143" s="561">
        <v>0</v>
      </c>
      <c r="FS143" s="561">
        <v>129</v>
      </c>
      <c r="FT143" s="561">
        <v>0</v>
      </c>
      <c r="FU143" s="561">
        <v>89</v>
      </c>
      <c r="FV143" s="561">
        <v>86</v>
      </c>
      <c r="FW143" s="561">
        <v>72</v>
      </c>
      <c r="FX143" s="561">
        <v>0</v>
      </c>
      <c r="FY143" s="561">
        <v>0</v>
      </c>
      <c r="FZ143" s="561">
        <v>68</v>
      </c>
      <c r="GA143" s="561">
        <v>119</v>
      </c>
      <c r="GB143" s="561">
        <v>193</v>
      </c>
      <c r="GC143" s="561">
        <v>67</v>
      </c>
      <c r="GD143" s="561">
        <v>139</v>
      </c>
      <c r="GE143" s="561">
        <v>0</v>
      </c>
      <c r="GF143" s="561">
        <v>165</v>
      </c>
      <c r="GG143" s="561">
        <v>0</v>
      </c>
      <c r="GH143" s="561">
        <v>0</v>
      </c>
      <c r="GI143" s="561">
        <v>0</v>
      </c>
      <c r="GJ143" s="561">
        <v>102</v>
      </c>
      <c r="GK143" s="561">
        <v>0</v>
      </c>
      <c r="GL143" s="561">
        <v>722</v>
      </c>
      <c r="GM143" s="561">
        <v>1176</v>
      </c>
      <c r="GN143" s="561">
        <v>0</v>
      </c>
      <c r="GO143" s="561">
        <v>0</v>
      </c>
      <c r="GP143" s="561">
        <v>1051</v>
      </c>
      <c r="GQ143" s="561">
        <v>0</v>
      </c>
      <c r="GR143" s="561">
        <v>0</v>
      </c>
      <c r="GS143" s="561">
        <v>4309</v>
      </c>
      <c r="GT143" s="561">
        <v>50</v>
      </c>
      <c r="GU143" s="561">
        <v>70</v>
      </c>
      <c r="GV143" s="561">
        <v>356</v>
      </c>
      <c r="GW143" s="561">
        <v>87</v>
      </c>
      <c r="GX143" s="561">
        <v>401</v>
      </c>
      <c r="GY143" s="561">
        <v>0</v>
      </c>
      <c r="GZ143" s="561">
        <v>1374</v>
      </c>
      <c r="HA143" s="561">
        <v>0</v>
      </c>
      <c r="HB143" s="561">
        <v>0</v>
      </c>
      <c r="HC143" s="561">
        <v>5</v>
      </c>
      <c r="HD143" s="561">
        <v>2293</v>
      </c>
      <c r="HE143" s="561">
        <v>60</v>
      </c>
      <c r="HF143" s="561">
        <v>9295</v>
      </c>
      <c r="HG143" s="561">
        <v>0</v>
      </c>
      <c r="HH143" s="561">
        <v>0</v>
      </c>
      <c r="HI143" s="561">
        <v>0</v>
      </c>
      <c r="HJ143" s="561">
        <v>0</v>
      </c>
      <c r="HK143" s="561">
        <v>0</v>
      </c>
      <c r="HL143" s="561">
        <v>0</v>
      </c>
      <c r="HM143" s="561">
        <v>0</v>
      </c>
      <c r="HN143" s="561">
        <v>0</v>
      </c>
      <c r="HO143" s="561">
        <v>1983</v>
      </c>
      <c r="HP143" s="561">
        <v>644</v>
      </c>
      <c r="HQ143" s="561">
        <v>0</v>
      </c>
      <c r="HR143" s="561">
        <v>0</v>
      </c>
      <c r="HS143" s="561">
        <v>130</v>
      </c>
      <c r="HT143" s="561">
        <v>162</v>
      </c>
      <c r="HU143" s="561">
        <v>0</v>
      </c>
      <c r="HV143" s="561">
        <v>0</v>
      </c>
      <c r="HW143" s="561">
        <v>306</v>
      </c>
      <c r="HX143" s="561">
        <v>106</v>
      </c>
      <c r="HY143" s="561">
        <v>108</v>
      </c>
      <c r="HZ143" s="561">
        <v>28</v>
      </c>
      <c r="IA143" s="561">
        <v>0</v>
      </c>
      <c r="IB143" s="561">
        <v>279</v>
      </c>
      <c r="IC143" s="561">
        <v>0</v>
      </c>
      <c r="ID143" s="561">
        <v>0</v>
      </c>
      <c r="IE143" s="561">
        <v>170</v>
      </c>
      <c r="IF143" s="561">
        <v>0</v>
      </c>
      <c r="IG143" s="561">
        <v>0</v>
      </c>
      <c r="IH143" s="561">
        <v>0</v>
      </c>
      <c r="II143" s="561">
        <v>3916</v>
      </c>
      <c r="IJ143" s="561">
        <v>129</v>
      </c>
      <c r="IK143" s="561">
        <v>2352</v>
      </c>
      <c r="IL143" s="561">
        <v>7375</v>
      </c>
      <c r="IM143" s="561">
        <v>0</v>
      </c>
      <c r="IN143" s="561">
        <v>4782</v>
      </c>
      <c r="IO143" s="561">
        <v>31</v>
      </c>
      <c r="IP143" s="561">
        <v>20</v>
      </c>
      <c r="IQ143" s="561">
        <v>0</v>
      </c>
      <c r="IR143" s="561">
        <v>0</v>
      </c>
      <c r="IS143" s="561">
        <v>-460</v>
      </c>
      <c r="IT143" s="561">
        <v>0</v>
      </c>
      <c r="IU143" s="561">
        <v>0</v>
      </c>
      <c r="IV143" s="561">
        <v>0</v>
      </c>
      <c r="IW143" s="561">
        <v>1397</v>
      </c>
      <c r="IX143" s="561">
        <v>2693</v>
      </c>
      <c r="IY143" s="561">
        <v>4309</v>
      </c>
      <c r="IZ143" s="561">
        <v>2293</v>
      </c>
      <c r="JA143" s="561">
        <v>0</v>
      </c>
      <c r="JB143" s="561">
        <v>0</v>
      </c>
      <c r="JC143" s="561">
        <v>3916</v>
      </c>
      <c r="JD143" s="561">
        <v>20</v>
      </c>
      <c r="JE143" s="561">
        <v>14168</v>
      </c>
      <c r="JF143" s="561">
        <v>9780</v>
      </c>
      <c r="JG143" s="561">
        <v>1100</v>
      </c>
      <c r="JH143" s="561">
        <v>5857</v>
      </c>
      <c r="JI143" s="561">
        <v>0</v>
      </c>
      <c r="JJ143" s="561">
        <v>0</v>
      </c>
      <c r="JK143" s="561">
        <v>0</v>
      </c>
      <c r="JL143" s="561">
        <v>0</v>
      </c>
      <c r="JM143" s="561">
        <v>0</v>
      </c>
      <c r="JN143" s="561">
        <v>0</v>
      </c>
      <c r="JO143" s="561">
        <v>0</v>
      </c>
      <c r="JP143" s="561">
        <v>0</v>
      </c>
      <c r="JQ143" s="561">
        <v>0</v>
      </c>
      <c r="JR143" s="561">
        <v>0</v>
      </c>
      <c r="JS143" s="561">
        <v>0</v>
      </c>
      <c r="JT143" s="561">
        <v>31</v>
      </c>
      <c r="JU143" s="561">
        <v>0</v>
      </c>
      <c r="JV143" s="561">
        <v>30936</v>
      </c>
      <c r="JW143" s="561">
        <v>0</v>
      </c>
      <c r="JX143" s="561">
        <v>769</v>
      </c>
      <c r="JY143" s="561">
        <v>0</v>
      </c>
      <c r="JZ143" s="561">
        <v>0</v>
      </c>
      <c r="KA143" s="561">
        <v>0</v>
      </c>
      <c r="KB143" s="561">
        <v>-359</v>
      </c>
      <c r="KC143" s="561">
        <v>1086</v>
      </c>
      <c r="KD143" s="561">
        <v>133</v>
      </c>
      <c r="KE143" s="561">
        <v>1948</v>
      </c>
      <c r="KF143" s="561">
        <v>-1820</v>
      </c>
      <c r="KG143" s="561">
        <v>32693</v>
      </c>
      <c r="KH143" s="561">
        <v>-1254</v>
      </c>
      <c r="KI143" s="561">
        <v>0</v>
      </c>
      <c r="KJ143" s="561">
        <v>0</v>
      </c>
      <c r="KK143" s="561">
        <v>0</v>
      </c>
      <c r="KL143" s="561">
        <v>-16054</v>
      </c>
      <c r="KM143" s="561">
        <v>0</v>
      </c>
      <c r="KN143" s="561">
        <v>-89</v>
      </c>
      <c r="KO143" s="561">
        <v>0</v>
      </c>
      <c r="KP143" s="561">
        <v>0</v>
      </c>
      <c r="KQ143" s="561">
        <v>0</v>
      </c>
      <c r="KR143" s="561">
        <v>15296</v>
      </c>
      <c r="KS143" s="561">
        <v>0</v>
      </c>
      <c r="KT143" s="561">
        <v>-4185</v>
      </c>
      <c r="KU143" s="561">
        <v>11111</v>
      </c>
      <c r="KV143" s="561">
        <v>0</v>
      </c>
      <c r="KW143" s="561">
        <v>0</v>
      </c>
      <c r="KX143" s="561">
        <v>0</v>
      </c>
      <c r="KY143" s="561">
        <v>0</v>
      </c>
      <c r="KZ143" s="561">
        <v>1264</v>
      </c>
      <c r="LA143" s="561">
        <v>0</v>
      </c>
      <c r="LB143" s="561">
        <v>-84</v>
      </c>
      <c r="LC143" s="561">
        <v>0</v>
      </c>
      <c r="LD143" s="561">
        <v>-5530</v>
      </c>
      <c r="LE143" s="561">
        <v>129</v>
      </c>
      <c r="LF143" s="561">
        <v>0</v>
      </c>
      <c r="LG143" s="561">
        <v>6890</v>
      </c>
      <c r="LH143" s="561">
        <v>0</v>
      </c>
      <c r="LI143" s="561">
        <v>0</v>
      </c>
      <c r="LJ143" s="561">
        <v>0</v>
      </c>
      <c r="LK143" s="561">
        <v>0</v>
      </c>
      <c r="LL143" s="561">
        <v>11872</v>
      </c>
      <c r="LM143" s="561">
        <v>1000</v>
      </c>
      <c r="LN143" s="561">
        <v>0</v>
      </c>
      <c r="LO143" s="561">
        <v>0</v>
      </c>
      <c r="LP143" s="561">
        <v>0</v>
      </c>
      <c r="LQ143" s="561">
        <v>0</v>
      </c>
      <c r="LR143" s="561">
        <v>13136</v>
      </c>
      <c r="LS143" s="561">
        <v>1000</v>
      </c>
      <c r="LT143" s="561">
        <v>0</v>
      </c>
      <c r="LU143" s="561">
        <v>0</v>
      </c>
      <c r="LV143" s="561">
        <v>0</v>
      </c>
      <c r="LW143" s="561">
        <v>0</v>
      </c>
      <c r="LX143" s="561">
        <v>0</v>
      </c>
      <c r="LY143" s="561">
        <v>0</v>
      </c>
      <c r="LZ143" s="561">
        <v>0</v>
      </c>
      <c r="MA143" s="561">
        <v>0</v>
      </c>
      <c r="MB143" s="561">
        <v>0</v>
      </c>
      <c r="MC143" s="561">
        <v>18853</v>
      </c>
      <c r="MD143" s="561">
        <v>17770</v>
      </c>
      <c r="ME143" s="561">
        <v>1083</v>
      </c>
      <c r="MF143" s="561">
        <v>5178</v>
      </c>
      <c r="MG143" s="561">
        <v>6261</v>
      </c>
      <c r="MH143" s="561">
        <v>2334</v>
      </c>
      <c r="MI143" s="561">
        <v>2573</v>
      </c>
      <c r="MJ143" s="561">
        <v>4907</v>
      </c>
      <c r="MK143" s="561">
        <v>0</v>
      </c>
      <c r="ML143" s="561">
        <v>0</v>
      </c>
      <c r="MM143" s="561">
        <v>1311</v>
      </c>
      <c r="MN143" s="561">
        <v>0</v>
      </c>
      <c r="MO143" s="561">
        <v>3423</v>
      </c>
      <c r="MP143" s="561">
        <v>8402</v>
      </c>
      <c r="MQ143" s="561">
        <v>0</v>
      </c>
      <c r="MR143" s="561">
        <v>-460</v>
      </c>
      <c r="MS143" s="561">
        <v>0</v>
      </c>
      <c r="MT143" s="561">
        <v>0</v>
      </c>
      <c r="MU143" s="561">
        <v>0</v>
      </c>
      <c r="MV143" s="561">
        <v>1397</v>
      </c>
      <c r="MW143" s="561">
        <v>2693</v>
      </c>
      <c r="MX143" s="561">
        <v>4309</v>
      </c>
      <c r="MY143" s="561">
        <v>2293</v>
      </c>
      <c r="MZ143" s="561">
        <v>0</v>
      </c>
      <c r="NA143" s="561">
        <v>0</v>
      </c>
      <c r="NB143" s="561">
        <v>3916</v>
      </c>
      <c r="NC143" s="561">
        <v>20</v>
      </c>
      <c r="ND143" s="561">
        <v>14168</v>
      </c>
      <c r="NE143" s="561">
        <v>0</v>
      </c>
      <c r="NF143" s="561">
        <v>0</v>
      </c>
      <c r="NG143" s="561">
        <v>0</v>
      </c>
      <c r="NH143" s="561">
        <v>0</v>
      </c>
      <c r="NI143" s="561">
        <v>0</v>
      </c>
      <c r="NJ143" s="561">
        <v>0</v>
      </c>
      <c r="NK143" s="561">
        <v>0</v>
      </c>
      <c r="NL143" s="561">
        <v>0</v>
      </c>
      <c r="NM143" s="561">
        <v>0</v>
      </c>
      <c r="NN143" s="561">
        <v>0</v>
      </c>
      <c r="NO143" s="561">
        <v>0</v>
      </c>
      <c r="NP143" s="561">
        <v>0</v>
      </c>
      <c r="NQ143" s="561">
        <v>0</v>
      </c>
      <c r="NR143" s="561">
        <v>0</v>
      </c>
      <c r="NS143" s="561">
        <v>0</v>
      </c>
      <c r="NT143" s="561">
        <v>0</v>
      </c>
      <c r="NU143" s="561">
        <v>0</v>
      </c>
      <c r="NV143" s="561">
        <v>0</v>
      </c>
      <c r="NW143" s="561">
        <v>0</v>
      </c>
      <c r="NX143" s="561">
        <v>0</v>
      </c>
      <c r="NY143" s="561">
        <v>0</v>
      </c>
      <c r="NZ143" s="561">
        <v>0</v>
      </c>
      <c r="OA143" s="561">
        <v>0</v>
      </c>
      <c r="OB143" s="561">
        <v>0</v>
      </c>
      <c r="OC143" s="561">
        <v>0</v>
      </c>
      <c r="OD143" s="561">
        <v>0</v>
      </c>
      <c r="OE143" s="561">
        <v>0</v>
      </c>
      <c r="OF143" s="561">
        <v>0</v>
      </c>
      <c r="OG143" s="561">
        <v>0</v>
      </c>
      <c r="OH143" s="561">
        <v>0</v>
      </c>
      <c r="OI143" s="561">
        <v>0</v>
      </c>
      <c r="OJ143" s="561">
        <v>0</v>
      </c>
      <c r="OK143" s="561">
        <v>0</v>
      </c>
      <c r="OL143" s="561">
        <v>0</v>
      </c>
      <c r="OM143" s="561">
        <v>0</v>
      </c>
      <c r="ON143" s="561">
        <v>0</v>
      </c>
      <c r="OO143" s="561">
        <v>0</v>
      </c>
      <c r="OP143" s="561">
        <v>0</v>
      </c>
      <c r="OQ143" s="561">
        <v>0</v>
      </c>
      <c r="OR143" s="561">
        <v>0</v>
      </c>
      <c r="OS143" s="561">
        <v>0</v>
      </c>
      <c r="OT143" s="561">
        <v>0</v>
      </c>
      <c r="OU143" s="561">
        <v>0</v>
      </c>
      <c r="OV143" s="561">
        <v>0</v>
      </c>
      <c r="OW143" s="561">
        <v>0</v>
      </c>
      <c r="OX143" s="561">
        <v>0</v>
      </c>
      <c r="OY143" s="561">
        <v>0</v>
      </c>
      <c r="OZ143" s="561">
        <v>0</v>
      </c>
      <c r="PA143" s="561">
        <v>0</v>
      </c>
      <c r="PB143" s="561">
        <v>0</v>
      </c>
      <c r="PC143" s="561">
        <v>0</v>
      </c>
      <c r="PD143" s="561">
        <v>0</v>
      </c>
      <c r="PE143" s="561">
        <v>0</v>
      </c>
      <c r="PF143" s="561">
        <v>0</v>
      </c>
      <c r="PG143" s="561">
        <v>0</v>
      </c>
      <c r="PH143" s="561">
        <v>0</v>
      </c>
      <c r="PI143" s="561">
        <v>0</v>
      </c>
      <c r="PJ143" s="561">
        <v>0</v>
      </c>
    </row>
    <row r="144" spans="1:426" ht="14" x14ac:dyDescent="0.3">
      <c r="A144" t="s">
        <v>2864</v>
      </c>
      <c r="B144" t="s">
        <v>2865</v>
      </c>
      <c r="C144" t="s">
        <v>2866</v>
      </c>
      <c r="E144" t="s">
        <v>384</v>
      </c>
      <c r="F144" s="561">
        <v>0</v>
      </c>
      <c r="G144" s="561">
        <v>0</v>
      </c>
      <c r="H144" s="561">
        <v>0</v>
      </c>
      <c r="I144" s="561">
        <v>0</v>
      </c>
      <c r="J144" s="561">
        <v>0</v>
      </c>
      <c r="K144" s="561">
        <v>0</v>
      </c>
      <c r="L144" s="561">
        <v>0</v>
      </c>
      <c r="M144" s="561">
        <v>0</v>
      </c>
      <c r="N144" s="561">
        <v>0</v>
      </c>
      <c r="O144" s="561">
        <v>0</v>
      </c>
      <c r="P144" s="561">
        <v>0</v>
      </c>
      <c r="Q144" s="561">
        <v>0</v>
      </c>
      <c r="R144" s="561">
        <v>0</v>
      </c>
      <c r="S144" s="561">
        <v>0</v>
      </c>
      <c r="T144" s="561">
        <v>0</v>
      </c>
      <c r="U144" s="561">
        <v>0</v>
      </c>
      <c r="V144" s="561">
        <v>17</v>
      </c>
      <c r="W144" s="561">
        <v>0</v>
      </c>
      <c r="X144" s="561">
        <v>0</v>
      </c>
      <c r="Y144" s="561">
        <v>0</v>
      </c>
      <c r="Z144" s="561">
        <v>0</v>
      </c>
      <c r="AA144" s="561">
        <v>9</v>
      </c>
      <c r="AB144" s="561">
        <v>-851</v>
      </c>
      <c r="AC144" s="561">
        <v>0</v>
      </c>
      <c r="AD144" s="561">
        <v>0</v>
      </c>
      <c r="AE144" s="561">
        <v>0</v>
      </c>
      <c r="AF144" s="561">
        <v>0</v>
      </c>
      <c r="AG144" s="561">
        <v>0</v>
      </c>
      <c r="AH144" s="561">
        <v>2</v>
      </c>
      <c r="AI144" s="561">
        <v>147</v>
      </c>
      <c r="AJ144" s="561">
        <v>-676</v>
      </c>
      <c r="AK144" s="561">
        <v>0</v>
      </c>
      <c r="AL144" s="561">
        <v>0</v>
      </c>
      <c r="AM144" s="561">
        <v>0</v>
      </c>
      <c r="AN144" s="561">
        <v>0</v>
      </c>
      <c r="AO144" s="561">
        <v>0</v>
      </c>
      <c r="AP144" s="561">
        <v>0</v>
      </c>
      <c r="AQ144" s="561">
        <v>0</v>
      </c>
      <c r="AR144" s="561">
        <v>0</v>
      </c>
      <c r="AS144" s="561">
        <v>465</v>
      </c>
      <c r="AT144" s="561">
        <v>326</v>
      </c>
      <c r="AU144" s="561">
        <v>0</v>
      </c>
      <c r="AV144" s="561">
        <v>0</v>
      </c>
      <c r="AW144" s="561">
        <v>0</v>
      </c>
      <c r="AX144" s="561">
        <v>0</v>
      </c>
      <c r="AY144" s="561">
        <v>0</v>
      </c>
      <c r="AZ144" s="561">
        <v>0</v>
      </c>
      <c r="BA144" s="561">
        <v>0</v>
      </c>
      <c r="BB144" s="561">
        <v>0</v>
      </c>
      <c r="BC144" s="561">
        <v>0</v>
      </c>
      <c r="BD144" s="561">
        <v>0</v>
      </c>
      <c r="BE144" s="561">
        <v>0</v>
      </c>
      <c r="BF144" s="561">
        <v>0</v>
      </c>
      <c r="BG144" s="561">
        <v>0</v>
      </c>
      <c r="BH144" s="561">
        <v>0</v>
      </c>
      <c r="BI144" s="561">
        <v>0</v>
      </c>
      <c r="BJ144" s="561">
        <v>0</v>
      </c>
      <c r="BK144" s="561">
        <v>0</v>
      </c>
      <c r="BL144" s="561">
        <v>0</v>
      </c>
      <c r="BM144" s="561">
        <v>0</v>
      </c>
      <c r="BN144" s="561">
        <v>0</v>
      </c>
      <c r="BO144" s="561">
        <v>0</v>
      </c>
      <c r="BP144" s="561">
        <v>0</v>
      </c>
      <c r="BQ144" s="561">
        <v>0</v>
      </c>
      <c r="BR144" s="561">
        <v>0</v>
      </c>
      <c r="BS144" s="561">
        <v>0</v>
      </c>
      <c r="BT144" s="561">
        <v>0</v>
      </c>
      <c r="BU144" s="561">
        <v>0</v>
      </c>
      <c r="BV144" s="561">
        <v>0</v>
      </c>
      <c r="BW144" s="561">
        <v>0</v>
      </c>
      <c r="BX144" s="561">
        <v>0</v>
      </c>
      <c r="BY144" s="561">
        <v>0</v>
      </c>
      <c r="BZ144" s="561">
        <v>0</v>
      </c>
      <c r="CA144" s="561">
        <v>0</v>
      </c>
      <c r="CB144" s="561">
        <v>0</v>
      </c>
      <c r="CC144" s="561">
        <v>0</v>
      </c>
      <c r="CD144" s="561">
        <v>0</v>
      </c>
      <c r="CE144" s="561">
        <v>0</v>
      </c>
      <c r="CF144" s="561">
        <v>0</v>
      </c>
      <c r="CG144" s="561">
        <v>0</v>
      </c>
      <c r="CH144" s="561">
        <v>0</v>
      </c>
      <c r="CI144" s="561">
        <v>0</v>
      </c>
      <c r="CJ144" s="561">
        <v>0</v>
      </c>
      <c r="CK144" s="561">
        <v>0</v>
      </c>
      <c r="CL144" s="561">
        <v>0</v>
      </c>
      <c r="CM144" s="561">
        <v>0</v>
      </c>
      <c r="CN144" s="561">
        <v>0</v>
      </c>
      <c r="CO144" s="561">
        <v>0</v>
      </c>
      <c r="CP144" s="561">
        <v>0</v>
      </c>
      <c r="CQ144" s="561">
        <v>0</v>
      </c>
      <c r="CR144" s="561">
        <v>0</v>
      </c>
      <c r="CS144" s="561">
        <v>0</v>
      </c>
      <c r="CT144" s="561">
        <v>0</v>
      </c>
      <c r="CU144" s="561">
        <v>0</v>
      </c>
      <c r="CV144" s="561">
        <v>0</v>
      </c>
      <c r="CW144" s="561">
        <v>0</v>
      </c>
      <c r="CX144" s="561">
        <v>0</v>
      </c>
      <c r="CY144" s="561">
        <v>80</v>
      </c>
      <c r="CZ144" s="561">
        <v>80</v>
      </c>
      <c r="DA144" s="561">
        <v>0</v>
      </c>
      <c r="DB144" s="561">
        <v>0</v>
      </c>
      <c r="DC144" s="561">
        <v>0</v>
      </c>
      <c r="DD144" s="561">
        <v>0</v>
      </c>
      <c r="DE144" s="561">
        <v>0</v>
      </c>
      <c r="DF144" s="561">
        <v>0</v>
      </c>
      <c r="DG144" s="561">
        <v>0</v>
      </c>
      <c r="DH144" s="561">
        <v>139</v>
      </c>
      <c r="DI144" s="561">
        <v>0</v>
      </c>
      <c r="DJ144" s="561">
        <v>191</v>
      </c>
      <c r="DK144" s="561">
        <v>0</v>
      </c>
      <c r="DL144" s="561">
        <v>2427</v>
      </c>
      <c r="DM144" s="561">
        <v>0</v>
      </c>
      <c r="DN144" s="561">
        <v>0</v>
      </c>
      <c r="DO144" s="561">
        <v>0</v>
      </c>
      <c r="DP144" s="561">
        <v>0</v>
      </c>
      <c r="DQ144" s="561">
        <v>0</v>
      </c>
      <c r="DR144" s="561">
        <v>0</v>
      </c>
      <c r="DS144" s="561">
        <v>0</v>
      </c>
      <c r="DT144" s="561">
        <v>0</v>
      </c>
      <c r="DU144" s="561">
        <v>2427</v>
      </c>
      <c r="DV144" s="561">
        <v>614</v>
      </c>
      <c r="DW144" s="561">
        <v>0</v>
      </c>
      <c r="DX144" s="561">
        <v>0</v>
      </c>
      <c r="DY144" s="561">
        <v>-149</v>
      </c>
      <c r="DZ144" s="561">
        <v>-132</v>
      </c>
      <c r="EA144" s="561">
        <v>0</v>
      </c>
      <c r="EB144" s="561">
        <v>0</v>
      </c>
      <c r="EC144" s="561">
        <v>3090</v>
      </c>
      <c r="ED144" s="561">
        <v>0</v>
      </c>
      <c r="EE144" s="561">
        <v>33466</v>
      </c>
      <c r="EF144" s="561">
        <v>103</v>
      </c>
      <c r="EG144" s="561">
        <v>2610</v>
      </c>
      <c r="EH144" s="561">
        <v>780</v>
      </c>
      <c r="EI144" s="561">
        <v>0</v>
      </c>
      <c r="EJ144" s="561">
        <v>120</v>
      </c>
      <c r="EK144" s="561">
        <v>11</v>
      </c>
      <c r="EL144" s="561">
        <v>0</v>
      </c>
      <c r="EM144" s="561">
        <v>7</v>
      </c>
      <c r="EN144" s="561">
        <v>10166</v>
      </c>
      <c r="EO144" s="561">
        <v>9128</v>
      </c>
      <c r="EP144" s="561">
        <v>432</v>
      </c>
      <c r="EQ144" s="561">
        <v>0</v>
      </c>
      <c r="ER144" s="561">
        <v>2297</v>
      </c>
      <c r="ES144" s="561" t="s">
        <v>4565</v>
      </c>
      <c r="ET144" s="561">
        <v>11074</v>
      </c>
      <c r="EU144" s="561">
        <v>3707</v>
      </c>
      <c r="EV144" s="561">
        <v>0</v>
      </c>
      <c r="EW144" s="561">
        <v>0</v>
      </c>
      <c r="EX144" s="561">
        <v>0</v>
      </c>
      <c r="EY144" s="561">
        <v>293</v>
      </c>
      <c r="EZ144" s="561">
        <v>0</v>
      </c>
      <c r="FA144" s="561">
        <v>5254</v>
      </c>
      <c r="FB144" s="561">
        <v>0</v>
      </c>
      <c r="FC144" s="561">
        <v>417</v>
      </c>
      <c r="FD144" s="561">
        <v>23</v>
      </c>
      <c r="FE144" s="561">
        <v>0</v>
      </c>
      <c r="FF144" s="561">
        <v>217</v>
      </c>
      <c r="FG144" s="561">
        <v>-12</v>
      </c>
      <c r="FH144" s="561">
        <v>0</v>
      </c>
      <c r="FI144" s="561">
        <v>274</v>
      </c>
      <c r="FJ144" s="561">
        <v>88</v>
      </c>
      <c r="FK144" s="561">
        <v>519</v>
      </c>
      <c r="FL144" s="561">
        <v>0</v>
      </c>
      <c r="FM144" s="561">
        <v>101</v>
      </c>
      <c r="FN144" s="561">
        <v>0</v>
      </c>
      <c r="FO144" s="561">
        <v>1627</v>
      </c>
      <c r="FP144" s="561">
        <v>0</v>
      </c>
      <c r="FQ144" s="561">
        <v>469</v>
      </c>
      <c r="FR144" s="561">
        <v>0</v>
      </c>
      <c r="FS144" s="561">
        <v>0</v>
      </c>
      <c r="FT144" s="561">
        <v>-2</v>
      </c>
      <c r="FU144" s="561">
        <v>218</v>
      </c>
      <c r="FV144" s="561">
        <v>0</v>
      </c>
      <c r="FW144" s="561">
        <v>-2</v>
      </c>
      <c r="FX144" s="561">
        <v>0</v>
      </c>
      <c r="FY144" s="561">
        <v>0</v>
      </c>
      <c r="FZ144" s="561">
        <v>0</v>
      </c>
      <c r="GA144" s="561">
        <v>54</v>
      </c>
      <c r="GB144" s="561">
        <v>369</v>
      </c>
      <c r="GC144" s="561">
        <v>-9</v>
      </c>
      <c r="GD144" s="561">
        <v>0</v>
      </c>
      <c r="GE144" s="561">
        <v>448</v>
      </c>
      <c r="GF144" s="561">
        <v>129</v>
      </c>
      <c r="GG144" s="561">
        <v>0</v>
      </c>
      <c r="GH144" s="561">
        <v>0</v>
      </c>
      <c r="GI144" s="561">
        <v>49</v>
      </c>
      <c r="GJ144" s="561">
        <v>0</v>
      </c>
      <c r="GK144" s="561">
        <v>0</v>
      </c>
      <c r="GL144" s="561">
        <v>1926</v>
      </c>
      <c r="GM144" s="561">
        <v>1629</v>
      </c>
      <c r="GN144" s="561">
        <v>0</v>
      </c>
      <c r="GO144" s="561">
        <v>-144</v>
      </c>
      <c r="GP144" s="561">
        <v>849</v>
      </c>
      <c r="GQ144" s="561">
        <v>0</v>
      </c>
      <c r="GR144" s="561">
        <v>0</v>
      </c>
      <c r="GS144" s="561">
        <v>5983</v>
      </c>
      <c r="GT144" s="561">
        <v>0</v>
      </c>
      <c r="GU144" s="561">
        <v>52</v>
      </c>
      <c r="GV144" s="561">
        <v>481</v>
      </c>
      <c r="GW144" s="561">
        <v>0</v>
      </c>
      <c r="GX144" s="561">
        <v>520</v>
      </c>
      <c r="GY144" s="561">
        <v>2</v>
      </c>
      <c r="GZ144" s="561">
        <v>480</v>
      </c>
      <c r="HA144" s="561">
        <v>0</v>
      </c>
      <c r="HB144" s="561">
        <v>-384</v>
      </c>
      <c r="HC144" s="561">
        <v>222</v>
      </c>
      <c r="HD144" s="561">
        <v>1373</v>
      </c>
      <c r="HE144" s="561">
        <v>0</v>
      </c>
      <c r="HF144" s="561">
        <v>8983</v>
      </c>
      <c r="HG144" s="561">
        <v>0</v>
      </c>
      <c r="HH144" s="561">
        <v>0</v>
      </c>
      <c r="HI144" s="561">
        <v>0</v>
      </c>
      <c r="HJ144" s="561">
        <v>0</v>
      </c>
      <c r="HK144" s="561">
        <v>0</v>
      </c>
      <c r="HL144" s="561">
        <v>0</v>
      </c>
      <c r="HM144" s="561">
        <v>0</v>
      </c>
      <c r="HN144" s="561">
        <v>0</v>
      </c>
      <c r="HO144" s="561">
        <v>841</v>
      </c>
      <c r="HP144" s="561">
        <v>-387</v>
      </c>
      <c r="HQ144" s="561">
        <v>-245</v>
      </c>
      <c r="HR144" s="561">
        <v>0</v>
      </c>
      <c r="HS144" s="561">
        <v>0</v>
      </c>
      <c r="HT144" s="561">
        <v>-101</v>
      </c>
      <c r="HU144" s="561">
        <v>0</v>
      </c>
      <c r="HV144" s="561">
        <v>0</v>
      </c>
      <c r="HW144" s="561">
        <v>51</v>
      </c>
      <c r="HX144" s="561">
        <v>344</v>
      </c>
      <c r="HY144" s="561">
        <v>7</v>
      </c>
      <c r="HZ144" s="561">
        <v>67</v>
      </c>
      <c r="IA144" s="561">
        <v>0</v>
      </c>
      <c r="IB144" s="561">
        <v>102</v>
      </c>
      <c r="IC144" s="561">
        <v>0</v>
      </c>
      <c r="ID144" s="561">
        <v>0</v>
      </c>
      <c r="IE144" s="561">
        <v>504</v>
      </c>
      <c r="IF144" s="561">
        <v>0</v>
      </c>
      <c r="IG144" s="561">
        <v>0</v>
      </c>
      <c r="IH144" s="561">
        <v>5134</v>
      </c>
      <c r="II144" s="561">
        <v>6317</v>
      </c>
      <c r="IJ144" s="561">
        <v>0</v>
      </c>
      <c r="IK144" s="561">
        <v>1991</v>
      </c>
      <c r="IL144" s="561">
        <v>1648</v>
      </c>
      <c r="IM144" s="561">
        <v>0</v>
      </c>
      <c r="IN144" s="561">
        <v>0</v>
      </c>
      <c r="IO144" s="561">
        <v>1117</v>
      </c>
      <c r="IP144" s="561">
        <v>0</v>
      </c>
      <c r="IQ144" s="561">
        <v>0</v>
      </c>
      <c r="IR144" s="561">
        <v>0</v>
      </c>
      <c r="IS144" s="561">
        <v>-676</v>
      </c>
      <c r="IT144" s="561">
        <v>0</v>
      </c>
      <c r="IU144" s="561">
        <v>0</v>
      </c>
      <c r="IV144" s="561">
        <v>80</v>
      </c>
      <c r="IW144" s="561">
        <v>3090</v>
      </c>
      <c r="IX144" s="561">
        <v>1627</v>
      </c>
      <c r="IY144" s="561">
        <v>5983</v>
      </c>
      <c r="IZ144" s="561">
        <v>1373</v>
      </c>
      <c r="JA144" s="561">
        <v>0</v>
      </c>
      <c r="JB144" s="561">
        <v>0</v>
      </c>
      <c r="JC144" s="561">
        <v>6317</v>
      </c>
      <c r="JD144" s="561">
        <v>0</v>
      </c>
      <c r="JE144" s="561">
        <v>17794</v>
      </c>
      <c r="JF144" s="561">
        <v>9000</v>
      </c>
      <c r="JG144" s="561">
        <v>364</v>
      </c>
      <c r="JH144" s="561">
        <v>9592</v>
      </c>
      <c r="JI144" s="561">
        <v>0</v>
      </c>
      <c r="JJ144" s="561">
        <v>11</v>
      </c>
      <c r="JK144" s="561">
        <v>625</v>
      </c>
      <c r="JL144" s="561">
        <v>0</v>
      </c>
      <c r="JM144" s="561">
        <v>0</v>
      </c>
      <c r="JN144" s="561">
        <v>0</v>
      </c>
      <c r="JO144" s="561">
        <v>0</v>
      </c>
      <c r="JP144" s="561">
        <v>-2886</v>
      </c>
      <c r="JQ144" s="561">
        <v>0</v>
      </c>
      <c r="JR144" s="561">
        <v>-2687</v>
      </c>
      <c r="JS144" s="561">
        <v>0</v>
      </c>
      <c r="JT144" s="561">
        <v>0</v>
      </c>
      <c r="JU144" s="561">
        <v>0</v>
      </c>
      <c r="JV144" s="561">
        <v>31813</v>
      </c>
      <c r="JW144" s="561">
        <v>0</v>
      </c>
      <c r="JX144" s="561">
        <v>2090</v>
      </c>
      <c r="JY144" s="561">
        <v>0</v>
      </c>
      <c r="JZ144" s="561">
        <v>0</v>
      </c>
      <c r="KA144" s="561">
        <v>0</v>
      </c>
      <c r="KB144" s="561">
        <v>-665</v>
      </c>
      <c r="KC144" s="561">
        <v>588</v>
      </c>
      <c r="KD144" s="561">
        <v>0</v>
      </c>
      <c r="KE144" s="561">
        <v>6812</v>
      </c>
      <c r="KF144" s="561">
        <v>-2192</v>
      </c>
      <c r="KG144" s="561">
        <v>38446</v>
      </c>
      <c r="KH144" s="561">
        <v>-3165</v>
      </c>
      <c r="KI144" s="561">
        <v>0</v>
      </c>
      <c r="KJ144" s="561">
        <v>0</v>
      </c>
      <c r="KK144" s="561">
        <v>0</v>
      </c>
      <c r="KL144" s="561">
        <v>-18992</v>
      </c>
      <c r="KM144" s="561">
        <v>0</v>
      </c>
      <c r="KN144" s="561">
        <v>0</v>
      </c>
      <c r="KO144" s="561">
        <v>0</v>
      </c>
      <c r="KP144" s="561">
        <v>0</v>
      </c>
      <c r="KQ144" s="561">
        <v>0</v>
      </c>
      <c r="KR144" s="561">
        <v>16289</v>
      </c>
      <c r="KS144" s="561">
        <v>0</v>
      </c>
      <c r="KT144" s="561">
        <v>-3946</v>
      </c>
      <c r="KU144" s="561">
        <v>12343</v>
      </c>
      <c r="KV144" s="561">
        <v>0</v>
      </c>
      <c r="KW144" s="561">
        <v>0</v>
      </c>
      <c r="KX144" s="561">
        <v>0</v>
      </c>
      <c r="KY144" s="561">
        <v>0</v>
      </c>
      <c r="KZ144" s="561">
        <v>-770</v>
      </c>
      <c r="LA144" s="561">
        <v>-1015</v>
      </c>
      <c r="LB144" s="561">
        <v>-120</v>
      </c>
      <c r="LC144" s="561">
        <v>0</v>
      </c>
      <c r="LD144" s="561">
        <v>-3976</v>
      </c>
      <c r="LE144" s="561">
        <v>2479</v>
      </c>
      <c r="LF144" s="561">
        <v>0</v>
      </c>
      <c r="LG144" s="561">
        <v>8941</v>
      </c>
      <c r="LH144" s="561">
        <v>0</v>
      </c>
      <c r="LI144" s="561">
        <v>0</v>
      </c>
      <c r="LJ144" s="561">
        <v>0</v>
      </c>
      <c r="LK144" s="561">
        <v>0</v>
      </c>
      <c r="LL144" s="561">
        <v>14759</v>
      </c>
      <c r="LM144" s="561">
        <v>6350</v>
      </c>
      <c r="LN144" s="561">
        <v>0</v>
      </c>
      <c r="LO144" s="561">
        <v>0</v>
      </c>
      <c r="LP144" s="561">
        <v>0</v>
      </c>
      <c r="LQ144" s="561">
        <v>0</v>
      </c>
      <c r="LR144" s="561">
        <v>13989</v>
      </c>
      <c r="LS144" s="561">
        <v>5335</v>
      </c>
      <c r="LT144" s="561">
        <v>0</v>
      </c>
      <c r="LU144" s="561">
        <v>1190</v>
      </c>
      <c r="LV144" s="561">
        <v>0</v>
      </c>
      <c r="LW144" s="561">
        <v>-76</v>
      </c>
      <c r="LX144" s="561">
        <v>-2471</v>
      </c>
      <c r="LY144" s="561">
        <v>1275</v>
      </c>
      <c r="LZ144" s="561">
        <v>1909</v>
      </c>
      <c r="MA144" s="561">
        <v>0</v>
      </c>
      <c r="MB144" s="561">
        <v>0</v>
      </c>
      <c r="MC144" s="561">
        <v>37097</v>
      </c>
      <c r="MD144" s="561">
        <v>37097</v>
      </c>
      <c r="ME144" s="561">
        <v>0</v>
      </c>
      <c r="MF144" s="561">
        <v>5254</v>
      </c>
      <c r="MG144" s="561">
        <v>5254</v>
      </c>
      <c r="MH144" s="561">
        <v>2238</v>
      </c>
      <c r="MI144" s="561">
        <v>5706</v>
      </c>
      <c r="MJ144" s="561">
        <v>7944</v>
      </c>
      <c r="MK144" s="561">
        <v>0</v>
      </c>
      <c r="ML144" s="561">
        <v>0</v>
      </c>
      <c r="MM144" s="561">
        <v>7275</v>
      </c>
      <c r="MN144" s="561">
        <v>6714</v>
      </c>
      <c r="MO144" s="561">
        <v>0</v>
      </c>
      <c r="MP144" s="561">
        <v>0</v>
      </c>
      <c r="MQ144" s="561">
        <v>0</v>
      </c>
      <c r="MR144" s="561">
        <v>-676</v>
      </c>
      <c r="MS144" s="561">
        <v>0</v>
      </c>
      <c r="MT144" s="561">
        <v>0</v>
      </c>
      <c r="MU144" s="561">
        <v>80</v>
      </c>
      <c r="MV144" s="561">
        <v>3090</v>
      </c>
      <c r="MW144" s="561">
        <v>1627</v>
      </c>
      <c r="MX144" s="561">
        <v>5983</v>
      </c>
      <c r="MY144" s="561">
        <v>1373</v>
      </c>
      <c r="MZ144" s="561">
        <v>0</v>
      </c>
      <c r="NA144" s="561">
        <v>0</v>
      </c>
      <c r="NB144" s="561">
        <v>6317</v>
      </c>
      <c r="NC144" s="561">
        <v>0</v>
      </c>
      <c r="ND144" s="561">
        <v>17794</v>
      </c>
      <c r="NE144" s="561">
        <v>0</v>
      </c>
      <c r="NF144" s="561">
        <v>0</v>
      </c>
      <c r="NG144" s="561">
        <v>0</v>
      </c>
      <c r="NH144" s="561">
        <v>0</v>
      </c>
      <c r="NI144" s="561">
        <v>0</v>
      </c>
      <c r="NJ144" s="561">
        <v>0</v>
      </c>
      <c r="NK144" s="561">
        <v>0</v>
      </c>
      <c r="NL144" s="561">
        <v>0</v>
      </c>
      <c r="NM144" s="561">
        <v>-36</v>
      </c>
      <c r="NN144" s="561">
        <v>0</v>
      </c>
      <c r="NO144" s="561">
        <v>0</v>
      </c>
      <c r="NP144" s="561">
        <v>0</v>
      </c>
      <c r="NQ144" s="561">
        <v>0</v>
      </c>
      <c r="NR144" s="561">
        <v>0</v>
      </c>
      <c r="NS144" s="561">
        <v>0</v>
      </c>
      <c r="NT144" s="561">
        <v>-353</v>
      </c>
      <c r="NU144" s="561">
        <v>-2426</v>
      </c>
      <c r="NV144" s="561">
        <v>0</v>
      </c>
      <c r="NW144" s="561">
        <v>-5573</v>
      </c>
      <c r="NX144" s="561">
        <v>2687</v>
      </c>
      <c r="NY144" s="561">
        <v>-2886</v>
      </c>
      <c r="NZ144" s="561">
        <v>0</v>
      </c>
      <c r="OA144" s="561">
        <v>0</v>
      </c>
      <c r="OB144" s="561">
        <v>0</v>
      </c>
      <c r="OC144" s="561">
        <v>0</v>
      </c>
      <c r="OD144" s="561">
        <v>0</v>
      </c>
      <c r="OE144" s="561">
        <v>0</v>
      </c>
      <c r="OF144" s="561">
        <v>0</v>
      </c>
      <c r="OG144" s="561">
        <v>0</v>
      </c>
      <c r="OH144" s="561">
        <v>0</v>
      </c>
      <c r="OI144" s="561">
        <v>0</v>
      </c>
      <c r="OJ144" s="561">
        <v>0</v>
      </c>
      <c r="OK144" s="561">
        <v>0</v>
      </c>
      <c r="OL144" s="561">
        <v>0</v>
      </c>
      <c r="OM144" s="561">
        <v>0</v>
      </c>
      <c r="ON144" s="561">
        <v>0</v>
      </c>
      <c r="OO144" s="561">
        <v>0</v>
      </c>
      <c r="OP144" s="561">
        <v>0</v>
      </c>
      <c r="OQ144" s="561">
        <v>0</v>
      </c>
      <c r="OR144" s="561">
        <v>0</v>
      </c>
      <c r="OS144" s="561">
        <v>0</v>
      </c>
      <c r="OT144" s="561">
        <v>0</v>
      </c>
      <c r="OU144" s="561">
        <v>0</v>
      </c>
      <c r="OV144" s="561">
        <v>0</v>
      </c>
      <c r="OW144" s="561">
        <v>0</v>
      </c>
      <c r="OX144" s="561">
        <v>0</v>
      </c>
      <c r="OY144" s="561">
        <v>0</v>
      </c>
      <c r="OZ144" s="561">
        <v>0</v>
      </c>
      <c r="PA144" s="561">
        <v>2687</v>
      </c>
      <c r="PB144" s="561">
        <v>0</v>
      </c>
      <c r="PC144" s="561">
        <v>0</v>
      </c>
      <c r="PD144" s="561">
        <v>2687</v>
      </c>
      <c r="PE144" s="561">
        <v>0</v>
      </c>
      <c r="PF144" s="561">
        <v>0</v>
      </c>
      <c r="PG144" s="561">
        <v>0</v>
      </c>
      <c r="PH144" s="561">
        <v>0</v>
      </c>
      <c r="PI144" s="561">
        <v>0</v>
      </c>
      <c r="PJ144" s="561">
        <v>0</v>
      </c>
    </row>
    <row r="145" spans="1:426" ht="14" x14ac:dyDescent="0.3">
      <c r="A145" t="s">
        <v>2867</v>
      </c>
      <c r="B145" t="s">
        <v>2868</v>
      </c>
      <c r="C145" t="s">
        <v>2869</v>
      </c>
      <c r="E145" t="s">
        <v>384</v>
      </c>
      <c r="F145" s="561">
        <v>0</v>
      </c>
      <c r="G145" s="561">
        <v>0</v>
      </c>
      <c r="H145" s="561">
        <v>0</v>
      </c>
      <c r="I145" s="561">
        <v>0</v>
      </c>
      <c r="J145" s="561">
        <v>0</v>
      </c>
      <c r="K145" s="561">
        <v>0</v>
      </c>
      <c r="L145" s="561">
        <v>0</v>
      </c>
      <c r="M145" s="561">
        <v>0</v>
      </c>
      <c r="N145" s="561">
        <v>0</v>
      </c>
      <c r="O145" s="561">
        <v>0</v>
      </c>
      <c r="P145" s="561">
        <v>0</v>
      </c>
      <c r="Q145" s="561">
        <v>0</v>
      </c>
      <c r="R145" s="561">
        <v>0</v>
      </c>
      <c r="S145" s="561">
        <v>997</v>
      </c>
      <c r="T145" s="561">
        <v>0</v>
      </c>
      <c r="U145" s="561">
        <v>0</v>
      </c>
      <c r="V145" s="561">
        <v>243</v>
      </c>
      <c r="W145" s="561">
        <v>0</v>
      </c>
      <c r="X145" s="561">
        <v>0</v>
      </c>
      <c r="Y145" s="561">
        <v>0</v>
      </c>
      <c r="Z145" s="561">
        <v>0</v>
      </c>
      <c r="AA145" s="561">
        <v>-7</v>
      </c>
      <c r="AB145" s="561">
        <v>-1071</v>
      </c>
      <c r="AC145" s="561">
        <v>0</v>
      </c>
      <c r="AD145" s="561">
        <v>0</v>
      </c>
      <c r="AE145" s="561">
        <v>0</v>
      </c>
      <c r="AF145" s="561">
        <v>0</v>
      </c>
      <c r="AG145" s="561">
        <v>0</v>
      </c>
      <c r="AH145" s="561">
        <v>0</v>
      </c>
      <c r="AI145" s="561">
        <v>0</v>
      </c>
      <c r="AJ145" s="561">
        <v>162</v>
      </c>
      <c r="AK145" s="561">
        <v>0</v>
      </c>
      <c r="AL145" s="561">
        <v>0</v>
      </c>
      <c r="AM145" s="561">
        <v>0</v>
      </c>
      <c r="AN145" s="561">
        <v>0</v>
      </c>
      <c r="AO145" s="561">
        <v>0</v>
      </c>
      <c r="AP145" s="561">
        <v>0</v>
      </c>
      <c r="AQ145" s="561">
        <v>0</v>
      </c>
      <c r="AR145" s="561">
        <v>0</v>
      </c>
      <c r="AS145" s="561">
        <v>0</v>
      </c>
      <c r="AT145" s="561">
        <v>195</v>
      </c>
      <c r="AU145" s="561">
        <v>0</v>
      </c>
      <c r="AV145" s="561">
        <v>0</v>
      </c>
      <c r="AW145" s="561">
        <v>0</v>
      </c>
      <c r="AX145" s="561">
        <v>0</v>
      </c>
      <c r="AY145" s="561">
        <v>0</v>
      </c>
      <c r="AZ145" s="561">
        <v>0</v>
      </c>
      <c r="BA145" s="561">
        <v>0</v>
      </c>
      <c r="BB145" s="561">
        <v>0</v>
      </c>
      <c r="BC145" s="561">
        <v>0</v>
      </c>
      <c r="BD145" s="561">
        <v>0</v>
      </c>
      <c r="BE145" s="561">
        <v>0</v>
      </c>
      <c r="BF145" s="561">
        <v>0</v>
      </c>
      <c r="BG145" s="561">
        <v>0</v>
      </c>
      <c r="BH145" s="561">
        <v>0</v>
      </c>
      <c r="BI145" s="561">
        <v>0</v>
      </c>
      <c r="BJ145" s="561">
        <v>0</v>
      </c>
      <c r="BK145" s="561">
        <v>0</v>
      </c>
      <c r="BL145" s="561">
        <v>0</v>
      </c>
      <c r="BM145" s="561">
        <v>0</v>
      </c>
      <c r="BN145" s="561">
        <v>0</v>
      </c>
      <c r="BO145" s="561">
        <v>0</v>
      </c>
      <c r="BP145" s="561">
        <v>0</v>
      </c>
      <c r="BQ145" s="561">
        <v>0</v>
      </c>
      <c r="BR145" s="561">
        <v>0</v>
      </c>
      <c r="BS145" s="561">
        <v>0</v>
      </c>
      <c r="BT145" s="561">
        <v>0</v>
      </c>
      <c r="BU145" s="561">
        <v>0</v>
      </c>
      <c r="BV145" s="561">
        <v>0</v>
      </c>
      <c r="BW145" s="561">
        <v>0</v>
      </c>
      <c r="BX145" s="561">
        <v>0</v>
      </c>
      <c r="BY145" s="561">
        <v>0</v>
      </c>
      <c r="BZ145" s="561">
        <v>0</v>
      </c>
      <c r="CA145" s="561">
        <v>0</v>
      </c>
      <c r="CB145" s="561">
        <v>0</v>
      </c>
      <c r="CC145" s="561">
        <v>0</v>
      </c>
      <c r="CD145" s="561">
        <v>0</v>
      </c>
      <c r="CE145" s="561">
        <v>0</v>
      </c>
      <c r="CF145" s="561">
        <v>0</v>
      </c>
      <c r="CG145" s="561">
        <v>0</v>
      </c>
      <c r="CH145" s="561">
        <v>0</v>
      </c>
      <c r="CI145" s="561">
        <v>0</v>
      </c>
      <c r="CJ145" s="561">
        <v>0</v>
      </c>
      <c r="CK145" s="561">
        <v>0</v>
      </c>
      <c r="CL145" s="561">
        <v>0</v>
      </c>
      <c r="CM145" s="561">
        <v>0</v>
      </c>
      <c r="CN145" s="561">
        <v>0</v>
      </c>
      <c r="CO145" s="561">
        <v>0</v>
      </c>
      <c r="CP145" s="561">
        <v>0</v>
      </c>
      <c r="CQ145" s="561">
        <v>0</v>
      </c>
      <c r="CR145" s="561">
        <v>0</v>
      </c>
      <c r="CS145" s="561">
        <v>0</v>
      </c>
      <c r="CT145" s="561">
        <v>0</v>
      </c>
      <c r="CU145" s="561">
        <v>0</v>
      </c>
      <c r="CV145" s="561">
        <v>0</v>
      </c>
      <c r="CW145" s="561">
        <v>0</v>
      </c>
      <c r="CX145" s="561">
        <v>0</v>
      </c>
      <c r="CY145" s="561">
        <v>0</v>
      </c>
      <c r="CZ145" s="561">
        <v>0</v>
      </c>
      <c r="DA145" s="561">
        <v>0</v>
      </c>
      <c r="DB145" s="561">
        <v>0</v>
      </c>
      <c r="DC145" s="561">
        <v>0</v>
      </c>
      <c r="DD145" s="561">
        <v>0</v>
      </c>
      <c r="DE145" s="561">
        <v>0</v>
      </c>
      <c r="DF145" s="561">
        <v>0</v>
      </c>
      <c r="DG145" s="561">
        <v>0</v>
      </c>
      <c r="DH145" s="561">
        <v>310</v>
      </c>
      <c r="DI145" s="561">
        <v>0</v>
      </c>
      <c r="DJ145" s="561">
        <v>0</v>
      </c>
      <c r="DK145" s="561">
        <v>0</v>
      </c>
      <c r="DL145" s="561">
        <v>0</v>
      </c>
      <c r="DM145" s="561">
        <v>200</v>
      </c>
      <c r="DN145" s="561">
        <v>0</v>
      </c>
      <c r="DO145" s="561">
        <v>168</v>
      </c>
      <c r="DP145" s="561">
        <v>-120</v>
      </c>
      <c r="DQ145" s="561">
        <v>0</v>
      </c>
      <c r="DR145" s="561">
        <v>1612</v>
      </c>
      <c r="DS145" s="561">
        <v>0</v>
      </c>
      <c r="DT145" s="561">
        <v>0</v>
      </c>
      <c r="DU145" s="561">
        <v>1860</v>
      </c>
      <c r="DV145" s="561">
        <v>0</v>
      </c>
      <c r="DW145" s="561">
        <v>0</v>
      </c>
      <c r="DX145" s="561">
        <v>17</v>
      </c>
      <c r="DY145" s="561">
        <v>422</v>
      </c>
      <c r="DZ145" s="561">
        <v>202</v>
      </c>
      <c r="EA145" s="561">
        <v>207</v>
      </c>
      <c r="EB145" s="561">
        <v>0</v>
      </c>
      <c r="EC145" s="561">
        <v>3018</v>
      </c>
      <c r="ED145" s="561">
        <v>0</v>
      </c>
      <c r="EE145" s="561">
        <v>26790</v>
      </c>
      <c r="EF145" s="561">
        <v>351</v>
      </c>
      <c r="EG145" s="561">
        <v>2246</v>
      </c>
      <c r="EH145" s="561">
        <v>330</v>
      </c>
      <c r="EI145" s="561">
        <v>1916</v>
      </c>
      <c r="EJ145" s="561">
        <v>165</v>
      </c>
      <c r="EK145" s="561">
        <v>1878</v>
      </c>
      <c r="EL145" s="561">
        <v>0</v>
      </c>
      <c r="EM145" s="561">
        <v>37</v>
      </c>
      <c r="EN145" s="561">
        <v>10207</v>
      </c>
      <c r="EO145" s="561">
        <v>11119</v>
      </c>
      <c r="EP145" s="561">
        <v>543</v>
      </c>
      <c r="EQ145" s="561">
        <v>0</v>
      </c>
      <c r="ER145" s="561">
        <v>4200</v>
      </c>
      <c r="ES145" s="561" t="s">
        <v>4565</v>
      </c>
      <c r="ET145" s="561">
        <v>0</v>
      </c>
      <c r="EU145" s="561">
        <v>6162</v>
      </c>
      <c r="EV145" s="561">
        <v>0</v>
      </c>
      <c r="EW145" s="561">
        <v>0</v>
      </c>
      <c r="EX145" s="561">
        <v>4047</v>
      </c>
      <c r="EY145" s="561">
        <v>-10</v>
      </c>
      <c r="EZ145" s="561">
        <v>-2555</v>
      </c>
      <c r="FA145" s="561">
        <v>5570</v>
      </c>
      <c r="FB145" s="561">
        <v>0</v>
      </c>
      <c r="FC145" s="561">
        <v>132</v>
      </c>
      <c r="FD145" s="561">
        <v>33</v>
      </c>
      <c r="FE145" s="561">
        <v>0</v>
      </c>
      <c r="FF145" s="561">
        <v>33</v>
      </c>
      <c r="FG145" s="561">
        <v>22</v>
      </c>
      <c r="FH145" s="561">
        <v>0</v>
      </c>
      <c r="FI145" s="561">
        <v>0</v>
      </c>
      <c r="FJ145" s="561">
        <v>193</v>
      </c>
      <c r="FK145" s="561">
        <v>209</v>
      </c>
      <c r="FL145" s="561">
        <v>0</v>
      </c>
      <c r="FM145" s="561">
        <v>72</v>
      </c>
      <c r="FN145" s="561">
        <v>0</v>
      </c>
      <c r="FO145" s="561">
        <v>694</v>
      </c>
      <c r="FP145" s="561">
        <v>0</v>
      </c>
      <c r="FQ145" s="561">
        <v>187</v>
      </c>
      <c r="FR145" s="561">
        <v>0</v>
      </c>
      <c r="FS145" s="561">
        <v>34</v>
      </c>
      <c r="FT145" s="561">
        <v>346</v>
      </c>
      <c r="FU145" s="561">
        <v>388</v>
      </c>
      <c r="FV145" s="561">
        <v>243</v>
      </c>
      <c r="FW145" s="561">
        <v>168</v>
      </c>
      <c r="FX145" s="561">
        <v>20</v>
      </c>
      <c r="FY145" s="561">
        <v>0</v>
      </c>
      <c r="FZ145" s="561">
        <v>27</v>
      </c>
      <c r="GA145" s="561">
        <v>427</v>
      </c>
      <c r="GB145" s="561">
        <v>408</v>
      </c>
      <c r="GC145" s="561">
        <v>32</v>
      </c>
      <c r="GD145" s="561">
        <v>22</v>
      </c>
      <c r="GE145" s="561">
        <v>0</v>
      </c>
      <c r="GF145" s="561">
        <v>135</v>
      </c>
      <c r="GG145" s="561">
        <v>0</v>
      </c>
      <c r="GH145" s="561">
        <v>0</v>
      </c>
      <c r="GI145" s="561">
        <v>551</v>
      </c>
      <c r="GJ145" s="561">
        <v>242</v>
      </c>
      <c r="GK145" s="561">
        <v>0</v>
      </c>
      <c r="GL145" s="561">
        <v>1581</v>
      </c>
      <c r="GM145" s="561">
        <v>1390</v>
      </c>
      <c r="GN145" s="561">
        <v>0</v>
      </c>
      <c r="GO145" s="561">
        <v>0</v>
      </c>
      <c r="GP145" s="561">
        <v>914</v>
      </c>
      <c r="GQ145" s="561">
        <v>0</v>
      </c>
      <c r="GR145" s="561">
        <v>0</v>
      </c>
      <c r="GS145" s="561">
        <v>7115</v>
      </c>
      <c r="GT145" s="561">
        <v>0</v>
      </c>
      <c r="GU145" s="561">
        <v>132</v>
      </c>
      <c r="GV145" s="561">
        <v>655</v>
      </c>
      <c r="GW145" s="561">
        <v>7</v>
      </c>
      <c r="GX145" s="561">
        <v>753</v>
      </c>
      <c r="GY145" s="561">
        <v>0</v>
      </c>
      <c r="GZ145" s="561">
        <v>136</v>
      </c>
      <c r="HA145" s="561">
        <v>0</v>
      </c>
      <c r="HB145" s="561">
        <v>-456</v>
      </c>
      <c r="HC145" s="561">
        <v>595</v>
      </c>
      <c r="HD145" s="561">
        <v>1822</v>
      </c>
      <c r="HE145" s="561">
        <v>0</v>
      </c>
      <c r="HF145" s="561">
        <v>9631</v>
      </c>
      <c r="HG145" s="561">
        <v>0</v>
      </c>
      <c r="HH145" s="561">
        <v>0</v>
      </c>
      <c r="HI145" s="561">
        <v>0</v>
      </c>
      <c r="HJ145" s="561">
        <v>0</v>
      </c>
      <c r="HK145" s="561">
        <v>0</v>
      </c>
      <c r="HL145" s="561">
        <v>0</v>
      </c>
      <c r="HM145" s="561">
        <v>0</v>
      </c>
      <c r="HN145" s="561">
        <v>0</v>
      </c>
      <c r="HO145" s="561">
        <v>488</v>
      </c>
      <c r="HP145" s="561">
        <v>1119</v>
      </c>
      <c r="HQ145" s="561">
        <v>0</v>
      </c>
      <c r="HR145" s="561">
        <v>0</v>
      </c>
      <c r="HS145" s="561">
        <v>0</v>
      </c>
      <c r="HT145" s="561">
        <v>-184</v>
      </c>
      <c r="HU145" s="561">
        <v>0</v>
      </c>
      <c r="HV145" s="561">
        <v>0</v>
      </c>
      <c r="HW145" s="561">
        <v>352</v>
      </c>
      <c r="HX145" s="561">
        <v>138</v>
      </c>
      <c r="HY145" s="561">
        <v>7</v>
      </c>
      <c r="HZ145" s="561">
        <v>-49</v>
      </c>
      <c r="IA145" s="561">
        <v>0</v>
      </c>
      <c r="IB145" s="561">
        <v>0</v>
      </c>
      <c r="IC145" s="561">
        <v>0</v>
      </c>
      <c r="ID145" s="561">
        <v>0</v>
      </c>
      <c r="IE145" s="561">
        <v>1556</v>
      </c>
      <c r="IF145" s="561">
        <v>0</v>
      </c>
      <c r="IG145" s="561">
        <v>0</v>
      </c>
      <c r="IH145" s="561">
        <v>-199</v>
      </c>
      <c r="II145" s="561">
        <v>3228</v>
      </c>
      <c r="IJ145" s="561">
        <v>0</v>
      </c>
      <c r="IK145" s="561">
        <v>8647</v>
      </c>
      <c r="IL145" s="561">
        <v>0</v>
      </c>
      <c r="IM145" s="561">
        <v>0</v>
      </c>
      <c r="IN145" s="561">
        <v>0</v>
      </c>
      <c r="IO145" s="561">
        <v>0</v>
      </c>
      <c r="IP145" s="561">
        <v>750</v>
      </c>
      <c r="IQ145" s="561">
        <v>0</v>
      </c>
      <c r="IR145" s="561">
        <v>0</v>
      </c>
      <c r="IS145" s="561">
        <v>162</v>
      </c>
      <c r="IT145" s="561">
        <v>0</v>
      </c>
      <c r="IU145" s="561">
        <v>0</v>
      </c>
      <c r="IV145" s="561">
        <v>0</v>
      </c>
      <c r="IW145" s="561">
        <v>3018</v>
      </c>
      <c r="IX145" s="561">
        <v>694</v>
      </c>
      <c r="IY145" s="561">
        <v>7115</v>
      </c>
      <c r="IZ145" s="561">
        <v>1822</v>
      </c>
      <c r="JA145" s="561">
        <v>0</v>
      </c>
      <c r="JB145" s="561">
        <v>0</v>
      </c>
      <c r="JC145" s="561">
        <v>3228</v>
      </c>
      <c r="JD145" s="561">
        <v>750</v>
      </c>
      <c r="JE145" s="561">
        <v>16789</v>
      </c>
      <c r="JF145" s="561">
        <v>10356</v>
      </c>
      <c r="JG145" s="561">
        <v>297</v>
      </c>
      <c r="JH145" s="561">
        <v>8338</v>
      </c>
      <c r="JI145" s="561">
        <v>0</v>
      </c>
      <c r="JJ145" s="561">
        <v>0</v>
      </c>
      <c r="JK145" s="561">
        <v>797</v>
      </c>
      <c r="JL145" s="561">
        <v>0</v>
      </c>
      <c r="JM145" s="561">
        <v>0</v>
      </c>
      <c r="JN145" s="561">
        <v>0</v>
      </c>
      <c r="JO145" s="561">
        <v>62</v>
      </c>
      <c r="JP145" s="561">
        <v>-2739</v>
      </c>
      <c r="JQ145" s="561">
        <v>0</v>
      </c>
      <c r="JR145" s="561">
        <v>0</v>
      </c>
      <c r="JS145" s="561">
        <v>0</v>
      </c>
      <c r="JT145" s="561">
        <v>0</v>
      </c>
      <c r="JU145" s="561">
        <v>-27</v>
      </c>
      <c r="JV145" s="561">
        <v>33873</v>
      </c>
      <c r="JW145" s="561">
        <v>0</v>
      </c>
      <c r="JX145" s="561">
        <v>23</v>
      </c>
      <c r="JY145" s="561">
        <v>0</v>
      </c>
      <c r="JZ145" s="561">
        <v>0</v>
      </c>
      <c r="KA145" s="561">
        <v>0</v>
      </c>
      <c r="KB145" s="561">
        <v>121</v>
      </c>
      <c r="KC145" s="561">
        <v>2018</v>
      </c>
      <c r="KD145" s="561">
        <v>49</v>
      </c>
      <c r="KE145" s="561">
        <v>6177</v>
      </c>
      <c r="KF145" s="561">
        <v>-4200</v>
      </c>
      <c r="KG145" s="561">
        <v>38061</v>
      </c>
      <c r="KH145" s="561">
        <v>-970</v>
      </c>
      <c r="KI145" s="561">
        <v>0</v>
      </c>
      <c r="KJ145" s="561">
        <v>3</v>
      </c>
      <c r="KK145" s="561">
        <v>0</v>
      </c>
      <c r="KL145" s="561">
        <v>-19025</v>
      </c>
      <c r="KM145" s="561">
        <v>0</v>
      </c>
      <c r="KN145" s="561">
        <v>0</v>
      </c>
      <c r="KO145" s="561">
        <v>0</v>
      </c>
      <c r="KP145" s="561">
        <v>0</v>
      </c>
      <c r="KQ145" s="561">
        <v>0</v>
      </c>
      <c r="KR145" s="561">
        <v>18069</v>
      </c>
      <c r="KS145" s="561">
        <v>0</v>
      </c>
      <c r="KT145" s="561">
        <v>-1909</v>
      </c>
      <c r="KU145" s="561">
        <v>16160</v>
      </c>
      <c r="KV145" s="561">
        <v>0</v>
      </c>
      <c r="KW145" s="561">
        <v>0</v>
      </c>
      <c r="KX145" s="561">
        <v>0</v>
      </c>
      <c r="KY145" s="561">
        <v>0</v>
      </c>
      <c r="KZ145" s="561">
        <v>-734</v>
      </c>
      <c r="LA145" s="561">
        <v>-1395</v>
      </c>
      <c r="LB145" s="561">
        <v>-2706</v>
      </c>
      <c r="LC145" s="561">
        <v>0</v>
      </c>
      <c r="LD145" s="561">
        <v>-4812</v>
      </c>
      <c r="LE145" s="561">
        <v>0</v>
      </c>
      <c r="LF145" s="561">
        <v>0</v>
      </c>
      <c r="LG145" s="561">
        <v>6513</v>
      </c>
      <c r="LH145" s="561">
        <v>0</v>
      </c>
      <c r="LI145" s="561">
        <v>0</v>
      </c>
      <c r="LJ145" s="561">
        <v>0</v>
      </c>
      <c r="LK145" s="561">
        <v>0</v>
      </c>
      <c r="LL145" s="561">
        <v>9494</v>
      </c>
      <c r="LM145" s="561">
        <v>2091</v>
      </c>
      <c r="LN145" s="561">
        <v>0</v>
      </c>
      <c r="LO145" s="561">
        <v>0</v>
      </c>
      <c r="LP145" s="561">
        <v>0</v>
      </c>
      <c r="LQ145" s="561">
        <v>0</v>
      </c>
      <c r="LR145" s="561">
        <v>8760</v>
      </c>
      <c r="LS145" s="561">
        <v>696</v>
      </c>
      <c r="LT145" s="561">
        <v>0</v>
      </c>
      <c r="LU145" s="561">
        <v>2628</v>
      </c>
      <c r="LV145" s="561">
        <v>1044</v>
      </c>
      <c r="LW145" s="561">
        <v>-7138</v>
      </c>
      <c r="LX145" s="561">
        <v>0</v>
      </c>
      <c r="LY145" s="561">
        <v>7382</v>
      </c>
      <c r="LZ145" s="561">
        <v>3916</v>
      </c>
      <c r="MA145" s="561">
        <v>0</v>
      </c>
      <c r="MB145" s="561">
        <v>0</v>
      </c>
      <c r="MC145" s="561">
        <v>33713</v>
      </c>
      <c r="MD145" s="561">
        <v>36268</v>
      </c>
      <c r="ME145" s="561">
        <v>-2555</v>
      </c>
      <c r="MF145" s="561">
        <v>5570</v>
      </c>
      <c r="MG145" s="561">
        <v>3015</v>
      </c>
      <c r="MH145" s="561">
        <v>4554</v>
      </c>
      <c r="MI145" s="561">
        <v>5514</v>
      </c>
      <c r="MJ145" s="561">
        <v>10068</v>
      </c>
      <c r="MK145" s="561">
        <v>0</v>
      </c>
      <c r="ML145" s="561">
        <v>0</v>
      </c>
      <c r="MM145" s="561">
        <v>5797</v>
      </c>
      <c r="MN145" s="561">
        <v>2963</v>
      </c>
      <c r="MO145" s="561">
        <v>0</v>
      </c>
      <c r="MP145" s="561">
        <v>0</v>
      </c>
      <c r="MQ145" s="561">
        <v>0</v>
      </c>
      <c r="MR145" s="561">
        <v>162</v>
      </c>
      <c r="MS145" s="561">
        <v>0</v>
      </c>
      <c r="MT145" s="561">
        <v>0</v>
      </c>
      <c r="MU145" s="561">
        <v>0</v>
      </c>
      <c r="MV145" s="561">
        <v>3018</v>
      </c>
      <c r="MW145" s="561">
        <v>694</v>
      </c>
      <c r="MX145" s="561">
        <v>7115</v>
      </c>
      <c r="MY145" s="561">
        <v>1822</v>
      </c>
      <c r="MZ145" s="561">
        <v>0</v>
      </c>
      <c r="NA145" s="561">
        <v>0</v>
      </c>
      <c r="NB145" s="561">
        <v>3228</v>
      </c>
      <c r="NC145" s="561">
        <v>750</v>
      </c>
      <c r="ND145" s="561">
        <v>16789</v>
      </c>
      <c r="NE145" s="561">
        <v>0</v>
      </c>
      <c r="NF145" s="561">
        <v>0</v>
      </c>
      <c r="NG145" s="561">
        <v>0</v>
      </c>
      <c r="NH145" s="561">
        <v>0</v>
      </c>
      <c r="NI145" s="561">
        <v>0</v>
      </c>
      <c r="NJ145" s="561">
        <v>0</v>
      </c>
      <c r="NK145" s="561">
        <v>0</v>
      </c>
      <c r="NL145" s="561">
        <v>151</v>
      </c>
      <c r="NM145" s="561">
        <v>0</v>
      </c>
      <c r="NN145" s="561">
        <v>0</v>
      </c>
      <c r="NO145" s="561">
        <v>0</v>
      </c>
      <c r="NP145" s="561">
        <v>0</v>
      </c>
      <c r="NQ145" s="561">
        <v>0</v>
      </c>
      <c r="NR145" s="561">
        <v>0</v>
      </c>
      <c r="NS145" s="561">
        <v>-1766</v>
      </c>
      <c r="NT145" s="561">
        <v>0</v>
      </c>
      <c r="NU145" s="561">
        <v>0</v>
      </c>
      <c r="NV145" s="561">
        <v>73</v>
      </c>
      <c r="NW145" s="561">
        <v>-2739</v>
      </c>
      <c r="NX145" s="561">
        <v>0</v>
      </c>
      <c r="NY145" s="561">
        <v>-2739</v>
      </c>
      <c r="NZ145" s="561">
        <v>0</v>
      </c>
      <c r="OA145" s="561">
        <v>0</v>
      </c>
      <c r="OB145" s="561">
        <v>0</v>
      </c>
      <c r="OC145" s="561">
        <v>0</v>
      </c>
      <c r="OD145" s="561">
        <v>0</v>
      </c>
      <c r="OE145" s="561">
        <v>0</v>
      </c>
      <c r="OF145" s="561">
        <v>0</v>
      </c>
      <c r="OG145" s="561">
        <v>0</v>
      </c>
      <c r="OH145" s="561">
        <v>0</v>
      </c>
      <c r="OI145" s="561">
        <v>0</v>
      </c>
      <c r="OJ145" s="561">
        <v>0</v>
      </c>
      <c r="OK145" s="561">
        <v>0</v>
      </c>
      <c r="OL145" s="561">
        <v>0</v>
      </c>
      <c r="OM145" s="561">
        <v>0</v>
      </c>
      <c r="ON145" s="561">
        <v>0</v>
      </c>
      <c r="OO145" s="561">
        <v>0</v>
      </c>
      <c r="OP145" s="561">
        <v>0</v>
      </c>
      <c r="OQ145" s="561">
        <v>0</v>
      </c>
      <c r="OR145" s="561">
        <v>0</v>
      </c>
      <c r="OS145" s="561">
        <v>0</v>
      </c>
      <c r="OT145" s="561">
        <v>0</v>
      </c>
      <c r="OU145" s="561">
        <v>0</v>
      </c>
      <c r="OV145" s="561">
        <v>0</v>
      </c>
      <c r="OW145" s="561">
        <v>0</v>
      </c>
      <c r="OX145" s="561">
        <v>0</v>
      </c>
      <c r="OY145" s="561">
        <v>0</v>
      </c>
      <c r="OZ145" s="561">
        <v>0</v>
      </c>
      <c r="PA145" s="561">
        <v>0</v>
      </c>
      <c r="PB145" s="561">
        <v>0</v>
      </c>
      <c r="PC145" s="561">
        <v>0</v>
      </c>
      <c r="PD145" s="561">
        <v>0</v>
      </c>
      <c r="PE145" s="561">
        <v>0</v>
      </c>
      <c r="PF145" s="561">
        <v>0</v>
      </c>
      <c r="PG145" s="561">
        <v>0</v>
      </c>
      <c r="PH145" s="561">
        <v>0</v>
      </c>
      <c r="PI145" s="561">
        <v>0</v>
      </c>
      <c r="PJ145" s="561">
        <v>0</v>
      </c>
    </row>
    <row r="146" spans="1:426" ht="14" x14ac:dyDescent="0.3">
      <c r="A146" t="s">
        <v>2873</v>
      </c>
      <c r="B146" t="s">
        <v>2874</v>
      </c>
      <c r="C146" t="s">
        <v>2875</v>
      </c>
      <c r="E146" t="s">
        <v>2466</v>
      </c>
      <c r="F146" s="561">
        <v>0</v>
      </c>
      <c r="G146" s="561">
        <v>0</v>
      </c>
      <c r="H146" s="561">
        <v>0</v>
      </c>
      <c r="I146" s="561">
        <v>0</v>
      </c>
      <c r="J146" s="561">
        <v>0</v>
      </c>
      <c r="K146" s="561">
        <v>528029.62</v>
      </c>
      <c r="L146" s="561">
        <v>528029.62</v>
      </c>
      <c r="M146" s="561">
        <v>805.83</v>
      </c>
      <c r="N146" s="561">
        <v>0</v>
      </c>
      <c r="O146" s="561">
        <v>49750.32</v>
      </c>
      <c r="P146" s="561">
        <v>55686.95</v>
      </c>
      <c r="Q146" s="561">
        <v>36946.33</v>
      </c>
      <c r="R146" s="561">
        <v>1531.52</v>
      </c>
      <c r="S146" s="561">
        <v>37299.39</v>
      </c>
      <c r="T146" s="561">
        <v>-361.04</v>
      </c>
      <c r="U146" s="561">
        <v>0</v>
      </c>
      <c r="V146" s="561">
        <v>14721.96</v>
      </c>
      <c r="W146" s="561">
        <v>-387710.89</v>
      </c>
      <c r="X146" s="561">
        <v>-4478.08</v>
      </c>
      <c r="Y146" s="561">
        <v>112.22</v>
      </c>
      <c r="Z146" s="561">
        <v>24766.44</v>
      </c>
      <c r="AA146" s="561">
        <v>-4518.2</v>
      </c>
      <c r="AB146" s="561">
        <v>0</v>
      </c>
      <c r="AC146" s="561">
        <v>0</v>
      </c>
      <c r="AD146" s="561">
        <v>0</v>
      </c>
      <c r="AE146" s="561">
        <v>946871.34</v>
      </c>
      <c r="AF146" s="561">
        <v>0</v>
      </c>
      <c r="AG146" s="561">
        <v>412550.13</v>
      </c>
      <c r="AH146" s="561">
        <v>622807.68000000005</v>
      </c>
      <c r="AI146" s="561">
        <v>15634.07</v>
      </c>
      <c r="AJ146" s="561">
        <v>1821610.14</v>
      </c>
      <c r="AK146" s="561">
        <v>62.93</v>
      </c>
      <c r="AL146" s="561">
        <v>0</v>
      </c>
      <c r="AM146" s="561">
        <v>0</v>
      </c>
      <c r="AN146" s="561">
        <v>0</v>
      </c>
      <c r="AO146" s="561">
        <v>0</v>
      </c>
      <c r="AP146" s="561">
        <v>0</v>
      </c>
      <c r="AQ146" s="561">
        <v>0</v>
      </c>
      <c r="AR146" s="561">
        <v>0</v>
      </c>
      <c r="AS146" s="561">
        <v>0</v>
      </c>
      <c r="AT146" s="561">
        <v>0</v>
      </c>
      <c r="AU146" s="561">
        <v>0</v>
      </c>
      <c r="AV146" s="561">
        <v>0</v>
      </c>
      <c r="AW146" s="561">
        <v>0</v>
      </c>
      <c r="AX146" s="561">
        <v>0</v>
      </c>
      <c r="AY146" s="561">
        <v>0</v>
      </c>
      <c r="AZ146" s="561">
        <v>0</v>
      </c>
      <c r="BA146" s="561">
        <v>0</v>
      </c>
      <c r="BB146" s="561">
        <v>0</v>
      </c>
      <c r="BC146" s="561">
        <v>0</v>
      </c>
      <c r="BD146" s="561">
        <v>0</v>
      </c>
      <c r="BE146" s="561">
        <v>15746.42</v>
      </c>
      <c r="BF146" s="561">
        <v>15746.42</v>
      </c>
      <c r="BG146" s="561">
        <v>55.58</v>
      </c>
      <c r="BH146" s="561">
        <v>0</v>
      </c>
      <c r="BI146" s="561">
        <v>0</v>
      </c>
      <c r="BJ146" s="561">
        <v>0</v>
      </c>
      <c r="BK146" s="561">
        <v>0</v>
      </c>
      <c r="BL146" s="561">
        <v>0</v>
      </c>
      <c r="BM146" s="561">
        <v>0</v>
      </c>
      <c r="BN146" s="561">
        <v>0</v>
      </c>
      <c r="BO146" s="561">
        <v>0</v>
      </c>
      <c r="BP146" s="561">
        <v>0</v>
      </c>
      <c r="BQ146" s="561">
        <v>0</v>
      </c>
      <c r="BR146" s="561">
        <v>0</v>
      </c>
      <c r="BS146" s="561">
        <v>0</v>
      </c>
      <c r="BT146" s="561">
        <v>0</v>
      </c>
      <c r="BU146" s="561">
        <v>0</v>
      </c>
      <c r="BV146" s="561">
        <v>0</v>
      </c>
      <c r="BW146" s="561">
        <v>0</v>
      </c>
      <c r="BX146" s="561">
        <v>0</v>
      </c>
      <c r="BY146" s="561">
        <v>0</v>
      </c>
      <c r="BZ146" s="561">
        <v>0</v>
      </c>
      <c r="CA146" s="561">
        <v>0</v>
      </c>
      <c r="CB146" s="561">
        <v>0</v>
      </c>
      <c r="CC146" s="561">
        <v>0</v>
      </c>
      <c r="CD146" s="561">
        <v>0</v>
      </c>
      <c r="CE146" s="561">
        <v>0</v>
      </c>
      <c r="CF146" s="561">
        <v>0</v>
      </c>
      <c r="CG146" s="561">
        <v>0</v>
      </c>
      <c r="CH146" s="561">
        <v>0</v>
      </c>
      <c r="CI146" s="561">
        <v>0</v>
      </c>
      <c r="CJ146" s="561">
        <v>0</v>
      </c>
      <c r="CK146" s="561">
        <v>0</v>
      </c>
      <c r="CL146" s="561">
        <v>0</v>
      </c>
      <c r="CM146" s="561">
        <v>0</v>
      </c>
      <c r="CN146" s="561">
        <v>0</v>
      </c>
      <c r="CO146" s="561">
        <v>0</v>
      </c>
      <c r="CP146" s="561">
        <v>0</v>
      </c>
      <c r="CQ146" s="561">
        <v>0</v>
      </c>
      <c r="CR146" s="561">
        <v>0</v>
      </c>
      <c r="CS146" s="561">
        <v>0</v>
      </c>
      <c r="CT146" s="561">
        <v>0</v>
      </c>
      <c r="CU146" s="561">
        <v>0</v>
      </c>
      <c r="CV146" s="561">
        <v>0</v>
      </c>
      <c r="CW146" s="561">
        <v>0</v>
      </c>
      <c r="CX146" s="561">
        <v>0</v>
      </c>
      <c r="CY146" s="561">
        <v>0</v>
      </c>
      <c r="CZ146" s="561">
        <v>0</v>
      </c>
      <c r="DA146" s="561">
        <v>0</v>
      </c>
      <c r="DB146" s="561">
        <v>0</v>
      </c>
      <c r="DC146" s="561">
        <v>0</v>
      </c>
      <c r="DD146" s="561">
        <v>0</v>
      </c>
      <c r="DE146" s="561">
        <v>0</v>
      </c>
      <c r="DF146" s="561">
        <v>0</v>
      </c>
      <c r="DG146" s="561">
        <v>0</v>
      </c>
      <c r="DH146" s="561">
        <v>27984.85</v>
      </c>
      <c r="DI146" s="561">
        <v>0</v>
      </c>
      <c r="DJ146" s="561">
        <v>0</v>
      </c>
      <c r="DK146" s="561">
        <v>0</v>
      </c>
      <c r="DL146" s="561">
        <v>0</v>
      </c>
      <c r="DM146" s="561">
        <v>0</v>
      </c>
      <c r="DN146" s="561">
        <v>0</v>
      </c>
      <c r="DO146" s="561">
        <v>0</v>
      </c>
      <c r="DP146" s="561">
        <v>0</v>
      </c>
      <c r="DQ146" s="561">
        <v>0</v>
      </c>
      <c r="DR146" s="561">
        <v>0</v>
      </c>
      <c r="DS146" s="561">
        <v>22083.53</v>
      </c>
      <c r="DT146" s="561">
        <v>0</v>
      </c>
      <c r="DU146" s="561">
        <v>22083.53</v>
      </c>
      <c r="DV146" s="561">
        <v>0</v>
      </c>
      <c r="DW146" s="561">
        <v>0</v>
      </c>
      <c r="DX146" s="561">
        <v>0</v>
      </c>
      <c r="DY146" s="561">
        <v>0</v>
      </c>
      <c r="DZ146" s="561">
        <v>0</v>
      </c>
      <c r="EA146" s="561">
        <v>0</v>
      </c>
      <c r="EB146" s="561">
        <v>15900.19</v>
      </c>
      <c r="EC146" s="561">
        <v>65968.570000000007</v>
      </c>
      <c r="ED146" s="561">
        <v>143.79</v>
      </c>
      <c r="EE146" s="561">
        <v>0</v>
      </c>
      <c r="EF146" s="561">
        <v>0</v>
      </c>
      <c r="EG146" s="561">
        <v>0</v>
      </c>
      <c r="EH146" s="561">
        <v>0</v>
      </c>
      <c r="EI146" s="561">
        <v>0</v>
      </c>
      <c r="EJ146" s="561">
        <v>0</v>
      </c>
      <c r="EK146" s="561">
        <v>0</v>
      </c>
      <c r="EL146" s="561">
        <v>0</v>
      </c>
      <c r="EM146" s="561">
        <v>0</v>
      </c>
      <c r="EN146" s="561">
        <v>0</v>
      </c>
      <c r="EO146" s="561">
        <v>0</v>
      </c>
      <c r="EP146" s="561">
        <v>0</v>
      </c>
      <c r="EQ146" s="561">
        <v>0</v>
      </c>
      <c r="ER146" s="561">
        <v>0</v>
      </c>
      <c r="ES146" s="561" t="s">
        <v>4565</v>
      </c>
      <c r="ET146" s="561">
        <v>0</v>
      </c>
      <c r="EU146" s="561">
        <v>0</v>
      </c>
      <c r="EV146" s="561">
        <v>0</v>
      </c>
      <c r="EW146" s="561">
        <v>0</v>
      </c>
      <c r="EX146" s="561">
        <v>0</v>
      </c>
      <c r="EY146" s="561">
        <v>0</v>
      </c>
      <c r="EZ146" s="561">
        <v>0</v>
      </c>
      <c r="FA146" s="561">
        <v>0</v>
      </c>
      <c r="FB146" s="561">
        <v>0</v>
      </c>
      <c r="FC146" s="561">
        <v>0</v>
      </c>
      <c r="FD146" s="561">
        <v>11824.28</v>
      </c>
      <c r="FE146" s="561">
        <v>8066.63</v>
      </c>
      <c r="FF146" s="561">
        <v>6083.14</v>
      </c>
      <c r="FG146" s="561">
        <v>1.23</v>
      </c>
      <c r="FH146" s="561">
        <v>0</v>
      </c>
      <c r="FI146" s="561">
        <v>6633.12</v>
      </c>
      <c r="FJ146" s="561">
        <v>0</v>
      </c>
      <c r="FK146" s="561">
        <v>0</v>
      </c>
      <c r="FL146" s="561">
        <v>0</v>
      </c>
      <c r="FM146" s="561">
        <v>0</v>
      </c>
      <c r="FN146" s="561">
        <v>0</v>
      </c>
      <c r="FO146" s="561">
        <v>32608.400000000001</v>
      </c>
      <c r="FP146" s="561">
        <v>354.84</v>
      </c>
      <c r="FQ146" s="561">
        <v>0</v>
      </c>
      <c r="FR146" s="561">
        <v>0</v>
      </c>
      <c r="FS146" s="561">
        <v>0</v>
      </c>
      <c r="FT146" s="561">
        <v>146.31</v>
      </c>
      <c r="FU146" s="561">
        <v>0</v>
      </c>
      <c r="FV146" s="561">
        <v>0</v>
      </c>
      <c r="FW146" s="561">
        <v>0</v>
      </c>
      <c r="FX146" s="561">
        <v>0</v>
      </c>
      <c r="FY146" s="561">
        <v>0</v>
      </c>
      <c r="FZ146" s="561">
        <v>0</v>
      </c>
      <c r="GA146" s="561">
        <v>0</v>
      </c>
      <c r="GB146" s="561">
        <v>0</v>
      </c>
      <c r="GC146" s="561">
        <v>19249.12</v>
      </c>
      <c r="GD146" s="561">
        <v>108144</v>
      </c>
      <c r="GE146" s="561">
        <v>0</v>
      </c>
      <c r="GF146" s="561">
        <v>0</v>
      </c>
      <c r="GG146" s="561">
        <v>79.14</v>
      </c>
      <c r="GH146" s="561">
        <v>0</v>
      </c>
      <c r="GI146" s="561">
        <v>0</v>
      </c>
      <c r="GJ146" s="561">
        <v>0</v>
      </c>
      <c r="GK146" s="561">
        <v>0</v>
      </c>
      <c r="GL146" s="561">
        <v>0</v>
      </c>
      <c r="GM146" s="561">
        <v>0</v>
      </c>
      <c r="GN146" s="561">
        <v>0</v>
      </c>
      <c r="GO146" s="561">
        <v>0</v>
      </c>
      <c r="GP146" s="561">
        <v>0</v>
      </c>
      <c r="GQ146" s="561">
        <v>0</v>
      </c>
      <c r="GR146" s="561">
        <v>0</v>
      </c>
      <c r="GS146" s="561">
        <v>127618.57</v>
      </c>
      <c r="GT146" s="561">
        <v>18.34</v>
      </c>
      <c r="GU146" s="561">
        <v>0</v>
      </c>
      <c r="GV146" s="561">
        <v>8375</v>
      </c>
      <c r="GW146" s="561">
        <v>-158.36000000000001</v>
      </c>
      <c r="GX146" s="561">
        <v>9745.3700000000008</v>
      </c>
      <c r="GY146" s="561">
        <v>25269.81</v>
      </c>
      <c r="GZ146" s="561">
        <v>55737.42</v>
      </c>
      <c r="HA146" s="561">
        <v>4172.18</v>
      </c>
      <c r="HB146" s="561">
        <v>40869.550000000003</v>
      </c>
      <c r="HC146" s="561">
        <v>12465.6</v>
      </c>
      <c r="HD146" s="561">
        <v>156476.57</v>
      </c>
      <c r="HE146" s="561">
        <v>4669.46</v>
      </c>
      <c r="HF146" s="561">
        <v>316703.53999999998</v>
      </c>
      <c r="HG146" s="561">
        <v>479</v>
      </c>
      <c r="HH146" s="561">
        <v>4378370</v>
      </c>
      <c r="HI146" s="561">
        <v>53048</v>
      </c>
      <c r="HJ146" s="561">
        <v>18432.43</v>
      </c>
      <c r="HK146" s="561">
        <v>341266.9</v>
      </c>
      <c r="HL146" s="561">
        <v>193444.84</v>
      </c>
      <c r="HM146" s="561">
        <v>553144.17000000004</v>
      </c>
      <c r="HN146" s="561">
        <v>8570.4500000000007</v>
      </c>
      <c r="HO146" s="561">
        <v>46420.93</v>
      </c>
      <c r="HP146" s="561">
        <v>0</v>
      </c>
      <c r="HQ146" s="561">
        <v>0</v>
      </c>
      <c r="HR146" s="561">
        <v>0</v>
      </c>
      <c r="HS146" s="561">
        <v>0</v>
      </c>
      <c r="HT146" s="561">
        <v>0</v>
      </c>
      <c r="HU146" s="561">
        <v>0</v>
      </c>
      <c r="HV146" s="561">
        <v>0</v>
      </c>
      <c r="HW146" s="561">
        <v>0</v>
      </c>
      <c r="HX146" s="561">
        <v>33405.589999999997</v>
      </c>
      <c r="HY146" s="561">
        <v>0</v>
      </c>
      <c r="HZ146" s="561">
        <v>0</v>
      </c>
      <c r="IA146" s="561">
        <v>0</v>
      </c>
      <c r="IB146" s="561">
        <v>0</v>
      </c>
      <c r="IC146" s="561">
        <v>0</v>
      </c>
      <c r="ID146" s="561">
        <v>0</v>
      </c>
      <c r="IE146" s="561">
        <v>0</v>
      </c>
      <c r="IF146" s="561">
        <v>0</v>
      </c>
      <c r="IG146" s="561">
        <v>0</v>
      </c>
      <c r="IH146" s="561">
        <v>73323.13</v>
      </c>
      <c r="II146" s="561">
        <v>153149.65</v>
      </c>
      <c r="IJ146" s="561">
        <v>6723.76</v>
      </c>
      <c r="IK146" s="561">
        <v>0</v>
      </c>
      <c r="IL146" s="561">
        <v>4467.28</v>
      </c>
      <c r="IM146" s="561">
        <v>0</v>
      </c>
      <c r="IN146" s="561">
        <v>2120.87</v>
      </c>
      <c r="IO146" s="561">
        <v>3969.5</v>
      </c>
      <c r="IP146" s="561">
        <v>-74333.259999999995</v>
      </c>
      <c r="IQ146" s="561">
        <v>0</v>
      </c>
      <c r="IR146" s="561">
        <v>528029.62</v>
      </c>
      <c r="IS146" s="561">
        <v>1821610.14</v>
      </c>
      <c r="IT146" s="561">
        <v>15746.42</v>
      </c>
      <c r="IU146" s="561">
        <v>0</v>
      </c>
      <c r="IV146" s="561">
        <v>0</v>
      </c>
      <c r="IW146" s="561">
        <v>65968.570000000007</v>
      </c>
      <c r="IX146" s="561">
        <v>32608.400000000001</v>
      </c>
      <c r="IY146" s="561">
        <v>127618.57</v>
      </c>
      <c r="IZ146" s="561">
        <v>156476.57</v>
      </c>
      <c r="JA146" s="561">
        <v>4378370</v>
      </c>
      <c r="JB146" s="561">
        <v>553144.17000000004</v>
      </c>
      <c r="JC146" s="561">
        <v>153149.65</v>
      </c>
      <c r="JD146" s="561">
        <v>-74333.259999999995</v>
      </c>
      <c r="JE146" s="561">
        <v>7758388.8499999996</v>
      </c>
      <c r="JF146" s="561">
        <v>0</v>
      </c>
      <c r="JG146" s="561">
        <v>0</v>
      </c>
      <c r="JH146" s="561">
        <v>0</v>
      </c>
      <c r="JI146" s="561">
        <v>0</v>
      </c>
      <c r="JJ146" s="561">
        <v>0</v>
      </c>
      <c r="JK146" s="561">
        <v>0</v>
      </c>
      <c r="JL146" s="561">
        <v>0</v>
      </c>
      <c r="JM146" s="561">
        <v>0</v>
      </c>
      <c r="JN146" s="561">
        <v>0</v>
      </c>
      <c r="JO146" s="561">
        <v>0</v>
      </c>
      <c r="JP146" s="561">
        <v>-1647.33</v>
      </c>
      <c r="JQ146" s="561">
        <v>0</v>
      </c>
      <c r="JR146" s="561">
        <v>0</v>
      </c>
      <c r="JS146" s="561">
        <v>0</v>
      </c>
      <c r="JT146" s="561">
        <v>-2760</v>
      </c>
      <c r="JU146" s="561">
        <v>0</v>
      </c>
      <c r="JV146" s="561">
        <v>7753981.5199999996</v>
      </c>
      <c r="JW146" s="561">
        <v>0</v>
      </c>
      <c r="JX146" s="561">
        <v>880152.73</v>
      </c>
      <c r="JY146" s="561">
        <v>0</v>
      </c>
      <c r="JZ146" s="561">
        <v>0</v>
      </c>
      <c r="KA146" s="561">
        <v>0</v>
      </c>
      <c r="KB146" s="561">
        <v>-47.44</v>
      </c>
      <c r="KC146" s="561">
        <v>435747</v>
      </c>
      <c r="KD146" s="561">
        <v>0</v>
      </c>
      <c r="KE146" s="561">
        <v>591045.81999999995</v>
      </c>
      <c r="KF146" s="561">
        <v>0</v>
      </c>
      <c r="KG146" s="561">
        <v>9660879.6300000008</v>
      </c>
      <c r="KH146" s="561">
        <v>-720180.42</v>
      </c>
      <c r="KI146" s="561">
        <v>-15494</v>
      </c>
      <c r="KJ146" s="561">
        <v>11754</v>
      </c>
      <c r="KK146" s="561">
        <v>0</v>
      </c>
      <c r="KL146" s="561">
        <v>-348892.67</v>
      </c>
      <c r="KM146" s="561">
        <v>-290112</v>
      </c>
      <c r="KN146" s="561">
        <v>-119407.27</v>
      </c>
      <c r="KO146" s="561">
        <v>0</v>
      </c>
      <c r="KP146" s="561">
        <v>0</v>
      </c>
      <c r="KQ146" s="561">
        <v>0</v>
      </c>
      <c r="KR146" s="561">
        <v>8178547.2699999996</v>
      </c>
      <c r="KS146" s="561">
        <v>0</v>
      </c>
      <c r="KT146" s="561">
        <v>-1399573.21</v>
      </c>
      <c r="KU146" s="561">
        <v>6778974.0599999996</v>
      </c>
      <c r="KV146" s="561">
        <v>0</v>
      </c>
      <c r="KW146" s="561">
        <v>0</v>
      </c>
      <c r="KX146" s="561">
        <v>0</v>
      </c>
      <c r="KY146" s="561">
        <v>0</v>
      </c>
      <c r="KZ146" s="561">
        <v>-311632.43</v>
      </c>
      <c r="LA146" s="561">
        <v>88619.36</v>
      </c>
      <c r="LB146" s="561">
        <v>0</v>
      </c>
      <c r="LC146" s="561">
        <v>-2216320</v>
      </c>
      <c r="LD146" s="561">
        <v>-2852939.27</v>
      </c>
      <c r="LE146" s="561">
        <v>2300</v>
      </c>
      <c r="LF146" s="561">
        <v>0</v>
      </c>
      <c r="LG146" s="561">
        <v>1490253</v>
      </c>
      <c r="LH146" s="561">
        <v>0</v>
      </c>
      <c r="LI146" s="561">
        <v>0</v>
      </c>
      <c r="LJ146" s="561">
        <v>0</v>
      </c>
      <c r="LK146" s="561">
        <v>0</v>
      </c>
      <c r="LL146" s="561">
        <v>1615597</v>
      </c>
      <c r="LM146" s="561">
        <v>334868</v>
      </c>
      <c r="LN146" s="561">
        <v>0</v>
      </c>
      <c r="LO146" s="561">
        <v>0</v>
      </c>
      <c r="LP146" s="561">
        <v>0</v>
      </c>
      <c r="LQ146" s="561">
        <v>0</v>
      </c>
      <c r="LR146" s="561">
        <v>1303964.57</v>
      </c>
      <c r="LS146" s="561">
        <v>423487.36</v>
      </c>
      <c r="LT146" s="561">
        <v>0</v>
      </c>
      <c r="LU146" s="561">
        <v>469445.71</v>
      </c>
      <c r="LV146" s="561">
        <v>73697</v>
      </c>
      <c r="LW146" s="561">
        <v>320</v>
      </c>
      <c r="LX146" s="561">
        <v>-42955.86</v>
      </c>
      <c r="LY146" s="561">
        <v>34173.230000000003</v>
      </c>
      <c r="LZ146" s="561">
        <v>531612.16000000003</v>
      </c>
      <c r="MA146" s="561">
        <v>0</v>
      </c>
      <c r="MB146" s="561">
        <v>0</v>
      </c>
      <c r="MC146" s="561">
        <v>0</v>
      </c>
      <c r="MD146" s="561">
        <v>0</v>
      </c>
      <c r="ME146" s="561">
        <v>0</v>
      </c>
      <c r="MF146" s="561">
        <v>0</v>
      </c>
      <c r="MG146" s="561">
        <v>0</v>
      </c>
      <c r="MH146" s="561">
        <v>0</v>
      </c>
      <c r="MI146" s="561">
        <v>0</v>
      </c>
      <c r="MJ146" s="561">
        <v>0</v>
      </c>
      <c r="MK146" s="561">
        <v>0</v>
      </c>
      <c r="ML146" s="561">
        <v>2788.54</v>
      </c>
      <c r="MM146" s="561">
        <v>787703.27</v>
      </c>
      <c r="MN146" s="561">
        <v>0</v>
      </c>
      <c r="MO146" s="561">
        <v>513472.76</v>
      </c>
      <c r="MP146" s="561">
        <v>0</v>
      </c>
      <c r="MQ146" s="561">
        <v>528029.62</v>
      </c>
      <c r="MR146" s="561">
        <v>1821610.14</v>
      </c>
      <c r="MS146" s="561">
        <v>15746.42</v>
      </c>
      <c r="MT146" s="561">
        <v>0</v>
      </c>
      <c r="MU146" s="561">
        <v>0</v>
      </c>
      <c r="MV146" s="561">
        <v>65968.570000000007</v>
      </c>
      <c r="MW146" s="561">
        <v>32608.400000000001</v>
      </c>
      <c r="MX146" s="561">
        <v>127618.57</v>
      </c>
      <c r="MY146" s="561">
        <v>156476.57</v>
      </c>
      <c r="MZ146" s="561">
        <v>4378370</v>
      </c>
      <c r="NA146" s="561">
        <v>553144.17000000004</v>
      </c>
      <c r="NB146" s="561">
        <v>153149.65</v>
      </c>
      <c r="NC146" s="561">
        <v>-74333.259999999995</v>
      </c>
      <c r="ND146" s="561">
        <v>7758388.8499999996</v>
      </c>
      <c r="NE146" s="561">
        <v>0</v>
      </c>
      <c r="NF146" s="561">
        <v>0</v>
      </c>
      <c r="NG146" s="561">
        <v>0</v>
      </c>
      <c r="NH146" s="561">
        <v>0</v>
      </c>
      <c r="NI146" s="561">
        <v>0</v>
      </c>
      <c r="NJ146" s="561">
        <v>0</v>
      </c>
      <c r="NK146" s="561">
        <v>0</v>
      </c>
      <c r="NL146" s="561">
        <v>0</v>
      </c>
      <c r="NM146" s="561">
        <v>0</v>
      </c>
      <c r="NN146" s="561">
        <v>0</v>
      </c>
      <c r="NO146" s="561">
        <v>0</v>
      </c>
      <c r="NP146" s="561">
        <v>0</v>
      </c>
      <c r="NQ146" s="561">
        <v>0</v>
      </c>
      <c r="NR146" s="561">
        <v>0</v>
      </c>
      <c r="NS146" s="561">
        <v>0</v>
      </c>
      <c r="NT146" s="561">
        <v>0</v>
      </c>
      <c r="NU146" s="561">
        <v>0</v>
      </c>
      <c r="NV146" s="561">
        <v>0</v>
      </c>
      <c r="NW146" s="561">
        <v>-1647.33</v>
      </c>
      <c r="NX146" s="561">
        <v>0</v>
      </c>
      <c r="NY146" s="561">
        <v>-1647.33</v>
      </c>
      <c r="NZ146" s="561">
        <v>0</v>
      </c>
      <c r="OA146" s="561">
        <v>0</v>
      </c>
      <c r="OB146" s="561">
        <v>0</v>
      </c>
      <c r="OC146" s="561">
        <v>0</v>
      </c>
      <c r="OD146" s="561">
        <v>0</v>
      </c>
      <c r="OE146" s="561">
        <v>0</v>
      </c>
      <c r="OF146" s="561">
        <v>0</v>
      </c>
      <c r="OG146" s="561">
        <v>0</v>
      </c>
      <c r="OH146" s="561">
        <v>0</v>
      </c>
      <c r="OI146" s="561">
        <v>0</v>
      </c>
      <c r="OJ146" s="561">
        <v>0</v>
      </c>
      <c r="OK146" s="561">
        <v>0</v>
      </c>
      <c r="OL146" s="561">
        <v>0</v>
      </c>
      <c r="OM146" s="561">
        <v>0</v>
      </c>
      <c r="ON146" s="561">
        <v>0</v>
      </c>
      <c r="OO146" s="561">
        <v>0</v>
      </c>
      <c r="OP146" s="561">
        <v>0</v>
      </c>
      <c r="OQ146" s="561">
        <v>0</v>
      </c>
      <c r="OR146" s="561">
        <v>0</v>
      </c>
      <c r="OS146" s="561">
        <v>0</v>
      </c>
      <c r="OT146" s="561">
        <v>0</v>
      </c>
      <c r="OU146" s="561">
        <v>0</v>
      </c>
      <c r="OV146" s="561">
        <v>0</v>
      </c>
      <c r="OW146" s="561">
        <v>0</v>
      </c>
      <c r="OX146" s="561">
        <v>0</v>
      </c>
      <c r="OY146" s="561">
        <v>0</v>
      </c>
      <c r="OZ146" s="561">
        <v>0</v>
      </c>
      <c r="PA146" s="561">
        <v>0</v>
      </c>
      <c r="PB146" s="561">
        <v>0</v>
      </c>
      <c r="PC146" s="561">
        <v>0</v>
      </c>
      <c r="PD146" s="561">
        <v>0</v>
      </c>
      <c r="PE146" s="561">
        <v>0</v>
      </c>
      <c r="PF146" s="561">
        <v>0</v>
      </c>
      <c r="PG146" s="561">
        <v>0</v>
      </c>
      <c r="PH146" s="561">
        <v>0</v>
      </c>
      <c r="PI146" s="561">
        <v>0</v>
      </c>
      <c r="PJ146" s="561">
        <v>0</v>
      </c>
    </row>
    <row r="147" spans="1:426" ht="14" x14ac:dyDescent="0.3">
      <c r="A147" t="s">
        <v>2876</v>
      </c>
      <c r="B147" t="s">
        <v>2877</v>
      </c>
      <c r="C147" t="s">
        <v>2878</v>
      </c>
      <c r="E147" t="s">
        <v>2466</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61">
        <v>0</v>
      </c>
      <c r="U147" s="561">
        <v>0</v>
      </c>
      <c r="V147" s="561">
        <v>0</v>
      </c>
      <c r="W147" s="561">
        <v>0</v>
      </c>
      <c r="X147" s="561">
        <v>0</v>
      </c>
      <c r="Y147" s="561">
        <v>0</v>
      </c>
      <c r="Z147" s="561">
        <v>0</v>
      </c>
      <c r="AA147" s="561">
        <v>0</v>
      </c>
      <c r="AB147" s="561">
        <v>0</v>
      </c>
      <c r="AC147" s="561">
        <v>0</v>
      </c>
      <c r="AD147" s="561">
        <v>0</v>
      </c>
      <c r="AE147" s="561">
        <v>0</v>
      </c>
      <c r="AF147" s="561">
        <v>0</v>
      </c>
      <c r="AG147" s="561">
        <v>0</v>
      </c>
      <c r="AH147" s="561">
        <v>345036.19</v>
      </c>
      <c r="AI147" s="561">
        <v>0</v>
      </c>
      <c r="AJ147" s="561">
        <v>345036.19</v>
      </c>
      <c r="AK147" s="561">
        <v>0</v>
      </c>
      <c r="AL147" s="561">
        <v>0</v>
      </c>
      <c r="AM147" s="561">
        <v>0</v>
      </c>
      <c r="AN147" s="561">
        <v>0</v>
      </c>
      <c r="AO147" s="561">
        <v>0</v>
      </c>
      <c r="AP147" s="561">
        <v>0</v>
      </c>
      <c r="AQ147" s="561">
        <v>0</v>
      </c>
      <c r="AR147" s="561">
        <v>0</v>
      </c>
      <c r="AS147" s="561">
        <v>0</v>
      </c>
      <c r="AT147" s="561">
        <v>0</v>
      </c>
      <c r="AU147" s="561">
        <v>0</v>
      </c>
      <c r="AV147" s="561">
        <v>0</v>
      </c>
      <c r="AW147" s="561">
        <v>0</v>
      </c>
      <c r="AX147" s="561">
        <v>0</v>
      </c>
      <c r="AY147" s="561">
        <v>0</v>
      </c>
      <c r="AZ147" s="561">
        <v>0</v>
      </c>
      <c r="BA147" s="561">
        <v>0</v>
      </c>
      <c r="BB147" s="561">
        <v>0</v>
      </c>
      <c r="BC147" s="561">
        <v>0</v>
      </c>
      <c r="BD147" s="561">
        <v>0</v>
      </c>
      <c r="BE147" s="561">
        <v>0</v>
      </c>
      <c r="BF147" s="561">
        <v>0</v>
      </c>
      <c r="BG147" s="561">
        <v>0</v>
      </c>
      <c r="BH147" s="561">
        <v>0</v>
      </c>
      <c r="BI147" s="561">
        <v>0</v>
      </c>
      <c r="BJ147" s="561">
        <v>0</v>
      </c>
      <c r="BK147" s="561">
        <v>0</v>
      </c>
      <c r="BL147" s="561">
        <v>0</v>
      </c>
      <c r="BM147" s="561">
        <v>0</v>
      </c>
      <c r="BN147" s="561">
        <v>0</v>
      </c>
      <c r="BO147" s="561">
        <v>0</v>
      </c>
      <c r="BP147" s="561">
        <v>0</v>
      </c>
      <c r="BQ147" s="561">
        <v>0</v>
      </c>
      <c r="BR147" s="561">
        <v>0</v>
      </c>
      <c r="BS147" s="561">
        <v>0</v>
      </c>
      <c r="BT147" s="561">
        <v>0</v>
      </c>
      <c r="BU147" s="561">
        <v>0</v>
      </c>
      <c r="BV147" s="561">
        <v>0</v>
      </c>
      <c r="BW147" s="561">
        <v>0</v>
      </c>
      <c r="BX147" s="561">
        <v>0</v>
      </c>
      <c r="BY147" s="561">
        <v>0</v>
      </c>
      <c r="BZ147" s="561">
        <v>0</v>
      </c>
      <c r="CA147" s="561">
        <v>0</v>
      </c>
      <c r="CB147" s="561">
        <v>0</v>
      </c>
      <c r="CC147" s="561">
        <v>0</v>
      </c>
      <c r="CD147" s="561">
        <v>0</v>
      </c>
      <c r="CE147" s="561">
        <v>0</v>
      </c>
      <c r="CF147" s="561">
        <v>0</v>
      </c>
      <c r="CG147" s="561">
        <v>0</v>
      </c>
      <c r="CH147" s="561">
        <v>0</v>
      </c>
      <c r="CI147" s="561">
        <v>0</v>
      </c>
      <c r="CJ147" s="561">
        <v>0</v>
      </c>
      <c r="CK147" s="561">
        <v>0</v>
      </c>
      <c r="CL147" s="561">
        <v>0</v>
      </c>
      <c r="CM147" s="561">
        <v>0</v>
      </c>
      <c r="CN147" s="561">
        <v>0</v>
      </c>
      <c r="CO147" s="561">
        <v>0</v>
      </c>
      <c r="CP147" s="561">
        <v>0</v>
      </c>
      <c r="CQ147" s="561">
        <v>0</v>
      </c>
      <c r="CR147" s="561">
        <v>0</v>
      </c>
      <c r="CS147" s="561">
        <v>0</v>
      </c>
      <c r="CT147" s="561">
        <v>0</v>
      </c>
      <c r="CU147" s="561">
        <v>0</v>
      </c>
      <c r="CV147" s="561">
        <v>0</v>
      </c>
      <c r="CW147" s="561">
        <v>0</v>
      </c>
      <c r="CX147" s="561">
        <v>0</v>
      </c>
      <c r="CY147" s="561">
        <v>0</v>
      </c>
      <c r="CZ147" s="561">
        <v>0</v>
      </c>
      <c r="DA147" s="561">
        <v>0</v>
      </c>
      <c r="DB147" s="561">
        <v>0</v>
      </c>
      <c r="DC147" s="561">
        <v>0</v>
      </c>
      <c r="DD147" s="561">
        <v>0</v>
      </c>
      <c r="DE147" s="561">
        <v>0</v>
      </c>
      <c r="DF147" s="561">
        <v>0</v>
      </c>
      <c r="DG147" s="561">
        <v>0</v>
      </c>
      <c r="DH147" s="561">
        <v>0</v>
      </c>
      <c r="DI147" s="561">
        <v>0</v>
      </c>
      <c r="DJ147" s="561">
        <v>0</v>
      </c>
      <c r="DK147" s="561">
        <v>0</v>
      </c>
      <c r="DL147" s="561">
        <v>0</v>
      </c>
      <c r="DM147" s="561">
        <v>0</v>
      </c>
      <c r="DN147" s="561">
        <v>0</v>
      </c>
      <c r="DO147" s="561">
        <v>0</v>
      </c>
      <c r="DP147" s="561">
        <v>0</v>
      </c>
      <c r="DQ147" s="561">
        <v>0</v>
      </c>
      <c r="DR147" s="561">
        <v>0</v>
      </c>
      <c r="DS147" s="561">
        <v>6907.04</v>
      </c>
      <c r="DT147" s="561">
        <v>0</v>
      </c>
      <c r="DU147" s="561">
        <v>6907.04</v>
      </c>
      <c r="DV147" s="561">
        <v>0</v>
      </c>
      <c r="DW147" s="561">
        <v>0</v>
      </c>
      <c r="DX147" s="561">
        <v>0</v>
      </c>
      <c r="DY147" s="561">
        <v>0</v>
      </c>
      <c r="DZ147" s="561">
        <v>0</v>
      </c>
      <c r="EA147" s="561">
        <v>0</v>
      </c>
      <c r="EB147" s="561">
        <v>0</v>
      </c>
      <c r="EC147" s="561">
        <v>6907.04</v>
      </c>
      <c r="ED147" s="561">
        <v>0</v>
      </c>
      <c r="EE147" s="561">
        <v>0</v>
      </c>
      <c r="EF147" s="561">
        <v>0</v>
      </c>
      <c r="EG147" s="561">
        <v>0</v>
      </c>
      <c r="EH147" s="561">
        <v>0</v>
      </c>
      <c r="EI147" s="561">
        <v>0</v>
      </c>
      <c r="EJ147" s="561">
        <v>0</v>
      </c>
      <c r="EK147" s="561">
        <v>0</v>
      </c>
      <c r="EL147" s="561">
        <v>0</v>
      </c>
      <c r="EM147" s="561">
        <v>0</v>
      </c>
      <c r="EN147" s="561">
        <v>0</v>
      </c>
      <c r="EO147" s="561">
        <v>0</v>
      </c>
      <c r="EP147" s="561">
        <v>0</v>
      </c>
      <c r="EQ147" s="561">
        <v>0</v>
      </c>
      <c r="ER147" s="561">
        <v>0</v>
      </c>
      <c r="ES147" s="561" t="s">
        <v>4565</v>
      </c>
      <c r="ET147" s="561">
        <v>0</v>
      </c>
      <c r="EU147" s="561">
        <v>0</v>
      </c>
      <c r="EV147" s="561">
        <v>0</v>
      </c>
      <c r="EW147" s="561">
        <v>0</v>
      </c>
      <c r="EX147" s="561">
        <v>0</v>
      </c>
      <c r="EY147" s="561">
        <v>0</v>
      </c>
      <c r="EZ147" s="561">
        <v>0</v>
      </c>
      <c r="FA147" s="561">
        <v>0</v>
      </c>
      <c r="FB147" s="561">
        <v>0</v>
      </c>
      <c r="FC147" s="561">
        <v>4499.5</v>
      </c>
      <c r="FD147" s="561">
        <v>0</v>
      </c>
      <c r="FE147" s="561">
        <v>0</v>
      </c>
      <c r="FF147" s="561">
        <v>0</v>
      </c>
      <c r="FG147" s="561">
        <v>0</v>
      </c>
      <c r="FH147" s="561">
        <v>0</v>
      </c>
      <c r="FI147" s="561">
        <v>0</v>
      </c>
      <c r="FJ147" s="561">
        <v>0</v>
      </c>
      <c r="FK147" s="561">
        <v>0</v>
      </c>
      <c r="FL147" s="561">
        <v>0</v>
      </c>
      <c r="FM147" s="561">
        <v>0</v>
      </c>
      <c r="FN147" s="561">
        <v>0</v>
      </c>
      <c r="FO147" s="561">
        <v>4499.5</v>
      </c>
      <c r="FP147" s="561">
        <v>0</v>
      </c>
      <c r="FQ147" s="561">
        <v>0</v>
      </c>
      <c r="FR147" s="561">
        <v>0</v>
      </c>
      <c r="FS147" s="561">
        <v>0</v>
      </c>
      <c r="FT147" s="561">
        <v>0</v>
      </c>
      <c r="FU147" s="561">
        <v>0</v>
      </c>
      <c r="FV147" s="561">
        <v>0</v>
      </c>
      <c r="FW147" s="561">
        <v>0</v>
      </c>
      <c r="FX147" s="561">
        <v>0</v>
      </c>
      <c r="FY147" s="561">
        <v>0</v>
      </c>
      <c r="FZ147" s="561">
        <v>0</v>
      </c>
      <c r="GA147" s="561">
        <v>0</v>
      </c>
      <c r="GB147" s="561">
        <v>0</v>
      </c>
      <c r="GC147" s="561">
        <v>0</v>
      </c>
      <c r="GD147" s="561">
        <v>0</v>
      </c>
      <c r="GE147" s="561">
        <v>0</v>
      </c>
      <c r="GF147" s="561">
        <v>0</v>
      </c>
      <c r="GG147" s="561">
        <v>0</v>
      </c>
      <c r="GH147" s="561">
        <v>0</v>
      </c>
      <c r="GI147" s="561">
        <v>0</v>
      </c>
      <c r="GJ147" s="561">
        <v>0</v>
      </c>
      <c r="GK147" s="561">
        <v>0</v>
      </c>
      <c r="GL147" s="561">
        <v>0</v>
      </c>
      <c r="GM147" s="561">
        <v>0</v>
      </c>
      <c r="GN147" s="561">
        <v>110159.07</v>
      </c>
      <c r="GO147" s="561">
        <v>0</v>
      </c>
      <c r="GP147" s="561">
        <v>0</v>
      </c>
      <c r="GQ147" s="561">
        <v>0</v>
      </c>
      <c r="GR147" s="561">
        <v>0</v>
      </c>
      <c r="GS147" s="561">
        <v>110159.07</v>
      </c>
      <c r="GT147" s="561">
        <v>0</v>
      </c>
      <c r="GU147" s="561">
        <v>0</v>
      </c>
      <c r="GV147" s="561">
        <v>0</v>
      </c>
      <c r="GW147" s="561">
        <v>0</v>
      </c>
      <c r="GX147" s="561">
        <v>0</v>
      </c>
      <c r="GY147" s="561">
        <v>2111.7600000000002</v>
      </c>
      <c r="GZ147" s="561">
        <v>214500.91</v>
      </c>
      <c r="HA147" s="561">
        <v>2147.36</v>
      </c>
      <c r="HB147" s="561">
        <v>0</v>
      </c>
      <c r="HC147" s="561">
        <v>0</v>
      </c>
      <c r="HD147" s="561">
        <v>218760.03</v>
      </c>
      <c r="HE147" s="561">
        <v>125.41</v>
      </c>
      <c r="HF147" s="561">
        <v>333418.59999999998</v>
      </c>
      <c r="HG147" s="561">
        <v>125.41</v>
      </c>
      <c r="HH147" s="561">
        <v>0</v>
      </c>
      <c r="HI147" s="561">
        <v>0</v>
      </c>
      <c r="HJ147" s="561">
        <v>0</v>
      </c>
      <c r="HK147" s="561">
        <v>141840.56</v>
      </c>
      <c r="HL147" s="561">
        <v>0</v>
      </c>
      <c r="HM147" s="561">
        <v>141840.56</v>
      </c>
      <c r="HN147" s="561">
        <v>115.3</v>
      </c>
      <c r="HO147" s="561">
        <v>30350.31</v>
      </c>
      <c r="HP147" s="561">
        <v>0</v>
      </c>
      <c r="HQ147" s="561">
        <v>0</v>
      </c>
      <c r="HR147" s="561">
        <v>0</v>
      </c>
      <c r="HS147" s="561">
        <v>0</v>
      </c>
      <c r="HT147" s="561">
        <v>0</v>
      </c>
      <c r="HU147" s="561">
        <v>0</v>
      </c>
      <c r="HV147" s="561">
        <v>0</v>
      </c>
      <c r="HW147" s="561">
        <v>0</v>
      </c>
      <c r="HX147" s="561">
        <v>4549.43</v>
      </c>
      <c r="HY147" s="561">
        <v>0</v>
      </c>
      <c r="HZ147" s="561">
        <v>0</v>
      </c>
      <c r="IA147" s="561">
        <v>0</v>
      </c>
      <c r="IB147" s="561">
        <v>0</v>
      </c>
      <c r="IC147" s="561">
        <v>0</v>
      </c>
      <c r="ID147" s="561">
        <v>0</v>
      </c>
      <c r="IE147" s="561">
        <v>0</v>
      </c>
      <c r="IF147" s="561">
        <v>0</v>
      </c>
      <c r="IG147" s="561">
        <v>0</v>
      </c>
      <c r="IH147" s="561">
        <v>0</v>
      </c>
      <c r="II147" s="561">
        <v>34899.74</v>
      </c>
      <c r="IJ147" s="561">
        <v>217.38</v>
      </c>
      <c r="IK147" s="561">
        <v>0</v>
      </c>
      <c r="IL147" s="561">
        <v>0</v>
      </c>
      <c r="IM147" s="561">
        <v>0</v>
      </c>
      <c r="IN147" s="561">
        <v>0</v>
      </c>
      <c r="IO147" s="561">
        <v>0</v>
      </c>
      <c r="IP147" s="561">
        <v>0</v>
      </c>
      <c r="IQ147" s="561">
        <v>0</v>
      </c>
      <c r="IR147" s="561">
        <v>0</v>
      </c>
      <c r="IS147" s="561">
        <v>345036.19</v>
      </c>
      <c r="IT147" s="561">
        <v>0</v>
      </c>
      <c r="IU147" s="561">
        <v>0</v>
      </c>
      <c r="IV147" s="561">
        <v>0</v>
      </c>
      <c r="IW147" s="561">
        <v>6907.04</v>
      </c>
      <c r="IX147" s="561">
        <v>4499.5</v>
      </c>
      <c r="IY147" s="561">
        <v>110159.07</v>
      </c>
      <c r="IZ147" s="561">
        <v>218760.03</v>
      </c>
      <c r="JA147" s="561">
        <v>0</v>
      </c>
      <c r="JB147" s="561">
        <v>141840.56</v>
      </c>
      <c r="JC147" s="561">
        <v>34899.74</v>
      </c>
      <c r="JD147" s="561">
        <v>0</v>
      </c>
      <c r="JE147" s="561">
        <v>862102.13</v>
      </c>
      <c r="JF147" s="561">
        <v>0</v>
      </c>
      <c r="JG147" s="561">
        <v>0</v>
      </c>
      <c r="JH147" s="561">
        <v>0</v>
      </c>
      <c r="JI147" s="561">
        <v>0</v>
      </c>
      <c r="JJ147" s="561">
        <v>0</v>
      </c>
      <c r="JK147" s="561">
        <v>0</v>
      </c>
      <c r="JL147" s="561">
        <v>-119473</v>
      </c>
      <c r="JM147" s="561">
        <v>-144324.26999999999</v>
      </c>
      <c r="JN147" s="561">
        <v>0</v>
      </c>
      <c r="JO147" s="561">
        <v>-86700</v>
      </c>
      <c r="JP147" s="561">
        <v>0</v>
      </c>
      <c r="JQ147" s="561">
        <v>0</v>
      </c>
      <c r="JR147" s="561">
        <v>0</v>
      </c>
      <c r="JS147" s="561">
        <v>0</v>
      </c>
      <c r="JT147" s="561">
        <v>0</v>
      </c>
      <c r="JU147" s="561">
        <v>0</v>
      </c>
      <c r="JV147" s="561">
        <v>511604.86</v>
      </c>
      <c r="JW147" s="561">
        <v>0</v>
      </c>
      <c r="JX147" s="561">
        <v>4334.12</v>
      </c>
      <c r="JY147" s="561">
        <v>0</v>
      </c>
      <c r="JZ147" s="561">
        <v>0</v>
      </c>
      <c r="KA147" s="561">
        <v>0</v>
      </c>
      <c r="KB147" s="561">
        <v>-3589.49</v>
      </c>
      <c r="KC147" s="561">
        <v>79088.47</v>
      </c>
      <c r="KD147" s="561">
        <v>95.74</v>
      </c>
      <c r="KE147" s="561">
        <v>49299.95</v>
      </c>
      <c r="KF147" s="561">
        <v>0</v>
      </c>
      <c r="KG147" s="561">
        <v>640833.65</v>
      </c>
      <c r="KH147" s="561">
        <v>-40950.39</v>
      </c>
      <c r="KI147" s="561">
        <v>0</v>
      </c>
      <c r="KJ147" s="561">
        <v>2272.8000000000002</v>
      </c>
      <c r="KK147" s="561">
        <v>0</v>
      </c>
      <c r="KL147" s="561">
        <v>-142327.44</v>
      </c>
      <c r="KM147" s="561">
        <v>0</v>
      </c>
      <c r="KN147" s="561">
        <v>0</v>
      </c>
      <c r="KO147" s="561">
        <v>0</v>
      </c>
      <c r="KP147" s="561">
        <v>0</v>
      </c>
      <c r="KQ147" s="561">
        <v>0</v>
      </c>
      <c r="KR147" s="561">
        <v>459828.62</v>
      </c>
      <c r="KS147" s="561">
        <v>0</v>
      </c>
      <c r="KT147" s="561">
        <v>-237596.68</v>
      </c>
      <c r="KU147" s="561">
        <v>222231.94</v>
      </c>
      <c r="KV147" s="561">
        <v>0</v>
      </c>
      <c r="KW147" s="561">
        <v>0</v>
      </c>
      <c r="KX147" s="561">
        <v>0</v>
      </c>
      <c r="KY147" s="561">
        <v>0</v>
      </c>
      <c r="KZ147" s="561">
        <v>-37635.78</v>
      </c>
      <c r="LA147" s="561">
        <v>-692.42</v>
      </c>
      <c r="LB147" s="561">
        <v>0</v>
      </c>
      <c r="LC147" s="561">
        <v>0</v>
      </c>
      <c r="LD147" s="561">
        <v>-91962.31</v>
      </c>
      <c r="LE147" s="561">
        <v>-753.23</v>
      </c>
      <c r="LF147" s="561">
        <v>0</v>
      </c>
      <c r="LG147" s="561">
        <v>91188</v>
      </c>
      <c r="LH147" s="561">
        <v>0</v>
      </c>
      <c r="LI147" s="561">
        <v>0</v>
      </c>
      <c r="LJ147" s="561">
        <v>0</v>
      </c>
      <c r="LK147" s="561">
        <v>0</v>
      </c>
      <c r="LL147" s="561">
        <v>471673.8</v>
      </c>
      <c r="LM147" s="561">
        <v>40121.18</v>
      </c>
      <c r="LN147" s="561">
        <v>0</v>
      </c>
      <c r="LO147" s="561">
        <v>0</v>
      </c>
      <c r="LP147" s="561">
        <v>0</v>
      </c>
      <c r="LQ147" s="561">
        <v>0</v>
      </c>
      <c r="LR147" s="561">
        <v>434038.02</v>
      </c>
      <c r="LS147" s="561">
        <v>39428.76</v>
      </c>
      <c r="LT147" s="561">
        <v>0</v>
      </c>
      <c r="LU147" s="561">
        <v>23682.86</v>
      </c>
      <c r="LV147" s="561">
        <v>-3880.13</v>
      </c>
      <c r="LW147" s="561">
        <v>1118.94</v>
      </c>
      <c r="LX147" s="561">
        <v>4620.97</v>
      </c>
      <c r="LY147" s="561">
        <v>428937.73</v>
      </c>
      <c r="LZ147" s="561">
        <v>454480.37</v>
      </c>
      <c r="MA147" s="561">
        <v>0</v>
      </c>
      <c r="MB147" s="561">
        <v>0</v>
      </c>
      <c r="MC147" s="561">
        <v>0</v>
      </c>
      <c r="MD147" s="561">
        <v>0</v>
      </c>
      <c r="ME147" s="561">
        <v>0</v>
      </c>
      <c r="MF147" s="561">
        <v>0</v>
      </c>
      <c r="MG147" s="561">
        <v>0</v>
      </c>
      <c r="MH147" s="561">
        <v>0</v>
      </c>
      <c r="MI147" s="561">
        <v>0</v>
      </c>
      <c r="MJ147" s="561">
        <v>0</v>
      </c>
      <c r="MK147" s="561">
        <v>0</v>
      </c>
      <c r="ML147" s="561">
        <v>13000</v>
      </c>
      <c r="MM147" s="561">
        <v>391357.12</v>
      </c>
      <c r="MN147" s="561">
        <v>16821.39</v>
      </c>
      <c r="MO147" s="561">
        <v>12859.51</v>
      </c>
      <c r="MP147" s="561">
        <v>0</v>
      </c>
      <c r="MQ147" s="561">
        <v>0</v>
      </c>
      <c r="MR147" s="561">
        <v>345036.19</v>
      </c>
      <c r="MS147" s="561">
        <v>0</v>
      </c>
      <c r="MT147" s="561">
        <v>0</v>
      </c>
      <c r="MU147" s="561">
        <v>0</v>
      </c>
      <c r="MV147" s="561">
        <v>6907.04</v>
      </c>
      <c r="MW147" s="561">
        <v>4499.5</v>
      </c>
      <c r="MX147" s="561">
        <v>110159.07</v>
      </c>
      <c r="MY147" s="561">
        <v>218760.03</v>
      </c>
      <c r="MZ147" s="561">
        <v>0</v>
      </c>
      <c r="NA147" s="561">
        <v>141840.56</v>
      </c>
      <c r="NB147" s="561">
        <v>34899.74</v>
      </c>
      <c r="NC147" s="561">
        <v>0</v>
      </c>
      <c r="ND147" s="561">
        <v>862102.13</v>
      </c>
      <c r="NE147" s="561">
        <v>0</v>
      </c>
      <c r="NF147" s="561">
        <v>0</v>
      </c>
      <c r="NG147" s="561">
        <v>0</v>
      </c>
      <c r="NH147" s="561">
        <v>0</v>
      </c>
      <c r="NI147" s="561">
        <v>0</v>
      </c>
      <c r="NJ147" s="561">
        <v>0</v>
      </c>
      <c r="NK147" s="561">
        <v>0</v>
      </c>
      <c r="NL147" s="561">
        <v>0</v>
      </c>
      <c r="NM147" s="561">
        <v>0</v>
      </c>
      <c r="NN147" s="561">
        <v>0</v>
      </c>
      <c r="NO147" s="561">
        <v>0</v>
      </c>
      <c r="NP147" s="561">
        <v>0</v>
      </c>
      <c r="NQ147" s="561">
        <v>0</v>
      </c>
      <c r="NR147" s="561">
        <v>0</v>
      </c>
      <c r="NS147" s="561">
        <v>0</v>
      </c>
      <c r="NT147" s="561">
        <v>0</v>
      </c>
      <c r="NU147" s="561">
        <v>0</v>
      </c>
      <c r="NV147" s="561">
        <v>0</v>
      </c>
      <c r="NW147" s="561">
        <v>0</v>
      </c>
      <c r="NX147" s="561">
        <v>0</v>
      </c>
      <c r="NY147" s="561">
        <v>0</v>
      </c>
      <c r="NZ147" s="561">
        <v>0</v>
      </c>
      <c r="OA147" s="561">
        <v>0</v>
      </c>
      <c r="OB147" s="561">
        <v>0</v>
      </c>
      <c r="OC147" s="561">
        <v>0</v>
      </c>
      <c r="OD147" s="561">
        <v>0</v>
      </c>
      <c r="OE147" s="561">
        <v>0</v>
      </c>
      <c r="OF147" s="561">
        <v>0</v>
      </c>
      <c r="OG147" s="561">
        <v>0</v>
      </c>
      <c r="OH147" s="561">
        <v>0</v>
      </c>
      <c r="OI147" s="561">
        <v>0</v>
      </c>
      <c r="OJ147" s="561">
        <v>0</v>
      </c>
      <c r="OK147" s="561">
        <v>0</v>
      </c>
      <c r="OL147" s="561">
        <v>0</v>
      </c>
      <c r="OM147" s="561">
        <v>0</v>
      </c>
      <c r="ON147" s="561">
        <v>0</v>
      </c>
      <c r="OO147" s="561">
        <v>0</v>
      </c>
      <c r="OP147" s="561">
        <v>0</v>
      </c>
      <c r="OQ147" s="561">
        <v>0</v>
      </c>
      <c r="OR147" s="561">
        <v>0</v>
      </c>
      <c r="OS147" s="561">
        <v>0</v>
      </c>
      <c r="OT147" s="561">
        <v>0</v>
      </c>
      <c r="OU147" s="561">
        <v>0</v>
      </c>
      <c r="OV147" s="561">
        <v>0</v>
      </c>
      <c r="OW147" s="561">
        <v>0</v>
      </c>
      <c r="OX147" s="561">
        <v>0</v>
      </c>
      <c r="OY147" s="561">
        <v>0</v>
      </c>
      <c r="OZ147" s="561">
        <v>0</v>
      </c>
      <c r="PA147" s="561">
        <v>0</v>
      </c>
      <c r="PB147" s="561">
        <v>0</v>
      </c>
      <c r="PC147" s="561">
        <v>0</v>
      </c>
      <c r="PD147" s="561">
        <v>0</v>
      </c>
      <c r="PE147" s="561">
        <v>0</v>
      </c>
      <c r="PF147" s="561">
        <v>0</v>
      </c>
      <c r="PG147" s="561">
        <v>0</v>
      </c>
      <c r="PH147" s="561">
        <v>0</v>
      </c>
      <c r="PI147" s="561">
        <v>0</v>
      </c>
      <c r="PJ147" s="561">
        <v>0</v>
      </c>
    </row>
    <row r="148" spans="1:426" ht="14" x14ac:dyDescent="0.3">
      <c r="A148" t="s">
        <v>2879</v>
      </c>
      <c r="B148" t="s">
        <v>2880</v>
      </c>
      <c r="C148" t="s">
        <v>2881</v>
      </c>
      <c r="E148" t="s">
        <v>2466</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61">
        <v>0</v>
      </c>
      <c r="U148" s="561">
        <v>0</v>
      </c>
      <c r="V148" s="561">
        <v>0</v>
      </c>
      <c r="W148" s="561">
        <v>0</v>
      </c>
      <c r="X148" s="561">
        <v>0</v>
      </c>
      <c r="Y148" s="561">
        <v>0</v>
      </c>
      <c r="Z148" s="561">
        <v>0</v>
      </c>
      <c r="AA148" s="561">
        <v>0</v>
      </c>
      <c r="AB148" s="561">
        <v>0</v>
      </c>
      <c r="AC148" s="561">
        <v>0</v>
      </c>
      <c r="AD148" s="561">
        <v>0</v>
      </c>
      <c r="AE148" s="561">
        <v>0</v>
      </c>
      <c r="AF148" s="561">
        <v>0</v>
      </c>
      <c r="AG148" s="561">
        <v>0</v>
      </c>
      <c r="AH148" s="561">
        <v>0</v>
      </c>
      <c r="AI148" s="561">
        <v>0</v>
      </c>
      <c r="AJ148" s="561">
        <v>0</v>
      </c>
      <c r="AK148" s="561">
        <v>0</v>
      </c>
      <c r="AL148" s="561">
        <v>0</v>
      </c>
      <c r="AM148" s="561">
        <v>0</v>
      </c>
      <c r="AN148" s="561">
        <v>0</v>
      </c>
      <c r="AO148" s="561">
        <v>0</v>
      </c>
      <c r="AP148" s="561">
        <v>0</v>
      </c>
      <c r="AQ148" s="561">
        <v>0</v>
      </c>
      <c r="AR148" s="561">
        <v>0</v>
      </c>
      <c r="AS148" s="561">
        <v>0</v>
      </c>
      <c r="AT148" s="561">
        <v>0</v>
      </c>
      <c r="AU148" s="561">
        <v>0</v>
      </c>
      <c r="AV148" s="561">
        <v>0</v>
      </c>
      <c r="AW148" s="561">
        <v>0</v>
      </c>
      <c r="AX148" s="561">
        <v>0</v>
      </c>
      <c r="AY148" s="561">
        <v>0</v>
      </c>
      <c r="AZ148" s="561">
        <v>0</v>
      </c>
      <c r="BA148" s="561">
        <v>0</v>
      </c>
      <c r="BB148" s="561">
        <v>0</v>
      </c>
      <c r="BC148" s="561">
        <v>0</v>
      </c>
      <c r="BD148" s="561">
        <v>0</v>
      </c>
      <c r="BE148" s="561">
        <v>0</v>
      </c>
      <c r="BF148" s="561">
        <v>0</v>
      </c>
      <c r="BG148" s="561">
        <v>0</v>
      </c>
      <c r="BH148" s="561">
        <v>0</v>
      </c>
      <c r="BI148" s="561">
        <v>0</v>
      </c>
      <c r="BJ148" s="561">
        <v>0</v>
      </c>
      <c r="BK148" s="561">
        <v>0</v>
      </c>
      <c r="BL148" s="561">
        <v>0</v>
      </c>
      <c r="BM148" s="561">
        <v>0</v>
      </c>
      <c r="BN148" s="561">
        <v>0</v>
      </c>
      <c r="BO148" s="561">
        <v>0</v>
      </c>
      <c r="BP148" s="561">
        <v>0</v>
      </c>
      <c r="BQ148" s="561">
        <v>0</v>
      </c>
      <c r="BR148" s="561">
        <v>0</v>
      </c>
      <c r="BS148" s="561">
        <v>0</v>
      </c>
      <c r="BT148" s="561">
        <v>0</v>
      </c>
      <c r="BU148" s="561">
        <v>0</v>
      </c>
      <c r="BV148" s="561">
        <v>0</v>
      </c>
      <c r="BW148" s="561">
        <v>0</v>
      </c>
      <c r="BX148" s="561">
        <v>0</v>
      </c>
      <c r="BY148" s="561">
        <v>0</v>
      </c>
      <c r="BZ148" s="561">
        <v>0</v>
      </c>
      <c r="CA148" s="561">
        <v>0</v>
      </c>
      <c r="CB148" s="561">
        <v>0</v>
      </c>
      <c r="CC148" s="561">
        <v>0</v>
      </c>
      <c r="CD148" s="561">
        <v>0</v>
      </c>
      <c r="CE148" s="561">
        <v>0</v>
      </c>
      <c r="CF148" s="561">
        <v>0</v>
      </c>
      <c r="CG148" s="561">
        <v>0</v>
      </c>
      <c r="CH148" s="561">
        <v>0</v>
      </c>
      <c r="CI148" s="561">
        <v>0</v>
      </c>
      <c r="CJ148" s="561">
        <v>0</v>
      </c>
      <c r="CK148" s="561">
        <v>0</v>
      </c>
      <c r="CL148" s="561">
        <v>0</v>
      </c>
      <c r="CM148" s="561">
        <v>0</v>
      </c>
      <c r="CN148" s="561">
        <v>0</v>
      </c>
      <c r="CO148" s="561">
        <v>0</v>
      </c>
      <c r="CP148" s="561">
        <v>0</v>
      </c>
      <c r="CQ148" s="561">
        <v>0</v>
      </c>
      <c r="CR148" s="561">
        <v>0</v>
      </c>
      <c r="CS148" s="561">
        <v>0</v>
      </c>
      <c r="CT148" s="561">
        <v>0</v>
      </c>
      <c r="CU148" s="561">
        <v>0</v>
      </c>
      <c r="CV148" s="561">
        <v>0</v>
      </c>
      <c r="CW148" s="561">
        <v>0</v>
      </c>
      <c r="CX148" s="561">
        <v>0</v>
      </c>
      <c r="CY148" s="561">
        <v>0</v>
      </c>
      <c r="CZ148" s="561">
        <v>0</v>
      </c>
      <c r="DA148" s="561">
        <v>0</v>
      </c>
      <c r="DB148" s="561">
        <v>0</v>
      </c>
      <c r="DC148" s="561">
        <v>0</v>
      </c>
      <c r="DD148" s="561">
        <v>0</v>
      </c>
      <c r="DE148" s="561">
        <v>0</v>
      </c>
      <c r="DF148" s="561">
        <v>0</v>
      </c>
      <c r="DG148" s="561">
        <v>0</v>
      </c>
      <c r="DH148" s="561">
        <v>0</v>
      </c>
      <c r="DI148" s="561">
        <v>0</v>
      </c>
      <c r="DJ148" s="561">
        <v>0</v>
      </c>
      <c r="DK148" s="561">
        <v>0</v>
      </c>
      <c r="DL148" s="561">
        <v>0</v>
      </c>
      <c r="DM148" s="561">
        <v>0</v>
      </c>
      <c r="DN148" s="561">
        <v>0</v>
      </c>
      <c r="DO148" s="561">
        <v>0</v>
      </c>
      <c r="DP148" s="561">
        <v>0</v>
      </c>
      <c r="DQ148" s="561">
        <v>0</v>
      </c>
      <c r="DR148" s="561">
        <v>0</v>
      </c>
      <c r="DS148" s="561">
        <v>0</v>
      </c>
      <c r="DT148" s="561">
        <v>0</v>
      </c>
      <c r="DU148" s="561">
        <v>0</v>
      </c>
      <c r="DV148" s="561">
        <v>0</v>
      </c>
      <c r="DW148" s="561">
        <v>0</v>
      </c>
      <c r="DX148" s="561">
        <v>0</v>
      </c>
      <c r="DY148" s="561">
        <v>0</v>
      </c>
      <c r="DZ148" s="561">
        <v>0</v>
      </c>
      <c r="EA148" s="561">
        <v>0</v>
      </c>
      <c r="EB148" s="561">
        <v>0</v>
      </c>
      <c r="EC148" s="561">
        <v>0</v>
      </c>
      <c r="ED148" s="561">
        <v>0</v>
      </c>
      <c r="EE148" s="561">
        <v>0</v>
      </c>
      <c r="EF148" s="561">
        <v>0</v>
      </c>
      <c r="EG148" s="561">
        <v>0</v>
      </c>
      <c r="EH148" s="561">
        <v>0</v>
      </c>
      <c r="EI148" s="561">
        <v>0</v>
      </c>
      <c r="EJ148" s="561">
        <v>0</v>
      </c>
      <c r="EK148" s="561">
        <v>0</v>
      </c>
      <c r="EL148" s="561">
        <v>0</v>
      </c>
      <c r="EM148" s="561">
        <v>0</v>
      </c>
      <c r="EN148" s="561">
        <v>0</v>
      </c>
      <c r="EO148" s="561">
        <v>0</v>
      </c>
      <c r="EP148" s="561">
        <v>0</v>
      </c>
      <c r="EQ148" s="561">
        <v>0</v>
      </c>
      <c r="ER148" s="561">
        <v>0</v>
      </c>
      <c r="ES148" s="561" t="s">
        <v>4565</v>
      </c>
      <c r="ET148" s="561">
        <v>0</v>
      </c>
      <c r="EU148" s="561">
        <v>0</v>
      </c>
      <c r="EV148" s="561">
        <v>0</v>
      </c>
      <c r="EW148" s="561">
        <v>0</v>
      </c>
      <c r="EX148" s="561">
        <v>0</v>
      </c>
      <c r="EY148" s="561">
        <v>0</v>
      </c>
      <c r="EZ148" s="561">
        <v>0</v>
      </c>
      <c r="FA148" s="561">
        <v>0</v>
      </c>
      <c r="FB148" s="561">
        <v>0</v>
      </c>
      <c r="FC148" s="561">
        <v>0</v>
      </c>
      <c r="FD148" s="561">
        <v>0</v>
      </c>
      <c r="FE148" s="561">
        <v>0</v>
      </c>
      <c r="FF148" s="561">
        <v>0</v>
      </c>
      <c r="FG148" s="561">
        <v>0</v>
      </c>
      <c r="FH148" s="561">
        <v>0</v>
      </c>
      <c r="FI148" s="561">
        <v>0</v>
      </c>
      <c r="FJ148" s="561">
        <v>0</v>
      </c>
      <c r="FK148" s="561">
        <v>0</v>
      </c>
      <c r="FL148" s="561">
        <v>0</v>
      </c>
      <c r="FM148" s="561">
        <v>0</v>
      </c>
      <c r="FN148" s="561">
        <v>0</v>
      </c>
      <c r="FO148" s="561">
        <v>0</v>
      </c>
      <c r="FP148" s="561">
        <v>0</v>
      </c>
      <c r="FQ148" s="561">
        <v>0</v>
      </c>
      <c r="FR148" s="561">
        <v>0</v>
      </c>
      <c r="FS148" s="561">
        <v>0</v>
      </c>
      <c r="FT148" s="561">
        <v>0</v>
      </c>
      <c r="FU148" s="561">
        <v>0</v>
      </c>
      <c r="FV148" s="561">
        <v>0</v>
      </c>
      <c r="FW148" s="561">
        <v>0</v>
      </c>
      <c r="FX148" s="561">
        <v>0</v>
      </c>
      <c r="FY148" s="561">
        <v>0</v>
      </c>
      <c r="FZ148" s="561">
        <v>0</v>
      </c>
      <c r="GA148" s="561">
        <v>0</v>
      </c>
      <c r="GB148" s="561">
        <v>0</v>
      </c>
      <c r="GC148" s="561">
        <v>0</v>
      </c>
      <c r="GD148" s="561">
        <v>0</v>
      </c>
      <c r="GE148" s="561">
        <v>0</v>
      </c>
      <c r="GF148" s="561">
        <v>0</v>
      </c>
      <c r="GG148" s="561">
        <v>0</v>
      </c>
      <c r="GH148" s="561">
        <v>0</v>
      </c>
      <c r="GI148" s="561">
        <v>0</v>
      </c>
      <c r="GJ148" s="561">
        <v>0</v>
      </c>
      <c r="GK148" s="561">
        <v>0</v>
      </c>
      <c r="GL148" s="561">
        <v>0</v>
      </c>
      <c r="GM148" s="561">
        <v>0</v>
      </c>
      <c r="GN148" s="561">
        <v>0</v>
      </c>
      <c r="GO148" s="561">
        <v>0</v>
      </c>
      <c r="GP148" s="561">
        <v>0</v>
      </c>
      <c r="GQ148" s="561">
        <v>0</v>
      </c>
      <c r="GR148" s="561">
        <v>0</v>
      </c>
      <c r="GS148" s="561">
        <v>0</v>
      </c>
      <c r="GT148" s="561">
        <v>0</v>
      </c>
      <c r="GU148" s="561">
        <v>0</v>
      </c>
      <c r="GV148" s="561">
        <v>0</v>
      </c>
      <c r="GW148" s="561">
        <v>0</v>
      </c>
      <c r="GX148" s="561">
        <v>0</v>
      </c>
      <c r="GY148" s="561">
        <v>0</v>
      </c>
      <c r="GZ148" s="561">
        <v>0</v>
      </c>
      <c r="HA148" s="561">
        <v>0</v>
      </c>
      <c r="HB148" s="561">
        <v>0</v>
      </c>
      <c r="HC148" s="561">
        <v>0</v>
      </c>
      <c r="HD148" s="561">
        <v>0</v>
      </c>
      <c r="HE148" s="561">
        <v>0</v>
      </c>
      <c r="HF148" s="561">
        <v>0</v>
      </c>
      <c r="HG148" s="561">
        <v>0</v>
      </c>
      <c r="HH148" s="561">
        <v>922584</v>
      </c>
      <c r="HI148" s="561">
        <v>8906</v>
      </c>
      <c r="HJ148" s="561">
        <v>0</v>
      </c>
      <c r="HK148" s="561">
        <v>0</v>
      </c>
      <c r="HL148" s="561">
        <v>0</v>
      </c>
      <c r="HM148" s="561">
        <v>0</v>
      </c>
      <c r="HN148" s="561">
        <v>0</v>
      </c>
      <c r="HO148" s="561">
        <v>39</v>
      </c>
      <c r="HP148" s="561">
        <v>0</v>
      </c>
      <c r="HQ148" s="561">
        <v>0</v>
      </c>
      <c r="HR148" s="561">
        <v>0</v>
      </c>
      <c r="HS148" s="561">
        <v>0</v>
      </c>
      <c r="HT148" s="561">
        <v>0</v>
      </c>
      <c r="HU148" s="561">
        <v>0</v>
      </c>
      <c r="HV148" s="561">
        <v>0</v>
      </c>
      <c r="HW148" s="561">
        <v>0</v>
      </c>
      <c r="HX148" s="561">
        <v>0</v>
      </c>
      <c r="HY148" s="561">
        <v>0</v>
      </c>
      <c r="HZ148" s="561">
        <v>0</v>
      </c>
      <c r="IA148" s="561">
        <v>0</v>
      </c>
      <c r="IB148" s="561">
        <v>0</v>
      </c>
      <c r="IC148" s="561">
        <v>0</v>
      </c>
      <c r="ID148" s="561">
        <v>0</v>
      </c>
      <c r="IE148" s="561">
        <v>0</v>
      </c>
      <c r="IF148" s="561">
        <v>0</v>
      </c>
      <c r="IG148" s="561">
        <v>0</v>
      </c>
      <c r="IH148" s="561">
        <v>0</v>
      </c>
      <c r="II148" s="561">
        <v>39</v>
      </c>
      <c r="IJ148" s="561">
        <v>0</v>
      </c>
      <c r="IK148" s="561">
        <v>0</v>
      </c>
      <c r="IL148" s="561">
        <v>0</v>
      </c>
      <c r="IM148" s="561">
        <v>0</v>
      </c>
      <c r="IN148" s="561">
        <v>0</v>
      </c>
      <c r="IO148" s="561">
        <v>0</v>
      </c>
      <c r="IP148" s="561">
        <v>0</v>
      </c>
      <c r="IQ148" s="561">
        <v>0</v>
      </c>
      <c r="IR148" s="561">
        <v>0</v>
      </c>
      <c r="IS148" s="561">
        <v>0</v>
      </c>
      <c r="IT148" s="561">
        <v>0</v>
      </c>
      <c r="IU148" s="561">
        <v>0</v>
      </c>
      <c r="IV148" s="561">
        <v>0</v>
      </c>
      <c r="IW148" s="561">
        <v>0</v>
      </c>
      <c r="IX148" s="561">
        <v>0</v>
      </c>
      <c r="IY148" s="561">
        <v>0</v>
      </c>
      <c r="IZ148" s="561">
        <v>0</v>
      </c>
      <c r="JA148" s="561">
        <v>922584</v>
      </c>
      <c r="JB148" s="561">
        <v>0</v>
      </c>
      <c r="JC148" s="561">
        <v>39</v>
      </c>
      <c r="JD148" s="561">
        <v>0</v>
      </c>
      <c r="JE148" s="561">
        <v>922623</v>
      </c>
      <c r="JF148" s="561">
        <v>0</v>
      </c>
      <c r="JG148" s="561">
        <v>0</v>
      </c>
      <c r="JH148" s="561">
        <v>0</v>
      </c>
      <c r="JI148" s="561">
        <v>0</v>
      </c>
      <c r="JJ148" s="561">
        <v>0</v>
      </c>
      <c r="JK148" s="561">
        <v>0</v>
      </c>
      <c r="JL148" s="561">
        <v>0</v>
      </c>
      <c r="JM148" s="561">
        <v>0</v>
      </c>
      <c r="JN148" s="561">
        <v>0</v>
      </c>
      <c r="JO148" s="561">
        <v>0</v>
      </c>
      <c r="JP148" s="561">
        <v>0</v>
      </c>
      <c r="JQ148" s="561">
        <v>0</v>
      </c>
      <c r="JR148" s="561">
        <v>0</v>
      </c>
      <c r="JS148" s="561">
        <v>0</v>
      </c>
      <c r="JT148" s="561">
        <v>0</v>
      </c>
      <c r="JU148" s="561">
        <v>0</v>
      </c>
      <c r="JV148" s="561">
        <v>922623</v>
      </c>
      <c r="JW148" s="561">
        <v>0</v>
      </c>
      <c r="JX148" s="561">
        <v>102</v>
      </c>
      <c r="JY148" s="561">
        <v>0</v>
      </c>
      <c r="JZ148" s="561">
        <v>0</v>
      </c>
      <c r="KA148" s="561">
        <v>0</v>
      </c>
      <c r="KB148" s="561">
        <v>0</v>
      </c>
      <c r="KC148" s="561">
        <v>16364</v>
      </c>
      <c r="KD148" s="561">
        <v>0</v>
      </c>
      <c r="KE148" s="561">
        <v>2072</v>
      </c>
      <c r="KF148" s="561">
        <v>0</v>
      </c>
      <c r="KG148" s="561">
        <v>941161</v>
      </c>
      <c r="KH148" s="561">
        <v>-3632</v>
      </c>
      <c r="KI148" s="561">
        <v>0</v>
      </c>
      <c r="KJ148" s="561">
        <v>0</v>
      </c>
      <c r="KK148" s="561">
        <v>0</v>
      </c>
      <c r="KL148" s="561">
        <v>0</v>
      </c>
      <c r="KM148" s="561">
        <v>0</v>
      </c>
      <c r="KN148" s="561">
        <v>0</v>
      </c>
      <c r="KO148" s="561">
        <v>0</v>
      </c>
      <c r="KP148" s="561">
        <v>0</v>
      </c>
      <c r="KQ148" s="561">
        <v>0</v>
      </c>
      <c r="KR148" s="561">
        <v>937529</v>
      </c>
      <c r="KS148" s="561">
        <v>0</v>
      </c>
      <c r="KT148" s="561">
        <v>-170051</v>
      </c>
      <c r="KU148" s="561">
        <v>767478</v>
      </c>
      <c r="KV148" s="561">
        <v>0</v>
      </c>
      <c r="KW148" s="561">
        <v>0</v>
      </c>
      <c r="KX148" s="561">
        <v>0</v>
      </c>
      <c r="KY148" s="561">
        <v>0</v>
      </c>
      <c r="KZ148" s="561">
        <v>-4919</v>
      </c>
      <c r="LA148" s="561">
        <v>0</v>
      </c>
      <c r="LB148" s="561">
        <v>0</v>
      </c>
      <c r="LC148" s="561">
        <v>-554379</v>
      </c>
      <c r="LD148" s="561">
        <v>0</v>
      </c>
      <c r="LE148" s="561">
        <v>-1261</v>
      </c>
      <c r="LF148" s="561">
        <v>0</v>
      </c>
      <c r="LG148" s="561">
        <v>206919</v>
      </c>
      <c r="LH148" s="561">
        <v>0</v>
      </c>
      <c r="LI148" s="561">
        <v>0</v>
      </c>
      <c r="LJ148" s="561">
        <v>0</v>
      </c>
      <c r="LK148" s="561">
        <v>0</v>
      </c>
      <c r="LL148" s="561">
        <v>37934</v>
      </c>
      <c r="LM148" s="561">
        <v>15582</v>
      </c>
      <c r="LN148" s="561">
        <v>0</v>
      </c>
      <c r="LO148" s="561">
        <v>0</v>
      </c>
      <c r="LP148" s="561">
        <v>0</v>
      </c>
      <c r="LQ148" s="561">
        <v>0</v>
      </c>
      <c r="LR148" s="561">
        <v>33015</v>
      </c>
      <c r="LS148" s="561">
        <v>15582</v>
      </c>
      <c r="LT148" s="561">
        <v>0</v>
      </c>
      <c r="LU148" s="561">
        <v>37313</v>
      </c>
      <c r="LV148" s="561">
        <v>0</v>
      </c>
      <c r="LW148" s="561">
        <v>37820</v>
      </c>
      <c r="LX148" s="561">
        <v>-772</v>
      </c>
      <c r="LY148" s="561">
        <v>-102</v>
      </c>
      <c r="LZ148" s="561">
        <v>74259</v>
      </c>
      <c r="MA148" s="561">
        <v>0</v>
      </c>
      <c r="MB148" s="561">
        <v>0</v>
      </c>
      <c r="MC148" s="561">
        <v>0</v>
      </c>
      <c r="MD148" s="561">
        <v>0</v>
      </c>
      <c r="ME148" s="561">
        <v>0</v>
      </c>
      <c r="MF148" s="561">
        <v>0</v>
      </c>
      <c r="MG148" s="561">
        <v>0</v>
      </c>
      <c r="MH148" s="561">
        <v>0</v>
      </c>
      <c r="MI148" s="561">
        <v>0</v>
      </c>
      <c r="MJ148" s="561">
        <v>0</v>
      </c>
      <c r="MK148" s="561">
        <v>0</v>
      </c>
      <c r="ML148" s="561">
        <v>0</v>
      </c>
      <c r="MM148" s="561">
        <v>10372</v>
      </c>
      <c r="MN148" s="561">
        <v>13929</v>
      </c>
      <c r="MO148" s="561">
        <v>1266</v>
      </c>
      <c r="MP148" s="561">
        <v>7448</v>
      </c>
      <c r="MQ148" s="561">
        <v>0</v>
      </c>
      <c r="MR148" s="561">
        <v>0</v>
      </c>
      <c r="MS148" s="561">
        <v>0</v>
      </c>
      <c r="MT148" s="561">
        <v>0</v>
      </c>
      <c r="MU148" s="561">
        <v>0</v>
      </c>
      <c r="MV148" s="561">
        <v>0</v>
      </c>
      <c r="MW148" s="561">
        <v>0</v>
      </c>
      <c r="MX148" s="561">
        <v>0</v>
      </c>
      <c r="MY148" s="561">
        <v>0</v>
      </c>
      <c r="MZ148" s="561">
        <v>922584</v>
      </c>
      <c r="NA148" s="561">
        <v>0</v>
      </c>
      <c r="NB148" s="561">
        <v>39</v>
      </c>
      <c r="NC148" s="561">
        <v>0</v>
      </c>
      <c r="ND148" s="561">
        <v>922623</v>
      </c>
      <c r="NE148" s="561">
        <v>0</v>
      </c>
      <c r="NF148" s="561">
        <v>0</v>
      </c>
      <c r="NG148" s="561">
        <v>0</v>
      </c>
      <c r="NH148" s="561">
        <v>0</v>
      </c>
      <c r="NI148" s="561">
        <v>0</v>
      </c>
      <c r="NJ148" s="561">
        <v>0</v>
      </c>
      <c r="NK148" s="561">
        <v>0</v>
      </c>
      <c r="NL148" s="561">
        <v>0</v>
      </c>
      <c r="NM148" s="561">
        <v>0</v>
      </c>
      <c r="NN148" s="561">
        <v>0</v>
      </c>
      <c r="NO148" s="561">
        <v>0</v>
      </c>
      <c r="NP148" s="561">
        <v>0</v>
      </c>
      <c r="NQ148" s="561">
        <v>0</v>
      </c>
      <c r="NR148" s="561">
        <v>0</v>
      </c>
      <c r="NS148" s="561">
        <v>0</v>
      </c>
      <c r="NT148" s="561">
        <v>0</v>
      </c>
      <c r="NU148" s="561">
        <v>0</v>
      </c>
      <c r="NV148" s="561">
        <v>0</v>
      </c>
      <c r="NW148" s="561">
        <v>0</v>
      </c>
      <c r="NX148" s="561">
        <v>0</v>
      </c>
      <c r="NY148" s="561">
        <v>0</v>
      </c>
      <c r="NZ148" s="561">
        <v>0</v>
      </c>
      <c r="OA148" s="561">
        <v>0</v>
      </c>
      <c r="OB148" s="561">
        <v>0</v>
      </c>
      <c r="OC148" s="561">
        <v>0</v>
      </c>
      <c r="OD148" s="561">
        <v>0</v>
      </c>
      <c r="OE148" s="561">
        <v>0</v>
      </c>
      <c r="OF148" s="561">
        <v>0</v>
      </c>
      <c r="OG148" s="561">
        <v>0</v>
      </c>
      <c r="OH148" s="561">
        <v>0</v>
      </c>
      <c r="OI148" s="561">
        <v>0</v>
      </c>
      <c r="OJ148" s="561">
        <v>0</v>
      </c>
      <c r="OK148" s="561">
        <v>0</v>
      </c>
      <c r="OL148" s="561">
        <v>0</v>
      </c>
      <c r="OM148" s="561">
        <v>0</v>
      </c>
      <c r="ON148" s="561">
        <v>0</v>
      </c>
      <c r="OO148" s="561">
        <v>0</v>
      </c>
      <c r="OP148" s="561">
        <v>0</v>
      </c>
      <c r="OQ148" s="561">
        <v>0</v>
      </c>
      <c r="OR148" s="561">
        <v>0</v>
      </c>
      <c r="OS148" s="561">
        <v>0</v>
      </c>
      <c r="OT148" s="561">
        <v>0</v>
      </c>
      <c r="OU148" s="561">
        <v>0</v>
      </c>
      <c r="OV148" s="561">
        <v>0</v>
      </c>
      <c r="OW148" s="561">
        <v>0</v>
      </c>
      <c r="OX148" s="561">
        <v>0</v>
      </c>
      <c r="OY148" s="561">
        <v>0</v>
      </c>
      <c r="OZ148" s="561">
        <v>0</v>
      </c>
      <c r="PA148" s="561">
        <v>0</v>
      </c>
      <c r="PB148" s="561">
        <v>0</v>
      </c>
      <c r="PC148" s="561">
        <v>0</v>
      </c>
      <c r="PD148" s="561">
        <v>0</v>
      </c>
      <c r="PE148" s="561">
        <v>0</v>
      </c>
      <c r="PF148" s="561">
        <v>0</v>
      </c>
      <c r="PG148" s="561">
        <v>0</v>
      </c>
      <c r="PH148" s="561">
        <v>0</v>
      </c>
      <c r="PI148" s="561">
        <v>0</v>
      </c>
      <c r="PJ148" s="561">
        <v>0</v>
      </c>
    </row>
    <row r="149" spans="1:426" ht="14" x14ac:dyDescent="0.3">
      <c r="A149" t="s">
        <v>2882</v>
      </c>
      <c r="B149" t="s">
        <v>2883</v>
      </c>
      <c r="C149" t="s">
        <v>2884</v>
      </c>
      <c r="E149" t="s">
        <v>2476</v>
      </c>
      <c r="F149" s="561">
        <v>34561</v>
      </c>
      <c r="G149" s="561">
        <v>153347</v>
      </c>
      <c r="H149" s="561">
        <v>78114</v>
      </c>
      <c r="I149" s="561">
        <v>51796</v>
      </c>
      <c r="J149" s="561">
        <v>12149</v>
      </c>
      <c r="K149" s="561">
        <v>15122</v>
      </c>
      <c r="L149" s="561">
        <v>345089</v>
      </c>
      <c r="M149" s="561">
        <v>7033</v>
      </c>
      <c r="N149" s="561">
        <v>3016</v>
      </c>
      <c r="O149" s="561">
        <v>441</v>
      </c>
      <c r="P149" s="561">
        <v>2848.95</v>
      </c>
      <c r="Q149" s="561">
        <v>0</v>
      </c>
      <c r="R149" s="561">
        <v>714</v>
      </c>
      <c r="S149" s="561">
        <v>754</v>
      </c>
      <c r="T149" s="561">
        <v>0</v>
      </c>
      <c r="U149" s="561">
        <v>379</v>
      </c>
      <c r="V149" s="561">
        <v>1315</v>
      </c>
      <c r="W149" s="561">
        <v>0</v>
      </c>
      <c r="X149" s="561">
        <v>-855</v>
      </c>
      <c r="Y149" s="561">
        <v>405</v>
      </c>
      <c r="Z149" s="561">
        <v>-2464</v>
      </c>
      <c r="AA149" s="561">
        <v>-2930</v>
      </c>
      <c r="AB149" s="561">
        <v>-1565</v>
      </c>
      <c r="AC149" s="561">
        <v>8533</v>
      </c>
      <c r="AD149" s="561">
        <v>0</v>
      </c>
      <c r="AE149" s="561">
        <v>0</v>
      </c>
      <c r="AF149" s="561">
        <v>0</v>
      </c>
      <c r="AG149" s="561">
        <v>0</v>
      </c>
      <c r="AH149" s="561">
        <v>0</v>
      </c>
      <c r="AI149" s="561">
        <v>0</v>
      </c>
      <c r="AJ149" s="561">
        <v>10591.95</v>
      </c>
      <c r="AK149" s="561">
        <v>0</v>
      </c>
      <c r="AL149" s="561">
        <v>0</v>
      </c>
      <c r="AM149" s="561">
        <v>0</v>
      </c>
      <c r="AN149" s="561">
        <v>0</v>
      </c>
      <c r="AO149" s="561">
        <v>0</v>
      </c>
      <c r="AP149" s="561">
        <v>0</v>
      </c>
      <c r="AQ149" s="561">
        <v>0</v>
      </c>
      <c r="AR149" s="561">
        <v>0</v>
      </c>
      <c r="AS149" s="561">
        <v>3016</v>
      </c>
      <c r="AT149" s="561">
        <v>5486</v>
      </c>
      <c r="AU149" s="561">
        <v>0</v>
      </c>
      <c r="AV149" s="561">
        <v>0</v>
      </c>
      <c r="AW149" s="561">
        <v>0</v>
      </c>
      <c r="AX149" s="561">
        <v>3348</v>
      </c>
      <c r="AY149" s="561">
        <v>44748</v>
      </c>
      <c r="AZ149" s="561">
        <v>7573</v>
      </c>
      <c r="BA149" s="561">
        <v>9856</v>
      </c>
      <c r="BB149" s="561">
        <v>1561</v>
      </c>
      <c r="BC149" s="561">
        <v>24859</v>
      </c>
      <c r="BD149" s="561">
        <v>3169</v>
      </c>
      <c r="BE149" s="561">
        <v>3380</v>
      </c>
      <c r="BF149" s="561">
        <v>98494</v>
      </c>
      <c r="BG149" s="561">
        <v>0</v>
      </c>
      <c r="BH149" s="561">
        <v>13275</v>
      </c>
      <c r="BI149" s="561">
        <v>24167</v>
      </c>
      <c r="BJ149" s="561">
        <v>751</v>
      </c>
      <c r="BK149" s="561">
        <v>801</v>
      </c>
      <c r="BL149" s="561">
        <v>316</v>
      </c>
      <c r="BM149" s="561">
        <v>14908</v>
      </c>
      <c r="BN149" s="561">
        <v>37327</v>
      </c>
      <c r="BO149" s="561">
        <v>2588</v>
      </c>
      <c r="BP149" s="561">
        <v>8668</v>
      </c>
      <c r="BQ149" s="561">
        <v>1039</v>
      </c>
      <c r="BR149" s="561">
        <v>536</v>
      </c>
      <c r="BS149" s="561">
        <v>1865</v>
      </c>
      <c r="BT149" s="561">
        <v>0</v>
      </c>
      <c r="BU149" s="561">
        <v>218</v>
      </c>
      <c r="BV149" s="561">
        <v>105</v>
      </c>
      <c r="BW149" s="561">
        <v>10103</v>
      </c>
      <c r="BX149" s="561">
        <v>2141</v>
      </c>
      <c r="BY149" s="561">
        <v>8306</v>
      </c>
      <c r="BZ149" s="561">
        <v>127114</v>
      </c>
      <c r="CA149" s="561">
        <v>6741</v>
      </c>
      <c r="CB149" s="561">
        <v>4744</v>
      </c>
      <c r="CC149" s="561">
        <v>194</v>
      </c>
      <c r="CD149" s="561">
        <v>181</v>
      </c>
      <c r="CE149" s="561">
        <v>390</v>
      </c>
      <c r="CF149" s="561">
        <v>3241</v>
      </c>
      <c r="CG149" s="561">
        <v>778</v>
      </c>
      <c r="CH149" s="561">
        <v>1146</v>
      </c>
      <c r="CI149" s="561">
        <v>585</v>
      </c>
      <c r="CJ149" s="561">
        <v>97</v>
      </c>
      <c r="CK149" s="561">
        <v>314</v>
      </c>
      <c r="CL149" s="561">
        <v>0</v>
      </c>
      <c r="CM149" s="561">
        <v>4376</v>
      </c>
      <c r="CN149" s="561">
        <v>0</v>
      </c>
      <c r="CO149" s="561">
        <v>0</v>
      </c>
      <c r="CP149" s="561">
        <v>0</v>
      </c>
      <c r="CQ149" s="561">
        <v>168</v>
      </c>
      <c r="CR149" s="561">
        <v>844</v>
      </c>
      <c r="CS149" s="561">
        <v>0</v>
      </c>
      <c r="CT149" s="561">
        <v>1455</v>
      </c>
      <c r="CU149" s="561">
        <v>6696</v>
      </c>
      <c r="CV149" s="561">
        <v>485</v>
      </c>
      <c r="CW149" s="561">
        <v>0</v>
      </c>
      <c r="CX149" s="561">
        <v>152</v>
      </c>
      <c r="CY149" s="561">
        <v>6265</v>
      </c>
      <c r="CZ149" s="561">
        <v>32111</v>
      </c>
      <c r="DA149" s="561">
        <v>0</v>
      </c>
      <c r="DB149" s="561">
        <v>0</v>
      </c>
      <c r="DC149" s="561">
        <v>0</v>
      </c>
      <c r="DD149" s="561">
        <v>0</v>
      </c>
      <c r="DE149" s="561">
        <v>0</v>
      </c>
      <c r="DF149" s="561">
        <v>0</v>
      </c>
      <c r="DG149" s="561">
        <v>0</v>
      </c>
      <c r="DH149" s="561">
        <v>1134</v>
      </c>
      <c r="DI149" s="561">
        <v>0</v>
      </c>
      <c r="DJ149" s="561">
        <v>0</v>
      </c>
      <c r="DK149" s="561">
        <v>-127</v>
      </c>
      <c r="DL149" s="561">
        <v>12789</v>
      </c>
      <c r="DM149" s="561">
        <v>148</v>
      </c>
      <c r="DN149" s="561">
        <v>0</v>
      </c>
      <c r="DO149" s="561">
        <v>3885</v>
      </c>
      <c r="DP149" s="561">
        <v>-8908</v>
      </c>
      <c r="DQ149" s="561">
        <v>0</v>
      </c>
      <c r="DR149" s="561">
        <v>1346</v>
      </c>
      <c r="DS149" s="561">
        <v>1914</v>
      </c>
      <c r="DT149" s="561">
        <v>659</v>
      </c>
      <c r="DU149" s="561">
        <v>11833</v>
      </c>
      <c r="DV149" s="561">
        <v>463</v>
      </c>
      <c r="DW149" s="561">
        <v>0</v>
      </c>
      <c r="DX149" s="561">
        <v>234</v>
      </c>
      <c r="DY149" s="561">
        <v>3919</v>
      </c>
      <c r="DZ149" s="561">
        <v>-131</v>
      </c>
      <c r="EA149" s="561">
        <v>5442</v>
      </c>
      <c r="EB149" s="561">
        <v>26</v>
      </c>
      <c r="EC149" s="561">
        <v>22793</v>
      </c>
      <c r="ED149" s="561">
        <v>0</v>
      </c>
      <c r="EE149" s="561">
        <v>121800</v>
      </c>
      <c r="EF149" s="561">
        <v>3248</v>
      </c>
      <c r="EG149" s="561">
        <v>24077</v>
      </c>
      <c r="EH149" s="561">
        <v>13917</v>
      </c>
      <c r="EI149" s="561">
        <v>429</v>
      </c>
      <c r="EJ149" s="561">
        <v>10</v>
      </c>
      <c r="EK149" s="561">
        <v>1960</v>
      </c>
      <c r="EL149" s="561">
        <v>1188</v>
      </c>
      <c r="EM149" s="561">
        <v>0</v>
      </c>
      <c r="EN149" s="561">
        <v>34334</v>
      </c>
      <c r="EO149" s="561">
        <v>46191</v>
      </c>
      <c r="EP149" s="561">
        <v>26634</v>
      </c>
      <c r="EQ149" s="561">
        <v>1783</v>
      </c>
      <c r="ER149" s="561">
        <v>17063</v>
      </c>
      <c r="ES149" s="561" t="s">
        <v>4565</v>
      </c>
      <c r="ET149" s="561">
        <v>0</v>
      </c>
      <c r="EU149" s="561">
        <v>13712</v>
      </c>
      <c r="EV149" s="561">
        <v>176</v>
      </c>
      <c r="EW149" s="561">
        <v>1440</v>
      </c>
      <c r="EX149" s="561">
        <v>26165</v>
      </c>
      <c r="EY149" s="561">
        <v>225</v>
      </c>
      <c r="EZ149" s="561">
        <v>-1094</v>
      </c>
      <c r="FA149" s="561">
        <v>9837</v>
      </c>
      <c r="FB149" s="561">
        <v>0</v>
      </c>
      <c r="FC149" s="561">
        <v>407</v>
      </c>
      <c r="FD149" s="561">
        <v>17901</v>
      </c>
      <c r="FE149" s="561">
        <v>0</v>
      </c>
      <c r="FF149" s="561">
        <v>483</v>
      </c>
      <c r="FG149" s="561">
        <v>18</v>
      </c>
      <c r="FH149" s="561">
        <v>-11</v>
      </c>
      <c r="FI149" s="561">
        <v>0</v>
      </c>
      <c r="FJ149" s="561">
        <v>1274.5</v>
      </c>
      <c r="FK149" s="561">
        <v>5810</v>
      </c>
      <c r="FL149" s="561">
        <v>78</v>
      </c>
      <c r="FM149" s="561">
        <v>269</v>
      </c>
      <c r="FN149" s="561">
        <v>5194</v>
      </c>
      <c r="FO149" s="561">
        <v>31423.5</v>
      </c>
      <c r="FP149" s="561">
        <v>0</v>
      </c>
      <c r="FQ149" s="561">
        <v>1924</v>
      </c>
      <c r="FR149" s="561">
        <v>414</v>
      </c>
      <c r="FS149" s="561">
        <v>0</v>
      </c>
      <c r="FT149" s="561">
        <v>936</v>
      </c>
      <c r="FU149" s="561">
        <v>1015</v>
      </c>
      <c r="FV149" s="561">
        <v>1314</v>
      </c>
      <c r="FW149" s="561">
        <v>189</v>
      </c>
      <c r="FX149" s="561">
        <v>0</v>
      </c>
      <c r="FY149" s="561">
        <v>0</v>
      </c>
      <c r="FZ149" s="561">
        <v>0</v>
      </c>
      <c r="GA149" s="561">
        <v>124</v>
      </c>
      <c r="GB149" s="561">
        <v>0</v>
      </c>
      <c r="GC149" s="561">
        <v>500</v>
      </c>
      <c r="GD149" s="561">
        <v>1375</v>
      </c>
      <c r="GE149" s="561">
        <v>1189</v>
      </c>
      <c r="GF149" s="561">
        <v>889.2</v>
      </c>
      <c r="GG149" s="561">
        <v>277</v>
      </c>
      <c r="GH149" s="561">
        <v>0</v>
      </c>
      <c r="GI149" s="561">
        <v>0</v>
      </c>
      <c r="GJ149" s="561">
        <v>0</v>
      </c>
      <c r="GK149" s="561">
        <v>0</v>
      </c>
      <c r="GL149" s="561">
        <v>10929</v>
      </c>
      <c r="GM149" s="561">
        <v>4940</v>
      </c>
      <c r="GN149" s="561">
        <v>5117</v>
      </c>
      <c r="GO149" s="561">
        <v>1937</v>
      </c>
      <c r="GP149" s="561">
        <v>11713</v>
      </c>
      <c r="GQ149" s="561">
        <v>23</v>
      </c>
      <c r="GR149" s="561">
        <v>0</v>
      </c>
      <c r="GS149" s="561">
        <v>44805.2</v>
      </c>
      <c r="GT149" s="561">
        <v>0</v>
      </c>
      <c r="GU149" s="561">
        <v>554</v>
      </c>
      <c r="GV149" s="561">
        <v>-499</v>
      </c>
      <c r="GW149" s="561">
        <v>2</v>
      </c>
      <c r="GX149" s="561">
        <v>661</v>
      </c>
      <c r="GY149" s="561">
        <v>193</v>
      </c>
      <c r="GZ149" s="561">
        <v>3143</v>
      </c>
      <c r="HA149" s="561">
        <v>180</v>
      </c>
      <c r="HB149" s="561">
        <v>6289</v>
      </c>
      <c r="HC149" s="561">
        <v>117</v>
      </c>
      <c r="HD149" s="561">
        <v>10640</v>
      </c>
      <c r="HE149" s="561">
        <v>141</v>
      </c>
      <c r="HF149" s="561">
        <v>86868.7</v>
      </c>
      <c r="HG149" s="561">
        <v>0</v>
      </c>
      <c r="HH149" s="561">
        <v>0</v>
      </c>
      <c r="HI149" s="561">
        <v>0</v>
      </c>
      <c r="HJ149" s="561">
        <v>0</v>
      </c>
      <c r="HK149" s="561">
        <v>0</v>
      </c>
      <c r="HL149" s="561">
        <v>0</v>
      </c>
      <c r="HM149" s="561">
        <v>0</v>
      </c>
      <c r="HN149" s="561">
        <v>0</v>
      </c>
      <c r="HO149" s="561">
        <v>8780</v>
      </c>
      <c r="HP149" s="561">
        <v>1836</v>
      </c>
      <c r="HQ149" s="561">
        <v>0</v>
      </c>
      <c r="HR149" s="561">
        <v>0</v>
      </c>
      <c r="HS149" s="561">
        <v>0</v>
      </c>
      <c r="HT149" s="561">
        <v>380</v>
      </c>
      <c r="HU149" s="561">
        <v>0</v>
      </c>
      <c r="HV149" s="561">
        <v>-295</v>
      </c>
      <c r="HW149" s="561">
        <v>602</v>
      </c>
      <c r="HX149" s="561">
        <v>47</v>
      </c>
      <c r="HY149" s="561">
        <v>267</v>
      </c>
      <c r="HZ149" s="561">
        <v>-289</v>
      </c>
      <c r="IA149" s="561">
        <v>5569</v>
      </c>
      <c r="IB149" s="561">
        <v>0</v>
      </c>
      <c r="IC149" s="561">
        <v>0</v>
      </c>
      <c r="ID149" s="561">
        <v>0</v>
      </c>
      <c r="IE149" s="561">
        <v>3046</v>
      </c>
      <c r="IF149" s="561">
        <v>0</v>
      </c>
      <c r="IG149" s="561">
        <v>0</v>
      </c>
      <c r="IH149" s="561">
        <v>-15601</v>
      </c>
      <c r="II149" s="561">
        <v>4342</v>
      </c>
      <c r="IJ149" s="561">
        <v>1622</v>
      </c>
      <c r="IK149" s="561">
        <v>56684</v>
      </c>
      <c r="IL149" s="561">
        <v>698</v>
      </c>
      <c r="IM149" s="561">
        <v>0</v>
      </c>
      <c r="IN149" s="561">
        <v>2198</v>
      </c>
      <c r="IO149" s="561">
        <v>0</v>
      </c>
      <c r="IP149" s="561">
        <v>0</v>
      </c>
      <c r="IQ149" s="561">
        <v>0</v>
      </c>
      <c r="IR149" s="561">
        <v>345089</v>
      </c>
      <c r="IS149" s="561">
        <v>10591.95</v>
      </c>
      <c r="IT149" s="561">
        <v>98494</v>
      </c>
      <c r="IU149" s="561">
        <v>127114</v>
      </c>
      <c r="IV149" s="561">
        <v>32111</v>
      </c>
      <c r="IW149" s="561">
        <v>22793</v>
      </c>
      <c r="IX149" s="561">
        <v>31423.5</v>
      </c>
      <c r="IY149" s="561">
        <v>44805.2</v>
      </c>
      <c r="IZ149" s="561">
        <v>10640</v>
      </c>
      <c r="JA149" s="561">
        <v>0</v>
      </c>
      <c r="JB149" s="561">
        <v>0</v>
      </c>
      <c r="JC149" s="561">
        <v>4342</v>
      </c>
      <c r="JD149" s="561">
        <v>0</v>
      </c>
      <c r="JE149" s="561">
        <v>727403.65</v>
      </c>
      <c r="JF149" s="561">
        <v>61544</v>
      </c>
      <c r="JG149" s="561">
        <v>18000</v>
      </c>
      <c r="JH149" s="561">
        <v>37464</v>
      </c>
      <c r="JI149" s="561">
        <v>0</v>
      </c>
      <c r="JJ149" s="561">
        <v>0</v>
      </c>
      <c r="JK149" s="561">
        <v>0</v>
      </c>
      <c r="JL149" s="561">
        <v>0</v>
      </c>
      <c r="JM149" s="561">
        <v>0</v>
      </c>
      <c r="JN149" s="561">
        <v>1188</v>
      </c>
      <c r="JO149" s="561">
        <v>240</v>
      </c>
      <c r="JP149" s="561">
        <v>1409</v>
      </c>
      <c r="JQ149" s="561">
        <v>-211</v>
      </c>
      <c r="JR149" s="561">
        <v>-3700</v>
      </c>
      <c r="JS149" s="561">
        <v>0</v>
      </c>
      <c r="JT149" s="561">
        <v>279</v>
      </c>
      <c r="JU149" s="561">
        <v>0</v>
      </c>
      <c r="JV149" s="561">
        <v>843616.65</v>
      </c>
      <c r="JW149" s="561">
        <v>192</v>
      </c>
      <c r="JX149" s="561">
        <v>3785</v>
      </c>
      <c r="JY149" s="561">
        <v>0</v>
      </c>
      <c r="JZ149" s="561">
        <v>-2833</v>
      </c>
      <c r="KA149" s="561">
        <v>0</v>
      </c>
      <c r="KB149" s="561">
        <v>4452</v>
      </c>
      <c r="KC149" s="561">
        <v>8788</v>
      </c>
      <c r="KD149" s="561">
        <v>0</v>
      </c>
      <c r="KE149" s="561">
        <v>6674</v>
      </c>
      <c r="KF149" s="561">
        <v>0</v>
      </c>
      <c r="KG149" s="561">
        <v>864674.65</v>
      </c>
      <c r="KH149" s="561">
        <v>-2176</v>
      </c>
      <c r="KI149" s="561">
        <v>0</v>
      </c>
      <c r="KJ149" s="561">
        <v>0</v>
      </c>
      <c r="KK149" s="561">
        <v>0</v>
      </c>
      <c r="KL149" s="561">
        <v>-126961</v>
      </c>
      <c r="KM149" s="561">
        <v>0</v>
      </c>
      <c r="KN149" s="561">
        <v>-317</v>
      </c>
      <c r="KO149" s="561">
        <v>0</v>
      </c>
      <c r="KP149" s="561">
        <v>0</v>
      </c>
      <c r="KQ149" s="561">
        <v>-8916</v>
      </c>
      <c r="KR149" s="561">
        <v>726304.65</v>
      </c>
      <c r="KS149" s="561">
        <v>0</v>
      </c>
      <c r="KT149" s="561">
        <v>-433674</v>
      </c>
      <c r="KU149" s="561">
        <v>292630.65000000002</v>
      </c>
      <c r="KV149" s="561">
        <v>0</v>
      </c>
      <c r="KW149" s="561">
        <v>-2916</v>
      </c>
      <c r="KX149" s="561">
        <v>0</v>
      </c>
      <c r="KY149" s="561">
        <v>0</v>
      </c>
      <c r="KZ149" s="561">
        <v>-14116</v>
      </c>
      <c r="LA149" s="561">
        <v>-173</v>
      </c>
      <c r="LB149" s="561">
        <v>-31565</v>
      </c>
      <c r="LC149" s="561">
        <v>0</v>
      </c>
      <c r="LD149" s="561">
        <v>-113272</v>
      </c>
      <c r="LE149" s="561">
        <v>-5033</v>
      </c>
      <c r="LF149" s="561">
        <v>0</v>
      </c>
      <c r="LG149" s="561">
        <v>125556</v>
      </c>
      <c r="LH149" s="561">
        <v>8894</v>
      </c>
      <c r="LI149" s="561">
        <v>0</v>
      </c>
      <c r="LJ149" s="561">
        <v>0</v>
      </c>
      <c r="LK149" s="561">
        <v>0</v>
      </c>
      <c r="LL149" s="561">
        <v>184835</v>
      </c>
      <c r="LM149" s="561">
        <v>18896</v>
      </c>
      <c r="LN149" s="561">
        <v>5978</v>
      </c>
      <c r="LO149" s="561">
        <v>-8916</v>
      </c>
      <c r="LP149" s="561">
        <v>0</v>
      </c>
      <c r="LQ149" s="561">
        <v>0</v>
      </c>
      <c r="LR149" s="561">
        <v>170719</v>
      </c>
      <c r="LS149" s="561">
        <v>18723</v>
      </c>
      <c r="LT149" s="561">
        <v>0</v>
      </c>
      <c r="LU149" s="561">
        <v>11376</v>
      </c>
      <c r="LV149" s="561">
        <v>0</v>
      </c>
      <c r="LW149" s="561">
        <v>99278</v>
      </c>
      <c r="LX149" s="561">
        <v>-69269</v>
      </c>
      <c r="LY149" s="561">
        <v>8410</v>
      </c>
      <c r="LZ149" s="561">
        <v>49795</v>
      </c>
      <c r="MA149" s="561">
        <v>0</v>
      </c>
      <c r="MB149" s="561">
        <v>0</v>
      </c>
      <c r="MC149" s="561">
        <v>166629</v>
      </c>
      <c r="MD149" s="561">
        <v>167723</v>
      </c>
      <c r="ME149" s="561">
        <v>-1094</v>
      </c>
      <c r="MF149" s="561">
        <v>9837</v>
      </c>
      <c r="MG149" s="561">
        <v>8743</v>
      </c>
      <c r="MH149" s="561">
        <v>8535</v>
      </c>
      <c r="MI149" s="561">
        <v>18283</v>
      </c>
      <c r="MJ149" s="561">
        <v>26818</v>
      </c>
      <c r="MK149" s="561">
        <v>0</v>
      </c>
      <c r="ML149" s="561">
        <v>76246</v>
      </c>
      <c r="MM149" s="561">
        <v>54105</v>
      </c>
      <c r="MN149" s="561">
        <v>40368</v>
      </c>
      <c r="MO149" s="561">
        <v>0</v>
      </c>
      <c r="MP149" s="561">
        <v>0</v>
      </c>
      <c r="MQ149" s="561">
        <v>345089</v>
      </c>
      <c r="MR149" s="561">
        <v>10591.95</v>
      </c>
      <c r="MS149" s="561">
        <v>98494</v>
      </c>
      <c r="MT149" s="561">
        <v>127114</v>
      </c>
      <c r="MU149" s="561">
        <v>32111</v>
      </c>
      <c r="MV149" s="561">
        <v>22793</v>
      </c>
      <c r="MW149" s="561">
        <v>31423.5</v>
      </c>
      <c r="MX149" s="561">
        <v>44805.2</v>
      </c>
      <c r="MY149" s="561">
        <v>10640</v>
      </c>
      <c r="MZ149" s="561">
        <v>0</v>
      </c>
      <c r="NA149" s="561">
        <v>0</v>
      </c>
      <c r="NB149" s="561">
        <v>4342</v>
      </c>
      <c r="NC149" s="561">
        <v>0</v>
      </c>
      <c r="ND149" s="561">
        <v>727403.65</v>
      </c>
      <c r="NE149" s="561">
        <v>0</v>
      </c>
      <c r="NF149" s="561">
        <v>0</v>
      </c>
      <c r="NG149" s="561">
        <v>0</v>
      </c>
      <c r="NH149" s="561">
        <v>0</v>
      </c>
      <c r="NI149" s="561">
        <v>0</v>
      </c>
      <c r="NJ149" s="561">
        <v>0</v>
      </c>
      <c r="NK149" s="561">
        <v>0</v>
      </c>
      <c r="NL149" s="561">
        <v>0</v>
      </c>
      <c r="NM149" s="561">
        <v>0</v>
      </c>
      <c r="NN149" s="561">
        <v>0</v>
      </c>
      <c r="NO149" s="561">
        <v>0</v>
      </c>
      <c r="NP149" s="561">
        <v>0</v>
      </c>
      <c r="NQ149" s="561">
        <v>0</v>
      </c>
      <c r="NR149" s="561">
        <v>0</v>
      </c>
      <c r="NS149" s="561">
        <v>0</v>
      </c>
      <c r="NT149" s="561">
        <v>-2291</v>
      </c>
      <c r="NU149" s="561">
        <v>0</v>
      </c>
      <c r="NV149" s="561">
        <v>0</v>
      </c>
      <c r="NW149" s="561">
        <v>-2291</v>
      </c>
      <c r="NX149" s="561">
        <v>3700</v>
      </c>
      <c r="NY149" s="561">
        <v>1409</v>
      </c>
      <c r="NZ149" s="561">
        <v>0</v>
      </c>
      <c r="OA149" s="561">
        <v>0</v>
      </c>
      <c r="OB149" s="561">
        <v>0</v>
      </c>
      <c r="OC149" s="561">
        <v>0</v>
      </c>
      <c r="OD149" s="561">
        <v>0</v>
      </c>
      <c r="OE149" s="561">
        <v>0</v>
      </c>
      <c r="OF149" s="561">
        <v>0</v>
      </c>
      <c r="OG149" s="561">
        <v>0</v>
      </c>
      <c r="OH149" s="561">
        <v>0</v>
      </c>
      <c r="OI149" s="561">
        <v>0</v>
      </c>
      <c r="OJ149" s="561">
        <v>0</v>
      </c>
      <c r="OK149" s="561">
        <v>0</v>
      </c>
      <c r="OL149" s="561">
        <v>0</v>
      </c>
      <c r="OM149" s="561">
        <v>0</v>
      </c>
      <c r="ON149" s="561">
        <v>0</v>
      </c>
      <c r="OO149" s="561">
        <v>-211</v>
      </c>
      <c r="OP149" s="561">
        <v>0</v>
      </c>
      <c r="OQ149" s="561">
        <v>0</v>
      </c>
      <c r="OR149" s="561">
        <v>0</v>
      </c>
      <c r="OS149" s="561">
        <v>0</v>
      </c>
      <c r="OT149" s="561">
        <v>0</v>
      </c>
      <c r="OU149" s="561">
        <v>0</v>
      </c>
      <c r="OV149" s="561">
        <v>63</v>
      </c>
      <c r="OW149" s="561">
        <v>0</v>
      </c>
      <c r="OX149" s="561">
        <v>-211</v>
      </c>
      <c r="OY149" s="561">
        <v>3700</v>
      </c>
      <c r="OZ149" s="561">
        <v>0</v>
      </c>
      <c r="PA149" s="561">
        <v>0</v>
      </c>
      <c r="PB149" s="561">
        <v>0</v>
      </c>
      <c r="PC149" s="561">
        <v>0</v>
      </c>
      <c r="PD149" s="561">
        <v>3700</v>
      </c>
      <c r="PE149" s="561">
        <v>0</v>
      </c>
      <c r="PF149" s="561">
        <v>0</v>
      </c>
      <c r="PG149" s="561">
        <v>0</v>
      </c>
      <c r="PH149" s="561">
        <v>0</v>
      </c>
      <c r="PI149" s="561">
        <v>0</v>
      </c>
      <c r="PJ149" s="561">
        <v>0</v>
      </c>
    </row>
    <row r="150" spans="1:426" ht="14" x14ac:dyDescent="0.3">
      <c r="A150" t="s">
        <v>2885</v>
      </c>
      <c r="B150" t="s">
        <v>2886</v>
      </c>
      <c r="C150" t="s">
        <v>2887</v>
      </c>
      <c r="E150" t="s">
        <v>384</v>
      </c>
      <c r="F150" s="561" t="s">
        <v>2453</v>
      </c>
      <c r="G150" s="561" t="s">
        <v>2453</v>
      </c>
      <c r="H150" s="561" t="s">
        <v>2453</v>
      </c>
      <c r="I150" s="561" t="s">
        <v>2453</v>
      </c>
      <c r="J150" s="561" t="s">
        <v>2453</v>
      </c>
      <c r="K150" s="561" t="s">
        <v>2453</v>
      </c>
      <c r="L150" s="561" t="s">
        <v>2453</v>
      </c>
      <c r="M150" s="561" t="s">
        <v>2453</v>
      </c>
      <c r="N150" s="561" t="s">
        <v>2453</v>
      </c>
      <c r="O150" s="561" t="s">
        <v>2453</v>
      </c>
      <c r="P150" s="561" t="s">
        <v>2453</v>
      </c>
      <c r="Q150" s="561" t="s">
        <v>2453</v>
      </c>
      <c r="R150" s="561" t="s">
        <v>2453</v>
      </c>
      <c r="S150" s="561" t="s">
        <v>2453</v>
      </c>
      <c r="T150" s="561" t="s">
        <v>2453</v>
      </c>
      <c r="U150" s="561" t="s">
        <v>2453</v>
      </c>
      <c r="V150" s="561" t="s">
        <v>2453</v>
      </c>
      <c r="W150" s="561" t="s">
        <v>2453</v>
      </c>
      <c r="X150" s="561" t="s">
        <v>2453</v>
      </c>
      <c r="Y150" s="561" t="s">
        <v>2453</v>
      </c>
      <c r="Z150" s="561" t="s">
        <v>2453</v>
      </c>
      <c r="AA150" s="561" t="s">
        <v>2453</v>
      </c>
      <c r="AB150" s="561" t="s">
        <v>2453</v>
      </c>
      <c r="AC150" s="561" t="s">
        <v>2453</v>
      </c>
      <c r="AD150" s="561" t="s">
        <v>2453</v>
      </c>
      <c r="AE150" s="561" t="s">
        <v>2453</v>
      </c>
      <c r="AF150" s="561" t="s">
        <v>2453</v>
      </c>
      <c r="AG150" s="561" t="s">
        <v>2453</v>
      </c>
      <c r="AH150" s="561" t="s">
        <v>2453</v>
      </c>
      <c r="AI150" s="561" t="s">
        <v>2453</v>
      </c>
      <c r="AJ150" s="561" t="s">
        <v>2453</v>
      </c>
      <c r="AK150" s="561" t="s">
        <v>2453</v>
      </c>
      <c r="AL150" s="561" t="s">
        <v>2453</v>
      </c>
      <c r="AM150" s="561" t="s">
        <v>2453</v>
      </c>
      <c r="AN150" s="561" t="s">
        <v>2453</v>
      </c>
      <c r="AO150" s="561" t="s">
        <v>2453</v>
      </c>
      <c r="AP150" s="561" t="s">
        <v>2453</v>
      </c>
      <c r="AQ150" s="561" t="s">
        <v>2453</v>
      </c>
      <c r="AR150" s="561" t="s">
        <v>2453</v>
      </c>
      <c r="AS150" s="561" t="s">
        <v>2453</v>
      </c>
      <c r="AT150" s="561" t="s">
        <v>2453</v>
      </c>
      <c r="AU150" s="561" t="s">
        <v>2453</v>
      </c>
      <c r="AV150" s="561" t="s">
        <v>2453</v>
      </c>
      <c r="AW150" s="561" t="s">
        <v>2453</v>
      </c>
      <c r="AX150" s="561" t="s">
        <v>2453</v>
      </c>
      <c r="AY150" s="561" t="s">
        <v>2453</v>
      </c>
      <c r="AZ150" s="561" t="s">
        <v>2453</v>
      </c>
      <c r="BA150" s="561" t="s">
        <v>2453</v>
      </c>
      <c r="BB150" s="561" t="s">
        <v>2453</v>
      </c>
      <c r="BC150" s="561" t="s">
        <v>2453</v>
      </c>
      <c r="BD150" s="561" t="s">
        <v>2453</v>
      </c>
      <c r="BE150" s="561" t="s">
        <v>2453</v>
      </c>
      <c r="BF150" s="561" t="s">
        <v>2453</v>
      </c>
      <c r="BG150" s="561" t="s">
        <v>2453</v>
      </c>
      <c r="BH150" s="561" t="s">
        <v>2453</v>
      </c>
      <c r="BI150" s="561" t="s">
        <v>2453</v>
      </c>
      <c r="BJ150" s="561" t="s">
        <v>2453</v>
      </c>
      <c r="BK150" s="561" t="s">
        <v>2453</v>
      </c>
      <c r="BL150" s="561" t="s">
        <v>2453</v>
      </c>
      <c r="BM150" s="561" t="s">
        <v>2453</v>
      </c>
      <c r="BN150" s="561" t="s">
        <v>2453</v>
      </c>
      <c r="BO150" s="561" t="s">
        <v>2453</v>
      </c>
      <c r="BP150" s="561" t="s">
        <v>2453</v>
      </c>
      <c r="BQ150" s="561" t="s">
        <v>2453</v>
      </c>
      <c r="BR150" s="561" t="s">
        <v>2453</v>
      </c>
      <c r="BS150" s="561" t="s">
        <v>2453</v>
      </c>
      <c r="BT150" s="561" t="s">
        <v>2453</v>
      </c>
      <c r="BU150" s="561" t="s">
        <v>2453</v>
      </c>
      <c r="BV150" s="561" t="s">
        <v>2453</v>
      </c>
      <c r="BW150" s="561" t="s">
        <v>2453</v>
      </c>
      <c r="BX150" s="561" t="s">
        <v>2453</v>
      </c>
      <c r="BY150" s="561" t="s">
        <v>2453</v>
      </c>
      <c r="BZ150" s="561" t="s">
        <v>2453</v>
      </c>
      <c r="CA150" s="561" t="s">
        <v>2453</v>
      </c>
      <c r="CB150" s="561" t="s">
        <v>2453</v>
      </c>
      <c r="CC150" s="561" t="s">
        <v>2453</v>
      </c>
      <c r="CD150" s="561" t="s">
        <v>2453</v>
      </c>
      <c r="CE150" s="561" t="s">
        <v>2453</v>
      </c>
      <c r="CF150" s="561" t="s">
        <v>2453</v>
      </c>
      <c r="CG150" s="561" t="s">
        <v>2453</v>
      </c>
      <c r="CH150" s="561" t="s">
        <v>2453</v>
      </c>
      <c r="CI150" s="561" t="s">
        <v>2453</v>
      </c>
      <c r="CJ150" s="561" t="s">
        <v>2453</v>
      </c>
      <c r="CK150" s="561" t="s">
        <v>2453</v>
      </c>
      <c r="CL150" s="561" t="s">
        <v>2453</v>
      </c>
      <c r="CM150" s="561" t="s">
        <v>2453</v>
      </c>
      <c r="CN150" s="561" t="s">
        <v>2453</v>
      </c>
      <c r="CO150" s="561" t="s">
        <v>2453</v>
      </c>
      <c r="CP150" s="561" t="s">
        <v>2453</v>
      </c>
      <c r="CQ150" s="561" t="s">
        <v>2453</v>
      </c>
      <c r="CR150" s="561" t="s">
        <v>2453</v>
      </c>
      <c r="CS150" s="561" t="s">
        <v>2453</v>
      </c>
      <c r="CT150" s="561" t="s">
        <v>2453</v>
      </c>
      <c r="CU150" s="561" t="s">
        <v>2453</v>
      </c>
      <c r="CV150" s="561" t="s">
        <v>2453</v>
      </c>
      <c r="CW150" s="561" t="s">
        <v>2453</v>
      </c>
      <c r="CX150" s="561" t="s">
        <v>2453</v>
      </c>
      <c r="CY150" s="561" t="s">
        <v>2453</v>
      </c>
      <c r="CZ150" s="561" t="s">
        <v>2453</v>
      </c>
      <c r="DA150" s="561" t="s">
        <v>2453</v>
      </c>
      <c r="DB150" s="561" t="s">
        <v>2453</v>
      </c>
      <c r="DC150" s="561" t="s">
        <v>2453</v>
      </c>
      <c r="DD150" s="561" t="s">
        <v>2453</v>
      </c>
      <c r="DE150" s="561" t="s">
        <v>2453</v>
      </c>
      <c r="DF150" s="561" t="s">
        <v>2453</v>
      </c>
      <c r="DG150" s="561" t="s">
        <v>2453</v>
      </c>
      <c r="DH150" s="561" t="s">
        <v>2453</v>
      </c>
      <c r="DI150" s="561" t="s">
        <v>2453</v>
      </c>
      <c r="DJ150" s="561" t="s">
        <v>2453</v>
      </c>
      <c r="DK150" s="561" t="s">
        <v>2453</v>
      </c>
      <c r="DL150" s="561" t="s">
        <v>2453</v>
      </c>
      <c r="DM150" s="561" t="s">
        <v>2453</v>
      </c>
      <c r="DN150" s="561" t="s">
        <v>2453</v>
      </c>
      <c r="DO150" s="561" t="s">
        <v>2453</v>
      </c>
      <c r="DP150" s="561" t="s">
        <v>2453</v>
      </c>
      <c r="DQ150" s="561" t="s">
        <v>2453</v>
      </c>
      <c r="DR150" s="561" t="s">
        <v>2453</v>
      </c>
      <c r="DS150" s="561" t="s">
        <v>2453</v>
      </c>
      <c r="DT150" s="561" t="s">
        <v>2453</v>
      </c>
      <c r="DU150" s="561" t="s">
        <v>2453</v>
      </c>
      <c r="DV150" s="561" t="s">
        <v>2453</v>
      </c>
      <c r="DW150" s="561" t="s">
        <v>2453</v>
      </c>
      <c r="DX150" s="561" t="s">
        <v>2453</v>
      </c>
      <c r="DY150" s="561" t="s">
        <v>2453</v>
      </c>
      <c r="DZ150" s="561" t="s">
        <v>2453</v>
      </c>
      <c r="EA150" s="561" t="s">
        <v>2453</v>
      </c>
      <c r="EB150" s="561" t="s">
        <v>2453</v>
      </c>
      <c r="EC150" s="561" t="s">
        <v>2453</v>
      </c>
      <c r="ED150" s="561" t="s">
        <v>2453</v>
      </c>
      <c r="EE150" s="561" t="s">
        <v>2453</v>
      </c>
      <c r="EF150" s="561" t="s">
        <v>2453</v>
      </c>
      <c r="EG150" s="561" t="s">
        <v>2453</v>
      </c>
      <c r="EH150" s="561" t="s">
        <v>2453</v>
      </c>
      <c r="EI150" s="561" t="s">
        <v>2453</v>
      </c>
      <c r="EJ150" s="561" t="s">
        <v>2453</v>
      </c>
      <c r="EK150" s="561" t="s">
        <v>2453</v>
      </c>
      <c r="EL150" s="561" t="s">
        <v>2453</v>
      </c>
      <c r="EM150" s="561" t="s">
        <v>2453</v>
      </c>
      <c r="EN150" s="561" t="s">
        <v>2453</v>
      </c>
      <c r="EO150" s="561" t="s">
        <v>2453</v>
      </c>
      <c r="EP150" s="561" t="s">
        <v>2453</v>
      </c>
      <c r="EQ150" s="561" t="s">
        <v>2453</v>
      </c>
      <c r="ER150" s="561" t="s">
        <v>2453</v>
      </c>
      <c r="ES150" s="561" t="s">
        <v>4565</v>
      </c>
      <c r="ET150" s="561" t="s">
        <v>2453</v>
      </c>
      <c r="EU150" s="561" t="s">
        <v>2453</v>
      </c>
      <c r="EV150" s="561" t="s">
        <v>2453</v>
      </c>
      <c r="EW150" s="561" t="s">
        <v>2453</v>
      </c>
      <c r="EX150" s="561" t="s">
        <v>2453</v>
      </c>
      <c r="EY150" s="561" t="s">
        <v>2453</v>
      </c>
      <c r="EZ150" s="561" t="s">
        <v>2453</v>
      </c>
      <c r="FA150" s="561" t="s">
        <v>2453</v>
      </c>
      <c r="FB150" s="561" t="s">
        <v>2453</v>
      </c>
      <c r="FC150" s="561" t="s">
        <v>2453</v>
      </c>
      <c r="FD150" s="561" t="s">
        <v>2453</v>
      </c>
      <c r="FE150" s="561" t="s">
        <v>2453</v>
      </c>
      <c r="FF150" s="561" t="s">
        <v>2453</v>
      </c>
      <c r="FG150" s="561" t="s">
        <v>2453</v>
      </c>
      <c r="FH150" s="561" t="s">
        <v>2453</v>
      </c>
      <c r="FI150" s="561" t="s">
        <v>2453</v>
      </c>
      <c r="FJ150" s="561" t="s">
        <v>2453</v>
      </c>
      <c r="FK150" s="561" t="s">
        <v>2453</v>
      </c>
      <c r="FL150" s="561" t="s">
        <v>2453</v>
      </c>
      <c r="FM150" s="561" t="s">
        <v>2453</v>
      </c>
      <c r="FN150" s="561" t="s">
        <v>2453</v>
      </c>
      <c r="FO150" s="561" t="s">
        <v>2453</v>
      </c>
      <c r="FP150" s="561" t="s">
        <v>2453</v>
      </c>
      <c r="FQ150" s="561" t="s">
        <v>2453</v>
      </c>
      <c r="FR150" s="561" t="s">
        <v>2453</v>
      </c>
      <c r="FS150" s="561" t="s">
        <v>2453</v>
      </c>
      <c r="FT150" s="561" t="s">
        <v>2453</v>
      </c>
      <c r="FU150" s="561" t="s">
        <v>2453</v>
      </c>
      <c r="FV150" s="561" t="s">
        <v>2453</v>
      </c>
      <c r="FW150" s="561" t="s">
        <v>2453</v>
      </c>
      <c r="FX150" s="561" t="s">
        <v>2453</v>
      </c>
      <c r="FY150" s="561" t="s">
        <v>2453</v>
      </c>
      <c r="FZ150" s="561" t="s">
        <v>2453</v>
      </c>
      <c r="GA150" s="561" t="s">
        <v>2453</v>
      </c>
      <c r="GB150" s="561" t="s">
        <v>2453</v>
      </c>
      <c r="GC150" s="561" t="s">
        <v>2453</v>
      </c>
      <c r="GD150" s="561" t="s">
        <v>2453</v>
      </c>
      <c r="GE150" s="561" t="s">
        <v>2453</v>
      </c>
      <c r="GF150" s="561" t="s">
        <v>2453</v>
      </c>
      <c r="GG150" s="561" t="s">
        <v>2453</v>
      </c>
      <c r="GH150" s="561" t="s">
        <v>2453</v>
      </c>
      <c r="GI150" s="561" t="s">
        <v>2453</v>
      </c>
      <c r="GJ150" s="561" t="s">
        <v>2453</v>
      </c>
      <c r="GK150" s="561" t="s">
        <v>2453</v>
      </c>
      <c r="GL150" s="561" t="s">
        <v>2453</v>
      </c>
      <c r="GM150" s="561" t="s">
        <v>2453</v>
      </c>
      <c r="GN150" s="561" t="s">
        <v>2453</v>
      </c>
      <c r="GO150" s="561" t="s">
        <v>2453</v>
      </c>
      <c r="GP150" s="561" t="s">
        <v>2453</v>
      </c>
      <c r="GQ150" s="561" t="s">
        <v>2453</v>
      </c>
      <c r="GR150" s="561" t="s">
        <v>2453</v>
      </c>
      <c r="GS150" s="561" t="s">
        <v>2453</v>
      </c>
      <c r="GT150" s="561" t="s">
        <v>2453</v>
      </c>
      <c r="GU150" s="561" t="s">
        <v>2453</v>
      </c>
      <c r="GV150" s="561" t="s">
        <v>2453</v>
      </c>
      <c r="GW150" s="561" t="s">
        <v>2453</v>
      </c>
      <c r="GX150" s="561" t="s">
        <v>2453</v>
      </c>
      <c r="GY150" s="561" t="s">
        <v>2453</v>
      </c>
      <c r="GZ150" s="561" t="s">
        <v>2453</v>
      </c>
      <c r="HA150" s="561" t="s">
        <v>2453</v>
      </c>
      <c r="HB150" s="561" t="s">
        <v>2453</v>
      </c>
      <c r="HC150" s="561" t="s">
        <v>2453</v>
      </c>
      <c r="HD150" s="561" t="s">
        <v>2453</v>
      </c>
      <c r="HE150" s="561" t="s">
        <v>2453</v>
      </c>
      <c r="HF150" s="561" t="s">
        <v>2453</v>
      </c>
      <c r="HG150" s="561" t="s">
        <v>2453</v>
      </c>
      <c r="HH150" s="561" t="s">
        <v>2453</v>
      </c>
      <c r="HI150" s="561" t="s">
        <v>2453</v>
      </c>
      <c r="HJ150" s="561" t="s">
        <v>2453</v>
      </c>
      <c r="HK150" s="561" t="s">
        <v>2453</v>
      </c>
      <c r="HL150" s="561" t="s">
        <v>2453</v>
      </c>
      <c r="HM150" s="561" t="s">
        <v>2453</v>
      </c>
      <c r="HN150" s="561" t="s">
        <v>2453</v>
      </c>
      <c r="HO150" s="561" t="s">
        <v>2453</v>
      </c>
      <c r="HP150" s="561" t="s">
        <v>2453</v>
      </c>
      <c r="HQ150" s="561" t="s">
        <v>2453</v>
      </c>
      <c r="HR150" s="561" t="s">
        <v>2453</v>
      </c>
      <c r="HS150" s="561" t="s">
        <v>2453</v>
      </c>
      <c r="HT150" s="561" t="s">
        <v>2453</v>
      </c>
      <c r="HU150" s="561" t="s">
        <v>2453</v>
      </c>
      <c r="HV150" s="561" t="s">
        <v>2453</v>
      </c>
      <c r="HW150" s="561" t="s">
        <v>2453</v>
      </c>
      <c r="HX150" s="561" t="s">
        <v>2453</v>
      </c>
      <c r="HY150" s="561" t="s">
        <v>2453</v>
      </c>
      <c r="HZ150" s="561" t="s">
        <v>2453</v>
      </c>
      <c r="IA150" s="561" t="s">
        <v>2453</v>
      </c>
      <c r="IB150" s="561" t="s">
        <v>2453</v>
      </c>
      <c r="IC150" s="561" t="s">
        <v>2453</v>
      </c>
      <c r="ID150" s="561" t="s">
        <v>2453</v>
      </c>
      <c r="IE150" s="561" t="s">
        <v>2453</v>
      </c>
      <c r="IF150" s="561" t="s">
        <v>2453</v>
      </c>
      <c r="IG150" s="561" t="s">
        <v>2453</v>
      </c>
      <c r="IH150" s="561" t="s">
        <v>2453</v>
      </c>
      <c r="II150" s="561" t="s">
        <v>2453</v>
      </c>
      <c r="IJ150" s="561" t="s">
        <v>2453</v>
      </c>
      <c r="IK150" s="561" t="s">
        <v>2453</v>
      </c>
      <c r="IL150" s="561" t="s">
        <v>2453</v>
      </c>
      <c r="IM150" s="561" t="s">
        <v>2453</v>
      </c>
      <c r="IN150" s="561" t="s">
        <v>2453</v>
      </c>
      <c r="IO150" s="561" t="s">
        <v>2453</v>
      </c>
      <c r="IP150" s="561" t="s">
        <v>2453</v>
      </c>
      <c r="IQ150" s="561" t="s">
        <v>2453</v>
      </c>
      <c r="IR150" s="561" t="s">
        <v>2453</v>
      </c>
      <c r="IS150" s="561" t="s">
        <v>2453</v>
      </c>
      <c r="IT150" s="561" t="s">
        <v>2453</v>
      </c>
      <c r="IU150" s="561" t="s">
        <v>2453</v>
      </c>
      <c r="IV150" s="561" t="s">
        <v>2453</v>
      </c>
      <c r="IW150" s="561" t="s">
        <v>2453</v>
      </c>
      <c r="IX150" s="561" t="s">
        <v>2453</v>
      </c>
      <c r="IY150" s="561" t="s">
        <v>2453</v>
      </c>
      <c r="IZ150" s="561" t="s">
        <v>2453</v>
      </c>
      <c r="JA150" s="561" t="s">
        <v>2453</v>
      </c>
      <c r="JB150" s="561" t="s">
        <v>2453</v>
      </c>
      <c r="JC150" s="561" t="s">
        <v>2453</v>
      </c>
      <c r="JD150" s="561" t="s">
        <v>2453</v>
      </c>
      <c r="JE150" s="561" t="s">
        <v>2453</v>
      </c>
      <c r="JF150" s="561" t="s">
        <v>2453</v>
      </c>
      <c r="JG150" s="561" t="s">
        <v>2453</v>
      </c>
      <c r="JH150" s="561" t="s">
        <v>2453</v>
      </c>
      <c r="JI150" s="561" t="s">
        <v>2453</v>
      </c>
      <c r="JJ150" s="561" t="s">
        <v>2453</v>
      </c>
      <c r="JK150" s="561" t="s">
        <v>2453</v>
      </c>
      <c r="JL150" s="561" t="s">
        <v>2453</v>
      </c>
      <c r="JM150" s="561" t="s">
        <v>2453</v>
      </c>
      <c r="JN150" s="561" t="s">
        <v>2453</v>
      </c>
      <c r="JO150" s="561" t="s">
        <v>2453</v>
      </c>
      <c r="JP150" s="561" t="s">
        <v>2453</v>
      </c>
      <c r="JQ150" s="561" t="s">
        <v>2453</v>
      </c>
      <c r="JR150" s="561" t="s">
        <v>2453</v>
      </c>
      <c r="JS150" s="561" t="s">
        <v>2453</v>
      </c>
      <c r="JT150" s="561" t="s">
        <v>2453</v>
      </c>
      <c r="JU150" s="561" t="s">
        <v>2453</v>
      </c>
      <c r="JV150" s="561" t="s">
        <v>2453</v>
      </c>
      <c r="JW150" s="561" t="s">
        <v>2453</v>
      </c>
      <c r="JX150" s="561" t="s">
        <v>2453</v>
      </c>
      <c r="JY150" s="561" t="s">
        <v>2453</v>
      </c>
      <c r="JZ150" s="561" t="s">
        <v>2453</v>
      </c>
      <c r="KA150" s="561" t="s">
        <v>2453</v>
      </c>
      <c r="KB150" s="561" t="s">
        <v>2453</v>
      </c>
      <c r="KC150" s="561" t="s">
        <v>2453</v>
      </c>
      <c r="KD150" s="561" t="s">
        <v>2453</v>
      </c>
      <c r="KE150" s="561" t="s">
        <v>2453</v>
      </c>
      <c r="KF150" s="561" t="s">
        <v>2453</v>
      </c>
      <c r="KG150" s="561" t="s">
        <v>2453</v>
      </c>
      <c r="KH150" s="561" t="s">
        <v>2453</v>
      </c>
      <c r="KI150" s="561" t="s">
        <v>2453</v>
      </c>
      <c r="KJ150" s="561" t="s">
        <v>2453</v>
      </c>
      <c r="KK150" s="561" t="s">
        <v>2453</v>
      </c>
      <c r="KL150" s="561" t="s">
        <v>2453</v>
      </c>
      <c r="KM150" s="561" t="s">
        <v>2453</v>
      </c>
      <c r="KN150" s="561" t="s">
        <v>2453</v>
      </c>
      <c r="KO150" s="561" t="s">
        <v>2453</v>
      </c>
      <c r="KP150" s="561" t="s">
        <v>2453</v>
      </c>
      <c r="KQ150" s="561" t="s">
        <v>2453</v>
      </c>
      <c r="KR150" s="561" t="s">
        <v>2453</v>
      </c>
      <c r="KS150" s="561" t="s">
        <v>2453</v>
      </c>
      <c r="KT150" s="561" t="s">
        <v>2453</v>
      </c>
      <c r="KU150" s="561" t="s">
        <v>2453</v>
      </c>
      <c r="KV150" s="561" t="s">
        <v>2453</v>
      </c>
      <c r="KW150" s="561" t="s">
        <v>2453</v>
      </c>
      <c r="KX150" s="561" t="s">
        <v>2453</v>
      </c>
      <c r="KY150" s="561" t="s">
        <v>2453</v>
      </c>
      <c r="KZ150" s="561" t="s">
        <v>2453</v>
      </c>
      <c r="LA150" s="561" t="s">
        <v>2453</v>
      </c>
      <c r="LB150" s="561" t="s">
        <v>2453</v>
      </c>
      <c r="LC150" s="561" t="s">
        <v>2453</v>
      </c>
      <c r="LD150" s="561" t="s">
        <v>2453</v>
      </c>
      <c r="LE150" s="561" t="s">
        <v>2453</v>
      </c>
      <c r="LF150" s="561" t="s">
        <v>2453</v>
      </c>
      <c r="LG150" s="561" t="s">
        <v>2453</v>
      </c>
      <c r="LH150" s="561" t="s">
        <v>2453</v>
      </c>
      <c r="LI150" s="561" t="s">
        <v>2453</v>
      </c>
      <c r="LJ150" s="561" t="s">
        <v>2453</v>
      </c>
      <c r="LK150" s="561" t="s">
        <v>2453</v>
      </c>
      <c r="LL150" s="561" t="s">
        <v>2453</v>
      </c>
      <c r="LM150" s="561" t="s">
        <v>2453</v>
      </c>
      <c r="LN150" s="561" t="s">
        <v>2453</v>
      </c>
      <c r="LO150" s="561" t="s">
        <v>2453</v>
      </c>
      <c r="LP150" s="561" t="s">
        <v>2453</v>
      </c>
      <c r="LQ150" s="561" t="s">
        <v>2453</v>
      </c>
      <c r="LR150" s="561" t="s">
        <v>2453</v>
      </c>
      <c r="LS150" s="561" t="s">
        <v>2453</v>
      </c>
      <c r="LT150" s="561" t="s">
        <v>2453</v>
      </c>
      <c r="LU150" s="561" t="s">
        <v>2453</v>
      </c>
      <c r="LV150" s="561" t="s">
        <v>2453</v>
      </c>
      <c r="LW150" s="561" t="s">
        <v>2453</v>
      </c>
      <c r="LX150" s="561" t="s">
        <v>2453</v>
      </c>
      <c r="LY150" s="561" t="s">
        <v>2453</v>
      </c>
      <c r="LZ150" s="561" t="s">
        <v>2453</v>
      </c>
      <c r="MA150" s="561" t="s">
        <v>2453</v>
      </c>
      <c r="MB150" s="561" t="s">
        <v>2453</v>
      </c>
      <c r="MC150" s="561" t="s">
        <v>2453</v>
      </c>
      <c r="MD150" s="561" t="s">
        <v>2453</v>
      </c>
      <c r="ME150" s="561" t="s">
        <v>2453</v>
      </c>
      <c r="MF150" s="561" t="s">
        <v>2453</v>
      </c>
      <c r="MG150" s="561" t="s">
        <v>2453</v>
      </c>
      <c r="MH150" s="561" t="s">
        <v>2453</v>
      </c>
      <c r="MI150" s="561" t="s">
        <v>2453</v>
      </c>
      <c r="MJ150" s="561" t="s">
        <v>2453</v>
      </c>
      <c r="MK150" s="561" t="s">
        <v>2453</v>
      </c>
      <c r="ML150" s="561" t="s">
        <v>2453</v>
      </c>
      <c r="MM150" s="561" t="s">
        <v>2453</v>
      </c>
      <c r="MN150" s="561" t="s">
        <v>2453</v>
      </c>
      <c r="MO150" s="561" t="s">
        <v>2453</v>
      </c>
      <c r="MP150" s="561" t="s">
        <v>2453</v>
      </c>
      <c r="MQ150" s="561" t="s">
        <v>2453</v>
      </c>
      <c r="MR150" s="561" t="s">
        <v>2453</v>
      </c>
      <c r="MS150" s="561" t="s">
        <v>2453</v>
      </c>
      <c r="MT150" s="561" t="s">
        <v>2453</v>
      </c>
      <c r="MU150" s="561" t="s">
        <v>2453</v>
      </c>
      <c r="MV150" s="561" t="s">
        <v>2453</v>
      </c>
      <c r="MW150" s="561" t="s">
        <v>2453</v>
      </c>
      <c r="MX150" s="561" t="s">
        <v>2453</v>
      </c>
      <c r="MY150" s="561" t="s">
        <v>2453</v>
      </c>
      <c r="MZ150" s="561" t="s">
        <v>2453</v>
      </c>
      <c r="NA150" s="561" t="s">
        <v>2453</v>
      </c>
      <c r="NB150" s="561" t="s">
        <v>2453</v>
      </c>
      <c r="NC150" s="561" t="s">
        <v>2453</v>
      </c>
      <c r="ND150" s="561" t="s">
        <v>2453</v>
      </c>
      <c r="NE150" s="561" t="s">
        <v>2453</v>
      </c>
      <c r="NF150" s="561" t="s">
        <v>2453</v>
      </c>
      <c r="NG150" s="561" t="s">
        <v>2453</v>
      </c>
      <c r="NH150" s="561" t="s">
        <v>2453</v>
      </c>
      <c r="NI150" s="561" t="s">
        <v>2453</v>
      </c>
      <c r="NJ150" s="561" t="s">
        <v>2453</v>
      </c>
      <c r="NK150" s="561" t="s">
        <v>2453</v>
      </c>
      <c r="NL150" s="561" t="s">
        <v>2453</v>
      </c>
      <c r="NM150" s="561" t="s">
        <v>2453</v>
      </c>
      <c r="NN150" s="561" t="s">
        <v>2453</v>
      </c>
      <c r="NO150" s="561" t="s">
        <v>2453</v>
      </c>
      <c r="NP150" s="561" t="s">
        <v>2453</v>
      </c>
      <c r="NQ150" s="561" t="s">
        <v>2453</v>
      </c>
      <c r="NR150" s="561" t="s">
        <v>2453</v>
      </c>
      <c r="NS150" s="561" t="s">
        <v>2453</v>
      </c>
      <c r="NT150" s="561" t="s">
        <v>2453</v>
      </c>
      <c r="NU150" s="561">
        <v>0</v>
      </c>
      <c r="NV150" s="561" t="s">
        <v>2453</v>
      </c>
      <c r="NW150" s="561" t="s">
        <v>2453</v>
      </c>
      <c r="NX150" s="561" t="s">
        <v>2453</v>
      </c>
      <c r="NY150" s="561" t="s">
        <v>2453</v>
      </c>
      <c r="NZ150" s="561" t="s">
        <v>2453</v>
      </c>
      <c r="OA150" s="561" t="s">
        <v>2453</v>
      </c>
      <c r="OB150" s="561" t="s">
        <v>2453</v>
      </c>
      <c r="OC150" s="561" t="s">
        <v>2453</v>
      </c>
      <c r="OD150" s="561" t="s">
        <v>2453</v>
      </c>
      <c r="OE150" s="561" t="s">
        <v>2453</v>
      </c>
      <c r="OF150" s="561" t="s">
        <v>2453</v>
      </c>
      <c r="OG150" s="561" t="s">
        <v>2453</v>
      </c>
      <c r="OH150" s="561" t="s">
        <v>2453</v>
      </c>
      <c r="OI150" s="561" t="s">
        <v>2453</v>
      </c>
      <c r="OJ150" s="561" t="s">
        <v>2453</v>
      </c>
      <c r="OK150" s="561" t="s">
        <v>2453</v>
      </c>
      <c r="OL150" s="561" t="s">
        <v>2453</v>
      </c>
      <c r="OM150" s="561" t="s">
        <v>2453</v>
      </c>
      <c r="ON150" s="561" t="s">
        <v>2453</v>
      </c>
      <c r="OO150" s="561" t="s">
        <v>2453</v>
      </c>
      <c r="OP150" s="561" t="s">
        <v>2453</v>
      </c>
      <c r="OQ150" s="561" t="s">
        <v>2453</v>
      </c>
      <c r="OR150" s="561" t="s">
        <v>2453</v>
      </c>
      <c r="OS150" s="561" t="s">
        <v>2453</v>
      </c>
      <c r="OT150" s="561" t="s">
        <v>2453</v>
      </c>
      <c r="OU150" s="561" t="s">
        <v>2453</v>
      </c>
      <c r="OV150" s="561">
        <v>2405</v>
      </c>
      <c r="OW150" s="561" t="s">
        <v>2453</v>
      </c>
      <c r="OX150" s="561" t="s">
        <v>2453</v>
      </c>
      <c r="OY150" s="561" t="s">
        <v>2453</v>
      </c>
      <c r="OZ150" s="561" t="s">
        <v>2453</v>
      </c>
      <c r="PA150" s="561" t="s">
        <v>2453</v>
      </c>
      <c r="PB150" s="561" t="s">
        <v>2453</v>
      </c>
      <c r="PC150" s="561" t="s">
        <v>2453</v>
      </c>
      <c r="PD150" s="561" t="s">
        <v>2453</v>
      </c>
      <c r="PE150" s="561" t="s">
        <v>2453</v>
      </c>
      <c r="PF150" s="561" t="s">
        <v>2453</v>
      </c>
      <c r="PG150" s="561" t="s">
        <v>2453</v>
      </c>
      <c r="PH150" s="561" t="s">
        <v>2453</v>
      </c>
      <c r="PI150" s="561" t="s">
        <v>2453</v>
      </c>
      <c r="PJ150" s="561" t="s">
        <v>2453</v>
      </c>
    </row>
    <row r="151" spans="1:426" ht="14" x14ac:dyDescent="0.3">
      <c r="A151" t="s">
        <v>2888</v>
      </c>
      <c r="B151" t="s">
        <v>2889</v>
      </c>
      <c r="C151" t="s">
        <v>2890</v>
      </c>
      <c r="E151" t="s">
        <v>2476</v>
      </c>
      <c r="F151" s="561">
        <v>36968</v>
      </c>
      <c r="G151" s="561">
        <v>165390</v>
      </c>
      <c r="H151" s="561">
        <v>62255</v>
      </c>
      <c r="I151" s="561">
        <v>33597</v>
      </c>
      <c r="J151" s="561">
        <v>2806</v>
      </c>
      <c r="K151" s="561">
        <v>26734</v>
      </c>
      <c r="L151" s="561">
        <v>327750</v>
      </c>
      <c r="M151" s="561">
        <v>3658</v>
      </c>
      <c r="N151" s="561">
        <v>4989</v>
      </c>
      <c r="O151" s="561">
        <v>0</v>
      </c>
      <c r="P151" s="561">
        <v>211</v>
      </c>
      <c r="Q151" s="561">
        <v>0</v>
      </c>
      <c r="R151" s="561">
        <v>46</v>
      </c>
      <c r="S151" s="561">
        <v>0</v>
      </c>
      <c r="T151" s="561">
        <v>218</v>
      </c>
      <c r="U151" s="561">
        <v>70</v>
      </c>
      <c r="V151" s="561">
        <v>1638</v>
      </c>
      <c r="W151" s="561">
        <v>0</v>
      </c>
      <c r="X151" s="561">
        <v>60</v>
      </c>
      <c r="Y151" s="561">
        <v>270</v>
      </c>
      <c r="Z151" s="561">
        <v>2801</v>
      </c>
      <c r="AA151" s="561">
        <v>-30061</v>
      </c>
      <c r="AB151" s="561">
        <v>14736</v>
      </c>
      <c r="AC151" s="561">
        <v>10422</v>
      </c>
      <c r="AD151" s="561">
        <v>0</v>
      </c>
      <c r="AE151" s="561">
        <v>0</v>
      </c>
      <c r="AF151" s="561">
        <v>0</v>
      </c>
      <c r="AG151" s="561">
        <v>0</v>
      </c>
      <c r="AH151" s="561">
        <v>0</v>
      </c>
      <c r="AI151" s="561">
        <v>0</v>
      </c>
      <c r="AJ151" s="561">
        <v>5400</v>
      </c>
      <c r="AK151" s="561">
        <v>659</v>
      </c>
      <c r="AL151" s="561">
        <v>0</v>
      </c>
      <c r="AM151" s="561">
        <v>0</v>
      </c>
      <c r="AN151" s="561">
        <v>0</v>
      </c>
      <c r="AO151" s="561">
        <v>0</v>
      </c>
      <c r="AP151" s="561">
        <v>0</v>
      </c>
      <c r="AQ151" s="561">
        <v>0</v>
      </c>
      <c r="AR151" s="561">
        <v>0</v>
      </c>
      <c r="AS151" s="561">
        <v>12118</v>
      </c>
      <c r="AT151" s="561">
        <v>20339</v>
      </c>
      <c r="AU151" s="561">
        <v>0</v>
      </c>
      <c r="AV151" s="561">
        <v>0</v>
      </c>
      <c r="AW151" s="561">
        <v>0</v>
      </c>
      <c r="AX151" s="561">
        <v>0</v>
      </c>
      <c r="AY151" s="561">
        <v>45630</v>
      </c>
      <c r="AZ151" s="561">
        <v>2005</v>
      </c>
      <c r="BA151" s="561">
        <v>18531</v>
      </c>
      <c r="BB151" s="561">
        <v>1860</v>
      </c>
      <c r="BC151" s="561">
        <v>21981</v>
      </c>
      <c r="BD151" s="561">
        <v>0</v>
      </c>
      <c r="BE151" s="561">
        <v>7017</v>
      </c>
      <c r="BF151" s="561">
        <v>97024</v>
      </c>
      <c r="BG151" s="561">
        <v>8473</v>
      </c>
      <c r="BH151" s="561">
        <v>11302</v>
      </c>
      <c r="BI151" s="561">
        <v>38454</v>
      </c>
      <c r="BJ151" s="561">
        <v>615</v>
      </c>
      <c r="BK151" s="561">
        <v>1457</v>
      </c>
      <c r="BL151" s="561">
        <v>1473</v>
      </c>
      <c r="BM151" s="561">
        <v>6905</v>
      </c>
      <c r="BN151" s="561">
        <v>35620</v>
      </c>
      <c r="BO151" s="561">
        <v>3728</v>
      </c>
      <c r="BP151" s="561">
        <v>9231</v>
      </c>
      <c r="BQ151" s="561">
        <v>6700</v>
      </c>
      <c r="BR151" s="561">
        <v>0</v>
      </c>
      <c r="BS151" s="561">
        <v>1290</v>
      </c>
      <c r="BT151" s="561">
        <v>0</v>
      </c>
      <c r="BU151" s="561">
        <v>282</v>
      </c>
      <c r="BV151" s="561">
        <v>395</v>
      </c>
      <c r="BW151" s="561">
        <v>14760</v>
      </c>
      <c r="BX151" s="561">
        <v>581</v>
      </c>
      <c r="BY151" s="561">
        <v>9278</v>
      </c>
      <c r="BZ151" s="561">
        <v>142071</v>
      </c>
      <c r="CA151" s="561">
        <v>8369</v>
      </c>
      <c r="CB151" s="561">
        <v>6778</v>
      </c>
      <c r="CC151" s="561">
        <v>869</v>
      </c>
      <c r="CD151" s="561">
        <v>632</v>
      </c>
      <c r="CE151" s="561">
        <v>494</v>
      </c>
      <c r="CF151" s="561">
        <v>82</v>
      </c>
      <c r="CG151" s="561">
        <v>101</v>
      </c>
      <c r="CH151" s="561">
        <v>59</v>
      </c>
      <c r="CI151" s="561">
        <v>859</v>
      </c>
      <c r="CJ151" s="561">
        <v>716</v>
      </c>
      <c r="CK151" s="561">
        <v>766</v>
      </c>
      <c r="CL151" s="561">
        <v>1377</v>
      </c>
      <c r="CM151" s="561">
        <v>2297</v>
      </c>
      <c r="CN151" s="561">
        <v>1397</v>
      </c>
      <c r="CO151" s="561">
        <v>2297</v>
      </c>
      <c r="CP151" s="561">
        <v>1397</v>
      </c>
      <c r="CQ151" s="561">
        <v>571</v>
      </c>
      <c r="CR151" s="561">
        <v>979</v>
      </c>
      <c r="CS151" s="561">
        <v>149</v>
      </c>
      <c r="CT151" s="561">
        <v>2404</v>
      </c>
      <c r="CU151" s="561">
        <v>7443</v>
      </c>
      <c r="CV151" s="561">
        <v>320</v>
      </c>
      <c r="CW151" s="561">
        <v>92</v>
      </c>
      <c r="CX151" s="561">
        <v>2586</v>
      </c>
      <c r="CY151" s="561">
        <v>7106</v>
      </c>
      <c r="CZ151" s="561">
        <v>41771</v>
      </c>
      <c r="DA151" s="561">
        <v>323</v>
      </c>
      <c r="DB151" s="561">
        <v>510</v>
      </c>
      <c r="DC151" s="561">
        <v>236</v>
      </c>
      <c r="DD151" s="561">
        <v>132</v>
      </c>
      <c r="DE151" s="561">
        <v>0</v>
      </c>
      <c r="DF151" s="561">
        <v>0</v>
      </c>
      <c r="DG151" s="561">
        <v>0</v>
      </c>
      <c r="DH151" s="561">
        <v>195</v>
      </c>
      <c r="DI151" s="561">
        <v>0</v>
      </c>
      <c r="DJ151" s="561">
        <v>341</v>
      </c>
      <c r="DK151" s="561">
        <v>747</v>
      </c>
      <c r="DL151" s="561">
        <v>25023</v>
      </c>
      <c r="DM151" s="561">
        <v>-1088</v>
      </c>
      <c r="DN151" s="561">
        <v>5809</v>
      </c>
      <c r="DO151" s="561">
        <v>1389</v>
      </c>
      <c r="DP151" s="561">
        <v>0</v>
      </c>
      <c r="DQ151" s="561">
        <v>0</v>
      </c>
      <c r="DR151" s="561">
        <v>0</v>
      </c>
      <c r="DS151" s="561">
        <v>14540</v>
      </c>
      <c r="DT151" s="561">
        <v>1146</v>
      </c>
      <c r="DU151" s="561">
        <v>46819</v>
      </c>
      <c r="DV151" s="561">
        <v>-2681</v>
      </c>
      <c r="DW151" s="561">
        <v>-455</v>
      </c>
      <c r="DX151" s="561">
        <v>-1006</v>
      </c>
      <c r="DY151" s="561">
        <v>4723</v>
      </c>
      <c r="DZ151" s="561">
        <v>-152</v>
      </c>
      <c r="EA151" s="561">
        <v>5563</v>
      </c>
      <c r="EB151" s="561">
        <v>0</v>
      </c>
      <c r="EC151" s="561">
        <v>54094</v>
      </c>
      <c r="ED151" s="561">
        <v>4250</v>
      </c>
      <c r="EE151" s="561">
        <v>140989</v>
      </c>
      <c r="EF151" s="561">
        <v>6065</v>
      </c>
      <c r="EG151" s="561">
        <v>35315</v>
      </c>
      <c r="EH151" s="561">
        <v>5643</v>
      </c>
      <c r="EI151" s="561">
        <v>0</v>
      </c>
      <c r="EJ151" s="561">
        <v>3</v>
      </c>
      <c r="EK151" s="561">
        <v>0</v>
      </c>
      <c r="EL151" s="561">
        <v>0</v>
      </c>
      <c r="EM151" s="561">
        <v>660</v>
      </c>
      <c r="EN151" s="561">
        <v>61242</v>
      </c>
      <c r="EO151" s="561">
        <v>50012</v>
      </c>
      <c r="EP151" s="561">
        <v>26081</v>
      </c>
      <c r="EQ151" s="561">
        <v>1605</v>
      </c>
      <c r="ER151" s="561">
        <v>2379</v>
      </c>
      <c r="ES151" s="561" t="s">
        <v>4565</v>
      </c>
      <c r="ET151" s="561">
        <v>39481</v>
      </c>
      <c r="EU151" s="561">
        <v>12697</v>
      </c>
      <c r="EV151" s="561">
        <v>270</v>
      </c>
      <c r="EW151" s="561">
        <v>0</v>
      </c>
      <c r="EX151" s="561">
        <v>0</v>
      </c>
      <c r="EY151" s="561">
        <v>1833</v>
      </c>
      <c r="EZ151" s="561">
        <v>-6925</v>
      </c>
      <c r="FA151" s="561">
        <v>24105</v>
      </c>
      <c r="FB151" s="561">
        <v>260</v>
      </c>
      <c r="FC151" s="561">
        <v>1497</v>
      </c>
      <c r="FD151" s="561">
        <v>0</v>
      </c>
      <c r="FE151" s="561">
        <v>616</v>
      </c>
      <c r="FF151" s="561">
        <v>0</v>
      </c>
      <c r="FG151" s="561">
        <v>44</v>
      </c>
      <c r="FH151" s="561">
        <v>0</v>
      </c>
      <c r="FI151" s="561">
        <v>860</v>
      </c>
      <c r="FJ151" s="561">
        <v>-206</v>
      </c>
      <c r="FK151" s="561">
        <v>7036</v>
      </c>
      <c r="FL151" s="561">
        <v>0</v>
      </c>
      <c r="FM151" s="561">
        <v>0</v>
      </c>
      <c r="FN151" s="561">
        <v>6891</v>
      </c>
      <c r="FO151" s="561">
        <v>16998</v>
      </c>
      <c r="FP151" s="561">
        <v>9314</v>
      </c>
      <c r="FQ151" s="561">
        <v>800</v>
      </c>
      <c r="FR151" s="561">
        <v>540</v>
      </c>
      <c r="FS151" s="561">
        <v>0</v>
      </c>
      <c r="FT151" s="561">
        <v>1098</v>
      </c>
      <c r="FU151" s="561">
        <v>1036</v>
      </c>
      <c r="FV151" s="561">
        <v>1301</v>
      </c>
      <c r="FW151" s="561">
        <v>-36</v>
      </c>
      <c r="FX151" s="561">
        <v>0</v>
      </c>
      <c r="FY151" s="561">
        <v>0</v>
      </c>
      <c r="FZ151" s="561">
        <v>0</v>
      </c>
      <c r="GA151" s="561">
        <v>204</v>
      </c>
      <c r="GB151" s="561">
        <v>0</v>
      </c>
      <c r="GC151" s="561">
        <v>526</v>
      </c>
      <c r="GD151" s="561">
        <v>1555</v>
      </c>
      <c r="GE151" s="561">
        <v>3145</v>
      </c>
      <c r="GF151" s="561">
        <v>1253</v>
      </c>
      <c r="GG151" s="561">
        <v>0</v>
      </c>
      <c r="GH151" s="561">
        <v>0</v>
      </c>
      <c r="GI151" s="561">
        <v>0</v>
      </c>
      <c r="GJ151" s="561">
        <v>0</v>
      </c>
      <c r="GK151" s="561">
        <v>0</v>
      </c>
      <c r="GL151" s="561">
        <v>15085</v>
      </c>
      <c r="GM151" s="561">
        <v>4410</v>
      </c>
      <c r="GN151" s="561">
        <v>0</v>
      </c>
      <c r="GO151" s="561">
        <v>1253</v>
      </c>
      <c r="GP151" s="561">
        <v>6112</v>
      </c>
      <c r="GQ151" s="561">
        <v>738</v>
      </c>
      <c r="GR151" s="561">
        <v>164</v>
      </c>
      <c r="GS151" s="561">
        <v>39184</v>
      </c>
      <c r="GT151" s="561">
        <v>56</v>
      </c>
      <c r="GU151" s="561">
        <v>411</v>
      </c>
      <c r="GV151" s="561">
        <v>1428</v>
      </c>
      <c r="GW151" s="561">
        <v>0</v>
      </c>
      <c r="GX151" s="561">
        <v>1068</v>
      </c>
      <c r="GY151" s="561">
        <v>0</v>
      </c>
      <c r="GZ151" s="561">
        <v>2405</v>
      </c>
      <c r="HA151" s="561">
        <v>0</v>
      </c>
      <c r="HB151" s="561">
        <v>0</v>
      </c>
      <c r="HC151" s="561">
        <v>4848</v>
      </c>
      <c r="HD151" s="561">
        <v>10160</v>
      </c>
      <c r="HE151" s="561">
        <v>145</v>
      </c>
      <c r="HF151" s="561">
        <v>66342</v>
      </c>
      <c r="HG151" s="561">
        <v>0</v>
      </c>
      <c r="HH151" s="561">
        <v>0</v>
      </c>
      <c r="HI151" s="561">
        <v>0</v>
      </c>
      <c r="HJ151" s="561">
        <v>0</v>
      </c>
      <c r="HK151" s="561">
        <v>0</v>
      </c>
      <c r="HL151" s="561">
        <v>0</v>
      </c>
      <c r="HM151" s="561">
        <v>0</v>
      </c>
      <c r="HN151" s="561">
        <v>0</v>
      </c>
      <c r="HO151" s="561">
        <v>3459</v>
      </c>
      <c r="HP151" s="561">
        <v>3593</v>
      </c>
      <c r="HQ151" s="561">
        <v>0</v>
      </c>
      <c r="HR151" s="561">
        <v>0</v>
      </c>
      <c r="HS151" s="561">
        <v>0</v>
      </c>
      <c r="HT151" s="561">
        <v>-75</v>
      </c>
      <c r="HU151" s="561">
        <v>0</v>
      </c>
      <c r="HV151" s="561">
        <v>-207</v>
      </c>
      <c r="HW151" s="561">
        <v>-20</v>
      </c>
      <c r="HX151" s="561">
        <v>1611</v>
      </c>
      <c r="HY151" s="561">
        <v>0</v>
      </c>
      <c r="HZ151" s="561">
        <v>-4</v>
      </c>
      <c r="IA151" s="561">
        <v>154</v>
      </c>
      <c r="IB151" s="561">
        <v>0</v>
      </c>
      <c r="IC151" s="561">
        <v>0</v>
      </c>
      <c r="ID151" s="561">
        <v>0</v>
      </c>
      <c r="IE151" s="561">
        <v>12484</v>
      </c>
      <c r="IF151" s="561">
        <v>0</v>
      </c>
      <c r="IG151" s="561">
        <v>0</v>
      </c>
      <c r="IH151" s="561">
        <v>8086</v>
      </c>
      <c r="II151" s="561">
        <v>29081</v>
      </c>
      <c r="IJ151" s="561">
        <v>9231</v>
      </c>
      <c r="IK151" s="561">
        <v>40160</v>
      </c>
      <c r="IL151" s="561">
        <v>8953</v>
      </c>
      <c r="IM151" s="561">
        <v>0</v>
      </c>
      <c r="IN151" s="561">
        <v>12144</v>
      </c>
      <c r="IO151" s="561">
        <v>0</v>
      </c>
      <c r="IP151" s="561">
        <v>0</v>
      </c>
      <c r="IQ151" s="561">
        <v>3070</v>
      </c>
      <c r="IR151" s="561">
        <v>327750</v>
      </c>
      <c r="IS151" s="561">
        <v>5400</v>
      </c>
      <c r="IT151" s="561">
        <v>97024</v>
      </c>
      <c r="IU151" s="561">
        <v>142071</v>
      </c>
      <c r="IV151" s="561">
        <v>41771</v>
      </c>
      <c r="IW151" s="561">
        <v>54094</v>
      </c>
      <c r="IX151" s="561">
        <v>16998</v>
      </c>
      <c r="IY151" s="561">
        <v>39184</v>
      </c>
      <c r="IZ151" s="561">
        <v>10160</v>
      </c>
      <c r="JA151" s="561">
        <v>0</v>
      </c>
      <c r="JB151" s="561">
        <v>0</v>
      </c>
      <c r="JC151" s="561">
        <v>29081</v>
      </c>
      <c r="JD151" s="561">
        <v>0</v>
      </c>
      <c r="JE151" s="561">
        <v>763533</v>
      </c>
      <c r="JF151" s="561">
        <v>120931</v>
      </c>
      <c r="JG151" s="561">
        <v>32834</v>
      </c>
      <c r="JH151" s="561">
        <v>46552</v>
      </c>
      <c r="JI151" s="561">
        <v>0</v>
      </c>
      <c r="JJ151" s="561">
        <v>0</v>
      </c>
      <c r="JK151" s="561">
        <v>0</v>
      </c>
      <c r="JL151" s="561">
        <v>0</v>
      </c>
      <c r="JM151" s="561">
        <v>9712</v>
      </c>
      <c r="JN151" s="561">
        <v>1051</v>
      </c>
      <c r="JO151" s="561">
        <v>1434</v>
      </c>
      <c r="JP151" s="561">
        <v>0</v>
      </c>
      <c r="JQ151" s="561">
        <v>0</v>
      </c>
      <c r="JR151" s="561">
        <v>0</v>
      </c>
      <c r="JS151" s="561">
        <v>0</v>
      </c>
      <c r="JT151" s="561">
        <v>-64</v>
      </c>
      <c r="JU151" s="561">
        <v>3436</v>
      </c>
      <c r="JV151" s="561">
        <v>979419</v>
      </c>
      <c r="JW151" s="561">
        <v>185</v>
      </c>
      <c r="JX151" s="561">
        <v>0</v>
      </c>
      <c r="JY151" s="561">
        <v>0</v>
      </c>
      <c r="JZ151" s="561">
        <v>0</v>
      </c>
      <c r="KA151" s="561">
        <v>0</v>
      </c>
      <c r="KB151" s="561">
        <v>3029</v>
      </c>
      <c r="KC151" s="561">
        <v>6718</v>
      </c>
      <c r="KD151" s="561">
        <v>0</v>
      </c>
      <c r="KE151" s="561">
        <v>2494</v>
      </c>
      <c r="KF151" s="561">
        <v>660</v>
      </c>
      <c r="KG151" s="561">
        <v>992505</v>
      </c>
      <c r="KH151" s="561">
        <v>-10918</v>
      </c>
      <c r="KI151" s="561">
        <v>0</v>
      </c>
      <c r="KJ151" s="561">
        <v>0</v>
      </c>
      <c r="KK151" s="561">
        <v>0</v>
      </c>
      <c r="KL151" s="561">
        <v>-200257</v>
      </c>
      <c r="KM151" s="561">
        <v>0</v>
      </c>
      <c r="KN151" s="561">
        <v>-1222</v>
      </c>
      <c r="KO151" s="561">
        <v>0</v>
      </c>
      <c r="KP151" s="561">
        <v>0</v>
      </c>
      <c r="KQ151" s="561">
        <v>0</v>
      </c>
      <c r="KR151" s="561">
        <v>780108</v>
      </c>
      <c r="KS151" s="561">
        <v>0</v>
      </c>
      <c r="KT151" s="561">
        <v>-413432</v>
      </c>
      <c r="KU151" s="561">
        <v>366676</v>
      </c>
      <c r="KV151" s="561">
        <v>0</v>
      </c>
      <c r="KW151" s="561">
        <v>-3876</v>
      </c>
      <c r="KX151" s="561">
        <v>0</v>
      </c>
      <c r="KY151" s="561">
        <v>156</v>
      </c>
      <c r="KZ151" s="561">
        <v>-39780</v>
      </c>
      <c r="LA151" s="561">
        <v>1000</v>
      </c>
      <c r="LB151" s="561">
        <v>-43696</v>
      </c>
      <c r="LC151" s="561">
        <v>0</v>
      </c>
      <c r="LD151" s="561">
        <v>-169467</v>
      </c>
      <c r="LE151" s="561">
        <v>-1675</v>
      </c>
      <c r="LF151" s="561">
        <v>0</v>
      </c>
      <c r="LG151" s="561">
        <v>109338</v>
      </c>
      <c r="LH151" s="561">
        <v>9739</v>
      </c>
      <c r="LI151" s="561">
        <v>-19080</v>
      </c>
      <c r="LJ151" s="561">
        <v>0</v>
      </c>
      <c r="LK151" s="561">
        <v>1621</v>
      </c>
      <c r="LL151" s="561">
        <v>124750</v>
      </c>
      <c r="LM151" s="561">
        <v>18000</v>
      </c>
      <c r="LN151" s="561">
        <v>5863</v>
      </c>
      <c r="LO151" s="561">
        <v>-19080</v>
      </c>
      <c r="LP151" s="561">
        <v>0</v>
      </c>
      <c r="LQ151" s="561">
        <v>1777</v>
      </c>
      <c r="LR151" s="561">
        <v>84970</v>
      </c>
      <c r="LS151" s="561">
        <v>19000</v>
      </c>
      <c r="LT151" s="561">
        <v>0</v>
      </c>
      <c r="LU151" s="561">
        <v>28131</v>
      </c>
      <c r="LV151" s="561">
        <v>0</v>
      </c>
      <c r="LW151" s="561">
        <v>-126221</v>
      </c>
      <c r="LX151" s="561">
        <v>-39967</v>
      </c>
      <c r="LY151" s="561">
        <v>2753</v>
      </c>
      <c r="LZ151" s="561">
        <v>-137647</v>
      </c>
      <c r="MA151" s="561">
        <v>0</v>
      </c>
      <c r="MB151" s="561">
        <v>0</v>
      </c>
      <c r="MC151" s="561">
        <v>188675</v>
      </c>
      <c r="MD151" s="561">
        <v>195600</v>
      </c>
      <c r="ME151" s="561">
        <v>-6925</v>
      </c>
      <c r="MF151" s="561">
        <v>24105</v>
      </c>
      <c r="MG151" s="561">
        <v>17180</v>
      </c>
      <c r="MH151" s="561">
        <v>11618</v>
      </c>
      <c r="MI151" s="561">
        <v>19630</v>
      </c>
      <c r="MJ151" s="561">
        <v>31248</v>
      </c>
      <c r="MK151" s="561">
        <v>0</v>
      </c>
      <c r="ML151" s="561">
        <v>4071</v>
      </c>
      <c r="MM151" s="561">
        <v>58361</v>
      </c>
      <c r="MN151" s="561">
        <v>6618</v>
      </c>
      <c r="MO151" s="561">
        <v>15920</v>
      </c>
      <c r="MP151" s="561">
        <v>0</v>
      </c>
      <c r="MQ151" s="561">
        <v>327750</v>
      </c>
      <c r="MR151" s="561">
        <v>5400</v>
      </c>
      <c r="MS151" s="561">
        <v>97024</v>
      </c>
      <c r="MT151" s="561">
        <v>142071</v>
      </c>
      <c r="MU151" s="561">
        <v>41771</v>
      </c>
      <c r="MV151" s="561">
        <v>54094</v>
      </c>
      <c r="MW151" s="561">
        <v>16998</v>
      </c>
      <c r="MX151" s="561">
        <v>39184</v>
      </c>
      <c r="MY151" s="561">
        <v>10160</v>
      </c>
      <c r="MZ151" s="561">
        <v>0</v>
      </c>
      <c r="NA151" s="561">
        <v>0</v>
      </c>
      <c r="NB151" s="561">
        <v>29081</v>
      </c>
      <c r="NC151" s="561">
        <v>0</v>
      </c>
      <c r="ND151" s="561">
        <v>763533</v>
      </c>
      <c r="NE151" s="561">
        <v>0</v>
      </c>
      <c r="NF151" s="561">
        <v>0</v>
      </c>
      <c r="NG151" s="561">
        <v>0</v>
      </c>
      <c r="NH151" s="561">
        <v>0</v>
      </c>
      <c r="NI151" s="561">
        <v>0</v>
      </c>
      <c r="NJ151" s="561">
        <v>0</v>
      </c>
      <c r="NK151" s="561">
        <v>0</v>
      </c>
      <c r="NL151" s="561">
        <v>0</v>
      </c>
      <c r="NM151" s="561">
        <v>0</v>
      </c>
      <c r="NN151" s="561">
        <v>0</v>
      </c>
      <c r="NO151" s="561">
        <v>0</v>
      </c>
      <c r="NP151" s="561">
        <v>0</v>
      </c>
      <c r="NQ151" s="561">
        <v>0</v>
      </c>
      <c r="NR151" s="561">
        <v>0</v>
      </c>
      <c r="NS151" s="561">
        <v>0</v>
      </c>
      <c r="NT151" s="561">
        <v>0</v>
      </c>
      <c r="NU151" s="561">
        <v>0</v>
      </c>
      <c r="NV151" s="561">
        <v>0</v>
      </c>
      <c r="NW151" s="561">
        <v>0</v>
      </c>
      <c r="NX151" s="561">
        <v>0</v>
      </c>
      <c r="NY151" s="561">
        <v>0</v>
      </c>
      <c r="NZ151" s="561">
        <v>0</v>
      </c>
      <c r="OA151" s="561">
        <v>0</v>
      </c>
      <c r="OB151" s="561">
        <v>0</v>
      </c>
      <c r="OC151" s="561">
        <v>0</v>
      </c>
      <c r="OD151" s="561">
        <v>0</v>
      </c>
      <c r="OE151" s="561">
        <v>0</v>
      </c>
      <c r="OF151" s="561">
        <v>0</v>
      </c>
      <c r="OG151" s="561">
        <v>0</v>
      </c>
      <c r="OH151" s="561">
        <v>0</v>
      </c>
      <c r="OI151" s="561">
        <v>0</v>
      </c>
      <c r="OJ151" s="561">
        <v>0</v>
      </c>
      <c r="OK151" s="561">
        <v>0</v>
      </c>
      <c r="OL151" s="561">
        <v>0</v>
      </c>
      <c r="OM151" s="561">
        <v>0</v>
      </c>
      <c r="ON151" s="561">
        <v>0</v>
      </c>
      <c r="OO151" s="561">
        <v>0</v>
      </c>
      <c r="OP151" s="561">
        <v>0</v>
      </c>
      <c r="OQ151" s="561">
        <v>0</v>
      </c>
      <c r="OR151" s="561">
        <v>0</v>
      </c>
      <c r="OS151" s="561">
        <v>0</v>
      </c>
      <c r="OT151" s="561">
        <v>0</v>
      </c>
      <c r="OU151" s="561">
        <v>0</v>
      </c>
      <c r="OV151" s="561">
        <v>0</v>
      </c>
      <c r="OW151" s="561">
        <v>0</v>
      </c>
      <c r="OX151" s="561">
        <v>0</v>
      </c>
      <c r="OY151" s="561">
        <v>0</v>
      </c>
      <c r="OZ151" s="561">
        <v>0</v>
      </c>
      <c r="PA151" s="561">
        <v>0</v>
      </c>
      <c r="PB151" s="561">
        <v>0</v>
      </c>
      <c r="PC151" s="561">
        <v>0</v>
      </c>
      <c r="PD151" s="561">
        <v>0</v>
      </c>
      <c r="PE151" s="561">
        <v>0</v>
      </c>
      <c r="PF151" s="561">
        <v>0</v>
      </c>
      <c r="PG151" s="561">
        <v>0</v>
      </c>
      <c r="PH151" s="561">
        <v>0</v>
      </c>
      <c r="PI151" s="561">
        <v>0</v>
      </c>
      <c r="PJ151" s="561">
        <v>0</v>
      </c>
    </row>
    <row r="152" spans="1:426" ht="14" x14ac:dyDescent="0.3">
      <c r="A152" t="s">
        <v>2891</v>
      </c>
      <c r="B152" t="s">
        <v>2892</v>
      </c>
      <c r="C152" t="s">
        <v>4604</v>
      </c>
      <c r="E152" t="s">
        <v>385</v>
      </c>
      <c r="F152" s="561">
        <v>15364</v>
      </c>
      <c r="G152" s="561">
        <v>52829</v>
      </c>
      <c r="H152" s="561">
        <v>12873</v>
      </c>
      <c r="I152" s="561">
        <v>29954</v>
      </c>
      <c r="J152" s="561">
        <v>1512</v>
      </c>
      <c r="K152" s="561">
        <v>17485</v>
      </c>
      <c r="L152" s="561">
        <v>130017</v>
      </c>
      <c r="M152" s="561">
        <v>2943</v>
      </c>
      <c r="N152" s="561">
        <v>1050</v>
      </c>
      <c r="O152" s="561">
        <v>55</v>
      </c>
      <c r="P152" s="561">
        <v>669</v>
      </c>
      <c r="Q152" s="561">
        <v>622</v>
      </c>
      <c r="R152" s="561">
        <v>25</v>
      </c>
      <c r="S152" s="561">
        <v>1310</v>
      </c>
      <c r="T152" s="561">
        <v>1094</v>
      </c>
      <c r="U152" s="561">
        <v>186</v>
      </c>
      <c r="V152" s="561">
        <v>1825</v>
      </c>
      <c r="W152" s="561">
        <v>0</v>
      </c>
      <c r="X152" s="561">
        <v>0</v>
      </c>
      <c r="Y152" s="561">
        <v>221</v>
      </c>
      <c r="Z152" s="561">
        <v>-704</v>
      </c>
      <c r="AA152" s="561">
        <v>0</v>
      </c>
      <c r="AB152" s="561">
        <v>151</v>
      </c>
      <c r="AC152" s="561">
        <v>2157</v>
      </c>
      <c r="AD152" s="561">
        <v>0</v>
      </c>
      <c r="AE152" s="561">
        <v>642</v>
      </c>
      <c r="AF152" s="561">
        <v>0</v>
      </c>
      <c r="AG152" s="561">
        <v>0</v>
      </c>
      <c r="AH152" s="561">
        <v>266</v>
      </c>
      <c r="AI152" s="561">
        <v>6133</v>
      </c>
      <c r="AJ152" s="561">
        <v>15702</v>
      </c>
      <c r="AK152" s="561">
        <v>156</v>
      </c>
      <c r="AL152" s="561">
        <v>0</v>
      </c>
      <c r="AM152" s="561">
        <v>0</v>
      </c>
      <c r="AN152" s="561">
        <v>0</v>
      </c>
      <c r="AO152" s="561">
        <v>0</v>
      </c>
      <c r="AP152" s="561">
        <v>0</v>
      </c>
      <c r="AQ152" s="561">
        <v>0</v>
      </c>
      <c r="AR152" s="561">
        <v>0</v>
      </c>
      <c r="AS152" s="561">
        <v>0</v>
      </c>
      <c r="AT152" s="561">
        <v>0</v>
      </c>
      <c r="AU152" s="561">
        <v>0</v>
      </c>
      <c r="AV152" s="561">
        <v>0</v>
      </c>
      <c r="AW152" s="561">
        <v>0</v>
      </c>
      <c r="AX152" s="561">
        <v>3856</v>
      </c>
      <c r="AY152" s="561">
        <v>39343</v>
      </c>
      <c r="AZ152" s="561">
        <v>2412</v>
      </c>
      <c r="BA152" s="561">
        <v>4889</v>
      </c>
      <c r="BB152" s="561">
        <v>479</v>
      </c>
      <c r="BC152" s="561">
        <v>12266</v>
      </c>
      <c r="BD152" s="561">
        <v>0</v>
      </c>
      <c r="BE152" s="561">
        <v>7</v>
      </c>
      <c r="BF152" s="561">
        <v>63252</v>
      </c>
      <c r="BG152" s="561">
        <v>5220</v>
      </c>
      <c r="BH152" s="561">
        <v>7263</v>
      </c>
      <c r="BI152" s="561">
        <v>4852</v>
      </c>
      <c r="BJ152" s="561">
        <v>-4</v>
      </c>
      <c r="BK152" s="561">
        <v>3589</v>
      </c>
      <c r="BL152" s="561">
        <v>2</v>
      </c>
      <c r="BM152" s="561">
        <v>5084</v>
      </c>
      <c r="BN152" s="561">
        <v>30166</v>
      </c>
      <c r="BO152" s="561">
        <v>412</v>
      </c>
      <c r="BP152" s="561">
        <v>7428</v>
      </c>
      <c r="BQ152" s="561">
        <v>249</v>
      </c>
      <c r="BR152" s="561">
        <v>0</v>
      </c>
      <c r="BS152" s="561">
        <v>457</v>
      </c>
      <c r="BT152" s="561">
        <v>0</v>
      </c>
      <c r="BU152" s="561">
        <v>403</v>
      </c>
      <c r="BV152" s="561">
        <v>569</v>
      </c>
      <c r="BW152" s="561">
        <v>9012</v>
      </c>
      <c r="BX152" s="561">
        <v>671</v>
      </c>
      <c r="BY152" s="561">
        <v>3804</v>
      </c>
      <c r="BZ152" s="561">
        <v>73957</v>
      </c>
      <c r="CA152" s="561">
        <v>5788</v>
      </c>
      <c r="CB152" s="561">
        <v>579</v>
      </c>
      <c r="CC152" s="561">
        <v>577</v>
      </c>
      <c r="CD152" s="561">
        <v>75</v>
      </c>
      <c r="CE152" s="561">
        <v>234</v>
      </c>
      <c r="CF152" s="561">
        <v>621</v>
      </c>
      <c r="CG152" s="561">
        <v>20</v>
      </c>
      <c r="CH152" s="561">
        <v>1441</v>
      </c>
      <c r="CI152" s="561">
        <v>417</v>
      </c>
      <c r="CJ152" s="561">
        <v>241</v>
      </c>
      <c r="CK152" s="561">
        <v>267</v>
      </c>
      <c r="CL152" s="561">
        <v>144</v>
      </c>
      <c r="CM152" s="561">
        <v>2057</v>
      </c>
      <c r="CN152" s="561">
        <v>75</v>
      </c>
      <c r="CO152" s="561">
        <v>60</v>
      </c>
      <c r="CP152" s="561">
        <v>80</v>
      </c>
      <c r="CQ152" s="561">
        <v>0</v>
      </c>
      <c r="CR152" s="561">
        <v>340</v>
      </c>
      <c r="CS152" s="561">
        <v>65</v>
      </c>
      <c r="CT152" s="561">
        <v>1685</v>
      </c>
      <c r="CU152" s="561">
        <v>2876</v>
      </c>
      <c r="CV152" s="561">
        <v>521</v>
      </c>
      <c r="CW152" s="561">
        <v>82</v>
      </c>
      <c r="CX152" s="561">
        <v>226</v>
      </c>
      <c r="CY152" s="561">
        <v>719</v>
      </c>
      <c r="CZ152" s="561">
        <v>13402</v>
      </c>
      <c r="DA152" s="561">
        <v>22</v>
      </c>
      <c r="DB152" s="561">
        <v>0</v>
      </c>
      <c r="DC152" s="561">
        <v>0</v>
      </c>
      <c r="DD152" s="561">
        <v>0</v>
      </c>
      <c r="DE152" s="561">
        <v>0</v>
      </c>
      <c r="DF152" s="561">
        <v>0</v>
      </c>
      <c r="DG152" s="561">
        <v>0</v>
      </c>
      <c r="DH152" s="561">
        <v>823</v>
      </c>
      <c r="DI152" s="561">
        <v>0</v>
      </c>
      <c r="DJ152" s="561">
        <v>0</v>
      </c>
      <c r="DK152" s="561">
        <v>0</v>
      </c>
      <c r="DL152" s="561">
        <v>0</v>
      </c>
      <c r="DM152" s="561">
        <v>0</v>
      </c>
      <c r="DN152" s="561">
        <v>0</v>
      </c>
      <c r="DO152" s="561">
        <v>330</v>
      </c>
      <c r="DP152" s="561">
        <v>33</v>
      </c>
      <c r="DQ152" s="561">
        <v>0</v>
      </c>
      <c r="DR152" s="561">
        <v>0</v>
      </c>
      <c r="DS152" s="561">
        <v>406</v>
      </c>
      <c r="DT152" s="561">
        <v>0</v>
      </c>
      <c r="DU152" s="561">
        <v>769</v>
      </c>
      <c r="DV152" s="561">
        <v>282</v>
      </c>
      <c r="DW152" s="561">
        <v>0</v>
      </c>
      <c r="DX152" s="561">
        <v>0</v>
      </c>
      <c r="DY152" s="561">
        <v>1301</v>
      </c>
      <c r="DZ152" s="561">
        <v>144</v>
      </c>
      <c r="EA152" s="561">
        <v>0</v>
      </c>
      <c r="EB152" s="561">
        <v>0</v>
      </c>
      <c r="EC152" s="561">
        <v>3319</v>
      </c>
      <c r="ED152" s="561">
        <v>247</v>
      </c>
      <c r="EE152" s="561">
        <v>0</v>
      </c>
      <c r="EF152" s="561">
        <v>0</v>
      </c>
      <c r="EG152" s="561">
        <v>0</v>
      </c>
      <c r="EH152" s="561">
        <v>0</v>
      </c>
      <c r="EI152" s="561">
        <v>0</v>
      </c>
      <c r="EJ152" s="561">
        <v>0</v>
      </c>
      <c r="EK152" s="561">
        <v>0</v>
      </c>
      <c r="EL152" s="561">
        <v>0</v>
      </c>
      <c r="EM152" s="561">
        <v>0</v>
      </c>
      <c r="EN152" s="561">
        <v>0</v>
      </c>
      <c r="EO152" s="561">
        <v>0</v>
      </c>
      <c r="EP152" s="561">
        <v>0</v>
      </c>
      <c r="EQ152" s="561">
        <v>0</v>
      </c>
      <c r="ER152" s="561">
        <v>0</v>
      </c>
      <c r="ES152" s="561" t="s">
        <v>4565</v>
      </c>
      <c r="ET152" s="561">
        <v>0</v>
      </c>
      <c r="EU152" s="561">
        <v>0</v>
      </c>
      <c r="EV152" s="561">
        <v>0</v>
      </c>
      <c r="EW152" s="561">
        <v>0</v>
      </c>
      <c r="EX152" s="561">
        <v>0</v>
      </c>
      <c r="EY152" s="561">
        <v>0</v>
      </c>
      <c r="EZ152" s="561">
        <v>0</v>
      </c>
      <c r="FA152" s="561">
        <v>0</v>
      </c>
      <c r="FB152" s="561">
        <v>57</v>
      </c>
      <c r="FC152" s="561">
        <v>0</v>
      </c>
      <c r="FD152" s="561">
        <v>6</v>
      </c>
      <c r="FE152" s="561">
        <v>178</v>
      </c>
      <c r="FF152" s="561">
        <v>681</v>
      </c>
      <c r="FG152" s="561">
        <v>1126</v>
      </c>
      <c r="FH152" s="561">
        <v>0</v>
      </c>
      <c r="FI152" s="561">
        <v>354</v>
      </c>
      <c r="FJ152" s="561">
        <v>3059</v>
      </c>
      <c r="FK152" s="561">
        <v>5291</v>
      </c>
      <c r="FL152" s="561">
        <v>-6</v>
      </c>
      <c r="FM152" s="561">
        <v>0</v>
      </c>
      <c r="FN152" s="561">
        <v>1742</v>
      </c>
      <c r="FO152" s="561">
        <v>12488</v>
      </c>
      <c r="FP152" s="561">
        <v>168</v>
      </c>
      <c r="FQ152" s="561">
        <v>-3</v>
      </c>
      <c r="FR152" s="561">
        <v>464</v>
      </c>
      <c r="FS152" s="561">
        <v>0</v>
      </c>
      <c r="FT152" s="561">
        <v>4</v>
      </c>
      <c r="FU152" s="561">
        <v>616</v>
      </c>
      <c r="FV152" s="561">
        <v>-19</v>
      </c>
      <c r="FW152" s="561">
        <v>0</v>
      </c>
      <c r="FX152" s="561">
        <v>0</v>
      </c>
      <c r="FY152" s="561">
        <v>24</v>
      </c>
      <c r="FZ152" s="561">
        <v>250</v>
      </c>
      <c r="GA152" s="561">
        <v>7</v>
      </c>
      <c r="GB152" s="561">
        <v>6</v>
      </c>
      <c r="GC152" s="561">
        <v>-70</v>
      </c>
      <c r="GD152" s="561">
        <v>0</v>
      </c>
      <c r="GE152" s="561">
        <v>152</v>
      </c>
      <c r="GF152" s="561">
        <v>251</v>
      </c>
      <c r="GG152" s="561">
        <v>226</v>
      </c>
      <c r="GH152" s="561">
        <v>0</v>
      </c>
      <c r="GI152" s="561">
        <v>0</v>
      </c>
      <c r="GJ152" s="561">
        <v>0</v>
      </c>
      <c r="GK152" s="561">
        <v>0</v>
      </c>
      <c r="GL152" s="561">
        <v>1170</v>
      </c>
      <c r="GM152" s="561">
        <v>1511</v>
      </c>
      <c r="GN152" s="561">
        <v>8195</v>
      </c>
      <c r="GO152" s="561">
        <v>-270</v>
      </c>
      <c r="GP152" s="561">
        <v>886</v>
      </c>
      <c r="GQ152" s="561">
        <v>0</v>
      </c>
      <c r="GR152" s="561">
        <v>0</v>
      </c>
      <c r="GS152" s="561">
        <v>13400</v>
      </c>
      <c r="GT152" s="561">
        <v>279</v>
      </c>
      <c r="GU152" s="561">
        <v>153</v>
      </c>
      <c r="GV152" s="561">
        <v>975</v>
      </c>
      <c r="GW152" s="561">
        <v>0</v>
      </c>
      <c r="GX152" s="561">
        <v>0</v>
      </c>
      <c r="GY152" s="561">
        <v>0</v>
      </c>
      <c r="GZ152" s="561">
        <v>2050</v>
      </c>
      <c r="HA152" s="561">
        <v>0</v>
      </c>
      <c r="HB152" s="561">
        <v>0</v>
      </c>
      <c r="HC152" s="561">
        <v>252</v>
      </c>
      <c r="HD152" s="561">
        <v>3430</v>
      </c>
      <c r="HE152" s="561">
        <v>472</v>
      </c>
      <c r="HF152" s="561">
        <v>29318</v>
      </c>
      <c r="HG152" s="561">
        <v>919</v>
      </c>
      <c r="HH152" s="561">
        <v>0</v>
      </c>
      <c r="HI152" s="561">
        <v>0</v>
      </c>
      <c r="HJ152" s="561">
        <v>0</v>
      </c>
      <c r="HK152" s="561">
        <v>0</v>
      </c>
      <c r="HL152" s="561">
        <v>0</v>
      </c>
      <c r="HM152" s="561">
        <v>0</v>
      </c>
      <c r="HN152" s="561">
        <v>0</v>
      </c>
      <c r="HO152" s="561">
        <v>2210</v>
      </c>
      <c r="HP152" s="561">
        <v>750</v>
      </c>
      <c r="HQ152" s="561">
        <v>0</v>
      </c>
      <c r="HR152" s="561">
        <v>0</v>
      </c>
      <c r="HS152" s="561">
        <v>0</v>
      </c>
      <c r="HT152" s="561">
        <v>314</v>
      </c>
      <c r="HU152" s="561">
        <v>0</v>
      </c>
      <c r="HV152" s="561">
        <v>134</v>
      </c>
      <c r="HW152" s="561">
        <v>262</v>
      </c>
      <c r="HX152" s="561">
        <v>262</v>
      </c>
      <c r="HY152" s="561">
        <v>194</v>
      </c>
      <c r="HZ152" s="561">
        <v>-64</v>
      </c>
      <c r="IA152" s="561">
        <v>2903</v>
      </c>
      <c r="IB152" s="561">
        <v>0</v>
      </c>
      <c r="IC152" s="561">
        <v>0</v>
      </c>
      <c r="ID152" s="561">
        <v>0</v>
      </c>
      <c r="IE152" s="561">
        <v>0</v>
      </c>
      <c r="IF152" s="561">
        <v>0</v>
      </c>
      <c r="IG152" s="561">
        <v>0</v>
      </c>
      <c r="IH152" s="561">
        <v>1599</v>
      </c>
      <c r="II152" s="561">
        <v>8564</v>
      </c>
      <c r="IJ152" s="561">
        <v>1010</v>
      </c>
      <c r="IK152" s="561">
        <v>9881</v>
      </c>
      <c r="IL152" s="561">
        <v>24670</v>
      </c>
      <c r="IM152" s="561">
        <v>0</v>
      </c>
      <c r="IN152" s="561">
        <v>1528</v>
      </c>
      <c r="IO152" s="561">
        <v>0</v>
      </c>
      <c r="IP152" s="561">
        <v>460</v>
      </c>
      <c r="IQ152" s="561">
        <v>796</v>
      </c>
      <c r="IR152" s="561">
        <v>130017</v>
      </c>
      <c r="IS152" s="561">
        <v>15702</v>
      </c>
      <c r="IT152" s="561">
        <v>63252</v>
      </c>
      <c r="IU152" s="561">
        <v>73957</v>
      </c>
      <c r="IV152" s="561">
        <v>13402</v>
      </c>
      <c r="IW152" s="561">
        <v>3319</v>
      </c>
      <c r="IX152" s="561">
        <v>12488</v>
      </c>
      <c r="IY152" s="561">
        <v>13400</v>
      </c>
      <c r="IZ152" s="561">
        <v>3430</v>
      </c>
      <c r="JA152" s="561">
        <v>0</v>
      </c>
      <c r="JB152" s="561">
        <v>0</v>
      </c>
      <c r="JC152" s="561">
        <v>8564</v>
      </c>
      <c r="JD152" s="561">
        <v>460</v>
      </c>
      <c r="JE152" s="561">
        <v>337991</v>
      </c>
      <c r="JF152" s="561">
        <v>31487</v>
      </c>
      <c r="JG152" s="561">
        <v>82</v>
      </c>
      <c r="JH152" s="561">
        <v>0</v>
      </c>
      <c r="JI152" s="561">
        <v>0</v>
      </c>
      <c r="JJ152" s="561">
        <v>0</v>
      </c>
      <c r="JK152" s="561">
        <v>214</v>
      </c>
      <c r="JL152" s="561">
        <v>0</v>
      </c>
      <c r="JM152" s="561">
        <v>0</v>
      </c>
      <c r="JN152" s="561">
        <v>0</v>
      </c>
      <c r="JO152" s="561">
        <v>268</v>
      </c>
      <c r="JP152" s="561">
        <v>-231</v>
      </c>
      <c r="JQ152" s="561">
        <v>0</v>
      </c>
      <c r="JR152" s="561">
        <v>0</v>
      </c>
      <c r="JS152" s="561">
        <v>0</v>
      </c>
      <c r="JT152" s="561">
        <v>0</v>
      </c>
      <c r="JU152" s="561">
        <v>0</v>
      </c>
      <c r="JV152" s="561">
        <v>369811</v>
      </c>
      <c r="JW152" s="561">
        <v>73</v>
      </c>
      <c r="JX152" s="561">
        <v>64</v>
      </c>
      <c r="JY152" s="561">
        <v>0</v>
      </c>
      <c r="JZ152" s="561">
        <v>0</v>
      </c>
      <c r="KA152" s="561">
        <v>-10000</v>
      </c>
      <c r="KB152" s="561">
        <v>9363</v>
      </c>
      <c r="KC152" s="561">
        <v>3698</v>
      </c>
      <c r="KD152" s="561">
        <v>170</v>
      </c>
      <c r="KE152" s="561">
        <v>9379</v>
      </c>
      <c r="KF152" s="561">
        <v>0</v>
      </c>
      <c r="KG152" s="561">
        <v>382558</v>
      </c>
      <c r="KH152" s="561">
        <v>-5626</v>
      </c>
      <c r="KI152" s="561">
        <v>0</v>
      </c>
      <c r="KJ152" s="561">
        <v>0</v>
      </c>
      <c r="KK152" s="561">
        <v>0</v>
      </c>
      <c r="KL152" s="561">
        <v>-31298</v>
      </c>
      <c r="KM152" s="561">
        <v>0</v>
      </c>
      <c r="KN152" s="561">
        <v>0</v>
      </c>
      <c r="KO152" s="561">
        <v>0</v>
      </c>
      <c r="KP152" s="561">
        <v>0</v>
      </c>
      <c r="KQ152" s="561">
        <v>-9121</v>
      </c>
      <c r="KR152" s="561">
        <v>336513</v>
      </c>
      <c r="KS152" s="561">
        <v>0</v>
      </c>
      <c r="KT152" s="561">
        <v>-178374</v>
      </c>
      <c r="KU152" s="561">
        <v>158139</v>
      </c>
      <c r="KV152" s="561">
        <v>0</v>
      </c>
      <c r="KW152" s="561">
        <v>-720</v>
      </c>
      <c r="KX152" s="561">
        <v>0</v>
      </c>
      <c r="KY152" s="561">
        <v>-377</v>
      </c>
      <c r="KZ152" s="561">
        <v>-6791</v>
      </c>
      <c r="LA152" s="561">
        <v>0</v>
      </c>
      <c r="LB152" s="561">
        <v>0</v>
      </c>
      <c r="LC152" s="561">
        <v>0</v>
      </c>
      <c r="LD152" s="561">
        <v>-85764</v>
      </c>
      <c r="LE152" s="561">
        <v>-234</v>
      </c>
      <c r="LF152" s="561">
        <v>0</v>
      </c>
      <c r="LG152" s="561">
        <v>64253</v>
      </c>
      <c r="LH152" s="561">
        <v>6519</v>
      </c>
      <c r="LI152" s="561">
        <v>-5348</v>
      </c>
      <c r="LJ152" s="561">
        <v>0</v>
      </c>
      <c r="LK152" s="561">
        <v>1880</v>
      </c>
      <c r="LL152" s="561">
        <v>27113</v>
      </c>
      <c r="LM152" s="561">
        <v>5149</v>
      </c>
      <c r="LN152" s="561">
        <v>5799</v>
      </c>
      <c r="LO152" s="561">
        <v>-14469</v>
      </c>
      <c r="LP152" s="561">
        <v>0</v>
      </c>
      <c r="LQ152" s="561">
        <v>1503</v>
      </c>
      <c r="LR152" s="561">
        <v>20322</v>
      </c>
      <c r="LS152" s="561">
        <v>5149</v>
      </c>
      <c r="LT152" s="561">
        <v>0</v>
      </c>
      <c r="LU152" s="561">
        <v>26641</v>
      </c>
      <c r="LV152" s="561">
        <v>0</v>
      </c>
      <c r="LW152" s="561">
        <v>0</v>
      </c>
      <c r="LX152" s="561">
        <v>-37632</v>
      </c>
      <c r="LY152" s="561">
        <v>-12356</v>
      </c>
      <c r="LZ152" s="561">
        <v>-23347</v>
      </c>
      <c r="MA152" s="561">
        <v>0</v>
      </c>
      <c r="MB152" s="561">
        <v>0</v>
      </c>
      <c r="MC152" s="561">
        <v>0</v>
      </c>
      <c r="MD152" s="561">
        <v>0</v>
      </c>
      <c r="ME152" s="561">
        <v>0</v>
      </c>
      <c r="MF152" s="561">
        <v>0</v>
      </c>
      <c r="MG152" s="561">
        <v>0</v>
      </c>
      <c r="MH152" s="561">
        <v>4785</v>
      </c>
      <c r="MI152" s="561">
        <v>6113</v>
      </c>
      <c r="MJ152" s="561">
        <v>10898</v>
      </c>
      <c r="MK152" s="561">
        <v>15</v>
      </c>
      <c r="ML152" s="561">
        <v>6529</v>
      </c>
      <c r="MM152" s="561">
        <v>7791</v>
      </c>
      <c r="MN152" s="561">
        <v>849</v>
      </c>
      <c r="MO152" s="561">
        <v>0</v>
      </c>
      <c r="MP152" s="561">
        <v>5153</v>
      </c>
      <c r="MQ152" s="561">
        <v>130017</v>
      </c>
      <c r="MR152" s="561">
        <v>15702</v>
      </c>
      <c r="MS152" s="561">
        <v>63252</v>
      </c>
      <c r="MT152" s="561">
        <v>73957</v>
      </c>
      <c r="MU152" s="561">
        <v>13402</v>
      </c>
      <c r="MV152" s="561">
        <v>3319</v>
      </c>
      <c r="MW152" s="561">
        <v>12488</v>
      </c>
      <c r="MX152" s="561">
        <v>13400</v>
      </c>
      <c r="MY152" s="561">
        <v>3430</v>
      </c>
      <c r="MZ152" s="561">
        <v>0</v>
      </c>
      <c r="NA152" s="561">
        <v>0</v>
      </c>
      <c r="NB152" s="561">
        <v>8564</v>
      </c>
      <c r="NC152" s="561">
        <v>460</v>
      </c>
      <c r="ND152" s="561">
        <v>337991</v>
      </c>
      <c r="NE152" s="561">
        <v>0</v>
      </c>
      <c r="NF152" s="561">
        <v>0</v>
      </c>
      <c r="NG152" s="561">
        <v>0</v>
      </c>
      <c r="NH152" s="561">
        <v>0</v>
      </c>
      <c r="NI152" s="561">
        <v>0</v>
      </c>
      <c r="NJ152" s="561">
        <v>0</v>
      </c>
      <c r="NK152" s="561">
        <v>0</v>
      </c>
      <c r="NL152" s="561">
        <v>0</v>
      </c>
      <c r="NM152" s="561">
        <v>0</v>
      </c>
      <c r="NN152" s="561">
        <v>0</v>
      </c>
      <c r="NO152" s="561">
        <v>0</v>
      </c>
      <c r="NP152" s="561">
        <v>0</v>
      </c>
      <c r="NQ152" s="561">
        <v>0</v>
      </c>
      <c r="NR152" s="561">
        <v>0</v>
      </c>
      <c r="NS152" s="561">
        <v>0</v>
      </c>
      <c r="NT152" s="561">
        <v>0</v>
      </c>
      <c r="NU152" s="561">
        <v>0</v>
      </c>
      <c r="NV152" s="561">
        <v>200</v>
      </c>
      <c r="NW152" s="561">
        <v>-231</v>
      </c>
      <c r="NX152" s="561">
        <v>0</v>
      </c>
      <c r="NY152" s="561">
        <v>-231</v>
      </c>
      <c r="NZ152" s="561">
        <v>0</v>
      </c>
      <c r="OA152" s="561">
        <v>0</v>
      </c>
      <c r="OB152" s="561">
        <v>0</v>
      </c>
      <c r="OC152" s="561">
        <v>0</v>
      </c>
      <c r="OD152" s="561">
        <v>0</v>
      </c>
      <c r="OE152" s="561">
        <v>0</v>
      </c>
      <c r="OF152" s="561">
        <v>0</v>
      </c>
      <c r="OG152" s="561">
        <v>0</v>
      </c>
      <c r="OH152" s="561">
        <v>0</v>
      </c>
      <c r="OI152" s="561">
        <v>0</v>
      </c>
      <c r="OJ152" s="561">
        <v>0</v>
      </c>
      <c r="OK152" s="561">
        <v>0</v>
      </c>
      <c r="OL152" s="561">
        <v>0</v>
      </c>
      <c r="OM152" s="561">
        <v>0</v>
      </c>
      <c r="ON152" s="561">
        <v>0</v>
      </c>
      <c r="OO152" s="561">
        <v>0</v>
      </c>
      <c r="OP152" s="561">
        <v>0</v>
      </c>
      <c r="OQ152" s="561">
        <v>0</v>
      </c>
      <c r="OR152" s="561">
        <v>0</v>
      </c>
      <c r="OS152" s="561">
        <v>0</v>
      </c>
      <c r="OT152" s="561">
        <v>0</v>
      </c>
      <c r="OU152" s="561">
        <v>0</v>
      </c>
      <c r="OV152" s="561">
        <v>-793</v>
      </c>
      <c r="OW152" s="561">
        <v>0</v>
      </c>
      <c r="OX152" s="561">
        <v>0</v>
      </c>
      <c r="OY152" s="561">
        <v>0</v>
      </c>
      <c r="OZ152" s="561">
        <v>0</v>
      </c>
      <c r="PA152" s="561">
        <v>0</v>
      </c>
      <c r="PB152" s="561">
        <v>0</v>
      </c>
      <c r="PC152" s="561">
        <v>0</v>
      </c>
      <c r="PD152" s="561">
        <v>0</v>
      </c>
      <c r="PE152" s="561">
        <v>0</v>
      </c>
      <c r="PF152" s="561">
        <v>0</v>
      </c>
      <c r="PG152" s="561">
        <v>0</v>
      </c>
      <c r="PH152" s="561">
        <v>0</v>
      </c>
      <c r="PI152" s="561">
        <v>0</v>
      </c>
      <c r="PJ152" s="561">
        <v>0</v>
      </c>
    </row>
    <row r="153" spans="1:426" ht="14" x14ac:dyDescent="0.3">
      <c r="A153" t="s">
        <v>2894</v>
      </c>
      <c r="B153" t="s">
        <v>2895</v>
      </c>
      <c r="C153" t="s">
        <v>2896</v>
      </c>
      <c r="E153" t="s">
        <v>2476</v>
      </c>
      <c r="F153" s="561">
        <v>18423</v>
      </c>
      <c r="G153" s="561">
        <v>51643</v>
      </c>
      <c r="H153" s="561">
        <v>4570</v>
      </c>
      <c r="I153" s="561">
        <v>24156</v>
      </c>
      <c r="J153" s="561">
        <v>10107</v>
      </c>
      <c r="K153" s="561">
        <v>24634</v>
      </c>
      <c r="L153" s="561">
        <v>133533</v>
      </c>
      <c r="M153" s="561">
        <v>761</v>
      </c>
      <c r="N153" s="561">
        <v>524</v>
      </c>
      <c r="O153" s="561">
        <v>149</v>
      </c>
      <c r="P153" s="561">
        <v>42</v>
      </c>
      <c r="Q153" s="561">
        <v>310</v>
      </c>
      <c r="R153" s="561">
        <v>15</v>
      </c>
      <c r="S153" s="561">
        <v>250</v>
      </c>
      <c r="T153" s="561">
        <v>2512</v>
      </c>
      <c r="U153" s="561">
        <v>291</v>
      </c>
      <c r="V153" s="561">
        <v>796</v>
      </c>
      <c r="W153" s="561">
        <v>0</v>
      </c>
      <c r="X153" s="561">
        <v>0</v>
      </c>
      <c r="Y153" s="561">
        <v>464</v>
      </c>
      <c r="Z153" s="561">
        <v>476</v>
      </c>
      <c r="AA153" s="561">
        <v>-37936</v>
      </c>
      <c r="AB153" s="561">
        <v>0</v>
      </c>
      <c r="AC153" s="561">
        <v>8423</v>
      </c>
      <c r="AD153" s="561">
        <v>0</v>
      </c>
      <c r="AE153" s="561">
        <v>0</v>
      </c>
      <c r="AF153" s="561">
        <v>0</v>
      </c>
      <c r="AG153" s="561">
        <v>0</v>
      </c>
      <c r="AH153" s="561">
        <v>0</v>
      </c>
      <c r="AI153" s="561">
        <v>0</v>
      </c>
      <c r="AJ153" s="561">
        <v>-23684</v>
      </c>
      <c r="AK153" s="561">
        <v>484</v>
      </c>
      <c r="AL153" s="561">
        <v>0</v>
      </c>
      <c r="AM153" s="561">
        <v>0</v>
      </c>
      <c r="AN153" s="561">
        <v>0</v>
      </c>
      <c r="AO153" s="561">
        <v>0</v>
      </c>
      <c r="AP153" s="561">
        <v>0</v>
      </c>
      <c r="AQ153" s="561">
        <v>0</v>
      </c>
      <c r="AR153" s="561">
        <v>0</v>
      </c>
      <c r="AS153" s="561">
        <v>30415</v>
      </c>
      <c r="AT153" s="561">
        <v>28489</v>
      </c>
      <c r="AU153" s="561">
        <v>0</v>
      </c>
      <c r="AV153" s="561">
        <v>0</v>
      </c>
      <c r="AW153" s="561">
        <v>0</v>
      </c>
      <c r="AX153" s="561">
        <v>0</v>
      </c>
      <c r="AY153" s="561">
        <v>23791</v>
      </c>
      <c r="AZ153" s="561">
        <v>3752</v>
      </c>
      <c r="BA153" s="561">
        <v>13334</v>
      </c>
      <c r="BB153" s="561">
        <v>1743</v>
      </c>
      <c r="BC153" s="561">
        <v>13874</v>
      </c>
      <c r="BD153" s="561">
        <v>2234</v>
      </c>
      <c r="BE153" s="561">
        <v>419</v>
      </c>
      <c r="BF153" s="561">
        <v>59147</v>
      </c>
      <c r="BG153" s="561">
        <v>1882</v>
      </c>
      <c r="BH153" s="561">
        <v>9474</v>
      </c>
      <c r="BI153" s="561">
        <v>30926</v>
      </c>
      <c r="BJ153" s="561">
        <v>0</v>
      </c>
      <c r="BK153" s="561">
        <v>2</v>
      </c>
      <c r="BL153" s="561">
        <v>0</v>
      </c>
      <c r="BM153" s="561">
        <v>1</v>
      </c>
      <c r="BN153" s="561">
        <v>18790</v>
      </c>
      <c r="BO153" s="561">
        <v>2366</v>
      </c>
      <c r="BP153" s="561">
        <v>7743</v>
      </c>
      <c r="BQ153" s="561">
        <v>2110</v>
      </c>
      <c r="BR153" s="561">
        <v>0</v>
      </c>
      <c r="BS153" s="561">
        <v>74</v>
      </c>
      <c r="BT153" s="561">
        <v>0</v>
      </c>
      <c r="BU153" s="561">
        <v>613</v>
      </c>
      <c r="BV153" s="561">
        <v>1376</v>
      </c>
      <c r="BW153" s="561">
        <v>10877</v>
      </c>
      <c r="BX153" s="561">
        <v>201</v>
      </c>
      <c r="BY153" s="561">
        <v>12490</v>
      </c>
      <c r="BZ153" s="561">
        <v>97043</v>
      </c>
      <c r="CA153" s="561">
        <v>4688</v>
      </c>
      <c r="CB153" s="561">
        <v>4117</v>
      </c>
      <c r="CC153" s="561">
        <v>89</v>
      </c>
      <c r="CD153" s="561">
        <v>526</v>
      </c>
      <c r="CE153" s="561">
        <v>208</v>
      </c>
      <c r="CF153" s="561">
        <v>458</v>
      </c>
      <c r="CG153" s="561">
        <v>177</v>
      </c>
      <c r="CH153" s="561">
        <v>104</v>
      </c>
      <c r="CI153" s="561">
        <v>416</v>
      </c>
      <c r="CJ153" s="561">
        <v>292</v>
      </c>
      <c r="CK153" s="561">
        <v>753</v>
      </c>
      <c r="CL153" s="561">
        <v>464</v>
      </c>
      <c r="CM153" s="561">
        <v>1774</v>
      </c>
      <c r="CN153" s="561">
        <v>156</v>
      </c>
      <c r="CO153" s="561">
        <v>2999</v>
      </c>
      <c r="CP153" s="561">
        <v>156</v>
      </c>
      <c r="CQ153" s="561">
        <v>0</v>
      </c>
      <c r="CR153" s="561">
        <v>181</v>
      </c>
      <c r="CS153" s="561">
        <v>306</v>
      </c>
      <c r="CT153" s="561">
        <v>2136</v>
      </c>
      <c r="CU153" s="561">
        <v>3229</v>
      </c>
      <c r="CV153" s="561">
        <v>1165</v>
      </c>
      <c r="CW153" s="561">
        <v>23</v>
      </c>
      <c r="CX153" s="561">
        <v>2555</v>
      </c>
      <c r="CY153" s="561">
        <v>4129</v>
      </c>
      <c r="CZ153" s="561">
        <v>26413</v>
      </c>
      <c r="DA153" s="561">
        <v>0</v>
      </c>
      <c r="DB153" s="561">
        <v>0</v>
      </c>
      <c r="DC153" s="561">
        <v>0</v>
      </c>
      <c r="DD153" s="561">
        <v>0</v>
      </c>
      <c r="DE153" s="561">
        <v>0</v>
      </c>
      <c r="DF153" s="561">
        <v>0</v>
      </c>
      <c r="DG153" s="561">
        <v>0</v>
      </c>
      <c r="DH153" s="561">
        <v>1994</v>
      </c>
      <c r="DI153" s="561">
        <v>0</v>
      </c>
      <c r="DJ153" s="561">
        <v>0</v>
      </c>
      <c r="DK153" s="561">
        <v>0</v>
      </c>
      <c r="DL153" s="561">
        <v>6432</v>
      </c>
      <c r="DM153" s="561">
        <v>9585</v>
      </c>
      <c r="DN153" s="561">
        <v>0</v>
      </c>
      <c r="DO153" s="561">
        <v>2215</v>
      </c>
      <c r="DP153" s="561">
        <v>0</v>
      </c>
      <c r="DQ153" s="561">
        <v>0</v>
      </c>
      <c r="DR153" s="561">
        <v>1083</v>
      </c>
      <c r="DS153" s="561">
        <v>3897</v>
      </c>
      <c r="DT153" s="561">
        <v>1929</v>
      </c>
      <c r="DU153" s="561">
        <v>25141</v>
      </c>
      <c r="DV153" s="561">
        <v>0</v>
      </c>
      <c r="DW153" s="561">
        <v>0</v>
      </c>
      <c r="DX153" s="561">
        <v>0</v>
      </c>
      <c r="DY153" s="561">
        <v>2943</v>
      </c>
      <c r="DZ153" s="561">
        <v>25</v>
      </c>
      <c r="EA153" s="561">
        <v>666</v>
      </c>
      <c r="EB153" s="561">
        <v>0</v>
      </c>
      <c r="EC153" s="561">
        <v>30769</v>
      </c>
      <c r="ED153" s="561">
        <v>1301</v>
      </c>
      <c r="EE153" s="561">
        <v>81751</v>
      </c>
      <c r="EF153" s="561">
        <v>3515</v>
      </c>
      <c r="EG153" s="561">
        <v>20896</v>
      </c>
      <c r="EH153" s="561">
        <v>1465</v>
      </c>
      <c r="EI153" s="561">
        <v>578</v>
      </c>
      <c r="EJ153" s="561">
        <v>1815</v>
      </c>
      <c r="EK153" s="561">
        <v>0</v>
      </c>
      <c r="EL153" s="561">
        <v>0</v>
      </c>
      <c r="EM153" s="561">
        <v>0</v>
      </c>
      <c r="EN153" s="561">
        <v>22713</v>
      </c>
      <c r="EO153" s="561">
        <v>39799</v>
      </c>
      <c r="EP153" s="561">
        <v>9934</v>
      </c>
      <c r="EQ153" s="561">
        <v>1018</v>
      </c>
      <c r="ER153" s="561">
        <v>15746</v>
      </c>
      <c r="ES153" s="561" t="s">
        <v>4565</v>
      </c>
      <c r="ET153" s="561">
        <v>16164</v>
      </c>
      <c r="EU153" s="561">
        <v>0</v>
      </c>
      <c r="EV153" s="561">
        <v>148</v>
      </c>
      <c r="EW153" s="561">
        <v>0</v>
      </c>
      <c r="EX153" s="561">
        <v>2136</v>
      </c>
      <c r="EY153" s="561">
        <v>1171</v>
      </c>
      <c r="EZ153" s="561">
        <v>1191</v>
      </c>
      <c r="FA153" s="561">
        <v>15172</v>
      </c>
      <c r="FB153" s="561">
        <v>157</v>
      </c>
      <c r="FC153" s="561">
        <v>314</v>
      </c>
      <c r="FD153" s="561">
        <v>0</v>
      </c>
      <c r="FE153" s="561">
        <v>229</v>
      </c>
      <c r="FF153" s="561">
        <v>-169</v>
      </c>
      <c r="FG153" s="561">
        <v>322</v>
      </c>
      <c r="FH153" s="561">
        <v>0</v>
      </c>
      <c r="FI153" s="561">
        <v>0</v>
      </c>
      <c r="FJ153" s="561">
        <v>-456</v>
      </c>
      <c r="FK153" s="561">
        <v>2531</v>
      </c>
      <c r="FL153" s="561">
        <v>0</v>
      </c>
      <c r="FM153" s="561">
        <v>-100</v>
      </c>
      <c r="FN153" s="561">
        <v>3139</v>
      </c>
      <c r="FO153" s="561">
        <v>5967</v>
      </c>
      <c r="FP153" s="561">
        <v>231</v>
      </c>
      <c r="FQ153" s="561">
        <v>62</v>
      </c>
      <c r="FR153" s="561">
        <v>232</v>
      </c>
      <c r="FS153" s="561">
        <v>0</v>
      </c>
      <c r="FT153" s="561">
        <v>196</v>
      </c>
      <c r="FU153" s="561">
        <v>2621</v>
      </c>
      <c r="FV153" s="561">
        <v>0</v>
      </c>
      <c r="FW153" s="561">
        <v>159</v>
      </c>
      <c r="FX153" s="561">
        <v>0</v>
      </c>
      <c r="FY153" s="561">
        <v>0</v>
      </c>
      <c r="FZ153" s="561">
        <v>234</v>
      </c>
      <c r="GA153" s="561">
        <v>1</v>
      </c>
      <c r="GB153" s="561">
        <v>0</v>
      </c>
      <c r="GC153" s="561">
        <v>280</v>
      </c>
      <c r="GD153" s="561">
        <v>6853</v>
      </c>
      <c r="GE153" s="561">
        <v>1526</v>
      </c>
      <c r="GF153" s="561">
        <v>703</v>
      </c>
      <c r="GG153" s="561">
        <v>0</v>
      </c>
      <c r="GH153" s="561">
        <v>0</v>
      </c>
      <c r="GI153" s="561">
        <v>0</v>
      </c>
      <c r="GJ153" s="561">
        <v>0</v>
      </c>
      <c r="GK153" s="561">
        <v>0</v>
      </c>
      <c r="GL153" s="561">
        <v>10947</v>
      </c>
      <c r="GM153" s="561">
        <v>8983</v>
      </c>
      <c r="GN153" s="561">
        <v>7630</v>
      </c>
      <c r="GO153" s="561">
        <v>0</v>
      </c>
      <c r="GP153" s="561">
        <v>1934</v>
      </c>
      <c r="GQ153" s="561">
        <v>337</v>
      </c>
      <c r="GR153" s="561">
        <v>2099</v>
      </c>
      <c r="GS153" s="561">
        <v>44797</v>
      </c>
      <c r="GT153" s="561">
        <v>169</v>
      </c>
      <c r="GU153" s="561">
        <v>419</v>
      </c>
      <c r="GV153" s="561">
        <v>307</v>
      </c>
      <c r="GW153" s="561">
        <v>475</v>
      </c>
      <c r="GX153" s="561">
        <v>-27258</v>
      </c>
      <c r="GY153" s="561">
        <v>0</v>
      </c>
      <c r="GZ153" s="561">
        <v>3294</v>
      </c>
      <c r="HA153" s="561">
        <v>0</v>
      </c>
      <c r="HB153" s="561">
        <v>0</v>
      </c>
      <c r="HC153" s="561">
        <v>11</v>
      </c>
      <c r="HD153" s="561">
        <v>-22752</v>
      </c>
      <c r="HE153" s="561">
        <v>1112</v>
      </c>
      <c r="HF153" s="561">
        <v>28012</v>
      </c>
      <c r="HG153" s="561">
        <v>1512</v>
      </c>
      <c r="HH153" s="561">
        <v>0</v>
      </c>
      <c r="HI153" s="561">
        <v>0</v>
      </c>
      <c r="HJ153" s="561">
        <v>0</v>
      </c>
      <c r="HK153" s="561">
        <v>0</v>
      </c>
      <c r="HL153" s="561">
        <v>0</v>
      </c>
      <c r="HM153" s="561">
        <v>0</v>
      </c>
      <c r="HN153" s="561">
        <v>0</v>
      </c>
      <c r="HO153" s="561">
        <v>10735</v>
      </c>
      <c r="HP153" s="561">
        <v>2249</v>
      </c>
      <c r="HQ153" s="561">
        <v>0</v>
      </c>
      <c r="HR153" s="561">
        <v>504</v>
      </c>
      <c r="HS153" s="561">
        <v>0</v>
      </c>
      <c r="HT153" s="561">
        <v>-75</v>
      </c>
      <c r="HU153" s="561">
        <v>0</v>
      </c>
      <c r="HV153" s="561">
        <v>21</v>
      </c>
      <c r="HW153" s="561">
        <v>172</v>
      </c>
      <c r="HX153" s="561">
        <v>2039</v>
      </c>
      <c r="HY153" s="561">
        <v>120</v>
      </c>
      <c r="HZ153" s="561">
        <v>-778</v>
      </c>
      <c r="IA153" s="561">
        <v>775</v>
      </c>
      <c r="IB153" s="561">
        <v>536</v>
      </c>
      <c r="IC153" s="561">
        <v>200</v>
      </c>
      <c r="ID153" s="561">
        <v>0</v>
      </c>
      <c r="IE153" s="561">
        <v>3340</v>
      </c>
      <c r="IF153" s="561">
        <v>0</v>
      </c>
      <c r="IG153" s="561">
        <v>0</v>
      </c>
      <c r="IH153" s="561">
        <v>-684</v>
      </c>
      <c r="II153" s="561">
        <v>19154</v>
      </c>
      <c r="IJ153" s="561">
        <v>3640</v>
      </c>
      <c r="IK153" s="561">
        <v>0</v>
      </c>
      <c r="IL153" s="561">
        <v>49118</v>
      </c>
      <c r="IM153" s="561">
        <v>0</v>
      </c>
      <c r="IN153" s="561">
        <v>1284</v>
      </c>
      <c r="IO153" s="561">
        <v>667</v>
      </c>
      <c r="IP153" s="561">
        <v>0</v>
      </c>
      <c r="IQ153" s="561">
        <v>0</v>
      </c>
      <c r="IR153" s="561">
        <v>133533</v>
      </c>
      <c r="IS153" s="561">
        <v>-23684</v>
      </c>
      <c r="IT153" s="561">
        <v>59147</v>
      </c>
      <c r="IU153" s="561">
        <v>97043</v>
      </c>
      <c r="IV153" s="561">
        <v>26413</v>
      </c>
      <c r="IW153" s="561">
        <v>30769</v>
      </c>
      <c r="IX153" s="561">
        <v>5967</v>
      </c>
      <c r="IY153" s="561">
        <v>44797</v>
      </c>
      <c r="IZ153" s="561">
        <v>-22752</v>
      </c>
      <c r="JA153" s="561">
        <v>0</v>
      </c>
      <c r="JB153" s="561">
        <v>0</v>
      </c>
      <c r="JC153" s="561">
        <v>19154</v>
      </c>
      <c r="JD153" s="561">
        <v>0</v>
      </c>
      <c r="JE153" s="561">
        <v>370387</v>
      </c>
      <c r="JF153" s="561">
        <v>53287</v>
      </c>
      <c r="JG153" s="561">
        <v>16092</v>
      </c>
      <c r="JH153" s="561">
        <v>25502</v>
      </c>
      <c r="JI153" s="561">
        <v>0</v>
      </c>
      <c r="JJ153" s="561">
        <v>0</v>
      </c>
      <c r="JK153" s="561">
        <v>0</v>
      </c>
      <c r="JL153" s="561">
        <v>0</v>
      </c>
      <c r="JM153" s="561">
        <v>834</v>
      </c>
      <c r="JN153" s="561">
        <v>1168</v>
      </c>
      <c r="JO153" s="561">
        <v>720</v>
      </c>
      <c r="JP153" s="561">
        <v>-281</v>
      </c>
      <c r="JQ153" s="561">
        <v>174</v>
      </c>
      <c r="JR153" s="561">
        <v>0</v>
      </c>
      <c r="JS153" s="561">
        <v>0</v>
      </c>
      <c r="JT153" s="561">
        <v>43</v>
      </c>
      <c r="JU153" s="561">
        <v>0</v>
      </c>
      <c r="JV153" s="561">
        <v>467926</v>
      </c>
      <c r="JW153" s="561">
        <v>205</v>
      </c>
      <c r="JX153" s="561">
        <v>13531</v>
      </c>
      <c r="JY153" s="561">
        <v>0</v>
      </c>
      <c r="JZ153" s="561">
        <v>0</v>
      </c>
      <c r="KA153" s="561">
        <v>0</v>
      </c>
      <c r="KB153" s="561">
        <v>11708</v>
      </c>
      <c r="KC153" s="561">
        <v>2780</v>
      </c>
      <c r="KD153" s="561">
        <v>0</v>
      </c>
      <c r="KE153" s="561">
        <v>9979</v>
      </c>
      <c r="KF153" s="561">
        <v>-13927</v>
      </c>
      <c r="KG153" s="561">
        <v>492202</v>
      </c>
      <c r="KH153" s="561">
        <v>-10889</v>
      </c>
      <c r="KI153" s="561">
        <v>1416</v>
      </c>
      <c r="KJ153" s="561">
        <v>74</v>
      </c>
      <c r="KK153" s="561">
        <v>0</v>
      </c>
      <c r="KL153" s="561">
        <v>-103595</v>
      </c>
      <c r="KM153" s="561">
        <v>0</v>
      </c>
      <c r="KN153" s="561">
        <v>-7079</v>
      </c>
      <c r="KO153" s="561">
        <v>0</v>
      </c>
      <c r="KP153" s="561">
        <v>0</v>
      </c>
      <c r="KQ153" s="561">
        <v>0</v>
      </c>
      <c r="KR153" s="561">
        <v>372129</v>
      </c>
      <c r="KS153" s="561">
        <v>0</v>
      </c>
      <c r="KT153" s="561">
        <v>-200009</v>
      </c>
      <c r="KU153" s="561">
        <v>172120</v>
      </c>
      <c r="KV153" s="561">
        <v>0</v>
      </c>
      <c r="KW153" s="561">
        <v>-1422</v>
      </c>
      <c r="KX153" s="561">
        <v>-419</v>
      </c>
      <c r="KY153" s="561">
        <v>-414</v>
      </c>
      <c r="KZ153" s="561">
        <v>16048</v>
      </c>
      <c r="LA153" s="561">
        <v>420</v>
      </c>
      <c r="LB153" s="561">
        <v>-21536</v>
      </c>
      <c r="LC153" s="561">
        <v>0</v>
      </c>
      <c r="LD153" s="561">
        <v>-84719</v>
      </c>
      <c r="LE153" s="561">
        <v>1490</v>
      </c>
      <c r="LF153" s="561">
        <v>-2743</v>
      </c>
      <c r="LG153" s="561">
        <v>78825</v>
      </c>
      <c r="LH153" s="561">
        <v>5435</v>
      </c>
      <c r="LI153" s="561">
        <v>-14505</v>
      </c>
      <c r="LJ153" s="561">
        <v>14925</v>
      </c>
      <c r="LK153" s="561">
        <v>1808</v>
      </c>
      <c r="LL153" s="561">
        <v>159385</v>
      </c>
      <c r="LM153" s="561">
        <v>21646</v>
      </c>
      <c r="LN153" s="561">
        <v>4013</v>
      </c>
      <c r="LO153" s="561">
        <v>-14505</v>
      </c>
      <c r="LP153" s="561">
        <v>14506</v>
      </c>
      <c r="LQ153" s="561">
        <v>1394</v>
      </c>
      <c r="LR153" s="561">
        <v>175433</v>
      </c>
      <c r="LS153" s="561">
        <v>22066</v>
      </c>
      <c r="LT153" s="561">
        <v>0</v>
      </c>
      <c r="LU153" s="561">
        <v>31092</v>
      </c>
      <c r="LV153" s="561">
        <v>0</v>
      </c>
      <c r="LW153" s="561">
        <v>-4049</v>
      </c>
      <c r="LX153" s="561">
        <v>-15355</v>
      </c>
      <c r="LY153" s="561">
        <v>2995</v>
      </c>
      <c r="LZ153" s="561">
        <v>12485</v>
      </c>
      <c r="MA153" s="561">
        <v>0</v>
      </c>
      <c r="MB153" s="561">
        <v>0</v>
      </c>
      <c r="MC153" s="561">
        <v>110020</v>
      </c>
      <c r="MD153" s="561">
        <v>108829</v>
      </c>
      <c r="ME153" s="561">
        <v>1191</v>
      </c>
      <c r="MF153" s="561">
        <v>15172</v>
      </c>
      <c r="MG153" s="561">
        <v>16363</v>
      </c>
      <c r="MH153" s="561">
        <v>5291</v>
      </c>
      <c r="MI153" s="561">
        <v>8642</v>
      </c>
      <c r="MJ153" s="561">
        <v>13933</v>
      </c>
      <c r="MK153" s="561">
        <v>0</v>
      </c>
      <c r="ML153" s="561">
        <v>0</v>
      </c>
      <c r="MM153" s="561">
        <v>126624</v>
      </c>
      <c r="MN153" s="561">
        <v>15060</v>
      </c>
      <c r="MO153" s="561">
        <v>33749</v>
      </c>
      <c r="MP153" s="561">
        <v>0</v>
      </c>
      <c r="MQ153" s="561">
        <v>133533</v>
      </c>
      <c r="MR153" s="561">
        <v>-23684</v>
      </c>
      <c r="MS153" s="561">
        <v>59147</v>
      </c>
      <c r="MT153" s="561">
        <v>97043</v>
      </c>
      <c r="MU153" s="561">
        <v>26413</v>
      </c>
      <c r="MV153" s="561">
        <v>30769</v>
      </c>
      <c r="MW153" s="561">
        <v>5967</v>
      </c>
      <c r="MX153" s="561">
        <v>44797</v>
      </c>
      <c r="MY153" s="561">
        <v>-22752</v>
      </c>
      <c r="MZ153" s="561">
        <v>0</v>
      </c>
      <c r="NA153" s="561">
        <v>0</v>
      </c>
      <c r="NB153" s="561">
        <v>19154</v>
      </c>
      <c r="NC153" s="561">
        <v>0</v>
      </c>
      <c r="ND153" s="561">
        <v>370387</v>
      </c>
      <c r="NE153" s="561">
        <v>0</v>
      </c>
      <c r="NF153" s="561">
        <v>0</v>
      </c>
      <c r="NG153" s="561">
        <v>0</v>
      </c>
      <c r="NH153" s="561">
        <v>0</v>
      </c>
      <c r="NI153" s="561">
        <v>0</v>
      </c>
      <c r="NJ153" s="561">
        <v>0</v>
      </c>
      <c r="NK153" s="561">
        <v>0</v>
      </c>
      <c r="NL153" s="561">
        <v>0</v>
      </c>
      <c r="NM153" s="561">
        <v>0</v>
      </c>
      <c r="NN153" s="561">
        <v>0</v>
      </c>
      <c r="NO153" s="561">
        <v>0</v>
      </c>
      <c r="NP153" s="561">
        <v>0</v>
      </c>
      <c r="NQ153" s="561">
        <v>-281</v>
      </c>
      <c r="NR153" s="561">
        <v>0</v>
      </c>
      <c r="NS153" s="561">
        <v>0</v>
      </c>
      <c r="NT153" s="561">
        <v>0</v>
      </c>
      <c r="NU153" s="561">
        <v>63</v>
      </c>
      <c r="NV153" s="561">
        <v>0</v>
      </c>
      <c r="NW153" s="561">
        <v>-281</v>
      </c>
      <c r="NX153" s="561">
        <v>0</v>
      </c>
      <c r="NY153" s="561">
        <v>-281</v>
      </c>
      <c r="NZ153" s="561">
        <v>0</v>
      </c>
      <c r="OA153" s="561">
        <v>0</v>
      </c>
      <c r="OB153" s="561">
        <v>-1</v>
      </c>
      <c r="OC153" s="561">
        <v>0</v>
      </c>
      <c r="OD153" s="561">
        <v>0</v>
      </c>
      <c r="OE153" s="561">
        <v>0</v>
      </c>
      <c r="OF153" s="561">
        <v>0</v>
      </c>
      <c r="OG153" s="561">
        <v>0</v>
      </c>
      <c r="OH153" s="561">
        <v>0</v>
      </c>
      <c r="OI153" s="561">
        <v>0</v>
      </c>
      <c r="OJ153" s="561">
        <v>0</v>
      </c>
      <c r="OK153" s="561">
        <v>0</v>
      </c>
      <c r="OL153" s="561">
        <v>0</v>
      </c>
      <c r="OM153" s="561">
        <v>-3</v>
      </c>
      <c r="ON153" s="561">
        <v>0</v>
      </c>
      <c r="OO153" s="561">
        <v>0</v>
      </c>
      <c r="OP153" s="561">
        <v>0</v>
      </c>
      <c r="OQ153" s="561">
        <v>0</v>
      </c>
      <c r="OR153" s="561">
        <v>0</v>
      </c>
      <c r="OS153" s="561">
        <v>178</v>
      </c>
      <c r="OT153" s="561">
        <v>0</v>
      </c>
      <c r="OU153" s="561">
        <v>0</v>
      </c>
      <c r="OV153" s="561">
        <v>-1</v>
      </c>
      <c r="OW153" s="561">
        <v>0</v>
      </c>
      <c r="OX153" s="561">
        <v>174</v>
      </c>
      <c r="OY153" s="561">
        <v>0</v>
      </c>
      <c r="OZ153" s="561">
        <v>0</v>
      </c>
      <c r="PA153" s="561">
        <v>0</v>
      </c>
      <c r="PB153" s="561">
        <v>0</v>
      </c>
      <c r="PC153" s="561">
        <v>0</v>
      </c>
      <c r="PD153" s="561">
        <v>0</v>
      </c>
      <c r="PE153" s="561">
        <v>0</v>
      </c>
      <c r="PF153" s="561">
        <v>0</v>
      </c>
      <c r="PG153" s="561">
        <v>0</v>
      </c>
      <c r="PH153" s="561">
        <v>0</v>
      </c>
      <c r="PI153" s="561">
        <v>0</v>
      </c>
      <c r="PJ153" s="561">
        <v>0</v>
      </c>
    </row>
    <row r="154" spans="1:426" ht="14" x14ac:dyDescent="0.3">
      <c r="A154" t="s">
        <v>2900</v>
      </c>
      <c r="B154" t="s">
        <v>2901</v>
      </c>
      <c r="C154" t="s">
        <v>2902</v>
      </c>
      <c r="E154" t="s">
        <v>2466</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61">
        <v>0</v>
      </c>
      <c r="U154" s="561">
        <v>0</v>
      </c>
      <c r="V154" s="561">
        <v>0</v>
      </c>
      <c r="W154" s="561">
        <v>0</v>
      </c>
      <c r="X154" s="561">
        <v>0</v>
      </c>
      <c r="Y154" s="561">
        <v>0</v>
      </c>
      <c r="Z154" s="561">
        <v>0</v>
      </c>
      <c r="AA154" s="561">
        <v>0</v>
      </c>
      <c r="AB154" s="561">
        <v>0</v>
      </c>
      <c r="AC154" s="561">
        <v>0</v>
      </c>
      <c r="AD154" s="561">
        <v>0</v>
      </c>
      <c r="AE154" s="561">
        <v>0</v>
      </c>
      <c r="AF154" s="561">
        <v>0</v>
      </c>
      <c r="AG154" s="561">
        <v>0</v>
      </c>
      <c r="AH154" s="561">
        <v>0</v>
      </c>
      <c r="AI154" s="561">
        <v>0</v>
      </c>
      <c r="AJ154" s="561">
        <v>0</v>
      </c>
      <c r="AK154" s="561">
        <v>0</v>
      </c>
      <c r="AL154" s="561">
        <v>0</v>
      </c>
      <c r="AM154" s="561">
        <v>0</v>
      </c>
      <c r="AN154" s="561">
        <v>0</v>
      </c>
      <c r="AO154" s="561">
        <v>0</v>
      </c>
      <c r="AP154" s="561">
        <v>0</v>
      </c>
      <c r="AQ154" s="561">
        <v>0</v>
      </c>
      <c r="AR154" s="561">
        <v>0</v>
      </c>
      <c r="AS154" s="561">
        <v>0</v>
      </c>
      <c r="AT154" s="561">
        <v>0</v>
      </c>
      <c r="AU154" s="561">
        <v>0</v>
      </c>
      <c r="AV154" s="561">
        <v>0</v>
      </c>
      <c r="AW154" s="561">
        <v>0</v>
      </c>
      <c r="AX154" s="561">
        <v>0</v>
      </c>
      <c r="AY154" s="561">
        <v>0</v>
      </c>
      <c r="AZ154" s="561">
        <v>0</v>
      </c>
      <c r="BA154" s="561">
        <v>0</v>
      </c>
      <c r="BB154" s="561">
        <v>0</v>
      </c>
      <c r="BC154" s="561">
        <v>0</v>
      </c>
      <c r="BD154" s="561">
        <v>0</v>
      </c>
      <c r="BE154" s="561">
        <v>0</v>
      </c>
      <c r="BF154" s="561">
        <v>0</v>
      </c>
      <c r="BG154" s="561">
        <v>0</v>
      </c>
      <c r="BH154" s="561">
        <v>0</v>
      </c>
      <c r="BI154" s="561">
        <v>0</v>
      </c>
      <c r="BJ154" s="561">
        <v>0</v>
      </c>
      <c r="BK154" s="561">
        <v>0</v>
      </c>
      <c r="BL154" s="561">
        <v>0</v>
      </c>
      <c r="BM154" s="561">
        <v>0</v>
      </c>
      <c r="BN154" s="561">
        <v>0</v>
      </c>
      <c r="BO154" s="561">
        <v>0</v>
      </c>
      <c r="BP154" s="561">
        <v>0</v>
      </c>
      <c r="BQ154" s="561">
        <v>0</v>
      </c>
      <c r="BR154" s="561">
        <v>0</v>
      </c>
      <c r="BS154" s="561">
        <v>0</v>
      </c>
      <c r="BT154" s="561">
        <v>0</v>
      </c>
      <c r="BU154" s="561">
        <v>0</v>
      </c>
      <c r="BV154" s="561">
        <v>0</v>
      </c>
      <c r="BW154" s="561">
        <v>0</v>
      </c>
      <c r="BX154" s="561">
        <v>0</v>
      </c>
      <c r="BY154" s="561">
        <v>0</v>
      </c>
      <c r="BZ154" s="561">
        <v>0</v>
      </c>
      <c r="CA154" s="561">
        <v>0</v>
      </c>
      <c r="CB154" s="561">
        <v>0</v>
      </c>
      <c r="CC154" s="561">
        <v>0</v>
      </c>
      <c r="CD154" s="561">
        <v>0</v>
      </c>
      <c r="CE154" s="561">
        <v>0</v>
      </c>
      <c r="CF154" s="561">
        <v>0</v>
      </c>
      <c r="CG154" s="561">
        <v>0</v>
      </c>
      <c r="CH154" s="561">
        <v>0</v>
      </c>
      <c r="CI154" s="561">
        <v>0</v>
      </c>
      <c r="CJ154" s="561">
        <v>0</v>
      </c>
      <c r="CK154" s="561">
        <v>0</v>
      </c>
      <c r="CL154" s="561">
        <v>0</v>
      </c>
      <c r="CM154" s="561">
        <v>0</v>
      </c>
      <c r="CN154" s="561">
        <v>0</v>
      </c>
      <c r="CO154" s="561">
        <v>0</v>
      </c>
      <c r="CP154" s="561">
        <v>0</v>
      </c>
      <c r="CQ154" s="561">
        <v>0</v>
      </c>
      <c r="CR154" s="561">
        <v>0</v>
      </c>
      <c r="CS154" s="561">
        <v>0</v>
      </c>
      <c r="CT154" s="561">
        <v>0</v>
      </c>
      <c r="CU154" s="561">
        <v>0</v>
      </c>
      <c r="CV154" s="561">
        <v>0</v>
      </c>
      <c r="CW154" s="561">
        <v>0</v>
      </c>
      <c r="CX154" s="561">
        <v>0</v>
      </c>
      <c r="CY154" s="561">
        <v>0</v>
      </c>
      <c r="CZ154" s="561">
        <v>0</v>
      </c>
      <c r="DA154" s="561">
        <v>0</v>
      </c>
      <c r="DB154" s="561">
        <v>0</v>
      </c>
      <c r="DC154" s="561">
        <v>0</v>
      </c>
      <c r="DD154" s="561">
        <v>0</v>
      </c>
      <c r="DE154" s="561">
        <v>0</v>
      </c>
      <c r="DF154" s="561">
        <v>0</v>
      </c>
      <c r="DG154" s="561">
        <v>0</v>
      </c>
      <c r="DH154" s="561">
        <v>0</v>
      </c>
      <c r="DI154" s="561">
        <v>0</v>
      </c>
      <c r="DJ154" s="561">
        <v>0</v>
      </c>
      <c r="DK154" s="561">
        <v>0</v>
      </c>
      <c r="DL154" s="561">
        <v>0</v>
      </c>
      <c r="DM154" s="561">
        <v>0</v>
      </c>
      <c r="DN154" s="561">
        <v>0</v>
      </c>
      <c r="DO154" s="561">
        <v>0</v>
      </c>
      <c r="DP154" s="561">
        <v>0</v>
      </c>
      <c r="DQ154" s="561">
        <v>0</v>
      </c>
      <c r="DR154" s="561">
        <v>0</v>
      </c>
      <c r="DS154" s="561">
        <v>0</v>
      </c>
      <c r="DT154" s="561">
        <v>0</v>
      </c>
      <c r="DU154" s="561">
        <v>0</v>
      </c>
      <c r="DV154" s="561">
        <v>0</v>
      </c>
      <c r="DW154" s="561">
        <v>0</v>
      </c>
      <c r="DX154" s="561">
        <v>0</v>
      </c>
      <c r="DY154" s="561">
        <v>0</v>
      </c>
      <c r="DZ154" s="561">
        <v>0</v>
      </c>
      <c r="EA154" s="561">
        <v>0</v>
      </c>
      <c r="EB154" s="561">
        <v>0</v>
      </c>
      <c r="EC154" s="561">
        <v>0</v>
      </c>
      <c r="ED154" s="561">
        <v>0</v>
      </c>
      <c r="EE154" s="561">
        <v>0</v>
      </c>
      <c r="EF154" s="561">
        <v>0</v>
      </c>
      <c r="EG154" s="561">
        <v>0</v>
      </c>
      <c r="EH154" s="561">
        <v>0</v>
      </c>
      <c r="EI154" s="561">
        <v>0</v>
      </c>
      <c r="EJ154" s="561">
        <v>0</v>
      </c>
      <c r="EK154" s="561">
        <v>0</v>
      </c>
      <c r="EL154" s="561">
        <v>0</v>
      </c>
      <c r="EM154" s="561">
        <v>0</v>
      </c>
      <c r="EN154" s="561">
        <v>0</v>
      </c>
      <c r="EO154" s="561">
        <v>0</v>
      </c>
      <c r="EP154" s="561">
        <v>0</v>
      </c>
      <c r="EQ154" s="561">
        <v>0</v>
      </c>
      <c r="ER154" s="561">
        <v>0</v>
      </c>
      <c r="ES154" s="561" t="s">
        <v>4565</v>
      </c>
      <c r="ET154" s="561">
        <v>0</v>
      </c>
      <c r="EU154" s="561">
        <v>0</v>
      </c>
      <c r="EV154" s="561">
        <v>0</v>
      </c>
      <c r="EW154" s="561">
        <v>0</v>
      </c>
      <c r="EX154" s="561">
        <v>0</v>
      </c>
      <c r="EY154" s="561">
        <v>0</v>
      </c>
      <c r="EZ154" s="561">
        <v>0</v>
      </c>
      <c r="FA154" s="561">
        <v>0</v>
      </c>
      <c r="FB154" s="561">
        <v>0</v>
      </c>
      <c r="FC154" s="561">
        <v>0</v>
      </c>
      <c r="FD154" s="561">
        <v>0</v>
      </c>
      <c r="FE154" s="561">
        <v>0</v>
      </c>
      <c r="FF154" s="561">
        <v>0</v>
      </c>
      <c r="FG154" s="561">
        <v>0</v>
      </c>
      <c r="FH154" s="561">
        <v>0</v>
      </c>
      <c r="FI154" s="561">
        <v>0</v>
      </c>
      <c r="FJ154" s="561">
        <v>0</v>
      </c>
      <c r="FK154" s="561">
        <v>0</v>
      </c>
      <c r="FL154" s="561">
        <v>0</v>
      </c>
      <c r="FM154" s="561">
        <v>0</v>
      </c>
      <c r="FN154" s="561">
        <v>0</v>
      </c>
      <c r="FO154" s="561">
        <v>0</v>
      </c>
      <c r="FP154" s="561">
        <v>0</v>
      </c>
      <c r="FQ154" s="561">
        <v>0</v>
      </c>
      <c r="FR154" s="561">
        <v>0</v>
      </c>
      <c r="FS154" s="561">
        <v>0</v>
      </c>
      <c r="FT154" s="561">
        <v>0</v>
      </c>
      <c r="FU154" s="561">
        <v>0</v>
      </c>
      <c r="FV154" s="561">
        <v>0</v>
      </c>
      <c r="FW154" s="561">
        <v>0</v>
      </c>
      <c r="FX154" s="561">
        <v>0</v>
      </c>
      <c r="FY154" s="561">
        <v>0</v>
      </c>
      <c r="FZ154" s="561">
        <v>0</v>
      </c>
      <c r="GA154" s="561">
        <v>0</v>
      </c>
      <c r="GB154" s="561">
        <v>0</v>
      </c>
      <c r="GC154" s="561">
        <v>0</v>
      </c>
      <c r="GD154" s="561">
        <v>0</v>
      </c>
      <c r="GE154" s="561">
        <v>0</v>
      </c>
      <c r="GF154" s="561">
        <v>0</v>
      </c>
      <c r="GG154" s="561">
        <v>0</v>
      </c>
      <c r="GH154" s="561">
        <v>0</v>
      </c>
      <c r="GI154" s="561">
        <v>0</v>
      </c>
      <c r="GJ154" s="561">
        <v>0</v>
      </c>
      <c r="GK154" s="561">
        <v>0</v>
      </c>
      <c r="GL154" s="561">
        <v>0</v>
      </c>
      <c r="GM154" s="561">
        <v>0</v>
      </c>
      <c r="GN154" s="561">
        <v>0</v>
      </c>
      <c r="GO154" s="561">
        <v>0</v>
      </c>
      <c r="GP154" s="561">
        <v>0</v>
      </c>
      <c r="GQ154" s="561">
        <v>0</v>
      </c>
      <c r="GR154" s="561">
        <v>0</v>
      </c>
      <c r="GS154" s="561">
        <v>0</v>
      </c>
      <c r="GT154" s="561">
        <v>0</v>
      </c>
      <c r="GU154" s="561">
        <v>0</v>
      </c>
      <c r="GV154" s="561">
        <v>0</v>
      </c>
      <c r="GW154" s="561">
        <v>0</v>
      </c>
      <c r="GX154" s="561">
        <v>0</v>
      </c>
      <c r="GY154" s="561">
        <v>0</v>
      </c>
      <c r="GZ154" s="561">
        <v>0</v>
      </c>
      <c r="HA154" s="561">
        <v>0</v>
      </c>
      <c r="HB154" s="561">
        <v>0</v>
      </c>
      <c r="HC154" s="561">
        <v>0</v>
      </c>
      <c r="HD154" s="561">
        <v>0</v>
      </c>
      <c r="HE154" s="561">
        <v>0</v>
      </c>
      <c r="HF154" s="561">
        <v>0</v>
      </c>
      <c r="HG154" s="561">
        <v>0</v>
      </c>
      <c r="HH154" s="561">
        <v>0</v>
      </c>
      <c r="HI154" s="561">
        <v>0</v>
      </c>
      <c r="HJ154" s="561">
        <v>5046</v>
      </c>
      <c r="HK154" s="561">
        <v>86262</v>
      </c>
      <c r="HL154" s="561">
        <v>496</v>
      </c>
      <c r="HM154" s="561">
        <v>91804</v>
      </c>
      <c r="HN154" s="561">
        <v>147</v>
      </c>
      <c r="HO154" s="561">
        <v>708</v>
      </c>
      <c r="HP154" s="561">
        <v>0</v>
      </c>
      <c r="HQ154" s="561">
        <v>0</v>
      </c>
      <c r="HR154" s="561">
        <v>0</v>
      </c>
      <c r="HS154" s="561">
        <v>0</v>
      </c>
      <c r="HT154" s="561">
        <v>0</v>
      </c>
      <c r="HU154" s="561">
        <v>0</v>
      </c>
      <c r="HV154" s="561">
        <v>0</v>
      </c>
      <c r="HW154" s="561">
        <v>0</v>
      </c>
      <c r="HX154" s="561">
        <v>0</v>
      </c>
      <c r="HY154" s="561">
        <v>0</v>
      </c>
      <c r="HZ154" s="561">
        <v>0</v>
      </c>
      <c r="IA154" s="561">
        <v>0</v>
      </c>
      <c r="IB154" s="561">
        <v>0</v>
      </c>
      <c r="IC154" s="561">
        <v>0</v>
      </c>
      <c r="ID154" s="561">
        <v>0</v>
      </c>
      <c r="IE154" s="561">
        <v>0</v>
      </c>
      <c r="IF154" s="561">
        <v>0</v>
      </c>
      <c r="IG154" s="561">
        <v>0</v>
      </c>
      <c r="IH154" s="561">
        <v>0</v>
      </c>
      <c r="II154" s="561">
        <v>708</v>
      </c>
      <c r="IJ154" s="561">
        <v>0</v>
      </c>
      <c r="IK154" s="561">
        <v>0</v>
      </c>
      <c r="IL154" s="561">
        <v>0</v>
      </c>
      <c r="IM154" s="561">
        <v>0</v>
      </c>
      <c r="IN154" s="561">
        <v>0</v>
      </c>
      <c r="IO154" s="561">
        <v>0</v>
      </c>
      <c r="IP154" s="561">
        <v>0</v>
      </c>
      <c r="IQ154" s="561">
        <v>0</v>
      </c>
      <c r="IR154" s="561">
        <v>0</v>
      </c>
      <c r="IS154" s="561">
        <v>0</v>
      </c>
      <c r="IT154" s="561">
        <v>0</v>
      </c>
      <c r="IU154" s="561">
        <v>0</v>
      </c>
      <c r="IV154" s="561">
        <v>0</v>
      </c>
      <c r="IW154" s="561">
        <v>0</v>
      </c>
      <c r="IX154" s="561">
        <v>0</v>
      </c>
      <c r="IY154" s="561">
        <v>0</v>
      </c>
      <c r="IZ154" s="561">
        <v>0</v>
      </c>
      <c r="JA154" s="561">
        <v>0</v>
      </c>
      <c r="JB154" s="561">
        <v>91804</v>
      </c>
      <c r="JC154" s="561">
        <v>708</v>
      </c>
      <c r="JD154" s="561">
        <v>0</v>
      </c>
      <c r="JE154" s="561">
        <v>92512</v>
      </c>
      <c r="JF154" s="561">
        <v>0</v>
      </c>
      <c r="JG154" s="561">
        <v>0</v>
      </c>
      <c r="JH154" s="561">
        <v>0</v>
      </c>
      <c r="JI154" s="561">
        <v>0</v>
      </c>
      <c r="JJ154" s="561">
        <v>0</v>
      </c>
      <c r="JK154" s="561">
        <v>0</v>
      </c>
      <c r="JL154" s="561">
        <v>0</v>
      </c>
      <c r="JM154" s="561">
        <v>0</v>
      </c>
      <c r="JN154" s="561">
        <v>0</v>
      </c>
      <c r="JO154" s="561">
        <v>247</v>
      </c>
      <c r="JP154" s="561">
        <v>0</v>
      </c>
      <c r="JQ154" s="561">
        <v>0</v>
      </c>
      <c r="JR154" s="561">
        <v>0</v>
      </c>
      <c r="JS154" s="561">
        <v>0</v>
      </c>
      <c r="JT154" s="561">
        <v>0</v>
      </c>
      <c r="JU154" s="561">
        <v>0</v>
      </c>
      <c r="JV154" s="561">
        <v>92759</v>
      </c>
      <c r="JW154" s="561">
        <v>0</v>
      </c>
      <c r="JX154" s="561">
        <v>10421</v>
      </c>
      <c r="JY154" s="561">
        <v>0</v>
      </c>
      <c r="JZ154" s="561">
        <v>0</v>
      </c>
      <c r="KA154" s="561">
        <v>0</v>
      </c>
      <c r="KB154" s="561">
        <v>0</v>
      </c>
      <c r="KC154" s="561">
        <v>729</v>
      </c>
      <c r="KD154" s="561">
        <v>0</v>
      </c>
      <c r="KE154" s="561">
        <v>722</v>
      </c>
      <c r="KF154" s="561">
        <v>0</v>
      </c>
      <c r="KG154" s="561">
        <v>104631</v>
      </c>
      <c r="KH154" s="561">
        <v>-1513</v>
      </c>
      <c r="KI154" s="561">
        <v>0</v>
      </c>
      <c r="KJ154" s="561">
        <v>0</v>
      </c>
      <c r="KK154" s="561">
        <v>0</v>
      </c>
      <c r="KL154" s="561">
        <v>-473</v>
      </c>
      <c r="KM154" s="561">
        <v>0</v>
      </c>
      <c r="KN154" s="561">
        <v>0</v>
      </c>
      <c r="KO154" s="561">
        <v>0</v>
      </c>
      <c r="KP154" s="561">
        <v>0</v>
      </c>
      <c r="KQ154" s="561">
        <v>0</v>
      </c>
      <c r="KR154" s="561">
        <v>102645</v>
      </c>
      <c r="KS154" s="561">
        <v>0</v>
      </c>
      <c r="KT154" s="561">
        <v>-10910</v>
      </c>
      <c r="KU154" s="561">
        <v>91735</v>
      </c>
      <c r="KV154" s="561">
        <v>0</v>
      </c>
      <c r="KW154" s="561">
        <v>0</v>
      </c>
      <c r="KX154" s="561">
        <v>0</v>
      </c>
      <c r="KY154" s="561">
        <v>0</v>
      </c>
      <c r="KZ154" s="561">
        <v>-15</v>
      </c>
      <c r="LA154" s="561">
        <v>0</v>
      </c>
      <c r="LB154" s="561">
        <v>-13787</v>
      </c>
      <c r="LC154" s="561">
        <v>0</v>
      </c>
      <c r="LD154" s="561">
        <v>-17927</v>
      </c>
      <c r="LE154" s="561">
        <v>-473</v>
      </c>
      <c r="LF154" s="561">
        <v>0</v>
      </c>
      <c r="LG154" s="561">
        <v>59533</v>
      </c>
      <c r="LH154" s="561">
        <v>0</v>
      </c>
      <c r="LI154" s="561">
        <v>0</v>
      </c>
      <c r="LJ154" s="561">
        <v>0</v>
      </c>
      <c r="LK154" s="561">
        <v>0</v>
      </c>
      <c r="LL154" s="561">
        <v>29286</v>
      </c>
      <c r="LM154" s="561">
        <v>2500</v>
      </c>
      <c r="LN154" s="561">
        <v>0</v>
      </c>
      <c r="LO154" s="561">
        <v>0</v>
      </c>
      <c r="LP154" s="561">
        <v>0</v>
      </c>
      <c r="LQ154" s="561">
        <v>0</v>
      </c>
      <c r="LR154" s="561">
        <v>29271</v>
      </c>
      <c r="LS154" s="561">
        <v>2500</v>
      </c>
      <c r="LT154" s="561">
        <v>0</v>
      </c>
      <c r="LU154" s="561">
        <v>7440</v>
      </c>
      <c r="LV154" s="561">
        <v>165</v>
      </c>
      <c r="LW154" s="561">
        <v>1</v>
      </c>
      <c r="LX154" s="561">
        <v>-370</v>
      </c>
      <c r="LY154" s="561">
        <v>0</v>
      </c>
      <c r="LZ154" s="561">
        <v>6882</v>
      </c>
      <c r="MA154" s="561">
        <v>0</v>
      </c>
      <c r="MB154" s="561">
        <v>0</v>
      </c>
      <c r="MC154" s="561">
        <v>0</v>
      </c>
      <c r="MD154" s="561">
        <v>0</v>
      </c>
      <c r="ME154" s="561">
        <v>0</v>
      </c>
      <c r="MF154" s="561">
        <v>0</v>
      </c>
      <c r="MG154" s="561">
        <v>0</v>
      </c>
      <c r="MH154" s="561">
        <v>0</v>
      </c>
      <c r="MI154" s="561">
        <v>0</v>
      </c>
      <c r="MJ154" s="561">
        <v>0</v>
      </c>
      <c r="MK154" s="561">
        <v>0</v>
      </c>
      <c r="ML154" s="561">
        <v>0</v>
      </c>
      <c r="MM154" s="561">
        <v>24688</v>
      </c>
      <c r="MN154" s="561">
        <v>502</v>
      </c>
      <c r="MO154" s="561">
        <v>4081</v>
      </c>
      <c r="MP154" s="561">
        <v>0</v>
      </c>
      <c r="MQ154" s="561">
        <v>0</v>
      </c>
      <c r="MR154" s="561">
        <v>0</v>
      </c>
      <c r="MS154" s="561">
        <v>0</v>
      </c>
      <c r="MT154" s="561">
        <v>0</v>
      </c>
      <c r="MU154" s="561">
        <v>0</v>
      </c>
      <c r="MV154" s="561">
        <v>0</v>
      </c>
      <c r="MW154" s="561">
        <v>0</v>
      </c>
      <c r="MX154" s="561">
        <v>0</v>
      </c>
      <c r="MY154" s="561">
        <v>0</v>
      </c>
      <c r="MZ154" s="561">
        <v>0</v>
      </c>
      <c r="NA154" s="561">
        <v>91804</v>
      </c>
      <c r="NB154" s="561">
        <v>708</v>
      </c>
      <c r="NC154" s="561">
        <v>0</v>
      </c>
      <c r="ND154" s="561">
        <v>92512</v>
      </c>
      <c r="NE154" s="561">
        <v>0</v>
      </c>
      <c r="NF154" s="561">
        <v>0</v>
      </c>
      <c r="NG154" s="561">
        <v>0</v>
      </c>
      <c r="NH154" s="561">
        <v>0</v>
      </c>
      <c r="NI154" s="561">
        <v>0</v>
      </c>
      <c r="NJ154" s="561">
        <v>0</v>
      </c>
      <c r="NK154" s="561">
        <v>0</v>
      </c>
      <c r="NL154" s="561">
        <v>0</v>
      </c>
      <c r="NM154" s="561">
        <v>0</v>
      </c>
      <c r="NN154" s="561">
        <v>0</v>
      </c>
      <c r="NO154" s="561">
        <v>0</v>
      </c>
      <c r="NP154" s="561">
        <v>0</v>
      </c>
      <c r="NQ154" s="561">
        <v>0</v>
      </c>
      <c r="NR154" s="561">
        <v>0</v>
      </c>
      <c r="NS154" s="561">
        <v>0</v>
      </c>
      <c r="NT154" s="561">
        <v>0</v>
      </c>
      <c r="NU154" s="561">
        <v>0</v>
      </c>
      <c r="NV154" s="561">
        <v>0</v>
      </c>
      <c r="NW154" s="561">
        <v>0</v>
      </c>
      <c r="NX154" s="561">
        <v>0</v>
      </c>
      <c r="NY154" s="561">
        <v>0</v>
      </c>
      <c r="NZ154" s="561">
        <v>0</v>
      </c>
      <c r="OA154" s="561">
        <v>0</v>
      </c>
      <c r="OB154" s="561">
        <v>0</v>
      </c>
      <c r="OC154" s="561">
        <v>0</v>
      </c>
      <c r="OD154" s="561">
        <v>0</v>
      </c>
      <c r="OE154" s="561">
        <v>0</v>
      </c>
      <c r="OF154" s="561">
        <v>0</v>
      </c>
      <c r="OG154" s="561">
        <v>0</v>
      </c>
      <c r="OH154" s="561">
        <v>0</v>
      </c>
      <c r="OI154" s="561">
        <v>0</v>
      </c>
      <c r="OJ154" s="561">
        <v>0</v>
      </c>
      <c r="OK154" s="561">
        <v>0</v>
      </c>
      <c r="OL154" s="561">
        <v>0</v>
      </c>
      <c r="OM154" s="561">
        <v>0</v>
      </c>
      <c r="ON154" s="561">
        <v>0</v>
      </c>
      <c r="OO154" s="561">
        <v>0</v>
      </c>
      <c r="OP154" s="561">
        <v>0</v>
      </c>
      <c r="OQ154" s="561">
        <v>0</v>
      </c>
      <c r="OR154" s="561">
        <v>0</v>
      </c>
      <c r="OS154" s="561">
        <v>0</v>
      </c>
      <c r="OT154" s="561">
        <v>0</v>
      </c>
      <c r="OU154" s="561">
        <v>0</v>
      </c>
      <c r="OV154" s="561">
        <v>-2172</v>
      </c>
      <c r="OW154" s="561">
        <v>0</v>
      </c>
      <c r="OX154" s="561">
        <v>0</v>
      </c>
      <c r="OY154" s="561">
        <v>0</v>
      </c>
      <c r="OZ154" s="561">
        <v>0</v>
      </c>
      <c r="PA154" s="561">
        <v>0</v>
      </c>
      <c r="PB154" s="561">
        <v>0</v>
      </c>
      <c r="PC154" s="561">
        <v>0</v>
      </c>
      <c r="PD154" s="561">
        <v>0</v>
      </c>
      <c r="PE154" s="561">
        <v>0</v>
      </c>
      <c r="PF154" s="561">
        <v>0</v>
      </c>
      <c r="PG154" s="561">
        <v>0</v>
      </c>
      <c r="PH154" s="561">
        <v>0</v>
      </c>
      <c r="PI154" s="561">
        <v>0</v>
      </c>
      <c r="PJ154" s="561">
        <v>0</v>
      </c>
    </row>
    <row r="155" spans="1:426" ht="14" x14ac:dyDescent="0.3">
      <c r="A155" t="s">
        <v>2897</v>
      </c>
      <c r="B155" t="s">
        <v>2898</v>
      </c>
      <c r="C155" t="s">
        <v>4605</v>
      </c>
      <c r="E155" t="s">
        <v>2595</v>
      </c>
      <c r="F155" s="561">
        <v>155553</v>
      </c>
      <c r="G155" s="561">
        <v>633345</v>
      </c>
      <c r="H155" s="561">
        <v>256426</v>
      </c>
      <c r="I155" s="561">
        <v>190143</v>
      </c>
      <c r="J155" s="561">
        <v>23563</v>
      </c>
      <c r="K155" s="561">
        <v>116871</v>
      </c>
      <c r="L155" s="561">
        <v>1375901</v>
      </c>
      <c r="M155" s="561">
        <v>17220</v>
      </c>
      <c r="N155" s="561">
        <v>-541</v>
      </c>
      <c r="O155" s="561">
        <v>575</v>
      </c>
      <c r="P155" s="561">
        <v>-48</v>
      </c>
      <c r="Q155" s="561">
        <v>99</v>
      </c>
      <c r="R155" s="561">
        <v>0</v>
      </c>
      <c r="S155" s="561">
        <v>15200</v>
      </c>
      <c r="T155" s="561">
        <v>19343</v>
      </c>
      <c r="U155" s="561">
        <v>5530</v>
      </c>
      <c r="V155" s="561">
        <v>13071</v>
      </c>
      <c r="W155" s="561">
        <v>0</v>
      </c>
      <c r="X155" s="561">
        <v>0</v>
      </c>
      <c r="Y155" s="561">
        <v>1791</v>
      </c>
      <c r="Z155" s="561">
        <v>1243</v>
      </c>
      <c r="AA155" s="561">
        <v>-470</v>
      </c>
      <c r="AB155" s="561">
        <v>18</v>
      </c>
      <c r="AC155" s="561">
        <v>11131</v>
      </c>
      <c r="AD155" s="561">
        <v>169</v>
      </c>
      <c r="AE155" s="561">
        <v>8520</v>
      </c>
      <c r="AF155" s="561">
        <v>0</v>
      </c>
      <c r="AG155" s="561">
        <v>108</v>
      </c>
      <c r="AH155" s="561">
        <v>1029</v>
      </c>
      <c r="AI155" s="561">
        <v>0</v>
      </c>
      <c r="AJ155" s="561">
        <v>76768</v>
      </c>
      <c r="AK155" s="561">
        <v>9076</v>
      </c>
      <c r="AL155" s="561">
        <v>0</v>
      </c>
      <c r="AM155" s="561">
        <v>0</v>
      </c>
      <c r="AN155" s="561">
        <v>0</v>
      </c>
      <c r="AO155" s="561">
        <v>0</v>
      </c>
      <c r="AP155" s="561">
        <v>0</v>
      </c>
      <c r="AQ155" s="561">
        <v>0</v>
      </c>
      <c r="AR155" s="561">
        <v>0</v>
      </c>
      <c r="AS155" s="561">
        <v>2449</v>
      </c>
      <c r="AT155" s="561">
        <v>2355</v>
      </c>
      <c r="AU155" s="561">
        <v>0</v>
      </c>
      <c r="AV155" s="561">
        <v>0</v>
      </c>
      <c r="AW155" s="561">
        <v>0</v>
      </c>
      <c r="AX155" s="561">
        <v>1589</v>
      </c>
      <c r="AY155" s="561">
        <v>204595</v>
      </c>
      <c r="AZ155" s="561">
        <v>1023</v>
      </c>
      <c r="BA155" s="561">
        <v>43573</v>
      </c>
      <c r="BB155" s="561">
        <v>2778</v>
      </c>
      <c r="BC155" s="561">
        <v>55495</v>
      </c>
      <c r="BD155" s="561">
        <v>1357</v>
      </c>
      <c r="BE155" s="561">
        <v>4142</v>
      </c>
      <c r="BF155" s="561">
        <v>314552</v>
      </c>
      <c r="BG155" s="561">
        <v>19419</v>
      </c>
      <c r="BH155" s="561">
        <v>43697</v>
      </c>
      <c r="BI155" s="561">
        <v>221213</v>
      </c>
      <c r="BJ155" s="561">
        <v>1631</v>
      </c>
      <c r="BK155" s="561">
        <v>100</v>
      </c>
      <c r="BL155" s="561">
        <v>3563</v>
      </c>
      <c r="BM155" s="561">
        <v>66777</v>
      </c>
      <c r="BN155" s="561">
        <v>150771</v>
      </c>
      <c r="BO155" s="561">
        <v>20904</v>
      </c>
      <c r="BP155" s="561">
        <v>23808</v>
      </c>
      <c r="BQ155" s="561">
        <v>5145</v>
      </c>
      <c r="BR155" s="561">
        <v>0</v>
      </c>
      <c r="BS155" s="561">
        <v>1921</v>
      </c>
      <c r="BT155" s="561">
        <v>4485</v>
      </c>
      <c r="BU155" s="561">
        <v>1416</v>
      </c>
      <c r="BV155" s="561">
        <v>9124</v>
      </c>
      <c r="BW155" s="561">
        <v>35710</v>
      </c>
      <c r="BX155" s="561">
        <v>2344</v>
      </c>
      <c r="BY155" s="561">
        <v>21272</v>
      </c>
      <c r="BZ155" s="561">
        <v>613881</v>
      </c>
      <c r="CA155" s="561">
        <v>8239</v>
      </c>
      <c r="CB155" s="561">
        <v>4801</v>
      </c>
      <c r="CC155" s="561">
        <v>3587</v>
      </c>
      <c r="CD155" s="561">
        <v>686</v>
      </c>
      <c r="CE155" s="561">
        <v>839</v>
      </c>
      <c r="CF155" s="561">
        <v>309</v>
      </c>
      <c r="CG155" s="561">
        <v>797</v>
      </c>
      <c r="CH155" s="561">
        <v>1412</v>
      </c>
      <c r="CI155" s="561">
        <v>723</v>
      </c>
      <c r="CJ155" s="561">
        <v>555</v>
      </c>
      <c r="CK155" s="561">
        <v>568</v>
      </c>
      <c r="CL155" s="561">
        <v>657</v>
      </c>
      <c r="CM155" s="561">
        <v>5992</v>
      </c>
      <c r="CN155" s="561">
        <v>2151</v>
      </c>
      <c r="CO155" s="561">
        <v>2973</v>
      </c>
      <c r="CP155" s="561">
        <v>243</v>
      </c>
      <c r="CQ155" s="561">
        <v>878</v>
      </c>
      <c r="CR155" s="561">
        <v>3480</v>
      </c>
      <c r="CS155" s="561">
        <v>115</v>
      </c>
      <c r="CT155" s="561">
        <v>8018</v>
      </c>
      <c r="CU155" s="561">
        <v>13591</v>
      </c>
      <c r="CV155" s="561">
        <v>4178</v>
      </c>
      <c r="CW155" s="561">
        <v>79</v>
      </c>
      <c r="CX155" s="561">
        <v>3885</v>
      </c>
      <c r="CY155" s="561">
        <v>9226</v>
      </c>
      <c r="CZ155" s="561">
        <v>69743</v>
      </c>
      <c r="DA155" s="561">
        <v>287</v>
      </c>
      <c r="DB155" s="561">
        <v>0</v>
      </c>
      <c r="DC155" s="561">
        <v>0</v>
      </c>
      <c r="DD155" s="561">
        <v>0</v>
      </c>
      <c r="DE155" s="561">
        <v>0</v>
      </c>
      <c r="DF155" s="561">
        <v>0</v>
      </c>
      <c r="DG155" s="561">
        <v>0</v>
      </c>
      <c r="DH155" s="561">
        <v>0</v>
      </c>
      <c r="DI155" s="561">
        <v>0</v>
      </c>
      <c r="DJ155" s="561">
        <v>0</v>
      </c>
      <c r="DK155" s="561">
        <v>0</v>
      </c>
      <c r="DL155" s="561">
        <v>0</v>
      </c>
      <c r="DM155" s="561">
        <v>0</v>
      </c>
      <c r="DN155" s="561">
        <v>0</v>
      </c>
      <c r="DO155" s="561">
        <v>0</v>
      </c>
      <c r="DP155" s="561">
        <v>0</v>
      </c>
      <c r="DQ155" s="561">
        <v>0</v>
      </c>
      <c r="DR155" s="561">
        <v>0</v>
      </c>
      <c r="DS155" s="561">
        <v>0</v>
      </c>
      <c r="DT155" s="561">
        <v>0</v>
      </c>
      <c r="DU155" s="561">
        <v>0</v>
      </c>
      <c r="DV155" s="561">
        <v>0</v>
      </c>
      <c r="DW155" s="561">
        <v>0</v>
      </c>
      <c r="DX155" s="561">
        <v>0</v>
      </c>
      <c r="DY155" s="561">
        <v>0</v>
      </c>
      <c r="DZ155" s="561">
        <v>107</v>
      </c>
      <c r="EA155" s="561">
        <v>0</v>
      </c>
      <c r="EB155" s="561">
        <v>0</v>
      </c>
      <c r="EC155" s="561">
        <v>107</v>
      </c>
      <c r="ED155" s="561">
        <v>0</v>
      </c>
      <c r="EE155" s="561">
        <v>0</v>
      </c>
      <c r="EF155" s="561">
        <v>0</v>
      </c>
      <c r="EG155" s="561">
        <v>0</v>
      </c>
      <c r="EH155" s="561">
        <v>0</v>
      </c>
      <c r="EI155" s="561">
        <v>0</v>
      </c>
      <c r="EJ155" s="561">
        <v>0</v>
      </c>
      <c r="EK155" s="561">
        <v>0</v>
      </c>
      <c r="EL155" s="561">
        <v>0</v>
      </c>
      <c r="EM155" s="561">
        <v>0</v>
      </c>
      <c r="EN155" s="561">
        <v>0</v>
      </c>
      <c r="EO155" s="561">
        <v>0</v>
      </c>
      <c r="EP155" s="561">
        <v>0</v>
      </c>
      <c r="EQ155" s="561">
        <v>0</v>
      </c>
      <c r="ER155" s="561">
        <v>0</v>
      </c>
      <c r="ES155" s="561" t="s">
        <v>4565</v>
      </c>
      <c r="ET155" s="561">
        <v>0</v>
      </c>
      <c r="EU155" s="561">
        <v>0</v>
      </c>
      <c r="EV155" s="561">
        <v>0</v>
      </c>
      <c r="EW155" s="561">
        <v>0</v>
      </c>
      <c r="EX155" s="561">
        <v>0</v>
      </c>
      <c r="EY155" s="561">
        <v>0</v>
      </c>
      <c r="EZ155" s="561">
        <v>0</v>
      </c>
      <c r="FA155" s="561">
        <v>0</v>
      </c>
      <c r="FB155" s="561">
        <v>956</v>
      </c>
      <c r="FC155" s="561">
        <v>119</v>
      </c>
      <c r="FD155" s="561">
        <v>99</v>
      </c>
      <c r="FE155" s="561">
        <v>3563</v>
      </c>
      <c r="FF155" s="561">
        <v>0</v>
      </c>
      <c r="FG155" s="561">
        <v>0</v>
      </c>
      <c r="FH155" s="561">
        <v>0</v>
      </c>
      <c r="FI155" s="561">
        <v>47</v>
      </c>
      <c r="FJ155" s="561">
        <v>2029</v>
      </c>
      <c r="FK155" s="561">
        <v>6844</v>
      </c>
      <c r="FL155" s="561">
        <v>0</v>
      </c>
      <c r="FM155" s="561">
        <v>0</v>
      </c>
      <c r="FN155" s="561">
        <v>12376</v>
      </c>
      <c r="FO155" s="561">
        <v>26033</v>
      </c>
      <c r="FP155" s="561">
        <v>973</v>
      </c>
      <c r="FQ155" s="561">
        <v>0</v>
      </c>
      <c r="FR155" s="561">
        <v>1708</v>
      </c>
      <c r="FS155" s="561">
        <v>0</v>
      </c>
      <c r="FT155" s="561">
        <v>0</v>
      </c>
      <c r="FU155" s="561">
        <v>0</v>
      </c>
      <c r="FV155" s="561">
        <v>0</v>
      </c>
      <c r="FW155" s="561">
        <v>0</v>
      </c>
      <c r="FX155" s="561">
        <v>0</v>
      </c>
      <c r="FY155" s="561">
        <v>0</v>
      </c>
      <c r="FZ155" s="561">
        <v>0</v>
      </c>
      <c r="GA155" s="561">
        <v>0</v>
      </c>
      <c r="GB155" s="561">
        <v>0</v>
      </c>
      <c r="GC155" s="561">
        <v>0</v>
      </c>
      <c r="GD155" s="561">
        <v>0</v>
      </c>
      <c r="GE155" s="561">
        <v>0</v>
      </c>
      <c r="GF155" s="561">
        <v>0</v>
      </c>
      <c r="GG155" s="561">
        <v>921</v>
      </c>
      <c r="GH155" s="561">
        <v>0</v>
      </c>
      <c r="GI155" s="561">
        <v>0</v>
      </c>
      <c r="GJ155" s="561">
        <v>0</v>
      </c>
      <c r="GK155" s="561">
        <v>68</v>
      </c>
      <c r="GL155" s="561">
        <v>0</v>
      </c>
      <c r="GM155" s="561">
        <v>0</v>
      </c>
      <c r="GN155" s="561">
        <v>48810</v>
      </c>
      <c r="GO155" s="561">
        <v>-1020</v>
      </c>
      <c r="GP155" s="561">
        <v>11297</v>
      </c>
      <c r="GQ155" s="561">
        <v>43</v>
      </c>
      <c r="GR155" s="561">
        <v>87</v>
      </c>
      <c r="GS155" s="561">
        <v>61914</v>
      </c>
      <c r="GT155" s="561">
        <v>171</v>
      </c>
      <c r="GU155" s="561">
        <v>0</v>
      </c>
      <c r="GV155" s="561">
        <v>0</v>
      </c>
      <c r="GW155" s="561">
        <v>0</v>
      </c>
      <c r="GX155" s="561">
        <v>852</v>
      </c>
      <c r="GY155" s="561">
        <v>745</v>
      </c>
      <c r="GZ155" s="561">
        <v>3073</v>
      </c>
      <c r="HA155" s="561">
        <v>398</v>
      </c>
      <c r="HB155" s="561">
        <v>0</v>
      </c>
      <c r="HC155" s="561">
        <v>-979</v>
      </c>
      <c r="HD155" s="561">
        <v>4089</v>
      </c>
      <c r="HE155" s="561">
        <v>222</v>
      </c>
      <c r="HF155" s="561">
        <v>92036</v>
      </c>
      <c r="HG155" s="561">
        <v>1366</v>
      </c>
      <c r="HH155" s="561">
        <v>0</v>
      </c>
      <c r="HI155" s="561">
        <v>0</v>
      </c>
      <c r="HJ155" s="561">
        <v>0</v>
      </c>
      <c r="HK155" s="561">
        <v>0</v>
      </c>
      <c r="HL155" s="561">
        <v>0</v>
      </c>
      <c r="HM155" s="561">
        <v>0</v>
      </c>
      <c r="HN155" s="561">
        <v>0</v>
      </c>
      <c r="HO155" s="561">
        <v>4043</v>
      </c>
      <c r="HP155" s="561">
        <v>0</v>
      </c>
      <c r="HQ155" s="561">
        <v>0</v>
      </c>
      <c r="HR155" s="561">
        <v>0</v>
      </c>
      <c r="HS155" s="561">
        <v>0</v>
      </c>
      <c r="HT155" s="561">
        <v>0</v>
      </c>
      <c r="HU155" s="561">
        <v>0</v>
      </c>
      <c r="HV155" s="561">
        <v>-746</v>
      </c>
      <c r="HW155" s="561">
        <v>0</v>
      </c>
      <c r="HX155" s="561">
        <v>158</v>
      </c>
      <c r="HY155" s="561">
        <v>244</v>
      </c>
      <c r="HZ155" s="561">
        <v>0</v>
      </c>
      <c r="IA155" s="561">
        <v>0</v>
      </c>
      <c r="IB155" s="561">
        <v>8352</v>
      </c>
      <c r="IC155" s="561">
        <v>4143</v>
      </c>
      <c r="ID155" s="561">
        <v>0</v>
      </c>
      <c r="IE155" s="561">
        <v>66</v>
      </c>
      <c r="IF155" s="561">
        <v>0</v>
      </c>
      <c r="IG155" s="561">
        <v>1667</v>
      </c>
      <c r="IH155" s="561">
        <v>15650</v>
      </c>
      <c r="II155" s="561">
        <v>33577</v>
      </c>
      <c r="IJ155" s="561">
        <v>642</v>
      </c>
      <c r="IK155" s="561">
        <v>195</v>
      </c>
      <c r="IL155" s="561">
        <v>133109</v>
      </c>
      <c r="IM155" s="561">
        <v>0</v>
      </c>
      <c r="IN155" s="561">
        <v>0</v>
      </c>
      <c r="IO155" s="561">
        <v>30614</v>
      </c>
      <c r="IP155" s="561">
        <v>851</v>
      </c>
      <c r="IQ155" s="561">
        <v>1353</v>
      </c>
      <c r="IR155" s="561">
        <v>1375901</v>
      </c>
      <c r="IS155" s="561">
        <v>76768</v>
      </c>
      <c r="IT155" s="561">
        <v>314552</v>
      </c>
      <c r="IU155" s="561">
        <v>613881</v>
      </c>
      <c r="IV155" s="561">
        <v>69743</v>
      </c>
      <c r="IW155" s="561">
        <v>107</v>
      </c>
      <c r="IX155" s="561">
        <v>26033</v>
      </c>
      <c r="IY155" s="561">
        <v>61914</v>
      </c>
      <c r="IZ155" s="561">
        <v>4089</v>
      </c>
      <c r="JA155" s="561">
        <v>0</v>
      </c>
      <c r="JB155" s="561">
        <v>0</v>
      </c>
      <c r="JC155" s="561">
        <v>33577</v>
      </c>
      <c r="JD155" s="561">
        <v>851</v>
      </c>
      <c r="JE155" s="561">
        <v>2577416</v>
      </c>
      <c r="JF155" s="561">
        <v>0</v>
      </c>
      <c r="JG155" s="561">
        <v>0</v>
      </c>
      <c r="JH155" s="561">
        <v>0</v>
      </c>
      <c r="JI155" s="561">
        <v>0</v>
      </c>
      <c r="JJ155" s="561">
        <v>0</v>
      </c>
      <c r="JK155" s="561">
        <v>0</v>
      </c>
      <c r="JL155" s="561">
        <v>0</v>
      </c>
      <c r="JM155" s="561">
        <v>0</v>
      </c>
      <c r="JN155" s="561">
        <v>0</v>
      </c>
      <c r="JO155" s="561">
        <v>2556</v>
      </c>
      <c r="JP155" s="561">
        <v>100</v>
      </c>
      <c r="JQ155" s="561">
        <v>-2228</v>
      </c>
      <c r="JR155" s="561">
        <v>-38</v>
      </c>
      <c r="JS155" s="561">
        <v>-2875</v>
      </c>
      <c r="JT155" s="561">
        <v>-233</v>
      </c>
      <c r="JU155" s="561">
        <v>0</v>
      </c>
      <c r="JV155" s="561">
        <v>2574698</v>
      </c>
      <c r="JW155" s="561">
        <v>753</v>
      </c>
      <c r="JX155" s="561">
        <v>0</v>
      </c>
      <c r="JY155" s="561">
        <v>0</v>
      </c>
      <c r="JZ155" s="561">
        <v>0</v>
      </c>
      <c r="KA155" s="561">
        <v>0</v>
      </c>
      <c r="KB155" s="561">
        <v>4589</v>
      </c>
      <c r="KC155" s="561">
        <v>21051</v>
      </c>
      <c r="KD155" s="561">
        <v>0</v>
      </c>
      <c r="KE155" s="561">
        <v>19682</v>
      </c>
      <c r="KF155" s="561">
        <v>0</v>
      </c>
      <c r="KG155" s="561">
        <v>2620773</v>
      </c>
      <c r="KH155" s="561">
        <v>-32288</v>
      </c>
      <c r="KI155" s="561">
        <v>8556</v>
      </c>
      <c r="KJ155" s="561">
        <v>0</v>
      </c>
      <c r="KK155" s="561">
        <v>0</v>
      </c>
      <c r="KL155" s="561">
        <v>-4310</v>
      </c>
      <c r="KM155" s="561">
        <v>0</v>
      </c>
      <c r="KN155" s="561">
        <v>0</v>
      </c>
      <c r="KO155" s="561">
        <v>0</v>
      </c>
      <c r="KP155" s="561">
        <v>0</v>
      </c>
      <c r="KQ155" s="561">
        <v>-89228</v>
      </c>
      <c r="KR155" s="561">
        <v>2503503</v>
      </c>
      <c r="KS155" s="561">
        <v>-1540</v>
      </c>
      <c r="KT155" s="561">
        <v>-1452579</v>
      </c>
      <c r="KU155" s="561">
        <v>1049384</v>
      </c>
      <c r="KV155" s="561">
        <v>0</v>
      </c>
      <c r="KW155" s="561">
        <v>-1034</v>
      </c>
      <c r="KX155" s="561">
        <v>0</v>
      </c>
      <c r="KY155" s="561">
        <v>753</v>
      </c>
      <c r="KZ155" s="561">
        <v>-77065</v>
      </c>
      <c r="LA155" s="561">
        <v>26000</v>
      </c>
      <c r="LB155" s="561">
        <v>-58</v>
      </c>
      <c r="LC155" s="561">
        <v>0</v>
      </c>
      <c r="LD155" s="561">
        <v>-165241</v>
      </c>
      <c r="LE155" s="561">
        <v>-6383</v>
      </c>
      <c r="LF155" s="561">
        <v>0</v>
      </c>
      <c r="LG155" s="561">
        <v>826355</v>
      </c>
      <c r="LH155" s="561">
        <v>86817</v>
      </c>
      <c r="LI155" s="561">
        <v>-123919</v>
      </c>
      <c r="LJ155" s="561">
        <v>0</v>
      </c>
      <c r="LK155" s="561">
        <v>10730</v>
      </c>
      <c r="LL155" s="561">
        <v>475588</v>
      </c>
      <c r="LM155" s="561">
        <v>25898</v>
      </c>
      <c r="LN155" s="561">
        <v>85783</v>
      </c>
      <c r="LO155" s="561">
        <v>-213147</v>
      </c>
      <c r="LP155" s="561">
        <v>0</v>
      </c>
      <c r="LQ155" s="561">
        <v>11483</v>
      </c>
      <c r="LR155" s="561">
        <v>398523</v>
      </c>
      <c r="LS155" s="561">
        <v>51898</v>
      </c>
      <c r="LT155" s="561">
        <v>0</v>
      </c>
      <c r="LU155" s="561">
        <v>156827</v>
      </c>
      <c r="LV155" s="561">
        <v>9321</v>
      </c>
      <c r="LW155" s="561">
        <v>9281</v>
      </c>
      <c r="LX155" s="561">
        <v>0</v>
      </c>
      <c r="LY155" s="561">
        <v>64879</v>
      </c>
      <c r="LZ155" s="561">
        <v>240308</v>
      </c>
      <c r="MA155" s="561">
        <v>0</v>
      </c>
      <c r="MB155" s="561">
        <v>0</v>
      </c>
      <c r="MC155" s="561">
        <v>0</v>
      </c>
      <c r="MD155" s="561">
        <v>0</v>
      </c>
      <c r="ME155" s="561">
        <v>0</v>
      </c>
      <c r="MF155" s="561">
        <v>0</v>
      </c>
      <c r="MG155" s="561">
        <v>0</v>
      </c>
      <c r="MH155" s="561">
        <v>0</v>
      </c>
      <c r="MI155" s="561">
        <v>0</v>
      </c>
      <c r="MJ155" s="561">
        <v>0</v>
      </c>
      <c r="MK155" s="561">
        <v>0</v>
      </c>
      <c r="ML155" s="561">
        <v>25354</v>
      </c>
      <c r="MM155" s="561">
        <v>197048</v>
      </c>
      <c r="MN155" s="561">
        <v>34664</v>
      </c>
      <c r="MO155" s="561">
        <v>141457</v>
      </c>
      <c r="MP155" s="561">
        <v>0</v>
      </c>
      <c r="MQ155" s="561">
        <v>1375901</v>
      </c>
      <c r="MR155" s="561">
        <v>76768</v>
      </c>
      <c r="MS155" s="561">
        <v>314552</v>
      </c>
      <c r="MT155" s="561">
        <v>613881</v>
      </c>
      <c r="MU155" s="561">
        <v>69743</v>
      </c>
      <c r="MV155" s="561">
        <v>107</v>
      </c>
      <c r="MW155" s="561">
        <v>26033</v>
      </c>
      <c r="MX155" s="561">
        <v>61914</v>
      </c>
      <c r="MY155" s="561">
        <v>4089</v>
      </c>
      <c r="MZ155" s="561">
        <v>0</v>
      </c>
      <c r="NA155" s="561">
        <v>0</v>
      </c>
      <c r="NB155" s="561">
        <v>33577</v>
      </c>
      <c r="NC155" s="561">
        <v>851</v>
      </c>
      <c r="ND155" s="561">
        <v>2577416</v>
      </c>
      <c r="NE155" s="561">
        <v>0</v>
      </c>
      <c r="NF155" s="561">
        <v>0</v>
      </c>
      <c r="NG155" s="561">
        <v>0</v>
      </c>
      <c r="NH155" s="561">
        <v>0</v>
      </c>
      <c r="NI155" s="561">
        <v>0</v>
      </c>
      <c r="NJ155" s="561">
        <v>0</v>
      </c>
      <c r="NK155" s="561">
        <v>0</v>
      </c>
      <c r="NL155" s="561">
        <v>0</v>
      </c>
      <c r="NM155" s="561">
        <v>0</v>
      </c>
      <c r="NN155" s="561">
        <v>0</v>
      </c>
      <c r="NO155" s="561">
        <v>0</v>
      </c>
      <c r="NP155" s="561">
        <v>0</v>
      </c>
      <c r="NQ155" s="561">
        <v>0</v>
      </c>
      <c r="NR155" s="561">
        <v>0</v>
      </c>
      <c r="NS155" s="561">
        <v>0</v>
      </c>
      <c r="NT155" s="561">
        <v>0</v>
      </c>
      <c r="NU155" s="561">
        <v>0</v>
      </c>
      <c r="NV155" s="561">
        <v>0</v>
      </c>
      <c r="NW155" s="561">
        <v>62</v>
      </c>
      <c r="NX155" s="561">
        <v>38</v>
      </c>
      <c r="NY155" s="561">
        <v>100</v>
      </c>
      <c r="NZ155" s="561">
        <v>0</v>
      </c>
      <c r="OA155" s="561">
        <v>0</v>
      </c>
      <c r="OB155" s="561">
        <v>0</v>
      </c>
      <c r="OC155" s="561">
        <v>0</v>
      </c>
      <c r="OD155" s="561">
        <v>0</v>
      </c>
      <c r="OE155" s="561">
        <v>0</v>
      </c>
      <c r="OF155" s="561">
        <v>0</v>
      </c>
      <c r="OG155" s="561">
        <v>0</v>
      </c>
      <c r="OH155" s="561">
        <v>0</v>
      </c>
      <c r="OI155" s="561">
        <v>0</v>
      </c>
      <c r="OJ155" s="561">
        <v>0</v>
      </c>
      <c r="OK155" s="561">
        <v>0</v>
      </c>
      <c r="OL155" s="561">
        <v>0</v>
      </c>
      <c r="OM155" s="561">
        <v>0</v>
      </c>
      <c r="ON155" s="561">
        <v>-2896</v>
      </c>
      <c r="OO155" s="561">
        <v>0</v>
      </c>
      <c r="OP155" s="561">
        <v>-1318</v>
      </c>
      <c r="OQ155" s="561">
        <v>0</v>
      </c>
      <c r="OR155" s="561">
        <v>0</v>
      </c>
      <c r="OS155" s="561">
        <v>0</v>
      </c>
      <c r="OT155" s="561">
        <v>0</v>
      </c>
      <c r="OU155" s="561">
        <v>0</v>
      </c>
      <c r="OV155" s="561">
        <v>0</v>
      </c>
      <c r="OW155" s="561">
        <v>2875</v>
      </c>
      <c r="OX155" s="561">
        <v>-2228</v>
      </c>
      <c r="OY155" s="561">
        <v>38</v>
      </c>
      <c r="OZ155" s="561">
        <v>0</v>
      </c>
      <c r="PA155" s="561">
        <v>0</v>
      </c>
      <c r="PB155" s="561">
        <v>0</v>
      </c>
      <c r="PC155" s="561">
        <v>0</v>
      </c>
      <c r="PD155" s="561">
        <v>38</v>
      </c>
      <c r="PE155" s="561">
        <v>2875</v>
      </c>
      <c r="PF155" s="561">
        <v>0</v>
      </c>
      <c r="PG155" s="561">
        <v>0</v>
      </c>
      <c r="PH155" s="561">
        <v>0</v>
      </c>
      <c r="PI155" s="561">
        <v>0</v>
      </c>
      <c r="PJ155" s="561">
        <v>2875</v>
      </c>
    </row>
    <row r="156" spans="1:426" ht="14" x14ac:dyDescent="0.3">
      <c r="A156" t="s">
        <v>2903</v>
      </c>
      <c r="B156" t="s">
        <v>2904</v>
      </c>
      <c r="C156" t="s">
        <v>2905</v>
      </c>
      <c r="E156" t="s">
        <v>2466</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61">
        <v>0</v>
      </c>
      <c r="U156" s="561">
        <v>0</v>
      </c>
      <c r="V156" s="561">
        <v>0</v>
      </c>
      <c r="W156" s="561">
        <v>0</v>
      </c>
      <c r="X156" s="561">
        <v>0</v>
      </c>
      <c r="Y156" s="561">
        <v>0</v>
      </c>
      <c r="Z156" s="561">
        <v>0</v>
      </c>
      <c r="AA156" s="561">
        <v>0</v>
      </c>
      <c r="AB156" s="561">
        <v>0</v>
      </c>
      <c r="AC156" s="561">
        <v>0</v>
      </c>
      <c r="AD156" s="561">
        <v>0</v>
      </c>
      <c r="AE156" s="561">
        <v>0</v>
      </c>
      <c r="AF156" s="561">
        <v>0</v>
      </c>
      <c r="AG156" s="561">
        <v>0</v>
      </c>
      <c r="AH156" s="561">
        <v>0</v>
      </c>
      <c r="AI156" s="561">
        <v>0</v>
      </c>
      <c r="AJ156" s="561">
        <v>0</v>
      </c>
      <c r="AK156" s="561">
        <v>0</v>
      </c>
      <c r="AL156" s="561">
        <v>0</v>
      </c>
      <c r="AM156" s="561">
        <v>0</v>
      </c>
      <c r="AN156" s="561">
        <v>0</v>
      </c>
      <c r="AO156" s="561">
        <v>0</v>
      </c>
      <c r="AP156" s="561">
        <v>0</v>
      </c>
      <c r="AQ156" s="561">
        <v>0</v>
      </c>
      <c r="AR156" s="561">
        <v>0</v>
      </c>
      <c r="AS156" s="561">
        <v>0</v>
      </c>
      <c r="AT156" s="561">
        <v>0</v>
      </c>
      <c r="AU156" s="561">
        <v>0</v>
      </c>
      <c r="AV156" s="561">
        <v>0</v>
      </c>
      <c r="AW156" s="561">
        <v>0</v>
      </c>
      <c r="AX156" s="561">
        <v>0</v>
      </c>
      <c r="AY156" s="561">
        <v>0</v>
      </c>
      <c r="AZ156" s="561">
        <v>0</v>
      </c>
      <c r="BA156" s="561">
        <v>0</v>
      </c>
      <c r="BB156" s="561">
        <v>0</v>
      </c>
      <c r="BC156" s="561">
        <v>0</v>
      </c>
      <c r="BD156" s="561">
        <v>0</v>
      </c>
      <c r="BE156" s="561">
        <v>0</v>
      </c>
      <c r="BF156" s="561">
        <v>0</v>
      </c>
      <c r="BG156" s="561">
        <v>0</v>
      </c>
      <c r="BH156" s="561">
        <v>0</v>
      </c>
      <c r="BI156" s="561">
        <v>0</v>
      </c>
      <c r="BJ156" s="561">
        <v>0</v>
      </c>
      <c r="BK156" s="561">
        <v>0</v>
      </c>
      <c r="BL156" s="561">
        <v>0</v>
      </c>
      <c r="BM156" s="561">
        <v>0</v>
      </c>
      <c r="BN156" s="561">
        <v>0</v>
      </c>
      <c r="BO156" s="561">
        <v>0</v>
      </c>
      <c r="BP156" s="561">
        <v>0</v>
      </c>
      <c r="BQ156" s="561">
        <v>0</v>
      </c>
      <c r="BR156" s="561">
        <v>0</v>
      </c>
      <c r="BS156" s="561">
        <v>0</v>
      </c>
      <c r="BT156" s="561">
        <v>0</v>
      </c>
      <c r="BU156" s="561">
        <v>0</v>
      </c>
      <c r="BV156" s="561">
        <v>0</v>
      </c>
      <c r="BW156" s="561">
        <v>0</v>
      </c>
      <c r="BX156" s="561">
        <v>0</v>
      </c>
      <c r="BY156" s="561">
        <v>0</v>
      </c>
      <c r="BZ156" s="561">
        <v>0</v>
      </c>
      <c r="CA156" s="561">
        <v>0</v>
      </c>
      <c r="CB156" s="561">
        <v>0</v>
      </c>
      <c r="CC156" s="561">
        <v>0</v>
      </c>
      <c r="CD156" s="561">
        <v>0</v>
      </c>
      <c r="CE156" s="561">
        <v>0</v>
      </c>
      <c r="CF156" s="561">
        <v>0</v>
      </c>
      <c r="CG156" s="561">
        <v>0</v>
      </c>
      <c r="CH156" s="561">
        <v>0</v>
      </c>
      <c r="CI156" s="561">
        <v>0</v>
      </c>
      <c r="CJ156" s="561">
        <v>0</v>
      </c>
      <c r="CK156" s="561">
        <v>0</v>
      </c>
      <c r="CL156" s="561">
        <v>0</v>
      </c>
      <c r="CM156" s="561">
        <v>0</v>
      </c>
      <c r="CN156" s="561">
        <v>0</v>
      </c>
      <c r="CO156" s="561">
        <v>0</v>
      </c>
      <c r="CP156" s="561">
        <v>0</v>
      </c>
      <c r="CQ156" s="561">
        <v>0</v>
      </c>
      <c r="CR156" s="561">
        <v>0</v>
      </c>
      <c r="CS156" s="561">
        <v>0</v>
      </c>
      <c r="CT156" s="561">
        <v>0</v>
      </c>
      <c r="CU156" s="561">
        <v>0</v>
      </c>
      <c r="CV156" s="561">
        <v>0</v>
      </c>
      <c r="CW156" s="561">
        <v>0</v>
      </c>
      <c r="CX156" s="561">
        <v>0</v>
      </c>
      <c r="CY156" s="561">
        <v>0</v>
      </c>
      <c r="CZ156" s="561">
        <v>0</v>
      </c>
      <c r="DA156" s="561">
        <v>0</v>
      </c>
      <c r="DB156" s="561">
        <v>0</v>
      </c>
      <c r="DC156" s="561">
        <v>0</v>
      </c>
      <c r="DD156" s="561">
        <v>0</v>
      </c>
      <c r="DE156" s="561">
        <v>0</v>
      </c>
      <c r="DF156" s="561">
        <v>0</v>
      </c>
      <c r="DG156" s="561">
        <v>0</v>
      </c>
      <c r="DH156" s="561">
        <v>0</v>
      </c>
      <c r="DI156" s="561">
        <v>0</v>
      </c>
      <c r="DJ156" s="561">
        <v>0</v>
      </c>
      <c r="DK156" s="561">
        <v>0</v>
      </c>
      <c r="DL156" s="561">
        <v>0</v>
      </c>
      <c r="DM156" s="561">
        <v>0</v>
      </c>
      <c r="DN156" s="561">
        <v>0</v>
      </c>
      <c r="DO156" s="561">
        <v>0</v>
      </c>
      <c r="DP156" s="561">
        <v>0</v>
      </c>
      <c r="DQ156" s="561">
        <v>0</v>
      </c>
      <c r="DR156" s="561">
        <v>0</v>
      </c>
      <c r="DS156" s="561">
        <v>0</v>
      </c>
      <c r="DT156" s="561">
        <v>0</v>
      </c>
      <c r="DU156" s="561">
        <v>0</v>
      </c>
      <c r="DV156" s="561">
        <v>0</v>
      </c>
      <c r="DW156" s="561">
        <v>0</v>
      </c>
      <c r="DX156" s="561">
        <v>0</v>
      </c>
      <c r="DY156" s="561">
        <v>0</v>
      </c>
      <c r="DZ156" s="561">
        <v>0</v>
      </c>
      <c r="EA156" s="561">
        <v>0</v>
      </c>
      <c r="EB156" s="561">
        <v>0</v>
      </c>
      <c r="EC156" s="561">
        <v>0</v>
      </c>
      <c r="ED156" s="561">
        <v>0</v>
      </c>
      <c r="EE156" s="561">
        <v>0</v>
      </c>
      <c r="EF156" s="561">
        <v>0</v>
      </c>
      <c r="EG156" s="561">
        <v>0</v>
      </c>
      <c r="EH156" s="561">
        <v>0</v>
      </c>
      <c r="EI156" s="561">
        <v>0</v>
      </c>
      <c r="EJ156" s="561">
        <v>0</v>
      </c>
      <c r="EK156" s="561">
        <v>0</v>
      </c>
      <c r="EL156" s="561">
        <v>0</v>
      </c>
      <c r="EM156" s="561">
        <v>0</v>
      </c>
      <c r="EN156" s="561">
        <v>0</v>
      </c>
      <c r="EO156" s="561">
        <v>0</v>
      </c>
      <c r="EP156" s="561">
        <v>0</v>
      </c>
      <c r="EQ156" s="561">
        <v>0</v>
      </c>
      <c r="ER156" s="561">
        <v>0</v>
      </c>
      <c r="ES156" s="561" t="s">
        <v>4565</v>
      </c>
      <c r="ET156" s="561">
        <v>0</v>
      </c>
      <c r="EU156" s="561">
        <v>0</v>
      </c>
      <c r="EV156" s="561">
        <v>0</v>
      </c>
      <c r="EW156" s="561">
        <v>0</v>
      </c>
      <c r="EX156" s="561">
        <v>0</v>
      </c>
      <c r="EY156" s="561">
        <v>0</v>
      </c>
      <c r="EZ156" s="561">
        <v>0</v>
      </c>
      <c r="FA156" s="561">
        <v>0</v>
      </c>
      <c r="FB156" s="561">
        <v>0</v>
      </c>
      <c r="FC156" s="561">
        <v>0</v>
      </c>
      <c r="FD156" s="561">
        <v>0</v>
      </c>
      <c r="FE156" s="561">
        <v>0</v>
      </c>
      <c r="FF156" s="561">
        <v>0</v>
      </c>
      <c r="FG156" s="561">
        <v>0</v>
      </c>
      <c r="FH156" s="561">
        <v>0</v>
      </c>
      <c r="FI156" s="561">
        <v>0</v>
      </c>
      <c r="FJ156" s="561">
        <v>0</v>
      </c>
      <c r="FK156" s="561">
        <v>0</v>
      </c>
      <c r="FL156" s="561">
        <v>0</v>
      </c>
      <c r="FM156" s="561">
        <v>0</v>
      </c>
      <c r="FN156" s="561">
        <v>0</v>
      </c>
      <c r="FO156" s="561">
        <v>0</v>
      </c>
      <c r="FP156" s="561">
        <v>0</v>
      </c>
      <c r="FQ156" s="561">
        <v>0</v>
      </c>
      <c r="FR156" s="561">
        <v>0</v>
      </c>
      <c r="FS156" s="561">
        <v>0</v>
      </c>
      <c r="FT156" s="561">
        <v>0</v>
      </c>
      <c r="FU156" s="561">
        <v>0</v>
      </c>
      <c r="FV156" s="561">
        <v>0</v>
      </c>
      <c r="FW156" s="561">
        <v>0</v>
      </c>
      <c r="FX156" s="561">
        <v>0</v>
      </c>
      <c r="FY156" s="561">
        <v>0</v>
      </c>
      <c r="FZ156" s="561">
        <v>0</v>
      </c>
      <c r="GA156" s="561">
        <v>0</v>
      </c>
      <c r="GB156" s="561">
        <v>0</v>
      </c>
      <c r="GC156" s="561">
        <v>0</v>
      </c>
      <c r="GD156" s="561">
        <v>0</v>
      </c>
      <c r="GE156" s="561">
        <v>0</v>
      </c>
      <c r="GF156" s="561">
        <v>0</v>
      </c>
      <c r="GG156" s="561">
        <v>0</v>
      </c>
      <c r="GH156" s="561">
        <v>0</v>
      </c>
      <c r="GI156" s="561">
        <v>0</v>
      </c>
      <c r="GJ156" s="561">
        <v>0</v>
      </c>
      <c r="GK156" s="561">
        <v>0</v>
      </c>
      <c r="GL156" s="561">
        <v>0</v>
      </c>
      <c r="GM156" s="561">
        <v>0</v>
      </c>
      <c r="GN156" s="561">
        <v>0</v>
      </c>
      <c r="GO156" s="561">
        <v>0</v>
      </c>
      <c r="GP156" s="561">
        <v>0</v>
      </c>
      <c r="GQ156" s="561">
        <v>0</v>
      </c>
      <c r="GR156" s="561">
        <v>0</v>
      </c>
      <c r="GS156" s="561">
        <v>0</v>
      </c>
      <c r="GT156" s="561">
        <v>0</v>
      </c>
      <c r="GU156" s="561">
        <v>0</v>
      </c>
      <c r="GV156" s="561">
        <v>0</v>
      </c>
      <c r="GW156" s="561">
        <v>0</v>
      </c>
      <c r="GX156" s="561">
        <v>0</v>
      </c>
      <c r="GY156" s="561">
        <v>0</v>
      </c>
      <c r="GZ156" s="561">
        <v>0</v>
      </c>
      <c r="HA156" s="561">
        <v>0</v>
      </c>
      <c r="HB156" s="561">
        <v>0</v>
      </c>
      <c r="HC156" s="561">
        <v>0</v>
      </c>
      <c r="HD156" s="561">
        <v>0</v>
      </c>
      <c r="HE156" s="561">
        <v>0</v>
      </c>
      <c r="HF156" s="561">
        <v>0</v>
      </c>
      <c r="HG156" s="561">
        <v>0</v>
      </c>
      <c r="HH156" s="561">
        <v>464742</v>
      </c>
      <c r="HI156" s="561">
        <v>607</v>
      </c>
      <c r="HJ156" s="561">
        <v>0</v>
      </c>
      <c r="HK156" s="561">
        <v>0</v>
      </c>
      <c r="HL156" s="561">
        <v>0</v>
      </c>
      <c r="HM156" s="561">
        <v>0</v>
      </c>
      <c r="HN156" s="561">
        <v>0</v>
      </c>
      <c r="HO156" s="561">
        <v>0</v>
      </c>
      <c r="HP156" s="561">
        <v>0</v>
      </c>
      <c r="HQ156" s="561">
        <v>0</v>
      </c>
      <c r="HR156" s="561">
        <v>0</v>
      </c>
      <c r="HS156" s="561">
        <v>0</v>
      </c>
      <c r="HT156" s="561">
        <v>0</v>
      </c>
      <c r="HU156" s="561">
        <v>0</v>
      </c>
      <c r="HV156" s="561">
        <v>0</v>
      </c>
      <c r="HW156" s="561">
        <v>0</v>
      </c>
      <c r="HX156" s="561">
        <v>0</v>
      </c>
      <c r="HY156" s="561">
        <v>0</v>
      </c>
      <c r="HZ156" s="561">
        <v>0</v>
      </c>
      <c r="IA156" s="561">
        <v>0</v>
      </c>
      <c r="IB156" s="561">
        <v>0</v>
      </c>
      <c r="IC156" s="561">
        <v>0</v>
      </c>
      <c r="ID156" s="561">
        <v>0</v>
      </c>
      <c r="IE156" s="561">
        <v>0</v>
      </c>
      <c r="IF156" s="561">
        <v>0</v>
      </c>
      <c r="IG156" s="561">
        <v>0</v>
      </c>
      <c r="IH156" s="561">
        <v>0</v>
      </c>
      <c r="II156" s="561">
        <v>0</v>
      </c>
      <c r="IJ156" s="561">
        <v>0</v>
      </c>
      <c r="IK156" s="561">
        <v>0</v>
      </c>
      <c r="IL156" s="561">
        <v>0</v>
      </c>
      <c r="IM156" s="561">
        <v>0</v>
      </c>
      <c r="IN156" s="561">
        <v>0</v>
      </c>
      <c r="IO156" s="561">
        <v>0</v>
      </c>
      <c r="IP156" s="561">
        <v>0</v>
      </c>
      <c r="IQ156" s="561">
        <v>0</v>
      </c>
      <c r="IR156" s="561">
        <v>0</v>
      </c>
      <c r="IS156" s="561">
        <v>0</v>
      </c>
      <c r="IT156" s="561">
        <v>0</v>
      </c>
      <c r="IU156" s="561">
        <v>0</v>
      </c>
      <c r="IV156" s="561">
        <v>0</v>
      </c>
      <c r="IW156" s="561">
        <v>0</v>
      </c>
      <c r="IX156" s="561">
        <v>0</v>
      </c>
      <c r="IY156" s="561">
        <v>0</v>
      </c>
      <c r="IZ156" s="561">
        <v>0</v>
      </c>
      <c r="JA156" s="561">
        <v>464742</v>
      </c>
      <c r="JB156" s="561">
        <v>0</v>
      </c>
      <c r="JC156" s="561">
        <v>0</v>
      </c>
      <c r="JD156" s="561">
        <v>0</v>
      </c>
      <c r="JE156" s="561">
        <v>464742</v>
      </c>
      <c r="JF156" s="561">
        <v>0</v>
      </c>
      <c r="JG156" s="561">
        <v>0</v>
      </c>
      <c r="JH156" s="561">
        <v>0</v>
      </c>
      <c r="JI156" s="561">
        <v>0</v>
      </c>
      <c r="JJ156" s="561">
        <v>0</v>
      </c>
      <c r="JK156" s="561">
        <v>0</v>
      </c>
      <c r="JL156" s="561">
        <v>0</v>
      </c>
      <c r="JM156" s="561">
        <v>0</v>
      </c>
      <c r="JN156" s="561">
        <v>0</v>
      </c>
      <c r="JO156" s="561">
        <v>1348</v>
      </c>
      <c r="JP156" s="561">
        <v>3</v>
      </c>
      <c r="JQ156" s="561">
        <v>0</v>
      </c>
      <c r="JR156" s="561">
        <v>0</v>
      </c>
      <c r="JS156" s="561">
        <v>0</v>
      </c>
      <c r="JT156" s="561">
        <v>0</v>
      </c>
      <c r="JU156" s="561">
        <v>0</v>
      </c>
      <c r="JV156" s="561">
        <v>466093</v>
      </c>
      <c r="JW156" s="561">
        <v>0</v>
      </c>
      <c r="JX156" s="561">
        <v>5917</v>
      </c>
      <c r="JY156" s="561">
        <v>0</v>
      </c>
      <c r="JZ156" s="561">
        <v>0</v>
      </c>
      <c r="KA156" s="561">
        <v>0</v>
      </c>
      <c r="KB156" s="561">
        <v>0</v>
      </c>
      <c r="KC156" s="561">
        <v>3034</v>
      </c>
      <c r="KD156" s="561">
        <v>0</v>
      </c>
      <c r="KE156" s="561">
        <v>2220</v>
      </c>
      <c r="KF156" s="561">
        <v>0</v>
      </c>
      <c r="KG156" s="561">
        <v>477264</v>
      </c>
      <c r="KH156" s="561">
        <v>-7433</v>
      </c>
      <c r="KI156" s="561">
        <v>0</v>
      </c>
      <c r="KJ156" s="561">
        <v>0</v>
      </c>
      <c r="KK156" s="561">
        <v>0</v>
      </c>
      <c r="KL156" s="561">
        <v>0</v>
      </c>
      <c r="KM156" s="561">
        <v>0</v>
      </c>
      <c r="KN156" s="561">
        <v>0</v>
      </c>
      <c r="KO156" s="561">
        <v>0</v>
      </c>
      <c r="KP156" s="561">
        <v>0</v>
      </c>
      <c r="KQ156" s="561">
        <v>0</v>
      </c>
      <c r="KR156" s="561">
        <v>469831</v>
      </c>
      <c r="KS156" s="561">
        <v>0</v>
      </c>
      <c r="KT156" s="561">
        <v>-42494</v>
      </c>
      <c r="KU156" s="561">
        <v>427337</v>
      </c>
      <c r="KV156" s="561">
        <v>0</v>
      </c>
      <c r="KW156" s="561">
        <v>0</v>
      </c>
      <c r="KX156" s="561">
        <v>0</v>
      </c>
      <c r="KY156" s="561">
        <v>0</v>
      </c>
      <c r="KZ156" s="561">
        <v>25632</v>
      </c>
      <c r="LA156" s="561">
        <v>-8671</v>
      </c>
      <c r="LB156" s="561">
        <v>0</v>
      </c>
      <c r="LC156" s="561">
        <v>-254974</v>
      </c>
      <c r="LD156" s="561">
        <v>0</v>
      </c>
      <c r="LE156" s="561">
        <v>-1424</v>
      </c>
      <c r="LF156" s="561">
        <v>0</v>
      </c>
      <c r="LG156" s="561">
        <v>187900</v>
      </c>
      <c r="LH156" s="561">
        <v>0</v>
      </c>
      <c r="LI156" s="561">
        <v>0</v>
      </c>
      <c r="LJ156" s="561">
        <v>0</v>
      </c>
      <c r="LK156" s="561">
        <v>0</v>
      </c>
      <c r="LL156" s="561">
        <v>130652</v>
      </c>
      <c r="LM156" s="561">
        <v>24249</v>
      </c>
      <c r="LN156" s="561">
        <v>0</v>
      </c>
      <c r="LO156" s="561">
        <v>0</v>
      </c>
      <c r="LP156" s="561">
        <v>0</v>
      </c>
      <c r="LQ156" s="561">
        <v>0</v>
      </c>
      <c r="LR156" s="561">
        <v>156284</v>
      </c>
      <c r="LS156" s="561">
        <v>15578</v>
      </c>
      <c r="LT156" s="561">
        <v>0</v>
      </c>
      <c r="LU156" s="561">
        <v>8022</v>
      </c>
      <c r="LV156" s="561">
        <v>0</v>
      </c>
      <c r="LW156" s="561">
        <v>21061</v>
      </c>
      <c r="LX156" s="561">
        <v>0</v>
      </c>
      <c r="LY156" s="561">
        <v>0</v>
      </c>
      <c r="LZ156" s="561">
        <v>29083</v>
      </c>
      <c r="MA156" s="561">
        <v>0</v>
      </c>
      <c r="MB156" s="561">
        <v>0</v>
      </c>
      <c r="MC156" s="561">
        <v>0</v>
      </c>
      <c r="MD156" s="561">
        <v>0</v>
      </c>
      <c r="ME156" s="561">
        <v>0</v>
      </c>
      <c r="MF156" s="561">
        <v>0</v>
      </c>
      <c r="MG156" s="561">
        <v>0</v>
      </c>
      <c r="MH156" s="561">
        <v>0</v>
      </c>
      <c r="MI156" s="561">
        <v>0</v>
      </c>
      <c r="MJ156" s="561">
        <v>0</v>
      </c>
      <c r="MK156" s="561">
        <v>0</v>
      </c>
      <c r="ML156" s="561">
        <v>0</v>
      </c>
      <c r="MM156" s="561">
        <v>134903</v>
      </c>
      <c r="MN156" s="561">
        <v>21381</v>
      </c>
      <c r="MO156" s="561">
        <v>0</v>
      </c>
      <c r="MP156" s="561">
        <v>0</v>
      </c>
      <c r="MQ156" s="561">
        <v>0</v>
      </c>
      <c r="MR156" s="561">
        <v>0</v>
      </c>
      <c r="MS156" s="561">
        <v>0</v>
      </c>
      <c r="MT156" s="561">
        <v>0</v>
      </c>
      <c r="MU156" s="561">
        <v>0</v>
      </c>
      <c r="MV156" s="561">
        <v>0</v>
      </c>
      <c r="MW156" s="561">
        <v>0</v>
      </c>
      <c r="MX156" s="561">
        <v>0</v>
      </c>
      <c r="MY156" s="561">
        <v>0</v>
      </c>
      <c r="MZ156" s="561">
        <v>464742</v>
      </c>
      <c r="NA156" s="561">
        <v>0</v>
      </c>
      <c r="NB156" s="561">
        <v>0</v>
      </c>
      <c r="NC156" s="561">
        <v>0</v>
      </c>
      <c r="ND156" s="561">
        <v>464742</v>
      </c>
      <c r="NE156" s="561">
        <v>0</v>
      </c>
      <c r="NF156" s="561">
        <v>0</v>
      </c>
      <c r="NG156" s="561">
        <v>0</v>
      </c>
      <c r="NH156" s="561">
        <v>0</v>
      </c>
      <c r="NI156" s="561">
        <v>0</v>
      </c>
      <c r="NJ156" s="561">
        <v>0</v>
      </c>
      <c r="NK156" s="561">
        <v>0</v>
      </c>
      <c r="NL156" s="561">
        <v>0</v>
      </c>
      <c r="NM156" s="561">
        <v>0</v>
      </c>
      <c r="NN156" s="561">
        <v>0</v>
      </c>
      <c r="NO156" s="561">
        <v>0</v>
      </c>
      <c r="NP156" s="561">
        <v>0</v>
      </c>
      <c r="NQ156" s="561">
        <v>0</v>
      </c>
      <c r="NR156" s="561">
        <v>0</v>
      </c>
      <c r="NS156" s="561">
        <v>0</v>
      </c>
      <c r="NT156" s="561">
        <v>0</v>
      </c>
      <c r="NU156" s="561">
        <v>0</v>
      </c>
      <c r="NV156" s="561">
        <v>0</v>
      </c>
      <c r="NW156" s="561">
        <v>3</v>
      </c>
      <c r="NX156" s="561">
        <v>0</v>
      </c>
      <c r="NY156" s="561">
        <v>3</v>
      </c>
      <c r="NZ156" s="561">
        <v>0</v>
      </c>
      <c r="OA156" s="561">
        <v>0</v>
      </c>
      <c r="OB156" s="561">
        <v>0</v>
      </c>
      <c r="OC156" s="561">
        <v>0</v>
      </c>
      <c r="OD156" s="561">
        <v>0</v>
      </c>
      <c r="OE156" s="561">
        <v>0</v>
      </c>
      <c r="OF156" s="561">
        <v>0</v>
      </c>
      <c r="OG156" s="561">
        <v>0</v>
      </c>
      <c r="OH156" s="561">
        <v>0</v>
      </c>
      <c r="OI156" s="561">
        <v>0</v>
      </c>
      <c r="OJ156" s="561">
        <v>0</v>
      </c>
      <c r="OK156" s="561">
        <v>0</v>
      </c>
      <c r="OL156" s="561">
        <v>0</v>
      </c>
      <c r="OM156" s="561">
        <v>0</v>
      </c>
      <c r="ON156" s="561">
        <v>0</v>
      </c>
      <c r="OO156" s="561">
        <v>0</v>
      </c>
      <c r="OP156" s="561">
        <v>0</v>
      </c>
      <c r="OQ156" s="561">
        <v>0</v>
      </c>
      <c r="OR156" s="561">
        <v>0</v>
      </c>
      <c r="OS156" s="561">
        <v>0</v>
      </c>
      <c r="OT156" s="561">
        <v>0</v>
      </c>
      <c r="OU156" s="561">
        <v>0</v>
      </c>
      <c r="OV156" s="561">
        <v>0</v>
      </c>
      <c r="OW156" s="561">
        <v>0</v>
      </c>
      <c r="OX156" s="561">
        <v>0</v>
      </c>
      <c r="OY156" s="561">
        <v>0</v>
      </c>
      <c r="OZ156" s="561">
        <v>0</v>
      </c>
      <c r="PA156" s="561">
        <v>0</v>
      </c>
      <c r="PB156" s="561">
        <v>0</v>
      </c>
      <c r="PC156" s="561">
        <v>0</v>
      </c>
      <c r="PD156" s="561">
        <v>0</v>
      </c>
      <c r="PE156" s="561">
        <v>0</v>
      </c>
      <c r="PF156" s="561">
        <v>0</v>
      </c>
      <c r="PG156" s="561">
        <v>0</v>
      </c>
      <c r="PH156" s="561">
        <v>0</v>
      </c>
      <c r="PI156" s="561">
        <v>0</v>
      </c>
      <c r="PJ156" s="561">
        <v>0</v>
      </c>
    </row>
    <row r="157" spans="1:426" ht="14" x14ac:dyDescent="0.3">
      <c r="A157" t="s">
        <v>2906</v>
      </c>
      <c r="B157" t="s">
        <v>2907</v>
      </c>
      <c r="C157" t="s">
        <v>2908</v>
      </c>
      <c r="E157" t="s">
        <v>384</v>
      </c>
      <c r="F157" s="561">
        <v>0</v>
      </c>
      <c r="G157" s="561">
        <v>0</v>
      </c>
      <c r="H157" s="561">
        <v>0</v>
      </c>
      <c r="I157" s="561">
        <v>0</v>
      </c>
      <c r="J157" s="561">
        <v>0</v>
      </c>
      <c r="K157" s="561">
        <v>0</v>
      </c>
      <c r="L157" s="561">
        <v>0</v>
      </c>
      <c r="M157" s="561">
        <v>0</v>
      </c>
      <c r="N157" s="561">
        <v>0</v>
      </c>
      <c r="O157" s="561">
        <v>0</v>
      </c>
      <c r="P157" s="561">
        <v>0</v>
      </c>
      <c r="Q157" s="561">
        <v>0</v>
      </c>
      <c r="R157" s="561">
        <v>0</v>
      </c>
      <c r="S157" s="561">
        <v>7</v>
      </c>
      <c r="T157" s="561">
        <v>0</v>
      </c>
      <c r="U157" s="561">
        <v>0</v>
      </c>
      <c r="V157" s="561">
        <v>0</v>
      </c>
      <c r="W157" s="561">
        <v>0</v>
      </c>
      <c r="X157" s="561">
        <v>0</v>
      </c>
      <c r="Y157" s="561">
        <v>0</v>
      </c>
      <c r="Z157" s="561">
        <v>15</v>
      </c>
      <c r="AA157" s="561">
        <v>65</v>
      </c>
      <c r="AB157" s="561">
        <v>-579</v>
      </c>
      <c r="AC157" s="561">
        <v>0</v>
      </c>
      <c r="AD157" s="561">
        <v>0</v>
      </c>
      <c r="AE157" s="561">
        <v>0</v>
      </c>
      <c r="AF157" s="561">
        <v>0</v>
      </c>
      <c r="AG157" s="561">
        <v>0</v>
      </c>
      <c r="AH157" s="561">
        <v>2</v>
      </c>
      <c r="AI157" s="561">
        <v>0</v>
      </c>
      <c r="AJ157" s="561">
        <v>-490</v>
      </c>
      <c r="AK157" s="561">
        <v>0</v>
      </c>
      <c r="AL157" s="561">
        <v>0</v>
      </c>
      <c r="AM157" s="561">
        <v>0</v>
      </c>
      <c r="AN157" s="561">
        <v>0</v>
      </c>
      <c r="AO157" s="561">
        <v>0</v>
      </c>
      <c r="AP157" s="561">
        <v>0</v>
      </c>
      <c r="AQ157" s="561">
        <v>0</v>
      </c>
      <c r="AR157" s="561">
        <v>0</v>
      </c>
      <c r="AS157" s="561">
        <v>0</v>
      </c>
      <c r="AT157" s="561">
        <v>0</v>
      </c>
      <c r="AU157" s="561">
        <v>0</v>
      </c>
      <c r="AV157" s="561">
        <v>0</v>
      </c>
      <c r="AW157" s="561">
        <v>0</v>
      </c>
      <c r="AX157" s="561">
        <v>0</v>
      </c>
      <c r="AY157" s="561">
        <v>0</v>
      </c>
      <c r="AZ157" s="561">
        <v>0</v>
      </c>
      <c r="BA157" s="561">
        <v>0</v>
      </c>
      <c r="BB157" s="561">
        <v>0</v>
      </c>
      <c r="BC157" s="561">
        <v>0</v>
      </c>
      <c r="BD157" s="561">
        <v>0</v>
      </c>
      <c r="BE157" s="561">
        <v>0</v>
      </c>
      <c r="BF157" s="561">
        <v>0</v>
      </c>
      <c r="BG157" s="561">
        <v>0</v>
      </c>
      <c r="BH157" s="561">
        <v>0</v>
      </c>
      <c r="BI157" s="561">
        <v>0</v>
      </c>
      <c r="BJ157" s="561">
        <v>0</v>
      </c>
      <c r="BK157" s="561">
        <v>0</v>
      </c>
      <c r="BL157" s="561">
        <v>0</v>
      </c>
      <c r="BM157" s="561">
        <v>0</v>
      </c>
      <c r="BN157" s="561">
        <v>0</v>
      </c>
      <c r="BO157" s="561">
        <v>0</v>
      </c>
      <c r="BP157" s="561">
        <v>0</v>
      </c>
      <c r="BQ157" s="561">
        <v>0</v>
      </c>
      <c r="BR157" s="561">
        <v>0</v>
      </c>
      <c r="BS157" s="561">
        <v>0</v>
      </c>
      <c r="BT157" s="561">
        <v>0</v>
      </c>
      <c r="BU157" s="561">
        <v>0</v>
      </c>
      <c r="BV157" s="561">
        <v>0</v>
      </c>
      <c r="BW157" s="561">
        <v>251</v>
      </c>
      <c r="BX157" s="561">
        <v>0</v>
      </c>
      <c r="BY157" s="561">
        <v>0</v>
      </c>
      <c r="BZ157" s="561">
        <v>251</v>
      </c>
      <c r="CA157" s="561">
        <v>0</v>
      </c>
      <c r="CB157" s="561">
        <v>0</v>
      </c>
      <c r="CC157" s="561">
        <v>0</v>
      </c>
      <c r="CD157" s="561">
        <v>0</v>
      </c>
      <c r="CE157" s="561">
        <v>0</v>
      </c>
      <c r="CF157" s="561">
        <v>0</v>
      </c>
      <c r="CG157" s="561">
        <v>0</v>
      </c>
      <c r="CH157" s="561">
        <v>0</v>
      </c>
      <c r="CI157" s="561">
        <v>0</v>
      </c>
      <c r="CJ157" s="561">
        <v>0</v>
      </c>
      <c r="CK157" s="561">
        <v>201</v>
      </c>
      <c r="CL157" s="561">
        <v>0</v>
      </c>
      <c r="CM157" s="561">
        <v>0</v>
      </c>
      <c r="CN157" s="561">
        <v>0</v>
      </c>
      <c r="CO157" s="561">
        <v>0</v>
      </c>
      <c r="CP157" s="561">
        <v>0</v>
      </c>
      <c r="CQ157" s="561">
        <v>0</v>
      </c>
      <c r="CR157" s="561">
        <v>0</v>
      </c>
      <c r="CS157" s="561">
        <v>0</v>
      </c>
      <c r="CT157" s="561">
        <v>0</v>
      </c>
      <c r="CU157" s="561">
        <v>0</v>
      </c>
      <c r="CV157" s="561">
        <v>0</v>
      </c>
      <c r="CW157" s="561">
        <v>0</v>
      </c>
      <c r="CX157" s="561">
        <v>0</v>
      </c>
      <c r="CY157" s="561">
        <v>0</v>
      </c>
      <c r="CZ157" s="561">
        <v>201</v>
      </c>
      <c r="DA157" s="561">
        <v>0</v>
      </c>
      <c r="DB157" s="561">
        <v>0</v>
      </c>
      <c r="DC157" s="561">
        <v>0</v>
      </c>
      <c r="DD157" s="561">
        <v>0</v>
      </c>
      <c r="DE157" s="561">
        <v>0</v>
      </c>
      <c r="DF157" s="561">
        <v>0</v>
      </c>
      <c r="DG157" s="561">
        <v>0</v>
      </c>
      <c r="DH157" s="561">
        <v>532</v>
      </c>
      <c r="DI157" s="561">
        <v>0</v>
      </c>
      <c r="DJ157" s="561">
        <v>73</v>
      </c>
      <c r="DK157" s="561">
        <v>0</v>
      </c>
      <c r="DL157" s="561">
        <v>0</v>
      </c>
      <c r="DM157" s="561">
        <v>0</v>
      </c>
      <c r="DN157" s="561">
        <v>0</v>
      </c>
      <c r="DO157" s="561">
        <v>0</v>
      </c>
      <c r="DP157" s="561">
        <v>540</v>
      </c>
      <c r="DQ157" s="561">
        <v>0</v>
      </c>
      <c r="DR157" s="561">
        <v>27</v>
      </c>
      <c r="DS157" s="561">
        <v>0</v>
      </c>
      <c r="DT157" s="561">
        <v>0</v>
      </c>
      <c r="DU157" s="561">
        <v>567</v>
      </c>
      <c r="DV157" s="561">
        <v>0</v>
      </c>
      <c r="DW157" s="561">
        <v>-129</v>
      </c>
      <c r="DX157" s="561">
        <v>0</v>
      </c>
      <c r="DY157" s="561">
        <v>1086</v>
      </c>
      <c r="DZ157" s="561">
        <v>-81</v>
      </c>
      <c r="EA157" s="561">
        <v>0</v>
      </c>
      <c r="EB157" s="561">
        <v>0</v>
      </c>
      <c r="EC157" s="561">
        <v>2048</v>
      </c>
      <c r="ED157" s="561">
        <v>0</v>
      </c>
      <c r="EE157" s="561">
        <v>0</v>
      </c>
      <c r="EF157" s="561">
        <v>0</v>
      </c>
      <c r="EG157" s="561">
        <v>0</v>
      </c>
      <c r="EH157" s="561">
        <v>0</v>
      </c>
      <c r="EI157" s="561">
        <v>0</v>
      </c>
      <c r="EJ157" s="561">
        <v>0</v>
      </c>
      <c r="EK157" s="561">
        <v>0</v>
      </c>
      <c r="EL157" s="561">
        <v>0</v>
      </c>
      <c r="EM157" s="561">
        <v>0</v>
      </c>
      <c r="EN157" s="561">
        <v>0</v>
      </c>
      <c r="EO157" s="561">
        <v>0</v>
      </c>
      <c r="EP157" s="561">
        <v>0</v>
      </c>
      <c r="EQ157" s="561">
        <v>0</v>
      </c>
      <c r="ER157" s="561">
        <v>0</v>
      </c>
      <c r="ES157" s="561" t="s">
        <v>4565</v>
      </c>
      <c r="ET157" s="561">
        <v>0</v>
      </c>
      <c r="EU157" s="561">
        <v>0</v>
      </c>
      <c r="EV157" s="561">
        <v>0</v>
      </c>
      <c r="EW157" s="561">
        <v>0</v>
      </c>
      <c r="EX157" s="561">
        <v>0</v>
      </c>
      <c r="EY157" s="561">
        <v>0</v>
      </c>
      <c r="EZ157" s="561">
        <v>0</v>
      </c>
      <c r="FA157" s="561">
        <v>0</v>
      </c>
      <c r="FB157" s="561">
        <v>0</v>
      </c>
      <c r="FC157" s="561">
        <v>0</v>
      </c>
      <c r="FD157" s="561">
        <v>0</v>
      </c>
      <c r="FE157" s="561">
        <v>0</v>
      </c>
      <c r="FF157" s="561">
        <v>10</v>
      </c>
      <c r="FG157" s="561">
        <v>0</v>
      </c>
      <c r="FH157" s="561">
        <v>0</v>
      </c>
      <c r="FI157" s="561">
        <v>273</v>
      </c>
      <c r="FJ157" s="561">
        <v>485</v>
      </c>
      <c r="FK157" s="561">
        <v>184</v>
      </c>
      <c r="FL157" s="561">
        <v>-4</v>
      </c>
      <c r="FM157" s="561">
        <v>21</v>
      </c>
      <c r="FN157" s="561">
        <v>0</v>
      </c>
      <c r="FO157" s="561">
        <v>969</v>
      </c>
      <c r="FP157" s="561">
        <v>0</v>
      </c>
      <c r="FQ157" s="561">
        <v>106</v>
      </c>
      <c r="FR157" s="561">
        <v>0</v>
      </c>
      <c r="FS157" s="561">
        <v>0</v>
      </c>
      <c r="FT157" s="561">
        <v>0</v>
      </c>
      <c r="FU157" s="561">
        <v>0</v>
      </c>
      <c r="FV157" s="561">
        <v>0</v>
      </c>
      <c r="FW157" s="561">
        <v>0</v>
      </c>
      <c r="FX157" s="561">
        <v>0</v>
      </c>
      <c r="FY157" s="561">
        <v>0</v>
      </c>
      <c r="FZ157" s="561">
        <v>18</v>
      </c>
      <c r="GA157" s="561">
        <v>48</v>
      </c>
      <c r="GB157" s="561">
        <v>573</v>
      </c>
      <c r="GC157" s="561">
        <v>2</v>
      </c>
      <c r="GD157" s="561">
        <v>100</v>
      </c>
      <c r="GE157" s="561">
        <v>49</v>
      </c>
      <c r="GF157" s="561">
        <v>47</v>
      </c>
      <c r="GG157" s="561">
        <v>18</v>
      </c>
      <c r="GH157" s="561">
        <v>0</v>
      </c>
      <c r="GI157" s="561">
        <v>0</v>
      </c>
      <c r="GJ157" s="561">
        <v>0</v>
      </c>
      <c r="GK157" s="561">
        <v>0</v>
      </c>
      <c r="GL157" s="561">
        <v>1092</v>
      </c>
      <c r="GM157" s="561">
        <v>1961</v>
      </c>
      <c r="GN157" s="561">
        <v>0</v>
      </c>
      <c r="GO157" s="561">
        <v>-382</v>
      </c>
      <c r="GP157" s="561">
        <v>1424</v>
      </c>
      <c r="GQ157" s="561">
        <v>0</v>
      </c>
      <c r="GR157" s="561">
        <v>0</v>
      </c>
      <c r="GS157" s="561">
        <v>5056</v>
      </c>
      <c r="GT157" s="561">
        <v>0</v>
      </c>
      <c r="GU157" s="561">
        <v>194</v>
      </c>
      <c r="GV157" s="561">
        <v>145</v>
      </c>
      <c r="GW157" s="561">
        <v>0</v>
      </c>
      <c r="GX157" s="561">
        <v>1739</v>
      </c>
      <c r="GY157" s="561">
        <v>0</v>
      </c>
      <c r="GZ157" s="561">
        <v>-9</v>
      </c>
      <c r="HA157" s="561">
        <v>0</v>
      </c>
      <c r="HB157" s="561">
        <v>50</v>
      </c>
      <c r="HC157" s="561">
        <v>0</v>
      </c>
      <c r="HD157" s="561">
        <v>2119</v>
      </c>
      <c r="HE157" s="561">
        <v>0</v>
      </c>
      <c r="HF157" s="561">
        <v>8144</v>
      </c>
      <c r="HG157" s="561">
        <v>0</v>
      </c>
      <c r="HH157" s="561">
        <v>0</v>
      </c>
      <c r="HI157" s="561">
        <v>0</v>
      </c>
      <c r="HJ157" s="561">
        <v>0</v>
      </c>
      <c r="HK157" s="561">
        <v>0</v>
      </c>
      <c r="HL157" s="561">
        <v>0</v>
      </c>
      <c r="HM157" s="561">
        <v>0</v>
      </c>
      <c r="HN157" s="561">
        <v>0</v>
      </c>
      <c r="HO157" s="561">
        <v>2109</v>
      </c>
      <c r="HP157" s="561">
        <v>-181</v>
      </c>
      <c r="HQ157" s="561">
        <v>0</v>
      </c>
      <c r="HR157" s="561">
        <v>60</v>
      </c>
      <c r="HS157" s="561">
        <v>0</v>
      </c>
      <c r="HT157" s="561">
        <v>-275</v>
      </c>
      <c r="HU157" s="561">
        <v>0</v>
      </c>
      <c r="HV157" s="561">
        <v>0</v>
      </c>
      <c r="HW157" s="561">
        <v>2</v>
      </c>
      <c r="HX157" s="561">
        <v>82</v>
      </c>
      <c r="HY157" s="561">
        <v>8</v>
      </c>
      <c r="HZ157" s="561">
        <v>-63</v>
      </c>
      <c r="IA157" s="561">
        <v>0</v>
      </c>
      <c r="IB157" s="561">
        <v>146</v>
      </c>
      <c r="IC157" s="561">
        <v>0</v>
      </c>
      <c r="ID157" s="561">
        <v>0</v>
      </c>
      <c r="IE157" s="561">
        <v>0</v>
      </c>
      <c r="IF157" s="561">
        <v>379</v>
      </c>
      <c r="IG157" s="561">
        <v>0</v>
      </c>
      <c r="IH157" s="561">
        <v>6152</v>
      </c>
      <c r="II157" s="561">
        <v>8419</v>
      </c>
      <c r="IJ157" s="561">
        <v>0</v>
      </c>
      <c r="IK157" s="561">
        <v>0</v>
      </c>
      <c r="IL157" s="561">
        <v>0</v>
      </c>
      <c r="IM157" s="561">
        <v>0</v>
      </c>
      <c r="IN157" s="561">
        <v>0</v>
      </c>
      <c r="IO157" s="561">
        <v>2638</v>
      </c>
      <c r="IP157" s="561">
        <v>0</v>
      </c>
      <c r="IQ157" s="561">
        <v>0</v>
      </c>
      <c r="IR157" s="561">
        <v>0</v>
      </c>
      <c r="IS157" s="561">
        <v>-490</v>
      </c>
      <c r="IT157" s="561">
        <v>0</v>
      </c>
      <c r="IU157" s="561">
        <v>251</v>
      </c>
      <c r="IV157" s="561">
        <v>201</v>
      </c>
      <c r="IW157" s="561">
        <v>2048</v>
      </c>
      <c r="IX157" s="561">
        <v>969</v>
      </c>
      <c r="IY157" s="561">
        <v>5056</v>
      </c>
      <c r="IZ157" s="561">
        <v>2119</v>
      </c>
      <c r="JA157" s="561">
        <v>0</v>
      </c>
      <c r="JB157" s="561">
        <v>0</v>
      </c>
      <c r="JC157" s="561">
        <v>8419</v>
      </c>
      <c r="JD157" s="561">
        <v>0</v>
      </c>
      <c r="JE157" s="561">
        <v>18573</v>
      </c>
      <c r="JF157" s="561">
        <v>8266</v>
      </c>
      <c r="JG157" s="561">
        <v>0</v>
      </c>
      <c r="JH157" s="561">
        <v>0</v>
      </c>
      <c r="JI157" s="561">
        <v>0</v>
      </c>
      <c r="JJ157" s="561">
        <v>0</v>
      </c>
      <c r="JK157" s="561">
        <v>2532</v>
      </c>
      <c r="JL157" s="561">
        <v>0</v>
      </c>
      <c r="JM157" s="561">
        <v>0</v>
      </c>
      <c r="JN157" s="561">
        <v>0</v>
      </c>
      <c r="JO157" s="561">
        <v>0</v>
      </c>
      <c r="JP157" s="561">
        <v>16</v>
      </c>
      <c r="JQ157" s="561">
        <v>0</v>
      </c>
      <c r="JR157" s="561">
        <v>0</v>
      </c>
      <c r="JS157" s="561">
        <v>0</v>
      </c>
      <c r="JT157" s="561">
        <v>0</v>
      </c>
      <c r="JU157" s="561">
        <v>0</v>
      </c>
      <c r="JV157" s="561">
        <v>29387</v>
      </c>
      <c r="JW157" s="561">
        <v>0</v>
      </c>
      <c r="JX157" s="561">
        <v>0</v>
      </c>
      <c r="JY157" s="561">
        <v>0</v>
      </c>
      <c r="JZ157" s="561">
        <v>0</v>
      </c>
      <c r="KA157" s="561">
        <v>0</v>
      </c>
      <c r="KB157" s="561">
        <v>0</v>
      </c>
      <c r="KC157" s="561">
        <v>759</v>
      </c>
      <c r="KD157" s="561">
        <v>0</v>
      </c>
      <c r="KE157" s="561">
        <v>74</v>
      </c>
      <c r="KF157" s="561">
        <v>0</v>
      </c>
      <c r="KG157" s="561">
        <v>30220</v>
      </c>
      <c r="KH157" s="561">
        <v>-2885</v>
      </c>
      <c r="KI157" s="561">
        <v>0</v>
      </c>
      <c r="KJ157" s="561">
        <v>992</v>
      </c>
      <c r="KK157" s="561">
        <v>0</v>
      </c>
      <c r="KL157" s="561">
        <v>-7671</v>
      </c>
      <c r="KM157" s="561">
        <v>0</v>
      </c>
      <c r="KN157" s="561">
        <v>0</v>
      </c>
      <c r="KO157" s="561">
        <v>0</v>
      </c>
      <c r="KP157" s="561">
        <v>0</v>
      </c>
      <c r="KQ157" s="561">
        <v>0</v>
      </c>
      <c r="KR157" s="561">
        <v>20656</v>
      </c>
      <c r="KS157" s="561">
        <v>0</v>
      </c>
      <c r="KT157" s="561">
        <v>-3091</v>
      </c>
      <c r="KU157" s="561">
        <v>17565</v>
      </c>
      <c r="KV157" s="561">
        <v>0</v>
      </c>
      <c r="KW157" s="561">
        <v>0</v>
      </c>
      <c r="KX157" s="561">
        <v>0</v>
      </c>
      <c r="KY157" s="561">
        <v>0</v>
      </c>
      <c r="KZ157" s="561">
        <v>3654</v>
      </c>
      <c r="LA157" s="561">
        <v>6800</v>
      </c>
      <c r="LB157" s="561">
        <v>-72</v>
      </c>
      <c r="LC157" s="561">
        <v>0</v>
      </c>
      <c r="LD157" s="561">
        <v>-14916</v>
      </c>
      <c r="LE157" s="561">
        <v>0</v>
      </c>
      <c r="LF157" s="561">
        <v>-3572</v>
      </c>
      <c r="LG157" s="561">
        <v>9459</v>
      </c>
      <c r="LH157" s="561">
        <v>0</v>
      </c>
      <c r="LI157" s="561">
        <v>0</v>
      </c>
      <c r="LJ157" s="561">
        <v>0</v>
      </c>
      <c r="LK157" s="561">
        <v>0</v>
      </c>
      <c r="LL157" s="561">
        <v>19529</v>
      </c>
      <c r="LM157" s="561">
        <v>2283</v>
      </c>
      <c r="LN157" s="561">
        <v>0</v>
      </c>
      <c r="LO157" s="561">
        <v>0</v>
      </c>
      <c r="LP157" s="561">
        <v>0</v>
      </c>
      <c r="LQ157" s="561">
        <v>0</v>
      </c>
      <c r="LR157" s="561">
        <v>23183</v>
      </c>
      <c r="LS157" s="561">
        <v>9083</v>
      </c>
      <c r="LT157" s="561">
        <v>0</v>
      </c>
      <c r="LU157" s="561">
        <v>949</v>
      </c>
      <c r="LV157" s="561">
        <v>0</v>
      </c>
      <c r="LW157" s="561">
        <v>0</v>
      </c>
      <c r="LX157" s="561">
        <v>0</v>
      </c>
      <c r="LY157" s="561">
        <v>0</v>
      </c>
      <c r="LZ157" s="561">
        <v>949</v>
      </c>
      <c r="MA157" s="561">
        <v>0</v>
      </c>
      <c r="MB157" s="561">
        <v>0</v>
      </c>
      <c r="MC157" s="561">
        <v>0</v>
      </c>
      <c r="MD157" s="561">
        <v>0</v>
      </c>
      <c r="ME157" s="561">
        <v>0</v>
      </c>
      <c r="MF157" s="561">
        <v>0</v>
      </c>
      <c r="MG157" s="561">
        <v>0</v>
      </c>
      <c r="MH157" s="561">
        <v>1731</v>
      </c>
      <c r="MI157" s="561">
        <v>1704</v>
      </c>
      <c r="MJ157" s="561">
        <v>3435</v>
      </c>
      <c r="MK157" s="561">
        <v>0</v>
      </c>
      <c r="ML157" s="561">
        <v>2325</v>
      </c>
      <c r="MM157" s="561">
        <v>7942</v>
      </c>
      <c r="MN157" s="561">
        <v>1000</v>
      </c>
      <c r="MO157" s="561">
        <v>11916</v>
      </c>
      <c r="MP157" s="561">
        <v>0</v>
      </c>
      <c r="MQ157" s="561">
        <v>0</v>
      </c>
      <c r="MR157" s="561">
        <v>-490</v>
      </c>
      <c r="MS157" s="561">
        <v>0</v>
      </c>
      <c r="MT157" s="561">
        <v>251</v>
      </c>
      <c r="MU157" s="561">
        <v>201</v>
      </c>
      <c r="MV157" s="561">
        <v>2048</v>
      </c>
      <c r="MW157" s="561">
        <v>969</v>
      </c>
      <c r="MX157" s="561">
        <v>5056</v>
      </c>
      <c r="MY157" s="561">
        <v>2119</v>
      </c>
      <c r="MZ157" s="561">
        <v>0</v>
      </c>
      <c r="NA157" s="561">
        <v>0</v>
      </c>
      <c r="NB157" s="561">
        <v>8419</v>
      </c>
      <c r="NC157" s="561">
        <v>0</v>
      </c>
      <c r="ND157" s="561">
        <v>18573</v>
      </c>
      <c r="NE157" s="561">
        <v>0</v>
      </c>
      <c r="NF157" s="561">
        <v>0</v>
      </c>
      <c r="NG157" s="561">
        <v>0</v>
      </c>
      <c r="NH157" s="561">
        <v>0</v>
      </c>
      <c r="NI157" s="561">
        <v>0</v>
      </c>
      <c r="NJ157" s="561">
        <v>0</v>
      </c>
      <c r="NK157" s="561">
        <v>0</v>
      </c>
      <c r="NL157" s="561">
        <v>0</v>
      </c>
      <c r="NM157" s="561">
        <v>0</v>
      </c>
      <c r="NN157" s="561">
        <v>0</v>
      </c>
      <c r="NO157" s="561">
        <v>0</v>
      </c>
      <c r="NP157" s="561">
        <v>0</v>
      </c>
      <c r="NQ157" s="561">
        <v>0</v>
      </c>
      <c r="NR157" s="561">
        <v>0</v>
      </c>
      <c r="NS157" s="561">
        <v>0</v>
      </c>
      <c r="NT157" s="561">
        <v>0</v>
      </c>
      <c r="NU157" s="561">
        <v>0</v>
      </c>
      <c r="NV157" s="561">
        <v>16</v>
      </c>
      <c r="NW157" s="561">
        <v>16</v>
      </c>
      <c r="NX157" s="561">
        <v>0</v>
      </c>
      <c r="NY157" s="561">
        <v>16</v>
      </c>
      <c r="NZ157" s="561">
        <v>0</v>
      </c>
      <c r="OA157" s="561">
        <v>0</v>
      </c>
      <c r="OB157" s="561">
        <v>0</v>
      </c>
      <c r="OC157" s="561">
        <v>0</v>
      </c>
      <c r="OD157" s="561">
        <v>0</v>
      </c>
      <c r="OE157" s="561">
        <v>0</v>
      </c>
      <c r="OF157" s="561">
        <v>0</v>
      </c>
      <c r="OG157" s="561">
        <v>0</v>
      </c>
      <c r="OH157" s="561">
        <v>0</v>
      </c>
      <c r="OI157" s="561">
        <v>0</v>
      </c>
      <c r="OJ157" s="561">
        <v>0</v>
      </c>
      <c r="OK157" s="561">
        <v>0</v>
      </c>
      <c r="OL157" s="561">
        <v>0</v>
      </c>
      <c r="OM157" s="561">
        <v>0</v>
      </c>
      <c r="ON157" s="561">
        <v>0</v>
      </c>
      <c r="OO157" s="561">
        <v>0</v>
      </c>
      <c r="OP157" s="561">
        <v>0</v>
      </c>
      <c r="OQ157" s="561">
        <v>0</v>
      </c>
      <c r="OR157" s="561">
        <v>0</v>
      </c>
      <c r="OS157" s="561">
        <v>0</v>
      </c>
      <c r="OT157" s="561">
        <v>0</v>
      </c>
      <c r="OU157" s="561">
        <v>0</v>
      </c>
      <c r="OV157" s="561">
        <v>0</v>
      </c>
      <c r="OW157" s="561">
        <v>0</v>
      </c>
      <c r="OX157" s="561">
        <v>0</v>
      </c>
      <c r="OY157" s="561">
        <v>0</v>
      </c>
      <c r="OZ157" s="561">
        <v>0</v>
      </c>
      <c r="PA157" s="561">
        <v>0</v>
      </c>
      <c r="PB157" s="561">
        <v>0</v>
      </c>
      <c r="PC157" s="561">
        <v>0</v>
      </c>
      <c r="PD157" s="561">
        <v>0</v>
      </c>
      <c r="PE157" s="561">
        <v>0</v>
      </c>
      <c r="PF157" s="561">
        <v>0</v>
      </c>
      <c r="PG157" s="561">
        <v>0</v>
      </c>
      <c r="PH157" s="561">
        <v>0</v>
      </c>
      <c r="PI157" s="561">
        <v>0</v>
      </c>
      <c r="PJ157" s="561">
        <v>0</v>
      </c>
    </row>
    <row r="158" spans="1:426" ht="14" x14ac:dyDescent="0.3">
      <c r="A158" t="s">
        <v>2909</v>
      </c>
      <c r="B158" t="s">
        <v>2910</v>
      </c>
      <c r="C158" t="s">
        <v>2911</v>
      </c>
      <c r="E158" t="s">
        <v>2476</v>
      </c>
      <c r="F158" s="561">
        <v>33846</v>
      </c>
      <c r="G158" s="561">
        <v>133460</v>
      </c>
      <c r="H158" s="561">
        <v>55892</v>
      </c>
      <c r="I158" s="561">
        <v>33912</v>
      </c>
      <c r="J158" s="561">
        <v>9778.48</v>
      </c>
      <c r="K158" s="561">
        <v>18593.87</v>
      </c>
      <c r="L158" s="561">
        <v>285482.34999999998</v>
      </c>
      <c r="M158" s="561">
        <v>6146</v>
      </c>
      <c r="N158" s="561">
        <v>56</v>
      </c>
      <c r="O158" s="561">
        <v>24</v>
      </c>
      <c r="P158" s="561">
        <v>95</v>
      </c>
      <c r="Q158" s="561">
        <v>0</v>
      </c>
      <c r="R158" s="561">
        <v>0</v>
      </c>
      <c r="S158" s="561">
        <v>513</v>
      </c>
      <c r="T158" s="561">
        <v>4560</v>
      </c>
      <c r="U158" s="561">
        <v>183</v>
      </c>
      <c r="V158" s="561">
        <v>1537</v>
      </c>
      <c r="W158" s="561">
        <v>0</v>
      </c>
      <c r="X158" s="561">
        <v>0</v>
      </c>
      <c r="Y158" s="561">
        <v>665</v>
      </c>
      <c r="Z158" s="561">
        <v>-797</v>
      </c>
      <c r="AA158" s="561">
        <v>-31514</v>
      </c>
      <c r="AB158" s="561">
        <v>236</v>
      </c>
      <c r="AC158" s="561">
        <v>13169</v>
      </c>
      <c r="AD158" s="561">
        <v>0</v>
      </c>
      <c r="AE158" s="561">
        <v>0</v>
      </c>
      <c r="AF158" s="561">
        <v>0</v>
      </c>
      <c r="AG158" s="561">
        <v>0</v>
      </c>
      <c r="AH158" s="561">
        <v>0</v>
      </c>
      <c r="AI158" s="561">
        <v>0</v>
      </c>
      <c r="AJ158" s="561">
        <v>-11273</v>
      </c>
      <c r="AK158" s="561">
        <v>2047</v>
      </c>
      <c r="AL158" s="561">
        <v>0</v>
      </c>
      <c r="AM158" s="561">
        <v>0</v>
      </c>
      <c r="AN158" s="561">
        <v>0</v>
      </c>
      <c r="AO158" s="561">
        <v>0</v>
      </c>
      <c r="AP158" s="561">
        <v>0</v>
      </c>
      <c r="AQ158" s="561">
        <v>0</v>
      </c>
      <c r="AR158" s="561">
        <v>0</v>
      </c>
      <c r="AS158" s="561">
        <v>35855</v>
      </c>
      <c r="AT158" s="561">
        <v>12338</v>
      </c>
      <c r="AU158" s="561">
        <v>0</v>
      </c>
      <c r="AV158" s="561">
        <v>0</v>
      </c>
      <c r="AW158" s="561">
        <v>0</v>
      </c>
      <c r="AX158" s="561">
        <v>1686</v>
      </c>
      <c r="AY158" s="561">
        <v>38423</v>
      </c>
      <c r="AZ158" s="561">
        <v>661</v>
      </c>
      <c r="BA158" s="561">
        <v>14262</v>
      </c>
      <c r="BB158" s="561">
        <v>2069</v>
      </c>
      <c r="BC158" s="561">
        <v>17586</v>
      </c>
      <c r="BD158" s="561">
        <v>3711</v>
      </c>
      <c r="BE158" s="561">
        <v>4057</v>
      </c>
      <c r="BF158" s="561">
        <v>82455</v>
      </c>
      <c r="BG158" s="561">
        <v>6896</v>
      </c>
      <c r="BH158" s="561">
        <v>11702</v>
      </c>
      <c r="BI158" s="561">
        <v>32514</v>
      </c>
      <c r="BJ158" s="561">
        <v>701</v>
      </c>
      <c r="BK158" s="561">
        <v>583</v>
      </c>
      <c r="BL158" s="561">
        <v>503</v>
      </c>
      <c r="BM158" s="561">
        <v>3882</v>
      </c>
      <c r="BN158" s="561">
        <v>39125</v>
      </c>
      <c r="BO158" s="561">
        <v>2732</v>
      </c>
      <c r="BP158" s="561">
        <v>13136</v>
      </c>
      <c r="BQ158" s="561">
        <v>5456</v>
      </c>
      <c r="BR158" s="561">
        <v>0</v>
      </c>
      <c r="BS158" s="561">
        <v>631</v>
      </c>
      <c r="BT158" s="561">
        <v>0</v>
      </c>
      <c r="BU158" s="561">
        <v>240</v>
      </c>
      <c r="BV158" s="561">
        <v>1016</v>
      </c>
      <c r="BW158" s="561">
        <v>7205</v>
      </c>
      <c r="BX158" s="561">
        <v>2159</v>
      </c>
      <c r="BY158" s="561">
        <v>9711</v>
      </c>
      <c r="BZ158" s="561">
        <v>131296</v>
      </c>
      <c r="CA158" s="561">
        <v>7618</v>
      </c>
      <c r="CB158" s="561">
        <v>6790</v>
      </c>
      <c r="CC158" s="561">
        <v>91</v>
      </c>
      <c r="CD158" s="561">
        <v>455</v>
      </c>
      <c r="CE158" s="561">
        <v>102</v>
      </c>
      <c r="CF158" s="561">
        <v>102</v>
      </c>
      <c r="CG158" s="561">
        <v>2</v>
      </c>
      <c r="CH158" s="561">
        <v>0</v>
      </c>
      <c r="CI158" s="561">
        <v>208</v>
      </c>
      <c r="CJ158" s="561">
        <v>179</v>
      </c>
      <c r="CK158" s="561">
        <v>745</v>
      </c>
      <c r="CL158" s="561">
        <v>0</v>
      </c>
      <c r="CM158" s="561">
        <v>3163</v>
      </c>
      <c r="CN158" s="561">
        <v>1107</v>
      </c>
      <c r="CO158" s="561">
        <v>0</v>
      </c>
      <c r="CP158" s="561">
        <v>0</v>
      </c>
      <c r="CQ158" s="561">
        <v>427</v>
      </c>
      <c r="CR158" s="561">
        <v>35</v>
      </c>
      <c r="CS158" s="561">
        <v>0</v>
      </c>
      <c r="CT158" s="561">
        <v>289</v>
      </c>
      <c r="CU158" s="561">
        <v>7043</v>
      </c>
      <c r="CV158" s="561">
        <v>768</v>
      </c>
      <c r="CW158" s="561">
        <v>0</v>
      </c>
      <c r="CX158" s="561">
        <v>2617</v>
      </c>
      <c r="CY158" s="561">
        <v>2336</v>
      </c>
      <c r="CZ158" s="561">
        <v>26459</v>
      </c>
      <c r="DA158" s="561">
        <v>107</v>
      </c>
      <c r="DB158" s="561">
        <v>0</v>
      </c>
      <c r="DC158" s="561">
        <v>0</v>
      </c>
      <c r="DD158" s="561">
        <v>0</v>
      </c>
      <c r="DE158" s="561">
        <v>0</v>
      </c>
      <c r="DF158" s="561">
        <v>0</v>
      </c>
      <c r="DG158" s="561">
        <v>0</v>
      </c>
      <c r="DH158" s="561">
        <v>0</v>
      </c>
      <c r="DI158" s="561">
        <v>0</v>
      </c>
      <c r="DJ158" s="561">
        <v>-460</v>
      </c>
      <c r="DK158" s="561">
        <v>0</v>
      </c>
      <c r="DL158" s="561">
        <v>13221</v>
      </c>
      <c r="DM158" s="561">
        <v>4696</v>
      </c>
      <c r="DN158" s="561">
        <v>336</v>
      </c>
      <c r="DO158" s="561">
        <v>5146</v>
      </c>
      <c r="DP158" s="561">
        <v>180</v>
      </c>
      <c r="DQ158" s="561">
        <v>1588</v>
      </c>
      <c r="DR158" s="561">
        <v>4816</v>
      </c>
      <c r="DS158" s="561">
        <v>883</v>
      </c>
      <c r="DT158" s="561">
        <v>5787</v>
      </c>
      <c r="DU158" s="561">
        <v>36653</v>
      </c>
      <c r="DV158" s="561">
        <v>0</v>
      </c>
      <c r="DW158" s="561">
        <v>0</v>
      </c>
      <c r="DX158" s="561">
        <v>0</v>
      </c>
      <c r="DY158" s="561">
        <v>132</v>
      </c>
      <c r="DZ158" s="561">
        <v>0</v>
      </c>
      <c r="EA158" s="561">
        <v>6264</v>
      </c>
      <c r="EB158" s="561">
        <v>0</v>
      </c>
      <c r="EC158" s="561">
        <v>42589</v>
      </c>
      <c r="ED158" s="561">
        <v>850</v>
      </c>
      <c r="EE158" s="561">
        <v>100373</v>
      </c>
      <c r="EF158" s="561">
        <v>708</v>
      </c>
      <c r="EG158" s="561">
        <v>27423</v>
      </c>
      <c r="EH158" s="561">
        <v>3401</v>
      </c>
      <c r="EI158" s="561">
        <v>0</v>
      </c>
      <c r="EJ158" s="561">
        <v>4886</v>
      </c>
      <c r="EK158" s="561">
        <v>0</v>
      </c>
      <c r="EL158" s="561">
        <v>22891</v>
      </c>
      <c r="EM158" s="561">
        <v>5</v>
      </c>
      <c r="EN158" s="561">
        <v>40191</v>
      </c>
      <c r="EO158" s="561">
        <v>43843</v>
      </c>
      <c r="EP158" s="561">
        <v>0</v>
      </c>
      <c r="EQ158" s="561">
        <v>5897</v>
      </c>
      <c r="ER158" s="561">
        <v>16943</v>
      </c>
      <c r="ES158" s="561" t="s">
        <v>4565</v>
      </c>
      <c r="ET158" s="561">
        <v>22891</v>
      </c>
      <c r="EU158" s="561">
        <v>1600</v>
      </c>
      <c r="EV158" s="561">
        <v>49</v>
      </c>
      <c r="EW158" s="561">
        <v>0</v>
      </c>
      <c r="EX158" s="561">
        <v>23248</v>
      </c>
      <c r="EY158" s="561">
        <v>2028</v>
      </c>
      <c r="EZ158" s="561">
        <v>2997</v>
      </c>
      <c r="FA158" s="561">
        <v>22348</v>
      </c>
      <c r="FB158" s="561">
        <v>121</v>
      </c>
      <c r="FC158" s="561">
        <v>472</v>
      </c>
      <c r="FD158" s="561">
        <v>1755</v>
      </c>
      <c r="FE158" s="561">
        <v>404</v>
      </c>
      <c r="FF158" s="561">
        <v>0</v>
      </c>
      <c r="FG158" s="561">
        <v>0</v>
      </c>
      <c r="FH158" s="561">
        <v>0</v>
      </c>
      <c r="FI158" s="561">
        <v>1185</v>
      </c>
      <c r="FJ158" s="561">
        <v>198</v>
      </c>
      <c r="FK158" s="561">
        <v>2951</v>
      </c>
      <c r="FL158" s="561">
        <v>0</v>
      </c>
      <c r="FM158" s="561">
        <v>0</v>
      </c>
      <c r="FN158" s="561">
        <v>4670</v>
      </c>
      <c r="FO158" s="561">
        <v>11756</v>
      </c>
      <c r="FP158" s="561">
        <v>850</v>
      </c>
      <c r="FQ158" s="561">
        <v>-1024</v>
      </c>
      <c r="FR158" s="561">
        <v>124</v>
      </c>
      <c r="FS158" s="561">
        <v>0</v>
      </c>
      <c r="FT158" s="561">
        <v>608</v>
      </c>
      <c r="FU158" s="561">
        <v>363</v>
      </c>
      <c r="FV158" s="561">
        <v>0</v>
      </c>
      <c r="FW158" s="561">
        <v>0</v>
      </c>
      <c r="FX158" s="561">
        <v>0</v>
      </c>
      <c r="FY158" s="561">
        <v>0</v>
      </c>
      <c r="FZ158" s="561">
        <v>2</v>
      </c>
      <c r="GA158" s="561">
        <v>-31</v>
      </c>
      <c r="GB158" s="561">
        <v>19</v>
      </c>
      <c r="GC158" s="561">
        <v>-146</v>
      </c>
      <c r="GD158" s="561">
        <v>3053</v>
      </c>
      <c r="GE158" s="561">
        <v>0</v>
      </c>
      <c r="GF158" s="561">
        <v>595</v>
      </c>
      <c r="GG158" s="561">
        <v>0</v>
      </c>
      <c r="GH158" s="561">
        <v>0</v>
      </c>
      <c r="GI158" s="561">
        <v>0</v>
      </c>
      <c r="GJ158" s="561">
        <v>0</v>
      </c>
      <c r="GK158" s="561">
        <v>0</v>
      </c>
      <c r="GL158" s="561">
        <v>13449</v>
      </c>
      <c r="GM158" s="561">
        <v>2276</v>
      </c>
      <c r="GN158" s="561">
        <v>0</v>
      </c>
      <c r="GO158" s="561">
        <v>-236</v>
      </c>
      <c r="GP158" s="561">
        <v>3309</v>
      </c>
      <c r="GQ158" s="561">
        <v>0</v>
      </c>
      <c r="GR158" s="561">
        <v>1085</v>
      </c>
      <c r="GS158" s="561">
        <v>23446</v>
      </c>
      <c r="GT158" s="561">
        <v>381</v>
      </c>
      <c r="GU158" s="561">
        <v>477</v>
      </c>
      <c r="GV158" s="561">
        <v>1588</v>
      </c>
      <c r="GW158" s="561">
        <v>0</v>
      </c>
      <c r="GX158" s="561">
        <v>874</v>
      </c>
      <c r="GY158" s="561">
        <v>0</v>
      </c>
      <c r="GZ158" s="561">
        <v>3192</v>
      </c>
      <c r="HA158" s="561">
        <v>0</v>
      </c>
      <c r="HB158" s="561">
        <v>-340</v>
      </c>
      <c r="HC158" s="561">
        <v>494</v>
      </c>
      <c r="HD158" s="561">
        <v>6285</v>
      </c>
      <c r="HE158" s="561">
        <v>2029</v>
      </c>
      <c r="HF158" s="561">
        <v>41487</v>
      </c>
      <c r="HG158" s="561">
        <v>3260</v>
      </c>
      <c r="HH158" s="561">
        <v>0</v>
      </c>
      <c r="HI158" s="561">
        <v>0</v>
      </c>
      <c r="HJ158" s="561">
        <v>0</v>
      </c>
      <c r="HK158" s="561">
        <v>0</v>
      </c>
      <c r="HL158" s="561">
        <v>0</v>
      </c>
      <c r="HM158" s="561">
        <v>0</v>
      </c>
      <c r="HN158" s="561">
        <v>0</v>
      </c>
      <c r="HO158" s="561">
        <v>7037</v>
      </c>
      <c r="HP158" s="561">
        <v>1806</v>
      </c>
      <c r="HQ158" s="561">
        <v>0</v>
      </c>
      <c r="HR158" s="561">
        <v>0</v>
      </c>
      <c r="HS158" s="561">
        <v>3288</v>
      </c>
      <c r="HT158" s="561">
        <v>229</v>
      </c>
      <c r="HU158" s="561">
        <v>90</v>
      </c>
      <c r="HV158" s="561">
        <v>-154</v>
      </c>
      <c r="HW158" s="561">
        <v>858</v>
      </c>
      <c r="HX158" s="561">
        <v>1932</v>
      </c>
      <c r="HY158" s="561">
        <v>388</v>
      </c>
      <c r="HZ158" s="561">
        <v>102</v>
      </c>
      <c r="IA158" s="561">
        <v>0</v>
      </c>
      <c r="IB158" s="561">
        <v>0</v>
      </c>
      <c r="IC158" s="561">
        <v>400</v>
      </c>
      <c r="ID158" s="561">
        <v>0</v>
      </c>
      <c r="IE158" s="561">
        <v>3286</v>
      </c>
      <c r="IF158" s="561">
        <v>1873</v>
      </c>
      <c r="IG158" s="561">
        <v>0</v>
      </c>
      <c r="IH158" s="561">
        <v>-10652</v>
      </c>
      <c r="II158" s="561">
        <v>10483</v>
      </c>
      <c r="IJ158" s="561">
        <v>6788</v>
      </c>
      <c r="IK158" s="561">
        <v>0</v>
      </c>
      <c r="IL158" s="561">
        <v>46698</v>
      </c>
      <c r="IM158" s="561">
        <v>0</v>
      </c>
      <c r="IN158" s="561">
        <v>0</v>
      </c>
      <c r="IO158" s="561">
        <v>0</v>
      </c>
      <c r="IP158" s="561">
        <v>0</v>
      </c>
      <c r="IQ158" s="561">
        <v>0</v>
      </c>
      <c r="IR158" s="561">
        <v>285482.34999999998</v>
      </c>
      <c r="IS158" s="561">
        <v>-11273</v>
      </c>
      <c r="IT158" s="561">
        <v>82455</v>
      </c>
      <c r="IU158" s="561">
        <v>131296</v>
      </c>
      <c r="IV158" s="561">
        <v>26459</v>
      </c>
      <c r="IW158" s="561">
        <v>42589</v>
      </c>
      <c r="IX158" s="561">
        <v>11756</v>
      </c>
      <c r="IY158" s="561">
        <v>23446</v>
      </c>
      <c r="IZ158" s="561">
        <v>6285</v>
      </c>
      <c r="JA158" s="561">
        <v>0</v>
      </c>
      <c r="JB158" s="561">
        <v>0</v>
      </c>
      <c r="JC158" s="561">
        <v>10483</v>
      </c>
      <c r="JD158" s="561">
        <v>0</v>
      </c>
      <c r="JE158" s="561">
        <v>608978.35</v>
      </c>
      <c r="JF158" s="561">
        <v>88303</v>
      </c>
      <c r="JG158" s="561">
        <v>26826</v>
      </c>
      <c r="JH158" s="561">
        <v>30242</v>
      </c>
      <c r="JI158" s="561">
        <v>0</v>
      </c>
      <c r="JJ158" s="561">
        <v>0</v>
      </c>
      <c r="JK158" s="561">
        <v>0</v>
      </c>
      <c r="JL158" s="561">
        <v>0</v>
      </c>
      <c r="JM158" s="561">
        <v>10098</v>
      </c>
      <c r="JN158" s="561">
        <v>266</v>
      </c>
      <c r="JO158" s="561">
        <v>216</v>
      </c>
      <c r="JP158" s="561">
        <v>2911</v>
      </c>
      <c r="JQ158" s="561">
        <v>1648</v>
      </c>
      <c r="JR158" s="561">
        <v>0</v>
      </c>
      <c r="JS158" s="561">
        <v>0</v>
      </c>
      <c r="JT158" s="561">
        <v>1788</v>
      </c>
      <c r="JU158" s="561">
        <v>6545</v>
      </c>
      <c r="JV158" s="561">
        <v>777821.35</v>
      </c>
      <c r="JW158" s="561">
        <v>195</v>
      </c>
      <c r="JX158" s="561">
        <v>298</v>
      </c>
      <c r="JY158" s="561">
        <v>0</v>
      </c>
      <c r="JZ158" s="561">
        <v>-3330</v>
      </c>
      <c r="KA158" s="561">
        <v>-10000</v>
      </c>
      <c r="KB158" s="561">
        <v>18540</v>
      </c>
      <c r="KC158" s="561">
        <v>31103</v>
      </c>
      <c r="KD158" s="561">
        <v>3787</v>
      </c>
      <c r="KE158" s="561">
        <v>31456</v>
      </c>
      <c r="KF158" s="561">
        <v>-16943</v>
      </c>
      <c r="KG158" s="561">
        <v>832927.35</v>
      </c>
      <c r="KH158" s="561">
        <v>-7771</v>
      </c>
      <c r="KI158" s="561">
        <v>0</v>
      </c>
      <c r="KJ158" s="561">
        <v>0</v>
      </c>
      <c r="KK158" s="561">
        <v>0</v>
      </c>
      <c r="KL158" s="561">
        <v>-156594</v>
      </c>
      <c r="KM158" s="561">
        <v>0</v>
      </c>
      <c r="KN158" s="561">
        <v>-3154</v>
      </c>
      <c r="KO158" s="561">
        <v>0</v>
      </c>
      <c r="KP158" s="561">
        <v>0</v>
      </c>
      <c r="KQ158" s="561">
        <v>0</v>
      </c>
      <c r="KR158" s="561">
        <v>665408.35</v>
      </c>
      <c r="KS158" s="561">
        <v>0</v>
      </c>
      <c r="KT158" s="561">
        <v>-368648</v>
      </c>
      <c r="KU158" s="561">
        <v>296760.34999999998</v>
      </c>
      <c r="KV158" s="561">
        <v>0</v>
      </c>
      <c r="KW158" s="561">
        <v>-1056</v>
      </c>
      <c r="KX158" s="561">
        <v>0</v>
      </c>
      <c r="KY158" s="561">
        <v>-510</v>
      </c>
      <c r="KZ158" s="561">
        <v>-15206</v>
      </c>
      <c r="LA158" s="561">
        <v>0</v>
      </c>
      <c r="LB158" s="561">
        <v>-27333</v>
      </c>
      <c r="LC158" s="561">
        <v>0</v>
      </c>
      <c r="LD158" s="561">
        <v>-116107</v>
      </c>
      <c r="LE158" s="561">
        <v>-2607</v>
      </c>
      <c r="LF158" s="561">
        <v>0</v>
      </c>
      <c r="LG158" s="561">
        <v>133941</v>
      </c>
      <c r="LH158" s="561">
        <v>2401</v>
      </c>
      <c r="LI158" s="561">
        <v>0</v>
      </c>
      <c r="LJ158" s="561">
        <v>0</v>
      </c>
      <c r="LK158" s="561">
        <v>850</v>
      </c>
      <c r="LL158" s="561">
        <v>52280</v>
      </c>
      <c r="LM158" s="561">
        <v>15170</v>
      </c>
      <c r="LN158" s="561">
        <v>1345</v>
      </c>
      <c r="LO158" s="561">
        <v>0</v>
      </c>
      <c r="LP158" s="561">
        <v>0</v>
      </c>
      <c r="LQ158" s="561">
        <v>340</v>
      </c>
      <c r="LR158" s="561">
        <v>37074</v>
      </c>
      <c r="LS158" s="561">
        <v>15170</v>
      </c>
      <c r="LT158" s="561">
        <v>0</v>
      </c>
      <c r="LU158" s="561">
        <v>50538</v>
      </c>
      <c r="LV158" s="561">
        <v>0</v>
      </c>
      <c r="LW158" s="561">
        <v>3408</v>
      </c>
      <c r="LX158" s="561">
        <v>-30805</v>
      </c>
      <c r="LY158" s="561">
        <v>24563</v>
      </c>
      <c r="LZ158" s="561">
        <v>57558</v>
      </c>
      <c r="MA158" s="561">
        <v>0</v>
      </c>
      <c r="MB158" s="561">
        <v>0</v>
      </c>
      <c r="MC158" s="561">
        <v>159687</v>
      </c>
      <c r="MD158" s="561">
        <v>156690</v>
      </c>
      <c r="ME158" s="561">
        <v>2997</v>
      </c>
      <c r="MF158" s="561">
        <v>22348</v>
      </c>
      <c r="MG158" s="561">
        <v>25345</v>
      </c>
      <c r="MH158" s="561">
        <v>12085</v>
      </c>
      <c r="MI158" s="561">
        <v>21890</v>
      </c>
      <c r="MJ158" s="561">
        <v>33975</v>
      </c>
      <c r="MK158" s="561">
        <v>0</v>
      </c>
      <c r="ML158" s="561">
        <v>0</v>
      </c>
      <c r="MM158" s="561">
        <v>26468</v>
      </c>
      <c r="MN158" s="561">
        <v>6582</v>
      </c>
      <c r="MO158" s="561">
        <v>4024</v>
      </c>
      <c r="MP158" s="561">
        <v>0</v>
      </c>
      <c r="MQ158" s="561">
        <v>285482.34999999998</v>
      </c>
      <c r="MR158" s="561">
        <v>-11273</v>
      </c>
      <c r="MS158" s="561">
        <v>82455</v>
      </c>
      <c r="MT158" s="561">
        <v>131296</v>
      </c>
      <c r="MU158" s="561">
        <v>26459</v>
      </c>
      <c r="MV158" s="561">
        <v>42589</v>
      </c>
      <c r="MW158" s="561">
        <v>11756</v>
      </c>
      <c r="MX158" s="561">
        <v>23446</v>
      </c>
      <c r="MY158" s="561">
        <v>6285</v>
      </c>
      <c r="MZ158" s="561">
        <v>0</v>
      </c>
      <c r="NA158" s="561">
        <v>0</v>
      </c>
      <c r="NB158" s="561">
        <v>10483</v>
      </c>
      <c r="NC158" s="561">
        <v>0</v>
      </c>
      <c r="ND158" s="561">
        <v>608978.35</v>
      </c>
      <c r="NE158" s="561">
        <v>0</v>
      </c>
      <c r="NF158" s="561">
        <v>0</v>
      </c>
      <c r="NG158" s="561">
        <v>0</v>
      </c>
      <c r="NH158" s="561">
        <v>0</v>
      </c>
      <c r="NI158" s="561">
        <v>0</v>
      </c>
      <c r="NJ158" s="561">
        <v>0</v>
      </c>
      <c r="NK158" s="561">
        <v>0</v>
      </c>
      <c r="NL158" s="561">
        <v>0</v>
      </c>
      <c r="NM158" s="561">
        <v>0</v>
      </c>
      <c r="NN158" s="561">
        <v>0</v>
      </c>
      <c r="NO158" s="561">
        <v>0</v>
      </c>
      <c r="NP158" s="561">
        <v>0</v>
      </c>
      <c r="NQ158" s="561">
        <v>0</v>
      </c>
      <c r="NR158" s="561">
        <v>0</v>
      </c>
      <c r="NS158" s="561">
        <v>0</v>
      </c>
      <c r="NT158" s="561">
        <v>2819</v>
      </c>
      <c r="NU158" s="561">
        <v>0</v>
      </c>
      <c r="NV158" s="561">
        <v>92</v>
      </c>
      <c r="NW158" s="561">
        <v>2911</v>
      </c>
      <c r="NX158" s="561">
        <v>0</v>
      </c>
      <c r="NY158" s="561">
        <v>2911</v>
      </c>
      <c r="NZ158" s="561">
        <v>0</v>
      </c>
      <c r="OA158" s="561">
        <v>0</v>
      </c>
      <c r="OB158" s="561">
        <v>0</v>
      </c>
      <c r="OC158" s="561">
        <v>0</v>
      </c>
      <c r="OD158" s="561">
        <v>0</v>
      </c>
      <c r="OE158" s="561">
        <v>0</v>
      </c>
      <c r="OF158" s="561">
        <v>0</v>
      </c>
      <c r="OG158" s="561">
        <v>0</v>
      </c>
      <c r="OH158" s="561">
        <v>0</v>
      </c>
      <c r="OI158" s="561">
        <v>1648</v>
      </c>
      <c r="OJ158" s="561">
        <v>0</v>
      </c>
      <c r="OK158" s="561">
        <v>0</v>
      </c>
      <c r="OL158" s="561">
        <v>0</v>
      </c>
      <c r="OM158" s="561">
        <v>0</v>
      </c>
      <c r="ON158" s="561">
        <v>0</v>
      </c>
      <c r="OO158" s="561">
        <v>0</v>
      </c>
      <c r="OP158" s="561">
        <v>0</v>
      </c>
      <c r="OQ158" s="561">
        <v>0</v>
      </c>
      <c r="OR158" s="561">
        <v>0</v>
      </c>
      <c r="OS158" s="561">
        <v>0</v>
      </c>
      <c r="OT158" s="561">
        <v>0</v>
      </c>
      <c r="OU158" s="561">
        <v>0</v>
      </c>
      <c r="OV158" s="561">
        <v>-252.11236</v>
      </c>
      <c r="OW158" s="561">
        <v>0</v>
      </c>
      <c r="OX158" s="561">
        <v>1648</v>
      </c>
      <c r="OY158" s="561">
        <v>0</v>
      </c>
      <c r="OZ158" s="561">
        <v>0</v>
      </c>
      <c r="PA158" s="561">
        <v>0</v>
      </c>
      <c r="PB158" s="561">
        <v>0</v>
      </c>
      <c r="PC158" s="561">
        <v>0</v>
      </c>
      <c r="PD158" s="561">
        <v>0</v>
      </c>
      <c r="PE158" s="561">
        <v>0</v>
      </c>
      <c r="PF158" s="561">
        <v>0</v>
      </c>
      <c r="PG158" s="561">
        <v>0</v>
      </c>
      <c r="PH158" s="561">
        <v>0</v>
      </c>
      <c r="PI158" s="561">
        <v>0</v>
      </c>
      <c r="PJ158" s="561">
        <v>0</v>
      </c>
    </row>
    <row r="159" spans="1:426" ht="14" x14ac:dyDescent="0.3">
      <c r="A159" t="s">
        <v>2912</v>
      </c>
      <c r="B159" t="s">
        <v>2913</v>
      </c>
      <c r="C159" t="s">
        <v>2914</v>
      </c>
      <c r="E159" t="s">
        <v>384</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61">
        <v>1181</v>
      </c>
      <c r="U159" s="561">
        <v>0</v>
      </c>
      <c r="V159" s="561">
        <v>0</v>
      </c>
      <c r="W159" s="561">
        <v>0</v>
      </c>
      <c r="X159" s="561">
        <v>0</v>
      </c>
      <c r="Y159" s="561">
        <v>0</v>
      </c>
      <c r="Z159" s="561">
        <v>-2</v>
      </c>
      <c r="AA159" s="561">
        <v>4</v>
      </c>
      <c r="AB159" s="561">
        <v>-173</v>
      </c>
      <c r="AC159" s="561">
        <v>0</v>
      </c>
      <c r="AD159" s="561">
        <v>0</v>
      </c>
      <c r="AE159" s="561">
        <v>0</v>
      </c>
      <c r="AF159" s="561">
        <v>0</v>
      </c>
      <c r="AG159" s="561">
        <v>0</v>
      </c>
      <c r="AH159" s="561">
        <v>31</v>
      </c>
      <c r="AI159" s="561">
        <v>0</v>
      </c>
      <c r="AJ159" s="561">
        <v>1041</v>
      </c>
      <c r="AK159" s="561">
        <v>0</v>
      </c>
      <c r="AL159" s="561">
        <v>0</v>
      </c>
      <c r="AM159" s="561">
        <v>0</v>
      </c>
      <c r="AN159" s="561">
        <v>0</v>
      </c>
      <c r="AO159" s="561">
        <v>0</v>
      </c>
      <c r="AP159" s="561">
        <v>0</v>
      </c>
      <c r="AQ159" s="561">
        <v>0</v>
      </c>
      <c r="AR159" s="561">
        <v>0</v>
      </c>
      <c r="AS159" s="561">
        <v>0</v>
      </c>
      <c r="AT159" s="561">
        <v>0</v>
      </c>
      <c r="AU159" s="561">
        <v>0</v>
      </c>
      <c r="AV159" s="561">
        <v>0</v>
      </c>
      <c r="AW159" s="561">
        <v>0</v>
      </c>
      <c r="AX159" s="561">
        <v>0</v>
      </c>
      <c r="AY159" s="561">
        <v>0</v>
      </c>
      <c r="AZ159" s="561">
        <v>0</v>
      </c>
      <c r="BA159" s="561">
        <v>107</v>
      </c>
      <c r="BB159" s="561">
        <v>0</v>
      </c>
      <c r="BC159" s="561">
        <v>0</v>
      </c>
      <c r="BD159" s="561">
        <v>0</v>
      </c>
      <c r="BE159" s="561">
        <v>161</v>
      </c>
      <c r="BF159" s="561">
        <v>268</v>
      </c>
      <c r="BG159" s="561">
        <v>0</v>
      </c>
      <c r="BH159" s="561">
        <v>0</v>
      </c>
      <c r="BI159" s="561">
        <v>190</v>
      </c>
      <c r="BJ159" s="561">
        <v>0</v>
      </c>
      <c r="BK159" s="561">
        <v>0</v>
      </c>
      <c r="BL159" s="561">
        <v>0</v>
      </c>
      <c r="BM159" s="561">
        <v>0</v>
      </c>
      <c r="BN159" s="561">
        <v>0</v>
      </c>
      <c r="BO159" s="561">
        <v>0</v>
      </c>
      <c r="BP159" s="561">
        <v>0</v>
      </c>
      <c r="BQ159" s="561">
        <v>0</v>
      </c>
      <c r="BR159" s="561">
        <v>0</v>
      </c>
      <c r="BS159" s="561">
        <v>0</v>
      </c>
      <c r="BT159" s="561">
        <v>0</v>
      </c>
      <c r="BU159" s="561">
        <v>0</v>
      </c>
      <c r="BV159" s="561">
        <v>0</v>
      </c>
      <c r="BW159" s="561">
        <v>0</v>
      </c>
      <c r="BX159" s="561">
        <v>0</v>
      </c>
      <c r="BY159" s="561">
        <v>0</v>
      </c>
      <c r="BZ159" s="561">
        <v>190</v>
      </c>
      <c r="CA159" s="561">
        <v>0</v>
      </c>
      <c r="CB159" s="561">
        <v>0</v>
      </c>
      <c r="CC159" s="561">
        <v>0</v>
      </c>
      <c r="CD159" s="561">
        <v>0</v>
      </c>
      <c r="CE159" s="561">
        <v>0</v>
      </c>
      <c r="CF159" s="561">
        <v>0</v>
      </c>
      <c r="CG159" s="561">
        <v>0</v>
      </c>
      <c r="CH159" s="561">
        <v>0</v>
      </c>
      <c r="CI159" s="561">
        <v>0</v>
      </c>
      <c r="CJ159" s="561">
        <v>0</v>
      </c>
      <c r="CK159" s="561">
        <v>0</v>
      </c>
      <c r="CL159" s="561">
        <v>0</v>
      </c>
      <c r="CM159" s="561">
        <v>0</v>
      </c>
      <c r="CN159" s="561">
        <v>0</v>
      </c>
      <c r="CO159" s="561">
        <v>0</v>
      </c>
      <c r="CP159" s="561">
        <v>0</v>
      </c>
      <c r="CQ159" s="561">
        <v>0</v>
      </c>
      <c r="CR159" s="561">
        <v>0</v>
      </c>
      <c r="CS159" s="561">
        <v>0</v>
      </c>
      <c r="CT159" s="561">
        <v>0</v>
      </c>
      <c r="CU159" s="561">
        <v>0</v>
      </c>
      <c r="CV159" s="561">
        <v>0</v>
      </c>
      <c r="CW159" s="561">
        <v>0</v>
      </c>
      <c r="CX159" s="561">
        <v>0</v>
      </c>
      <c r="CY159" s="561">
        <v>0</v>
      </c>
      <c r="CZ159" s="561">
        <v>0</v>
      </c>
      <c r="DA159" s="561">
        <v>0</v>
      </c>
      <c r="DB159" s="561">
        <v>0</v>
      </c>
      <c r="DC159" s="561">
        <v>0</v>
      </c>
      <c r="DD159" s="561">
        <v>0</v>
      </c>
      <c r="DE159" s="561">
        <v>0</v>
      </c>
      <c r="DF159" s="561">
        <v>0</v>
      </c>
      <c r="DG159" s="561">
        <v>0</v>
      </c>
      <c r="DH159" s="561">
        <v>0</v>
      </c>
      <c r="DI159" s="561">
        <v>20</v>
      </c>
      <c r="DJ159" s="561">
        <v>0</v>
      </c>
      <c r="DK159" s="561">
        <v>0</v>
      </c>
      <c r="DL159" s="561">
        <v>0</v>
      </c>
      <c r="DM159" s="561">
        <v>0</v>
      </c>
      <c r="DN159" s="561">
        <v>0</v>
      </c>
      <c r="DO159" s="561">
        <v>1074</v>
      </c>
      <c r="DP159" s="561">
        <v>0</v>
      </c>
      <c r="DQ159" s="561">
        <v>0</v>
      </c>
      <c r="DR159" s="561">
        <v>1141</v>
      </c>
      <c r="DS159" s="561">
        <v>201</v>
      </c>
      <c r="DT159" s="561">
        <v>0</v>
      </c>
      <c r="DU159" s="561">
        <v>2416</v>
      </c>
      <c r="DV159" s="561">
        <v>0</v>
      </c>
      <c r="DW159" s="561">
        <v>0</v>
      </c>
      <c r="DX159" s="561">
        <v>0</v>
      </c>
      <c r="DY159" s="561">
        <v>317</v>
      </c>
      <c r="DZ159" s="561">
        <v>0</v>
      </c>
      <c r="EA159" s="561">
        <v>76</v>
      </c>
      <c r="EB159" s="561">
        <v>0</v>
      </c>
      <c r="EC159" s="561">
        <v>2829</v>
      </c>
      <c r="ED159" s="561">
        <v>457</v>
      </c>
      <c r="EE159" s="561">
        <v>51873</v>
      </c>
      <c r="EF159" s="561">
        <v>1090</v>
      </c>
      <c r="EG159" s="561">
        <v>5977</v>
      </c>
      <c r="EH159" s="561">
        <v>0</v>
      </c>
      <c r="EI159" s="561">
        <v>0</v>
      </c>
      <c r="EJ159" s="561">
        <v>1184</v>
      </c>
      <c r="EK159" s="561">
        <v>0</v>
      </c>
      <c r="EL159" s="561">
        <v>0</v>
      </c>
      <c r="EM159" s="561">
        <v>-6</v>
      </c>
      <c r="EN159" s="561">
        <v>13115</v>
      </c>
      <c r="EO159" s="561">
        <v>13314</v>
      </c>
      <c r="EP159" s="561">
        <v>9971</v>
      </c>
      <c r="EQ159" s="561">
        <v>228</v>
      </c>
      <c r="ER159" s="561">
        <v>7289</v>
      </c>
      <c r="ES159" s="561" t="s">
        <v>4565</v>
      </c>
      <c r="ET159" s="561">
        <v>0</v>
      </c>
      <c r="EU159" s="561">
        <v>0</v>
      </c>
      <c r="EV159" s="561">
        <v>9</v>
      </c>
      <c r="EW159" s="561">
        <v>1</v>
      </c>
      <c r="EX159" s="561">
        <v>12140</v>
      </c>
      <c r="EY159" s="561">
        <v>119</v>
      </c>
      <c r="EZ159" s="561">
        <v>3932</v>
      </c>
      <c r="FA159" s="561">
        <v>20349</v>
      </c>
      <c r="FB159" s="561">
        <v>0</v>
      </c>
      <c r="FC159" s="561">
        <v>9</v>
      </c>
      <c r="FD159" s="561">
        <v>0</v>
      </c>
      <c r="FE159" s="561">
        <v>286</v>
      </c>
      <c r="FF159" s="561">
        <v>875</v>
      </c>
      <c r="FG159" s="561">
        <v>0</v>
      </c>
      <c r="FH159" s="561">
        <v>0</v>
      </c>
      <c r="FI159" s="561">
        <v>73</v>
      </c>
      <c r="FJ159" s="561">
        <v>170</v>
      </c>
      <c r="FK159" s="561">
        <v>2940</v>
      </c>
      <c r="FL159" s="561">
        <v>48</v>
      </c>
      <c r="FM159" s="561">
        <v>0</v>
      </c>
      <c r="FN159" s="561">
        <v>0</v>
      </c>
      <c r="FO159" s="561">
        <v>4401</v>
      </c>
      <c r="FP159" s="561">
        <v>2</v>
      </c>
      <c r="FQ159" s="561">
        <v>-720</v>
      </c>
      <c r="FR159" s="561">
        <v>0</v>
      </c>
      <c r="FS159" s="561">
        <v>6</v>
      </c>
      <c r="FT159" s="561">
        <v>250</v>
      </c>
      <c r="FU159" s="561">
        <v>299</v>
      </c>
      <c r="FV159" s="561">
        <v>60</v>
      </c>
      <c r="FW159" s="561">
        <v>46</v>
      </c>
      <c r="FX159" s="561">
        <v>0</v>
      </c>
      <c r="FY159" s="561">
        <v>0</v>
      </c>
      <c r="FZ159" s="561">
        <v>85</v>
      </c>
      <c r="GA159" s="561">
        <v>11</v>
      </c>
      <c r="GB159" s="561">
        <v>78</v>
      </c>
      <c r="GC159" s="561">
        <v>662</v>
      </c>
      <c r="GD159" s="561">
        <v>507</v>
      </c>
      <c r="GE159" s="561">
        <v>0</v>
      </c>
      <c r="GF159" s="561">
        <v>35</v>
      </c>
      <c r="GG159" s="561">
        <v>0</v>
      </c>
      <c r="GH159" s="561">
        <v>0</v>
      </c>
      <c r="GI159" s="561">
        <v>0</v>
      </c>
      <c r="GJ159" s="561">
        <v>0</v>
      </c>
      <c r="GK159" s="561">
        <v>0</v>
      </c>
      <c r="GL159" s="561">
        <v>722</v>
      </c>
      <c r="GM159" s="561">
        <v>322</v>
      </c>
      <c r="GN159" s="561">
        <v>0</v>
      </c>
      <c r="GO159" s="561">
        <v>0</v>
      </c>
      <c r="GP159" s="561">
        <v>1298</v>
      </c>
      <c r="GQ159" s="561">
        <v>0</v>
      </c>
      <c r="GR159" s="561">
        <v>0</v>
      </c>
      <c r="GS159" s="561">
        <v>3661</v>
      </c>
      <c r="GT159" s="561">
        <v>420</v>
      </c>
      <c r="GU159" s="561">
        <v>133</v>
      </c>
      <c r="GV159" s="561">
        <v>501</v>
      </c>
      <c r="GW159" s="561">
        <v>0</v>
      </c>
      <c r="GX159" s="561">
        <v>333</v>
      </c>
      <c r="GY159" s="561">
        <v>73</v>
      </c>
      <c r="GZ159" s="561">
        <v>-2572</v>
      </c>
      <c r="HA159" s="561">
        <v>0</v>
      </c>
      <c r="HB159" s="561">
        <v>0</v>
      </c>
      <c r="HC159" s="561">
        <v>67</v>
      </c>
      <c r="HD159" s="561">
        <v>-1465</v>
      </c>
      <c r="HE159" s="561">
        <v>285</v>
      </c>
      <c r="HF159" s="561">
        <v>6597</v>
      </c>
      <c r="HG159" s="561">
        <v>707</v>
      </c>
      <c r="HH159" s="561">
        <v>0</v>
      </c>
      <c r="HI159" s="561">
        <v>0</v>
      </c>
      <c r="HJ159" s="561">
        <v>0</v>
      </c>
      <c r="HK159" s="561">
        <v>0</v>
      </c>
      <c r="HL159" s="561">
        <v>0</v>
      </c>
      <c r="HM159" s="561">
        <v>0</v>
      </c>
      <c r="HN159" s="561">
        <v>0</v>
      </c>
      <c r="HO159" s="561">
        <v>3026</v>
      </c>
      <c r="HP159" s="561">
        <v>90</v>
      </c>
      <c r="HQ159" s="561">
        <v>0</v>
      </c>
      <c r="HR159" s="561">
        <v>0</v>
      </c>
      <c r="HS159" s="561">
        <v>857</v>
      </c>
      <c r="HT159" s="561">
        <v>211</v>
      </c>
      <c r="HU159" s="561">
        <v>0</v>
      </c>
      <c r="HV159" s="561">
        <v>0</v>
      </c>
      <c r="HW159" s="561">
        <v>359</v>
      </c>
      <c r="HX159" s="561">
        <v>277</v>
      </c>
      <c r="HY159" s="561">
        <v>8</v>
      </c>
      <c r="HZ159" s="561">
        <v>-9</v>
      </c>
      <c r="IA159" s="561">
        <v>0</v>
      </c>
      <c r="IB159" s="561">
        <v>393</v>
      </c>
      <c r="IC159" s="561">
        <v>0</v>
      </c>
      <c r="ID159" s="561">
        <v>0</v>
      </c>
      <c r="IE159" s="561">
        <v>557</v>
      </c>
      <c r="IF159" s="561">
        <v>0</v>
      </c>
      <c r="IG159" s="561">
        <v>0</v>
      </c>
      <c r="IH159" s="561">
        <v>446</v>
      </c>
      <c r="II159" s="561">
        <v>6215</v>
      </c>
      <c r="IJ159" s="561">
        <v>1307</v>
      </c>
      <c r="IK159" s="561">
        <v>3263</v>
      </c>
      <c r="IL159" s="561">
        <v>2704</v>
      </c>
      <c r="IM159" s="561">
        <v>0</v>
      </c>
      <c r="IN159" s="561">
        <v>2793</v>
      </c>
      <c r="IO159" s="561">
        <v>0</v>
      </c>
      <c r="IP159" s="561">
        <v>-170</v>
      </c>
      <c r="IQ159" s="561">
        <v>0</v>
      </c>
      <c r="IR159" s="561">
        <v>0</v>
      </c>
      <c r="IS159" s="561">
        <v>1041</v>
      </c>
      <c r="IT159" s="561">
        <v>268</v>
      </c>
      <c r="IU159" s="561">
        <v>190</v>
      </c>
      <c r="IV159" s="561">
        <v>0</v>
      </c>
      <c r="IW159" s="561">
        <v>2829</v>
      </c>
      <c r="IX159" s="561">
        <v>4401</v>
      </c>
      <c r="IY159" s="561">
        <v>3661</v>
      </c>
      <c r="IZ159" s="561">
        <v>-1465</v>
      </c>
      <c r="JA159" s="561">
        <v>0</v>
      </c>
      <c r="JB159" s="561">
        <v>0</v>
      </c>
      <c r="JC159" s="561">
        <v>6215</v>
      </c>
      <c r="JD159" s="561">
        <v>-170</v>
      </c>
      <c r="JE159" s="561">
        <v>16970</v>
      </c>
      <c r="JF159" s="561">
        <v>9196</v>
      </c>
      <c r="JG159" s="561">
        <v>0</v>
      </c>
      <c r="JH159" s="561">
        <v>10995</v>
      </c>
      <c r="JI159" s="561">
        <v>0</v>
      </c>
      <c r="JJ159" s="561">
        <v>729</v>
      </c>
      <c r="JK159" s="561">
        <v>0</v>
      </c>
      <c r="JL159" s="561">
        <v>0</v>
      </c>
      <c r="JM159" s="561">
        <v>0</v>
      </c>
      <c r="JN159" s="561">
        <v>0</v>
      </c>
      <c r="JO159" s="561">
        <v>0</v>
      </c>
      <c r="JP159" s="561">
        <v>8</v>
      </c>
      <c r="JQ159" s="561">
        <v>0</v>
      </c>
      <c r="JR159" s="561">
        <v>0</v>
      </c>
      <c r="JS159" s="561">
        <v>0</v>
      </c>
      <c r="JT159" s="561">
        <v>-6</v>
      </c>
      <c r="JU159" s="561">
        <v>0</v>
      </c>
      <c r="JV159" s="561">
        <v>37892</v>
      </c>
      <c r="JW159" s="561">
        <v>0</v>
      </c>
      <c r="JX159" s="561">
        <v>157</v>
      </c>
      <c r="JY159" s="561">
        <v>0</v>
      </c>
      <c r="JZ159" s="561">
        <v>-1451</v>
      </c>
      <c r="KA159" s="561">
        <v>0</v>
      </c>
      <c r="KB159" s="561">
        <v>-148</v>
      </c>
      <c r="KC159" s="561">
        <v>1307</v>
      </c>
      <c r="KD159" s="561">
        <v>19</v>
      </c>
      <c r="KE159" s="561">
        <v>1305</v>
      </c>
      <c r="KF159" s="561">
        <v>-1091</v>
      </c>
      <c r="KG159" s="561">
        <v>37990</v>
      </c>
      <c r="KH159" s="561">
        <v>237</v>
      </c>
      <c r="KI159" s="561">
        <v>0</v>
      </c>
      <c r="KJ159" s="561">
        <v>0</v>
      </c>
      <c r="KK159" s="561">
        <v>0</v>
      </c>
      <c r="KL159" s="561">
        <v>-19935</v>
      </c>
      <c r="KM159" s="561">
        <v>0</v>
      </c>
      <c r="KN159" s="561">
        <v>0</v>
      </c>
      <c r="KO159" s="561">
        <v>0</v>
      </c>
      <c r="KP159" s="561">
        <v>0</v>
      </c>
      <c r="KQ159" s="561">
        <v>0</v>
      </c>
      <c r="KR159" s="561">
        <v>18292</v>
      </c>
      <c r="KS159" s="561">
        <v>0</v>
      </c>
      <c r="KT159" s="561">
        <v>-4005</v>
      </c>
      <c r="KU159" s="561">
        <v>14287</v>
      </c>
      <c r="KV159" s="561">
        <v>0</v>
      </c>
      <c r="KW159" s="561">
        <v>0</v>
      </c>
      <c r="KX159" s="561">
        <v>0</v>
      </c>
      <c r="KY159" s="561">
        <v>0</v>
      </c>
      <c r="KZ159" s="561">
        <v>2891</v>
      </c>
      <c r="LA159" s="561">
        <v>0</v>
      </c>
      <c r="LB159" s="561">
        <v>-136</v>
      </c>
      <c r="LC159" s="561">
        <v>0</v>
      </c>
      <c r="LD159" s="561">
        <v>-8486</v>
      </c>
      <c r="LE159" s="561">
        <v>-249</v>
      </c>
      <c r="LF159" s="561">
        <v>0</v>
      </c>
      <c r="LG159" s="561">
        <v>8307</v>
      </c>
      <c r="LH159" s="561">
        <v>0</v>
      </c>
      <c r="LI159" s="561">
        <v>0</v>
      </c>
      <c r="LJ159" s="561">
        <v>0</v>
      </c>
      <c r="LK159" s="561">
        <v>0</v>
      </c>
      <c r="LL159" s="561">
        <v>25059</v>
      </c>
      <c r="LM159" s="561">
        <v>3969</v>
      </c>
      <c r="LN159" s="561">
        <v>0</v>
      </c>
      <c r="LO159" s="561">
        <v>0</v>
      </c>
      <c r="LP159" s="561">
        <v>0</v>
      </c>
      <c r="LQ159" s="561">
        <v>0</v>
      </c>
      <c r="LR159" s="561">
        <v>27950</v>
      </c>
      <c r="LS159" s="561">
        <v>3969</v>
      </c>
      <c r="LT159" s="561">
        <v>0</v>
      </c>
      <c r="LU159" s="561">
        <v>4217</v>
      </c>
      <c r="LV159" s="561">
        <v>3460</v>
      </c>
      <c r="LW159" s="561">
        <v>26121</v>
      </c>
      <c r="LX159" s="561">
        <v>-6731</v>
      </c>
      <c r="LY159" s="561">
        <v>1011</v>
      </c>
      <c r="LZ159" s="561">
        <v>28078</v>
      </c>
      <c r="MA159" s="561">
        <v>0</v>
      </c>
      <c r="MB159" s="561">
        <v>0</v>
      </c>
      <c r="MC159" s="561">
        <v>60118</v>
      </c>
      <c r="MD159" s="561">
        <v>56186</v>
      </c>
      <c r="ME159" s="561">
        <v>3932</v>
      </c>
      <c r="MF159" s="561">
        <v>20349</v>
      </c>
      <c r="MG159" s="561">
        <v>24281</v>
      </c>
      <c r="MH159" s="561">
        <v>2803</v>
      </c>
      <c r="MI159" s="561">
        <v>3857</v>
      </c>
      <c r="MJ159" s="561">
        <v>6660</v>
      </c>
      <c r="MK159" s="561">
        <v>0</v>
      </c>
      <c r="ML159" s="561">
        <v>0</v>
      </c>
      <c r="MM159" s="561">
        <v>600</v>
      </c>
      <c r="MN159" s="561">
        <v>21797</v>
      </c>
      <c r="MO159" s="561">
        <v>2529</v>
      </c>
      <c r="MP159" s="561">
        <v>3024</v>
      </c>
      <c r="MQ159" s="561">
        <v>0</v>
      </c>
      <c r="MR159" s="561">
        <v>1041</v>
      </c>
      <c r="MS159" s="561">
        <v>268</v>
      </c>
      <c r="MT159" s="561">
        <v>190</v>
      </c>
      <c r="MU159" s="561">
        <v>0</v>
      </c>
      <c r="MV159" s="561">
        <v>2829</v>
      </c>
      <c r="MW159" s="561">
        <v>4401</v>
      </c>
      <c r="MX159" s="561">
        <v>3661</v>
      </c>
      <c r="MY159" s="561">
        <v>-1465</v>
      </c>
      <c r="MZ159" s="561">
        <v>0</v>
      </c>
      <c r="NA159" s="561">
        <v>0</v>
      </c>
      <c r="NB159" s="561">
        <v>6215</v>
      </c>
      <c r="NC159" s="561">
        <v>-170</v>
      </c>
      <c r="ND159" s="561">
        <v>16970</v>
      </c>
      <c r="NE159" s="561">
        <v>0</v>
      </c>
      <c r="NF159" s="561">
        <v>0</v>
      </c>
      <c r="NG159" s="561">
        <v>0</v>
      </c>
      <c r="NH159" s="561">
        <v>0</v>
      </c>
      <c r="NI159" s="561">
        <v>0</v>
      </c>
      <c r="NJ159" s="561">
        <v>0</v>
      </c>
      <c r="NK159" s="561">
        <v>0</v>
      </c>
      <c r="NL159" s="561">
        <v>0</v>
      </c>
      <c r="NM159" s="561">
        <v>0</v>
      </c>
      <c r="NN159" s="561">
        <v>0</v>
      </c>
      <c r="NO159" s="561">
        <v>0</v>
      </c>
      <c r="NP159" s="561">
        <v>0</v>
      </c>
      <c r="NQ159" s="561">
        <v>0</v>
      </c>
      <c r="NR159" s="561">
        <v>0</v>
      </c>
      <c r="NS159" s="561">
        <v>0</v>
      </c>
      <c r="NT159" s="561">
        <v>0</v>
      </c>
      <c r="NU159" s="561">
        <v>0</v>
      </c>
      <c r="NV159" s="561">
        <v>8</v>
      </c>
      <c r="NW159" s="561">
        <v>8</v>
      </c>
      <c r="NX159" s="561">
        <v>0</v>
      </c>
      <c r="NY159" s="561">
        <v>8</v>
      </c>
      <c r="NZ159" s="561">
        <v>0</v>
      </c>
      <c r="OA159" s="561">
        <v>0</v>
      </c>
      <c r="OB159" s="561">
        <v>0</v>
      </c>
      <c r="OC159" s="561">
        <v>0</v>
      </c>
      <c r="OD159" s="561">
        <v>0</v>
      </c>
      <c r="OE159" s="561">
        <v>0</v>
      </c>
      <c r="OF159" s="561">
        <v>0</v>
      </c>
      <c r="OG159" s="561">
        <v>0</v>
      </c>
      <c r="OH159" s="561">
        <v>0</v>
      </c>
      <c r="OI159" s="561">
        <v>0</v>
      </c>
      <c r="OJ159" s="561">
        <v>0</v>
      </c>
      <c r="OK159" s="561">
        <v>0</v>
      </c>
      <c r="OL159" s="561">
        <v>0</v>
      </c>
      <c r="OM159" s="561">
        <v>0</v>
      </c>
      <c r="ON159" s="561">
        <v>0</v>
      </c>
      <c r="OO159" s="561">
        <v>0</v>
      </c>
      <c r="OP159" s="561">
        <v>0</v>
      </c>
      <c r="OQ159" s="561">
        <v>0</v>
      </c>
      <c r="OR159" s="561">
        <v>0</v>
      </c>
      <c r="OS159" s="561">
        <v>0</v>
      </c>
      <c r="OT159" s="561">
        <v>0</v>
      </c>
      <c r="OU159" s="561">
        <v>0</v>
      </c>
      <c r="OV159" s="561">
        <v>0</v>
      </c>
      <c r="OW159" s="561">
        <v>0</v>
      </c>
      <c r="OX159" s="561">
        <v>0</v>
      </c>
      <c r="OY159" s="561">
        <v>0</v>
      </c>
      <c r="OZ159" s="561">
        <v>0</v>
      </c>
      <c r="PA159" s="561">
        <v>0</v>
      </c>
      <c r="PB159" s="561">
        <v>0</v>
      </c>
      <c r="PC159" s="561">
        <v>0</v>
      </c>
      <c r="PD159" s="561">
        <v>0</v>
      </c>
      <c r="PE159" s="561">
        <v>0</v>
      </c>
      <c r="PF159" s="561">
        <v>0</v>
      </c>
      <c r="PG159" s="561">
        <v>0</v>
      </c>
      <c r="PH159" s="561">
        <v>0</v>
      </c>
      <c r="PI159" s="561">
        <v>0</v>
      </c>
      <c r="PJ159" s="561">
        <v>0</v>
      </c>
    </row>
    <row r="160" spans="1:426" ht="14" x14ac:dyDescent="0.3">
      <c r="A160" t="s">
        <v>2915</v>
      </c>
      <c r="B160" t="s">
        <v>2916</v>
      </c>
      <c r="C160" t="s">
        <v>2917</v>
      </c>
      <c r="E160" t="s">
        <v>2476</v>
      </c>
      <c r="F160" s="561">
        <v>18389.41</v>
      </c>
      <c r="G160" s="561">
        <v>105496.16</v>
      </c>
      <c r="H160" s="561">
        <v>14770.83</v>
      </c>
      <c r="I160" s="561">
        <v>45142.58</v>
      </c>
      <c r="J160" s="561">
        <v>3806.53</v>
      </c>
      <c r="K160" s="561">
        <v>15917.33</v>
      </c>
      <c r="L160" s="561">
        <v>203522.84</v>
      </c>
      <c r="M160" s="561">
        <v>7392</v>
      </c>
      <c r="N160" s="561">
        <v>-126.08</v>
      </c>
      <c r="O160" s="561">
        <v>0</v>
      </c>
      <c r="P160" s="561">
        <v>0</v>
      </c>
      <c r="Q160" s="561">
        <v>0</v>
      </c>
      <c r="R160" s="561">
        <v>365.01</v>
      </c>
      <c r="S160" s="561">
        <v>0</v>
      </c>
      <c r="T160" s="561">
        <v>3714.4</v>
      </c>
      <c r="U160" s="561">
        <v>247.25</v>
      </c>
      <c r="V160" s="561">
        <v>1546.33</v>
      </c>
      <c r="W160" s="561">
        <v>0</v>
      </c>
      <c r="X160" s="561">
        <v>0</v>
      </c>
      <c r="Y160" s="561">
        <v>10.87</v>
      </c>
      <c r="Z160" s="561">
        <v>818.78</v>
      </c>
      <c r="AA160" s="561">
        <v>-5687.42</v>
      </c>
      <c r="AB160" s="561">
        <v>582.73</v>
      </c>
      <c r="AC160" s="561">
        <v>7892.83</v>
      </c>
      <c r="AD160" s="561">
        <v>0</v>
      </c>
      <c r="AE160" s="561">
        <v>0</v>
      </c>
      <c r="AF160" s="561">
        <v>0</v>
      </c>
      <c r="AG160" s="561">
        <v>0</v>
      </c>
      <c r="AH160" s="561">
        <v>0</v>
      </c>
      <c r="AI160" s="561">
        <v>0</v>
      </c>
      <c r="AJ160" s="561">
        <v>9364.7000000000007</v>
      </c>
      <c r="AK160" s="561">
        <v>2605</v>
      </c>
      <c r="AL160" s="561">
        <v>0</v>
      </c>
      <c r="AM160" s="561">
        <v>0</v>
      </c>
      <c r="AN160" s="561">
        <v>0</v>
      </c>
      <c r="AO160" s="561">
        <v>0</v>
      </c>
      <c r="AP160" s="561">
        <v>0</v>
      </c>
      <c r="AQ160" s="561">
        <v>0</v>
      </c>
      <c r="AR160" s="561">
        <v>0</v>
      </c>
      <c r="AS160" s="561">
        <v>9578</v>
      </c>
      <c r="AT160" s="561">
        <v>1306</v>
      </c>
      <c r="AU160" s="561">
        <v>0</v>
      </c>
      <c r="AV160" s="561">
        <v>0</v>
      </c>
      <c r="AW160" s="561">
        <v>0</v>
      </c>
      <c r="AX160" s="561">
        <v>2113.31</v>
      </c>
      <c r="AY160" s="561">
        <v>16360</v>
      </c>
      <c r="AZ160" s="561">
        <v>51.52</v>
      </c>
      <c r="BA160" s="561">
        <v>9610.94</v>
      </c>
      <c r="BB160" s="561">
        <v>885.82</v>
      </c>
      <c r="BC160" s="561">
        <v>16662.560000000001</v>
      </c>
      <c r="BD160" s="561">
        <v>3276.99</v>
      </c>
      <c r="BE160" s="561">
        <v>605.94000000000005</v>
      </c>
      <c r="BF160" s="561">
        <v>49567.08</v>
      </c>
      <c r="BG160" s="561">
        <v>4603</v>
      </c>
      <c r="BH160" s="561">
        <v>6298.91</v>
      </c>
      <c r="BI160" s="561">
        <v>33041.67</v>
      </c>
      <c r="BJ160" s="561">
        <v>313.16000000000003</v>
      </c>
      <c r="BK160" s="561">
        <v>541.88</v>
      </c>
      <c r="BL160" s="561">
        <v>412.16</v>
      </c>
      <c r="BM160" s="561">
        <v>2461.1</v>
      </c>
      <c r="BN160" s="561">
        <v>27309.41</v>
      </c>
      <c r="BO160" s="561">
        <v>3823.93</v>
      </c>
      <c r="BP160" s="561">
        <v>6176.76</v>
      </c>
      <c r="BQ160" s="561">
        <v>1769.23</v>
      </c>
      <c r="BR160" s="561">
        <v>142.91</v>
      </c>
      <c r="BS160" s="561">
        <v>0</v>
      </c>
      <c r="BT160" s="561">
        <v>834.98</v>
      </c>
      <c r="BU160" s="561">
        <v>1055.6500000000001</v>
      </c>
      <c r="BV160" s="561">
        <v>1403.03</v>
      </c>
      <c r="BW160" s="561">
        <v>5020.38</v>
      </c>
      <c r="BX160" s="561">
        <v>79.39</v>
      </c>
      <c r="BY160" s="561">
        <v>9616.44</v>
      </c>
      <c r="BZ160" s="561">
        <v>100300.99</v>
      </c>
      <c r="CA160" s="561">
        <v>7383</v>
      </c>
      <c r="CB160" s="561">
        <v>1292.23</v>
      </c>
      <c r="CC160" s="561">
        <v>735.11</v>
      </c>
      <c r="CD160" s="561">
        <v>78.78</v>
      </c>
      <c r="CE160" s="561">
        <v>239.55</v>
      </c>
      <c r="CF160" s="561">
        <v>63.51</v>
      </c>
      <c r="CG160" s="561">
        <v>80.52</v>
      </c>
      <c r="CH160" s="561">
        <v>257.86</v>
      </c>
      <c r="CI160" s="561">
        <v>136.38</v>
      </c>
      <c r="CJ160" s="561">
        <v>59.87</v>
      </c>
      <c r="CK160" s="561">
        <v>122.58</v>
      </c>
      <c r="CL160" s="561">
        <v>84.54</v>
      </c>
      <c r="CM160" s="561">
        <v>913.9</v>
      </c>
      <c r="CN160" s="561">
        <v>909.15</v>
      </c>
      <c r="CO160" s="561">
        <v>14.17</v>
      </c>
      <c r="CP160" s="561">
        <v>7.29</v>
      </c>
      <c r="CQ160" s="561">
        <v>342.24</v>
      </c>
      <c r="CR160" s="561">
        <v>200.52</v>
      </c>
      <c r="CS160" s="561">
        <v>77.069999999999993</v>
      </c>
      <c r="CT160" s="561">
        <v>1129.1099999999999</v>
      </c>
      <c r="CU160" s="561">
        <v>2964.13</v>
      </c>
      <c r="CV160" s="561">
        <v>720.17</v>
      </c>
      <c r="CW160" s="561">
        <v>287.13</v>
      </c>
      <c r="CX160" s="561">
        <v>584.49</v>
      </c>
      <c r="CY160" s="561">
        <v>1406.98</v>
      </c>
      <c r="CZ160" s="561">
        <v>12707.28</v>
      </c>
      <c r="DA160" s="561">
        <v>157</v>
      </c>
      <c r="DB160" s="561">
        <v>0</v>
      </c>
      <c r="DC160" s="561">
        <v>0</v>
      </c>
      <c r="DD160" s="561">
        <v>0</v>
      </c>
      <c r="DE160" s="561">
        <v>0</v>
      </c>
      <c r="DF160" s="561">
        <v>0</v>
      </c>
      <c r="DG160" s="561">
        <v>0</v>
      </c>
      <c r="DH160" s="561">
        <v>85.74</v>
      </c>
      <c r="DI160" s="561">
        <v>0</v>
      </c>
      <c r="DJ160" s="561">
        <v>0</v>
      </c>
      <c r="DK160" s="561">
        <v>529.67999999999995</v>
      </c>
      <c r="DL160" s="561">
        <v>6872</v>
      </c>
      <c r="DM160" s="561">
        <v>1148</v>
      </c>
      <c r="DN160" s="561">
        <v>13</v>
      </c>
      <c r="DO160" s="561">
        <v>2945</v>
      </c>
      <c r="DP160" s="561">
        <v>-2454</v>
      </c>
      <c r="DQ160" s="561">
        <v>0</v>
      </c>
      <c r="DR160" s="561">
        <v>1574</v>
      </c>
      <c r="DS160" s="561">
        <v>3637</v>
      </c>
      <c r="DT160" s="561">
        <v>0</v>
      </c>
      <c r="DU160" s="561">
        <v>13735</v>
      </c>
      <c r="DV160" s="561">
        <v>0</v>
      </c>
      <c r="DW160" s="561">
        <v>0</v>
      </c>
      <c r="DX160" s="561">
        <v>0</v>
      </c>
      <c r="DY160" s="561">
        <v>3772.39</v>
      </c>
      <c r="DZ160" s="561">
        <v>-337.13</v>
      </c>
      <c r="EA160" s="561">
        <v>17.010000000000002</v>
      </c>
      <c r="EB160" s="561">
        <v>0</v>
      </c>
      <c r="EC160" s="561">
        <v>17802.689999999999</v>
      </c>
      <c r="ED160" s="561">
        <v>2001</v>
      </c>
      <c r="EE160" s="561">
        <v>34697</v>
      </c>
      <c r="EF160" s="561">
        <v>968</v>
      </c>
      <c r="EG160" s="561">
        <v>3989</v>
      </c>
      <c r="EH160" s="561">
        <v>2433</v>
      </c>
      <c r="EI160" s="561">
        <v>0</v>
      </c>
      <c r="EJ160" s="561">
        <v>1494</v>
      </c>
      <c r="EK160" s="561">
        <v>174</v>
      </c>
      <c r="EL160" s="561">
        <v>0</v>
      </c>
      <c r="EM160" s="561">
        <v>0</v>
      </c>
      <c r="EN160" s="561">
        <v>6913</v>
      </c>
      <c r="EO160" s="561">
        <v>16185</v>
      </c>
      <c r="EP160" s="561">
        <v>0</v>
      </c>
      <c r="EQ160" s="561">
        <v>201</v>
      </c>
      <c r="ER160" s="561">
        <v>7512</v>
      </c>
      <c r="ES160" s="561" t="s">
        <v>4565</v>
      </c>
      <c r="ET160" s="561">
        <v>0</v>
      </c>
      <c r="EU160" s="561">
        <v>0</v>
      </c>
      <c r="EV160" s="561">
        <v>34</v>
      </c>
      <c r="EW160" s="561">
        <v>0</v>
      </c>
      <c r="EX160" s="561">
        <v>7986</v>
      </c>
      <c r="EY160" s="561">
        <v>0</v>
      </c>
      <c r="EZ160" s="561">
        <v>4924</v>
      </c>
      <c r="FA160" s="561">
        <v>9977</v>
      </c>
      <c r="FB160" s="561">
        <v>0</v>
      </c>
      <c r="FC160" s="561">
        <v>499.51</v>
      </c>
      <c r="FD160" s="561">
        <v>0</v>
      </c>
      <c r="FE160" s="561">
        <v>507.25</v>
      </c>
      <c r="FF160" s="561">
        <v>0</v>
      </c>
      <c r="FG160" s="561">
        <v>0</v>
      </c>
      <c r="FH160" s="561">
        <v>0</v>
      </c>
      <c r="FI160" s="561">
        <v>243.88</v>
      </c>
      <c r="FJ160" s="561">
        <v>0</v>
      </c>
      <c r="FK160" s="561">
        <v>2224.02</v>
      </c>
      <c r="FL160" s="561">
        <v>-111.05</v>
      </c>
      <c r="FM160" s="561">
        <v>0</v>
      </c>
      <c r="FN160" s="561">
        <v>2805.71</v>
      </c>
      <c r="FO160" s="561">
        <v>6169.32</v>
      </c>
      <c r="FP160" s="561">
        <v>72</v>
      </c>
      <c r="FQ160" s="561">
        <v>-388.61</v>
      </c>
      <c r="FR160" s="561">
        <v>342.35</v>
      </c>
      <c r="FS160" s="561">
        <v>0</v>
      </c>
      <c r="FT160" s="561">
        <v>279.12</v>
      </c>
      <c r="FU160" s="561">
        <v>1612.05</v>
      </c>
      <c r="FV160" s="561">
        <v>0</v>
      </c>
      <c r="FW160" s="561">
        <v>164.72</v>
      </c>
      <c r="FX160" s="561">
        <v>0</v>
      </c>
      <c r="FY160" s="561">
        <v>0</v>
      </c>
      <c r="FZ160" s="561">
        <v>106.11</v>
      </c>
      <c r="GA160" s="561">
        <v>42.86</v>
      </c>
      <c r="GB160" s="561">
        <v>136.41</v>
      </c>
      <c r="GC160" s="561">
        <v>-439.9</v>
      </c>
      <c r="GD160" s="561">
        <v>98.15</v>
      </c>
      <c r="GE160" s="561">
        <v>0</v>
      </c>
      <c r="GF160" s="561">
        <v>857</v>
      </c>
      <c r="GG160" s="561">
        <v>0</v>
      </c>
      <c r="GH160" s="561">
        <v>248.41</v>
      </c>
      <c r="GI160" s="561">
        <v>0</v>
      </c>
      <c r="GJ160" s="561">
        <v>0</v>
      </c>
      <c r="GK160" s="561">
        <v>0</v>
      </c>
      <c r="GL160" s="561">
        <v>1208.67</v>
      </c>
      <c r="GM160" s="561">
        <v>4831.12</v>
      </c>
      <c r="GN160" s="561">
        <v>539.54</v>
      </c>
      <c r="GO160" s="561">
        <v>-1078.43</v>
      </c>
      <c r="GP160" s="561">
        <v>1799.82</v>
      </c>
      <c r="GQ160" s="561">
        <v>0</v>
      </c>
      <c r="GR160" s="561">
        <v>602.26</v>
      </c>
      <c r="GS160" s="561">
        <v>10961.65</v>
      </c>
      <c r="GT160" s="561">
        <v>435</v>
      </c>
      <c r="GU160" s="561">
        <v>941.21</v>
      </c>
      <c r="GV160" s="561">
        <v>422.68</v>
      </c>
      <c r="GW160" s="561">
        <v>0</v>
      </c>
      <c r="GX160" s="561">
        <v>1856.01</v>
      </c>
      <c r="GY160" s="561">
        <v>0</v>
      </c>
      <c r="GZ160" s="561">
        <v>354.51</v>
      </c>
      <c r="HA160" s="561">
        <v>0</v>
      </c>
      <c r="HB160" s="561">
        <v>0</v>
      </c>
      <c r="HC160" s="561">
        <v>745</v>
      </c>
      <c r="HD160" s="561">
        <v>4319.41</v>
      </c>
      <c r="HE160" s="561">
        <v>1400</v>
      </c>
      <c r="HF160" s="561">
        <v>21450.38</v>
      </c>
      <c r="HG160" s="561">
        <v>2810</v>
      </c>
      <c r="HH160" s="561">
        <v>0</v>
      </c>
      <c r="HI160" s="561">
        <v>0</v>
      </c>
      <c r="HJ160" s="561">
        <v>0</v>
      </c>
      <c r="HK160" s="561">
        <v>0</v>
      </c>
      <c r="HL160" s="561">
        <v>0</v>
      </c>
      <c r="HM160" s="561">
        <v>0</v>
      </c>
      <c r="HN160" s="561">
        <v>0</v>
      </c>
      <c r="HO160" s="561">
        <v>7305.58</v>
      </c>
      <c r="HP160" s="561">
        <v>900.27</v>
      </c>
      <c r="HQ160" s="561">
        <v>0</v>
      </c>
      <c r="HR160" s="561">
        <v>0</v>
      </c>
      <c r="HS160" s="561">
        <v>158.88</v>
      </c>
      <c r="HT160" s="561">
        <v>0</v>
      </c>
      <c r="HU160" s="561">
        <v>0</v>
      </c>
      <c r="HV160" s="561">
        <v>-173.51</v>
      </c>
      <c r="HW160" s="561">
        <v>618.25</v>
      </c>
      <c r="HX160" s="561">
        <v>1472.22</v>
      </c>
      <c r="HY160" s="561">
        <v>3223.48</v>
      </c>
      <c r="HZ160" s="561">
        <v>-325.48</v>
      </c>
      <c r="IA160" s="561">
        <v>145.12</v>
      </c>
      <c r="IB160" s="561">
        <v>0</v>
      </c>
      <c r="IC160" s="561">
        <v>373.62</v>
      </c>
      <c r="ID160" s="561">
        <v>0</v>
      </c>
      <c r="IE160" s="561">
        <v>-1199.43</v>
      </c>
      <c r="IF160" s="561">
        <v>0</v>
      </c>
      <c r="IG160" s="561">
        <v>0</v>
      </c>
      <c r="IH160" s="561">
        <v>-6189.62</v>
      </c>
      <c r="II160" s="561">
        <v>6309.38</v>
      </c>
      <c r="IJ160" s="561">
        <v>740</v>
      </c>
      <c r="IK160" s="561">
        <v>0</v>
      </c>
      <c r="IL160" s="561">
        <v>0</v>
      </c>
      <c r="IM160" s="561">
        <v>0</v>
      </c>
      <c r="IN160" s="561">
        <v>0</v>
      </c>
      <c r="IO160" s="561">
        <v>0</v>
      </c>
      <c r="IP160" s="561">
        <v>-1021</v>
      </c>
      <c r="IQ160" s="561">
        <v>0</v>
      </c>
      <c r="IR160" s="561">
        <v>203522.84</v>
      </c>
      <c r="IS160" s="561">
        <v>9364.7000000000007</v>
      </c>
      <c r="IT160" s="561">
        <v>49567.08</v>
      </c>
      <c r="IU160" s="561">
        <v>100300.99</v>
      </c>
      <c r="IV160" s="561">
        <v>12707.28</v>
      </c>
      <c r="IW160" s="561">
        <v>17802.689999999999</v>
      </c>
      <c r="IX160" s="561">
        <v>6169.32</v>
      </c>
      <c r="IY160" s="561">
        <v>10961.65</v>
      </c>
      <c r="IZ160" s="561">
        <v>4319.41</v>
      </c>
      <c r="JA160" s="561">
        <v>0</v>
      </c>
      <c r="JB160" s="561">
        <v>0</v>
      </c>
      <c r="JC160" s="561">
        <v>6309.38</v>
      </c>
      <c r="JD160" s="561">
        <v>-1021</v>
      </c>
      <c r="JE160" s="561">
        <v>420004.34</v>
      </c>
      <c r="JF160" s="561">
        <v>60754.13</v>
      </c>
      <c r="JG160" s="561">
        <v>7000</v>
      </c>
      <c r="JH160" s="561">
        <v>7851.2</v>
      </c>
      <c r="JI160" s="561">
        <v>0</v>
      </c>
      <c r="JJ160" s="561">
        <v>0</v>
      </c>
      <c r="JK160" s="561">
        <v>0</v>
      </c>
      <c r="JL160" s="561">
        <v>0</v>
      </c>
      <c r="JM160" s="561">
        <v>10481.209999999999</v>
      </c>
      <c r="JN160" s="561">
        <v>298.05</v>
      </c>
      <c r="JO160" s="561">
        <v>430</v>
      </c>
      <c r="JP160" s="561">
        <v>0</v>
      </c>
      <c r="JQ160" s="561">
        <v>0</v>
      </c>
      <c r="JR160" s="561">
        <v>0</v>
      </c>
      <c r="JS160" s="561">
        <v>0</v>
      </c>
      <c r="JT160" s="561">
        <v>1015.48</v>
      </c>
      <c r="JU160" s="561">
        <v>0</v>
      </c>
      <c r="JV160" s="561">
        <v>507834.41</v>
      </c>
      <c r="JW160" s="561">
        <v>212.84</v>
      </c>
      <c r="JX160" s="561">
        <v>23</v>
      </c>
      <c r="JY160" s="561">
        <v>0</v>
      </c>
      <c r="JZ160" s="561">
        <v>-1250</v>
      </c>
      <c r="KA160" s="561">
        <v>0</v>
      </c>
      <c r="KB160" s="561">
        <v>651</v>
      </c>
      <c r="KC160" s="561">
        <v>29536.55</v>
      </c>
      <c r="KD160" s="561">
        <v>2317.37</v>
      </c>
      <c r="KE160" s="561">
        <v>14126</v>
      </c>
      <c r="KF160" s="561">
        <v>-7106.34</v>
      </c>
      <c r="KG160" s="561">
        <v>546344.82999999996</v>
      </c>
      <c r="KH160" s="561">
        <v>-10175.68</v>
      </c>
      <c r="KI160" s="561">
        <v>0</v>
      </c>
      <c r="KJ160" s="561">
        <v>0</v>
      </c>
      <c r="KK160" s="561">
        <v>0</v>
      </c>
      <c r="KL160" s="561">
        <v>-79587.490000000005</v>
      </c>
      <c r="KM160" s="561">
        <v>0</v>
      </c>
      <c r="KN160" s="561">
        <v>-2130.0700000000002</v>
      </c>
      <c r="KO160" s="561">
        <v>0</v>
      </c>
      <c r="KP160" s="561">
        <v>0</v>
      </c>
      <c r="KQ160" s="561">
        <v>0</v>
      </c>
      <c r="KR160" s="561">
        <v>454451.59</v>
      </c>
      <c r="KS160" s="561">
        <v>0</v>
      </c>
      <c r="KT160" s="561">
        <v>-252784</v>
      </c>
      <c r="KU160" s="561">
        <v>201667.59</v>
      </c>
      <c r="KV160" s="561">
        <v>0</v>
      </c>
      <c r="KW160" s="561">
        <v>1191</v>
      </c>
      <c r="KX160" s="561">
        <v>0</v>
      </c>
      <c r="KY160" s="561">
        <v>316</v>
      </c>
      <c r="KZ160" s="561">
        <v>5398</v>
      </c>
      <c r="LA160" s="561">
        <v>0</v>
      </c>
      <c r="LB160" s="561">
        <v>-2219</v>
      </c>
      <c r="LC160" s="561">
        <v>0</v>
      </c>
      <c r="LD160" s="561">
        <v>-43806</v>
      </c>
      <c r="LE160" s="561">
        <v>-340</v>
      </c>
      <c r="LF160" s="561">
        <v>0</v>
      </c>
      <c r="LG160" s="561">
        <v>162208</v>
      </c>
      <c r="LH160" s="561">
        <v>14092</v>
      </c>
      <c r="LI160" s="561">
        <v>-4007</v>
      </c>
      <c r="LJ160" s="561">
        <v>0</v>
      </c>
      <c r="LK160" s="561">
        <v>2728</v>
      </c>
      <c r="LL160" s="561">
        <v>62673</v>
      </c>
      <c r="LM160" s="561">
        <v>10008</v>
      </c>
      <c r="LN160" s="561">
        <v>15283</v>
      </c>
      <c r="LO160" s="561">
        <v>-4007</v>
      </c>
      <c r="LP160" s="561">
        <v>0</v>
      </c>
      <c r="LQ160" s="561">
        <v>3044</v>
      </c>
      <c r="LR160" s="561">
        <v>68071</v>
      </c>
      <c r="LS160" s="561">
        <v>10008</v>
      </c>
      <c r="LT160" s="561">
        <v>0</v>
      </c>
      <c r="LU160" s="561">
        <v>39157</v>
      </c>
      <c r="LV160" s="561">
        <v>0</v>
      </c>
      <c r="LW160" s="561">
        <v>20109</v>
      </c>
      <c r="LX160" s="561">
        <v>-21728</v>
      </c>
      <c r="LY160" s="561">
        <v>2472</v>
      </c>
      <c r="LZ160" s="561">
        <v>43543</v>
      </c>
      <c r="MA160" s="561">
        <v>0</v>
      </c>
      <c r="MB160" s="561">
        <v>0</v>
      </c>
      <c r="MC160" s="561">
        <v>43755</v>
      </c>
      <c r="MD160" s="561">
        <v>38831</v>
      </c>
      <c r="ME160" s="561">
        <v>4924</v>
      </c>
      <c r="MF160" s="561">
        <v>9977</v>
      </c>
      <c r="MG160" s="561">
        <v>14901</v>
      </c>
      <c r="MH160" s="561">
        <v>8085</v>
      </c>
      <c r="MI160" s="561">
        <v>11027</v>
      </c>
      <c r="MJ160" s="561">
        <v>19112</v>
      </c>
      <c r="MK160" s="561">
        <v>0</v>
      </c>
      <c r="ML160" s="561">
        <v>107</v>
      </c>
      <c r="MM160" s="561">
        <v>37267</v>
      </c>
      <c r="MN160" s="561">
        <v>3000</v>
      </c>
      <c r="MO160" s="561">
        <v>27697</v>
      </c>
      <c r="MP160" s="561">
        <v>0</v>
      </c>
      <c r="MQ160" s="561">
        <v>203522.84</v>
      </c>
      <c r="MR160" s="561">
        <v>9364.7000000000007</v>
      </c>
      <c r="MS160" s="561">
        <v>49567.08</v>
      </c>
      <c r="MT160" s="561">
        <v>100300.99</v>
      </c>
      <c r="MU160" s="561">
        <v>12707.28</v>
      </c>
      <c r="MV160" s="561">
        <v>17802.689999999999</v>
      </c>
      <c r="MW160" s="561">
        <v>6169.32</v>
      </c>
      <c r="MX160" s="561">
        <v>10961.65</v>
      </c>
      <c r="MY160" s="561">
        <v>4319.41</v>
      </c>
      <c r="MZ160" s="561">
        <v>0</v>
      </c>
      <c r="NA160" s="561">
        <v>0</v>
      </c>
      <c r="NB160" s="561">
        <v>6309.38</v>
      </c>
      <c r="NC160" s="561">
        <v>-1021</v>
      </c>
      <c r="ND160" s="561">
        <v>420004.34</v>
      </c>
      <c r="NE160" s="561">
        <v>0</v>
      </c>
      <c r="NF160" s="561">
        <v>0</v>
      </c>
      <c r="NG160" s="561">
        <v>0</v>
      </c>
      <c r="NH160" s="561">
        <v>0</v>
      </c>
      <c r="NI160" s="561">
        <v>0</v>
      </c>
      <c r="NJ160" s="561">
        <v>0</v>
      </c>
      <c r="NK160" s="561">
        <v>0</v>
      </c>
      <c r="NL160" s="561">
        <v>0</v>
      </c>
      <c r="NM160" s="561">
        <v>0</v>
      </c>
      <c r="NN160" s="561">
        <v>0</v>
      </c>
      <c r="NO160" s="561">
        <v>0</v>
      </c>
      <c r="NP160" s="561">
        <v>0</v>
      </c>
      <c r="NQ160" s="561">
        <v>0</v>
      </c>
      <c r="NR160" s="561">
        <v>0</v>
      </c>
      <c r="NS160" s="561">
        <v>0</v>
      </c>
      <c r="NT160" s="561">
        <v>0</v>
      </c>
      <c r="NU160" s="561">
        <v>0</v>
      </c>
      <c r="NV160" s="561">
        <v>0</v>
      </c>
      <c r="NW160" s="561">
        <v>0</v>
      </c>
      <c r="NX160" s="561">
        <v>0</v>
      </c>
      <c r="NY160" s="561">
        <v>0</v>
      </c>
      <c r="NZ160" s="561">
        <v>0</v>
      </c>
      <c r="OA160" s="561">
        <v>0</v>
      </c>
      <c r="OB160" s="561">
        <v>0</v>
      </c>
      <c r="OC160" s="561">
        <v>0</v>
      </c>
      <c r="OD160" s="561">
        <v>0</v>
      </c>
      <c r="OE160" s="561">
        <v>0</v>
      </c>
      <c r="OF160" s="561">
        <v>0</v>
      </c>
      <c r="OG160" s="561">
        <v>0</v>
      </c>
      <c r="OH160" s="561">
        <v>0</v>
      </c>
      <c r="OI160" s="561">
        <v>0</v>
      </c>
      <c r="OJ160" s="561">
        <v>0</v>
      </c>
      <c r="OK160" s="561">
        <v>0</v>
      </c>
      <c r="OL160" s="561">
        <v>0</v>
      </c>
      <c r="OM160" s="561">
        <v>0</v>
      </c>
      <c r="ON160" s="561">
        <v>0</v>
      </c>
      <c r="OO160" s="561">
        <v>0</v>
      </c>
      <c r="OP160" s="561">
        <v>0</v>
      </c>
      <c r="OQ160" s="561">
        <v>0</v>
      </c>
      <c r="OR160" s="561">
        <v>0</v>
      </c>
      <c r="OS160" s="561">
        <v>0</v>
      </c>
      <c r="OT160" s="561">
        <v>0</v>
      </c>
      <c r="OU160" s="561">
        <v>0</v>
      </c>
      <c r="OV160" s="561">
        <v>0</v>
      </c>
      <c r="OW160" s="561">
        <v>0</v>
      </c>
      <c r="OX160" s="561">
        <v>0</v>
      </c>
      <c r="OY160" s="561">
        <v>0</v>
      </c>
      <c r="OZ160" s="561">
        <v>0</v>
      </c>
      <c r="PA160" s="561">
        <v>0</v>
      </c>
      <c r="PB160" s="561">
        <v>0</v>
      </c>
      <c r="PC160" s="561">
        <v>0</v>
      </c>
      <c r="PD160" s="561">
        <v>0</v>
      </c>
      <c r="PE160" s="561">
        <v>0</v>
      </c>
      <c r="PF160" s="561">
        <v>0</v>
      </c>
      <c r="PG160" s="561">
        <v>0</v>
      </c>
      <c r="PH160" s="561">
        <v>0</v>
      </c>
      <c r="PI160" s="561">
        <v>0</v>
      </c>
      <c r="PJ160" s="561">
        <v>0</v>
      </c>
    </row>
    <row r="161" spans="1:426" ht="14" x14ac:dyDescent="0.3">
      <c r="A161" t="s">
        <v>2918</v>
      </c>
      <c r="B161" t="s">
        <v>2919</v>
      </c>
      <c r="C161" t="s">
        <v>4606</v>
      </c>
      <c r="E161" t="s">
        <v>384</v>
      </c>
      <c r="F161" s="561">
        <v>0</v>
      </c>
      <c r="G161" s="561">
        <v>0</v>
      </c>
      <c r="H161" s="561">
        <v>0</v>
      </c>
      <c r="I161" s="561">
        <v>0</v>
      </c>
      <c r="J161" s="561">
        <v>0</v>
      </c>
      <c r="K161" s="561">
        <v>0</v>
      </c>
      <c r="L161" s="561">
        <v>0</v>
      </c>
      <c r="M161" s="561">
        <v>0</v>
      </c>
      <c r="N161" s="561">
        <v>0</v>
      </c>
      <c r="O161" s="561">
        <v>0</v>
      </c>
      <c r="P161" s="561">
        <v>0</v>
      </c>
      <c r="Q161" s="561">
        <v>0</v>
      </c>
      <c r="R161" s="561">
        <v>0</v>
      </c>
      <c r="S161" s="561">
        <v>0</v>
      </c>
      <c r="T161" s="561">
        <v>0</v>
      </c>
      <c r="U161" s="561">
        <v>0</v>
      </c>
      <c r="V161" s="561">
        <v>0</v>
      </c>
      <c r="W161" s="561">
        <v>0</v>
      </c>
      <c r="X161" s="561">
        <v>0</v>
      </c>
      <c r="Y161" s="561">
        <v>0</v>
      </c>
      <c r="Z161" s="561">
        <v>48</v>
      </c>
      <c r="AA161" s="561">
        <v>0</v>
      </c>
      <c r="AB161" s="561">
        <v>-146</v>
      </c>
      <c r="AC161" s="561">
        <v>0</v>
      </c>
      <c r="AD161" s="561">
        <v>0</v>
      </c>
      <c r="AE161" s="561">
        <v>0</v>
      </c>
      <c r="AF161" s="561">
        <v>0</v>
      </c>
      <c r="AG161" s="561">
        <v>0</v>
      </c>
      <c r="AH161" s="561">
        <v>0</v>
      </c>
      <c r="AI161" s="561">
        <v>0</v>
      </c>
      <c r="AJ161" s="561">
        <v>-98</v>
      </c>
      <c r="AK161" s="561">
        <v>0</v>
      </c>
      <c r="AL161" s="561">
        <v>0</v>
      </c>
      <c r="AM161" s="561">
        <v>0</v>
      </c>
      <c r="AN161" s="561">
        <v>0</v>
      </c>
      <c r="AO161" s="561">
        <v>0</v>
      </c>
      <c r="AP161" s="561">
        <v>0</v>
      </c>
      <c r="AQ161" s="561">
        <v>0</v>
      </c>
      <c r="AR161" s="561">
        <v>0</v>
      </c>
      <c r="AS161" s="561">
        <v>0</v>
      </c>
      <c r="AT161" s="561">
        <v>0</v>
      </c>
      <c r="AU161" s="561">
        <v>0</v>
      </c>
      <c r="AV161" s="561">
        <v>0</v>
      </c>
      <c r="AW161" s="561">
        <v>0</v>
      </c>
      <c r="AX161" s="561">
        <v>0</v>
      </c>
      <c r="AY161" s="561">
        <v>0</v>
      </c>
      <c r="AZ161" s="561">
        <v>0</v>
      </c>
      <c r="BA161" s="561">
        <v>0</v>
      </c>
      <c r="BB161" s="561">
        <v>0</v>
      </c>
      <c r="BC161" s="561">
        <v>0</v>
      </c>
      <c r="BD161" s="561">
        <v>0</v>
      </c>
      <c r="BE161" s="561">
        <v>0</v>
      </c>
      <c r="BF161" s="561">
        <v>0</v>
      </c>
      <c r="BG161" s="561">
        <v>0</v>
      </c>
      <c r="BH161" s="561">
        <v>0</v>
      </c>
      <c r="BI161" s="561">
        <v>0</v>
      </c>
      <c r="BJ161" s="561">
        <v>0</v>
      </c>
      <c r="BK161" s="561">
        <v>0</v>
      </c>
      <c r="BL161" s="561">
        <v>0</v>
      </c>
      <c r="BM161" s="561">
        <v>0</v>
      </c>
      <c r="BN161" s="561">
        <v>0</v>
      </c>
      <c r="BO161" s="561">
        <v>0</v>
      </c>
      <c r="BP161" s="561">
        <v>0</v>
      </c>
      <c r="BQ161" s="561">
        <v>0</v>
      </c>
      <c r="BR161" s="561">
        <v>0</v>
      </c>
      <c r="BS161" s="561">
        <v>0</v>
      </c>
      <c r="BT161" s="561">
        <v>0</v>
      </c>
      <c r="BU161" s="561">
        <v>0</v>
      </c>
      <c r="BV161" s="561">
        <v>0</v>
      </c>
      <c r="BW161" s="561">
        <v>0</v>
      </c>
      <c r="BX161" s="561">
        <v>0</v>
      </c>
      <c r="BY161" s="561">
        <v>0</v>
      </c>
      <c r="BZ161" s="561">
        <v>0</v>
      </c>
      <c r="CA161" s="561">
        <v>0</v>
      </c>
      <c r="CB161" s="561">
        <v>0</v>
      </c>
      <c r="CC161" s="561">
        <v>0</v>
      </c>
      <c r="CD161" s="561">
        <v>0</v>
      </c>
      <c r="CE161" s="561">
        <v>0</v>
      </c>
      <c r="CF161" s="561">
        <v>0</v>
      </c>
      <c r="CG161" s="561">
        <v>0</v>
      </c>
      <c r="CH161" s="561">
        <v>0</v>
      </c>
      <c r="CI161" s="561">
        <v>0</v>
      </c>
      <c r="CJ161" s="561">
        <v>0</v>
      </c>
      <c r="CK161" s="561">
        <v>0</v>
      </c>
      <c r="CL161" s="561">
        <v>0</v>
      </c>
      <c r="CM161" s="561">
        <v>0</v>
      </c>
      <c r="CN161" s="561">
        <v>0</v>
      </c>
      <c r="CO161" s="561">
        <v>0</v>
      </c>
      <c r="CP161" s="561">
        <v>0</v>
      </c>
      <c r="CQ161" s="561">
        <v>0</v>
      </c>
      <c r="CR161" s="561">
        <v>0</v>
      </c>
      <c r="CS161" s="561">
        <v>0</v>
      </c>
      <c r="CT161" s="561">
        <v>0</v>
      </c>
      <c r="CU161" s="561">
        <v>0</v>
      </c>
      <c r="CV161" s="561">
        <v>0</v>
      </c>
      <c r="CW161" s="561">
        <v>0</v>
      </c>
      <c r="CX161" s="561">
        <v>0</v>
      </c>
      <c r="CY161" s="561">
        <v>0</v>
      </c>
      <c r="CZ161" s="561">
        <v>0</v>
      </c>
      <c r="DA161" s="561">
        <v>0</v>
      </c>
      <c r="DB161" s="561">
        <v>0</v>
      </c>
      <c r="DC161" s="561">
        <v>0</v>
      </c>
      <c r="DD161" s="561">
        <v>0</v>
      </c>
      <c r="DE161" s="561">
        <v>0</v>
      </c>
      <c r="DF161" s="561">
        <v>0</v>
      </c>
      <c r="DG161" s="561">
        <v>0</v>
      </c>
      <c r="DH161" s="561">
        <v>345</v>
      </c>
      <c r="DI161" s="561">
        <v>0</v>
      </c>
      <c r="DJ161" s="561">
        <v>-11</v>
      </c>
      <c r="DK161" s="561">
        <v>-50</v>
      </c>
      <c r="DL161" s="561">
        <v>0</v>
      </c>
      <c r="DM161" s="561">
        <v>0</v>
      </c>
      <c r="DN161" s="561">
        <v>259</v>
      </c>
      <c r="DO161" s="561">
        <v>0</v>
      </c>
      <c r="DP161" s="561">
        <v>0</v>
      </c>
      <c r="DQ161" s="561">
        <v>0</v>
      </c>
      <c r="DR161" s="561">
        <v>0</v>
      </c>
      <c r="DS161" s="561">
        <v>179</v>
      </c>
      <c r="DT161" s="561">
        <v>838</v>
      </c>
      <c r="DU161" s="561">
        <v>1276</v>
      </c>
      <c r="DV161" s="561">
        <v>0</v>
      </c>
      <c r="DW161" s="561">
        <v>0</v>
      </c>
      <c r="DX161" s="561">
        <v>0</v>
      </c>
      <c r="DY161" s="561">
        <v>0</v>
      </c>
      <c r="DZ161" s="561">
        <v>0</v>
      </c>
      <c r="EA161" s="561">
        <v>0</v>
      </c>
      <c r="EB161" s="561">
        <v>0</v>
      </c>
      <c r="EC161" s="561">
        <v>1560</v>
      </c>
      <c r="ED161" s="561">
        <v>0</v>
      </c>
      <c r="EE161" s="561">
        <v>0</v>
      </c>
      <c r="EF161" s="561">
        <v>0</v>
      </c>
      <c r="EG161" s="561">
        <v>0</v>
      </c>
      <c r="EH161" s="561">
        <v>0</v>
      </c>
      <c r="EI161" s="561">
        <v>0</v>
      </c>
      <c r="EJ161" s="561">
        <v>0</v>
      </c>
      <c r="EK161" s="561">
        <v>0</v>
      </c>
      <c r="EL161" s="561">
        <v>0</v>
      </c>
      <c r="EM161" s="561">
        <v>0</v>
      </c>
      <c r="EN161" s="561">
        <v>0</v>
      </c>
      <c r="EO161" s="561">
        <v>0</v>
      </c>
      <c r="EP161" s="561">
        <v>0</v>
      </c>
      <c r="EQ161" s="561">
        <v>0</v>
      </c>
      <c r="ER161" s="561">
        <v>0</v>
      </c>
      <c r="ES161" s="561" t="s">
        <v>4565</v>
      </c>
      <c r="ET161" s="561">
        <v>0</v>
      </c>
      <c r="EU161" s="561">
        <v>0</v>
      </c>
      <c r="EV161" s="561">
        <v>0</v>
      </c>
      <c r="EW161" s="561">
        <v>0</v>
      </c>
      <c r="EX161" s="561">
        <v>0</v>
      </c>
      <c r="EY161" s="561">
        <v>0</v>
      </c>
      <c r="EZ161" s="561">
        <v>0</v>
      </c>
      <c r="FA161" s="561">
        <v>0</v>
      </c>
      <c r="FB161" s="561">
        <v>0</v>
      </c>
      <c r="FC161" s="561">
        <v>0</v>
      </c>
      <c r="FD161" s="561">
        <v>0</v>
      </c>
      <c r="FE161" s="561">
        <v>0</v>
      </c>
      <c r="FF161" s="561">
        <v>0</v>
      </c>
      <c r="FG161" s="561">
        <v>0</v>
      </c>
      <c r="FH161" s="561">
        <v>0</v>
      </c>
      <c r="FI161" s="561">
        <v>0</v>
      </c>
      <c r="FJ161" s="561">
        <v>-1407</v>
      </c>
      <c r="FK161" s="561">
        <v>669</v>
      </c>
      <c r="FL161" s="561">
        <v>0</v>
      </c>
      <c r="FM161" s="561">
        <v>0</v>
      </c>
      <c r="FN161" s="561">
        <v>0</v>
      </c>
      <c r="FO161" s="561">
        <v>-738</v>
      </c>
      <c r="FP161" s="561">
        <v>0</v>
      </c>
      <c r="FQ161" s="561">
        <v>15</v>
      </c>
      <c r="FR161" s="561">
        <v>1</v>
      </c>
      <c r="FS161" s="561">
        <v>0</v>
      </c>
      <c r="FT161" s="561">
        <v>0</v>
      </c>
      <c r="FU161" s="561">
        <v>680</v>
      </c>
      <c r="FV161" s="561">
        <v>0</v>
      </c>
      <c r="FW161" s="561">
        <v>0</v>
      </c>
      <c r="FX161" s="561">
        <v>0</v>
      </c>
      <c r="FY161" s="561">
        <v>0</v>
      </c>
      <c r="FZ161" s="561">
        <v>14</v>
      </c>
      <c r="GA161" s="561">
        <v>0</v>
      </c>
      <c r="GB161" s="561">
        <v>28</v>
      </c>
      <c r="GC161" s="561">
        <v>31</v>
      </c>
      <c r="GD161" s="561">
        <v>302</v>
      </c>
      <c r="GE161" s="561">
        <v>0</v>
      </c>
      <c r="GF161" s="561">
        <v>113</v>
      </c>
      <c r="GG161" s="561">
        <v>0</v>
      </c>
      <c r="GH161" s="561">
        <v>105</v>
      </c>
      <c r="GI161" s="561">
        <v>0</v>
      </c>
      <c r="GJ161" s="561">
        <v>0</v>
      </c>
      <c r="GK161" s="561">
        <v>0</v>
      </c>
      <c r="GL161" s="561">
        <v>1061</v>
      </c>
      <c r="GM161" s="561">
        <v>69</v>
      </c>
      <c r="GN161" s="561">
        <v>0</v>
      </c>
      <c r="GO161" s="561">
        <v>0</v>
      </c>
      <c r="GP161" s="561">
        <v>1108</v>
      </c>
      <c r="GQ161" s="561">
        <v>0</v>
      </c>
      <c r="GR161" s="561">
        <v>267</v>
      </c>
      <c r="GS161" s="561">
        <v>3794</v>
      </c>
      <c r="GT161" s="561">
        <v>39</v>
      </c>
      <c r="GU161" s="561">
        <v>2</v>
      </c>
      <c r="GV161" s="561">
        <v>786</v>
      </c>
      <c r="GW161" s="561">
        <v>0</v>
      </c>
      <c r="GX161" s="561">
        <v>465</v>
      </c>
      <c r="GY161" s="561">
        <v>803</v>
      </c>
      <c r="GZ161" s="561">
        <v>26</v>
      </c>
      <c r="HA161" s="561">
        <v>0</v>
      </c>
      <c r="HB161" s="561">
        <v>-315</v>
      </c>
      <c r="HC161" s="561">
        <v>0</v>
      </c>
      <c r="HD161" s="561">
        <v>1767</v>
      </c>
      <c r="HE161" s="561">
        <v>275</v>
      </c>
      <c r="HF161" s="561">
        <v>4823</v>
      </c>
      <c r="HG161" s="561">
        <v>0</v>
      </c>
      <c r="HH161" s="561">
        <v>0</v>
      </c>
      <c r="HI161" s="561">
        <v>0</v>
      </c>
      <c r="HJ161" s="561">
        <v>0</v>
      </c>
      <c r="HK161" s="561">
        <v>0</v>
      </c>
      <c r="HL161" s="561">
        <v>0</v>
      </c>
      <c r="HM161" s="561">
        <v>0</v>
      </c>
      <c r="HN161" s="561">
        <v>0</v>
      </c>
      <c r="HO161" s="561">
        <v>2089</v>
      </c>
      <c r="HP161" s="561">
        <v>356</v>
      </c>
      <c r="HQ161" s="561">
        <v>237</v>
      </c>
      <c r="HR161" s="561">
        <v>0</v>
      </c>
      <c r="HS161" s="561">
        <v>0</v>
      </c>
      <c r="HT161" s="561">
        <v>0</v>
      </c>
      <c r="HU161" s="561">
        <v>0</v>
      </c>
      <c r="HV161" s="561">
        <v>0</v>
      </c>
      <c r="HW161" s="561">
        <v>181</v>
      </c>
      <c r="HX161" s="561">
        <v>246</v>
      </c>
      <c r="HY161" s="561">
        <v>58</v>
      </c>
      <c r="HZ161" s="561">
        <v>-24</v>
      </c>
      <c r="IA161" s="561">
        <v>0</v>
      </c>
      <c r="IB161" s="561">
        <v>0</v>
      </c>
      <c r="IC161" s="561">
        <v>0</v>
      </c>
      <c r="ID161" s="561">
        <v>0</v>
      </c>
      <c r="IE161" s="561">
        <v>933</v>
      </c>
      <c r="IF161" s="561">
        <v>0</v>
      </c>
      <c r="IG161" s="561">
        <v>0</v>
      </c>
      <c r="IH161" s="561">
        <v>-1350</v>
      </c>
      <c r="II161" s="561">
        <v>2726</v>
      </c>
      <c r="IJ161" s="561">
        <v>51</v>
      </c>
      <c r="IK161" s="561">
        <v>0</v>
      </c>
      <c r="IL161" s="561">
        <v>0</v>
      </c>
      <c r="IM161" s="561">
        <v>0</v>
      </c>
      <c r="IN161" s="561">
        <v>4439</v>
      </c>
      <c r="IO161" s="561">
        <v>2864</v>
      </c>
      <c r="IP161" s="561">
        <v>0</v>
      </c>
      <c r="IQ161" s="561">
        <v>0</v>
      </c>
      <c r="IR161" s="561">
        <v>0</v>
      </c>
      <c r="IS161" s="561">
        <v>-98</v>
      </c>
      <c r="IT161" s="561">
        <v>0</v>
      </c>
      <c r="IU161" s="561">
        <v>0</v>
      </c>
      <c r="IV161" s="561">
        <v>0</v>
      </c>
      <c r="IW161" s="561">
        <v>1560</v>
      </c>
      <c r="IX161" s="561">
        <v>-738</v>
      </c>
      <c r="IY161" s="561">
        <v>3794</v>
      </c>
      <c r="IZ161" s="561">
        <v>1767</v>
      </c>
      <c r="JA161" s="561">
        <v>0</v>
      </c>
      <c r="JB161" s="561">
        <v>0</v>
      </c>
      <c r="JC161" s="561">
        <v>2726</v>
      </c>
      <c r="JD161" s="561">
        <v>0</v>
      </c>
      <c r="JE161" s="561">
        <v>9011</v>
      </c>
      <c r="JF161" s="561">
        <v>9221</v>
      </c>
      <c r="JG161" s="561">
        <v>37</v>
      </c>
      <c r="JH161" s="561">
        <v>0</v>
      </c>
      <c r="JI161" s="561">
        <v>0</v>
      </c>
      <c r="JJ161" s="561">
        <v>0</v>
      </c>
      <c r="JK161" s="561">
        <v>4215</v>
      </c>
      <c r="JL161" s="561">
        <v>0</v>
      </c>
      <c r="JM161" s="561">
        <v>0</v>
      </c>
      <c r="JN161" s="561">
        <v>0</v>
      </c>
      <c r="JO161" s="561">
        <v>0</v>
      </c>
      <c r="JP161" s="561">
        <v>0</v>
      </c>
      <c r="JQ161" s="561">
        <v>0</v>
      </c>
      <c r="JR161" s="561">
        <v>0</v>
      </c>
      <c r="JS161" s="561">
        <v>0</v>
      </c>
      <c r="JT161" s="561">
        <v>22</v>
      </c>
      <c r="JU161" s="561">
        <v>0</v>
      </c>
      <c r="JV161" s="561">
        <v>22506</v>
      </c>
      <c r="JW161" s="561">
        <v>0</v>
      </c>
      <c r="JX161" s="561">
        <v>559</v>
      </c>
      <c r="JY161" s="561">
        <v>0</v>
      </c>
      <c r="JZ161" s="561">
        <v>0</v>
      </c>
      <c r="KA161" s="561">
        <v>0</v>
      </c>
      <c r="KB161" s="561">
        <v>44</v>
      </c>
      <c r="KC161" s="561">
        <v>701</v>
      </c>
      <c r="KD161" s="561">
        <v>0</v>
      </c>
      <c r="KE161" s="561">
        <v>293</v>
      </c>
      <c r="KF161" s="561">
        <v>23</v>
      </c>
      <c r="KG161" s="561">
        <v>24126</v>
      </c>
      <c r="KH161" s="561">
        <v>-3301</v>
      </c>
      <c r="KI161" s="561">
        <v>0</v>
      </c>
      <c r="KJ161" s="561">
        <v>13</v>
      </c>
      <c r="KK161" s="561">
        <v>0</v>
      </c>
      <c r="KL161" s="561">
        <v>-9214</v>
      </c>
      <c r="KM161" s="561">
        <v>0</v>
      </c>
      <c r="KN161" s="561">
        <v>0</v>
      </c>
      <c r="KO161" s="561">
        <v>0</v>
      </c>
      <c r="KP161" s="561">
        <v>0</v>
      </c>
      <c r="KQ161" s="561">
        <v>0</v>
      </c>
      <c r="KR161" s="561">
        <v>11624</v>
      </c>
      <c r="KS161" s="561">
        <v>0</v>
      </c>
      <c r="KT161" s="561">
        <v>-2524</v>
      </c>
      <c r="KU161" s="561">
        <v>9100</v>
      </c>
      <c r="KV161" s="561">
        <v>0</v>
      </c>
      <c r="KW161" s="561">
        <v>0</v>
      </c>
      <c r="KX161" s="561">
        <v>0</v>
      </c>
      <c r="KY161" s="561">
        <v>0</v>
      </c>
      <c r="KZ161" s="561">
        <v>4862</v>
      </c>
      <c r="LA161" s="561">
        <v>2113</v>
      </c>
      <c r="LB161" s="561">
        <v>-74</v>
      </c>
      <c r="LC161" s="561">
        <v>0</v>
      </c>
      <c r="LD161" s="561">
        <v>-2524</v>
      </c>
      <c r="LE161" s="561">
        <v>-802</v>
      </c>
      <c r="LF161" s="561">
        <v>0</v>
      </c>
      <c r="LG161" s="561">
        <v>12675</v>
      </c>
      <c r="LH161" s="561">
        <v>0</v>
      </c>
      <c r="LI161" s="561">
        <v>0</v>
      </c>
      <c r="LJ161" s="561">
        <v>0</v>
      </c>
      <c r="LK161" s="561">
        <v>0</v>
      </c>
      <c r="LL161" s="561">
        <v>27058</v>
      </c>
      <c r="LM161" s="561">
        <v>8696</v>
      </c>
      <c r="LN161" s="561">
        <v>0</v>
      </c>
      <c r="LO161" s="561">
        <v>0</v>
      </c>
      <c r="LP161" s="561">
        <v>0</v>
      </c>
      <c r="LQ161" s="561">
        <v>0</v>
      </c>
      <c r="LR161" s="561">
        <v>31920</v>
      </c>
      <c r="LS161" s="561">
        <v>10809</v>
      </c>
      <c r="LT161" s="561">
        <v>0</v>
      </c>
      <c r="LU161" s="561">
        <v>2319</v>
      </c>
      <c r="LV161" s="561">
        <v>-384</v>
      </c>
      <c r="LW161" s="561">
        <v>185</v>
      </c>
      <c r="LX161" s="561">
        <v>-2120</v>
      </c>
      <c r="LY161" s="561">
        <v>3782</v>
      </c>
      <c r="LZ161" s="561">
        <v>3782</v>
      </c>
      <c r="MA161" s="561">
        <v>0</v>
      </c>
      <c r="MB161" s="561">
        <v>0</v>
      </c>
      <c r="MC161" s="561">
        <v>0</v>
      </c>
      <c r="MD161" s="561">
        <v>0</v>
      </c>
      <c r="ME161" s="561">
        <v>0</v>
      </c>
      <c r="MF161" s="561">
        <v>0</v>
      </c>
      <c r="MG161" s="561">
        <v>0</v>
      </c>
      <c r="MH161" s="561">
        <v>1516</v>
      </c>
      <c r="MI161" s="561">
        <v>2195</v>
      </c>
      <c r="MJ161" s="561">
        <v>3711</v>
      </c>
      <c r="MK161" s="561">
        <v>0</v>
      </c>
      <c r="ML161" s="561">
        <v>21383</v>
      </c>
      <c r="MM161" s="561">
        <v>4689</v>
      </c>
      <c r="MN161" s="561">
        <v>5217</v>
      </c>
      <c r="MO161" s="561">
        <v>631</v>
      </c>
      <c r="MP161" s="561">
        <v>0</v>
      </c>
      <c r="MQ161" s="561">
        <v>0</v>
      </c>
      <c r="MR161" s="561">
        <v>-98</v>
      </c>
      <c r="MS161" s="561">
        <v>0</v>
      </c>
      <c r="MT161" s="561">
        <v>0</v>
      </c>
      <c r="MU161" s="561">
        <v>0</v>
      </c>
      <c r="MV161" s="561">
        <v>1560</v>
      </c>
      <c r="MW161" s="561">
        <v>-738</v>
      </c>
      <c r="MX161" s="561">
        <v>3794</v>
      </c>
      <c r="MY161" s="561">
        <v>1767</v>
      </c>
      <c r="MZ161" s="561">
        <v>0</v>
      </c>
      <c r="NA161" s="561">
        <v>0</v>
      </c>
      <c r="NB161" s="561">
        <v>2726</v>
      </c>
      <c r="NC161" s="561">
        <v>0</v>
      </c>
      <c r="ND161" s="561">
        <v>9011</v>
      </c>
      <c r="NE161" s="561">
        <v>0</v>
      </c>
      <c r="NF161" s="561">
        <v>0</v>
      </c>
      <c r="NG161" s="561">
        <v>0</v>
      </c>
      <c r="NH161" s="561">
        <v>0</v>
      </c>
      <c r="NI161" s="561">
        <v>0</v>
      </c>
      <c r="NJ161" s="561">
        <v>0</v>
      </c>
      <c r="NK161" s="561">
        <v>0</v>
      </c>
      <c r="NL161" s="561">
        <v>0</v>
      </c>
      <c r="NM161" s="561">
        <v>0</v>
      </c>
      <c r="NN161" s="561">
        <v>0</v>
      </c>
      <c r="NO161" s="561">
        <v>0</v>
      </c>
      <c r="NP161" s="561">
        <v>0</v>
      </c>
      <c r="NQ161" s="561">
        <v>0</v>
      </c>
      <c r="NR161" s="561">
        <v>0</v>
      </c>
      <c r="NS161" s="561">
        <v>0</v>
      </c>
      <c r="NT161" s="561">
        <v>0</v>
      </c>
      <c r="NU161" s="561">
        <v>0</v>
      </c>
      <c r="NV161" s="561">
        <v>0</v>
      </c>
      <c r="NW161" s="561">
        <v>0</v>
      </c>
      <c r="NX161" s="561">
        <v>0</v>
      </c>
      <c r="NY161" s="561">
        <v>0</v>
      </c>
      <c r="NZ161" s="561">
        <v>0</v>
      </c>
      <c r="OA161" s="561">
        <v>0</v>
      </c>
      <c r="OB161" s="561">
        <v>0</v>
      </c>
      <c r="OC161" s="561">
        <v>0</v>
      </c>
      <c r="OD161" s="561">
        <v>0</v>
      </c>
      <c r="OE161" s="561">
        <v>0</v>
      </c>
      <c r="OF161" s="561">
        <v>0</v>
      </c>
      <c r="OG161" s="561">
        <v>0</v>
      </c>
      <c r="OH161" s="561">
        <v>0</v>
      </c>
      <c r="OI161" s="561">
        <v>0</v>
      </c>
      <c r="OJ161" s="561">
        <v>0</v>
      </c>
      <c r="OK161" s="561">
        <v>0</v>
      </c>
      <c r="OL161" s="561">
        <v>0</v>
      </c>
      <c r="OM161" s="561">
        <v>0</v>
      </c>
      <c r="ON161" s="561">
        <v>0</v>
      </c>
      <c r="OO161" s="561">
        <v>0</v>
      </c>
      <c r="OP161" s="561">
        <v>0</v>
      </c>
      <c r="OQ161" s="561">
        <v>0</v>
      </c>
      <c r="OR161" s="561">
        <v>0</v>
      </c>
      <c r="OS161" s="561">
        <v>0</v>
      </c>
      <c r="OT161" s="561">
        <v>0</v>
      </c>
      <c r="OU161" s="561">
        <v>0</v>
      </c>
      <c r="OV161" s="561">
        <v>0</v>
      </c>
      <c r="OW161" s="561">
        <v>0</v>
      </c>
      <c r="OX161" s="561">
        <v>0</v>
      </c>
      <c r="OY161" s="561">
        <v>0</v>
      </c>
      <c r="OZ161" s="561">
        <v>0</v>
      </c>
      <c r="PA161" s="561">
        <v>0</v>
      </c>
      <c r="PB161" s="561">
        <v>0</v>
      </c>
      <c r="PC161" s="561">
        <v>0</v>
      </c>
      <c r="PD161" s="561">
        <v>0</v>
      </c>
      <c r="PE161" s="561">
        <v>0</v>
      </c>
      <c r="PF161" s="561">
        <v>0</v>
      </c>
      <c r="PG161" s="561">
        <v>0</v>
      </c>
      <c r="PH161" s="561">
        <v>0</v>
      </c>
      <c r="PI161" s="561">
        <v>0</v>
      </c>
      <c r="PJ161" s="561">
        <v>0</v>
      </c>
    </row>
    <row r="162" spans="1:426" ht="14" x14ac:dyDescent="0.3">
      <c r="A162" t="s">
        <v>2921</v>
      </c>
      <c r="B162" t="s">
        <v>2922</v>
      </c>
      <c r="C162" t="s">
        <v>4607</v>
      </c>
      <c r="E162" t="s">
        <v>385</v>
      </c>
      <c r="F162" s="561">
        <v>11102</v>
      </c>
      <c r="G162" s="561">
        <v>20781</v>
      </c>
      <c r="H162" s="561">
        <v>12096</v>
      </c>
      <c r="I162" s="561">
        <v>11828</v>
      </c>
      <c r="J162" s="561">
        <v>1470</v>
      </c>
      <c r="K162" s="561">
        <v>5630</v>
      </c>
      <c r="L162" s="561">
        <v>62907</v>
      </c>
      <c r="M162" s="561">
        <v>390</v>
      </c>
      <c r="N162" s="561">
        <v>-25</v>
      </c>
      <c r="O162" s="561">
        <v>38</v>
      </c>
      <c r="P162" s="561">
        <v>0</v>
      </c>
      <c r="Q162" s="561">
        <v>826</v>
      </c>
      <c r="R162" s="561">
        <v>1</v>
      </c>
      <c r="S162" s="561">
        <v>188</v>
      </c>
      <c r="T162" s="561">
        <v>2116</v>
      </c>
      <c r="U162" s="561">
        <v>244</v>
      </c>
      <c r="V162" s="561">
        <v>1739</v>
      </c>
      <c r="W162" s="561">
        <v>0</v>
      </c>
      <c r="X162" s="561">
        <v>0</v>
      </c>
      <c r="Y162" s="561">
        <v>207</v>
      </c>
      <c r="Z162" s="561">
        <v>51</v>
      </c>
      <c r="AA162" s="561">
        <v>-6</v>
      </c>
      <c r="AB162" s="561">
        <v>-434</v>
      </c>
      <c r="AC162" s="561">
        <v>1867</v>
      </c>
      <c r="AD162" s="561">
        <v>0</v>
      </c>
      <c r="AE162" s="561">
        <v>0</v>
      </c>
      <c r="AF162" s="561">
        <v>0</v>
      </c>
      <c r="AG162" s="561">
        <v>0</v>
      </c>
      <c r="AH162" s="561">
        <v>0</v>
      </c>
      <c r="AI162" s="561">
        <v>0</v>
      </c>
      <c r="AJ162" s="561">
        <v>6812</v>
      </c>
      <c r="AK162" s="561">
        <v>44</v>
      </c>
      <c r="AL162" s="561">
        <v>0</v>
      </c>
      <c r="AM162" s="561">
        <v>0</v>
      </c>
      <c r="AN162" s="561">
        <v>0</v>
      </c>
      <c r="AO162" s="561">
        <v>0</v>
      </c>
      <c r="AP162" s="561">
        <v>0</v>
      </c>
      <c r="AQ162" s="561">
        <v>0</v>
      </c>
      <c r="AR162" s="561">
        <v>0</v>
      </c>
      <c r="AS162" s="561">
        <v>4</v>
      </c>
      <c r="AT162" s="561">
        <v>70</v>
      </c>
      <c r="AU162" s="561">
        <v>0</v>
      </c>
      <c r="AV162" s="561">
        <v>0</v>
      </c>
      <c r="AW162" s="561">
        <v>0</v>
      </c>
      <c r="AX162" s="561">
        <v>23</v>
      </c>
      <c r="AY162" s="561">
        <v>31857</v>
      </c>
      <c r="AZ162" s="561">
        <v>14</v>
      </c>
      <c r="BA162" s="561">
        <v>5427</v>
      </c>
      <c r="BB162" s="561">
        <v>875</v>
      </c>
      <c r="BC162" s="561">
        <v>10254</v>
      </c>
      <c r="BD162" s="561">
        <v>0</v>
      </c>
      <c r="BE162" s="561">
        <v>748</v>
      </c>
      <c r="BF162" s="561">
        <v>49198</v>
      </c>
      <c r="BG162" s="561">
        <v>1539</v>
      </c>
      <c r="BH162" s="561">
        <v>2176</v>
      </c>
      <c r="BI162" s="561">
        <v>12403</v>
      </c>
      <c r="BJ162" s="561">
        <v>20</v>
      </c>
      <c r="BK162" s="561">
        <v>56</v>
      </c>
      <c r="BL162" s="561">
        <v>0</v>
      </c>
      <c r="BM162" s="561">
        <v>6942</v>
      </c>
      <c r="BN162" s="561">
        <v>8739</v>
      </c>
      <c r="BO162" s="561">
        <v>1564</v>
      </c>
      <c r="BP162" s="561">
        <v>1647</v>
      </c>
      <c r="BQ162" s="561">
        <v>1317</v>
      </c>
      <c r="BR162" s="561">
        <v>0</v>
      </c>
      <c r="BS162" s="561">
        <v>0</v>
      </c>
      <c r="BT162" s="561">
        <v>0</v>
      </c>
      <c r="BU162" s="561">
        <v>112</v>
      </c>
      <c r="BV162" s="561">
        <v>642</v>
      </c>
      <c r="BW162" s="561">
        <v>7310</v>
      </c>
      <c r="BX162" s="561">
        <v>576</v>
      </c>
      <c r="BY162" s="561">
        <v>3335</v>
      </c>
      <c r="BZ162" s="561">
        <v>46839</v>
      </c>
      <c r="CA162" s="561">
        <v>136</v>
      </c>
      <c r="CB162" s="561">
        <v>665</v>
      </c>
      <c r="CC162" s="561">
        <v>33</v>
      </c>
      <c r="CD162" s="561">
        <v>151</v>
      </c>
      <c r="CE162" s="561">
        <v>115</v>
      </c>
      <c r="CF162" s="561">
        <v>83</v>
      </c>
      <c r="CG162" s="561">
        <v>145</v>
      </c>
      <c r="CH162" s="561">
        <v>82</v>
      </c>
      <c r="CI162" s="561">
        <v>196</v>
      </c>
      <c r="CJ162" s="561">
        <v>131</v>
      </c>
      <c r="CK162" s="561">
        <v>247</v>
      </c>
      <c r="CL162" s="561">
        <v>88</v>
      </c>
      <c r="CM162" s="561">
        <v>1025</v>
      </c>
      <c r="CN162" s="561">
        <v>852</v>
      </c>
      <c r="CO162" s="561">
        <v>1107</v>
      </c>
      <c r="CP162" s="561">
        <v>768</v>
      </c>
      <c r="CQ162" s="561">
        <v>316</v>
      </c>
      <c r="CR162" s="561">
        <v>184</v>
      </c>
      <c r="CS162" s="561">
        <v>97</v>
      </c>
      <c r="CT162" s="561">
        <v>1184</v>
      </c>
      <c r="CU162" s="561">
        <v>1391</v>
      </c>
      <c r="CV162" s="561">
        <v>916</v>
      </c>
      <c r="CW162" s="561">
        <v>107</v>
      </c>
      <c r="CX162" s="561">
        <v>324</v>
      </c>
      <c r="CY162" s="561">
        <v>961</v>
      </c>
      <c r="CZ162" s="561">
        <v>11168</v>
      </c>
      <c r="DA162" s="561">
        <v>0</v>
      </c>
      <c r="DB162" s="561">
        <v>72</v>
      </c>
      <c r="DC162" s="561">
        <v>0</v>
      </c>
      <c r="DD162" s="561">
        <v>18</v>
      </c>
      <c r="DE162" s="561">
        <v>0</v>
      </c>
      <c r="DF162" s="561">
        <v>0</v>
      </c>
      <c r="DG162" s="561">
        <v>0</v>
      </c>
      <c r="DH162" s="561">
        <v>286</v>
      </c>
      <c r="DI162" s="561">
        <v>0</v>
      </c>
      <c r="DJ162" s="561">
        <v>0</v>
      </c>
      <c r="DK162" s="561">
        <v>0</v>
      </c>
      <c r="DL162" s="561">
        <v>23</v>
      </c>
      <c r="DM162" s="561">
        <v>113</v>
      </c>
      <c r="DN162" s="561">
        <v>0</v>
      </c>
      <c r="DO162" s="561">
        <v>210</v>
      </c>
      <c r="DP162" s="561">
        <v>0</v>
      </c>
      <c r="DQ162" s="561">
        <v>0</v>
      </c>
      <c r="DR162" s="561">
        <v>22</v>
      </c>
      <c r="DS162" s="561">
        <v>566</v>
      </c>
      <c r="DT162" s="561">
        <v>97</v>
      </c>
      <c r="DU162" s="561">
        <v>1031</v>
      </c>
      <c r="DV162" s="561">
        <v>0</v>
      </c>
      <c r="DW162" s="561">
        <v>0</v>
      </c>
      <c r="DX162" s="561">
        <v>0</v>
      </c>
      <c r="DY162" s="561">
        <v>517</v>
      </c>
      <c r="DZ162" s="561">
        <v>0</v>
      </c>
      <c r="EA162" s="561">
        <v>1019</v>
      </c>
      <c r="EB162" s="561">
        <v>0</v>
      </c>
      <c r="EC162" s="561">
        <v>2853</v>
      </c>
      <c r="ED162" s="561">
        <v>0</v>
      </c>
      <c r="EE162" s="561">
        <v>1914</v>
      </c>
      <c r="EF162" s="561">
        <v>24</v>
      </c>
      <c r="EG162" s="561">
        <v>7</v>
      </c>
      <c r="EH162" s="561">
        <v>0</v>
      </c>
      <c r="EI162" s="561">
        <v>0</v>
      </c>
      <c r="EJ162" s="561">
        <v>0</v>
      </c>
      <c r="EK162" s="561">
        <v>0</v>
      </c>
      <c r="EL162" s="561">
        <v>0</v>
      </c>
      <c r="EM162" s="561">
        <v>0</v>
      </c>
      <c r="EN162" s="561">
        <v>620</v>
      </c>
      <c r="EO162" s="561">
        <v>453</v>
      </c>
      <c r="EP162" s="561">
        <v>0</v>
      </c>
      <c r="EQ162" s="561">
        <v>21</v>
      </c>
      <c r="ER162" s="561">
        <v>435</v>
      </c>
      <c r="ES162" s="561" t="s">
        <v>4565</v>
      </c>
      <c r="ET162" s="561">
        <v>0</v>
      </c>
      <c r="EU162" s="561">
        <v>0</v>
      </c>
      <c r="EV162" s="561">
        <v>13</v>
      </c>
      <c r="EW162" s="561">
        <v>0</v>
      </c>
      <c r="EX162" s="561">
        <v>403</v>
      </c>
      <c r="EY162" s="561">
        <v>0</v>
      </c>
      <c r="EZ162" s="561">
        <v>0</v>
      </c>
      <c r="FA162" s="561">
        <v>500</v>
      </c>
      <c r="FB162" s="561">
        <v>0</v>
      </c>
      <c r="FC162" s="561">
        <v>0</v>
      </c>
      <c r="FD162" s="561">
        <v>110</v>
      </c>
      <c r="FE162" s="561">
        <v>968</v>
      </c>
      <c r="FF162" s="561">
        <v>617</v>
      </c>
      <c r="FG162" s="561">
        <v>441</v>
      </c>
      <c r="FH162" s="561">
        <v>80</v>
      </c>
      <c r="FI162" s="561">
        <v>47</v>
      </c>
      <c r="FJ162" s="561">
        <v>1947</v>
      </c>
      <c r="FK162" s="561">
        <v>2340</v>
      </c>
      <c r="FL162" s="561">
        <v>112</v>
      </c>
      <c r="FM162" s="561">
        <v>8</v>
      </c>
      <c r="FN162" s="561">
        <v>1093</v>
      </c>
      <c r="FO162" s="561">
        <v>7763</v>
      </c>
      <c r="FP162" s="561">
        <v>29</v>
      </c>
      <c r="FQ162" s="561">
        <v>-128</v>
      </c>
      <c r="FR162" s="561">
        <v>61</v>
      </c>
      <c r="FS162" s="561">
        <v>-4</v>
      </c>
      <c r="FT162" s="561">
        <v>72</v>
      </c>
      <c r="FU162" s="561">
        <v>269</v>
      </c>
      <c r="FV162" s="561">
        <v>249</v>
      </c>
      <c r="FW162" s="561">
        <v>29</v>
      </c>
      <c r="FX162" s="561">
        <v>2</v>
      </c>
      <c r="FY162" s="561">
        <v>2</v>
      </c>
      <c r="FZ162" s="561">
        <v>94</v>
      </c>
      <c r="GA162" s="561">
        <v>219</v>
      </c>
      <c r="GB162" s="561">
        <v>32</v>
      </c>
      <c r="GC162" s="561">
        <v>27</v>
      </c>
      <c r="GD162" s="561">
        <v>454</v>
      </c>
      <c r="GE162" s="561">
        <v>17</v>
      </c>
      <c r="GF162" s="561">
        <v>233</v>
      </c>
      <c r="GG162" s="561">
        <v>49</v>
      </c>
      <c r="GH162" s="561">
        <v>2</v>
      </c>
      <c r="GI162" s="561">
        <v>2</v>
      </c>
      <c r="GJ162" s="561">
        <v>217</v>
      </c>
      <c r="GK162" s="561">
        <v>0</v>
      </c>
      <c r="GL162" s="561">
        <v>1076</v>
      </c>
      <c r="GM162" s="561">
        <v>1700</v>
      </c>
      <c r="GN162" s="561">
        <v>3429</v>
      </c>
      <c r="GO162" s="561">
        <v>0</v>
      </c>
      <c r="GP162" s="561">
        <v>1629</v>
      </c>
      <c r="GQ162" s="561">
        <v>0</v>
      </c>
      <c r="GR162" s="561">
        <v>0</v>
      </c>
      <c r="GS162" s="561">
        <v>9732</v>
      </c>
      <c r="GT162" s="561">
        <v>358</v>
      </c>
      <c r="GU162" s="561">
        <v>196</v>
      </c>
      <c r="GV162" s="561">
        <v>125</v>
      </c>
      <c r="GW162" s="561">
        <v>0</v>
      </c>
      <c r="GX162" s="561">
        <v>437</v>
      </c>
      <c r="GY162" s="561">
        <v>0</v>
      </c>
      <c r="GZ162" s="561">
        <v>1163</v>
      </c>
      <c r="HA162" s="561">
        <v>0</v>
      </c>
      <c r="HB162" s="561">
        <v>46</v>
      </c>
      <c r="HC162" s="561">
        <v>0</v>
      </c>
      <c r="HD162" s="561">
        <v>1967</v>
      </c>
      <c r="HE162" s="561">
        <v>0</v>
      </c>
      <c r="HF162" s="561">
        <v>19462</v>
      </c>
      <c r="HG162" s="561">
        <v>0</v>
      </c>
      <c r="HH162" s="561">
        <v>0</v>
      </c>
      <c r="HI162" s="561">
        <v>0</v>
      </c>
      <c r="HJ162" s="561">
        <v>0</v>
      </c>
      <c r="HK162" s="561">
        <v>0</v>
      </c>
      <c r="HL162" s="561">
        <v>0</v>
      </c>
      <c r="HM162" s="561">
        <v>0</v>
      </c>
      <c r="HN162" s="561">
        <v>0</v>
      </c>
      <c r="HO162" s="561">
        <v>1768</v>
      </c>
      <c r="HP162" s="561">
        <v>262</v>
      </c>
      <c r="HQ162" s="561">
        <v>0</v>
      </c>
      <c r="HR162" s="561">
        <v>0</v>
      </c>
      <c r="HS162" s="561">
        <v>548</v>
      </c>
      <c r="HT162" s="561">
        <v>163</v>
      </c>
      <c r="HU162" s="561">
        <v>0</v>
      </c>
      <c r="HV162" s="561">
        <v>22</v>
      </c>
      <c r="HW162" s="561">
        <v>101</v>
      </c>
      <c r="HX162" s="561">
        <v>296</v>
      </c>
      <c r="HY162" s="561">
        <v>434</v>
      </c>
      <c r="HZ162" s="561">
        <v>30</v>
      </c>
      <c r="IA162" s="561">
        <v>2128</v>
      </c>
      <c r="IB162" s="561">
        <v>136</v>
      </c>
      <c r="IC162" s="561">
        <v>350</v>
      </c>
      <c r="ID162" s="561">
        <v>0</v>
      </c>
      <c r="IE162" s="561">
        <v>322</v>
      </c>
      <c r="IF162" s="561">
        <v>0</v>
      </c>
      <c r="IG162" s="561">
        <v>0</v>
      </c>
      <c r="IH162" s="561">
        <v>-12</v>
      </c>
      <c r="II162" s="561">
        <v>6548</v>
      </c>
      <c r="IJ162" s="561">
        <v>7</v>
      </c>
      <c r="IK162" s="561">
        <v>661</v>
      </c>
      <c r="IL162" s="561">
        <v>5040</v>
      </c>
      <c r="IM162" s="561">
        <v>0</v>
      </c>
      <c r="IN162" s="561">
        <v>0</v>
      </c>
      <c r="IO162" s="561">
        <v>382</v>
      </c>
      <c r="IP162" s="561">
        <v>0</v>
      </c>
      <c r="IQ162" s="561">
        <v>0</v>
      </c>
      <c r="IR162" s="561">
        <v>62907</v>
      </c>
      <c r="IS162" s="561">
        <v>6812</v>
      </c>
      <c r="IT162" s="561">
        <v>49198</v>
      </c>
      <c r="IU162" s="561">
        <v>46839</v>
      </c>
      <c r="IV162" s="561">
        <v>11168</v>
      </c>
      <c r="IW162" s="561">
        <v>2853</v>
      </c>
      <c r="IX162" s="561">
        <v>7763</v>
      </c>
      <c r="IY162" s="561">
        <v>9732</v>
      </c>
      <c r="IZ162" s="561">
        <v>1967</v>
      </c>
      <c r="JA162" s="561">
        <v>0</v>
      </c>
      <c r="JB162" s="561">
        <v>0</v>
      </c>
      <c r="JC162" s="561">
        <v>6548</v>
      </c>
      <c r="JD162" s="561">
        <v>0</v>
      </c>
      <c r="JE162" s="561">
        <v>205787</v>
      </c>
      <c r="JF162" s="561">
        <v>25214</v>
      </c>
      <c r="JG162" s="561">
        <v>0</v>
      </c>
      <c r="JH162" s="561">
        <v>0</v>
      </c>
      <c r="JI162" s="561">
        <v>0</v>
      </c>
      <c r="JJ162" s="561">
        <v>0</v>
      </c>
      <c r="JK162" s="561">
        <v>71</v>
      </c>
      <c r="JL162" s="561">
        <v>0</v>
      </c>
      <c r="JM162" s="561">
        <v>0</v>
      </c>
      <c r="JN162" s="561">
        <v>0</v>
      </c>
      <c r="JO162" s="561">
        <v>46</v>
      </c>
      <c r="JP162" s="561">
        <v>-113</v>
      </c>
      <c r="JQ162" s="561">
        <v>-1178</v>
      </c>
      <c r="JR162" s="561">
        <v>0</v>
      </c>
      <c r="JS162" s="561">
        <v>0</v>
      </c>
      <c r="JT162" s="561">
        <v>0</v>
      </c>
      <c r="JU162" s="561">
        <v>0</v>
      </c>
      <c r="JV162" s="561">
        <v>229827</v>
      </c>
      <c r="JW162" s="561">
        <v>92</v>
      </c>
      <c r="JX162" s="561">
        <v>2413</v>
      </c>
      <c r="JY162" s="561">
        <v>28</v>
      </c>
      <c r="JZ162" s="561">
        <v>0</v>
      </c>
      <c r="KA162" s="561">
        <v>0</v>
      </c>
      <c r="KB162" s="561">
        <v>0</v>
      </c>
      <c r="KC162" s="561">
        <v>2810</v>
      </c>
      <c r="KD162" s="561">
        <v>0</v>
      </c>
      <c r="KE162" s="561">
        <v>2360</v>
      </c>
      <c r="KF162" s="561">
        <v>0</v>
      </c>
      <c r="KG162" s="561">
        <v>237530</v>
      </c>
      <c r="KH162" s="561">
        <v>-5306</v>
      </c>
      <c r="KI162" s="561">
        <v>0</v>
      </c>
      <c r="KJ162" s="561">
        <v>0</v>
      </c>
      <c r="KK162" s="561">
        <v>0</v>
      </c>
      <c r="KL162" s="561">
        <v>-32336</v>
      </c>
      <c r="KM162" s="561">
        <v>0</v>
      </c>
      <c r="KN162" s="561">
        <v>0</v>
      </c>
      <c r="KO162" s="561">
        <v>0</v>
      </c>
      <c r="KP162" s="561">
        <v>0</v>
      </c>
      <c r="KQ162" s="561">
        <v>-3343</v>
      </c>
      <c r="KR162" s="561">
        <v>196545</v>
      </c>
      <c r="KS162" s="561">
        <v>-7</v>
      </c>
      <c r="KT162" s="561">
        <v>-97370</v>
      </c>
      <c r="KU162" s="561">
        <v>99168</v>
      </c>
      <c r="KV162" s="561">
        <v>0</v>
      </c>
      <c r="KW162" s="561">
        <v>-355</v>
      </c>
      <c r="KX162" s="561">
        <v>0</v>
      </c>
      <c r="KY162" s="561">
        <v>231</v>
      </c>
      <c r="KZ162" s="561">
        <v>-1644</v>
      </c>
      <c r="LA162" s="561">
        <v>-1</v>
      </c>
      <c r="LB162" s="561">
        <v>-9855</v>
      </c>
      <c r="LC162" s="561">
        <v>0</v>
      </c>
      <c r="LD162" s="561">
        <v>-36191</v>
      </c>
      <c r="LE162" s="561">
        <v>-124</v>
      </c>
      <c r="LF162" s="561">
        <v>0</v>
      </c>
      <c r="LG162" s="561">
        <v>51229</v>
      </c>
      <c r="LH162" s="561">
        <v>1739</v>
      </c>
      <c r="LI162" s="561">
        <v>-1589</v>
      </c>
      <c r="LJ162" s="561">
        <v>0</v>
      </c>
      <c r="LK162" s="561">
        <v>1305</v>
      </c>
      <c r="LL162" s="561">
        <v>32947</v>
      </c>
      <c r="LM162" s="561">
        <v>5501</v>
      </c>
      <c r="LN162" s="561">
        <v>1384</v>
      </c>
      <c r="LO162" s="561">
        <v>-4932</v>
      </c>
      <c r="LP162" s="561">
        <v>0</v>
      </c>
      <c r="LQ162" s="561">
        <v>1536</v>
      </c>
      <c r="LR162" s="561">
        <v>31303</v>
      </c>
      <c r="LS162" s="561">
        <v>5500</v>
      </c>
      <c r="LT162" s="561">
        <v>0</v>
      </c>
      <c r="LU162" s="561">
        <v>8958</v>
      </c>
      <c r="LV162" s="561">
        <v>78</v>
      </c>
      <c r="LW162" s="561">
        <v>-798</v>
      </c>
      <c r="LX162" s="561">
        <v>-2110</v>
      </c>
      <c r="LY162" s="561">
        <v>5614</v>
      </c>
      <c r="LZ162" s="561">
        <v>12110</v>
      </c>
      <c r="MA162" s="561">
        <v>0</v>
      </c>
      <c r="MB162" s="561">
        <v>0</v>
      </c>
      <c r="MC162" s="561">
        <v>1945</v>
      </c>
      <c r="MD162" s="561">
        <v>1945</v>
      </c>
      <c r="ME162" s="561">
        <v>0</v>
      </c>
      <c r="MF162" s="561">
        <v>500</v>
      </c>
      <c r="MG162" s="561">
        <v>500</v>
      </c>
      <c r="MH162" s="561">
        <v>5461</v>
      </c>
      <c r="MI162" s="561">
        <v>9308</v>
      </c>
      <c r="MJ162" s="561">
        <v>14769</v>
      </c>
      <c r="MK162" s="561">
        <v>4</v>
      </c>
      <c r="ML162" s="561">
        <v>0</v>
      </c>
      <c r="MM162" s="561">
        <v>7421</v>
      </c>
      <c r="MN162" s="561">
        <v>11320</v>
      </c>
      <c r="MO162" s="561">
        <v>12562</v>
      </c>
      <c r="MP162" s="561">
        <v>0</v>
      </c>
      <c r="MQ162" s="561">
        <v>62907</v>
      </c>
      <c r="MR162" s="561">
        <v>6812</v>
      </c>
      <c r="MS162" s="561">
        <v>49198</v>
      </c>
      <c r="MT162" s="561">
        <v>46839</v>
      </c>
      <c r="MU162" s="561">
        <v>11168</v>
      </c>
      <c r="MV162" s="561">
        <v>2853</v>
      </c>
      <c r="MW162" s="561">
        <v>7763</v>
      </c>
      <c r="MX162" s="561">
        <v>9732</v>
      </c>
      <c r="MY162" s="561">
        <v>1967</v>
      </c>
      <c r="MZ162" s="561">
        <v>0</v>
      </c>
      <c r="NA162" s="561">
        <v>0</v>
      </c>
      <c r="NB162" s="561">
        <v>6548</v>
      </c>
      <c r="NC162" s="561">
        <v>0</v>
      </c>
      <c r="ND162" s="561">
        <v>205787</v>
      </c>
      <c r="NE162" s="561">
        <v>0</v>
      </c>
      <c r="NF162" s="561">
        <v>0</v>
      </c>
      <c r="NG162" s="561">
        <v>0</v>
      </c>
      <c r="NH162" s="561">
        <v>0</v>
      </c>
      <c r="NI162" s="561">
        <v>0</v>
      </c>
      <c r="NJ162" s="561">
        <v>0</v>
      </c>
      <c r="NK162" s="561">
        <v>0</v>
      </c>
      <c r="NL162" s="561">
        <v>0</v>
      </c>
      <c r="NM162" s="561">
        <v>0</v>
      </c>
      <c r="NN162" s="561">
        <v>0</v>
      </c>
      <c r="NO162" s="561">
        <v>0</v>
      </c>
      <c r="NP162" s="561">
        <v>0</v>
      </c>
      <c r="NQ162" s="561">
        <v>0</v>
      </c>
      <c r="NR162" s="561">
        <v>0</v>
      </c>
      <c r="NS162" s="561">
        <v>0</v>
      </c>
      <c r="NT162" s="561">
        <v>0</v>
      </c>
      <c r="NU162" s="561">
        <v>0</v>
      </c>
      <c r="NV162" s="561">
        <v>0</v>
      </c>
      <c r="NW162" s="561">
        <v>-113</v>
      </c>
      <c r="NX162" s="561">
        <v>0</v>
      </c>
      <c r="NY162" s="561">
        <v>-113</v>
      </c>
      <c r="NZ162" s="561">
        <v>0</v>
      </c>
      <c r="OA162" s="561">
        <v>0</v>
      </c>
      <c r="OB162" s="561">
        <v>-283</v>
      </c>
      <c r="OC162" s="561">
        <v>0</v>
      </c>
      <c r="OD162" s="561">
        <v>0</v>
      </c>
      <c r="OE162" s="561">
        <v>0</v>
      </c>
      <c r="OF162" s="561">
        <v>0</v>
      </c>
      <c r="OG162" s="561">
        <v>0</v>
      </c>
      <c r="OH162" s="561">
        <v>0</v>
      </c>
      <c r="OI162" s="561">
        <v>-619</v>
      </c>
      <c r="OJ162" s="561">
        <v>-2</v>
      </c>
      <c r="OK162" s="561">
        <v>0</v>
      </c>
      <c r="OL162" s="561">
        <v>0</v>
      </c>
      <c r="OM162" s="561">
        <v>0</v>
      </c>
      <c r="ON162" s="561">
        <v>0</v>
      </c>
      <c r="OO162" s="561">
        <v>0</v>
      </c>
      <c r="OP162" s="561">
        <v>0</v>
      </c>
      <c r="OQ162" s="561">
        <v>0</v>
      </c>
      <c r="OR162" s="561">
        <v>0</v>
      </c>
      <c r="OS162" s="561">
        <v>0</v>
      </c>
      <c r="OT162" s="561">
        <v>0</v>
      </c>
      <c r="OU162" s="561">
        <v>0</v>
      </c>
      <c r="OV162" s="561">
        <v>-791</v>
      </c>
      <c r="OW162" s="561">
        <v>0</v>
      </c>
      <c r="OX162" s="561">
        <v>-1178</v>
      </c>
      <c r="OY162" s="561">
        <v>0</v>
      </c>
      <c r="OZ162" s="561">
        <v>0</v>
      </c>
      <c r="PA162" s="561">
        <v>0</v>
      </c>
      <c r="PB162" s="561">
        <v>0</v>
      </c>
      <c r="PC162" s="561">
        <v>0</v>
      </c>
      <c r="PD162" s="561">
        <v>0</v>
      </c>
      <c r="PE162" s="561">
        <v>0</v>
      </c>
      <c r="PF162" s="561">
        <v>0</v>
      </c>
      <c r="PG162" s="561">
        <v>0</v>
      </c>
      <c r="PH162" s="561">
        <v>0</v>
      </c>
      <c r="PI162" s="561">
        <v>0</v>
      </c>
      <c r="PJ162" s="561">
        <v>0</v>
      </c>
    </row>
    <row r="163" spans="1:426" ht="14" x14ac:dyDescent="0.3">
      <c r="A163" t="s">
        <v>2924</v>
      </c>
      <c r="B163" t="s">
        <v>2925</v>
      </c>
      <c r="C163" t="s">
        <v>2926</v>
      </c>
      <c r="E163" t="s">
        <v>384</v>
      </c>
      <c r="F163" s="561">
        <v>0</v>
      </c>
      <c r="G163" s="561">
        <v>0</v>
      </c>
      <c r="H163" s="561">
        <v>0</v>
      </c>
      <c r="I163" s="561">
        <v>0</v>
      </c>
      <c r="J163" s="561">
        <v>0</v>
      </c>
      <c r="K163" s="561">
        <v>0</v>
      </c>
      <c r="L163" s="561">
        <v>0</v>
      </c>
      <c r="M163" s="561">
        <v>0</v>
      </c>
      <c r="N163" s="561">
        <v>0</v>
      </c>
      <c r="O163" s="561">
        <v>0</v>
      </c>
      <c r="P163" s="561">
        <v>0</v>
      </c>
      <c r="Q163" s="561">
        <v>0</v>
      </c>
      <c r="R163" s="561">
        <v>0</v>
      </c>
      <c r="S163" s="561">
        <v>7</v>
      </c>
      <c r="T163" s="561">
        <v>0</v>
      </c>
      <c r="U163" s="561">
        <v>6</v>
      </c>
      <c r="V163" s="561">
        <v>63</v>
      </c>
      <c r="W163" s="561">
        <v>0</v>
      </c>
      <c r="X163" s="561">
        <v>0</v>
      </c>
      <c r="Y163" s="561">
        <v>0</v>
      </c>
      <c r="Z163" s="561">
        <v>0</v>
      </c>
      <c r="AA163" s="561">
        <v>0</v>
      </c>
      <c r="AB163" s="561">
        <v>-769</v>
      </c>
      <c r="AC163" s="561">
        <v>0</v>
      </c>
      <c r="AD163" s="561">
        <v>0</v>
      </c>
      <c r="AE163" s="561">
        <v>0</v>
      </c>
      <c r="AF163" s="561">
        <v>0</v>
      </c>
      <c r="AG163" s="561">
        <v>0</v>
      </c>
      <c r="AH163" s="561">
        <v>14</v>
      </c>
      <c r="AI163" s="561">
        <v>0</v>
      </c>
      <c r="AJ163" s="561">
        <v>-679</v>
      </c>
      <c r="AK163" s="561">
        <v>0</v>
      </c>
      <c r="AL163" s="561">
        <v>0</v>
      </c>
      <c r="AM163" s="561">
        <v>0</v>
      </c>
      <c r="AN163" s="561">
        <v>0</v>
      </c>
      <c r="AO163" s="561">
        <v>0</v>
      </c>
      <c r="AP163" s="561">
        <v>0</v>
      </c>
      <c r="AQ163" s="561">
        <v>0</v>
      </c>
      <c r="AR163" s="561">
        <v>0</v>
      </c>
      <c r="AS163" s="561">
        <v>0</v>
      </c>
      <c r="AT163" s="561">
        <v>0</v>
      </c>
      <c r="AU163" s="561">
        <v>0</v>
      </c>
      <c r="AV163" s="561">
        <v>0</v>
      </c>
      <c r="AW163" s="561">
        <v>0</v>
      </c>
      <c r="AX163" s="561">
        <v>0</v>
      </c>
      <c r="AY163" s="561">
        <v>0</v>
      </c>
      <c r="AZ163" s="561">
        <v>0</v>
      </c>
      <c r="BA163" s="561">
        <v>0</v>
      </c>
      <c r="BB163" s="561">
        <v>0</v>
      </c>
      <c r="BC163" s="561">
        <v>0</v>
      </c>
      <c r="BD163" s="561">
        <v>0</v>
      </c>
      <c r="BE163" s="561">
        <v>0</v>
      </c>
      <c r="BF163" s="561">
        <v>0</v>
      </c>
      <c r="BG163" s="561">
        <v>0</v>
      </c>
      <c r="BH163" s="561">
        <v>0</v>
      </c>
      <c r="BI163" s="561">
        <v>0</v>
      </c>
      <c r="BJ163" s="561">
        <v>0</v>
      </c>
      <c r="BK163" s="561">
        <v>0</v>
      </c>
      <c r="BL163" s="561">
        <v>0</v>
      </c>
      <c r="BM163" s="561">
        <v>0</v>
      </c>
      <c r="BN163" s="561">
        <v>0</v>
      </c>
      <c r="BO163" s="561">
        <v>0</v>
      </c>
      <c r="BP163" s="561">
        <v>0</v>
      </c>
      <c r="BQ163" s="561">
        <v>0</v>
      </c>
      <c r="BR163" s="561">
        <v>0</v>
      </c>
      <c r="BS163" s="561">
        <v>0</v>
      </c>
      <c r="BT163" s="561">
        <v>0</v>
      </c>
      <c r="BU163" s="561">
        <v>0</v>
      </c>
      <c r="BV163" s="561">
        <v>0</v>
      </c>
      <c r="BW163" s="561">
        <v>0</v>
      </c>
      <c r="BX163" s="561">
        <v>0</v>
      </c>
      <c r="BY163" s="561">
        <v>0</v>
      </c>
      <c r="BZ163" s="561">
        <v>0</v>
      </c>
      <c r="CA163" s="561">
        <v>0</v>
      </c>
      <c r="CB163" s="561">
        <v>0</v>
      </c>
      <c r="CC163" s="561">
        <v>0</v>
      </c>
      <c r="CD163" s="561">
        <v>0</v>
      </c>
      <c r="CE163" s="561">
        <v>0</v>
      </c>
      <c r="CF163" s="561">
        <v>0</v>
      </c>
      <c r="CG163" s="561">
        <v>0</v>
      </c>
      <c r="CH163" s="561">
        <v>0</v>
      </c>
      <c r="CI163" s="561">
        <v>0</v>
      </c>
      <c r="CJ163" s="561">
        <v>0</v>
      </c>
      <c r="CK163" s="561">
        <v>0</v>
      </c>
      <c r="CL163" s="561">
        <v>0</v>
      </c>
      <c r="CM163" s="561">
        <v>0</v>
      </c>
      <c r="CN163" s="561">
        <v>0</v>
      </c>
      <c r="CO163" s="561">
        <v>0</v>
      </c>
      <c r="CP163" s="561">
        <v>0</v>
      </c>
      <c r="CQ163" s="561">
        <v>0</v>
      </c>
      <c r="CR163" s="561">
        <v>0</v>
      </c>
      <c r="CS163" s="561">
        <v>0</v>
      </c>
      <c r="CT163" s="561">
        <v>0</v>
      </c>
      <c r="CU163" s="561">
        <v>0</v>
      </c>
      <c r="CV163" s="561">
        <v>0</v>
      </c>
      <c r="CW163" s="561">
        <v>0</v>
      </c>
      <c r="CX163" s="561">
        <v>0</v>
      </c>
      <c r="CY163" s="561">
        <v>0</v>
      </c>
      <c r="CZ163" s="561">
        <v>0</v>
      </c>
      <c r="DA163" s="561">
        <v>0</v>
      </c>
      <c r="DB163" s="561">
        <v>0</v>
      </c>
      <c r="DC163" s="561">
        <v>0</v>
      </c>
      <c r="DD163" s="561">
        <v>0</v>
      </c>
      <c r="DE163" s="561">
        <v>0</v>
      </c>
      <c r="DF163" s="561">
        <v>0</v>
      </c>
      <c r="DG163" s="561">
        <v>0</v>
      </c>
      <c r="DH163" s="561">
        <v>102</v>
      </c>
      <c r="DI163" s="561">
        <v>0</v>
      </c>
      <c r="DJ163" s="561">
        <v>17</v>
      </c>
      <c r="DK163" s="561">
        <v>480</v>
      </c>
      <c r="DL163" s="561">
        <v>8020</v>
      </c>
      <c r="DM163" s="561">
        <v>390</v>
      </c>
      <c r="DN163" s="561">
        <v>0</v>
      </c>
      <c r="DO163" s="561">
        <v>0</v>
      </c>
      <c r="DP163" s="561">
        <v>-56</v>
      </c>
      <c r="DQ163" s="561">
        <v>0</v>
      </c>
      <c r="DR163" s="561">
        <v>0</v>
      </c>
      <c r="DS163" s="561">
        <v>3183</v>
      </c>
      <c r="DT163" s="561">
        <v>29</v>
      </c>
      <c r="DU163" s="561">
        <v>11566</v>
      </c>
      <c r="DV163" s="561">
        <v>0</v>
      </c>
      <c r="DW163" s="561">
        <v>0</v>
      </c>
      <c r="DX163" s="561">
        <v>0</v>
      </c>
      <c r="DY163" s="561">
        <v>1408</v>
      </c>
      <c r="DZ163" s="561">
        <v>0</v>
      </c>
      <c r="EA163" s="561">
        <v>0</v>
      </c>
      <c r="EB163" s="561">
        <v>2</v>
      </c>
      <c r="EC163" s="561">
        <v>13575</v>
      </c>
      <c r="ED163" s="561">
        <v>78</v>
      </c>
      <c r="EE163" s="561">
        <v>0</v>
      </c>
      <c r="EF163" s="561">
        <v>0</v>
      </c>
      <c r="EG163" s="561">
        <v>0</v>
      </c>
      <c r="EH163" s="561">
        <v>0</v>
      </c>
      <c r="EI163" s="561">
        <v>0</v>
      </c>
      <c r="EJ163" s="561">
        <v>0</v>
      </c>
      <c r="EK163" s="561">
        <v>0</v>
      </c>
      <c r="EL163" s="561">
        <v>0</v>
      </c>
      <c r="EM163" s="561">
        <v>0</v>
      </c>
      <c r="EN163" s="561">
        <v>0</v>
      </c>
      <c r="EO163" s="561">
        <v>0</v>
      </c>
      <c r="EP163" s="561">
        <v>0</v>
      </c>
      <c r="EQ163" s="561">
        <v>0</v>
      </c>
      <c r="ER163" s="561">
        <v>0</v>
      </c>
      <c r="ES163" s="561" t="s">
        <v>4565</v>
      </c>
      <c r="ET163" s="561">
        <v>0</v>
      </c>
      <c r="EU163" s="561">
        <v>0</v>
      </c>
      <c r="EV163" s="561">
        <v>0</v>
      </c>
      <c r="EW163" s="561">
        <v>0</v>
      </c>
      <c r="EX163" s="561">
        <v>0</v>
      </c>
      <c r="EY163" s="561">
        <v>0</v>
      </c>
      <c r="EZ163" s="561">
        <v>0</v>
      </c>
      <c r="FA163" s="561">
        <v>0</v>
      </c>
      <c r="FB163" s="561">
        <v>0</v>
      </c>
      <c r="FC163" s="561">
        <v>0</v>
      </c>
      <c r="FD163" s="561">
        <v>142</v>
      </c>
      <c r="FE163" s="561">
        <v>493</v>
      </c>
      <c r="FF163" s="561">
        <v>153</v>
      </c>
      <c r="FG163" s="561">
        <v>0</v>
      </c>
      <c r="FH163" s="561">
        <v>-249</v>
      </c>
      <c r="FI163" s="561">
        <v>498</v>
      </c>
      <c r="FJ163" s="561">
        <v>414</v>
      </c>
      <c r="FK163" s="561">
        <v>2085</v>
      </c>
      <c r="FL163" s="561">
        <v>0</v>
      </c>
      <c r="FM163" s="561">
        <v>144</v>
      </c>
      <c r="FN163" s="561">
        <v>0</v>
      </c>
      <c r="FO163" s="561">
        <v>3680</v>
      </c>
      <c r="FP163" s="561">
        <v>0</v>
      </c>
      <c r="FQ163" s="561">
        <v>-444</v>
      </c>
      <c r="FR163" s="561">
        <v>0</v>
      </c>
      <c r="FS163" s="561">
        <v>0</v>
      </c>
      <c r="FT163" s="561">
        <v>309</v>
      </c>
      <c r="FU163" s="561">
        <v>828</v>
      </c>
      <c r="FV163" s="561">
        <v>0</v>
      </c>
      <c r="FW163" s="561">
        <v>0</v>
      </c>
      <c r="FX163" s="561">
        <v>0</v>
      </c>
      <c r="FY163" s="561">
        <v>0</v>
      </c>
      <c r="FZ163" s="561">
        <v>63</v>
      </c>
      <c r="GA163" s="561">
        <v>294</v>
      </c>
      <c r="GB163" s="561">
        <v>335</v>
      </c>
      <c r="GC163" s="561">
        <v>5</v>
      </c>
      <c r="GD163" s="561">
        <v>0</v>
      </c>
      <c r="GE163" s="561">
        <v>153</v>
      </c>
      <c r="GF163" s="561">
        <v>41</v>
      </c>
      <c r="GG163" s="561">
        <v>0</v>
      </c>
      <c r="GH163" s="561">
        <v>37</v>
      </c>
      <c r="GI163" s="561">
        <v>0</v>
      </c>
      <c r="GJ163" s="561">
        <v>26</v>
      </c>
      <c r="GK163" s="561">
        <v>7</v>
      </c>
      <c r="GL163" s="561">
        <v>118</v>
      </c>
      <c r="GM163" s="561">
        <v>2909</v>
      </c>
      <c r="GN163" s="561">
        <v>0</v>
      </c>
      <c r="GO163" s="561">
        <v>0</v>
      </c>
      <c r="GP163" s="561">
        <v>679</v>
      </c>
      <c r="GQ163" s="561">
        <v>0</v>
      </c>
      <c r="GR163" s="561">
        <v>0</v>
      </c>
      <c r="GS163" s="561">
        <v>5360</v>
      </c>
      <c r="GT163" s="561">
        <v>0</v>
      </c>
      <c r="GU163" s="561">
        <v>170</v>
      </c>
      <c r="GV163" s="561">
        <v>1182</v>
      </c>
      <c r="GW163" s="561">
        <v>0</v>
      </c>
      <c r="GX163" s="561">
        <v>414</v>
      </c>
      <c r="GY163" s="561">
        <v>31</v>
      </c>
      <c r="GZ163" s="561">
        <v>1160</v>
      </c>
      <c r="HA163" s="561">
        <v>0</v>
      </c>
      <c r="HB163" s="561">
        <v>-5794</v>
      </c>
      <c r="HC163" s="561">
        <v>83</v>
      </c>
      <c r="HD163" s="561">
        <v>-2754</v>
      </c>
      <c r="HE163" s="561">
        <v>0</v>
      </c>
      <c r="HF163" s="561">
        <v>6286</v>
      </c>
      <c r="HG163" s="561">
        <v>0</v>
      </c>
      <c r="HH163" s="561">
        <v>0</v>
      </c>
      <c r="HI163" s="561">
        <v>0</v>
      </c>
      <c r="HJ163" s="561">
        <v>0</v>
      </c>
      <c r="HK163" s="561">
        <v>0</v>
      </c>
      <c r="HL163" s="561">
        <v>0</v>
      </c>
      <c r="HM163" s="561">
        <v>0</v>
      </c>
      <c r="HN163" s="561">
        <v>0</v>
      </c>
      <c r="HO163" s="561">
        <v>1103</v>
      </c>
      <c r="HP163" s="561">
        <v>671</v>
      </c>
      <c r="HQ163" s="561">
        <v>0</v>
      </c>
      <c r="HR163" s="561">
        <v>0</v>
      </c>
      <c r="HS163" s="561">
        <v>449</v>
      </c>
      <c r="HT163" s="561">
        <v>0</v>
      </c>
      <c r="HU163" s="561">
        <v>0</v>
      </c>
      <c r="HV163" s="561">
        <v>0</v>
      </c>
      <c r="HW163" s="561">
        <v>294</v>
      </c>
      <c r="HX163" s="561">
        <v>242</v>
      </c>
      <c r="HY163" s="561">
        <v>62</v>
      </c>
      <c r="HZ163" s="561">
        <v>-12</v>
      </c>
      <c r="IA163" s="561">
        <v>0</v>
      </c>
      <c r="IB163" s="561">
        <v>0</v>
      </c>
      <c r="IC163" s="561">
        <v>0</v>
      </c>
      <c r="ID163" s="561">
        <v>0</v>
      </c>
      <c r="IE163" s="561">
        <v>-991</v>
      </c>
      <c r="IF163" s="561">
        <v>0</v>
      </c>
      <c r="IG163" s="561">
        <v>0</v>
      </c>
      <c r="IH163" s="561">
        <v>2008.22</v>
      </c>
      <c r="II163" s="561">
        <v>3826.22</v>
      </c>
      <c r="IJ163" s="561">
        <v>0</v>
      </c>
      <c r="IK163" s="561">
        <v>16567.02</v>
      </c>
      <c r="IL163" s="561">
        <v>0</v>
      </c>
      <c r="IM163" s="561">
        <v>0</v>
      </c>
      <c r="IN163" s="561">
        <v>169.32</v>
      </c>
      <c r="IO163" s="561">
        <v>340.44</v>
      </c>
      <c r="IP163" s="561">
        <v>0</v>
      </c>
      <c r="IQ163" s="561">
        <v>0</v>
      </c>
      <c r="IR163" s="561">
        <v>0</v>
      </c>
      <c r="IS163" s="561">
        <v>-679</v>
      </c>
      <c r="IT163" s="561">
        <v>0</v>
      </c>
      <c r="IU163" s="561">
        <v>0</v>
      </c>
      <c r="IV163" s="561">
        <v>0</v>
      </c>
      <c r="IW163" s="561">
        <v>13575</v>
      </c>
      <c r="IX163" s="561">
        <v>3680</v>
      </c>
      <c r="IY163" s="561">
        <v>5360</v>
      </c>
      <c r="IZ163" s="561">
        <v>-2754</v>
      </c>
      <c r="JA163" s="561">
        <v>0</v>
      </c>
      <c r="JB163" s="561">
        <v>0</v>
      </c>
      <c r="JC163" s="561">
        <v>3826.22</v>
      </c>
      <c r="JD163" s="561">
        <v>0</v>
      </c>
      <c r="JE163" s="561">
        <v>23008.22</v>
      </c>
      <c r="JF163" s="561">
        <v>27336</v>
      </c>
      <c r="JG163" s="561">
        <v>3077.25</v>
      </c>
      <c r="JH163" s="561">
        <v>0</v>
      </c>
      <c r="JI163" s="561">
        <v>0</v>
      </c>
      <c r="JJ163" s="561">
        <v>0</v>
      </c>
      <c r="JK163" s="561">
        <v>0</v>
      </c>
      <c r="JL163" s="561">
        <v>0</v>
      </c>
      <c r="JM163" s="561">
        <v>0</v>
      </c>
      <c r="JN163" s="561">
        <v>0</v>
      </c>
      <c r="JO163" s="561">
        <v>0</v>
      </c>
      <c r="JP163" s="561">
        <v>0</v>
      </c>
      <c r="JQ163" s="561">
        <v>0</v>
      </c>
      <c r="JR163" s="561">
        <v>0</v>
      </c>
      <c r="JS163" s="561">
        <v>0</v>
      </c>
      <c r="JT163" s="561">
        <v>0</v>
      </c>
      <c r="JU163" s="561">
        <v>0</v>
      </c>
      <c r="JV163" s="561">
        <v>53421.47</v>
      </c>
      <c r="JW163" s="561">
        <v>0</v>
      </c>
      <c r="JX163" s="561">
        <v>0</v>
      </c>
      <c r="JY163" s="561">
        <v>0</v>
      </c>
      <c r="JZ163" s="561">
        <v>0</v>
      </c>
      <c r="KA163" s="561">
        <v>0</v>
      </c>
      <c r="KB163" s="561">
        <v>0</v>
      </c>
      <c r="KC163" s="561">
        <v>0</v>
      </c>
      <c r="KD163" s="561">
        <v>0</v>
      </c>
      <c r="KE163" s="561">
        <v>1815</v>
      </c>
      <c r="KF163" s="561">
        <v>0</v>
      </c>
      <c r="KG163" s="561">
        <v>55236.47</v>
      </c>
      <c r="KH163" s="561">
        <v>-1556</v>
      </c>
      <c r="KI163" s="561">
        <v>0</v>
      </c>
      <c r="KJ163" s="561">
        <v>0</v>
      </c>
      <c r="KK163" s="561">
        <v>0</v>
      </c>
      <c r="KL163" s="561">
        <v>-28466</v>
      </c>
      <c r="KM163" s="561">
        <v>0</v>
      </c>
      <c r="KN163" s="561">
        <v>0</v>
      </c>
      <c r="KO163" s="561">
        <v>0</v>
      </c>
      <c r="KP163" s="561">
        <v>0</v>
      </c>
      <c r="KQ163" s="561">
        <v>0</v>
      </c>
      <c r="KR163" s="561">
        <v>25214.47</v>
      </c>
      <c r="KS163" s="561">
        <v>0</v>
      </c>
      <c r="KT163" s="561">
        <v>-6614</v>
      </c>
      <c r="KU163" s="561">
        <v>18600.47</v>
      </c>
      <c r="KV163" s="561">
        <v>0</v>
      </c>
      <c r="KW163" s="561">
        <v>0</v>
      </c>
      <c r="KX163" s="561">
        <v>0</v>
      </c>
      <c r="KY163" s="561">
        <v>0</v>
      </c>
      <c r="KZ163" s="561">
        <v>-3353</v>
      </c>
      <c r="LA163" s="561">
        <v>0</v>
      </c>
      <c r="LB163" s="561">
        <v>-1395</v>
      </c>
      <c r="LC163" s="561">
        <v>0</v>
      </c>
      <c r="LD163" s="561">
        <v>-3221</v>
      </c>
      <c r="LE163" s="561">
        <v>-2952</v>
      </c>
      <c r="LF163" s="561">
        <v>306</v>
      </c>
      <c r="LG163" s="561">
        <v>7985</v>
      </c>
      <c r="LH163" s="561">
        <v>0</v>
      </c>
      <c r="LI163" s="561">
        <v>0</v>
      </c>
      <c r="LJ163" s="561">
        <v>0</v>
      </c>
      <c r="LK163" s="561">
        <v>0</v>
      </c>
      <c r="LL163" s="561">
        <v>17020</v>
      </c>
      <c r="LM163" s="561">
        <v>500</v>
      </c>
      <c r="LN163" s="561">
        <v>0</v>
      </c>
      <c r="LO163" s="561">
        <v>0</v>
      </c>
      <c r="LP163" s="561">
        <v>0</v>
      </c>
      <c r="LQ163" s="561">
        <v>0</v>
      </c>
      <c r="LR163" s="561">
        <v>13667</v>
      </c>
      <c r="LS163" s="561">
        <v>500</v>
      </c>
      <c r="LT163" s="561">
        <v>0</v>
      </c>
      <c r="LU163" s="561">
        <v>2271</v>
      </c>
      <c r="LV163" s="561">
        <v>0</v>
      </c>
      <c r="LW163" s="561">
        <v>955</v>
      </c>
      <c r="LX163" s="561">
        <v>-1428</v>
      </c>
      <c r="LY163" s="561">
        <v>2334</v>
      </c>
      <c r="LZ163" s="561">
        <v>4163</v>
      </c>
      <c r="MA163" s="561">
        <v>0</v>
      </c>
      <c r="MB163" s="561">
        <v>0</v>
      </c>
      <c r="MC163" s="561">
        <v>0</v>
      </c>
      <c r="MD163" s="561">
        <v>0</v>
      </c>
      <c r="ME163" s="561">
        <v>0</v>
      </c>
      <c r="MF163" s="561">
        <v>0</v>
      </c>
      <c r="MG163" s="561">
        <v>0</v>
      </c>
      <c r="MH163" s="561">
        <v>4200</v>
      </c>
      <c r="MI163" s="561">
        <v>7222</v>
      </c>
      <c r="MJ163" s="561">
        <v>11422</v>
      </c>
      <c r="MK163" s="561">
        <v>0</v>
      </c>
      <c r="ML163" s="561">
        <v>1820</v>
      </c>
      <c r="MM163" s="561">
        <v>150</v>
      </c>
      <c r="MN163" s="561">
        <v>310</v>
      </c>
      <c r="MO163" s="561">
        <v>8447</v>
      </c>
      <c r="MP163" s="561">
        <v>2940</v>
      </c>
      <c r="MQ163" s="561">
        <v>0</v>
      </c>
      <c r="MR163" s="561">
        <v>-679</v>
      </c>
      <c r="MS163" s="561">
        <v>0</v>
      </c>
      <c r="MT163" s="561">
        <v>0</v>
      </c>
      <c r="MU163" s="561">
        <v>0</v>
      </c>
      <c r="MV163" s="561">
        <v>13575</v>
      </c>
      <c r="MW163" s="561">
        <v>3680</v>
      </c>
      <c r="MX163" s="561">
        <v>5360</v>
      </c>
      <c r="MY163" s="561">
        <v>-2754</v>
      </c>
      <c r="MZ163" s="561">
        <v>0</v>
      </c>
      <c r="NA163" s="561">
        <v>0</v>
      </c>
      <c r="NB163" s="561">
        <v>3826.22</v>
      </c>
      <c r="NC163" s="561">
        <v>0</v>
      </c>
      <c r="ND163" s="561">
        <v>23008.22</v>
      </c>
      <c r="NE163" s="561">
        <v>0</v>
      </c>
      <c r="NF163" s="561">
        <v>0</v>
      </c>
      <c r="NG163" s="561">
        <v>0</v>
      </c>
      <c r="NH163" s="561">
        <v>0</v>
      </c>
      <c r="NI163" s="561">
        <v>0</v>
      </c>
      <c r="NJ163" s="561">
        <v>0</v>
      </c>
      <c r="NK163" s="561">
        <v>0</v>
      </c>
      <c r="NL163" s="561">
        <v>0</v>
      </c>
      <c r="NM163" s="561">
        <v>0</v>
      </c>
      <c r="NN163" s="561">
        <v>0</v>
      </c>
      <c r="NO163" s="561">
        <v>0</v>
      </c>
      <c r="NP163" s="561">
        <v>0</v>
      </c>
      <c r="NQ163" s="561">
        <v>0</v>
      </c>
      <c r="NR163" s="561">
        <v>0</v>
      </c>
      <c r="NS163" s="561">
        <v>0</v>
      </c>
      <c r="NT163" s="561">
        <v>0</v>
      </c>
      <c r="NU163" s="561">
        <v>0</v>
      </c>
      <c r="NV163" s="561">
        <v>0</v>
      </c>
      <c r="NW163" s="561">
        <v>0</v>
      </c>
      <c r="NX163" s="561">
        <v>0</v>
      </c>
      <c r="NY163" s="561">
        <v>0</v>
      </c>
      <c r="NZ163" s="561">
        <v>0</v>
      </c>
      <c r="OA163" s="561">
        <v>0</v>
      </c>
      <c r="OB163" s="561">
        <v>0</v>
      </c>
      <c r="OC163" s="561">
        <v>0</v>
      </c>
      <c r="OD163" s="561">
        <v>0</v>
      </c>
      <c r="OE163" s="561">
        <v>0</v>
      </c>
      <c r="OF163" s="561">
        <v>0</v>
      </c>
      <c r="OG163" s="561">
        <v>0</v>
      </c>
      <c r="OH163" s="561">
        <v>0</v>
      </c>
      <c r="OI163" s="561">
        <v>0</v>
      </c>
      <c r="OJ163" s="561">
        <v>0</v>
      </c>
      <c r="OK163" s="561">
        <v>0</v>
      </c>
      <c r="OL163" s="561">
        <v>0</v>
      </c>
      <c r="OM163" s="561">
        <v>0</v>
      </c>
      <c r="ON163" s="561">
        <v>0</v>
      </c>
      <c r="OO163" s="561">
        <v>0</v>
      </c>
      <c r="OP163" s="561">
        <v>0</v>
      </c>
      <c r="OQ163" s="561">
        <v>0</v>
      </c>
      <c r="OR163" s="561">
        <v>0</v>
      </c>
      <c r="OS163" s="561">
        <v>0</v>
      </c>
      <c r="OT163" s="561">
        <v>0</v>
      </c>
      <c r="OU163" s="561">
        <v>0</v>
      </c>
      <c r="OV163" s="561">
        <v>0</v>
      </c>
      <c r="OW163" s="561">
        <v>0</v>
      </c>
      <c r="OX163" s="561">
        <v>0</v>
      </c>
      <c r="OY163" s="561">
        <v>0</v>
      </c>
      <c r="OZ163" s="561">
        <v>0</v>
      </c>
      <c r="PA163" s="561">
        <v>0</v>
      </c>
      <c r="PB163" s="561">
        <v>0</v>
      </c>
      <c r="PC163" s="561">
        <v>0</v>
      </c>
      <c r="PD163" s="561">
        <v>0</v>
      </c>
      <c r="PE163" s="561">
        <v>0</v>
      </c>
      <c r="PF163" s="561">
        <v>0</v>
      </c>
      <c r="PG163" s="561">
        <v>0</v>
      </c>
      <c r="PH163" s="561">
        <v>0</v>
      </c>
      <c r="PI163" s="561">
        <v>0</v>
      </c>
      <c r="PJ163" s="561">
        <v>0</v>
      </c>
    </row>
    <row r="164" spans="1:426" ht="14" x14ac:dyDescent="0.3">
      <c r="A164" t="s">
        <v>2927</v>
      </c>
      <c r="B164" t="s">
        <v>2928</v>
      </c>
      <c r="C164" t="s">
        <v>2929</v>
      </c>
      <c r="E164" t="s">
        <v>384</v>
      </c>
      <c r="F164" s="561">
        <v>0</v>
      </c>
      <c r="G164" s="561">
        <v>0</v>
      </c>
      <c r="H164" s="561">
        <v>0</v>
      </c>
      <c r="I164" s="561">
        <v>0</v>
      </c>
      <c r="J164" s="561">
        <v>0</v>
      </c>
      <c r="K164" s="561">
        <v>0</v>
      </c>
      <c r="L164" s="561">
        <v>0</v>
      </c>
      <c r="M164" s="561">
        <v>0</v>
      </c>
      <c r="N164" s="561">
        <v>177</v>
      </c>
      <c r="O164" s="561">
        <v>0</v>
      </c>
      <c r="P164" s="561">
        <v>0</v>
      </c>
      <c r="Q164" s="561">
        <v>0</v>
      </c>
      <c r="R164" s="561">
        <v>0</v>
      </c>
      <c r="S164" s="561">
        <v>81.5</v>
      </c>
      <c r="T164" s="561">
        <v>0</v>
      </c>
      <c r="U164" s="561">
        <v>0</v>
      </c>
      <c r="V164" s="561">
        <v>0</v>
      </c>
      <c r="W164" s="561">
        <v>0</v>
      </c>
      <c r="X164" s="561">
        <v>0</v>
      </c>
      <c r="Y164" s="561">
        <v>0</v>
      </c>
      <c r="Z164" s="561">
        <v>-0.75</v>
      </c>
      <c r="AA164" s="561">
        <v>0</v>
      </c>
      <c r="AB164" s="561">
        <v>-1469</v>
      </c>
      <c r="AC164" s="561">
        <v>0</v>
      </c>
      <c r="AD164" s="561">
        <v>0</v>
      </c>
      <c r="AE164" s="561">
        <v>0</v>
      </c>
      <c r="AF164" s="561">
        <v>0</v>
      </c>
      <c r="AG164" s="561">
        <v>0</v>
      </c>
      <c r="AH164" s="561">
        <v>-50</v>
      </c>
      <c r="AI164" s="561">
        <v>0</v>
      </c>
      <c r="AJ164" s="561">
        <v>-1261.25</v>
      </c>
      <c r="AK164" s="561">
        <v>0</v>
      </c>
      <c r="AL164" s="561">
        <v>0</v>
      </c>
      <c r="AM164" s="561">
        <v>0</v>
      </c>
      <c r="AN164" s="561">
        <v>0</v>
      </c>
      <c r="AO164" s="561">
        <v>0</v>
      </c>
      <c r="AP164" s="561">
        <v>0</v>
      </c>
      <c r="AQ164" s="561">
        <v>0</v>
      </c>
      <c r="AR164" s="561">
        <v>0</v>
      </c>
      <c r="AS164" s="561">
        <v>0</v>
      </c>
      <c r="AT164" s="561">
        <v>0</v>
      </c>
      <c r="AU164" s="561">
        <v>0</v>
      </c>
      <c r="AV164" s="561">
        <v>0</v>
      </c>
      <c r="AW164" s="561">
        <v>0</v>
      </c>
      <c r="AX164" s="561">
        <v>0</v>
      </c>
      <c r="AY164" s="561">
        <v>0</v>
      </c>
      <c r="AZ164" s="561">
        <v>0</v>
      </c>
      <c r="BA164" s="561">
        <v>0</v>
      </c>
      <c r="BB164" s="561">
        <v>0</v>
      </c>
      <c r="BC164" s="561">
        <v>0</v>
      </c>
      <c r="BD164" s="561">
        <v>0</v>
      </c>
      <c r="BE164" s="561">
        <v>0</v>
      </c>
      <c r="BF164" s="561">
        <v>0</v>
      </c>
      <c r="BG164" s="561">
        <v>0</v>
      </c>
      <c r="BH164" s="561">
        <v>0</v>
      </c>
      <c r="BI164" s="561">
        <v>0</v>
      </c>
      <c r="BJ164" s="561">
        <v>0</v>
      </c>
      <c r="BK164" s="561">
        <v>0</v>
      </c>
      <c r="BL164" s="561">
        <v>0</v>
      </c>
      <c r="BM164" s="561">
        <v>0</v>
      </c>
      <c r="BN164" s="561">
        <v>0</v>
      </c>
      <c r="BO164" s="561">
        <v>0</v>
      </c>
      <c r="BP164" s="561">
        <v>0</v>
      </c>
      <c r="BQ164" s="561">
        <v>0</v>
      </c>
      <c r="BR164" s="561">
        <v>0</v>
      </c>
      <c r="BS164" s="561">
        <v>0</v>
      </c>
      <c r="BT164" s="561">
        <v>0</v>
      </c>
      <c r="BU164" s="561">
        <v>0</v>
      </c>
      <c r="BV164" s="561">
        <v>0</v>
      </c>
      <c r="BW164" s="561">
        <v>0</v>
      </c>
      <c r="BX164" s="561">
        <v>0</v>
      </c>
      <c r="BY164" s="561">
        <v>0</v>
      </c>
      <c r="BZ164" s="561">
        <v>0</v>
      </c>
      <c r="CA164" s="561">
        <v>0</v>
      </c>
      <c r="CB164" s="561">
        <v>0</v>
      </c>
      <c r="CC164" s="561">
        <v>0</v>
      </c>
      <c r="CD164" s="561">
        <v>0</v>
      </c>
      <c r="CE164" s="561">
        <v>0</v>
      </c>
      <c r="CF164" s="561">
        <v>0</v>
      </c>
      <c r="CG164" s="561">
        <v>0</v>
      </c>
      <c r="CH164" s="561">
        <v>0</v>
      </c>
      <c r="CI164" s="561">
        <v>0</v>
      </c>
      <c r="CJ164" s="561">
        <v>0</v>
      </c>
      <c r="CK164" s="561">
        <v>0</v>
      </c>
      <c r="CL164" s="561">
        <v>0</v>
      </c>
      <c r="CM164" s="561">
        <v>0</v>
      </c>
      <c r="CN164" s="561">
        <v>0</v>
      </c>
      <c r="CO164" s="561">
        <v>0</v>
      </c>
      <c r="CP164" s="561">
        <v>0</v>
      </c>
      <c r="CQ164" s="561">
        <v>0</v>
      </c>
      <c r="CR164" s="561">
        <v>0</v>
      </c>
      <c r="CS164" s="561">
        <v>0</v>
      </c>
      <c r="CT164" s="561">
        <v>0</v>
      </c>
      <c r="CU164" s="561">
        <v>0</v>
      </c>
      <c r="CV164" s="561">
        <v>0</v>
      </c>
      <c r="CW164" s="561">
        <v>0</v>
      </c>
      <c r="CX164" s="561">
        <v>0</v>
      </c>
      <c r="CY164" s="561">
        <v>0</v>
      </c>
      <c r="CZ164" s="561">
        <v>0</v>
      </c>
      <c r="DA164" s="561">
        <v>0</v>
      </c>
      <c r="DB164" s="561">
        <v>0</v>
      </c>
      <c r="DC164" s="561">
        <v>0</v>
      </c>
      <c r="DD164" s="561">
        <v>0</v>
      </c>
      <c r="DE164" s="561">
        <v>0</v>
      </c>
      <c r="DF164" s="561">
        <v>0</v>
      </c>
      <c r="DG164" s="561">
        <v>0</v>
      </c>
      <c r="DH164" s="561">
        <v>1341</v>
      </c>
      <c r="DI164" s="561">
        <v>0</v>
      </c>
      <c r="DJ164" s="561">
        <v>0</v>
      </c>
      <c r="DK164" s="561">
        <v>309.52999999999997</v>
      </c>
      <c r="DL164" s="561">
        <v>0</v>
      </c>
      <c r="DM164" s="561">
        <v>5073.76</v>
      </c>
      <c r="DN164" s="561">
        <v>0</v>
      </c>
      <c r="DO164" s="561">
        <v>0</v>
      </c>
      <c r="DP164" s="561">
        <v>0</v>
      </c>
      <c r="DQ164" s="561">
        <v>0</v>
      </c>
      <c r="DR164" s="561">
        <v>0</v>
      </c>
      <c r="DS164" s="561">
        <v>0</v>
      </c>
      <c r="DT164" s="561">
        <v>0</v>
      </c>
      <c r="DU164" s="561">
        <v>5073.76</v>
      </c>
      <c r="DV164" s="561">
        <v>0</v>
      </c>
      <c r="DW164" s="561">
        <v>0</v>
      </c>
      <c r="DX164" s="561">
        <v>0</v>
      </c>
      <c r="DY164" s="561">
        <v>1640.68</v>
      </c>
      <c r="DZ164" s="561">
        <v>0</v>
      </c>
      <c r="EA164" s="561">
        <v>0</v>
      </c>
      <c r="EB164" s="561">
        <v>0</v>
      </c>
      <c r="EC164" s="561">
        <v>8364.9699999999993</v>
      </c>
      <c r="ED164" s="561">
        <v>0</v>
      </c>
      <c r="EE164" s="561">
        <v>0</v>
      </c>
      <c r="EF164" s="561">
        <v>0</v>
      </c>
      <c r="EG164" s="561">
        <v>0</v>
      </c>
      <c r="EH164" s="561">
        <v>0</v>
      </c>
      <c r="EI164" s="561">
        <v>0</v>
      </c>
      <c r="EJ164" s="561">
        <v>0</v>
      </c>
      <c r="EK164" s="561">
        <v>0</v>
      </c>
      <c r="EL164" s="561">
        <v>0</v>
      </c>
      <c r="EM164" s="561">
        <v>0</v>
      </c>
      <c r="EN164" s="561">
        <v>0</v>
      </c>
      <c r="EO164" s="561">
        <v>0</v>
      </c>
      <c r="EP164" s="561">
        <v>0</v>
      </c>
      <c r="EQ164" s="561">
        <v>0</v>
      </c>
      <c r="ER164" s="561">
        <v>0</v>
      </c>
      <c r="ES164" s="561" t="s">
        <v>4565</v>
      </c>
      <c r="ET164" s="561">
        <v>0</v>
      </c>
      <c r="EU164" s="561">
        <v>0</v>
      </c>
      <c r="EV164" s="561">
        <v>0</v>
      </c>
      <c r="EW164" s="561">
        <v>0</v>
      </c>
      <c r="EX164" s="561">
        <v>0</v>
      </c>
      <c r="EY164" s="561">
        <v>0</v>
      </c>
      <c r="EZ164" s="561">
        <v>0</v>
      </c>
      <c r="FA164" s="561">
        <v>0</v>
      </c>
      <c r="FB164" s="561">
        <v>0</v>
      </c>
      <c r="FC164" s="561">
        <v>0</v>
      </c>
      <c r="FD164" s="561">
        <v>-286.44</v>
      </c>
      <c r="FE164" s="561">
        <v>0</v>
      </c>
      <c r="FF164" s="561">
        <v>0</v>
      </c>
      <c r="FG164" s="561">
        <v>0</v>
      </c>
      <c r="FH164" s="561">
        <v>66.66</v>
      </c>
      <c r="FI164" s="561">
        <v>179.46</v>
      </c>
      <c r="FJ164" s="561">
        <v>0</v>
      </c>
      <c r="FK164" s="561">
        <v>-418.46</v>
      </c>
      <c r="FL164" s="561">
        <v>-53.94</v>
      </c>
      <c r="FM164" s="561">
        <v>0</v>
      </c>
      <c r="FN164" s="561">
        <v>0</v>
      </c>
      <c r="FO164" s="561">
        <v>-512.72</v>
      </c>
      <c r="FP164" s="561">
        <v>0</v>
      </c>
      <c r="FQ164" s="561">
        <v>-306.3</v>
      </c>
      <c r="FR164" s="561">
        <v>0</v>
      </c>
      <c r="FS164" s="561">
        <v>0</v>
      </c>
      <c r="FT164" s="561">
        <v>290.41000000000003</v>
      </c>
      <c r="FU164" s="561">
        <v>882.53</v>
      </c>
      <c r="FV164" s="561">
        <v>0</v>
      </c>
      <c r="FW164" s="561">
        <v>89.12</v>
      </c>
      <c r="FX164" s="561">
        <v>0</v>
      </c>
      <c r="FY164" s="561">
        <v>0</v>
      </c>
      <c r="FZ164" s="561">
        <v>99.81</v>
      </c>
      <c r="GA164" s="561">
        <v>11.75</v>
      </c>
      <c r="GB164" s="561">
        <v>110.28</v>
      </c>
      <c r="GC164" s="561">
        <v>138.15</v>
      </c>
      <c r="GD164" s="561">
        <v>0</v>
      </c>
      <c r="GE164" s="561">
        <v>544.71</v>
      </c>
      <c r="GF164" s="561">
        <v>0</v>
      </c>
      <c r="GG164" s="561">
        <v>0</v>
      </c>
      <c r="GH164" s="561">
        <v>0</v>
      </c>
      <c r="GI164" s="561">
        <v>0</v>
      </c>
      <c r="GJ164" s="561">
        <v>1049</v>
      </c>
      <c r="GK164" s="561">
        <v>0</v>
      </c>
      <c r="GL164" s="561">
        <v>0</v>
      </c>
      <c r="GM164" s="561">
        <v>5726.72</v>
      </c>
      <c r="GN164" s="561">
        <v>0</v>
      </c>
      <c r="GO164" s="561">
        <v>0</v>
      </c>
      <c r="GP164" s="561">
        <v>0</v>
      </c>
      <c r="GQ164" s="561">
        <v>0</v>
      </c>
      <c r="GR164" s="561">
        <v>61.09</v>
      </c>
      <c r="GS164" s="561">
        <v>8697.27</v>
      </c>
      <c r="GT164" s="561">
        <v>0</v>
      </c>
      <c r="GU164" s="561">
        <v>148.66999999999999</v>
      </c>
      <c r="GV164" s="561">
        <v>522.97</v>
      </c>
      <c r="GW164" s="561">
        <v>0</v>
      </c>
      <c r="GX164" s="561">
        <v>1122.0999999999999</v>
      </c>
      <c r="GY164" s="561">
        <v>0</v>
      </c>
      <c r="GZ164" s="561">
        <v>1352.42</v>
      </c>
      <c r="HA164" s="561">
        <v>0</v>
      </c>
      <c r="HB164" s="561">
        <v>-62.19</v>
      </c>
      <c r="HC164" s="561">
        <v>646.26</v>
      </c>
      <c r="HD164" s="561">
        <v>3730.23</v>
      </c>
      <c r="HE164" s="561">
        <v>0</v>
      </c>
      <c r="HF164" s="561">
        <v>11914.78</v>
      </c>
      <c r="HG164" s="561">
        <v>0</v>
      </c>
      <c r="HH164" s="561">
        <v>0</v>
      </c>
      <c r="HI164" s="561">
        <v>0</v>
      </c>
      <c r="HJ164" s="561">
        <v>0</v>
      </c>
      <c r="HK164" s="561">
        <v>0</v>
      </c>
      <c r="HL164" s="561">
        <v>0</v>
      </c>
      <c r="HM164" s="561">
        <v>0</v>
      </c>
      <c r="HN164" s="561">
        <v>0</v>
      </c>
      <c r="HO164" s="561">
        <v>1288.18</v>
      </c>
      <c r="HP164" s="561">
        <v>-204</v>
      </c>
      <c r="HQ164" s="561">
        <v>0</v>
      </c>
      <c r="HR164" s="561">
        <v>0</v>
      </c>
      <c r="HS164" s="561">
        <v>0</v>
      </c>
      <c r="HT164" s="561">
        <v>0</v>
      </c>
      <c r="HU164" s="561">
        <v>0</v>
      </c>
      <c r="HV164" s="561">
        <v>0</v>
      </c>
      <c r="HW164" s="561">
        <v>392.64</v>
      </c>
      <c r="HX164" s="561">
        <v>231.43</v>
      </c>
      <c r="HY164" s="561">
        <v>187.47</v>
      </c>
      <c r="HZ164" s="561">
        <v>195.14</v>
      </c>
      <c r="IA164" s="561">
        <v>0</v>
      </c>
      <c r="IB164" s="561">
        <v>0</v>
      </c>
      <c r="IC164" s="561">
        <v>0</v>
      </c>
      <c r="ID164" s="561">
        <v>0</v>
      </c>
      <c r="IE164" s="561">
        <v>-58.5</v>
      </c>
      <c r="IF164" s="561">
        <v>0</v>
      </c>
      <c r="IG164" s="561">
        <v>0</v>
      </c>
      <c r="IH164" s="561">
        <v>9.51</v>
      </c>
      <c r="II164" s="561">
        <v>2041.87</v>
      </c>
      <c r="IJ164" s="561">
        <v>0</v>
      </c>
      <c r="IK164" s="561">
        <v>0</v>
      </c>
      <c r="IL164" s="561">
        <v>0</v>
      </c>
      <c r="IM164" s="561">
        <v>0</v>
      </c>
      <c r="IN164" s="561">
        <v>0</v>
      </c>
      <c r="IO164" s="561">
        <v>0</v>
      </c>
      <c r="IP164" s="561">
        <v>0</v>
      </c>
      <c r="IQ164" s="561">
        <v>0</v>
      </c>
      <c r="IR164" s="561">
        <v>0</v>
      </c>
      <c r="IS164" s="561">
        <v>-1261.25</v>
      </c>
      <c r="IT164" s="561">
        <v>0</v>
      </c>
      <c r="IU164" s="561">
        <v>0</v>
      </c>
      <c r="IV164" s="561">
        <v>0</v>
      </c>
      <c r="IW164" s="561">
        <v>8364.9699999999993</v>
      </c>
      <c r="IX164" s="561">
        <v>-512.72</v>
      </c>
      <c r="IY164" s="561">
        <v>8697.27</v>
      </c>
      <c r="IZ164" s="561">
        <v>3730.23</v>
      </c>
      <c r="JA164" s="561">
        <v>0</v>
      </c>
      <c r="JB164" s="561">
        <v>0</v>
      </c>
      <c r="JC164" s="561">
        <v>2041.87</v>
      </c>
      <c r="JD164" s="561">
        <v>0</v>
      </c>
      <c r="JE164" s="561">
        <v>21060.37</v>
      </c>
      <c r="JF164" s="561">
        <v>22141</v>
      </c>
      <c r="JG164" s="561">
        <v>506.49</v>
      </c>
      <c r="JH164" s="561">
        <v>-0.44</v>
      </c>
      <c r="JI164" s="561">
        <v>0</v>
      </c>
      <c r="JJ164" s="561">
        <v>0</v>
      </c>
      <c r="JK164" s="561">
        <v>0</v>
      </c>
      <c r="JL164" s="561">
        <v>0</v>
      </c>
      <c r="JM164" s="561">
        <v>0</v>
      </c>
      <c r="JN164" s="561">
        <v>0</v>
      </c>
      <c r="JO164" s="561">
        <v>0</v>
      </c>
      <c r="JP164" s="561">
        <v>0</v>
      </c>
      <c r="JQ164" s="561">
        <v>0</v>
      </c>
      <c r="JR164" s="561">
        <v>0</v>
      </c>
      <c r="JS164" s="561">
        <v>0</v>
      </c>
      <c r="JT164" s="561">
        <v>22.5</v>
      </c>
      <c r="JU164" s="561">
        <v>-23.5</v>
      </c>
      <c r="JV164" s="561">
        <v>43706.42</v>
      </c>
      <c r="JW164" s="561">
        <v>0</v>
      </c>
      <c r="JX164" s="561">
        <v>0</v>
      </c>
      <c r="JY164" s="561">
        <v>0</v>
      </c>
      <c r="JZ164" s="561">
        <v>0</v>
      </c>
      <c r="KA164" s="561">
        <v>0</v>
      </c>
      <c r="KB164" s="561">
        <v>889.5</v>
      </c>
      <c r="KC164" s="561">
        <v>175</v>
      </c>
      <c r="KD164" s="561">
        <v>0</v>
      </c>
      <c r="KE164" s="561">
        <v>118</v>
      </c>
      <c r="KF164" s="561">
        <v>0</v>
      </c>
      <c r="KG164" s="561">
        <v>44888.92</v>
      </c>
      <c r="KH164" s="561">
        <v>-3954</v>
      </c>
      <c r="KI164" s="561">
        <v>0</v>
      </c>
      <c r="KJ164" s="561">
        <v>0</v>
      </c>
      <c r="KK164" s="561">
        <v>0</v>
      </c>
      <c r="KL164" s="561">
        <v>-21318</v>
      </c>
      <c r="KM164" s="561">
        <v>0</v>
      </c>
      <c r="KN164" s="561">
        <v>-823.5</v>
      </c>
      <c r="KO164" s="561">
        <v>0</v>
      </c>
      <c r="KP164" s="561">
        <v>0</v>
      </c>
      <c r="KQ164" s="561">
        <v>0</v>
      </c>
      <c r="KR164" s="561">
        <v>18793.419999999998</v>
      </c>
      <c r="KS164" s="561">
        <v>0</v>
      </c>
      <c r="KT164" s="561">
        <v>-2453.36</v>
      </c>
      <c r="KU164" s="561">
        <v>16340.06</v>
      </c>
      <c r="KV164" s="561">
        <v>0</v>
      </c>
      <c r="KW164" s="561">
        <v>0</v>
      </c>
      <c r="KX164" s="561">
        <v>0</v>
      </c>
      <c r="KY164" s="561">
        <v>0</v>
      </c>
      <c r="KZ164" s="561">
        <v>-862</v>
      </c>
      <c r="LA164" s="561">
        <v>-90</v>
      </c>
      <c r="LB164" s="561">
        <v>-166</v>
      </c>
      <c r="LC164" s="561">
        <v>0</v>
      </c>
      <c r="LD164" s="561">
        <v>-5362</v>
      </c>
      <c r="LE164" s="561">
        <v>41</v>
      </c>
      <c r="LF164" s="561">
        <v>0</v>
      </c>
      <c r="LG164" s="561">
        <v>9901</v>
      </c>
      <c r="LH164" s="561">
        <v>0</v>
      </c>
      <c r="LI164" s="561">
        <v>0</v>
      </c>
      <c r="LJ164" s="561">
        <v>0</v>
      </c>
      <c r="LK164" s="561">
        <v>0</v>
      </c>
      <c r="LL164" s="561">
        <v>6766</v>
      </c>
      <c r="LM164" s="561">
        <v>463</v>
      </c>
      <c r="LN164" s="561">
        <v>0</v>
      </c>
      <c r="LO164" s="561">
        <v>0</v>
      </c>
      <c r="LP164" s="561">
        <v>0</v>
      </c>
      <c r="LQ164" s="561">
        <v>0</v>
      </c>
      <c r="LR164" s="561">
        <v>5904</v>
      </c>
      <c r="LS164" s="561">
        <v>373</v>
      </c>
      <c r="LT164" s="561">
        <v>0</v>
      </c>
      <c r="LU164" s="561">
        <v>0</v>
      </c>
      <c r="LV164" s="561">
        <v>0</v>
      </c>
      <c r="LW164" s="561">
        <v>0</v>
      </c>
      <c r="LX164" s="561">
        <v>0</v>
      </c>
      <c r="LY164" s="561">
        <v>0</v>
      </c>
      <c r="LZ164" s="561">
        <v>0</v>
      </c>
      <c r="MA164" s="561">
        <v>0</v>
      </c>
      <c r="MB164" s="561">
        <v>0</v>
      </c>
      <c r="MC164" s="561">
        <v>0</v>
      </c>
      <c r="MD164" s="561">
        <v>0</v>
      </c>
      <c r="ME164" s="561">
        <v>0</v>
      </c>
      <c r="MF164" s="561">
        <v>0</v>
      </c>
      <c r="MG164" s="561">
        <v>0</v>
      </c>
      <c r="MH164" s="561">
        <v>3989</v>
      </c>
      <c r="MI164" s="561">
        <v>5596</v>
      </c>
      <c r="MJ164" s="561">
        <v>9585</v>
      </c>
      <c r="MK164" s="561">
        <v>0</v>
      </c>
      <c r="ML164" s="561">
        <v>4303</v>
      </c>
      <c r="MM164" s="561">
        <v>566</v>
      </c>
      <c r="MN164" s="561">
        <v>493</v>
      </c>
      <c r="MO164" s="561">
        <v>542</v>
      </c>
      <c r="MP164" s="561">
        <v>0</v>
      </c>
      <c r="MQ164" s="561">
        <v>0</v>
      </c>
      <c r="MR164" s="561">
        <v>-1261.25</v>
      </c>
      <c r="MS164" s="561">
        <v>0</v>
      </c>
      <c r="MT164" s="561">
        <v>0</v>
      </c>
      <c r="MU164" s="561">
        <v>0</v>
      </c>
      <c r="MV164" s="561">
        <v>8364.9699999999993</v>
      </c>
      <c r="MW164" s="561">
        <v>-512.72</v>
      </c>
      <c r="MX164" s="561">
        <v>8697.27</v>
      </c>
      <c r="MY164" s="561">
        <v>3730.23</v>
      </c>
      <c r="MZ164" s="561">
        <v>0</v>
      </c>
      <c r="NA164" s="561">
        <v>0</v>
      </c>
      <c r="NB164" s="561">
        <v>2041.87</v>
      </c>
      <c r="NC164" s="561">
        <v>0</v>
      </c>
      <c r="ND164" s="561">
        <v>21060.37</v>
      </c>
      <c r="NE164" s="561">
        <v>0</v>
      </c>
      <c r="NF164" s="561">
        <v>0</v>
      </c>
      <c r="NG164" s="561">
        <v>0</v>
      </c>
      <c r="NH164" s="561">
        <v>0</v>
      </c>
      <c r="NI164" s="561">
        <v>0</v>
      </c>
      <c r="NJ164" s="561">
        <v>0</v>
      </c>
      <c r="NK164" s="561">
        <v>0</v>
      </c>
      <c r="NL164" s="561">
        <v>0</v>
      </c>
      <c r="NM164" s="561">
        <v>0</v>
      </c>
      <c r="NN164" s="561">
        <v>0</v>
      </c>
      <c r="NO164" s="561">
        <v>0</v>
      </c>
      <c r="NP164" s="561">
        <v>0</v>
      </c>
      <c r="NQ164" s="561">
        <v>0</v>
      </c>
      <c r="NR164" s="561">
        <v>0</v>
      </c>
      <c r="NS164" s="561">
        <v>0</v>
      </c>
      <c r="NT164" s="561">
        <v>0</v>
      </c>
      <c r="NU164" s="561">
        <v>0</v>
      </c>
      <c r="NV164" s="561">
        <v>0</v>
      </c>
      <c r="NW164" s="561">
        <v>0</v>
      </c>
      <c r="NX164" s="561">
        <v>0</v>
      </c>
      <c r="NY164" s="561">
        <v>0</v>
      </c>
      <c r="NZ164" s="561">
        <v>0</v>
      </c>
      <c r="OA164" s="561">
        <v>0</v>
      </c>
      <c r="OB164" s="561">
        <v>0</v>
      </c>
      <c r="OC164" s="561">
        <v>0</v>
      </c>
      <c r="OD164" s="561">
        <v>0</v>
      </c>
      <c r="OE164" s="561">
        <v>0</v>
      </c>
      <c r="OF164" s="561">
        <v>0</v>
      </c>
      <c r="OG164" s="561">
        <v>0</v>
      </c>
      <c r="OH164" s="561">
        <v>0</v>
      </c>
      <c r="OI164" s="561">
        <v>0</v>
      </c>
      <c r="OJ164" s="561">
        <v>0</v>
      </c>
      <c r="OK164" s="561">
        <v>0</v>
      </c>
      <c r="OL164" s="561">
        <v>0</v>
      </c>
      <c r="OM164" s="561">
        <v>0</v>
      </c>
      <c r="ON164" s="561">
        <v>0</v>
      </c>
      <c r="OO164" s="561">
        <v>0</v>
      </c>
      <c r="OP164" s="561">
        <v>0</v>
      </c>
      <c r="OQ164" s="561">
        <v>0</v>
      </c>
      <c r="OR164" s="561">
        <v>0</v>
      </c>
      <c r="OS164" s="561">
        <v>0</v>
      </c>
      <c r="OT164" s="561">
        <v>0</v>
      </c>
      <c r="OU164" s="561">
        <v>0</v>
      </c>
      <c r="OV164" s="561">
        <v>0</v>
      </c>
      <c r="OW164" s="561">
        <v>0</v>
      </c>
      <c r="OX164" s="561">
        <v>0</v>
      </c>
      <c r="OY164" s="561">
        <v>0</v>
      </c>
      <c r="OZ164" s="561">
        <v>0</v>
      </c>
      <c r="PA164" s="561">
        <v>0</v>
      </c>
      <c r="PB164" s="561">
        <v>0</v>
      </c>
      <c r="PC164" s="561">
        <v>0</v>
      </c>
      <c r="PD164" s="561">
        <v>0</v>
      </c>
      <c r="PE164" s="561">
        <v>0</v>
      </c>
      <c r="PF164" s="561">
        <v>0</v>
      </c>
      <c r="PG164" s="561">
        <v>0</v>
      </c>
      <c r="PH164" s="561">
        <v>0</v>
      </c>
      <c r="PI164" s="561">
        <v>0</v>
      </c>
      <c r="PJ164" s="561">
        <v>0</v>
      </c>
    </row>
    <row r="165" spans="1:426" ht="14" x14ac:dyDescent="0.3">
      <c r="A165" t="s">
        <v>2930</v>
      </c>
      <c r="B165" t="s">
        <v>2931</v>
      </c>
      <c r="C165" t="s">
        <v>2932</v>
      </c>
      <c r="E165" t="s">
        <v>2476</v>
      </c>
      <c r="F165" s="561">
        <v>30892</v>
      </c>
      <c r="G165" s="561">
        <v>142875</v>
      </c>
      <c r="H165" s="561">
        <v>16812</v>
      </c>
      <c r="I165" s="561">
        <v>12091</v>
      </c>
      <c r="J165" s="561">
        <v>8693</v>
      </c>
      <c r="K165" s="561">
        <v>19950</v>
      </c>
      <c r="L165" s="561">
        <v>231313</v>
      </c>
      <c r="M165" s="561">
        <v>4937</v>
      </c>
      <c r="N165" s="561">
        <v>-631</v>
      </c>
      <c r="O165" s="561">
        <v>0</v>
      </c>
      <c r="P165" s="561">
        <v>0</v>
      </c>
      <c r="Q165" s="561">
        <v>129</v>
      </c>
      <c r="R165" s="561">
        <v>516</v>
      </c>
      <c r="S165" s="561">
        <v>4645</v>
      </c>
      <c r="T165" s="561">
        <v>-377</v>
      </c>
      <c r="U165" s="561">
        <v>298</v>
      </c>
      <c r="V165" s="561">
        <v>1818</v>
      </c>
      <c r="W165" s="561">
        <v>0</v>
      </c>
      <c r="X165" s="561">
        <v>0</v>
      </c>
      <c r="Y165" s="561">
        <v>156</v>
      </c>
      <c r="Z165" s="561">
        <v>0</v>
      </c>
      <c r="AA165" s="561">
        <v>-5525</v>
      </c>
      <c r="AB165" s="561">
        <v>-870</v>
      </c>
      <c r="AC165" s="561">
        <v>6254</v>
      </c>
      <c r="AD165" s="561">
        <v>0</v>
      </c>
      <c r="AE165" s="561">
        <v>0</v>
      </c>
      <c r="AF165" s="561">
        <v>0</v>
      </c>
      <c r="AG165" s="561">
        <v>0</v>
      </c>
      <c r="AH165" s="561">
        <v>0</v>
      </c>
      <c r="AI165" s="561">
        <v>0</v>
      </c>
      <c r="AJ165" s="561">
        <v>6413</v>
      </c>
      <c r="AK165" s="561">
        <v>4340</v>
      </c>
      <c r="AL165" s="561">
        <v>0</v>
      </c>
      <c r="AM165" s="561">
        <v>0</v>
      </c>
      <c r="AN165" s="561">
        <v>0</v>
      </c>
      <c r="AO165" s="561">
        <v>0</v>
      </c>
      <c r="AP165" s="561">
        <v>0</v>
      </c>
      <c r="AQ165" s="561">
        <v>0</v>
      </c>
      <c r="AR165" s="561">
        <v>0</v>
      </c>
      <c r="AS165" s="561">
        <v>13858</v>
      </c>
      <c r="AT165" s="561">
        <v>2492</v>
      </c>
      <c r="AU165" s="561">
        <v>0</v>
      </c>
      <c r="AV165" s="561">
        <v>0</v>
      </c>
      <c r="AW165" s="561">
        <v>0</v>
      </c>
      <c r="AX165" s="561">
        <v>485</v>
      </c>
      <c r="AY165" s="561">
        <v>35604</v>
      </c>
      <c r="AZ165" s="561">
        <v>818</v>
      </c>
      <c r="BA165" s="561">
        <v>6177</v>
      </c>
      <c r="BB165" s="561">
        <v>1129</v>
      </c>
      <c r="BC165" s="561">
        <v>24929</v>
      </c>
      <c r="BD165" s="561">
        <v>0</v>
      </c>
      <c r="BE165" s="561">
        <v>1327</v>
      </c>
      <c r="BF165" s="561">
        <v>70469</v>
      </c>
      <c r="BG165" s="561">
        <v>8998</v>
      </c>
      <c r="BH165" s="561">
        <v>8269</v>
      </c>
      <c r="BI165" s="561">
        <v>27772</v>
      </c>
      <c r="BJ165" s="561">
        <v>386</v>
      </c>
      <c r="BK165" s="561">
        <v>226</v>
      </c>
      <c r="BL165" s="561">
        <v>1118</v>
      </c>
      <c r="BM165" s="561">
        <v>7698</v>
      </c>
      <c r="BN165" s="561">
        <v>29580</v>
      </c>
      <c r="BO165" s="561">
        <v>4430</v>
      </c>
      <c r="BP165" s="561">
        <v>3900</v>
      </c>
      <c r="BQ165" s="561">
        <v>380</v>
      </c>
      <c r="BR165" s="561">
        <v>59</v>
      </c>
      <c r="BS165" s="561">
        <v>0</v>
      </c>
      <c r="BT165" s="561">
        <v>1597</v>
      </c>
      <c r="BU165" s="561">
        <v>546</v>
      </c>
      <c r="BV165" s="561">
        <v>1788</v>
      </c>
      <c r="BW165" s="561">
        <v>8294</v>
      </c>
      <c r="BX165" s="561">
        <v>2135</v>
      </c>
      <c r="BY165" s="561">
        <v>6160</v>
      </c>
      <c r="BZ165" s="561">
        <v>104338</v>
      </c>
      <c r="CA165" s="561">
        <v>2143</v>
      </c>
      <c r="CB165" s="561">
        <v>1020</v>
      </c>
      <c r="CC165" s="561">
        <v>869</v>
      </c>
      <c r="CD165" s="561">
        <v>53</v>
      </c>
      <c r="CE165" s="561">
        <v>251</v>
      </c>
      <c r="CF165" s="561">
        <v>111</v>
      </c>
      <c r="CG165" s="561">
        <v>60</v>
      </c>
      <c r="CH165" s="561">
        <v>185</v>
      </c>
      <c r="CI165" s="561">
        <v>57</v>
      </c>
      <c r="CJ165" s="561">
        <v>144</v>
      </c>
      <c r="CK165" s="561">
        <v>605</v>
      </c>
      <c r="CL165" s="561">
        <v>214</v>
      </c>
      <c r="CM165" s="561">
        <v>872</v>
      </c>
      <c r="CN165" s="561">
        <v>1255</v>
      </c>
      <c r="CO165" s="561">
        <v>171</v>
      </c>
      <c r="CP165" s="561">
        <v>37</v>
      </c>
      <c r="CQ165" s="561">
        <v>37</v>
      </c>
      <c r="CR165" s="561">
        <v>340</v>
      </c>
      <c r="CS165" s="561">
        <v>74</v>
      </c>
      <c r="CT165" s="561">
        <v>812</v>
      </c>
      <c r="CU165" s="561">
        <v>3208</v>
      </c>
      <c r="CV165" s="561">
        <v>1389</v>
      </c>
      <c r="CW165" s="561">
        <v>74</v>
      </c>
      <c r="CX165" s="561">
        <v>93</v>
      </c>
      <c r="CY165" s="561">
        <v>1863</v>
      </c>
      <c r="CZ165" s="561">
        <v>13794</v>
      </c>
      <c r="DA165" s="561">
        <v>8</v>
      </c>
      <c r="DB165" s="561">
        <v>68</v>
      </c>
      <c r="DC165" s="561">
        <v>0</v>
      </c>
      <c r="DD165" s="561">
        <v>18</v>
      </c>
      <c r="DE165" s="561">
        <v>0</v>
      </c>
      <c r="DF165" s="561">
        <v>0</v>
      </c>
      <c r="DG165" s="561">
        <v>0</v>
      </c>
      <c r="DH165" s="561">
        <v>-1</v>
      </c>
      <c r="DI165" s="561">
        <v>0</v>
      </c>
      <c r="DJ165" s="561">
        <v>0</v>
      </c>
      <c r="DK165" s="561">
        <v>0</v>
      </c>
      <c r="DL165" s="561">
        <v>5080</v>
      </c>
      <c r="DM165" s="561">
        <v>2699</v>
      </c>
      <c r="DN165" s="561">
        <v>562</v>
      </c>
      <c r="DO165" s="561">
        <v>2130</v>
      </c>
      <c r="DP165" s="561">
        <v>0</v>
      </c>
      <c r="DQ165" s="561">
        <v>0</v>
      </c>
      <c r="DR165" s="561">
        <v>1512</v>
      </c>
      <c r="DS165" s="561">
        <v>8050</v>
      </c>
      <c r="DT165" s="561">
        <v>412</v>
      </c>
      <c r="DU165" s="561">
        <v>20445</v>
      </c>
      <c r="DV165" s="561">
        <v>332</v>
      </c>
      <c r="DW165" s="561">
        <v>0</v>
      </c>
      <c r="DX165" s="561">
        <v>135</v>
      </c>
      <c r="DY165" s="561">
        <v>838</v>
      </c>
      <c r="DZ165" s="561">
        <v>0</v>
      </c>
      <c r="EA165" s="561">
        <v>0</v>
      </c>
      <c r="EB165" s="561">
        <v>0</v>
      </c>
      <c r="EC165" s="561">
        <v>21749</v>
      </c>
      <c r="ED165" s="561">
        <v>1510</v>
      </c>
      <c r="EE165" s="561">
        <v>61948</v>
      </c>
      <c r="EF165" s="561">
        <v>496</v>
      </c>
      <c r="EG165" s="561">
        <v>11945</v>
      </c>
      <c r="EH165" s="561">
        <v>16114</v>
      </c>
      <c r="EI165" s="561">
        <v>0</v>
      </c>
      <c r="EJ165" s="561">
        <v>1107</v>
      </c>
      <c r="EK165" s="561">
        <v>0</v>
      </c>
      <c r="EL165" s="561">
        <v>0</v>
      </c>
      <c r="EM165" s="561">
        <v>0</v>
      </c>
      <c r="EN165" s="561">
        <v>14342</v>
      </c>
      <c r="EO165" s="561">
        <v>18807</v>
      </c>
      <c r="EP165" s="561">
        <v>8509</v>
      </c>
      <c r="EQ165" s="561">
        <v>658</v>
      </c>
      <c r="ER165" s="561">
        <v>13866</v>
      </c>
      <c r="ES165" s="561" t="s">
        <v>4565</v>
      </c>
      <c r="ET165" s="561">
        <v>10655</v>
      </c>
      <c r="EU165" s="561">
        <v>500</v>
      </c>
      <c r="EV165" s="561">
        <v>0</v>
      </c>
      <c r="EW165" s="561">
        <v>0</v>
      </c>
      <c r="EX165" s="561">
        <v>17001</v>
      </c>
      <c r="EY165" s="561">
        <v>250</v>
      </c>
      <c r="EZ165" s="561">
        <v>7022</v>
      </c>
      <c r="FA165" s="561">
        <v>28517.3</v>
      </c>
      <c r="FB165" s="561">
        <v>0</v>
      </c>
      <c r="FC165" s="561">
        <v>41</v>
      </c>
      <c r="FD165" s="561">
        <v>1</v>
      </c>
      <c r="FE165" s="561">
        <v>-1</v>
      </c>
      <c r="FF165" s="561">
        <v>1032</v>
      </c>
      <c r="FG165" s="561">
        <v>-106</v>
      </c>
      <c r="FH165" s="561">
        <v>-1</v>
      </c>
      <c r="FI165" s="561">
        <v>421</v>
      </c>
      <c r="FJ165" s="561">
        <v>-3494</v>
      </c>
      <c r="FK165" s="561">
        <v>1475</v>
      </c>
      <c r="FL165" s="561">
        <v>-14</v>
      </c>
      <c r="FM165" s="561">
        <v>0</v>
      </c>
      <c r="FN165" s="561">
        <v>2713</v>
      </c>
      <c r="FO165" s="561">
        <v>2067</v>
      </c>
      <c r="FP165" s="561">
        <v>105</v>
      </c>
      <c r="FQ165" s="561">
        <v>-1203</v>
      </c>
      <c r="FR165" s="561">
        <v>725</v>
      </c>
      <c r="FS165" s="561">
        <v>43</v>
      </c>
      <c r="FT165" s="561">
        <v>42</v>
      </c>
      <c r="FU165" s="561">
        <v>1231</v>
      </c>
      <c r="FV165" s="561">
        <v>492</v>
      </c>
      <c r="FW165" s="561">
        <v>351</v>
      </c>
      <c r="FX165" s="561">
        <v>6</v>
      </c>
      <c r="FY165" s="561">
        <v>6</v>
      </c>
      <c r="FZ165" s="561">
        <v>6</v>
      </c>
      <c r="GA165" s="561">
        <v>-9</v>
      </c>
      <c r="GB165" s="561">
        <v>6</v>
      </c>
      <c r="GC165" s="561">
        <v>87</v>
      </c>
      <c r="GD165" s="561">
        <v>89</v>
      </c>
      <c r="GE165" s="561">
        <v>473</v>
      </c>
      <c r="GF165" s="561">
        <v>349</v>
      </c>
      <c r="GG165" s="561">
        <v>101</v>
      </c>
      <c r="GH165" s="561">
        <v>0</v>
      </c>
      <c r="GI165" s="561">
        <v>0</v>
      </c>
      <c r="GJ165" s="561">
        <v>0</v>
      </c>
      <c r="GK165" s="561">
        <v>-11</v>
      </c>
      <c r="GL165" s="561">
        <v>7318</v>
      </c>
      <c r="GM165" s="561">
        <v>1487</v>
      </c>
      <c r="GN165" s="561">
        <v>-25</v>
      </c>
      <c r="GO165" s="561">
        <v>182</v>
      </c>
      <c r="GP165" s="561">
        <v>2465</v>
      </c>
      <c r="GQ165" s="561">
        <v>0</v>
      </c>
      <c r="GR165" s="561">
        <v>-11</v>
      </c>
      <c r="GS165" s="561">
        <v>14200</v>
      </c>
      <c r="GT165" s="561">
        <v>929</v>
      </c>
      <c r="GU165" s="561">
        <v>396</v>
      </c>
      <c r="GV165" s="561">
        <v>1347</v>
      </c>
      <c r="GW165" s="561">
        <v>0</v>
      </c>
      <c r="GX165" s="561">
        <v>1427</v>
      </c>
      <c r="GY165" s="561">
        <v>570</v>
      </c>
      <c r="GZ165" s="561">
        <v>345</v>
      </c>
      <c r="HA165" s="561">
        <v>0</v>
      </c>
      <c r="HB165" s="561">
        <v>-275</v>
      </c>
      <c r="HC165" s="561">
        <v>937</v>
      </c>
      <c r="HD165" s="561">
        <v>4747</v>
      </c>
      <c r="HE165" s="561">
        <v>820</v>
      </c>
      <c r="HF165" s="561">
        <v>21014</v>
      </c>
      <c r="HG165" s="561">
        <v>1854</v>
      </c>
      <c r="HH165" s="561">
        <v>0</v>
      </c>
      <c r="HI165" s="561">
        <v>0</v>
      </c>
      <c r="HJ165" s="561">
        <v>0</v>
      </c>
      <c r="HK165" s="561">
        <v>0</v>
      </c>
      <c r="HL165" s="561">
        <v>0</v>
      </c>
      <c r="HM165" s="561">
        <v>0</v>
      </c>
      <c r="HN165" s="561">
        <v>0</v>
      </c>
      <c r="HO165" s="561">
        <v>7759</v>
      </c>
      <c r="HP165" s="561">
        <v>1182</v>
      </c>
      <c r="HQ165" s="561">
        <v>0</v>
      </c>
      <c r="HR165" s="561">
        <v>0</v>
      </c>
      <c r="HS165" s="561">
        <v>0</v>
      </c>
      <c r="HT165" s="561">
        <v>503</v>
      </c>
      <c r="HU165" s="561">
        <v>0</v>
      </c>
      <c r="HV165" s="561">
        <v>381</v>
      </c>
      <c r="HW165" s="561">
        <v>472</v>
      </c>
      <c r="HX165" s="561">
        <v>70</v>
      </c>
      <c r="HY165" s="561">
        <v>140</v>
      </c>
      <c r="HZ165" s="561">
        <v>-145</v>
      </c>
      <c r="IA165" s="561">
        <v>1</v>
      </c>
      <c r="IB165" s="561">
        <v>440</v>
      </c>
      <c r="IC165" s="561">
        <v>0</v>
      </c>
      <c r="ID165" s="561">
        <v>0</v>
      </c>
      <c r="IE165" s="561">
        <v>10407</v>
      </c>
      <c r="IF165" s="561">
        <v>0</v>
      </c>
      <c r="IG165" s="561">
        <v>0</v>
      </c>
      <c r="IH165" s="561">
        <v>0</v>
      </c>
      <c r="II165" s="561">
        <v>21210</v>
      </c>
      <c r="IJ165" s="561">
        <v>4423</v>
      </c>
      <c r="IK165" s="561">
        <v>0</v>
      </c>
      <c r="IL165" s="561">
        <v>25161</v>
      </c>
      <c r="IM165" s="561">
        <v>0</v>
      </c>
      <c r="IN165" s="561">
        <v>0</v>
      </c>
      <c r="IO165" s="561">
        <v>0</v>
      </c>
      <c r="IP165" s="561">
        <v>0</v>
      </c>
      <c r="IQ165" s="561">
        <v>4423</v>
      </c>
      <c r="IR165" s="561">
        <v>231313</v>
      </c>
      <c r="IS165" s="561">
        <v>6413</v>
      </c>
      <c r="IT165" s="561">
        <v>70469</v>
      </c>
      <c r="IU165" s="561">
        <v>104338</v>
      </c>
      <c r="IV165" s="561">
        <v>13794</v>
      </c>
      <c r="IW165" s="561">
        <v>21749</v>
      </c>
      <c r="IX165" s="561">
        <v>2067</v>
      </c>
      <c r="IY165" s="561">
        <v>14200</v>
      </c>
      <c r="IZ165" s="561">
        <v>4747</v>
      </c>
      <c r="JA165" s="561">
        <v>0</v>
      </c>
      <c r="JB165" s="561">
        <v>0</v>
      </c>
      <c r="JC165" s="561">
        <v>21210</v>
      </c>
      <c r="JD165" s="561">
        <v>0</v>
      </c>
      <c r="JE165" s="561">
        <v>490300</v>
      </c>
      <c r="JF165" s="561">
        <v>24003</v>
      </c>
      <c r="JG165" s="561">
        <v>3390</v>
      </c>
      <c r="JH165" s="561">
        <v>19110</v>
      </c>
      <c r="JI165" s="561">
        <v>0</v>
      </c>
      <c r="JJ165" s="561">
        <v>0</v>
      </c>
      <c r="JK165" s="561">
        <v>0</v>
      </c>
      <c r="JL165" s="561">
        <v>0</v>
      </c>
      <c r="JM165" s="561">
        <v>18418</v>
      </c>
      <c r="JN165" s="561">
        <v>29</v>
      </c>
      <c r="JO165" s="561">
        <v>562</v>
      </c>
      <c r="JP165" s="561">
        <v>485</v>
      </c>
      <c r="JQ165" s="561">
        <v>4909</v>
      </c>
      <c r="JR165" s="561">
        <v>0</v>
      </c>
      <c r="JS165" s="561">
        <v>0</v>
      </c>
      <c r="JT165" s="561">
        <v>0</v>
      </c>
      <c r="JU165" s="561">
        <v>0</v>
      </c>
      <c r="JV165" s="561">
        <v>561206</v>
      </c>
      <c r="JW165" s="561">
        <v>225</v>
      </c>
      <c r="JX165" s="561">
        <v>6041</v>
      </c>
      <c r="JY165" s="561">
        <v>0</v>
      </c>
      <c r="JZ165" s="561">
        <v>0</v>
      </c>
      <c r="KA165" s="561">
        <v>0</v>
      </c>
      <c r="KB165" s="561">
        <v>-3225</v>
      </c>
      <c r="KC165" s="561">
        <v>0</v>
      </c>
      <c r="KD165" s="561">
        <v>0</v>
      </c>
      <c r="KE165" s="561">
        <v>16613</v>
      </c>
      <c r="KF165" s="561">
        <v>-13787</v>
      </c>
      <c r="KG165" s="561">
        <v>567073</v>
      </c>
      <c r="KH165" s="561">
        <v>-10301</v>
      </c>
      <c r="KI165" s="561">
        <v>0</v>
      </c>
      <c r="KJ165" s="561">
        <v>0</v>
      </c>
      <c r="KK165" s="561">
        <v>0</v>
      </c>
      <c r="KL165" s="561">
        <v>-46984.07</v>
      </c>
      <c r="KM165" s="561">
        <v>0</v>
      </c>
      <c r="KN165" s="561">
        <v>-1431</v>
      </c>
      <c r="KO165" s="561">
        <v>0</v>
      </c>
      <c r="KP165" s="561">
        <v>0</v>
      </c>
      <c r="KQ165" s="561">
        <v>-19428</v>
      </c>
      <c r="KR165" s="561">
        <v>488928.93</v>
      </c>
      <c r="KS165" s="561">
        <v>0</v>
      </c>
      <c r="KT165" s="561">
        <v>-256031.37</v>
      </c>
      <c r="KU165" s="561">
        <v>232897.56</v>
      </c>
      <c r="KV165" s="561">
        <v>0</v>
      </c>
      <c r="KW165" s="561">
        <v>-2379</v>
      </c>
      <c r="KX165" s="561">
        <v>0</v>
      </c>
      <c r="KY165" s="561">
        <v>-156</v>
      </c>
      <c r="KZ165" s="561">
        <v>5075</v>
      </c>
      <c r="LA165" s="561">
        <v>5000</v>
      </c>
      <c r="LB165" s="561">
        <v>-2025</v>
      </c>
      <c r="LC165" s="561">
        <v>0</v>
      </c>
      <c r="LD165" s="561">
        <v>-44653.09</v>
      </c>
      <c r="LE165" s="561">
        <v>-5336</v>
      </c>
      <c r="LF165" s="561">
        <v>-30400</v>
      </c>
      <c r="LG165" s="561">
        <v>158023</v>
      </c>
      <c r="LH165" s="561">
        <v>1855</v>
      </c>
      <c r="LI165" s="561">
        <v>-15294</v>
      </c>
      <c r="LJ165" s="561">
        <v>0</v>
      </c>
      <c r="LK165" s="561">
        <v>2306</v>
      </c>
      <c r="LL165" s="561">
        <v>32825</v>
      </c>
      <c r="LM165" s="561">
        <v>10113</v>
      </c>
      <c r="LN165" s="561">
        <v>-524</v>
      </c>
      <c r="LO165" s="561">
        <v>-34722</v>
      </c>
      <c r="LP165" s="561">
        <v>0</v>
      </c>
      <c r="LQ165" s="561">
        <v>2150</v>
      </c>
      <c r="LR165" s="561">
        <v>37900</v>
      </c>
      <c r="LS165" s="561">
        <v>15113</v>
      </c>
      <c r="LT165" s="561">
        <v>0</v>
      </c>
      <c r="LU165" s="561">
        <v>29514.3</v>
      </c>
      <c r="LV165" s="561">
        <v>0</v>
      </c>
      <c r="LW165" s="561">
        <v>37487.870000000003</v>
      </c>
      <c r="LX165" s="561">
        <v>-28621.05</v>
      </c>
      <c r="LY165" s="561">
        <v>5885.09</v>
      </c>
      <c r="LZ165" s="561">
        <v>45458.14</v>
      </c>
      <c r="MA165" s="561">
        <v>0</v>
      </c>
      <c r="MB165" s="561">
        <v>0</v>
      </c>
      <c r="MC165" s="561">
        <v>91610</v>
      </c>
      <c r="MD165" s="561">
        <v>84588</v>
      </c>
      <c r="ME165" s="561">
        <v>7022</v>
      </c>
      <c r="MF165" s="561">
        <v>28517.3</v>
      </c>
      <c r="MG165" s="561">
        <v>35539.300000000003</v>
      </c>
      <c r="MH165" s="561">
        <v>7146</v>
      </c>
      <c r="MI165" s="561">
        <v>9363</v>
      </c>
      <c r="MJ165" s="561">
        <v>16509</v>
      </c>
      <c r="MK165" s="561">
        <v>0</v>
      </c>
      <c r="ML165" s="561">
        <v>1734</v>
      </c>
      <c r="MM165" s="561">
        <v>5913</v>
      </c>
      <c r="MN165" s="561">
        <v>16844</v>
      </c>
      <c r="MO165" s="561">
        <v>0</v>
      </c>
      <c r="MP165" s="561">
        <v>13409</v>
      </c>
      <c r="MQ165" s="561">
        <v>231313</v>
      </c>
      <c r="MR165" s="561">
        <v>6413</v>
      </c>
      <c r="MS165" s="561">
        <v>70469</v>
      </c>
      <c r="MT165" s="561">
        <v>104338</v>
      </c>
      <c r="MU165" s="561">
        <v>13794</v>
      </c>
      <c r="MV165" s="561">
        <v>21749</v>
      </c>
      <c r="MW165" s="561">
        <v>2067</v>
      </c>
      <c r="MX165" s="561">
        <v>14200</v>
      </c>
      <c r="MY165" s="561">
        <v>4747</v>
      </c>
      <c r="MZ165" s="561">
        <v>0</v>
      </c>
      <c r="NA165" s="561">
        <v>0</v>
      </c>
      <c r="NB165" s="561">
        <v>21210</v>
      </c>
      <c r="NC165" s="561">
        <v>0</v>
      </c>
      <c r="ND165" s="561">
        <v>490300</v>
      </c>
      <c r="NE165" s="561">
        <v>0</v>
      </c>
      <c r="NF165" s="561">
        <v>0</v>
      </c>
      <c r="NG165" s="561">
        <v>0</v>
      </c>
      <c r="NH165" s="561">
        <v>0</v>
      </c>
      <c r="NI165" s="561">
        <v>0</v>
      </c>
      <c r="NJ165" s="561">
        <v>0</v>
      </c>
      <c r="NK165" s="561">
        <v>0</v>
      </c>
      <c r="NL165" s="561">
        <v>0</v>
      </c>
      <c r="NM165" s="561">
        <v>0</v>
      </c>
      <c r="NN165" s="561">
        <v>0</v>
      </c>
      <c r="NO165" s="561">
        <v>0</v>
      </c>
      <c r="NP165" s="561">
        <v>0</v>
      </c>
      <c r="NQ165" s="561">
        <v>0</v>
      </c>
      <c r="NR165" s="561">
        <v>0</v>
      </c>
      <c r="NS165" s="561">
        <v>0</v>
      </c>
      <c r="NT165" s="561">
        <v>0</v>
      </c>
      <c r="NU165" s="561">
        <v>77</v>
      </c>
      <c r="NV165" s="561">
        <v>485</v>
      </c>
      <c r="NW165" s="561">
        <v>485</v>
      </c>
      <c r="NX165" s="561">
        <v>0</v>
      </c>
      <c r="NY165" s="561">
        <v>485</v>
      </c>
      <c r="NZ165" s="561">
        <v>816</v>
      </c>
      <c r="OA165" s="561">
        <v>1884</v>
      </c>
      <c r="OB165" s="561">
        <v>0</v>
      </c>
      <c r="OC165" s="561">
        <v>0</v>
      </c>
      <c r="OD165" s="561">
        <v>0</v>
      </c>
      <c r="OE165" s="561">
        <v>0</v>
      </c>
      <c r="OF165" s="561">
        <v>0</v>
      </c>
      <c r="OG165" s="561">
        <v>0</v>
      </c>
      <c r="OH165" s="561">
        <v>0</v>
      </c>
      <c r="OI165" s="561">
        <v>0</v>
      </c>
      <c r="OJ165" s="561">
        <v>-31</v>
      </c>
      <c r="OK165" s="561">
        <v>0</v>
      </c>
      <c r="OL165" s="561">
        <v>1410</v>
      </c>
      <c r="OM165" s="561">
        <v>239</v>
      </c>
      <c r="ON165" s="561">
        <v>0</v>
      </c>
      <c r="OO165" s="561">
        <v>0</v>
      </c>
      <c r="OP165" s="561">
        <v>591</v>
      </c>
      <c r="OQ165" s="561">
        <v>0</v>
      </c>
      <c r="OR165" s="561">
        <v>0</v>
      </c>
      <c r="OS165" s="561">
        <v>0</v>
      </c>
      <c r="OT165" s="561">
        <v>0</v>
      </c>
      <c r="OU165" s="561">
        <v>0</v>
      </c>
      <c r="OV165" s="561">
        <v>3075</v>
      </c>
      <c r="OW165" s="561">
        <v>0</v>
      </c>
      <c r="OX165" s="561">
        <v>4909</v>
      </c>
      <c r="OY165" s="561">
        <v>0</v>
      </c>
      <c r="OZ165" s="561">
        <v>0</v>
      </c>
      <c r="PA165" s="561">
        <v>0</v>
      </c>
      <c r="PB165" s="561">
        <v>0</v>
      </c>
      <c r="PC165" s="561">
        <v>0</v>
      </c>
      <c r="PD165" s="561">
        <v>0</v>
      </c>
      <c r="PE165" s="561">
        <v>0</v>
      </c>
      <c r="PF165" s="561">
        <v>0</v>
      </c>
      <c r="PG165" s="561">
        <v>0</v>
      </c>
      <c r="PH165" s="561">
        <v>0</v>
      </c>
      <c r="PI165" s="561">
        <v>0</v>
      </c>
      <c r="PJ165" s="561">
        <v>0</v>
      </c>
    </row>
    <row r="166" spans="1:426" ht="14" x14ac:dyDescent="0.3">
      <c r="A166" t="s">
        <v>2933</v>
      </c>
      <c r="B166" t="s">
        <v>2934</v>
      </c>
      <c r="C166" t="s">
        <v>4608</v>
      </c>
      <c r="E166" t="s">
        <v>2466</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0</v>
      </c>
      <c r="W166" s="561">
        <v>0</v>
      </c>
      <c r="X166" s="561">
        <v>0</v>
      </c>
      <c r="Y166" s="561">
        <v>0</v>
      </c>
      <c r="Z166" s="561">
        <v>0</v>
      </c>
      <c r="AA166" s="561">
        <v>0</v>
      </c>
      <c r="AB166" s="561">
        <v>0</v>
      </c>
      <c r="AC166" s="561">
        <v>0</v>
      </c>
      <c r="AD166" s="561">
        <v>0</v>
      </c>
      <c r="AE166" s="561">
        <v>0</v>
      </c>
      <c r="AF166" s="561">
        <v>0</v>
      </c>
      <c r="AG166" s="561">
        <v>0</v>
      </c>
      <c r="AH166" s="561">
        <v>0</v>
      </c>
      <c r="AI166" s="561">
        <v>0</v>
      </c>
      <c r="AJ166" s="561">
        <v>0</v>
      </c>
      <c r="AK166" s="561">
        <v>0</v>
      </c>
      <c r="AL166" s="561">
        <v>0</v>
      </c>
      <c r="AM166" s="561">
        <v>0</v>
      </c>
      <c r="AN166" s="561">
        <v>0</v>
      </c>
      <c r="AO166" s="561">
        <v>0</v>
      </c>
      <c r="AP166" s="561">
        <v>0</v>
      </c>
      <c r="AQ166" s="561">
        <v>0</v>
      </c>
      <c r="AR166" s="561">
        <v>0</v>
      </c>
      <c r="AS166" s="561">
        <v>0</v>
      </c>
      <c r="AT166" s="561">
        <v>0</v>
      </c>
      <c r="AU166" s="561">
        <v>0</v>
      </c>
      <c r="AV166" s="561">
        <v>0</v>
      </c>
      <c r="AW166" s="561">
        <v>0</v>
      </c>
      <c r="AX166" s="561">
        <v>0</v>
      </c>
      <c r="AY166" s="561">
        <v>0</v>
      </c>
      <c r="AZ166" s="561">
        <v>0</v>
      </c>
      <c r="BA166" s="561">
        <v>0</v>
      </c>
      <c r="BB166" s="561">
        <v>0</v>
      </c>
      <c r="BC166" s="561">
        <v>0</v>
      </c>
      <c r="BD166" s="561">
        <v>0</v>
      </c>
      <c r="BE166" s="561">
        <v>0</v>
      </c>
      <c r="BF166" s="561">
        <v>0</v>
      </c>
      <c r="BG166" s="561">
        <v>0</v>
      </c>
      <c r="BH166" s="561">
        <v>0</v>
      </c>
      <c r="BI166" s="561">
        <v>0</v>
      </c>
      <c r="BJ166" s="561">
        <v>0</v>
      </c>
      <c r="BK166" s="561">
        <v>0</v>
      </c>
      <c r="BL166" s="561">
        <v>0</v>
      </c>
      <c r="BM166" s="561">
        <v>0</v>
      </c>
      <c r="BN166" s="561">
        <v>0</v>
      </c>
      <c r="BO166" s="561">
        <v>0</v>
      </c>
      <c r="BP166" s="561">
        <v>0</v>
      </c>
      <c r="BQ166" s="561">
        <v>0</v>
      </c>
      <c r="BR166" s="561">
        <v>0</v>
      </c>
      <c r="BS166" s="561">
        <v>0</v>
      </c>
      <c r="BT166" s="561">
        <v>0</v>
      </c>
      <c r="BU166" s="561">
        <v>0</v>
      </c>
      <c r="BV166" s="561">
        <v>0</v>
      </c>
      <c r="BW166" s="561">
        <v>0</v>
      </c>
      <c r="BX166" s="561">
        <v>0</v>
      </c>
      <c r="BY166" s="561">
        <v>0</v>
      </c>
      <c r="BZ166" s="561">
        <v>0</v>
      </c>
      <c r="CA166" s="561">
        <v>0</v>
      </c>
      <c r="CB166" s="561">
        <v>0</v>
      </c>
      <c r="CC166" s="561">
        <v>0</v>
      </c>
      <c r="CD166" s="561">
        <v>0</v>
      </c>
      <c r="CE166" s="561">
        <v>0</v>
      </c>
      <c r="CF166" s="561">
        <v>0</v>
      </c>
      <c r="CG166" s="561">
        <v>0</v>
      </c>
      <c r="CH166" s="561">
        <v>0</v>
      </c>
      <c r="CI166" s="561">
        <v>0</v>
      </c>
      <c r="CJ166" s="561">
        <v>0</v>
      </c>
      <c r="CK166" s="561">
        <v>0</v>
      </c>
      <c r="CL166" s="561">
        <v>0</v>
      </c>
      <c r="CM166" s="561">
        <v>0</v>
      </c>
      <c r="CN166" s="561">
        <v>0</v>
      </c>
      <c r="CO166" s="561">
        <v>0</v>
      </c>
      <c r="CP166" s="561">
        <v>0</v>
      </c>
      <c r="CQ166" s="561">
        <v>0</v>
      </c>
      <c r="CR166" s="561">
        <v>0</v>
      </c>
      <c r="CS166" s="561">
        <v>0</v>
      </c>
      <c r="CT166" s="561">
        <v>0</v>
      </c>
      <c r="CU166" s="561">
        <v>0</v>
      </c>
      <c r="CV166" s="561">
        <v>0</v>
      </c>
      <c r="CW166" s="561">
        <v>0</v>
      </c>
      <c r="CX166" s="561">
        <v>0</v>
      </c>
      <c r="CY166" s="561">
        <v>0</v>
      </c>
      <c r="CZ166" s="561">
        <v>0</v>
      </c>
      <c r="DA166" s="561">
        <v>0</v>
      </c>
      <c r="DB166" s="561">
        <v>0</v>
      </c>
      <c r="DC166" s="561">
        <v>0</v>
      </c>
      <c r="DD166" s="561">
        <v>0</v>
      </c>
      <c r="DE166" s="561">
        <v>0</v>
      </c>
      <c r="DF166" s="561">
        <v>0</v>
      </c>
      <c r="DG166" s="561">
        <v>0</v>
      </c>
      <c r="DH166" s="561">
        <v>0</v>
      </c>
      <c r="DI166" s="561">
        <v>0</v>
      </c>
      <c r="DJ166" s="561">
        <v>0</v>
      </c>
      <c r="DK166" s="561">
        <v>0</v>
      </c>
      <c r="DL166" s="561">
        <v>0</v>
      </c>
      <c r="DM166" s="561">
        <v>0</v>
      </c>
      <c r="DN166" s="561">
        <v>0</v>
      </c>
      <c r="DO166" s="561">
        <v>0</v>
      </c>
      <c r="DP166" s="561">
        <v>0</v>
      </c>
      <c r="DQ166" s="561">
        <v>0</v>
      </c>
      <c r="DR166" s="561">
        <v>0</v>
      </c>
      <c r="DS166" s="561">
        <v>0</v>
      </c>
      <c r="DT166" s="561">
        <v>0</v>
      </c>
      <c r="DU166" s="561">
        <v>0</v>
      </c>
      <c r="DV166" s="561">
        <v>0</v>
      </c>
      <c r="DW166" s="561">
        <v>0</v>
      </c>
      <c r="DX166" s="561">
        <v>0</v>
      </c>
      <c r="DY166" s="561">
        <v>0</v>
      </c>
      <c r="DZ166" s="561">
        <v>0</v>
      </c>
      <c r="EA166" s="561">
        <v>0</v>
      </c>
      <c r="EB166" s="561">
        <v>0</v>
      </c>
      <c r="EC166" s="561">
        <v>0</v>
      </c>
      <c r="ED166" s="561">
        <v>0</v>
      </c>
      <c r="EE166" s="561">
        <v>0</v>
      </c>
      <c r="EF166" s="561">
        <v>0</v>
      </c>
      <c r="EG166" s="561">
        <v>0</v>
      </c>
      <c r="EH166" s="561">
        <v>0</v>
      </c>
      <c r="EI166" s="561">
        <v>0</v>
      </c>
      <c r="EJ166" s="561">
        <v>0</v>
      </c>
      <c r="EK166" s="561">
        <v>0</v>
      </c>
      <c r="EL166" s="561">
        <v>0</v>
      </c>
      <c r="EM166" s="561">
        <v>0</v>
      </c>
      <c r="EN166" s="561">
        <v>0</v>
      </c>
      <c r="EO166" s="561">
        <v>0</v>
      </c>
      <c r="EP166" s="561">
        <v>0</v>
      </c>
      <c r="EQ166" s="561">
        <v>0</v>
      </c>
      <c r="ER166" s="561">
        <v>0</v>
      </c>
      <c r="ES166" s="561" t="s">
        <v>4565</v>
      </c>
      <c r="ET166" s="561">
        <v>0</v>
      </c>
      <c r="EU166" s="561">
        <v>0</v>
      </c>
      <c r="EV166" s="561">
        <v>0</v>
      </c>
      <c r="EW166" s="561">
        <v>0</v>
      </c>
      <c r="EX166" s="561">
        <v>0</v>
      </c>
      <c r="EY166" s="561">
        <v>0</v>
      </c>
      <c r="EZ166" s="561">
        <v>0</v>
      </c>
      <c r="FA166" s="561">
        <v>0</v>
      </c>
      <c r="FB166" s="561">
        <v>0</v>
      </c>
      <c r="FC166" s="561">
        <v>0</v>
      </c>
      <c r="FD166" s="561">
        <v>0</v>
      </c>
      <c r="FE166" s="561">
        <v>0</v>
      </c>
      <c r="FF166" s="561">
        <v>0</v>
      </c>
      <c r="FG166" s="561">
        <v>0</v>
      </c>
      <c r="FH166" s="561">
        <v>0</v>
      </c>
      <c r="FI166" s="561">
        <v>0</v>
      </c>
      <c r="FJ166" s="561">
        <v>0</v>
      </c>
      <c r="FK166" s="561">
        <v>0</v>
      </c>
      <c r="FL166" s="561">
        <v>0</v>
      </c>
      <c r="FM166" s="561">
        <v>0</v>
      </c>
      <c r="FN166" s="561">
        <v>0</v>
      </c>
      <c r="FO166" s="561">
        <v>0</v>
      </c>
      <c r="FP166" s="561">
        <v>0</v>
      </c>
      <c r="FQ166" s="561">
        <v>0</v>
      </c>
      <c r="FR166" s="561">
        <v>0</v>
      </c>
      <c r="FS166" s="561">
        <v>0</v>
      </c>
      <c r="FT166" s="561">
        <v>0</v>
      </c>
      <c r="FU166" s="561">
        <v>0</v>
      </c>
      <c r="FV166" s="561">
        <v>0</v>
      </c>
      <c r="FW166" s="561">
        <v>0</v>
      </c>
      <c r="FX166" s="561">
        <v>0</v>
      </c>
      <c r="FY166" s="561">
        <v>0</v>
      </c>
      <c r="FZ166" s="561">
        <v>0</v>
      </c>
      <c r="GA166" s="561">
        <v>0</v>
      </c>
      <c r="GB166" s="561">
        <v>0</v>
      </c>
      <c r="GC166" s="561">
        <v>0</v>
      </c>
      <c r="GD166" s="561">
        <v>0</v>
      </c>
      <c r="GE166" s="561">
        <v>0</v>
      </c>
      <c r="GF166" s="561">
        <v>0</v>
      </c>
      <c r="GG166" s="561">
        <v>0</v>
      </c>
      <c r="GH166" s="561">
        <v>0</v>
      </c>
      <c r="GI166" s="561">
        <v>0</v>
      </c>
      <c r="GJ166" s="561">
        <v>0</v>
      </c>
      <c r="GK166" s="561">
        <v>0</v>
      </c>
      <c r="GL166" s="561">
        <v>0</v>
      </c>
      <c r="GM166" s="561">
        <v>0</v>
      </c>
      <c r="GN166" s="561">
        <v>0</v>
      </c>
      <c r="GO166" s="561">
        <v>0</v>
      </c>
      <c r="GP166" s="561">
        <v>0</v>
      </c>
      <c r="GQ166" s="561">
        <v>0</v>
      </c>
      <c r="GR166" s="561">
        <v>0</v>
      </c>
      <c r="GS166" s="561">
        <v>0</v>
      </c>
      <c r="GT166" s="561">
        <v>0</v>
      </c>
      <c r="GU166" s="561">
        <v>0</v>
      </c>
      <c r="GV166" s="561">
        <v>0</v>
      </c>
      <c r="GW166" s="561">
        <v>0</v>
      </c>
      <c r="GX166" s="561">
        <v>0</v>
      </c>
      <c r="GY166" s="561">
        <v>0</v>
      </c>
      <c r="GZ166" s="561">
        <v>0</v>
      </c>
      <c r="HA166" s="561">
        <v>0</v>
      </c>
      <c r="HB166" s="561">
        <v>0</v>
      </c>
      <c r="HC166" s="561">
        <v>0</v>
      </c>
      <c r="HD166" s="561">
        <v>0</v>
      </c>
      <c r="HE166" s="561">
        <v>0</v>
      </c>
      <c r="HF166" s="561">
        <v>0</v>
      </c>
      <c r="HG166" s="561">
        <v>0</v>
      </c>
      <c r="HH166" s="561">
        <v>0</v>
      </c>
      <c r="HI166" s="561">
        <v>0</v>
      </c>
      <c r="HJ166" s="561">
        <v>9220</v>
      </c>
      <c r="HK166" s="561">
        <v>31189</v>
      </c>
      <c r="HL166" s="561">
        <v>68</v>
      </c>
      <c r="HM166" s="561">
        <v>40477</v>
      </c>
      <c r="HN166" s="561">
        <v>209</v>
      </c>
      <c r="HO166" s="561">
        <v>2391</v>
      </c>
      <c r="HP166" s="561">
        <v>0</v>
      </c>
      <c r="HQ166" s="561">
        <v>0</v>
      </c>
      <c r="HR166" s="561">
        <v>0</v>
      </c>
      <c r="HS166" s="561">
        <v>0</v>
      </c>
      <c r="HT166" s="561">
        <v>0</v>
      </c>
      <c r="HU166" s="561">
        <v>0</v>
      </c>
      <c r="HV166" s="561">
        <v>0</v>
      </c>
      <c r="HW166" s="561">
        <v>0</v>
      </c>
      <c r="HX166" s="561">
        <v>0</v>
      </c>
      <c r="HY166" s="561">
        <v>0</v>
      </c>
      <c r="HZ166" s="561">
        <v>0</v>
      </c>
      <c r="IA166" s="561">
        <v>0</v>
      </c>
      <c r="IB166" s="561">
        <v>0</v>
      </c>
      <c r="IC166" s="561">
        <v>0</v>
      </c>
      <c r="ID166" s="561">
        <v>0</v>
      </c>
      <c r="IE166" s="561">
        <v>0</v>
      </c>
      <c r="IF166" s="561">
        <v>0</v>
      </c>
      <c r="IG166" s="561">
        <v>0</v>
      </c>
      <c r="IH166" s="561">
        <v>0</v>
      </c>
      <c r="II166" s="561">
        <v>2391</v>
      </c>
      <c r="IJ166" s="561">
        <v>0</v>
      </c>
      <c r="IK166" s="561">
        <v>0</v>
      </c>
      <c r="IL166" s="561">
        <v>0</v>
      </c>
      <c r="IM166" s="561">
        <v>0</v>
      </c>
      <c r="IN166" s="561">
        <v>0</v>
      </c>
      <c r="IO166" s="561">
        <v>0</v>
      </c>
      <c r="IP166" s="561">
        <v>0</v>
      </c>
      <c r="IQ166" s="561">
        <v>0</v>
      </c>
      <c r="IR166" s="561">
        <v>0</v>
      </c>
      <c r="IS166" s="561">
        <v>0</v>
      </c>
      <c r="IT166" s="561">
        <v>0</v>
      </c>
      <c r="IU166" s="561">
        <v>0</v>
      </c>
      <c r="IV166" s="561">
        <v>0</v>
      </c>
      <c r="IW166" s="561">
        <v>0</v>
      </c>
      <c r="IX166" s="561">
        <v>0</v>
      </c>
      <c r="IY166" s="561">
        <v>0</v>
      </c>
      <c r="IZ166" s="561">
        <v>0</v>
      </c>
      <c r="JA166" s="561">
        <v>0</v>
      </c>
      <c r="JB166" s="561">
        <v>40477</v>
      </c>
      <c r="JC166" s="561">
        <v>2391</v>
      </c>
      <c r="JD166" s="561">
        <v>0</v>
      </c>
      <c r="JE166" s="561">
        <v>42868</v>
      </c>
      <c r="JF166" s="561">
        <v>0</v>
      </c>
      <c r="JG166" s="561">
        <v>0</v>
      </c>
      <c r="JH166" s="561">
        <v>0</v>
      </c>
      <c r="JI166" s="561">
        <v>0</v>
      </c>
      <c r="JJ166" s="561">
        <v>0</v>
      </c>
      <c r="JK166" s="561">
        <v>0</v>
      </c>
      <c r="JL166" s="561">
        <v>0</v>
      </c>
      <c r="JM166" s="561">
        <v>0</v>
      </c>
      <c r="JN166" s="561">
        <v>0</v>
      </c>
      <c r="JO166" s="561">
        <v>0</v>
      </c>
      <c r="JP166" s="561">
        <v>0</v>
      </c>
      <c r="JQ166" s="561">
        <v>0</v>
      </c>
      <c r="JR166" s="561">
        <v>0</v>
      </c>
      <c r="JS166" s="561">
        <v>0</v>
      </c>
      <c r="JT166" s="561">
        <v>0</v>
      </c>
      <c r="JU166" s="561">
        <v>0</v>
      </c>
      <c r="JV166" s="561">
        <v>42868</v>
      </c>
      <c r="JW166" s="561">
        <v>0</v>
      </c>
      <c r="JX166" s="561">
        <v>525</v>
      </c>
      <c r="JY166" s="561">
        <v>0</v>
      </c>
      <c r="JZ166" s="561">
        <v>0</v>
      </c>
      <c r="KA166" s="561">
        <v>0</v>
      </c>
      <c r="KB166" s="561">
        <v>0</v>
      </c>
      <c r="KC166" s="561">
        <v>1890</v>
      </c>
      <c r="KD166" s="561">
        <v>0</v>
      </c>
      <c r="KE166" s="561">
        <v>639</v>
      </c>
      <c r="KF166" s="561">
        <v>0</v>
      </c>
      <c r="KG166" s="561">
        <v>45922</v>
      </c>
      <c r="KH166" s="561">
        <v>-697</v>
      </c>
      <c r="KI166" s="561">
        <v>0</v>
      </c>
      <c r="KJ166" s="561">
        <v>0</v>
      </c>
      <c r="KK166" s="561">
        <v>0</v>
      </c>
      <c r="KL166" s="561">
        <v>0</v>
      </c>
      <c r="KM166" s="561">
        <v>0</v>
      </c>
      <c r="KN166" s="561">
        <v>0</v>
      </c>
      <c r="KO166" s="561">
        <v>0</v>
      </c>
      <c r="KP166" s="561">
        <v>0</v>
      </c>
      <c r="KQ166" s="561">
        <v>0</v>
      </c>
      <c r="KR166" s="561">
        <v>45225</v>
      </c>
      <c r="KS166" s="561">
        <v>0</v>
      </c>
      <c r="KT166" s="561">
        <v>-3368</v>
      </c>
      <c r="KU166" s="561">
        <v>41857</v>
      </c>
      <c r="KV166" s="561">
        <v>0</v>
      </c>
      <c r="KW166" s="561">
        <v>0</v>
      </c>
      <c r="KX166" s="561">
        <v>0</v>
      </c>
      <c r="KY166" s="561">
        <v>0</v>
      </c>
      <c r="KZ166" s="561">
        <v>-1650</v>
      </c>
      <c r="LA166" s="561">
        <v>0</v>
      </c>
      <c r="LB166" s="561">
        <v>-4084</v>
      </c>
      <c r="LC166" s="561">
        <v>0</v>
      </c>
      <c r="LD166" s="561">
        <v>-7782</v>
      </c>
      <c r="LE166" s="561">
        <v>-130</v>
      </c>
      <c r="LF166" s="561">
        <v>0</v>
      </c>
      <c r="LG166" s="561">
        <v>28211</v>
      </c>
      <c r="LH166" s="561">
        <v>0</v>
      </c>
      <c r="LI166" s="561">
        <v>0</v>
      </c>
      <c r="LJ166" s="561">
        <v>0</v>
      </c>
      <c r="LK166" s="561">
        <v>0</v>
      </c>
      <c r="LL166" s="561">
        <v>11150</v>
      </c>
      <c r="LM166" s="561">
        <v>1538</v>
      </c>
      <c r="LN166" s="561">
        <v>0</v>
      </c>
      <c r="LO166" s="561">
        <v>0</v>
      </c>
      <c r="LP166" s="561">
        <v>0</v>
      </c>
      <c r="LQ166" s="561">
        <v>0</v>
      </c>
      <c r="LR166" s="561">
        <v>9500</v>
      </c>
      <c r="LS166" s="561">
        <v>1538</v>
      </c>
      <c r="LT166" s="561">
        <v>0</v>
      </c>
      <c r="LU166" s="561">
        <v>2289</v>
      </c>
      <c r="LV166" s="561">
        <v>0</v>
      </c>
      <c r="LW166" s="561">
        <v>0</v>
      </c>
      <c r="LX166" s="561">
        <v>0</v>
      </c>
      <c r="LY166" s="561">
        <v>0</v>
      </c>
      <c r="LZ166" s="561">
        <v>2289</v>
      </c>
      <c r="MA166" s="561">
        <v>0</v>
      </c>
      <c r="MB166" s="561">
        <v>0</v>
      </c>
      <c r="MC166" s="561">
        <v>0</v>
      </c>
      <c r="MD166" s="561">
        <v>0</v>
      </c>
      <c r="ME166" s="561">
        <v>0</v>
      </c>
      <c r="MF166" s="561">
        <v>0</v>
      </c>
      <c r="MG166" s="561">
        <v>0</v>
      </c>
      <c r="MH166" s="561">
        <v>0</v>
      </c>
      <c r="MI166" s="561">
        <v>0</v>
      </c>
      <c r="MJ166" s="561">
        <v>0</v>
      </c>
      <c r="MK166" s="561">
        <v>0</v>
      </c>
      <c r="ML166" s="561">
        <v>0</v>
      </c>
      <c r="MM166" s="561">
        <v>8043</v>
      </c>
      <c r="MN166" s="561">
        <v>0</v>
      </c>
      <c r="MO166" s="561">
        <v>1457</v>
      </c>
      <c r="MP166" s="561">
        <v>0</v>
      </c>
      <c r="MQ166" s="561">
        <v>0</v>
      </c>
      <c r="MR166" s="561">
        <v>0</v>
      </c>
      <c r="MS166" s="561">
        <v>0</v>
      </c>
      <c r="MT166" s="561">
        <v>0</v>
      </c>
      <c r="MU166" s="561">
        <v>0</v>
      </c>
      <c r="MV166" s="561">
        <v>0</v>
      </c>
      <c r="MW166" s="561">
        <v>0</v>
      </c>
      <c r="MX166" s="561">
        <v>0</v>
      </c>
      <c r="MY166" s="561">
        <v>0</v>
      </c>
      <c r="MZ166" s="561">
        <v>0</v>
      </c>
      <c r="NA166" s="561">
        <v>40477</v>
      </c>
      <c r="NB166" s="561">
        <v>2391</v>
      </c>
      <c r="NC166" s="561">
        <v>0</v>
      </c>
      <c r="ND166" s="561">
        <v>42868</v>
      </c>
      <c r="NE166" s="561">
        <v>0</v>
      </c>
      <c r="NF166" s="561">
        <v>0</v>
      </c>
      <c r="NG166" s="561">
        <v>0</v>
      </c>
      <c r="NH166" s="561">
        <v>0</v>
      </c>
      <c r="NI166" s="561">
        <v>0</v>
      </c>
      <c r="NJ166" s="561">
        <v>0</v>
      </c>
      <c r="NK166" s="561">
        <v>0</v>
      </c>
      <c r="NL166" s="561">
        <v>0</v>
      </c>
      <c r="NM166" s="561">
        <v>0</v>
      </c>
      <c r="NN166" s="561">
        <v>0</v>
      </c>
      <c r="NO166" s="561">
        <v>0</v>
      </c>
      <c r="NP166" s="561">
        <v>0</v>
      </c>
      <c r="NQ166" s="561">
        <v>0</v>
      </c>
      <c r="NR166" s="561">
        <v>0</v>
      </c>
      <c r="NS166" s="561">
        <v>0</v>
      </c>
      <c r="NT166" s="561">
        <v>0</v>
      </c>
      <c r="NU166" s="561">
        <v>0</v>
      </c>
      <c r="NV166" s="561">
        <v>0</v>
      </c>
      <c r="NW166" s="561">
        <v>0</v>
      </c>
      <c r="NX166" s="561">
        <v>0</v>
      </c>
      <c r="NY166" s="561">
        <v>0</v>
      </c>
      <c r="NZ166" s="561">
        <v>0</v>
      </c>
      <c r="OA166" s="561">
        <v>0</v>
      </c>
      <c r="OB166" s="561">
        <v>0</v>
      </c>
      <c r="OC166" s="561">
        <v>0</v>
      </c>
      <c r="OD166" s="561">
        <v>0</v>
      </c>
      <c r="OE166" s="561">
        <v>0</v>
      </c>
      <c r="OF166" s="561">
        <v>0</v>
      </c>
      <c r="OG166" s="561">
        <v>0</v>
      </c>
      <c r="OH166" s="561">
        <v>0</v>
      </c>
      <c r="OI166" s="561">
        <v>0</v>
      </c>
      <c r="OJ166" s="561">
        <v>0</v>
      </c>
      <c r="OK166" s="561">
        <v>0</v>
      </c>
      <c r="OL166" s="561">
        <v>0</v>
      </c>
      <c r="OM166" s="561">
        <v>0</v>
      </c>
      <c r="ON166" s="561">
        <v>0</v>
      </c>
      <c r="OO166" s="561">
        <v>0</v>
      </c>
      <c r="OP166" s="561">
        <v>0</v>
      </c>
      <c r="OQ166" s="561">
        <v>0</v>
      </c>
      <c r="OR166" s="561">
        <v>0</v>
      </c>
      <c r="OS166" s="561">
        <v>0</v>
      </c>
      <c r="OT166" s="561">
        <v>0</v>
      </c>
      <c r="OU166" s="561">
        <v>0</v>
      </c>
      <c r="OV166" s="561">
        <v>0</v>
      </c>
      <c r="OW166" s="561">
        <v>0</v>
      </c>
      <c r="OX166" s="561">
        <v>0</v>
      </c>
      <c r="OY166" s="561">
        <v>0</v>
      </c>
      <c r="OZ166" s="561">
        <v>0</v>
      </c>
      <c r="PA166" s="561">
        <v>0</v>
      </c>
      <c r="PB166" s="561">
        <v>0</v>
      </c>
      <c r="PC166" s="561">
        <v>0</v>
      </c>
      <c r="PD166" s="561">
        <v>0</v>
      </c>
      <c r="PE166" s="561">
        <v>0</v>
      </c>
      <c r="PF166" s="561">
        <v>0</v>
      </c>
      <c r="PG166" s="561">
        <v>0</v>
      </c>
      <c r="PH166" s="561">
        <v>0</v>
      </c>
      <c r="PI166" s="561">
        <v>0</v>
      </c>
      <c r="PJ166" s="561">
        <v>0</v>
      </c>
    </row>
    <row r="167" spans="1:426" ht="14" x14ac:dyDescent="0.3">
      <c r="A167" t="s">
        <v>2936</v>
      </c>
      <c r="B167" t="s">
        <v>2937</v>
      </c>
      <c r="C167" t="s">
        <v>4609</v>
      </c>
      <c r="E167" t="s">
        <v>385</v>
      </c>
      <c r="F167" s="561">
        <v>18082</v>
      </c>
      <c r="G167" s="561">
        <v>41472</v>
      </c>
      <c r="H167" s="561">
        <v>28061</v>
      </c>
      <c r="I167" s="561">
        <v>24635</v>
      </c>
      <c r="J167" s="561">
        <v>3339</v>
      </c>
      <c r="K167" s="561">
        <v>18311</v>
      </c>
      <c r="L167" s="561">
        <v>133900</v>
      </c>
      <c r="M167" s="561">
        <v>134</v>
      </c>
      <c r="N167" s="561">
        <v>1120</v>
      </c>
      <c r="O167" s="561">
        <v>1569</v>
      </c>
      <c r="P167" s="561">
        <v>-41</v>
      </c>
      <c r="Q167" s="561">
        <v>-41</v>
      </c>
      <c r="R167" s="561">
        <v>176</v>
      </c>
      <c r="S167" s="561">
        <v>2228</v>
      </c>
      <c r="T167" s="561">
        <v>-30</v>
      </c>
      <c r="U167" s="561">
        <v>1353</v>
      </c>
      <c r="V167" s="561">
        <v>674</v>
      </c>
      <c r="W167" s="561">
        <v>0</v>
      </c>
      <c r="X167" s="561">
        <v>0</v>
      </c>
      <c r="Y167" s="561">
        <v>199</v>
      </c>
      <c r="Z167" s="561">
        <v>29</v>
      </c>
      <c r="AA167" s="561">
        <v>-492</v>
      </c>
      <c r="AB167" s="561">
        <v>-4442</v>
      </c>
      <c r="AC167" s="561">
        <v>1691</v>
      </c>
      <c r="AD167" s="561">
        <v>2310</v>
      </c>
      <c r="AE167" s="561">
        <v>0</v>
      </c>
      <c r="AF167" s="561">
        <v>0</v>
      </c>
      <c r="AG167" s="561">
        <v>0</v>
      </c>
      <c r="AH167" s="561">
        <v>46</v>
      </c>
      <c r="AI167" s="561">
        <v>0</v>
      </c>
      <c r="AJ167" s="561">
        <v>6349</v>
      </c>
      <c r="AK167" s="561">
        <v>490</v>
      </c>
      <c r="AL167" s="561">
        <v>0</v>
      </c>
      <c r="AM167" s="561">
        <v>0</v>
      </c>
      <c r="AN167" s="561">
        <v>0</v>
      </c>
      <c r="AO167" s="561">
        <v>0</v>
      </c>
      <c r="AP167" s="561">
        <v>0</v>
      </c>
      <c r="AQ167" s="561">
        <v>0</v>
      </c>
      <c r="AR167" s="561">
        <v>0</v>
      </c>
      <c r="AS167" s="561">
        <v>0</v>
      </c>
      <c r="AT167" s="561">
        <v>498</v>
      </c>
      <c r="AU167" s="561">
        <v>0</v>
      </c>
      <c r="AV167" s="561">
        <v>0</v>
      </c>
      <c r="AW167" s="561">
        <v>0</v>
      </c>
      <c r="AX167" s="561">
        <v>920</v>
      </c>
      <c r="AY167" s="561">
        <v>41127</v>
      </c>
      <c r="AZ167" s="561">
        <v>0</v>
      </c>
      <c r="BA167" s="561">
        <v>5359</v>
      </c>
      <c r="BB167" s="561">
        <v>200</v>
      </c>
      <c r="BC167" s="561">
        <v>20084</v>
      </c>
      <c r="BD167" s="561">
        <v>0</v>
      </c>
      <c r="BE167" s="561">
        <v>645</v>
      </c>
      <c r="BF167" s="561">
        <v>68335</v>
      </c>
      <c r="BG167" s="561">
        <v>6274</v>
      </c>
      <c r="BH167" s="561">
        <v>7494</v>
      </c>
      <c r="BI167" s="561">
        <v>37388</v>
      </c>
      <c r="BJ167" s="561">
        <v>187</v>
      </c>
      <c r="BK167" s="561">
        <v>202</v>
      </c>
      <c r="BL167" s="561">
        <v>283</v>
      </c>
      <c r="BM167" s="561">
        <v>2742</v>
      </c>
      <c r="BN167" s="561">
        <v>25791</v>
      </c>
      <c r="BO167" s="561">
        <v>3611</v>
      </c>
      <c r="BP167" s="561">
        <v>1903</v>
      </c>
      <c r="BQ167" s="561">
        <v>1748</v>
      </c>
      <c r="BR167" s="561">
        <v>0</v>
      </c>
      <c r="BS167" s="561">
        <v>2505</v>
      </c>
      <c r="BT167" s="561">
        <v>0</v>
      </c>
      <c r="BU167" s="561">
        <v>980</v>
      </c>
      <c r="BV167" s="561">
        <v>886</v>
      </c>
      <c r="BW167" s="561">
        <v>11863</v>
      </c>
      <c r="BX167" s="561">
        <v>673</v>
      </c>
      <c r="BY167" s="561">
        <v>-3915</v>
      </c>
      <c r="BZ167" s="561">
        <v>94341</v>
      </c>
      <c r="CA167" s="561">
        <v>1245</v>
      </c>
      <c r="CB167" s="561">
        <v>717</v>
      </c>
      <c r="CC167" s="561">
        <v>340</v>
      </c>
      <c r="CD167" s="561">
        <v>303</v>
      </c>
      <c r="CE167" s="561">
        <v>614</v>
      </c>
      <c r="CF167" s="561">
        <v>280</v>
      </c>
      <c r="CG167" s="561">
        <v>28</v>
      </c>
      <c r="CH167" s="561">
        <v>148</v>
      </c>
      <c r="CI167" s="561">
        <v>344</v>
      </c>
      <c r="CJ167" s="561">
        <v>17</v>
      </c>
      <c r="CK167" s="561">
        <v>219</v>
      </c>
      <c r="CL167" s="561">
        <v>17</v>
      </c>
      <c r="CM167" s="561">
        <v>833</v>
      </c>
      <c r="CN167" s="561">
        <v>781</v>
      </c>
      <c r="CO167" s="561">
        <v>517</v>
      </c>
      <c r="CP167" s="561">
        <v>254</v>
      </c>
      <c r="CQ167" s="561">
        <v>337</v>
      </c>
      <c r="CR167" s="561">
        <v>386</v>
      </c>
      <c r="CS167" s="561">
        <v>163</v>
      </c>
      <c r="CT167" s="561">
        <v>597</v>
      </c>
      <c r="CU167" s="561">
        <v>2230</v>
      </c>
      <c r="CV167" s="561">
        <v>11</v>
      </c>
      <c r="CW167" s="561">
        <v>0</v>
      </c>
      <c r="CX167" s="561">
        <v>419</v>
      </c>
      <c r="CY167" s="561">
        <v>2521</v>
      </c>
      <c r="CZ167" s="561">
        <v>12076</v>
      </c>
      <c r="DA167" s="561">
        <v>0</v>
      </c>
      <c r="DB167" s="561">
        <v>0</v>
      </c>
      <c r="DC167" s="561">
        <v>0</v>
      </c>
      <c r="DD167" s="561">
        <v>0</v>
      </c>
      <c r="DE167" s="561">
        <v>0</v>
      </c>
      <c r="DF167" s="561">
        <v>0</v>
      </c>
      <c r="DG167" s="561">
        <v>0</v>
      </c>
      <c r="DH167" s="561">
        <v>364</v>
      </c>
      <c r="DI167" s="561">
        <v>0</v>
      </c>
      <c r="DJ167" s="561">
        <v>687</v>
      </c>
      <c r="DK167" s="561">
        <v>0</v>
      </c>
      <c r="DL167" s="561">
        <v>176</v>
      </c>
      <c r="DM167" s="561">
        <v>479</v>
      </c>
      <c r="DN167" s="561">
        <v>0</v>
      </c>
      <c r="DO167" s="561">
        <v>836</v>
      </c>
      <c r="DP167" s="561">
        <v>0</v>
      </c>
      <c r="DQ167" s="561">
        <v>21</v>
      </c>
      <c r="DR167" s="561">
        <v>392</v>
      </c>
      <c r="DS167" s="561">
        <v>1586</v>
      </c>
      <c r="DT167" s="561">
        <v>747</v>
      </c>
      <c r="DU167" s="561">
        <v>4237</v>
      </c>
      <c r="DV167" s="561">
        <v>0</v>
      </c>
      <c r="DW167" s="561">
        <v>0</v>
      </c>
      <c r="DX167" s="561">
        <v>0</v>
      </c>
      <c r="DY167" s="561">
        <v>2687</v>
      </c>
      <c r="DZ167" s="561">
        <v>356</v>
      </c>
      <c r="EA167" s="561">
        <v>1141</v>
      </c>
      <c r="EB167" s="561">
        <v>0</v>
      </c>
      <c r="EC167" s="561">
        <v>9472</v>
      </c>
      <c r="ED167" s="561">
        <v>246</v>
      </c>
      <c r="EE167" s="561">
        <v>0</v>
      </c>
      <c r="EF167" s="561">
        <v>0</v>
      </c>
      <c r="EG167" s="561">
        <v>0</v>
      </c>
      <c r="EH167" s="561">
        <v>0</v>
      </c>
      <c r="EI167" s="561">
        <v>0</v>
      </c>
      <c r="EJ167" s="561">
        <v>0</v>
      </c>
      <c r="EK167" s="561">
        <v>0</v>
      </c>
      <c r="EL167" s="561">
        <v>0</v>
      </c>
      <c r="EM167" s="561">
        <v>0</v>
      </c>
      <c r="EN167" s="561">
        <v>0</v>
      </c>
      <c r="EO167" s="561">
        <v>0</v>
      </c>
      <c r="EP167" s="561">
        <v>0</v>
      </c>
      <c r="EQ167" s="561">
        <v>0</v>
      </c>
      <c r="ER167" s="561">
        <v>0</v>
      </c>
      <c r="ES167" s="561" t="s">
        <v>4565</v>
      </c>
      <c r="ET167" s="561">
        <v>0</v>
      </c>
      <c r="EU167" s="561">
        <v>0</v>
      </c>
      <c r="EV167" s="561">
        <v>0</v>
      </c>
      <c r="EW167" s="561">
        <v>0</v>
      </c>
      <c r="EX167" s="561">
        <v>0</v>
      </c>
      <c r="EY167" s="561">
        <v>0</v>
      </c>
      <c r="EZ167" s="561">
        <v>0</v>
      </c>
      <c r="FA167" s="561">
        <v>0</v>
      </c>
      <c r="FB167" s="561">
        <v>444</v>
      </c>
      <c r="FC167" s="561">
        <v>0</v>
      </c>
      <c r="FD167" s="561">
        <v>58</v>
      </c>
      <c r="FE167" s="561">
        <v>514</v>
      </c>
      <c r="FF167" s="561">
        <v>0</v>
      </c>
      <c r="FG167" s="561">
        <v>0</v>
      </c>
      <c r="FH167" s="561">
        <v>0</v>
      </c>
      <c r="FI167" s="561">
        <v>20</v>
      </c>
      <c r="FJ167" s="561">
        <v>0</v>
      </c>
      <c r="FK167" s="561">
        <v>3012</v>
      </c>
      <c r="FL167" s="561">
        <v>0</v>
      </c>
      <c r="FM167" s="561">
        <v>27</v>
      </c>
      <c r="FN167" s="561">
        <v>1438</v>
      </c>
      <c r="FO167" s="561">
        <v>5513</v>
      </c>
      <c r="FP167" s="561">
        <v>69</v>
      </c>
      <c r="FQ167" s="561">
        <v>-1402</v>
      </c>
      <c r="FR167" s="561">
        <v>1483</v>
      </c>
      <c r="FS167" s="561">
        <v>-31</v>
      </c>
      <c r="FT167" s="561">
        <v>0</v>
      </c>
      <c r="FU167" s="561">
        <v>-2</v>
      </c>
      <c r="FV167" s="561">
        <v>-31</v>
      </c>
      <c r="FW167" s="561">
        <v>97</v>
      </c>
      <c r="FX167" s="561">
        <v>0</v>
      </c>
      <c r="FY167" s="561">
        <v>0</v>
      </c>
      <c r="FZ167" s="561">
        <v>12</v>
      </c>
      <c r="GA167" s="561">
        <v>0</v>
      </c>
      <c r="GB167" s="561">
        <v>118</v>
      </c>
      <c r="GC167" s="561">
        <v>-512</v>
      </c>
      <c r="GD167" s="561">
        <v>27</v>
      </c>
      <c r="GE167" s="561">
        <v>251</v>
      </c>
      <c r="GF167" s="561">
        <v>139</v>
      </c>
      <c r="GG167" s="561">
        <v>181</v>
      </c>
      <c r="GH167" s="561">
        <v>78</v>
      </c>
      <c r="GI167" s="561">
        <v>256</v>
      </c>
      <c r="GJ167" s="561">
        <v>0</v>
      </c>
      <c r="GK167" s="561">
        <v>0</v>
      </c>
      <c r="GL167" s="561">
        <v>27</v>
      </c>
      <c r="GM167" s="561">
        <v>4686</v>
      </c>
      <c r="GN167" s="561">
        <v>12234</v>
      </c>
      <c r="GO167" s="561">
        <v>-1174</v>
      </c>
      <c r="GP167" s="561">
        <v>1000</v>
      </c>
      <c r="GQ167" s="561">
        <v>0</v>
      </c>
      <c r="GR167" s="561">
        <v>530</v>
      </c>
      <c r="GS167" s="561">
        <v>17967</v>
      </c>
      <c r="GT167" s="561">
        <v>190</v>
      </c>
      <c r="GU167" s="561">
        <v>95</v>
      </c>
      <c r="GV167" s="561">
        <v>1222</v>
      </c>
      <c r="GW167" s="561">
        <v>976</v>
      </c>
      <c r="GX167" s="561">
        <v>958</v>
      </c>
      <c r="GY167" s="561">
        <v>30</v>
      </c>
      <c r="GZ167" s="561">
        <v>5571</v>
      </c>
      <c r="HA167" s="561">
        <v>0</v>
      </c>
      <c r="HB167" s="561">
        <v>419</v>
      </c>
      <c r="HC167" s="561">
        <v>2145</v>
      </c>
      <c r="HD167" s="561">
        <v>11416</v>
      </c>
      <c r="HE167" s="561">
        <v>545</v>
      </c>
      <c r="HF167" s="561">
        <v>34896</v>
      </c>
      <c r="HG167" s="561">
        <v>804</v>
      </c>
      <c r="HH167" s="561">
        <v>0</v>
      </c>
      <c r="HI167" s="561">
        <v>0</v>
      </c>
      <c r="HJ167" s="561">
        <v>0</v>
      </c>
      <c r="HK167" s="561">
        <v>0</v>
      </c>
      <c r="HL167" s="561">
        <v>0</v>
      </c>
      <c r="HM167" s="561">
        <v>0</v>
      </c>
      <c r="HN167" s="561">
        <v>0</v>
      </c>
      <c r="HO167" s="561">
        <v>4669</v>
      </c>
      <c r="HP167" s="561">
        <v>128</v>
      </c>
      <c r="HQ167" s="561">
        <v>0</v>
      </c>
      <c r="HR167" s="561">
        <v>0</v>
      </c>
      <c r="HS167" s="561">
        <v>131</v>
      </c>
      <c r="HT167" s="561">
        <v>-12</v>
      </c>
      <c r="HU167" s="561">
        <v>0</v>
      </c>
      <c r="HV167" s="561">
        <v>50</v>
      </c>
      <c r="HW167" s="561">
        <v>374</v>
      </c>
      <c r="HX167" s="561">
        <v>-408</v>
      </c>
      <c r="HY167" s="561">
        <v>328</v>
      </c>
      <c r="HZ167" s="561">
        <v>85</v>
      </c>
      <c r="IA167" s="561">
        <v>0</v>
      </c>
      <c r="IB167" s="561">
        <v>0</v>
      </c>
      <c r="IC167" s="561">
        <v>435</v>
      </c>
      <c r="ID167" s="561">
        <v>0</v>
      </c>
      <c r="IE167" s="561">
        <v>-2096</v>
      </c>
      <c r="IF167" s="561">
        <v>16</v>
      </c>
      <c r="IG167" s="561">
        <v>0</v>
      </c>
      <c r="IH167" s="561">
        <v>266</v>
      </c>
      <c r="II167" s="561">
        <v>3966</v>
      </c>
      <c r="IJ167" s="561">
        <v>912</v>
      </c>
      <c r="IK167" s="561">
        <v>0</v>
      </c>
      <c r="IL167" s="561">
        <v>15377</v>
      </c>
      <c r="IM167" s="561">
        <v>0</v>
      </c>
      <c r="IN167" s="561">
        <v>0</v>
      </c>
      <c r="IO167" s="561">
        <v>0</v>
      </c>
      <c r="IP167" s="561">
        <v>0</v>
      </c>
      <c r="IQ167" s="561">
        <v>0</v>
      </c>
      <c r="IR167" s="561">
        <v>133900</v>
      </c>
      <c r="IS167" s="561">
        <v>6349</v>
      </c>
      <c r="IT167" s="561">
        <v>68335</v>
      </c>
      <c r="IU167" s="561">
        <v>94341</v>
      </c>
      <c r="IV167" s="561">
        <v>12076</v>
      </c>
      <c r="IW167" s="561">
        <v>9472</v>
      </c>
      <c r="IX167" s="561">
        <v>5513</v>
      </c>
      <c r="IY167" s="561">
        <v>17967</v>
      </c>
      <c r="IZ167" s="561">
        <v>11416</v>
      </c>
      <c r="JA167" s="561">
        <v>0</v>
      </c>
      <c r="JB167" s="561">
        <v>0</v>
      </c>
      <c r="JC167" s="561">
        <v>3966</v>
      </c>
      <c r="JD167" s="561">
        <v>0</v>
      </c>
      <c r="JE167" s="561">
        <v>363335</v>
      </c>
      <c r="JF167" s="561">
        <v>26641</v>
      </c>
      <c r="JG167" s="561">
        <v>2387</v>
      </c>
      <c r="JH167" s="561">
        <v>0</v>
      </c>
      <c r="JI167" s="561">
        <v>0</v>
      </c>
      <c r="JJ167" s="561">
        <v>0</v>
      </c>
      <c r="JK167" s="561">
        <v>5690</v>
      </c>
      <c r="JL167" s="561">
        <v>0</v>
      </c>
      <c r="JM167" s="561">
        <v>0</v>
      </c>
      <c r="JN167" s="561">
        <v>0</v>
      </c>
      <c r="JO167" s="561">
        <v>0</v>
      </c>
      <c r="JP167" s="561">
        <v>-3527</v>
      </c>
      <c r="JQ167" s="561">
        <v>0</v>
      </c>
      <c r="JR167" s="561">
        <v>0</v>
      </c>
      <c r="JS167" s="561">
        <v>0</v>
      </c>
      <c r="JT167" s="561">
        <v>-2610</v>
      </c>
      <c r="JU167" s="561">
        <v>0</v>
      </c>
      <c r="JV167" s="561">
        <v>391916</v>
      </c>
      <c r="JW167" s="561">
        <v>245</v>
      </c>
      <c r="JX167" s="561">
        <v>0</v>
      </c>
      <c r="JY167" s="561">
        <v>0</v>
      </c>
      <c r="JZ167" s="561">
        <v>-600</v>
      </c>
      <c r="KA167" s="561">
        <v>0</v>
      </c>
      <c r="KB167" s="561">
        <v>-148</v>
      </c>
      <c r="KC167" s="561">
        <v>68</v>
      </c>
      <c r="KD167" s="561">
        <v>0</v>
      </c>
      <c r="KE167" s="561">
        <v>4920</v>
      </c>
      <c r="KF167" s="561">
        <v>0</v>
      </c>
      <c r="KG167" s="561">
        <v>396401</v>
      </c>
      <c r="KH167" s="561">
        <v>-5347</v>
      </c>
      <c r="KI167" s="561">
        <v>0</v>
      </c>
      <c r="KJ167" s="561">
        <v>7</v>
      </c>
      <c r="KK167" s="561">
        <v>0</v>
      </c>
      <c r="KL167" s="561">
        <v>-27987</v>
      </c>
      <c r="KM167" s="561">
        <v>0</v>
      </c>
      <c r="KN167" s="561">
        <v>0</v>
      </c>
      <c r="KO167" s="561">
        <v>0</v>
      </c>
      <c r="KP167" s="561">
        <v>0</v>
      </c>
      <c r="KQ167" s="561">
        <v>-13870</v>
      </c>
      <c r="KR167" s="561">
        <v>349204</v>
      </c>
      <c r="KS167" s="561">
        <v>-228</v>
      </c>
      <c r="KT167" s="561">
        <v>-180641</v>
      </c>
      <c r="KU167" s="561">
        <v>168335</v>
      </c>
      <c r="KV167" s="561">
        <v>0</v>
      </c>
      <c r="KW167" s="561">
        <v>1790</v>
      </c>
      <c r="KX167" s="561">
        <v>0</v>
      </c>
      <c r="KY167" s="561">
        <v>-1193</v>
      </c>
      <c r="KZ167" s="561">
        <v>6929</v>
      </c>
      <c r="LA167" s="561">
        <v>0</v>
      </c>
      <c r="LB167" s="561">
        <v>-1048</v>
      </c>
      <c r="LC167" s="561">
        <v>0</v>
      </c>
      <c r="LD167" s="561">
        <v>-34068</v>
      </c>
      <c r="LE167" s="561">
        <v>0</v>
      </c>
      <c r="LF167" s="561">
        <v>0</v>
      </c>
      <c r="LG167" s="561">
        <v>140745</v>
      </c>
      <c r="LH167" s="561">
        <v>9950</v>
      </c>
      <c r="LI167" s="561">
        <v>-6143</v>
      </c>
      <c r="LJ167" s="561">
        <v>0</v>
      </c>
      <c r="LK167" s="561">
        <v>1655</v>
      </c>
      <c r="LL167" s="561">
        <v>61586</v>
      </c>
      <c r="LM167" s="561">
        <v>9602</v>
      </c>
      <c r="LN167" s="561">
        <v>11740</v>
      </c>
      <c r="LO167" s="561">
        <v>-20013</v>
      </c>
      <c r="LP167" s="561">
        <v>0</v>
      </c>
      <c r="LQ167" s="561">
        <v>462</v>
      </c>
      <c r="LR167" s="561">
        <v>68515</v>
      </c>
      <c r="LS167" s="561">
        <v>9602</v>
      </c>
      <c r="LT167" s="561">
        <v>0</v>
      </c>
      <c r="LU167" s="561">
        <v>33658</v>
      </c>
      <c r="LV167" s="561">
        <v>0</v>
      </c>
      <c r="LW167" s="561">
        <v>1408</v>
      </c>
      <c r="LX167" s="561">
        <v>-31643</v>
      </c>
      <c r="LY167" s="561">
        <v>1634</v>
      </c>
      <c r="LZ167" s="561">
        <v>2928</v>
      </c>
      <c r="MA167" s="561">
        <v>0</v>
      </c>
      <c r="MB167" s="561">
        <v>0</v>
      </c>
      <c r="MC167" s="561">
        <v>0</v>
      </c>
      <c r="MD167" s="561">
        <v>0</v>
      </c>
      <c r="ME167" s="561">
        <v>0</v>
      </c>
      <c r="MF167" s="561">
        <v>0</v>
      </c>
      <c r="MG167" s="561">
        <v>0</v>
      </c>
      <c r="MH167" s="561">
        <v>7027</v>
      </c>
      <c r="MI167" s="561">
        <v>9103</v>
      </c>
      <c r="MJ167" s="561">
        <v>16130</v>
      </c>
      <c r="MK167" s="561">
        <v>0</v>
      </c>
      <c r="ML167" s="561">
        <v>3890</v>
      </c>
      <c r="MM167" s="561">
        <v>27474</v>
      </c>
      <c r="MN167" s="561">
        <v>2085</v>
      </c>
      <c r="MO167" s="561">
        <v>35066</v>
      </c>
      <c r="MP167" s="561">
        <v>0</v>
      </c>
      <c r="MQ167" s="561">
        <v>133900</v>
      </c>
      <c r="MR167" s="561">
        <v>6349</v>
      </c>
      <c r="MS167" s="561">
        <v>68335</v>
      </c>
      <c r="MT167" s="561">
        <v>94341</v>
      </c>
      <c r="MU167" s="561">
        <v>12076</v>
      </c>
      <c r="MV167" s="561">
        <v>9472</v>
      </c>
      <c r="MW167" s="561">
        <v>5513</v>
      </c>
      <c r="MX167" s="561">
        <v>17967</v>
      </c>
      <c r="MY167" s="561">
        <v>11416</v>
      </c>
      <c r="MZ167" s="561">
        <v>0</v>
      </c>
      <c r="NA167" s="561">
        <v>0</v>
      </c>
      <c r="NB167" s="561">
        <v>3966</v>
      </c>
      <c r="NC167" s="561">
        <v>0</v>
      </c>
      <c r="ND167" s="561">
        <v>363335</v>
      </c>
      <c r="NE167" s="561">
        <v>0</v>
      </c>
      <c r="NF167" s="561">
        <v>0</v>
      </c>
      <c r="NG167" s="561">
        <v>0</v>
      </c>
      <c r="NH167" s="561">
        <v>0</v>
      </c>
      <c r="NI167" s="561">
        <v>0</v>
      </c>
      <c r="NJ167" s="561">
        <v>0</v>
      </c>
      <c r="NK167" s="561">
        <v>0</v>
      </c>
      <c r="NL167" s="561">
        <v>0</v>
      </c>
      <c r="NM167" s="561">
        <v>0</v>
      </c>
      <c r="NN167" s="561">
        <v>0</v>
      </c>
      <c r="NO167" s="561">
        <v>0</v>
      </c>
      <c r="NP167" s="561">
        <v>0</v>
      </c>
      <c r="NQ167" s="561">
        <v>0</v>
      </c>
      <c r="NR167" s="561">
        <v>0</v>
      </c>
      <c r="NS167" s="561">
        <v>-646</v>
      </c>
      <c r="NT167" s="561">
        <v>-2057</v>
      </c>
      <c r="NU167" s="561">
        <v>-194</v>
      </c>
      <c r="NV167" s="561">
        <v>-498</v>
      </c>
      <c r="NW167" s="561">
        <v>-3527</v>
      </c>
      <c r="NX167" s="561">
        <v>0</v>
      </c>
      <c r="NY167" s="561">
        <v>-3527</v>
      </c>
      <c r="NZ167" s="561">
        <v>0</v>
      </c>
      <c r="OA167" s="561">
        <v>0</v>
      </c>
      <c r="OB167" s="561">
        <v>0</v>
      </c>
      <c r="OC167" s="561">
        <v>0</v>
      </c>
      <c r="OD167" s="561">
        <v>0</v>
      </c>
      <c r="OE167" s="561">
        <v>0</v>
      </c>
      <c r="OF167" s="561">
        <v>0</v>
      </c>
      <c r="OG167" s="561">
        <v>0</v>
      </c>
      <c r="OH167" s="561">
        <v>0</v>
      </c>
      <c r="OI167" s="561">
        <v>0</v>
      </c>
      <c r="OJ167" s="561">
        <v>0</v>
      </c>
      <c r="OK167" s="561">
        <v>0</v>
      </c>
      <c r="OL167" s="561">
        <v>0</v>
      </c>
      <c r="OM167" s="561">
        <v>0</v>
      </c>
      <c r="ON167" s="561">
        <v>0</v>
      </c>
      <c r="OO167" s="561">
        <v>0</v>
      </c>
      <c r="OP167" s="561">
        <v>0</v>
      </c>
      <c r="OQ167" s="561">
        <v>0</v>
      </c>
      <c r="OR167" s="561">
        <v>0</v>
      </c>
      <c r="OS167" s="561">
        <v>0</v>
      </c>
      <c r="OT167" s="561">
        <v>0</v>
      </c>
      <c r="OU167" s="561">
        <v>0</v>
      </c>
      <c r="OV167" s="561">
        <v>0</v>
      </c>
      <c r="OW167" s="561">
        <v>0</v>
      </c>
      <c r="OX167" s="561">
        <v>0</v>
      </c>
      <c r="OY167" s="561">
        <v>0</v>
      </c>
      <c r="OZ167" s="561">
        <v>0</v>
      </c>
      <c r="PA167" s="561">
        <v>0</v>
      </c>
      <c r="PB167" s="561">
        <v>0</v>
      </c>
      <c r="PC167" s="561">
        <v>0</v>
      </c>
      <c r="PD167" s="561">
        <v>0</v>
      </c>
      <c r="PE167" s="561">
        <v>0</v>
      </c>
      <c r="PF167" s="561">
        <v>0</v>
      </c>
      <c r="PG167" s="561">
        <v>0</v>
      </c>
      <c r="PH167" s="561">
        <v>0</v>
      </c>
      <c r="PI167" s="561">
        <v>0</v>
      </c>
      <c r="PJ167" s="561">
        <v>0</v>
      </c>
    </row>
    <row r="168" spans="1:426" ht="14" x14ac:dyDescent="0.3">
      <c r="A168" t="s">
        <v>2939</v>
      </c>
      <c r="B168" t="s">
        <v>2940</v>
      </c>
      <c r="C168" t="s">
        <v>4610</v>
      </c>
      <c r="E168" t="s">
        <v>2595</v>
      </c>
      <c r="F168" s="561">
        <v>156506.06</v>
      </c>
      <c r="G168" s="561">
        <v>450658.71</v>
      </c>
      <c r="H168" s="561">
        <v>104659.84</v>
      </c>
      <c r="I168" s="561">
        <v>138452.78</v>
      </c>
      <c r="J168" s="561">
        <v>15191.01</v>
      </c>
      <c r="K168" s="561">
        <v>101730.7</v>
      </c>
      <c r="L168" s="561">
        <v>967199.1</v>
      </c>
      <c r="M168" s="561">
        <v>9437</v>
      </c>
      <c r="N168" s="561">
        <v>5361.7</v>
      </c>
      <c r="O168" s="561">
        <v>2575.9699999999998</v>
      </c>
      <c r="P168" s="561">
        <v>352.52</v>
      </c>
      <c r="Q168" s="561">
        <v>3444.22</v>
      </c>
      <c r="R168" s="561">
        <v>1325.36</v>
      </c>
      <c r="S168" s="561">
        <v>6882.99</v>
      </c>
      <c r="T168" s="561">
        <v>22520.27</v>
      </c>
      <c r="U168" s="561">
        <v>6024.76</v>
      </c>
      <c r="V168" s="561">
        <v>10091.969999999999</v>
      </c>
      <c r="W168" s="561">
        <v>0</v>
      </c>
      <c r="X168" s="561">
        <v>0</v>
      </c>
      <c r="Y168" s="561">
        <v>2894.62</v>
      </c>
      <c r="Z168" s="561">
        <v>6183.49</v>
      </c>
      <c r="AA168" s="561">
        <v>0</v>
      </c>
      <c r="AB168" s="561">
        <v>0</v>
      </c>
      <c r="AC168" s="561">
        <v>11309.31</v>
      </c>
      <c r="AD168" s="561">
        <v>540.29999999999995</v>
      </c>
      <c r="AE168" s="561">
        <v>13020.88</v>
      </c>
      <c r="AF168" s="561">
        <v>388.67</v>
      </c>
      <c r="AG168" s="561">
        <v>0</v>
      </c>
      <c r="AH168" s="561">
        <v>2853.92</v>
      </c>
      <c r="AI168" s="561">
        <v>0</v>
      </c>
      <c r="AJ168" s="561">
        <v>95770.95</v>
      </c>
      <c r="AK168" s="561">
        <v>766</v>
      </c>
      <c r="AL168" s="561">
        <v>0</v>
      </c>
      <c r="AM168" s="561">
        <v>0</v>
      </c>
      <c r="AN168" s="561">
        <v>0</v>
      </c>
      <c r="AO168" s="561">
        <v>0</v>
      </c>
      <c r="AP168" s="561">
        <v>0</v>
      </c>
      <c r="AQ168" s="561">
        <v>0</v>
      </c>
      <c r="AR168" s="561">
        <v>0</v>
      </c>
      <c r="AS168" s="561">
        <v>0</v>
      </c>
      <c r="AT168" s="561">
        <v>0</v>
      </c>
      <c r="AU168" s="561">
        <v>0</v>
      </c>
      <c r="AV168" s="561">
        <v>0</v>
      </c>
      <c r="AW168" s="561">
        <v>0</v>
      </c>
      <c r="AX168" s="561">
        <v>5985.29</v>
      </c>
      <c r="AY168" s="561">
        <v>120818.05</v>
      </c>
      <c r="AZ168" s="561">
        <v>851.93</v>
      </c>
      <c r="BA168" s="561">
        <v>40190.370000000003</v>
      </c>
      <c r="BB168" s="561">
        <v>4767.42</v>
      </c>
      <c r="BC168" s="561">
        <v>59874.46</v>
      </c>
      <c r="BD168" s="561">
        <v>0.88</v>
      </c>
      <c r="BE168" s="561">
        <v>14396.08</v>
      </c>
      <c r="BF168" s="561">
        <v>246884.48000000001</v>
      </c>
      <c r="BG168" s="561">
        <v>13162</v>
      </c>
      <c r="BH168" s="561">
        <v>41354.639999999999</v>
      </c>
      <c r="BI168" s="561">
        <v>103254.23</v>
      </c>
      <c r="BJ168" s="561">
        <v>753.88</v>
      </c>
      <c r="BK168" s="561">
        <v>1040.74</v>
      </c>
      <c r="BL168" s="561">
        <v>2964.18</v>
      </c>
      <c r="BM168" s="561">
        <v>18604.41</v>
      </c>
      <c r="BN168" s="561">
        <v>203772.76</v>
      </c>
      <c r="BO168" s="561">
        <v>20931.46</v>
      </c>
      <c r="BP168" s="561">
        <v>20428.2</v>
      </c>
      <c r="BQ168" s="561">
        <v>13183.32</v>
      </c>
      <c r="BR168" s="561">
        <v>0</v>
      </c>
      <c r="BS168" s="561">
        <v>0</v>
      </c>
      <c r="BT168" s="561">
        <v>0</v>
      </c>
      <c r="BU168" s="561">
        <v>8596.64</v>
      </c>
      <c r="BV168" s="561">
        <v>4514.1899999999996</v>
      </c>
      <c r="BW168" s="561">
        <v>45809.46</v>
      </c>
      <c r="BX168" s="561">
        <v>15335.25</v>
      </c>
      <c r="BY168" s="561">
        <v>44191.01</v>
      </c>
      <c r="BZ168" s="561">
        <v>544734.37</v>
      </c>
      <c r="CA168" s="561">
        <v>5859</v>
      </c>
      <c r="CB168" s="561">
        <v>6849.56</v>
      </c>
      <c r="CC168" s="561">
        <v>3947.17</v>
      </c>
      <c r="CD168" s="561">
        <v>187.1</v>
      </c>
      <c r="CE168" s="561">
        <v>936.97</v>
      </c>
      <c r="CF168" s="561">
        <v>212.23</v>
      </c>
      <c r="CG168" s="561">
        <v>152.1</v>
      </c>
      <c r="CH168" s="561">
        <v>197.38</v>
      </c>
      <c r="CI168" s="561">
        <v>309.23</v>
      </c>
      <c r="CJ168" s="561">
        <v>273.55</v>
      </c>
      <c r="CK168" s="561">
        <v>200.82</v>
      </c>
      <c r="CL168" s="561">
        <v>256.94</v>
      </c>
      <c r="CM168" s="561">
        <v>3869.78</v>
      </c>
      <c r="CN168" s="561">
        <v>3090.21</v>
      </c>
      <c r="CO168" s="561">
        <v>449.57</v>
      </c>
      <c r="CP168" s="561">
        <v>277.11</v>
      </c>
      <c r="CQ168" s="561">
        <v>490.75</v>
      </c>
      <c r="CR168" s="561">
        <v>976.75</v>
      </c>
      <c r="CS168" s="561">
        <v>57.7</v>
      </c>
      <c r="CT168" s="561">
        <v>5644.48</v>
      </c>
      <c r="CU168" s="561">
        <v>21429.85</v>
      </c>
      <c r="CV168" s="561">
        <v>0</v>
      </c>
      <c r="CW168" s="561">
        <v>308.33</v>
      </c>
      <c r="CX168" s="561">
        <v>291.67</v>
      </c>
      <c r="CY168" s="561">
        <v>11663.27</v>
      </c>
      <c r="CZ168" s="561">
        <v>62072.52</v>
      </c>
      <c r="DA168" s="561">
        <v>3</v>
      </c>
      <c r="DB168" s="561">
        <v>0</v>
      </c>
      <c r="DC168" s="561">
        <v>0</v>
      </c>
      <c r="DD168" s="561">
        <v>0</v>
      </c>
      <c r="DE168" s="561">
        <v>0</v>
      </c>
      <c r="DF168" s="561">
        <v>0</v>
      </c>
      <c r="DG168" s="561">
        <v>0</v>
      </c>
      <c r="DH168" s="561">
        <v>0</v>
      </c>
      <c r="DI168" s="561">
        <v>0</v>
      </c>
      <c r="DJ168" s="561">
        <v>0</v>
      </c>
      <c r="DK168" s="561">
        <v>0</v>
      </c>
      <c r="DL168" s="561">
        <v>0</v>
      </c>
      <c r="DM168" s="561">
        <v>0</v>
      </c>
      <c r="DN168" s="561">
        <v>0</v>
      </c>
      <c r="DO168" s="561">
        <v>0</v>
      </c>
      <c r="DP168" s="561">
        <v>0</v>
      </c>
      <c r="DQ168" s="561">
        <v>0</v>
      </c>
      <c r="DR168" s="561">
        <v>0</v>
      </c>
      <c r="DS168" s="561">
        <v>3896.19</v>
      </c>
      <c r="DT168" s="561">
        <v>0</v>
      </c>
      <c r="DU168" s="561">
        <v>3896.19</v>
      </c>
      <c r="DV168" s="561">
        <v>0</v>
      </c>
      <c r="DW168" s="561">
        <v>0</v>
      </c>
      <c r="DX168" s="561">
        <v>0</v>
      </c>
      <c r="DY168" s="561">
        <v>0</v>
      </c>
      <c r="DZ168" s="561">
        <v>-148.22</v>
      </c>
      <c r="EA168" s="561">
        <v>3666.7</v>
      </c>
      <c r="EB168" s="561">
        <v>0</v>
      </c>
      <c r="EC168" s="561">
        <v>7414.67</v>
      </c>
      <c r="ED168" s="561">
        <v>0</v>
      </c>
      <c r="EE168" s="561">
        <v>0</v>
      </c>
      <c r="EF168" s="561">
        <v>0</v>
      </c>
      <c r="EG168" s="561">
        <v>0</v>
      </c>
      <c r="EH168" s="561">
        <v>0</v>
      </c>
      <c r="EI168" s="561">
        <v>0</v>
      </c>
      <c r="EJ168" s="561">
        <v>0</v>
      </c>
      <c r="EK168" s="561">
        <v>0</v>
      </c>
      <c r="EL168" s="561">
        <v>0</v>
      </c>
      <c r="EM168" s="561">
        <v>0</v>
      </c>
      <c r="EN168" s="561">
        <v>0</v>
      </c>
      <c r="EO168" s="561">
        <v>0</v>
      </c>
      <c r="EP168" s="561">
        <v>0</v>
      </c>
      <c r="EQ168" s="561">
        <v>0</v>
      </c>
      <c r="ER168" s="561">
        <v>0</v>
      </c>
      <c r="ES168" s="561" t="s">
        <v>4565</v>
      </c>
      <c r="ET168" s="561">
        <v>0</v>
      </c>
      <c r="EU168" s="561">
        <v>0</v>
      </c>
      <c r="EV168" s="561">
        <v>0</v>
      </c>
      <c r="EW168" s="561">
        <v>0</v>
      </c>
      <c r="EX168" s="561">
        <v>0</v>
      </c>
      <c r="EY168" s="561">
        <v>0</v>
      </c>
      <c r="EZ168" s="561">
        <v>0</v>
      </c>
      <c r="FA168" s="561">
        <v>0</v>
      </c>
      <c r="FB168" s="561">
        <v>935.45</v>
      </c>
      <c r="FC168" s="561">
        <v>0</v>
      </c>
      <c r="FD168" s="561">
        <v>150.38999999999999</v>
      </c>
      <c r="FE168" s="561">
        <v>28.3</v>
      </c>
      <c r="FF168" s="561">
        <v>0</v>
      </c>
      <c r="FG168" s="561">
        <v>0</v>
      </c>
      <c r="FH168" s="561">
        <v>0</v>
      </c>
      <c r="FI168" s="561">
        <v>0</v>
      </c>
      <c r="FJ168" s="561">
        <v>0</v>
      </c>
      <c r="FK168" s="561">
        <v>1493.63</v>
      </c>
      <c r="FL168" s="561">
        <v>0</v>
      </c>
      <c r="FM168" s="561">
        <v>0</v>
      </c>
      <c r="FN168" s="561">
        <v>17954.169999999998</v>
      </c>
      <c r="FO168" s="561">
        <v>20561.939999999999</v>
      </c>
      <c r="FP168" s="561">
        <v>0</v>
      </c>
      <c r="FQ168" s="561">
        <v>0</v>
      </c>
      <c r="FR168" s="561">
        <v>3372.81</v>
      </c>
      <c r="FS168" s="561">
        <v>0</v>
      </c>
      <c r="FT168" s="561">
        <v>0</v>
      </c>
      <c r="FU168" s="561">
        <v>0</v>
      </c>
      <c r="FV168" s="561">
        <v>0</v>
      </c>
      <c r="FW168" s="561">
        <v>0</v>
      </c>
      <c r="FX168" s="561">
        <v>0</v>
      </c>
      <c r="FY168" s="561">
        <v>0</v>
      </c>
      <c r="FZ168" s="561">
        <v>0</v>
      </c>
      <c r="GA168" s="561">
        <v>0</v>
      </c>
      <c r="GB168" s="561">
        <v>0</v>
      </c>
      <c r="GC168" s="561">
        <v>0</v>
      </c>
      <c r="GD168" s="561">
        <v>418.63</v>
      </c>
      <c r="GE168" s="561">
        <v>0</v>
      </c>
      <c r="GF168" s="561">
        <v>0</v>
      </c>
      <c r="GG168" s="561">
        <v>0</v>
      </c>
      <c r="GH168" s="561">
        <v>899.42</v>
      </c>
      <c r="GI168" s="561">
        <v>0</v>
      </c>
      <c r="GJ168" s="561">
        <v>0</v>
      </c>
      <c r="GK168" s="561">
        <v>-430.7</v>
      </c>
      <c r="GL168" s="561">
        <v>0</v>
      </c>
      <c r="GM168" s="561">
        <v>0</v>
      </c>
      <c r="GN168" s="561">
        <v>39261.53</v>
      </c>
      <c r="GO168" s="561">
        <v>0</v>
      </c>
      <c r="GP168" s="561">
        <v>14331.69</v>
      </c>
      <c r="GQ168" s="561">
        <v>197.07</v>
      </c>
      <c r="GR168" s="561">
        <v>1324.1</v>
      </c>
      <c r="GS168" s="561">
        <v>59374.55</v>
      </c>
      <c r="GT168" s="561">
        <v>625</v>
      </c>
      <c r="GU168" s="561">
        <v>0</v>
      </c>
      <c r="GV168" s="561">
        <v>543.04999999999995</v>
      </c>
      <c r="GW168" s="561">
        <v>0</v>
      </c>
      <c r="GX168" s="561">
        <v>3611.43</v>
      </c>
      <c r="GY168" s="561">
        <v>1048.3</v>
      </c>
      <c r="GZ168" s="561">
        <v>1580.59</v>
      </c>
      <c r="HA168" s="561">
        <v>0</v>
      </c>
      <c r="HB168" s="561">
        <v>2099.15</v>
      </c>
      <c r="HC168" s="561">
        <v>505.18</v>
      </c>
      <c r="HD168" s="561">
        <v>9387.7000000000007</v>
      </c>
      <c r="HE168" s="561">
        <v>88</v>
      </c>
      <c r="HF168" s="561">
        <v>89324.19</v>
      </c>
      <c r="HG168" s="561">
        <v>713</v>
      </c>
      <c r="HH168" s="561">
        <v>0</v>
      </c>
      <c r="HI168" s="561">
        <v>0</v>
      </c>
      <c r="HJ168" s="561">
        <v>13535.25</v>
      </c>
      <c r="HK168" s="561">
        <v>37941.040000000001</v>
      </c>
      <c r="HL168" s="561">
        <v>572.91999999999996</v>
      </c>
      <c r="HM168" s="561">
        <v>52049.21</v>
      </c>
      <c r="HN168" s="561">
        <v>0</v>
      </c>
      <c r="HO168" s="561">
        <v>6215.61</v>
      </c>
      <c r="HP168" s="561">
        <v>286.37</v>
      </c>
      <c r="HQ168" s="561">
        <v>0</v>
      </c>
      <c r="HR168" s="561">
        <v>0</v>
      </c>
      <c r="HS168" s="561">
        <v>0</v>
      </c>
      <c r="HT168" s="561">
        <v>0</v>
      </c>
      <c r="HU168" s="561">
        <v>0</v>
      </c>
      <c r="HV168" s="561">
        <v>174.71</v>
      </c>
      <c r="HW168" s="561">
        <v>0</v>
      </c>
      <c r="HX168" s="561">
        <v>39.700000000000003</v>
      </c>
      <c r="HY168" s="561">
        <v>0</v>
      </c>
      <c r="HZ168" s="561">
        <v>32.479999999999997</v>
      </c>
      <c r="IA168" s="561">
        <v>0</v>
      </c>
      <c r="IB168" s="561">
        <v>0</v>
      </c>
      <c r="IC168" s="561">
        <v>1970.72</v>
      </c>
      <c r="ID168" s="561">
        <v>0</v>
      </c>
      <c r="IE168" s="561">
        <v>0</v>
      </c>
      <c r="IF168" s="561">
        <v>0</v>
      </c>
      <c r="IG168" s="561">
        <v>1252.29</v>
      </c>
      <c r="IH168" s="561">
        <v>-221</v>
      </c>
      <c r="II168" s="561">
        <v>9750.8799999999992</v>
      </c>
      <c r="IJ168" s="561">
        <v>1262</v>
      </c>
      <c r="IK168" s="561">
        <v>0</v>
      </c>
      <c r="IL168" s="561">
        <v>68789.789999999994</v>
      </c>
      <c r="IM168" s="561">
        <v>0</v>
      </c>
      <c r="IN168" s="561">
        <v>0</v>
      </c>
      <c r="IO168" s="561">
        <v>221</v>
      </c>
      <c r="IP168" s="561">
        <v>0</v>
      </c>
      <c r="IQ168" s="561">
        <v>0</v>
      </c>
      <c r="IR168" s="561">
        <v>967199.1</v>
      </c>
      <c r="IS168" s="561">
        <v>95770.95</v>
      </c>
      <c r="IT168" s="561">
        <v>246884.48000000001</v>
      </c>
      <c r="IU168" s="561">
        <v>544734.37</v>
      </c>
      <c r="IV168" s="561">
        <v>62072.52</v>
      </c>
      <c r="IW168" s="561">
        <v>7414.67</v>
      </c>
      <c r="IX168" s="561">
        <v>20561.939999999999</v>
      </c>
      <c r="IY168" s="561">
        <v>59374.55</v>
      </c>
      <c r="IZ168" s="561">
        <v>9387.7000000000007</v>
      </c>
      <c r="JA168" s="561">
        <v>0</v>
      </c>
      <c r="JB168" s="561">
        <v>52049.21</v>
      </c>
      <c r="JC168" s="561">
        <v>9750.8799999999992</v>
      </c>
      <c r="JD168" s="561">
        <v>0</v>
      </c>
      <c r="JE168" s="561">
        <v>2075200.37</v>
      </c>
      <c r="JF168" s="561">
        <v>0</v>
      </c>
      <c r="JG168" s="561">
        <v>0</v>
      </c>
      <c r="JH168" s="561">
        <v>0</v>
      </c>
      <c r="JI168" s="561">
        <v>0</v>
      </c>
      <c r="JJ168" s="561">
        <v>0</v>
      </c>
      <c r="JK168" s="561">
        <v>0</v>
      </c>
      <c r="JL168" s="561">
        <v>0</v>
      </c>
      <c r="JM168" s="561">
        <v>0</v>
      </c>
      <c r="JN168" s="561">
        <v>0</v>
      </c>
      <c r="JO168" s="561">
        <v>2689.51</v>
      </c>
      <c r="JP168" s="561">
        <v>0</v>
      </c>
      <c r="JQ168" s="561">
        <v>-1420</v>
      </c>
      <c r="JR168" s="561">
        <v>0</v>
      </c>
      <c r="JS168" s="561">
        <v>0</v>
      </c>
      <c r="JT168" s="561">
        <v>3003.2</v>
      </c>
      <c r="JU168" s="561">
        <v>0</v>
      </c>
      <c r="JV168" s="561">
        <v>2079473.08</v>
      </c>
      <c r="JW168" s="561">
        <v>1088.42</v>
      </c>
      <c r="JX168" s="561">
        <v>11166.8</v>
      </c>
      <c r="JY168" s="561">
        <v>63.76</v>
      </c>
      <c r="JZ168" s="561">
        <v>-8080.02</v>
      </c>
      <c r="KA168" s="561">
        <v>0</v>
      </c>
      <c r="KB168" s="561">
        <v>1194.55</v>
      </c>
      <c r="KC168" s="561">
        <v>27368.39</v>
      </c>
      <c r="KD168" s="561">
        <v>780.56</v>
      </c>
      <c r="KE168" s="561">
        <v>23647</v>
      </c>
      <c r="KF168" s="561">
        <v>0</v>
      </c>
      <c r="KG168" s="561">
        <v>2136702.54</v>
      </c>
      <c r="KH168" s="561">
        <v>-7941.81</v>
      </c>
      <c r="KI168" s="561">
        <v>3981.06</v>
      </c>
      <c r="KJ168" s="561">
        <v>442.83</v>
      </c>
      <c r="KK168" s="561">
        <v>0</v>
      </c>
      <c r="KL168" s="561">
        <v>-36005.379999999997</v>
      </c>
      <c r="KM168" s="561">
        <v>0</v>
      </c>
      <c r="KN168" s="561">
        <v>0</v>
      </c>
      <c r="KO168" s="561">
        <v>0</v>
      </c>
      <c r="KP168" s="561">
        <v>0</v>
      </c>
      <c r="KQ168" s="561">
        <v>-25532</v>
      </c>
      <c r="KR168" s="561">
        <v>2071647.24</v>
      </c>
      <c r="KS168" s="561">
        <v>0</v>
      </c>
      <c r="KT168" s="561">
        <v>-1060100</v>
      </c>
      <c r="KU168" s="561">
        <v>1011547.24</v>
      </c>
      <c r="KV168" s="561">
        <v>0</v>
      </c>
      <c r="KW168" s="561">
        <v>-5243.81</v>
      </c>
      <c r="KX168" s="561">
        <v>-1499</v>
      </c>
      <c r="KY168" s="561">
        <v>-2311.85</v>
      </c>
      <c r="KZ168" s="561">
        <v>-39102.949999999997</v>
      </c>
      <c r="LA168" s="561">
        <v>0</v>
      </c>
      <c r="LB168" s="561">
        <v>-4590</v>
      </c>
      <c r="LC168" s="561">
        <v>0</v>
      </c>
      <c r="LD168" s="561">
        <v>-170125.3</v>
      </c>
      <c r="LE168" s="561">
        <v>-2191.0100000000002</v>
      </c>
      <c r="LF168" s="561">
        <v>951.59</v>
      </c>
      <c r="LG168" s="561">
        <v>787435</v>
      </c>
      <c r="LH168" s="561">
        <v>83295</v>
      </c>
      <c r="LI168" s="561">
        <v>0</v>
      </c>
      <c r="LJ168" s="561">
        <v>1499</v>
      </c>
      <c r="LK168" s="561">
        <v>12999</v>
      </c>
      <c r="LL168" s="561">
        <v>187507</v>
      </c>
      <c r="LM168" s="561">
        <v>62262</v>
      </c>
      <c r="LN168" s="561">
        <v>78051.19</v>
      </c>
      <c r="LO168" s="561">
        <v>-25532</v>
      </c>
      <c r="LP168" s="561">
        <v>0</v>
      </c>
      <c r="LQ168" s="561">
        <v>10687.15</v>
      </c>
      <c r="LR168" s="561">
        <v>148404.04999999999</v>
      </c>
      <c r="LS168" s="561">
        <v>62262</v>
      </c>
      <c r="LT168" s="561">
        <v>0</v>
      </c>
      <c r="LU168" s="561">
        <v>105733.62</v>
      </c>
      <c r="LV168" s="561">
        <v>0</v>
      </c>
      <c r="LW168" s="561">
        <v>35409.49</v>
      </c>
      <c r="LX168" s="561">
        <v>-128068.31</v>
      </c>
      <c r="LY168" s="561">
        <v>72160.800000000003</v>
      </c>
      <c r="LZ168" s="561">
        <v>83436.13</v>
      </c>
      <c r="MA168" s="561">
        <v>0</v>
      </c>
      <c r="MB168" s="561">
        <v>0</v>
      </c>
      <c r="MC168" s="561">
        <v>0</v>
      </c>
      <c r="MD168" s="561">
        <v>0</v>
      </c>
      <c r="ME168" s="561">
        <v>0</v>
      </c>
      <c r="MF168" s="561">
        <v>0</v>
      </c>
      <c r="MG168" s="561">
        <v>0</v>
      </c>
      <c r="MH168" s="561">
        <v>0</v>
      </c>
      <c r="MI168" s="561">
        <v>0</v>
      </c>
      <c r="MJ168" s="561">
        <v>0</v>
      </c>
      <c r="MK168" s="561">
        <v>0</v>
      </c>
      <c r="ML168" s="561">
        <v>9563.02</v>
      </c>
      <c r="MM168" s="561">
        <v>82760.679999999993</v>
      </c>
      <c r="MN168" s="561">
        <v>33103.230000000003</v>
      </c>
      <c r="MO168" s="561">
        <v>22977.119999999999</v>
      </c>
      <c r="MP168" s="561">
        <v>0</v>
      </c>
      <c r="MQ168" s="561">
        <v>967199.1</v>
      </c>
      <c r="MR168" s="561">
        <v>95770.95</v>
      </c>
      <c r="MS168" s="561">
        <v>246884.48000000001</v>
      </c>
      <c r="MT168" s="561">
        <v>544734.37</v>
      </c>
      <c r="MU168" s="561">
        <v>62072.52</v>
      </c>
      <c r="MV168" s="561">
        <v>7414.67</v>
      </c>
      <c r="MW168" s="561">
        <v>20561.939999999999</v>
      </c>
      <c r="MX168" s="561">
        <v>59374.55</v>
      </c>
      <c r="MY168" s="561">
        <v>9387.7000000000007</v>
      </c>
      <c r="MZ168" s="561">
        <v>0</v>
      </c>
      <c r="NA168" s="561">
        <v>52049.21</v>
      </c>
      <c r="NB168" s="561">
        <v>9750.8799999999992</v>
      </c>
      <c r="NC168" s="561">
        <v>0</v>
      </c>
      <c r="ND168" s="561">
        <v>2075200.37</v>
      </c>
      <c r="NE168" s="561">
        <v>0</v>
      </c>
      <c r="NF168" s="561">
        <v>0</v>
      </c>
      <c r="NG168" s="561">
        <v>0</v>
      </c>
      <c r="NH168" s="561">
        <v>0</v>
      </c>
      <c r="NI168" s="561">
        <v>0</v>
      </c>
      <c r="NJ168" s="561">
        <v>0</v>
      </c>
      <c r="NK168" s="561">
        <v>0</v>
      </c>
      <c r="NL168" s="561">
        <v>0</v>
      </c>
      <c r="NM168" s="561">
        <v>0</v>
      </c>
      <c r="NN168" s="561">
        <v>0</v>
      </c>
      <c r="NO168" s="561">
        <v>0</v>
      </c>
      <c r="NP168" s="561">
        <v>0</v>
      </c>
      <c r="NQ168" s="561">
        <v>0</v>
      </c>
      <c r="NR168" s="561">
        <v>0</v>
      </c>
      <c r="NS168" s="561">
        <v>0</v>
      </c>
      <c r="NT168" s="561">
        <v>0</v>
      </c>
      <c r="NU168" s="561">
        <v>0</v>
      </c>
      <c r="NV168" s="561">
        <v>0</v>
      </c>
      <c r="NW168" s="561">
        <v>0</v>
      </c>
      <c r="NX168" s="561">
        <v>0</v>
      </c>
      <c r="NY168" s="561">
        <v>0</v>
      </c>
      <c r="NZ168" s="561">
        <v>0</v>
      </c>
      <c r="OA168" s="561">
        <v>0</v>
      </c>
      <c r="OB168" s="561">
        <v>0</v>
      </c>
      <c r="OC168" s="561">
        <v>0</v>
      </c>
      <c r="OD168" s="561">
        <v>0</v>
      </c>
      <c r="OE168" s="561">
        <v>0</v>
      </c>
      <c r="OF168" s="561">
        <v>0</v>
      </c>
      <c r="OG168" s="561">
        <v>0</v>
      </c>
      <c r="OH168" s="561">
        <v>0</v>
      </c>
      <c r="OI168" s="561">
        <v>0</v>
      </c>
      <c r="OJ168" s="561">
        <v>0</v>
      </c>
      <c r="OK168" s="561">
        <v>0</v>
      </c>
      <c r="OL168" s="561">
        <v>0</v>
      </c>
      <c r="OM168" s="561">
        <v>0</v>
      </c>
      <c r="ON168" s="561">
        <v>0</v>
      </c>
      <c r="OO168" s="561">
        <v>0</v>
      </c>
      <c r="OP168" s="561">
        <v>0</v>
      </c>
      <c r="OQ168" s="561">
        <v>-1420</v>
      </c>
      <c r="OR168" s="561">
        <v>0</v>
      </c>
      <c r="OS168" s="561">
        <v>0</v>
      </c>
      <c r="OT168" s="561">
        <v>0</v>
      </c>
      <c r="OU168" s="561">
        <v>0</v>
      </c>
      <c r="OV168" s="561">
        <v>-1441.96236</v>
      </c>
      <c r="OW168" s="561">
        <v>0</v>
      </c>
      <c r="OX168" s="561">
        <v>-1420</v>
      </c>
      <c r="OY168" s="561">
        <v>0</v>
      </c>
      <c r="OZ168" s="561">
        <v>0</v>
      </c>
      <c r="PA168" s="561">
        <v>0</v>
      </c>
      <c r="PB168" s="561">
        <v>0</v>
      </c>
      <c r="PC168" s="561">
        <v>0</v>
      </c>
      <c r="PD168" s="561">
        <v>0</v>
      </c>
      <c r="PE168" s="561">
        <v>0</v>
      </c>
      <c r="PF168" s="561">
        <v>0</v>
      </c>
      <c r="PG168" s="561">
        <v>0</v>
      </c>
      <c r="PH168" s="561">
        <v>0</v>
      </c>
      <c r="PI168" s="561">
        <v>0</v>
      </c>
      <c r="PJ168" s="561">
        <v>0</v>
      </c>
    </row>
    <row r="169" spans="1:426" ht="14" x14ac:dyDescent="0.3">
      <c r="A169" t="s">
        <v>2942</v>
      </c>
      <c r="B169" t="s">
        <v>2943</v>
      </c>
      <c r="C169" t="s">
        <v>2944</v>
      </c>
      <c r="E169" t="s">
        <v>2466</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0</v>
      </c>
      <c r="AC169" s="561">
        <v>0</v>
      </c>
      <c r="AD169" s="561">
        <v>0</v>
      </c>
      <c r="AE169" s="561">
        <v>0</v>
      </c>
      <c r="AF169" s="561">
        <v>0</v>
      </c>
      <c r="AG169" s="561">
        <v>0</v>
      </c>
      <c r="AH169" s="561">
        <v>0</v>
      </c>
      <c r="AI169" s="561">
        <v>0</v>
      </c>
      <c r="AJ169" s="561">
        <v>0</v>
      </c>
      <c r="AK169" s="561">
        <v>0</v>
      </c>
      <c r="AL169" s="561">
        <v>0</v>
      </c>
      <c r="AM169" s="561">
        <v>0</v>
      </c>
      <c r="AN169" s="561">
        <v>0</v>
      </c>
      <c r="AO169" s="561">
        <v>0</v>
      </c>
      <c r="AP169" s="561">
        <v>0</v>
      </c>
      <c r="AQ169" s="561">
        <v>0</v>
      </c>
      <c r="AR169" s="561">
        <v>0</v>
      </c>
      <c r="AS169" s="561">
        <v>0</v>
      </c>
      <c r="AT169" s="561">
        <v>0</v>
      </c>
      <c r="AU169" s="561">
        <v>0</v>
      </c>
      <c r="AV169" s="561">
        <v>0</v>
      </c>
      <c r="AW169" s="561">
        <v>0</v>
      </c>
      <c r="AX169" s="561">
        <v>0</v>
      </c>
      <c r="AY169" s="561">
        <v>0</v>
      </c>
      <c r="AZ169" s="561">
        <v>0</v>
      </c>
      <c r="BA169" s="561">
        <v>0</v>
      </c>
      <c r="BB169" s="561">
        <v>0</v>
      </c>
      <c r="BC169" s="561">
        <v>0</v>
      </c>
      <c r="BD169" s="561">
        <v>0</v>
      </c>
      <c r="BE169" s="561">
        <v>0</v>
      </c>
      <c r="BF169" s="561">
        <v>0</v>
      </c>
      <c r="BG169" s="561">
        <v>0</v>
      </c>
      <c r="BH169" s="561">
        <v>0</v>
      </c>
      <c r="BI169" s="561">
        <v>0</v>
      </c>
      <c r="BJ169" s="561">
        <v>0</v>
      </c>
      <c r="BK169" s="561">
        <v>0</v>
      </c>
      <c r="BL169" s="561">
        <v>0</v>
      </c>
      <c r="BM169" s="561">
        <v>0</v>
      </c>
      <c r="BN169" s="561">
        <v>0</v>
      </c>
      <c r="BO169" s="561">
        <v>0</v>
      </c>
      <c r="BP169" s="561">
        <v>0</v>
      </c>
      <c r="BQ169" s="561">
        <v>0</v>
      </c>
      <c r="BR169" s="561">
        <v>0</v>
      </c>
      <c r="BS169" s="561">
        <v>0</v>
      </c>
      <c r="BT169" s="561">
        <v>0</v>
      </c>
      <c r="BU169" s="561">
        <v>0</v>
      </c>
      <c r="BV169" s="561">
        <v>0</v>
      </c>
      <c r="BW169" s="561">
        <v>0</v>
      </c>
      <c r="BX169" s="561">
        <v>0</v>
      </c>
      <c r="BY169" s="561">
        <v>0</v>
      </c>
      <c r="BZ169" s="561">
        <v>0</v>
      </c>
      <c r="CA169" s="561">
        <v>0</v>
      </c>
      <c r="CB169" s="561">
        <v>0</v>
      </c>
      <c r="CC169" s="561">
        <v>0</v>
      </c>
      <c r="CD169" s="561">
        <v>0</v>
      </c>
      <c r="CE169" s="561">
        <v>0</v>
      </c>
      <c r="CF169" s="561">
        <v>0</v>
      </c>
      <c r="CG169" s="561">
        <v>0</v>
      </c>
      <c r="CH169" s="561">
        <v>0</v>
      </c>
      <c r="CI169" s="561">
        <v>0</v>
      </c>
      <c r="CJ169" s="561">
        <v>0</v>
      </c>
      <c r="CK169" s="561">
        <v>0</v>
      </c>
      <c r="CL169" s="561">
        <v>0</v>
      </c>
      <c r="CM169" s="561">
        <v>0</v>
      </c>
      <c r="CN169" s="561">
        <v>0</v>
      </c>
      <c r="CO169" s="561">
        <v>0</v>
      </c>
      <c r="CP169" s="561">
        <v>0</v>
      </c>
      <c r="CQ169" s="561">
        <v>0</v>
      </c>
      <c r="CR169" s="561">
        <v>0</v>
      </c>
      <c r="CS169" s="561">
        <v>0</v>
      </c>
      <c r="CT169" s="561">
        <v>0</v>
      </c>
      <c r="CU169" s="561">
        <v>0</v>
      </c>
      <c r="CV169" s="561">
        <v>0</v>
      </c>
      <c r="CW169" s="561">
        <v>0</v>
      </c>
      <c r="CX169" s="561">
        <v>0</v>
      </c>
      <c r="CY169" s="561">
        <v>0</v>
      </c>
      <c r="CZ169" s="561">
        <v>0</v>
      </c>
      <c r="DA169" s="561">
        <v>0</v>
      </c>
      <c r="DB169" s="561">
        <v>0</v>
      </c>
      <c r="DC169" s="561">
        <v>0</v>
      </c>
      <c r="DD169" s="561">
        <v>0</v>
      </c>
      <c r="DE169" s="561">
        <v>0</v>
      </c>
      <c r="DF169" s="561">
        <v>0</v>
      </c>
      <c r="DG169" s="561">
        <v>0</v>
      </c>
      <c r="DH169" s="561">
        <v>0</v>
      </c>
      <c r="DI169" s="561">
        <v>0</v>
      </c>
      <c r="DJ169" s="561">
        <v>0</v>
      </c>
      <c r="DK169" s="561">
        <v>0</v>
      </c>
      <c r="DL169" s="561">
        <v>0</v>
      </c>
      <c r="DM169" s="561">
        <v>0</v>
      </c>
      <c r="DN169" s="561">
        <v>0</v>
      </c>
      <c r="DO169" s="561">
        <v>0</v>
      </c>
      <c r="DP169" s="561">
        <v>0</v>
      </c>
      <c r="DQ169" s="561">
        <v>0</v>
      </c>
      <c r="DR169" s="561">
        <v>0</v>
      </c>
      <c r="DS169" s="561">
        <v>0</v>
      </c>
      <c r="DT169" s="561">
        <v>0</v>
      </c>
      <c r="DU169" s="561">
        <v>0</v>
      </c>
      <c r="DV169" s="561">
        <v>0</v>
      </c>
      <c r="DW169" s="561">
        <v>0</v>
      </c>
      <c r="DX169" s="561">
        <v>0</v>
      </c>
      <c r="DY169" s="561">
        <v>0</v>
      </c>
      <c r="DZ169" s="561">
        <v>0</v>
      </c>
      <c r="EA169" s="561">
        <v>0</v>
      </c>
      <c r="EB169" s="561">
        <v>0</v>
      </c>
      <c r="EC169" s="561">
        <v>0</v>
      </c>
      <c r="ED169" s="561">
        <v>0</v>
      </c>
      <c r="EE169" s="561">
        <v>0</v>
      </c>
      <c r="EF169" s="561">
        <v>0</v>
      </c>
      <c r="EG169" s="561">
        <v>0</v>
      </c>
      <c r="EH169" s="561">
        <v>0</v>
      </c>
      <c r="EI169" s="561">
        <v>0</v>
      </c>
      <c r="EJ169" s="561">
        <v>0</v>
      </c>
      <c r="EK169" s="561">
        <v>0</v>
      </c>
      <c r="EL169" s="561">
        <v>0</v>
      </c>
      <c r="EM169" s="561">
        <v>0</v>
      </c>
      <c r="EN169" s="561">
        <v>0</v>
      </c>
      <c r="EO169" s="561">
        <v>0</v>
      </c>
      <c r="EP169" s="561">
        <v>0</v>
      </c>
      <c r="EQ169" s="561">
        <v>0</v>
      </c>
      <c r="ER169" s="561">
        <v>0</v>
      </c>
      <c r="ES169" s="561" t="s">
        <v>4565</v>
      </c>
      <c r="ET169" s="561">
        <v>0</v>
      </c>
      <c r="EU169" s="561">
        <v>0</v>
      </c>
      <c r="EV169" s="561">
        <v>0</v>
      </c>
      <c r="EW169" s="561">
        <v>0</v>
      </c>
      <c r="EX169" s="561">
        <v>0</v>
      </c>
      <c r="EY169" s="561">
        <v>0</v>
      </c>
      <c r="EZ169" s="561">
        <v>0</v>
      </c>
      <c r="FA169" s="561">
        <v>0</v>
      </c>
      <c r="FB169" s="561">
        <v>0</v>
      </c>
      <c r="FC169" s="561">
        <v>0</v>
      </c>
      <c r="FD169" s="561">
        <v>0</v>
      </c>
      <c r="FE169" s="561">
        <v>0</v>
      </c>
      <c r="FF169" s="561">
        <v>0</v>
      </c>
      <c r="FG169" s="561">
        <v>0</v>
      </c>
      <c r="FH169" s="561">
        <v>0</v>
      </c>
      <c r="FI169" s="561">
        <v>0</v>
      </c>
      <c r="FJ169" s="561">
        <v>0</v>
      </c>
      <c r="FK169" s="561">
        <v>0</v>
      </c>
      <c r="FL169" s="561">
        <v>0</v>
      </c>
      <c r="FM169" s="561">
        <v>0</v>
      </c>
      <c r="FN169" s="561">
        <v>0</v>
      </c>
      <c r="FO169" s="561">
        <v>0</v>
      </c>
      <c r="FP169" s="561">
        <v>0</v>
      </c>
      <c r="FQ169" s="561">
        <v>0</v>
      </c>
      <c r="FR169" s="561">
        <v>0</v>
      </c>
      <c r="FS169" s="561">
        <v>0</v>
      </c>
      <c r="FT169" s="561">
        <v>0</v>
      </c>
      <c r="FU169" s="561">
        <v>0</v>
      </c>
      <c r="FV169" s="561">
        <v>0</v>
      </c>
      <c r="FW169" s="561">
        <v>0</v>
      </c>
      <c r="FX169" s="561">
        <v>0</v>
      </c>
      <c r="FY169" s="561">
        <v>0</v>
      </c>
      <c r="FZ169" s="561">
        <v>0</v>
      </c>
      <c r="GA169" s="561">
        <v>0</v>
      </c>
      <c r="GB169" s="561">
        <v>0</v>
      </c>
      <c r="GC169" s="561">
        <v>0</v>
      </c>
      <c r="GD169" s="561">
        <v>0</v>
      </c>
      <c r="GE169" s="561">
        <v>0</v>
      </c>
      <c r="GF169" s="561">
        <v>0</v>
      </c>
      <c r="GG169" s="561">
        <v>0</v>
      </c>
      <c r="GH169" s="561">
        <v>0</v>
      </c>
      <c r="GI169" s="561">
        <v>0</v>
      </c>
      <c r="GJ169" s="561">
        <v>0</v>
      </c>
      <c r="GK169" s="561">
        <v>0</v>
      </c>
      <c r="GL169" s="561">
        <v>0</v>
      </c>
      <c r="GM169" s="561">
        <v>0</v>
      </c>
      <c r="GN169" s="561">
        <v>0</v>
      </c>
      <c r="GO169" s="561">
        <v>0</v>
      </c>
      <c r="GP169" s="561">
        <v>0</v>
      </c>
      <c r="GQ169" s="561">
        <v>0</v>
      </c>
      <c r="GR169" s="561">
        <v>0</v>
      </c>
      <c r="GS169" s="561">
        <v>0</v>
      </c>
      <c r="GT169" s="561">
        <v>0</v>
      </c>
      <c r="GU169" s="561">
        <v>0</v>
      </c>
      <c r="GV169" s="561">
        <v>0</v>
      </c>
      <c r="GW169" s="561">
        <v>0</v>
      </c>
      <c r="GX169" s="561">
        <v>0</v>
      </c>
      <c r="GY169" s="561">
        <v>0</v>
      </c>
      <c r="GZ169" s="561">
        <v>0</v>
      </c>
      <c r="HA169" s="561">
        <v>0</v>
      </c>
      <c r="HB169" s="561">
        <v>0</v>
      </c>
      <c r="HC169" s="561">
        <v>0</v>
      </c>
      <c r="HD169" s="561">
        <v>0</v>
      </c>
      <c r="HE169" s="561">
        <v>0</v>
      </c>
      <c r="HF169" s="561">
        <v>0</v>
      </c>
      <c r="HG169" s="561">
        <v>0</v>
      </c>
      <c r="HH169" s="561">
        <v>299563</v>
      </c>
      <c r="HI169" s="561">
        <v>0</v>
      </c>
      <c r="HJ169" s="561">
        <v>0</v>
      </c>
      <c r="HK169" s="561">
        <v>0</v>
      </c>
      <c r="HL169" s="561">
        <v>0</v>
      </c>
      <c r="HM169" s="561">
        <v>0</v>
      </c>
      <c r="HN169" s="561">
        <v>0</v>
      </c>
      <c r="HO169" s="561">
        <v>0</v>
      </c>
      <c r="HP169" s="561">
        <v>0</v>
      </c>
      <c r="HQ169" s="561">
        <v>0</v>
      </c>
      <c r="HR169" s="561">
        <v>0</v>
      </c>
      <c r="HS169" s="561">
        <v>0</v>
      </c>
      <c r="HT169" s="561">
        <v>0</v>
      </c>
      <c r="HU169" s="561">
        <v>0</v>
      </c>
      <c r="HV169" s="561">
        <v>0</v>
      </c>
      <c r="HW169" s="561">
        <v>0</v>
      </c>
      <c r="HX169" s="561">
        <v>0</v>
      </c>
      <c r="HY169" s="561">
        <v>0</v>
      </c>
      <c r="HZ169" s="561">
        <v>0</v>
      </c>
      <c r="IA169" s="561">
        <v>0</v>
      </c>
      <c r="IB169" s="561">
        <v>0</v>
      </c>
      <c r="IC169" s="561">
        <v>0</v>
      </c>
      <c r="ID169" s="561">
        <v>0</v>
      </c>
      <c r="IE169" s="561">
        <v>0</v>
      </c>
      <c r="IF169" s="561">
        <v>0</v>
      </c>
      <c r="IG169" s="561">
        <v>0</v>
      </c>
      <c r="IH169" s="561">
        <v>0</v>
      </c>
      <c r="II169" s="561">
        <v>0</v>
      </c>
      <c r="IJ169" s="561">
        <v>0</v>
      </c>
      <c r="IK169" s="561">
        <v>0</v>
      </c>
      <c r="IL169" s="561">
        <v>0</v>
      </c>
      <c r="IM169" s="561">
        <v>0</v>
      </c>
      <c r="IN169" s="561">
        <v>0</v>
      </c>
      <c r="IO169" s="561">
        <v>0</v>
      </c>
      <c r="IP169" s="561">
        <v>0</v>
      </c>
      <c r="IQ169" s="561">
        <v>0</v>
      </c>
      <c r="IR169" s="561">
        <v>0</v>
      </c>
      <c r="IS169" s="561">
        <v>0</v>
      </c>
      <c r="IT169" s="561">
        <v>0</v>
      </c>
      <c r="IU169" s="561">
        <v>0</v>
      </c>
      <c r="IV169" s="561">
        <v>0</v>
      </c>
      <c r="IW169" s="561">
        <v>0</v>
      </c>
      <c r="IX169" s="561">
        <v>0</v>
      </c>
      <c r="IY169" s="561">
        <v>0</v>
      </c>
      <c r="IZ169" s="561">
        <v>0</v>
      </c>
      <c r="JA169" s="561">
        <v>299563</v>
      </c>
      <c r="JB169" s="561">
        <v>0</v>
      </c>
      <c r="JC169" s="561">
        <v>0</v>
      </c>
      <c r="JD169" s="561">
        <v>0</v>
      </c>
      <c r="JE169" s="561">
        <v>299563</v>
      </c>
      <c r="JF169" s="561">
        <v>0</v>
      </c>
      <c r="JG169" s="561">
        <v>0</v>
      </c>
      <c r="JH169" s="561">
        <v>0</v>
      </c>
      <c r="JI169" s="561">
        <v>0</v>
      </c>
      <c r="JJ169" s="561">
        <v>0</v>
      </c>
      <c r="JK169" s="561">
        <v>0</v>
      </c>
      <c r="JL169" s="561">
        <v>0</v>
      </c>
      <c r="JM169" s="561">
        <v>0</v>
      </c>
      <c r="JN169" s="561">
        <v>0</v>
      </c>
      <c r="JO169" s="561">
        <v>0</v>
      </c>
      <c r="JP169" s="561">
        <v>0</v>
      </c>
      <c r="JQ169" s="561">
        <v>0</v>
      </c>
      <c r="JR169" s="561">
        <v>0</v>
      </c>
      <c r="JS169" s="561">
        <v>0</v>
      </c>
      <c r="JT169" s="561">
        <v>772</v>
      </c>
      <c r="JU169" s="561">
        <v>0</v>
      </c>
      <c r="JV169" s="561">
        <v>300335</v>
      </c>
      <c r="JW169" s="561">
        <v>0</v>
      </c>
      <c r="JX169" s="561">
        <v>0</v>
      </c>
      <c r="JY169" s="561">
        <v>0</v>
      </c>
      <c r="JZ169" s="561">
        <v>0</v>
      </c>
      <c r="KA169" s="561">
        <v>0</v>
      </c>
      <c r="KB169" s="561">
        <v>0</v>
      </c>
      <c r="KC169" s="561">
        <v>1661</v>
      </c>
      <c r="KD169" s="561">
        <v>0</v>
      </c>
      <c r="KE169" s="561">
        <v>1594</v>
      </c>
      <c r="KF169" s="561">
        <v>0</v>
      </c>
      <c r="KG169" s="561">
        <v>303590</v>
      </c>
      <c r="KH169" s="561">
        <v>-1028</v>
      </c>
      <c r="KI169" s="561">
        <v>0</v>
      </c>
      <c r="KJ169" s="561">
        <v>0</v>
      </c>
      <c r="KK169" s="561">
        <v>0</v>
      </c>
      <c r="KL169" s="561">
        <v>0</v>
      </c>
      <c r="KM169" s="561">
        <v>0</v>
      </c>
      <c r="KN169" s="561">
        <v>0</v>
      </c>
      <c r="KO169" s="561">
        <v>0</v>
      </c>
      <c r="KP169" s="561">
        <v>0</v>
      </c>
      <c r="KQ169" s="561">
        <v>0</v>
      </c>
      <c r="KR169" s="561">
        <v>302562</v>
      </c>
      <c r="KS169" s="561">
        <v>0</v>
      </c>
      <c r="KT169" s="561">
        <v>-32268</v>
      </c>
      <c r="KU169" s="561">
        <v>270294</v>
      </c>
      <c r="KV169" s="561">
        <v>0</v>
      </c>
      <c r="KW169" s="561">
        <v>0</v>
      </c>
      <c r="KX169" s="561">
        <v>0</v>
      </c>
      <c r="KY169" s="561">
        <v>0</v>
      </c>
      <c r="KZ169" s="561">
        <v>-2919</v>
      </c>
      <c r="LA169" s="561">
        <v>0</v>
      </c>
      <c r="LB169" s="561">
        <v>0</v>
      </c>
      <c r="LC169" s="561">
        <v>-150072</v>
      </c>
      <c r="LD169" s="561">
        <v>0</v>
      </c>
      <c r="LE169" s="561">
        <v>-58</v>
      </c>
      <c r="LF169" s="561">
        <v>0</v>
      </c>
      <c r="LG169" s="561">
        <v>117245</v>
      </c>
      <c r="LH169" s="561">
        <v>0</v>
      </c>
      <c r="LI169" s="561">
        <v>0</v>
      </c>
      <c r="LJ169" s="561">
        <v>0</v>
      </c>
      <c r="LK169" s="561">
        <v>0</v>
      </c>
      <c r="LL169" s="561">
        <v>5824</v>
      </c>
      <c r="LM169" s="561">
        <v>12600</v>
      </c>
      <c r="LN169" s="561">
        <v>0</v>
      </c>
      <c r="LO169" s="561">
        <v>0</v>
      </c>
      <c r="LP169" s="561">
        <v>0</v>
      </c>
      <c r="LQ169" s="561">
        <v>0</v>
      </c>
      <c r="LR169" s="561">
        <v>2905</v>
      </c>
      <c r="LS169" s="561">
        <v>12600</v>
      </c>
      <c r="LT169" s="561">
        <v>0</v>
      </c>
      <c r="LU169" s="561">
        <v>6075</v>
      </c>
      <c r="LV169" s="561">
        <v>2673</v>
      </c>
      <c r="LW169" s="561">
        <v>0</v>
      </c>
      <c r="LX169" s="561">
        <v>0</v>
      </c>
      <c r="LY169" s="561">
        <v>0</v>
      </c>
      <c r="LZ169" s="561">
        <v>8748</v>
      </c>
      <c r="MA169" s="561">
        <v>0</v>
      </c>
      <c r="MB169" s="561">
        <v>0</v>
      </c>
      <c r="MC169" s="561">
        <v>0</v>
      </c>
      <c r="MD169" s="561">
        <v>0</v>
      </c>
      <c r="ME169" s="561">
        <v>0</v>
      </c>
      <c r="MF169" s="561">
        <v>0</v>
      </c>
      <c r="MG169" s="561">
        <v>0</v>
      </c>
      <c r="MH169" s="561">
        <v>0</v>
      </c>
      <c r="MI169" s="561">
        <v>0</v>
      </c>
      <c r="MJ169" s="561">
        <v>0</v>
      </c>
      <c r="MK169" s="561">
        <v>0</v>
      </c>
      <c r="ML169" s="561">
        <v>0</v>
      </c>
      <c r="MM169" s="561">
        <v>2041</v>
      </c>
      <c r="MN169" s="561">
        <v>0</v>
      </c>
      <c r="MO169" s="561">
        <v>864</v>
      </c>
      <c r="MP169" s="561">
        <v>0</v>
      </c>
      <c r="MQ169" s="561">
        <v>0</v>
      </c>
      <c r="MR169" s="561">
        <v>0</v>
      </c>
      <c r="MS169" s="561">
        <v>0</v>
      </c>
      <c r="MT169" s="561">
        <v>0</v>
      </c>
      <c r="MU169" s="561">
        <v>0</v>
      </c>
      <c r="MV169" s="561">
        <v>0</v>
      </c>
      <c r="MW169" s="561">
        <v>0</v>
      </c>
      <c r="MX169" s="561">
        <v>0</v>
      </c>
      <c r="MY169" s="561">
        <v>0</v>
      </c>
      <c r="MZ169" s="561">
        <v>299563</v>
      </c>
      <c r="NA169" s="561">
        <v>0</v>
      </c>
      <c r="NB169" s="561">
        <v>0</v>
      </c>
      <c r="NC169" s="561">
        <v>0</v>
      </c>
      <c r="ND169" s="561">
        <v>299563</v>
      </c>
      <c r="NE169" s="561">
        <v>0</v>
      </c>
      <c r="NF169" s="561">
        <v>0</v>
      </c>
      <c r="NG169" s="561">
        <v>0</v>
      </c>
      <c r="NH169" s="561">
        <v>0</v>
      </c>
      <c r="NI169" s="561">
        <v>0</v>
      </c>
      <c r="NJ169" s="561">
        <v>0</v>
      </c>
      <c r="NK169" s="561">
        <v>0</v>
      </c>
      <c r="NL169" s="561">
        <v>0</v>
      </c>
      <c r="NM169" s="561">
        <v>0</v>
      </c>
      <c r="NN169" s="561">
        <v>0</v>
      </c>
      <c r="NO169" s="561">
        <v>0</v>
      </c>
      <c r="NP169" s="561">
        <v>0</v>
      </c>
      <c r="NQ169" s="561">
        <v>0</v>
      </c>
      <c r="NR169" s="561">
        <v>0</v>
      </c>
      <c r="NS169" s="561">
        <v>0</v>
      </c>
      <c r="NT169" s="561">
        <v>0</v>
      </c>
      <c r="NU169" s="561">
        <v>0</v>
      </c>
      <c r="NV169" s="561">
        <v>0</v>
      </c>
      <c r="NW169" s="561">
        <v>0</v>
      </c>
      <c r="NX169" s="561">
        <v>0</v>
      </c>
      <c r="NY169" s="561">
        <v>0</v>
      </c>
      <c r="NZ169" s="561">
        <v>0</v>
      </c>
      <c r="OA169" s="561">
        <v>0</v>
      </c>
      <c r="OB169" s="561">
        <v>0</v>
      </c>
      <c r="OC169" s="561">
        <v>0</v>
      </c>
      <c r="OD169" s="561">
        <v>0</v>
      </c>
      <c r="OE169" s="561">
        <v>0</v>
      </c>
      <c r="OF169" s="561">
        <v>0</v>
      </c>
      <c r="OG169" s="561">
        <v>0</v>
      </c>
      <c r="OH169" s="561">
        <v>0</v>
      </c>
      <c r="OI169" s="561">
        <v>0</v>
      </c>
      <c r="OJ169" s="561">
        <v>0</v>
      </c>
      <c r="OK169" s="561">
        <v>0</v>
      </c>
      <c r="OL169" s="561">
        <v>0</v>
      </c>
      <c r="OM169" s="561">
        <v>0</v>
      </c>
      <c r="ON169" s="561">
        <v>0</v>
      </c>
      <c r="OO169" s="561">
        <v>0</v>
      </c>
      <c r="OP169" s="561">
        <v>0</v>
      </c>
      <c r="OQ169" s="561">
        <v>0</v>
      </c>
      <c r="OR169" s="561">
        <v>0</v>
      </c>
      <c r="OS169" s="561">
        <v>0</v>
      </c>
      <c r="OT169" s="561">
        <v>0</v>
      </c>
      <c r="OU169" s="561">
        <v>0</v>
      </c>
      <c r="OV169" s="561">
        <v>0</v>
      </c>
      <c r="OW169" s="561">
        <v>0</v>
      </c>
      <c r="OX169" s="561">
        <v>0</v>
      </c>
      <c r="OY169" s="561">
        <v>0</v>
      </c>
      <c r="OZ169" s="561">
        <v>0</v>
      </c>
      <c r="PA169" s="561">
        <v>0</v>
      </c>
      <c r="PB169" s="561">
        <v>0</v>
      </c>
      <c r="PC169" s="561">
        <v>0</v>
      </c>
      <c r="PD169" s="561">
        <v>0</v>
      </c>
      <c r="PE169" s="561">
        <v>0</v>
      </c>
      <c r="PF169" s="561">
        <v>0</v>
      </c>
      <c r="PG169" s="561">
        <v>0</v>
      </c>
      <c r="PH169" s="561">
        <v>0</v>
      </c>
      <c r="PI169" s="561">
        <v>0</v>
      </c>
      <c r="PJ169" s="561">
        <v>0</v>
      </c>
    </row>
    <row r="170" spans="1:426" ht="14" x14ac:dyDescent="0.3">
      <c r="A170" t="s">
        <v>2945</v>
      </c>
      <c r="B170" t="s">
        <v>2946</v>
      </c>
      <c r="C170" t="s">
        <v>2947</v>
      </c>
      <c r="E170" t="s">
        <v>384</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34</v>
      </c>
      <c r="AA170" s="561">
        <v>-446</v>
      </c>
      <c r="AB170" s="561">
        <v>-669</v>
      </c>
      <c r="AC170" s="561">
        <v>0</v>
      </c>
      <c r="AD170" s="561">
        <v>0</v>
      </c>
      <c r="AE170" s="561">
        <v>0</v>
      </c>
      <c r="AF170" s="561">
        <v>0</v>
      </c>
      <c r="AG170" s="561">
        <v>0</v>
      </c>
      <c r="AH170" s="561">
        <v>0</v>
      </c>
      <c r="AI170" s="561">
        <v>0</v>
      </c>
      <c r="AJ170" s="561">
        <v>-1081</v>
      </c>
      <c r="AK170" s="561">
        <v>0</v>
      </c>
      <c r="AL170" s="561">
        <v>0</v>
      </c>
      <c r="AM170" s="561">
        <v>0</v>
      </c>
      <c r="AN170" s="561">
        <v>0</v>
      </c>
      <c r="AO170" s="561">
        <v>0</v>
      </c>
      <c r="AP170" s="561">
        <v>0</v>
      </c>
      <c r="AQ170" s="561">
        <v>0</v>
      </c>
      <c r="AR170" s="561">
        <v>0</v>
      </c>
      <c r="AS170" s="561">
        <v>438</v>
      </c>
      <c r="AT170" s="561">
        <v>506</v>
      </c>
      <c r="AU170" s="561">
        <v>0</v>
      </c>
      <c r="AV170" s="561">
        <v>0</v>
      </c>
      <c r="AW170" s="561">
        <v>0</v>
      </c>
      <c r="AX170" s="561">
        <v>0</v>
      </c>
      <c r="AY170" s="561">
        <v>0</v>
      </c>
      <c r="AZ170" s="561">
        <v>0</v>
      </c>
      <c r="BA170" s="561">
        <v>0</v>
      </c>
      <c r="BB170" s="561">
        <v>0</v>
      </c>
      <c r="BC170" s="561">
        <v>0</v>
      </c>
      <c r="BD170" s="561">
        <v>0</v>
      </c>
      <c r="BE170" s="561">
        <v>0</v>
      </c>
      <c r="BF170" s="561">
        <v>0</v>
      </c>
      <c r="BG170" s="561">
        <v>0</v>
      </c>
      <c r="BH170" s="561">
        <v>0</v>
      </c>
      <c r="BI170" s="561">
        <v>0</v>
      </c>
      <c r="BJ170" s="561">
        <v>0</v>
      </c>
      <c r="BK170" s="561">
        <v>0</v>
      </c>
      <c r="BL170" s="561">
        <v>0</v>
      </c>
      <c r="BM170" s="561">
        <v>0</v>
      </c>
      <c r="BN170" s="561">
        <v>0</v>
      </c>
      <c r="BO170" s="561">
        <v>0</v>
      </c>
      <c r="BP170" s="561">
        <v>0</v>
      </c>
      <c r="BQ170" s="561">
        <v>0</v>
      </c>
      <c r="BR170" s="561">
        <v>0</v>
      </c>
      <c r="BS170" s="561">
        <v>0</v>
      </c>
      <c r="BT170" s="561">
        <v>0</v>
      </c>
      <c r="BU170" s="561">
        <v>0</v>
      </c>
      <c r="BV170" s="561">
        <v>0</v>
      </c>
      <c r="BW170" s="561">
        <v>0</v>
      </c>
      <c r="BX170" s="561">
        <v>0</v>
      </c>
      <c r="BY170" s="561">
        <v>0</v>
      </c>
      <c r="BZ170" s="561">
        <v>0</v>
      </c>
      <c r="CA170" s="561">
        <v>0</v>
      </c>
      <c r="CB170" s="561">
        <v>0</v>
      </c>
      <c r="CC170" s="561">
        <v>0</v>
      </c>
      <c r="CD170" s="561">
        <v>0</v>
      </c>
      <c r="CE170" s="561">
        <v>0</v>
      </c>
      <c r="CF170" s="561">
        <v>0</v>
      </c>
      <c r="CG170" s="561">
        <v>0</v>
      </c>
      <c r="CH170" s="561">
        <v>0</v>
      </c>
      <c r="CI170" s="561">
        <v>0</v>
      </c>
      <c r="CJ170" s="561">
        <v>0</v>
      </c>
      <c r="CK170" s="561">
        <v>0</v>
      </c>
      <c r="CL170" s="561">
        <v>0</v>
      </c>
      <c r="CM170" s="561">
        <v>0</v>
      </c>
      <c r="CN170" s="561">
        <v>0</v>
      </c>
      <c r="CO170" s="561">
        <v>0</v>
      </c>
      <c r="CP170" s="561">
        <v>0</v>
      </c>
      <c r="CQ170" s="561">
        <v>0</v>
      </c>
      <c r="CR170" s="561">
        <v>0</v>
      </c>
      <c r="CS170" s="561">
        <v>0</v>
      </c>
      <c r="CT170" s="561">
        <v>0</v>
      </c>
      <c r="CU170" s="561">
        <v>0</v>
      </c>
      <c r="CV170" s="561">
        <v>0</v>
      </c>
      <c r="CW170" s="561">
        <v>0</v>
      </c>
      <c r="CX170" s="561">
        <v>0</v>
      </c>
      <c r="CY170" s="561">
        <v>0</v>
      </c>
      <c r="CZ170" s="561">
        <v>0</v>
      </c>
      <c r="DA170" s="561">
        <v>0</v>
      </c>
      <c r="DB170" s="561">
        <v>0</v>
      </c>
      <c r="DC170" s="561">
        <v>0</v>
      </c>
      <c r="DD170" s="561">
        <v>0</v>
      </c>
      <c r="DE170" s="561">
        <v>0</v>
      </c>
      <c r="DF170" s="561">
        <v>0</v>
      </c>
      <c r="DG170" s="561">
        <v>0</v>
      </c>
      <c r="DH170" s="561">
        <v>950</v>
      </c>
      <c r="DI170" s="561">
        <v>0</v>
      </c>
      <c r="DJ170" s="561">
        <v>105</v>
      </c>
      <c r="DK170" s="561">
        <v>29</v>
      </c>
      <c r="DL170" s="561">
        <v>0</v>
      </c>
      <c r="DM170" s="561">
        <v>0</v>
      </c>
      <c r="DN170" s="561">
        <v>0</v>
      </c>
      <c r="DO170" s="561">
        <v>0</v>
      </c>
      <c r="DP170" s="561">
        <v>0</v>
      </c>
      <c r="DQ170" s="561">
        <v>556</v>
      </c>
      <c r="DR170" s="561">
        <v>358</v>
      </c>
      <c r="DS170" s="561">
        <v>0</v>
      </c>
      <c r="DT170" s="561">
        <v>673</v>
      </c>
      <c r="DU170" s="561">
        <v>1587</v>
      </c>
      <c r="DV170" s="561">
        <v>0</v>
      </c>
      <c r="DW170" s="561">
        <v>0</v>
      </c>
      <c r="DX170" s="561">
        <v>0</v>
      </c>
      <c r="DY170" s="561">
        <v>43</v>
      </c>
      <c r="DZ170" s="561">
        <v>-614</v>
      </c>
      <c r="EA170" s="561">
        <v>0</v>
      </c>
      <c r="EB170" s="561">
        <v>0</v>
      </c>
      <c r="EC170" s="561">
        <v>2100</v>
      </c>
      <c r="ED170" s="561">
        <v>0</v>
      </c>
      <c r="EE170" s="561">
        <v>0</v>
      </c>
      <c r="EF170" s="561">
        <v>0</v>
      </c>
      <c r="EG170" s="561">
        <v>0</v>
      </c>
      <c r="EH170" s="561">
        <v>0</v>
      </c>
      <c r="EI170" s="561">
        <v>0</v>
      </c>
      <c r="EJ170" s="561">
        <v>0</v>
      </c>
      <c r="EK170" s="561">
        <v>0</v>
      </c>
      <c r="EL170" s="561">
        <v>0</v>
      </c>
      <c r="EM170" s="561">
        <v>0</v>
      </c>
      <c r="EN170" s="561">
        <v>0</v>
      </c>
      <c r="EO170" s="561">
        <v>0</v>
      </c>
      <c r="EP170" s="561">
        <v>0</v>
      </c>
      <c r="EQ170" s="561">
        <v>0</v>
      </c>
      <c r="ER170" s="561">
        <v>0</v>
      </c>
      <c r="ES170" s="561" t="s">
        <v>4565</v>
      </c>
      <c r="ET170" s="561">
        <v>0</v>
      </c>
      <c r="EU170" s="561">
        <v>0</v>
      </c>
      <c r="EV170" s="561">
        <v>0</v>
      </c>
      <c r="EW170" s="561">
        <v>0</v>
      </c>
      <c r="EX170" s="561">
        <v>0</v>
      </c>
      <c r="EY170" s="561">
        <v>0</v>
      </c>
      <c r="EZ170" s="561">
        <v>0</v>
      </c>
      <c r="FA170" s="561">
        <v>0</v>
      </c>
      <c r="FB170" s="561">
        <v>0</v>
      </c>
      <c r="FC170" s="561">
        <v>37</v>
      </c>
      <c r="FD170" s="561">
        <v>0</v>
      </c>
      <c r="FE170" s="561">
        <v>52</v>
      </c>
      <c r="FF170" s="561">
        <v>0</v>
      </c>
      <c r="FG170" s="561">
        <v>36</v>
      </c>
      <c r="FH170" s="561">
        <v>0</v>
      </c>
      <c r="FI170" s="561">
        <v>6</v>
      </c>
      <c r="FJ170" s="561">
        <v>34</v>
      </c>
      <c r="FK170" s="561">
        <v>1471</v>
      </c>
      <c r="FL170" s="561">
        <v>-10</v>
      </c>
      <c r="FM170" s="561">
        <v>0</v>
      </c>
      <c r="FN170" s="561">
        <v>0</v>
      </c>
      <c r="FO170" s="561">
        <v>1626</v>
      </c>
      <c r="FP170" s="561">
        <v>0</v>
      </c>
      <c r="FQ170" s="561">
        <v>9</v>
      </c>
      <c r="FR170" s="561">
        <v>0</v>
      </c>
      <c r="FS170" s="561">
        <v>0</v>
      </c>
      <c r="FT170" s="561">
        <v>3</v>
      </c>
      <c r="FU170" s="561">
        <v>41</v>
      </c>
      <c r="FV170" s="561">
        <v>92</v>
      </c>
      <c r="FW170" s="561">
        <v>10</v>
      </c>
      <c r="FX170" s="561">
        <v>0</v>
      </c>
      <c r="FY170" s="561">
        <v>0</v>
      </c>
      <c r="FZ170" s="561">
        <v>0</v>
      </c>
      <c r="GA170" s="561">
        <v>9</v>
      </c>
      <c r="GB170" s="561">
        <v>-23</v>
      </c>
      <c r="GC170" s="561">
        <v>-369</v>
      </c>
      <c r="GD170" s="561">
        <v>18</v>
      </c>
      <c r="GE170" s="561">
        <v>0</v>
      </c>
      <c r="GF170" s="561">
        <v>-7</v>
      </c>
      <c r="GG170" s="561">
        <v>199</v>
      </c>
      <c r="GH170" s="561">
        <v>0</v>
      </c>
      <c r="GI170" s="561">
        <v>0</v>
      </c>
      <c r="GJ170" s="561">
        <v>0</v>
      </c>
      <c r="GK170" s="561">
        <v>0</v>
      </c>
      <c r="GL170" s="561">
        <v>1258</v>
      </c>
      <c r="GM170" s="561">
        <v>1791</v>
      </c>
      <c r="GN170" s="561">
        <v>0</v>
      </c>
      <c r="GO170" s="561">
        <v>-6</v>
      </c>
      <c r="GP170" s="561">
        <v>1927</v>
      </c>
      <c r="GQ170" s="561">
        <v>0</v>
      </c>
      <c r="GR170" s="561">
        <v>0</v>
      </c>
      <c r="GS170" s="561">
        <v>4952</v>
      </c>
      <c r="GT170" s="561">
        <v>0</v>
      </c>
      <c r="GU170" s="561">
        <v>39</v>
      </c>
      <c r="GV170" s="561">
        <v>331</v>
      </c>
      <c r="GW170" s="561">
        <v>0</v>
      </c>
      <c r="GX170" s="561">
        <v>949</v>
      </c>
      <c r="GY170" s="561">
        <v>0</v>
      </c>
      <c r="GZ170" s="561">
        <v>-4088</v>
      </c>
      <c r="HA170" s="561">
        <v>0</v>
      </c>
      <c r="HB170" s="561">
        <v>0</v>
      </c>
      <c r="HC170" s="561">
        <v>206</v>
      </c>
      <c r="HD170" s="561">
        <v>-2563</v>
      </c>
      <c r="HE170" s="561">
        <v>0</v>
      </c>
      <c r="HF170" s="561">
        <v>4015</v>
      </c>
      <c r="HG170" s="561">
        <v>0</v>
      </c>
      <c r="HH170" s="561">
        <v>0</v>
      </c>
      <c r="HI170" s="561">
        <v>0</v>
      </c>
      <c r="HJ170" s="561">
        <v>0</v>
      </c>
      <c r="HK170" s="561">
        <v>0</v>
      </c>
      <c r="HL170" s="561">
        <v>0</v>
      </c>
      <c r="HM170" s="561">
        <v>0</v>
      </c>
      <c r="HN170" s="561">
        <v>0</v>
      </c>
      <c r="HO170" s="561">
        <v>1766</v>
      </c>
      <c r="HP170" s="561">
        <v>-235</v>
      </c>
      <c r="HQ170" s="561">
        <v>0</v>
      </c>
      <c r="HR170" s="561">
        <v>0</v>
      </c>
      <c r="HS170" s="561">
        <v>23</v>
      </c>
      <c r="HT170" s="561">
        <v>-59</v>
      </c>
      <c r="HU170" s="561">
        <v>0</v>
      </c>
      <c r="HV170" s="561">
        <v>0</v>
      </c>
      <c r="HW170" s="561">
        <v>271</v>
      </c>
      <c r="HX170" s="561">
        <v>31</v>
      </c>
      <c r="HY170" s="561">
        <v>36</v>
      </c>
      <c r="HZ170" s="561">
        <v>1</v>
      </c>
      <c r="IA170" s="561">
        <v>0</v>
      </c>
      <c r="IB170" s="561">
        <v>433</v>
      </c>
      <c r="IC170" s="561">
        <v>0</v>
      </c>
      <c r="ID170" s="561">
        <v>0</v>
      </c>
      <c r="IE170" s="561">
        <v>10000</v>
      </c>
      <c r="IF170" s="561">
        <v>0</v>
      </c>
      <c r="IG170" s="561">
        <v>0</v>
      </c>
      <c r="IH170" s="561">
        <v>1607</v>
      </c>
      <c r="II170" s="561">
        <v>13874</v>
      </c>
      <c r="IJ170" s="561">
        <v>0</v>
      </c>
      <c r="IK170" s="561">
        <v>101</v>
      </c>
      <c r="IL170" s="561">
        <v>10000</v>
      </c>
      <c r="IM170" s="561">
        <v>0</v>
      </c>
      <c r="IN170" s="561">
        <v>0</v>
      </c>
      <c r="IO170" s="561">
        <v>0</v>
      </c>
      <c r="IP170" s="561">
        <v>0</v>
      </c>
      <c r="IQ170" s="561">
        <v>0</v>
      </c>
      <c r="IR170" s="561">
        <v>0</v>
      </c>
      <c r="IS170" s="561">
        <v>-1081</v>
      </c>
      <c r="IT170" s="561">
        <v>0</v>
      </c>
      <c r="IU170" s="561">
        <v>0</v>
      </c>
      <c r="IV170" s="561">
        <v>0</v>
      </c>
      <c r="IW170" s="561">
        <v>2100</v>
      </c>
      <c r="IX170" s="561">
        <v>1626</v>
      </c>
      <c r="IY170" s="561">
        <v>4952</v>
      </c>
      <c r="IZ170" s="561">
        <v>-2563</v>
      </c>
      <c r="JA170" s="561">
        <v>0</v>
      </c>
      <c r="JB170" s="561">
        <v>0</v>
      </c>
      <c r="JC170" s="561">
        <v>13874</v>
      </c>
      <c r="JD170" s="561">
        <v>0</v>
      </c>
      <c r="JE170" s="561">
        <v>18908</v>
      </c>
      <c r="JF170" s="561">
        <v>23481</v>
      </c>
      <c r="JG170" s="561">
        <v>0</v>
      </c>
      <c r="JH170" s="561">
        <v>0</v>
      </c>
      <c r="JI170" s="561">
        <v>0</v>
      </c>
      <c r="JJ170" s="561">
        <v>0</v>
      </c>
      <c r="JK170" s="561">
        <v>1661</v>
      </c>
      <c r="JL170" s="561">
        <v>0</v>
      </c>
      <c r="JM170" s="561">
        <v>0</v>
      </c>
      <c r="JN170" s="561">
        <v>0</v>
      </c>
      <c r="JO170" s="561">
        <v>0</v>
      </c>
      <c r="JP170" s="561">
        <v>-35</v>
      </c>
      <c r="JQ170" s="561">
        <v>0</v>
      </c>
      <c r="JR170" s="561">
        <v>0</v>
      </c>
      <c r="JS170" s="561">
        <v>0</v>
      </c>
      <c r="JT170" s="561">
        <v>0</v>
      </c>
      <c r="JU170" s="561">
        <v>0</v>
      </c>
      <c r="JV170" s="561">
        <v>44015</v>
      </c>
      <c r="JW170" s="561">
        <v>0</v>
      </c>
      <c r="JX170" s="561">
        <v>2305</v>
      </c>
      <c r="JY170" s="561">
        <v>0</v>
      </c>
      <c r="JZ170" s="561">
        <v>0</v>
      </c>
      <c r="KA170" s="561">
        <v>0</v>
      </c>
      <c r="KB170" s="561">
        <v>0</v>
      </c>
      <c r="KC170" s="561">
        <v>0</v>
      </c>
      <c r="KD170" s="561">
        <v>0</v>
      </c>
      <c r="KE170" s="561">
        <v>0</v>
      </c>
      <c r="KF170" s="561">
        <v>0</v>
      </c>
      <c r="KG170" s="561">
        <v>46320</v>
      </c>
      <c r="KH170" s="561">
        <v>-3678</v>
      </c>
      <c r="KI170" s="561">
        <v>0</v>
      </c>
      <c r="KJ170" s="561">
        <v>0</v>
      </c>
      <c r="KK170" s="561">
        <v>0</v>
      </c>
      <c r="KL170" s="561">
        <v>-23492</v>
      </c>
      <c r="KM170" s="561">
        <v>0</v>
      </c>
      <c r="KN170" s="561">
        <v>-1714</v>
      </c>
      <c r="KO170" s="561">
        <v>0</v>
      </c>
      <c r="KP170" s="561">
        <v>0</v>
      </c>
      <c r="KQ170" s="561">
        <v>0</v>
      </c>
      <c r="KR170" s="561">
        <v>17436</v>
      </c>
      <c r="KS170" s="561">
        <v>0</v>
      </c>
      <c r="KT170" s="561">
        <v>-2311</v>
      </c>
      <c r="KU170" s="561">
        <v>15125</v>
      </c>
      <c r="KV170" s="561">
        <v>0</v>
      </c>
      <c r="KW170" s="561">
        <v>0</v>
      </c>
      <c r="KX170" s="561">
        <v>0</v>
      </c>
      <c r="KY170" s="561">
        <v>0</v>
      </c>
      <c r="KZ170" s="561">
        <v>-6061</v>
      </c>
      <c r="LA170" s="561">
        <v>228</v>
      </c>
      <c r="LB170" s="561">
        <v>-131</v>
      </c>
      <c r="LC170" s="561">
        <v>0</v>
      </c>
      <c r="LD170" s="561">
        <v>-499</v>
      </c>
      <c r="LE170" s="561">
        <v>-95</v>
      </c>
      <c r="LF170" s="561">
        <v>1901</v>
      </c>
      <c r="LG170" s="561">
        <v>10468</v>
      </c>
      <c r="LH170" s="561">
        <v>0</v>
      </c>
      <c r="LI170" s="561">
        <v>0</v>
      </c>
      <c r="LJ170" s="561">
        <v>0</v>
      </c>
      <c r="LK170" s="561">
        <v>0</v>
      </c>
      <c r="LL170" s="561">
        <v>17074</v>
      </c>
      <c r="LM170" s="561">
        <v>8750</v>
      </c>
      <c r="LN170" s="561">
        <v>0</v>
      </c>
      <c r="LO170" s="561">
        <v>0</v>
      </c>
      <c r="LP170" s="561">
        <v>0</v>
      </c>
      <c r="LQ170" s="561">
        <v>0</v>
      </c>
      <c r="LR170" s="561">
        <v>11013</v>
      </c>
      <c r="LS170" s="561">
        <v>8978</v>
      </c>
      <c r="LT170" s="561">
        <v>0</v>
      </c>
      <c r="LU170" s="561">
        <v>0</v>
      </c>
      <c r="LV170" s="561">
        <v>0</v>
      </c>
      <c r="LW170" s="561">
        <v>0</v>
      </c>
      <c r="LX170" s="561">
        <v>0</v>
      </c>
      <c r="LY170" s="561">
        <v>0</v>
      </c>
      <c r="LZ170" s="561">
        <v>0</v>
      </c>
      <c r="MA170" s="561">
        <v>0</v>
      </c>
      <c r="MB170" s="561">
        <v>0</v>
      </c>
      <c r="MC170" s="561">
        <v>0</v>
      </c>
      <c r="MD170" s="561">
        <v>0</v>
      </c>
      <c r="ME170" s="561">
        <v>0</v>
      </c>
      <c r="MF170" s="561">
        <v>0</v>
      </c>
      <c r="MG170" s="561">
        <v>0</v>
      </c>
      <c r="MH170" s="561">
        <v>2998</v>
      </c>
      <c r="MI170" s="561">
        <v>4828</v>
      </c>
      <c r="MJ170" s="561">
        <v>7826</v>
      </c>
      <c r="MK170" s="561">
        <v>0</v>
      </c>
      <c r="ML170" s="561">
        <v>0</v>
      </c>
      <c r="MM170" s="561">
        <v>7855</v>
      </c>
      <c r="MN170" s="561">
        <v>1602</v>
      </c>
      <c r="MO170" s="561">
        <v>173</v>
      </c>
      <c r="MP170" s="561">
        <v>1383</v>
      </c>
      <c r="MQ170" s="561">
        <v>0</v>
      </c>
      <c r="MR170" s="561">
        <v>-1081</v>
      </c>
      <c r="MS170" s="561">
        <v>0</v>
      </c>
      <c r="MT170" s="561">
        <v>0</v>
      </c>
      <c r="MU170" s="561">
        <v>0</v>
      </c>
      <c r="MV170" s="561">
        <v>2100</v>
      </c>
      <c r="MW170" s="561">
        <v>1626</v>
      </c>
      <c r="MX170" s="561">
        <v>4952</v>
      </c>
      <c r="MY170" s="561">
        <v>-2563</v>
      </c>
      <c r="MZ170" s="561">
        <v>0</v>
      </c>
      <c r="NA170" s="561">
        <v>0</v>
      </c>
      <c r="NB170" s="561">
        <v>13874</v>
      </c>
      <c r="NC170" s="561">
        <v>0</v>
      </c>
      <c r="ND170" s="561">
        <v>18908</v>
      </c>
      <c r="NE170" s="561">
        <v>0</v>
      </c>
      <c r="NF170" s="561">
        <v>0</v>
      </c>
      <c r="NG170" s="561">
        <v>0</v>
      </c>
      <c r="NH170" s="561">
        <v>0</v>
      </c>
      <c r="NI170" s="561">
        <v>0</v>
      </c>
      <c r="NJ170" s="561">
        <v>0</v>
      </c>
      <c r="NK170" s="561">
        <v>0</v>
      </c>
      <c r="NL170" s="561">
        <v>0</v>
      </c>
      <c r="NM170" s="561">
        <v>0</v>
      </c>
      <c r="NN170" s="561">
        <v>0</v>
      </c>
      <c r="NO170" s="561">
        <v>0</v>
      </c>
      <c r="NP170" s="561">
        <v>0</v>
      </c>
      <c r="NQ170" s="561">
        <v>-35</v>
      </c>
      <c r="NR170" s="561">
        <v>0</v>
      </c>
      <c r="NS170" s="561">
        <v>0</v>
      </c>
      <c r="NT170" s="561">
        <v>0</v>
      </c>
      <c r="NU170" s="561">
        <v>0</v>
      </c>
      <c r="NV170" s="561">
        <v>0</v>
      </c>
      <c r="NW170" s="561">
        <v>-35</v>
      </c>
      <c r="NX170" s="561">
        <v>0</v>
      </c>
      <c r="NY170" s="561">
        <v>-35</v>
      </c>
      <c r="NZ170" s="561">
        <v>0</v>
      </c>
      <c r="OA170" s="561">
        <v>0</v>
      </c>
      <c r="OB170" s="561">
        <v>0</v>
      </c>
      <c r="OC170" s="561">
        <v>0</v>
      </c>
      <c r="OD170" s="561">
        <v>0</v>
      </c>
      <c r="OE170" s="561">
        <v>0</v>
      </c>
      <c r="OF170" s="561">
        <v>0</v>
      </c>
      <c r="OG170" s="561">
        <v>0</v>
      </c>
      <c r="OH170" s="561">
        <v>0</v>
      </c>
      <c r="OI170" s="561">
        <v>0</v>
      </c>
      <c r="OJ170" s="561">
        <v>0</v>
      </c>
      <c r="OK170" s="561">
        <v>0</v>
      </c>
      <c r="OL170" s="561">
        <v>0</v>
      </c>
      <c r="OM170" s="561">
        <v>0</v>
      </c>
      <c r="ON170" s="561">
        <v>0</v>
      </c>
      <c r="OO170" s="561">
        <v>0</v>
      </c>
      <c r="OP170" s="561">
        <v>0</v>
      </c>
      <c r="OQ170" s="561">
        <v>0</v>
      </c>
      <c r="OR170" s="561">
        <v>0</v>
      </c>
      <c r="OS170" s="561">
        <v>0</v>
      </c>
      <c r="OT170" s="561">
        <v>0</v>
      </c>
      <c r="OU170" s="561">
        <v>0</v>
      </c>
      <c r="OV170" s="561">
        <v>0</v>
      </c>
      <c r="OW170" s="561">
        <v>0</v>
      </c>
      <c r="OX170" s="561">
        <v>0</v>
      </c>
      <c r="OY170" s="561">
        <v>0</v>
      </c>
      <c r="OZ170" s="561">
        <v>0</v>
      </c>
      <c r="PA170" s="561">
        <v>0</v>
      </c>
      <c r="PB170" s="561">
        <v>0</v>
      </c>
      <c r="PC170" s="561">
        <v>0</v>
      </c>
      <c r="PD170" s="561">
        <v>0</v>
      </c>
      <c r="PE170" s="561">
        <v>0</v>
      </c>
      <c r="PF170" s="561">
        <v>0</v>
      </c>
      <c r="PG170" s="561">
        <v>0</v>
      </c>
      <c r="PH170" s="561">
        <v>0</v>
      </c>
      <c r="PI170" s="561">
        <v>0</v>
      </c>
      <c r="PJ170" s="561">
        <v>0</v>
      </c>
    </row>
    <row r="171" spans="1:426" ht="14" x14ac:dyDescent="0.3">
      <c r="A171" t="s">
        <v>2948</v>
      </c>
      <c r="B171" t="s">
        <v>2949</v>
      </c>
      <c r="C171" t="s">
        <v>2950</v>
      </c>
      <c r="E171" t="s">
        <v>384</v>
      </c>
      <c r="F171" s="561">
        <v>0</v>
      </c>
      <c r="G171" s="561">
        <v>0</v>
      </c>
      <c r="H171" s="561">
        <v>0</v>
      </c>
      <c r="I171" s="561">
        <v>0</v>
      </c>
      <c r="J171" s="561">
        <v>0</v>
      </c>
      <c r="K171" s="561">
        <v>0</v>
      </c>
      <c r="L171" s="561">
        <v>0</v>
      </c>
      <c r="M171" s="561">
        <v>0</v>
      </c>
      <c r="N171" s="561">
        <v>-11</v>
      </c>
      <c r="O171" s="561">
        <v>0</v>
      </c>
      <c r="P171" s="561">
        <v>0</v>
      </c>
      <c r="Q171" s="561">
        <v>0</v>
      </c>
      <c r="R171" s="561">
        <v>0</v>
      </c>
      <c r="S171" s="561">
        <v>0</v>
      </c>
      <c r="T171" s="561">
        <v>0</v>
      </c>
      <c r="U171" s="561">
        <v>0</v>
      </c>
      <c r="V171" s="561">
        <v>0</v>
      </c>
      <c r="W171" s="561">
        <v>0</v>
      </c>
      <c r="X171" s="561">
        <v>0</v>
      </c>
      <c r="Y171" s="561">
        <v>0</v>
      </c>
      <c r="Z171" s="561">
        <v>0</v>
      </c>
      <c r="AA171" s="561">
        <v>0</v>
      </c>
      <c r="AB171" s="561">
        <v>-1069</v>
      </c>
      <c r="AC171" s="561">
        <v>-1</v>
      </c>
      <c r="AD171" s="561">
        <v>0</v>
      </c>
      <c r="AE171" s="561">
        <v>0</v>
      </c>
      <c r="AF171" s="561">
        <v>0</v>
      </c>
      <c r="AG171" s="561">
        <v>0</v>
      </c>
      <c r="AH171" s="561">
        <v>0</v>
      </c>
      <c r="AI171" s="561">
        <v>0</v>
      </c>
      <c r="AJ171" s="561">
        <v>-1081</v>
      </c>
      <c r="AK171" s="561">
        <v>0</v>
      </c>
      <c r="AL171" s="561">
        <v>0</v>
      </c>
      <c r="AM171" s="561">
        <v>0</v>
      </c>
      <c r="AN171" s="561">
        <v>0</v>
      </c>
      <c r="AO171" s="561">
        <v>0</v>
      </c>
      <c r="AP171" s="561">
        <v>0</v>
      </c>
      <c r="AQ171" s="561">
        <v>0</v>
      </c>
      <c r="AR171" s="561">
        <v>0</v>
      </c>
      <c r="AS171" s="561">
        <v>0</v>
      </c>
      <c r="AT171" s="561">
        <v>0</v>
      </c>
      <c r="AU171" s="561">
        <v>0</v>
      </c>
      <c r="AV171" s="561">
        <v>0</v>
      </c>
      <c r="AW171" s="561">
        <v>0</v>
      </c>
      <c r="AX171" s="561">
        <v>0</v>
      </c>
      <c r="AY171" s="561">
        <v>0</v>
      </c>
      <c r="AZ171" s="561">
        <v>0</v>
      </c>
      <c r="BA171" s="561">
        <v>0</v>
      </c>
      <c r="BB171" s="561">
        <v>0</v>
      </c>
      <c r="BC171" s="561">
        <v>0</v>
      </c>
      <c r="BD171" s="561">
        <v>0</v>
      </c>
      <c r="BE171" s="561">
        <v>0</v>
      </c>
      <c r="BF171" s="561">
        <v>0</v>
      </c>
      <c r="BG171" s="561">
        <v>0</v>
      </c>
      <c r="BH171" s="561">
        <v>0</v>
      </c>
      <c r="BI171" s="561">
        <v>0</v>
      </c>
      <c r="BJ171" s="561">
        <v>0</v>
      </c>
      <c r="BK171" s="561">
        <v>0</v>
      </c>
      <c r="BL171" s="561">
        <v>0</v>
      </c>
      <c r="BM171" s="561">
        <v>0</v>
      </c>
      <c r="BN171" s="561">
        <v>0</v>
      </c>
      <c r="BO171" s="561">
        <v>0</v>
      </c>
      <c r="BP171" s="561">
        <v>0</v>
      </c>
      <c r="BQ171" s="561">
        <v>0</v>
      </c>
      <c r="BR171" s="561">
        <v>0</v>
      </c>
      <c r="BS171" s="561">
        <v>0</v>
      </c>
      <c r="BT171" s="561">
        <v>0</v>
      </c>
      <c r="BU171" s="561">
        <v>0</v>
      </c>
      <c r="BV171" s="561">
        <v>0</v>
      </c>
      <c r="BW171" s="561">
        <v>0</v>
      </c>
      <c r="BX171" s="561">
        <v>0</v>
      </c>
      <c r="BY171" s="561">
        <v>0</v>
      </c>
      <c r="BZ171" s="561">
        <v>0</v>
      </c>
      <c r="CA171" s="561">
        <v>0</v>
      </c>
      <c r="CB171" s="561">
        <v>0</v>
      </c>
      <c r="CC171" s="561">
        <v>0</v>
      </c>
      <c r="CD171" s="561">
        <v>0</v>
      </c>
      <c r="CE171" s="561">
        <v>0</v>
      </c>
      <c r="CF171" s="561">
        <v>0</v>
      </c>
      <c r="CG171" s="561">
        <v>0</v>
      </c>
      <c r="CH171" s="561">
        <v>0</v>
      </c>
      <c r="CI171" s="561">
        <v>0</v>
      </c>
      <c r="CJ171" s="561">
        <v>0</v>
      </c>
      <c r="CK171" s="561">
        <v>0</v>
      </c>
      <c r="CL171" s="561">
        <v>0</v>
      </c>
      <c r="CM171" s="561">
        <v>0</v>
      </c>
      <c r="CN171" s="561">
        <v>0</v>
      </c>
      <c r="CO171" s="561">
        <v>0</v>
      </c>
      <c r="CP171" s="561">
        <v>0</v>
      </c>
      <c r="CQ171" s="561">
        <v>0</v>
      </c>
      <c r="CR171" s="561">
        <v>0</v>
      </c>
      <c r="CS171" s="561">
        <v>0</v>
      </c>
      <c r="CT171" s="561">
        <v>0</v>
      </c>
      <c r="CU171" s="561">
        <v>0</v>
      </c>
      <c r="CV171" s="561">
        <v>0</v>
      </c>
      <c r="CW171" s="561">
        <v>0</v>
      </c>
      <c r="CX171" s="561">
        <v>0</v>
      </c>
      <c r="CY171" s="561">
        <v>0</v>
      </c>
      <c r="CZ171" s="561">
        <v>0</v>
      </c>
      <c r="DA171" s="561">
        <v>0</v>
      </c>
      <c r="DB171" s="561">
        <v>0</v>
      </c>
      <c r="DC171" s="561">
        <v>0</v>
      </c>
      <c r="DD171" s="561">
        <v>0</v>
      </c>
      <c r="DE171" s="561">
        <v>0</v>
      </c>
      <c r="DF171" s="561">
        <v>0</v>
      </c>
      <c r="DG171" s="561">
        <v>0</v>
      </c>
      <c r="DH171" s="561">
        <v>150</v>
      </c>
      <c r="DI171" s="561">
        <v>0</v>
      </c>
      <c r="DJ171" s="561">
        <v>69</v>
      </c>
      <c r="DK171" s="561">
        <v>0</v>
      </c>
      <c r="DL171" s="561">
        <v>0</v>
      </c>
      <c r="DM171" s="561">
        <v>0</v>
      </c>
      <c r="DN171" s="561">
        <v>40</v>
      </c>
      <c r="DO171" s="561">
        <v>168</v>
      </c>
      <c r="DP171" s="561">
        <v>0</v>
      </c>
      <c r="DQ171" s="561">
        <v>0</v>
      </c>
      <c r="DR171" s="561">
        <v>0</v>
      </c>
      <c r="DS171" s="561">
        <v>401</v>
      </c>
      <c r="DT171" s="561">
        <v>0</v>
      </c>
      <c r="DU171" s="561">
        <v>609</v>
      </c>
      <c r="DV171" s="561">
        <v>0</v>
      </c>
      <c r="DW171" s="561">
        <v>0</v>
      </c>
      <c r="DX171" s="561">
        <v>0</v>
      </c>
      <c r="DY171" s="561">
        <v>447</v>
      </c>
      <c r="DZ171" s="561">
        <v>0</v>
      </c>
      <c r="EA171" s="561">
        <v>279</v>
      </c>
      <c r="EB171" s="561">
        <v>0</v>
      </c>
      <c r="EC171" s="561">
        <v>1554</v>
      </c>
      <c r="ED171" s="561">
        <v>0</v>
      </c>
      <c r="EE171" s="561">
        <v>16855</v>
      </c>
      <c r="EF171" s="561">
        <v>266</v>
      </c>
      <c r="EG171" s="561">
        <v>461</v>
      </c>
      <c r="EH171" s="561">
        <v>643</v>
      </c>
      <c r="EI171" s="561">
        <v>0</v>
      </c>
      <c r="EJ171" s="561">
        <v>371</v>
      </c>
      <c r="EK171" s="561">
        <v>0</v>
      </c>
      <c r="EL171" s="561">
        <v>0</v>
      </c>
      <c r="EM171" s="561">
        <v>0</v>
      </c>
      <c r="EN171" s="561">
        <v>6120</v>
      </c>
      <c r="EO171" s="561">
        <v>2883</v>
      </c>
      <c r="EP171" s="561">
        <v>0</v>
      </c>
      <c r="EQ171" s="561">
        <v>113</v>
      </c>
      <c r="ER171" s="561">
        <v>2178</v>
      </c>
      <c r="ES171" s="561" t="s">
        <v>4565</v>
      </c>
      <c r="ET171" s="561">
        <v>635</v>
      </c>
      <c r="EU171" s="561">
        <v>2524</v>
      </c>
      <c r="EV171" s="561">
        <v>0</v>
      </c>
      <c r="EW171" s="561">
        <v>734</v>
      </c>
      <c r="EX171" s="561">
        <v>2467</v>
      </c>
      <c r="EY171" s="561">
        <v>-48</v>
      </c>
      <c r="EZ171" s="561">
        <v>990</v>
      </c>
      <c r="FA171" s="561">
        <v>12990</v>
      </c>
      <c r="FB171" s="561">
        <v>0</v>
      </c>
      <c r="FC171" s="561">
        <v>0</v>
      </c>
      <c r="FD171" s="561">
        <v>48</v>
      </c>
      <c r="FE171" s="561">
        <v>0</v>
      </c>
      <c r="FF171" s="561">
        <v>165</v>
      </c>
      <c r="FG171" s="561">
        <v>0</v>
      </c>
      <c r="FH171" s="561">
        <v>0</v>
      </c>
      <c r="FI171" s="561">
        <v>8</v>
      </c>
      <c r="FJ171" s="561">
        <v>603</v>
      </c>
      <c r="FK171" s="561">
        <v>816</v>
      </c>
      <c r="FL171" s="561">
        <v>24</v>
      </c>
      <c r="FM171" s="561">
        <v>47</v>
      </c>
      <c r="FN171" s="561">
        <v>0</v>
      </c>
      <c r="FO171" s="561">
        <v>1711</v>
      </c>
      <c r="FP171" s="561">
        <v>0</v>
      </c>
      <c r="FQ171" s="561">
        <v>97</v>
      </c>
      <c r="FR171" s="561">
        <v>0</v>
      </c>
      <c r="FS171" s="561">
        <v>0</v>
      </c>
      <c r="FT171" s="561">
        <v>0</v>
      </c>
      <c r="FU171" s="561">
        <v>175</v>
      </c>
      <c r="FV171" s="561">
        <v>0</v>
      </c>
      <c r="FW171" s="561">
        <v>254</v>
      </c>
      <c r="FX171" s="561">
        <v>0</v>
      </c>
      <c r="FY171" s="561">
        <v>0</v>
      </c>
      <c r="FZ171" s="561">
        <v>67</v>
      </c>
      <c r="GA171" s="561">
        <v>395</v>
      </c>
      <c r="GB171" s="561">
        <v>122</v>
      </c>
      <c r="GC171" s="561">
        <v>-25</v>
      </c>
      <c r="GD171" s="561">
        <v>0</v>
      </c>
      <c r="GE171" s="561">
        <v>88</v>
      </c>
      <c r="GF171" s="561">
        <v>103</v>
      </c>
      <c r="GG171" s="561">
        <v>0</v>
      </c>
      <c r="GH171" s="561">
        <v>0</v>
      </c>
      <c r="GI171" s="561">
        <v>0</v>
      </c>
      <c r="GJ171" s="561">
        <v>0</v>
      </c>
      <c r="GK171" s="561">
        <v>0</v>
      </c>
      <c r="GL171" s="561">
        <v>735</v>
      </c>
      <c r="GM171" s="561">
        <v>1364</v>
      </c>
      <c r="GN171" s="561">
        <v>0</v>
      </c>
      <c r="GO171" s="561">
        <v>-140</v>
      </c>
      <c r="GP171" s="561">
        <v>2654</v>
      </c>
      <c r="GQ171" s="561">
        <v>0</v>
      </c>
      <c r="GR171" s="561">
        <v>0</v>
      </c>
      <c r="GS171" s="561">
        <v>5889</v>
      </c>
      <c r="GT171" s="561">
        <v>0</v>
      </c>
      <c r="GU171" s="561">
        <v>83</v>
      </c>
      <c r="GV171" s="561">
        <v>845</v>
      </c>
      <c r="GW171" s="561">
        <v>42</v>
      </c>
      <c r="GX171" s="561">
        <v>-101</v>
      </c>
      <c r="GY171" s="561">
        <v>61</v>
      </c>
      <c r="GZ171" s="561">
        <v>396</v>
      </c>
      <c r="HA171" s="561">
        <v>0</v>
      </c>
      <c r="HB171" s="561">
        <v>0</v>
      </c>
      <c r="HC171" s="561">
        <v>383</v>
      </c>
      <c r="HD171" s="561">
        <v>1709</v>
      </c>
      <c r="HE171" s="561">
        <v>0</v>
      </c>
      <c r="HF171" s="561">
        <v>9309</v>
      </c>
      <c r="HG171" s="561">
        <v>0</v>
      </c>
      <c r="HH171" s="561">
        <v>0</v>
      </c>
      <c r="HI171" s="561">
        <v>0</v>
      </c>
      <c r="HJ171" s="561">
        <v>0</v>
      </c>
      <c r="HK171" s="561">
        <v>0</v>
      </c>
      <c r="HL171" s="561">
        <v>0</v>
      </c>
      <c r="HM171" s="561">
        <v>0</v>
      </c>
      <c r="HN171" s="561">
        <v>0</v>
      </c>
      <c r="HO171" s="561">
        <v>-746</v>
      </c>
      <c r="HP171" s="561">
        <v>432</v>
      </c>
      <c r="HQ171" s="561">
        <v>0</v>
      </c>
      <c r="HR171" s="561">
        <v>0</v>
      </c>
      <c r="HS171" s="561">
        <v>0</v>
      </c>
      <c r="HT171" s="561">
        <v>0</v>
      </c>
      <c r="HU171" s="561">
        <v>0</v>
      </c>
      <c r="HV171" s="561">
        <v>0</v>
      </c>
      <c r="HW171" s="561">
        <v>249</v>
      </c>
      <c r="HX171" s="561">
        <v>9</v>
      </c>
      <c r="HY171" s="561">
        <v>56</v>
      </c>
      <c r="HZ171" s="561">
        <v>45</v>
      </c>
      <c r="IA171" s="561">
        <v>0</v>
      </c>
      <c r="IB171" s="561">
        <v>0</v>
      </c>
      <c r="IC171" s="561">
        <v>0</v>
      </c>
      <c r="ID171" s="561">
        <v>0</v>
      </c>
      <c r="IE171" s="561">
        <v>1256</v>
      </c>
      <c r="IF171" s="561">
        <v>0</v>
      </c>
      <c r="IG171" s="561">
        <v>0</v>
      </c>
      <c r="IH171" s="561">
        <v>1202</v>
      </c>
      <c r="II171" s="561">
        <v>2503</v>
      </c>
      <c r="IJ171" s="561">
        <v>0</v>
      </c>
      <c r="IK171" s="561">
        <v>6177</v>
      </c>
      <c r="IL171" s="561">
        <v>0</v>
      </c>
      <c r="IM171" s="561">
        <v>0</v>
      </c>
      <c r="IN171" s="561">
        <v>0</v>
      </c>
      <c r="IO171" s="561">
        <v>0</v>
      </c>
      <c r="IP171" s="561">
        <v>0</v>
      </c>
      <c r="IQ171" s="561">
        <v>0</v>
      </c>
      <c r="IR171" s="561">
        <v>0</v>
      </c>
      <c r="IS171" s="561">
        <v>-1081</v>
      </c>
      <c r="IT171" s="561">
        <v>0</v>
      </c>
      <c r="IU171" s="561">
        <v>0</v>
      </c>
      <c r="IV171" s="561">
        <v>0</v>
      </c>
      <c r="IW171" s="561">
        <v>1554</v>
      </c>
      <c r="IX171" s="561">
        <v>1711</v>
      </c>
      <c r="IY171" s="561">
        <v>5889</v>
      </c>
      <c r="IZ171" s="561">
        <v>1709</v>
      </c>
      <c r="JA171" s="561">
        <v>0</v>
      </c>
      <c r="JB171" s="561">
        <v>0</v>
      </c>
      <c r="JC171" s="561">
        <v>2503</v>
      </c>
      <c r="JD171" s="561">
        <v>0</v>
      </c>
      <c r="JE171" s="561">
        <v>12285</v>
      </c>
      <c r="JF171" s="561">
        <v>8552</v>
      </c>
      <c r="JG171" s="561">
        <v>0</v>
      </c>
      <c r="JH171" s="561">
        <v>5364</v>
      </c>
      <c r="JI171" s="561">
        <v>0</v>
      </c>
      <c r="JJ171" s="561">
        <v>0</v>
      </c>
      <c r="JK171" s="561">
        <v>1003</v>
      </c>
      <c r="JL171" s="561">
        <v>0</v>
      </c>
      <c r="JM171" s="561">
        <v>0</v>
      </c>
      <c r="JN171" s="561">
        <v>0</v>
      </c>
      <c r="JO171" s="561">
        <v>0</v>
      </c>
      <c r="JP171" s="561">
        <v>0</v>
      </c>
      <c r="JQ171" s="561">
        <v>0</v>
      </c>
      <c r="JR171" s="561">
        <v>0</v>
      </c>
      <c r="JS171" s="561">
        <v>0</v>
      </c>
      <c r="JT171" s="561">
        <v>48</v>
      </c>
      <c r="JU171" s="561">
        <v>0</v>
      </c>
      <c r="JV171" s="561">
        <v>27252</v>
      </c>
      <c r="JW171" s="561">
        <v>0</v>
      </c>
      <c r="JX171" s="561">
        <v>0</v>
      </c>
      <c r="JY171" s="561">
        <v>0</v>
      </c>
      <c r="JZ171" s="561">
        <v>0</v>
      </c>
      <c r="KA171" s="561">
        <v>0</v>
      </c>
      <c r="KB171" s="561">
        <v>0</v>
      </c>
      <c r="KC171" s="561">
        <v>987</v>
      </c>
      <c r="KD171" s="561">
        <v>0</v>
      </c>
      <c r="KE171" s="561">
        <v>1944</v>
      </c>
      <c r="KF171" s="561">
        <v>0</v>
      </c>
      <c r="KG171" s="561">
        <v>30183</v>
      </c>
      <c r="KH171" s="561">
        <v>-1969</v>
      </c>
      <c r="KI171" s="561">
        <v>0</v>
      </c>
      <c r="KJ171" s="561">
        <v>95</v>
      </c>
      <c r="KK171" s="561">
        <v>0</v>
      </c>
      <c r="KL171" s="561">
        <v>-13397</v>
      </c>
      <c r="KM171" s="561">
        <v>0</v>
      </c>
      <c r="KN171" s="561">
        <v>0</v>
      </c>
      <c r="KO171" s="561">
        <v>0</v>
      </c>
      <c r="KP171" s="561">
        <v>0</v>
      </c>
      <c r="KQ171" s="561">
        <v>0</v>
      </c>
      <c r="KR171" s="561">
        <v>14912</v>
      </c>
      <c r="KS171" s="561">
        <v>0</v>
      </c>
      <c r="KT171" s="561">
        <v>-1768</v>
      </c>
      <c r="KU171" s="561">
        <v>13144</v>
      </c>
      <c r="KV171" s="561">
        <v>0</v>
      </c>
      <c r="KW171" s="561">
        <v>0</v>
      </c>
      <c r="KX171" s="561">
        <v>0</v>
      </c>
      <c r="KY171" s="561">
        <v>0</v>
      </c>
      <c r="KZ171" s="561">
        <v>1203</v>
      </c>
      <c r="LA171" s="561">
        <v>0</v>
      </c>
      <c r="LB171" s="561">
        <v>-115</v>
      </c>
      <c r="LC171" s="561">
        <v>0</v>
      </c>
      <c r="LD171" s="561">
        <v>-6048</v>
      </c>
      <c r="LE171" s="561">
        <v>-260</v>
      </c>
      <c r="LF171" s="561">
        <v>0</v>
      </c>
      <c r="LG171" s="561">
        <v>7924</v>
      </c>
      <c r="LH171" s="561">
        <v>0</v>
      </c>
      <c r="LI171" s="561">
        <v>0</v>
      </c>
      <c r="LJ171" s="561">
        <v>0</v>
      </c>
      <c r="LK171" s="561">
        <v>0</v>
      </c>
      <c r="LL171" s="561">
        <v>11768</v>
      </c>
      <c r="LM171" s="561">
        <v>0</v>
      </c>
      <c r="LN171" s="561">
        <v>0</v>
      </c>
      <c r="LO171" s="561">
        <v>0</v>
      </c>
      <c r="LP171" s="561">
        <v>0</v>
      </c>
      <c r="LQ171" s="561">
        <v>0</v>
      </c>
      <c r="LR171" s="561">
        <v>12971</v>
      </c>
      <c r="LS171" s="561">
        <v>0</v>
      </c>
      <c r="LT171" s="561">
        <v>0</v>
      </c>
      <c r="LU171" s="561">
        <v>2899</v>
      </c>
      <c r="LV171" s="561">
        <v>466</v>
      </c>
      <c r="LW171" s="561">
        <v>-44</v>
      </c>
      <c r="LX171" s="561">
        <v>-4500</v>
      </c>
      <c r="LY171" s="561">
        <v>2160</v>
      </c>
      <c r="LZ171" s="561">
        <v>981</v>
      </c>
      <c r="MA171" s="561">
        <v>0</v>
      </c>
      <c r="MB171" s="561">
        <v>0</v>
      </c>
      <c r="MC171" s="561">
        <v>18596</v>
      </c>
      <c r="MD171" s="561">
        <v>17606</v>
      </c>
      <c r="ME171" s="561">
        <v>990</v>
      </c>
      <c r="MF171" s="561">
        <v>12990</v>
      </c>
      <c r="MG171" s="561">
        <v>13980</v>
      </c>
      <c r="MH171" s="561">
        <v>2511</v>
      </c>
      <c r="MI171" s="561">
        <v>4224</v>
      </c>
      <c r="MJ171" s="561">
        <v>6735</v>
      </c>
      <c r="MK171" s="561">
        <v>0</v>
      </c>
      <c r="ML171" s="561">
        <v>3383</v>
      </c>
      <c r="MM171" s="561">
        <v>5823</v>
      </c>
      <c r="MN171" s="561">
        <v>0</v>
      </c>
      <c r="MO171" s="561">
        <v>3765</v>
      </c>
      <c r="MP171" s="561">
        <v>0</v>
      </c>
      <c r="MQ171" s="561">
        <v>0</v>
      </c>
      <c r="MR171" s="561">
        <v>-1081</v>
      </c>
      <c r="MS171" s="561">
        <v>0</v>
      </c>
      <c r="MT171" s="561">
        <v>0</v>
      </c>
      <c r="MU171" s="561">
        <v>0</v>
      </c>
      <c r="MV171" s="561">
        <v>1554</v>
      </c>
      <c r="MW171" s="561">
        <v>1711</v>
      </c>
      <c r="MX171" s="561">
        <v>5889</v>
      </c>
      <c r="MY171" s="561">
        <v>1709</v>
      </c>
      <c r="MZ171" s="561">
        <v>0</v>
      </c>
      <c r="NA171" s="561">
        <v>0</v>
      </c>
      <c r="NB171" s="561">
        <v>2503</v>
      </c>
      <c r="NC171" s="561">
        <v>0</v>
      </c>
      <c r="ND171" s="561">
        <v>12285</v>
      </c>
      <c r="NE171" s="561">
        <v>0</v>
      </c>
      <c r="NF171" s="561">
        <v>0</v>
      </c>
      <c r="NG171" s="561">
        <v>0</v>
      </c>
      <c r="NH171" s="561">
        <v>0</v>
      </c>
      <c r="NI171" s="561">
        <v>0</v>
      </c>
      <c r="NJ171" s="561">
        <v>0</v>
      </c>
      <c r="NK171" s="561">
        <v>0</v>
      </c>
      <c r="NL171" s="561">
        <v>0</v>
      </c>
      <c r="NM171" s="561">
        <v>0</v>
      </c>
      <c r="NN171" s="561">
        <v>0</v>
      </c>
      <c r="NO171" s="561">
        <v>0</v>
      </c>
      <c r="NP171" s="561">
        <v>0</v>
      </c>
      <c r="NQ171" s="561">
        <v>0</v>
      </c>
      <c r="NR171" s="561">
        <v>0</v>
      </c>
      <c r="NS171" s="561">
        <v>0</v>
      </c>
      <c r="NT171" s="561">
        <v>0</v>
      </c>
      <c r="NU171" s="561">
        <v>0</v>
      </c>
      <c r="NV171" s="561">
        <v>0</v>
      </c>
      <c r="NW171" s="561">
        <v>0</v>
      </c>
      <c r="NX171" s="561">
        <v>0</v>
      </c>
      <c r="NY171" s="561">
        <v>0</v>
      </c>
      <c r="NZ171" s="561">
        <v>0</v>
      </c>
      <c r="OA171" s="561">
        <v>0</v>
      </c>
      <c r="OB171" s="561">
        <v>0</v>
      </c>
      <c r="OC171" s="561">
        <v>0</v>
      </c>
      <c r="OD171" s="561">
        <v>0</v>
      </c>
      <c r="OE171" s="561">
        <v>0</v>
      </c>
      <c r="OF171" s="561">
        <v>0</v>
      </c>
      <c r="OG171" s="561">
        <v>0</v>
      </c>
      <c r="OH171" s="561">
        <v>0</v>
      </c>
      <c r="OI171" s="561">
        <v>0</v>
      </c>
      <c r="OJ171" s="561">
        <v>0</v>
      </c>
      <c r="OK171" s="561">
        <v>0</v>
      </c>
      <c r="OL171" s="561">
        <v>0</v>
      </c>
      <c r="OM171" s="561">
        <v>0</v>
      </c>
      <c r="ON171" s="561">
        <v>0</v>
      </c>
      <c r="OO171" s="561">
        <v>0</v>
      </c>
      <c r="OP171" s="561">
        <v>0</v>
      </c>
      <c r="OQ171" s="561">
        <v>0</v>
      </c>
      <c r="OR171" s="561">
        <v>0</v>
      </c>
      <c r="OS171" s="561">
        <v>0</v>
      </c>
      <c r="OT171" s="561">
        <v>0</v>
      </c>
      <c r="OU171" s="561">
        <v>0</v>
      </c>
      <c r="OV171" s="561">
        <v>0</v>
      </c>
      <c r="OW171" s="561">
        <v>0</v>
      </c>
      <c r="OX171" s="561">
        <v>0</v>
      </c>
      <c r="OY171" s="561">
        <v>0</v>
      </c>
      <c r="OZ171" s="561">
        <v>0</v>
      </c>
      <c r="PA171" s="561">
        <v>0</v>
      </c>
      <c r="PB171" s="561">
        <v>0</v>
      </c>
      <c r="PC171" s="561">
        <v>0</v>
      </c>
      <c r="PD171" s="561">
        <v>0</v>
      </c>
      <c r="PE171" s="561">
        <v>0</v>
      </c>
      <c r="PF171" s="561">
        <v>0</v>
      </c>
      <c r="PG171" s="561">
        <v>0</v>
      </c>
      <c r="PH171" s="561">
        <v>0</v>
      </c>
      <c r="PI171" s="561">
        <v>0</v>
      </c>
      <c r="PJ171" s="561">
        <v>0</v>
      </c>
    </row>
    <row r="172" spans="1:426" ht="14" x14ac:dyDescent="0.3">
      <c r="A172" t="s">
        <v>2951</v>
      </c>
      <c r="B172" t="s">
        <v>2952</v>
      </c>
      <c r="C172" t="s">
        <v>2953</v>
      </c>
      <c r="E172" t="s">
        <v>2476</v>
      </c>
      <c r="F172" s="561">
        <v>34887</v>
      </c>
      <c r="G172" s="561">
        <v>70847</v>
      </c>
      <c r="H172" s="561">
        <v>48862</v>
      </c>
      <c r="I172" s="561">
        <v>67824</v>
      </c>
      <c r="J172" s="561">
        <v>2668</v>
      </c>
      <c r="K172" s="561">
        <v>30291</v>
      </c>
      <c r="L172" s="561">
        <v>255379</v>
      </c>
      <c r="M172" s="561">
        <v>0</v>
      </c>
      <c r="N172" s="561">
        <v>-141</v>
      </c>
      <c r="O172" s="561">
        <v>581</v>
      </c>
      <c r="P172" s="561">
        <v>2907</v>
      </c>
      <c r="Q172" s="561">
        <v>-382</v>
      </c>
      <c r="R172" s="561">
        <v>122</v>
      </c>
      <c r="S172" s="561">
        <v>0</v>
      </c>
      <c r="T172" s="561">
        <v>1182</v>
      </c>
      <c r="U172" s="561">
        <v>41</v>
      </c>
      <c r="V172" s="561">
        <v>676</v>
      </c>
      <c r="W172" s="561">
        <v>0</v>
      </c>
      <c r="X172" s="561">
        <v>0</v>
      </c>
      <c r="Y172" s="561">
        <v>314</v>
      </c>
      <c r="Z172" s="561">
        <v>579</v>
      </c>
      <c r="AA172" s="561">
        <v>-4390</v>
      </c>
      <c r="AB172" s="561">
        <v>-1328</v>
      </c>
      <c r="AC172" s="561">
        <v>6947</v>
      </c>
      <c r="AD172" s="561">
        <v>0</v>
      </c>
      <c r="AE172" s="561">
        <v>0</v>
      </c>
      <c r="AF172" s="561">
        <v>0</v>
      </c>
      <c r="AG172" s="561">
        <v>0</v>
      </c>
      <c r="AH172" s="561">
        <v>0</v>
      </c>
      <c r="AI172" s="561">
        <v>0</v>
      </c>
      <c r="AJ172" s="561">
        <v>7108</v>
      </c>
      <c r="AK172" s="561">
        <v>0</v>
      </c>
      <c r="AL172" s="561">
        <v>0</v>
      </c>
      <c r="AM172" s="561">
        <v>0</v>
      </c>
      <c r="AN172" s="561">
        <v>0</v>
      </c>
      <c r="AO172" s="561">
        <v>0</v>
      </c>
      <c r="AP172" s="561">
        <v>0</v>
      </c>
      <c r="AQ172" s="561">
        <v>0</v>
      </c>
      <c r="AR172" s="561">
        <v>0</v>
      </c>
      <c r="AS172" s="561">
        <v>5164</v>
      </c>
      <c r="AT172" s="561">
        <v>3447</v>
      </c>
      <c r="AU172" s="561">
        <v>0</v>
      </c>
      <c r="AV172" s="561">
        <v>0</v>
      </c>
      <c r="AW172" s="561">
        <v>0</v>
      </c>
      <c r="AX172" s="561">
        <v>2834</v>
      </c>
      <c r="AY172" s="561">
        <v>38188</v>
      </c>
      <c r="AZ172" s="561">
        <v>1160</v>
      </c>
      <c r="BA172" s="561">
        <v>8887</v>
      </c>
      <c r="BB172" s="561">
        <v>1898</v>
      </c>
      <c r="BC172" s="561">
        <v>15872</v>
      </c>
      <c r="BD172" s="561">
        <v>1850</v>
      </c>
      <c r="BE172" s="561">
        <v>2012</v>
      </c>
      <c r="BF172" s="561">
        <v>72701</v>
      </c>
      <c r="BG172" s="561">
        <v>0</v>
      </c>
      <c r="BH172" s="561">
        <v>8941</v>
      </c>
      <c r="BI172" s="561">
        <v>10037</v>
      </c>
      <c r="BJ172" s="561">
        <v>83</v>
      </c>
      <c r="BK172" s="561">
        <v>85</v>
      </c>
      <c r="BL172" s="561">
        <v>1726</v>
      </c>
      <c r="BM172" s="561">
        <v>14938</v>
      </c>
      <c r="BN172" s="561">
        <v>41320</v>
      </c>
      <c r="BO172" s="561">
        <v>4617</v>
      </c>
      <c r="BP172" s="561">
        <v>9570</v>
      </c>
      <c r="BQ172" s="561">
        <v>1769</v>
      </c>
      <c r="BR172" s="561">
        <v>606</v>
      </c>
      <c r="BS172" s="561">
        <v>0</v>
      </c>
      <c r="BT172" s="561">
        <v>0</v>
      </c>
      <c r="BU172" s="561">
        <v>423</v>
      </c>
      <c r="BV172" s="561">
        <v>81</v>
      </c>
      <c r="BW172" s="561">
        <v>9835</v>
      </c>
      <c r="BX172" s="561">
        <v>156</v>
      </c>
      <c r="BY172" s="561">
        <v>2527</v>
      </c>
      <c r="BZ172" s="561">
        <v>106714</v>
      </c>
      <c r="CA172" s="561">
        <v>0</v>
      </c>
      <c r="CB172" s="561">
        <v>3645</v>
      </c>
      <c r="CC172" s="561">
        <v>0</v>
      </c>
      <c r="CD172" s="561">
        <v>78</v>
      </c>
      <c r="CE172" s="561">
        <v>346</v>
      </c>
      <c r="CF172" s="561">
        <v>0</v>
      </c>
      <c r="CG172" s="561">
        <v>0</v>
      </c>
      <c r="CH172" s="561">
        <v>100</v>
      </c>
      <c r="CI172" s="561">
        <v>157</v>
      </c>
      <c r="CJ172" s="561">
        <v>0</v>
      </c>
      <c r="CK172" s="561">
        <v>219</v>
      </c>
      <c r="CL172" s="561">
        <v>181</v>
      </c>
      <c r="CM172" s="561">
        <v>172</v>
      </c>
      <c r="CN172" s="561">
        <v>0</v>
      </c>
      <c r="CO172" s="561">
        <v>3346</v>
      </c>
      <c r="CP172" s="561">
        <v>0</v>
      </c>
      <c r="CQ172" s="561">
        <v>72</v>
      </c>
      <c r="CR172" s="561">
        <v>0</v>
      </c>
      <c r="CS172" s="561">
        <v>0</v>
      </c>
      <c r="CT172" s="561">
        <v>235</v>
      </c>
      <c r="CU172" s="561">
        <v>5183</v>
      </c>
      <c r="CV172" s="561">
        <v>463</v>
      </c>
      <c r="CW172" s="561">
        <v>0</v>
      </c>
      <c r="CX172" s="561">
        <v>1616</v>
      </c>
      <c r="CY172" s="561">
        <v>2075</v>
      </c>
      <c r="CZ172" s="561">
        <v>17888</v>
      </c>
      <c r="DA172" s="561">
        <v>0</v>
      </c>
      <c r="DB172" s="561">
        <v>0</v>
      </c>
      <c r="DC172" s="561">
        <v>0</v>
      </c>
      <c r="DD172" s="561">
        <v>0</v>
      </c>
      <c r="DE172" s="561">
        <v>0</v>
      </c>
      <c r="DF172" s="561">
        <v>0</v>
      </c>
      <c r="DG172" s="561">
        <v>0</v>
      </c>
      <c r="DH172" s="561">
        <v>-8</v>
      </c>
      <c r="DI172" s="561">
        <v>0</v>
      </c>
      <c r="DJ172" s="561">
        <v>758</v>
      </c>
      <c r="DK172" s="561">
        <v>1</v>
      </c>
      <c r="DL172" s="561">
        <v>0</v>
      </c>
      <c r="DM172" s="561">
        <v>0</v>
      </c>
      <c r="DN172" s="561">
        <v>0</v>
      </c>
      <c r="DO172" s="561">
        <v>12648</v>
      </c>
      <c r="DP172" s="561">
        <v>0</v>
      </c>
      <c r="DQ172" s="561">
        <v>119</v>
      </c>
      <c r="DR172" s="561">
        <v>3960</v>
      </c>
      <c r="DS172" s="561">
        <v>3847</v>
      </c>
      <c r="DT172" s="561">
        <v>0</v>
      </c>
      <c r="DU172" s="561">
        <v>20574</v>
      </c>
      <c r="DV172" s="561">
        <v>0</v>
      </c>
      <c r="DW172" s="561">
        <v>0</v>
      </c>
      <c r="DX172" s="561">
        <v>0</v>
      </c>
      <c r="DY172" s="561">
        <v>2396</v>
      </c>
      <c r="DZ172" s="561">
        <v>1959</v>
      </c>
      <c r="EA172" s="561">
        <v>5246</v>
      </c>
      <c r="EB172" s="561">
        <v>0</v>
      </c>
      <c r="EC172" s="561">
        <v>30926</v>
      </c>
      <c r="ED172" s="561">
        <v>0</v>
      </c>
      <c r="EE172" s="561">
        <v>71516</v>
      </c>
      <c r="EF172" s="561">
        <v>33</v>
      </c>
      <c r="EG172" s="561">
        <v>8296</v>
      </c>
      <c r="EH172" s="561">
        <v>474</v>
      </c>
      <c r="EI172" s="561">
        <v>0</v>
      </c>
      <c r="EJ172" s="561">
        <v>0</v>
      </c>
      <c r="EK172" s="561">
        <v>0</v>
      </c>
      <c r="EL172" s="561">
        <v>0</v>
      </c>
      <c r="EM172" s="561">
        <v>0</v>
      </c>
      <c r="EN172" s="561">
        <v>14966</v>
      </c>
      <c r="EO172" s="561">
        <v>18532</v>
      </c>
      <c r="EP172" s="561">
        <v>4289</v>
      </c>
      <c r="EQ172" s="561">
        <v>0</v>
      </c>
      <c r="ER172" s="561">
        <v>3754</v>
      </c>
      <c r="ES172" s="561" t="s">
        <v>4565</v>
      </c>
      <c r="ET172" s="561">
        <v>9926</v>
      </c>
      <c r="EU172" s="561">
        <v>14068</v>
      </c>
      <c r="EV172" s="561">
        <v>0</v>
      </c>
      <c r="EW172" s="561">
        <v>0</v>
      </c>
      <c r="EX172" s="561">
        <v>13913</v>
      </c>
      <c r="EY172" s="561">
        <v>873</v>
      </c>
      <c r="EZ172" s="561">
        <v>-2</v>
      </c>
      <c r="FA172" s="561">
        <v>15101</v>
      </c>
      <c r="FB172" s="561">
        <v>0</v>
      </c>
      <c r="FC172" s="561">
        <v>1351</v>
      </c>
      <c r="FD172" s="561">
        <v>27</v>
      </c>
      <c r="FE172" s="561">
        <v>0</v>
      </c>
      <c r="FF172" s="561">
        <v>573</v>
      </c>
      <c r="FG172" s="561">
        <v>-33</v>
      </c>
      <c r="FH172" s="561">
        <v>0</v>
      </c>
      <c r="FI172" s="561">
        <v>1115</v>
      </c>
      <c r="FJ172" s="561">
        <v>542</v>
      </c>
      <c r="FK172" s="561">
        <v>5519</v>
      </c>
      <c r="FL172" s="561">
        <v>0</v>
      </c>
      <c r="FM172" s="561">
        <v>-20</v>
      </c>
      <c r="FN172" s="561">
        <v>4888</v>
      </c>
      <c r="FO172" s="561">
        <v>13962</v>
      </c>
      <c r="FP172" s="561">
        <v>0</v>
      </c>
      <c r="FQ172" s="561">
        <v>-1325</v>
      </c>
      <c r="FR172" s="561">
        <v>918</v>
      </c>
      <c r="FS172" s="561">
        <v>0</v>
      </c>
      <c r="FT172" s="561">
        <v>781</v>
      </c>
      <c r="FU172" s="561">
        <v>0</v>
      </c>
      <c r="FV172" s="561">
        <v>149</v>
      </c>
      <c r="FW172" s="561">
        <v>0</v>
      </c>
      <c r="FX172" s="561">
        <v>-266</v>
      </c>
      <c r="FY172" s="561">
        <v>0</v>
      </c>
      <c r="FZ172" s="561">
        <v>184</v>
      </c>
      <c r="GA172" s="561">
        <v>611</v>
      </c>
      <c r="GB172" s="561">
        <v>70</v>
      </c>
      <c r="GC172" s="561">
        <v>96</v>
      </c>
      <c r="GD172" s="561">
        <v>0</v>
      </c>
      <c r="GE172" s="561">
        <v>2955</v>
      </c>
      <c r="GF172" s="561">
        <v>380</v>
      </c>
      <c r="GG172" s="561">
        <v>120</v>
      </c>
      <c r="GH172" s="561">
        <v>0</v>
      </c>
      <c r="GI172" s="561">
        <v>0</v>
      </c>
      <c r="GJ172" s="561">
        <v>0</v>
      </c>
      <c r="GK172" s="561">
        <v>-5</v>
      </c>
      <c r="GL172" s="561">
        <v>4954</v>
      </c>
      <c r="GM172" s="561">
        <v>5379</v>
      </c>
      <c r="GN172" s="561">
        <v>1216</v>
      </c>
      <c r="GO172" s="561">
        <v>-1489</v>
      </c>
      <c r="GP172" s="561">
        <v>4775</v>
      </c>
      <c r="GQ172" s="561">
        <v>0</v>
      </c>
      <c r="GR172" s="561">
        <v>-1</v>
      </c>
      <c r="GS172" s="561">
        <v>19502</v>
      </c>
      <c r="GT172" s="561">
        <v>0</v>
      </c>
      <c r="GU172" s="561">
        <v>169</v>
      </c>
      <c r="GV172" s="561">
        <v>1352</v>
      </c>
      <c r="GW172" s="561">
        <v>0</v>
      </c>
      <c r="GX172" s="561">
        <v>46</v>
      </c>
      <c r="GY172" s="561">
        <v>134</v>
      </c>
      <c r="GZ172" s="561">
        <v>-2572</v>
      </c>
      <c r="HA172" s="561">
        <v>98</v>
      </c>
      <c r="HB172" s="561">
        <v>0</v>
      </c>
      <c r="HC172" s="561">
        <v>869</v>
      </c>
      <c r="HD172" s="561">
        <v>96</v>
      </c>
      <c r="HE172" s="561">
        <v>0</v>
      </c>
      <c r="HF172" s="561">
        <v>33560</v>
      </c>
      <c r="HG172" s="561">
        <v>0</v>
      </c>
      <c r="HH172" s="561">
        <v>0</v>
      </c>
      <c r="HI172" s="561">
        <v>0</v>
      </c>
      <c r="HJ172" s="561">
        <v>0</v>
      </c>
      <c r="HK172" s="561">
        <v>0</v>
      </c>
      <c r="HL172" s="561">
        <v>0</v>
      </c>
      <c r="HM172" s="561">
        <v>0</v>
      </c>
      <c r="HN172" s="561">
        <v>0</v>
      </c>
      <c r="HO172" s="561">
        <v>7080</v>
      </c>
      <c r="HP172" s="561">
        <v>116</v>
      </c>
      <c r="HQ172" s="561">
        <v>0</v>
      </c>
      <c r="HR172" s="561">
        <v>1247</v>
      </c>
      <c r="HS172" s="561">
        <v>795</v>
      </c>
      <c r="HT172" s="561">
        <v>116</v>
      </c>
      <c r="HU172" s="561">
        <v>0</v>
      </c>
      <c r="HV172" s="561">
        <v>114</v>
      </c>
      <c r="HW172" s="561">
        <v>1</v>
      </c>
      <c r="HX172" s="561">
        <v>10</v>
      </c>
      <c r="HY172" s="561">
        <v>142</v>
      </c>
      <c r="HZ172" s="561">
        <v>-230</v>
      </c>
      <c r="IA172" s="561">
        <v>0</v>
      </c>
      <c r="IB172" s="561">
        <v>-4</v>
      </c>
      <c r="IC172" s="561">
        <v>0</v>
      </c>
      <c r="ID172" s="561">
        <v>0</v>
      </c>
      <c r="IE172" s="561">
        <v>0</v>
      </c>
      <c r="IF172" s="561">
        <v>0</v>
      </c>
      <c r="IG172" s="561">
        <v>897</v>
      </c>
      <c r="IH172" s="561">
        <v>-1452</v>
      </c>
      <c r="II172" s="561">
        <v>8832</v>
      </c>
      <c r="IJ172" s="561">
        <v>0</v>
      </c>
      <c r="IK172" s="561">
        <v>1864</v>
      </c>
      <c r="IL172" s="561">
        <v>29839</v>
      </c>
      <c r="IM172" s="561">
        <v>0</v>
      </c>
      <c r="IN172" s="561">
        <v>11307</v>
      </c>
      <c r="IO172" s="561">
        <v>0</v>
      </c>
      <c r="IP172" s="561">
        <v>0</v>
      </c>
      <c r="IQ172" s="561">
        <v>0</v>
      </c>
      <c r="IR172" s="561">
        <v>255379</v>
      </c>
      <c r="IS172" s="561">
        <v>7108</v>
      </c>
      <c r="IT172" s="561">
        <v>72701</v>
      </c>
      <c r="IU172" s="561">
        <v>106714</v>
      </c>
      <c r="IV172" s="561">
        <v>17888</v>
      </c>
      <c r="IW172" s="561">
        <v>30926</v>
      </c>
      <c r="IX172" s="561">
        <v>13962</v>
      </c>
      <c r="IY172" s="561">
        <v>19502</v>
      </c>
      <c r="IZ172" s="561">
        <v>96</v>
      </c>
      <c r="JA172" s="561">
        <v>0</v>
      </c>
      <c r="JB172" s="561">
        <v>0</v>
      </c>
      <c r="JC172" s="561">
        <v>8832</v>
      </c>
      <c r="JD172" s="561">
        <v>0</v>
      </c>
      <c r="JE172" s="561">
        <v>533108</v>
      </c>
      <c r="JF172" s="561">
        <v>42492</v>
      </c>
      <c r="JG172" s="561">
        <v>6756</v>
      </c>
      <c r="JH172" s="561">
        <v>26640</v>
      </c>
      <c r="JI172" s="561">
        <v>0</v>
      </c>
      <c r="JJ172" s="561">
        <v>0</v>
      </c>
      <c r="JK172" s="561">
        <v>0</v>
      </c>
      <c r="JL172" s="561">
        <v>0</v>
      </c>
      <c r="JM172" s="561">
        <v>13666</v>
      </c>
      <c r="JN172" s="561">
        <v>274</v>
      </c>
      <c r="JO172" s="561">
        <v>579</v>
      </c>
      <c r="JP172" s="561">
        <v>0</v>
      </c>
      <c r="JQ172" s="561">
        <v>0</v>
      </c>
      <c r="JR172" s="561">
        <v>0</v>
      </c>
      <c r="JS172" s="561">
        <v>0</v>
      </c>
      <c r="JT172" s="561">
        <v>0</v>
      </c>
      <c r="JU172" s="561">
        <v>0</v>
      </c>
      <c r="JV172" s="561">
        <v>623515</v>
      </c>
      <c r="JW172" s="561">
        <v>249</v>
      </c>
      <c r="JX172" s="561">
        <v>0</v>
      </c>
      <c r="JY172" s="561">
        <v>0</v>
      </c>
      <c r="JZ172" s="561">
        <v>0</v>
      </c>
      <c r="KA172" s="561">
        <v>0</v>
      </c>
      <c r="KB172" s="561">
        <v>3577</v>
      </c>
      <c r="KC172" s="561">
        <v>10192</v>
      </c>
      <c r="KD172" s="561">
        <v>0</v>
      </c>
      <c r="KE172" s="561">
        <v>6932</v>
      </c>
      <c r="KF172" s="561">
        <v>3791</v>
      </c>
      <c r="KG172" s="561">
        <v>648256</v>
      </c>
      <c r="KH172" s="561">
        <v>-2805</v>
      </c>
      <c r="KI172" s="561">
        <v>0</v>
      </c>
      <c r="KJ172" s="561">
        <v>-10</v>
      </c>
      <c r="KK172" s="561">
        <v>0</v>
      </c>
      <c r="KL172" s="561">
        <v>-81153</v>
      </c>
      <c r="KM172" s="561">
        <v>0</v>
      </c>
      <c r="KN172" s="561">
        <v>0</v>
      </c>
      <c r="KO172" s="561">
        <v>0</v>
      </c>
      <c r="KP172" s="561">
        <v>0</v>
      </c>
      <c r="KQ172" s="561">
        <v>-15313.12</v>
      </c>
      <c r="KR172" s="561">
        <v>548974.88</v>
      </c>
      <c r="KS172" s="561">
        <v>0</v>
      </c>
      <c r="KT172" s="561">
        <v>-294110</v>
      </c>
      <c r="KU172" s="561">
        <v>254864.88</v>
      </c>
      <c r="KV172" s="561">
        <v>0</v>
      </c>
      <c r="KW172" s="561">
        <v>-3505</v>
      </c>
      <c r="KX172" s="561">
        <v>0</v>
      </c>
      <c r="KY172" s="561">
        <v>1927</v>
      </c>
      <c r="KZ172" s="561">
        <v>6487.1</v>
      </c>
      <c r="LA172" s="561">
        <v>-31501</v>
      </c>
      <c r="LB172" s="561">
        <v>-8660</v>
      </c>
      <c r="LC172" s="561">
        <v>0</v>
      </c>
      <c r="LD172" s="561">
        <v>-74861</v>
      </c>
      <c r="LE172" s="561">
        <v>999</v>
      </c>
      <c r="LF172" s="561">
        <v>0</v>
      </c>
      <c r="LG172" s="561">
        <v>145751</v>
      </c>
      <c r="LH172" s="561">
        <v>11356</v>
      </c>
      <c r="LI172" s="561">
        <v>-50519.97</v>
      </c>
      <c r="LJ172" s="561">
        <v>0</v>
      </c>
      <c r="LK172" s="561">
        <v>662</v>
      </c>
      <c r="LL172" s="561">
        <v>2617.92</v>
      </c>
      <c r="LM172" s="561">
        <v>26838</v>
      </c>
      <c r="LN172" s="561">
        <v>7851</v>
      </c>
      <c r="LO172" s="561">
        <v>-65833.09</v>
      </c>
      <c r="LP172" s="561">
        <v>0</v>
      </c>
      <c r="LQ172" s="561">
        <v>2589</v>
      </c>
      <c r="LR172" s="561">
        <v>9105.02</v>
      </c>
      <c r="LS172" s="561">
        <v>-4663</v>
      </c>
      <c r="LT172" s="561">
        <v>0</v>
      </c>
      <c r="LU172" s="561">
        <v>28866</v>
      </c>
      <c r="LV172" s="561">
        <v>0</v>
      </c>
      <c r="LW172" s="561">
        <v>0</v>
      </c>
      <c r="LX172" s="561">
        <v>0</v>
      </c>
      <c r="LY172" s="561">
        <v>17438</v>
      </c>
      <c r="LZ172" s="561">
        <v>46304</v>
      </c>
      <c r="MA172" s="561">
        <v>0</v>
      </c>
      <c r="MB172" s="561">
        <v>0</v>
      </c>
      <c r="MC172" s="561">
        <v>80319</v>
      </c>
      <c r="MD172" s="561">
        <v>80321</v>
      </c>
      <c r="ME172" s="561">
        <v>-2</v>
      </c>
      <c r="MF172" s="561">
        <v>15101</v>
      </c>
      <c r="MG172" s="561">
        <v>15099</v>
      </c>
      <c r="MH172" s="561">
        <v>6760.75</v>
      </c>
      <c r="MI172" s="561">
        <v>12370.6</v>
      </c>
      <c r="MJ172" s="561">
        <v>19131.349999999999</v>
      </c>
      <c r="MK172" s="561">
        <v>0</v>
      </c>
      <c r="ML172" s="561">
        <v>0</v>
      </c>
      <c r="MM172" s="561">
        <v>2574.21</v>
      </c>
      <c r="MN172" s="561">
        <v>5755.91</v>
      </c>
      <c r="MO172" s="561">
        <v>774.9</v>
      </c>
      <c r="MP172" s="561">
        <v>0</v>
      </c>
      <c r="MQ172" s="561">
        <v>255379</v>
      </c>
      <c r="MR172" s="561">
        <v>7108</v>
      </c>
      <c r="MS172" s="561">
        <v>72701</v>
      </c>
      <c r="MT172" s="561">
        <v>106714</v>
      </c>
      <c r="MU172" s="561">
        <v>17888</v>
      </c>
      <c r="MV172" s="561">
        <v>30926</v>
      </c>
      <c r="MW172" s="561">
        <v>13962</v>
      </c>
      <c r="MX172" s="561">
        <v>19502</v>
      </c>
      <c r="MY172" s="561">
        <v>96</v>
      </c>
      <c r="MZ172" s="561">
        <v>0</v>
      </c>
      <c r="NA172" s="561">
        <v>0</v>
      </c>
      <c r="NB172" s="561">
        <v>8832</v>
      </c>
      <c r="NC172" s="561">
        <v>0</v>
      </c>
      <c r="ND172" s="561">
        <v>533108</v>
      </c>
      <c r="NE172" s="561">
        <v>0</v>
      </c>
      <c r="NF172" s="561">
        <v>0</v>
      </c>
      <c r="NG172" s="561">
        <v>0</v>
      </c>
      <c r="NH172" s="561">
        <v>0</v>
      </c>
      <c r="NI172" s="561">
        <v>0</v>
      </c>
      <c r="NJ172" s="561">
        <v>0</v>
      </c>
      <c r="NK172" s="561">
        <v>0</v>
      </c>
      <c r="NL172" s="561">
        <v>0</v>
      </c>
      <c r="NM172" s="561">
        <v>0</v>
      </c>
      <c r="NN172" s="561">
        <v>0</v>
      </c>
      <c r="NO172" s="561">
        <v>0</v>
      </c>
      <c r="NP172" s="561">
        <v>0</v>
      </c>
      <c r="NQ172" s="561">
        <v>0</v>
      </c>
      <c r="NR172" s="561">
        <v>0</v>
      </c>
      <c r="NS172" s="561">
        <v>0</v>
      </c>
      <c r="NT172" s="561">
        <v>0</v>
      </c>
      <c r="NU172" s="561">
        <v>0</v>
      </c>
      <c r="NV172" s="561">
        <v>0</v>
      </c>
      <c r="NW172" s="561">
        <v>0</v>
      </c>
      <c r="NX172" s="561">
        <v>0</v>
      </c>
      <c r="NY172" s="561">
        <v>0</v>
      </c>
      <c r="NZ172" s="561">
        <v>0</v>
      </c>
      <c r="OA172" s="561">
        <v>0</v>
      </c>
      <c r="OB172" s="561">
        <v>0</v>
      </c>
      <c r="OC172" s="561">
        <v>0</v>
      </c>
      <c r="OD172" s="561">
        <v>0</v>
      </c>
      <c r="OE172" s="561">
        <v>0</v>
      </c>
      <c r="OF172" s="561">
        <v>0</v>
      </c>
      <c r="OG172" s="561">
        <v>0</v>
      </c>
      <c r="OH172" s="561">
        <v>0</v>
      </c>
      <c r="OI172" s="561">
        <v>0</v>
      </c>
      <c r="OJ172" s="561">
        <v>0</v>
      </c>
      <c r="OK172" s="561">
        <v>0</v>
      </c>
      <c r="OL172" s="561">
        <v>0</v>
      </c>
      <c r="OM172" s="561">
        <v>0</v>
      </c>
      <c r="ON172" s="561">
        <v>0</v>
      </c>
      <c r="OO172" s="561">
        <v>0</v>
      </c>
      <c r="OP172" s="561">
        <v>0</v>
      </c>
      <c r="OQ172" s="561">
        <v>0</v>
      </c>
      <c r="OR172" s="561">
        <v>0</v>
      </c>
      <c r="OS172" s="561">
        <v>0</v>
      </c>
      <c r="OT172" s="561">
        <v>0</v>
      </c>
      <c r="OU172" s="561">
        <v>0</v>
      </c>
      <c r="OV172" s="561">
        <v>0</v>
      </c>
      <c r="OW172" s="561">
        <v>0</v>
      </c>
      <c r="OX172" s="561">
        <v>0</v>
      </c>
      <c r="OY172" s="561">
        <v>0</v>
      </c>
      <c r="OZ172" s="561">
        <v>0</v>
      </c>
      <c r="PA172" s="561">
        <v>0</v>
      </c>
      <c r="PB172" s="561">
        <v>0</v>
      </c>
      <c r="PC172" s="561">
        <v>0</v>
      </c>
      <c r="PD172" s="561">
        <v>0</v>
      </c>
      <c r="PE172" s="561">
        <v>0</v>
      </c>
      <c r="PF172" s="561">
        <v>0</v>
      </c>
      <c r="PG172" s="561">
        <v>0</v>
      </c>
      <c r="PH172" s="561">
        <v>0</v>
      </c>
      <c r="PI172" s="561">
        <v>0</v>
      </c>
      <c r="PJ172" s="561">
        <v>0</v>
      </c>
    </row>
    <row r="173" spans="1:426" ht="14" x14ac:dyDescent="0.3">
      <c r="A173" t="s">
        <v>2954</v>
      </c>
      <c r="B173" t="s">
        <v>2955</v>
      </c>
      <c r="C173" t="s">
        <v>2956</v>
      </c>
      <c r="E173" t="s">
        <v>384</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76</v>
      </c>
      <c r="U173" s="561">
        <v>0</v>
      </c>
      <c r="V173" s="561">
        <v>65</v>
      </c>
      <c r="W173" s="561">
        <v>0</v>
      </c>
      <c r="X173" s="561">
        <v>0</v>
      </c>
      <c r="Y173" s="561">
        <v>0</v>
      </c>
      <c r="Z173" s="561">
        <v>0</v>
      </c>
      <c r="AA173" s="561">
        <v>0</v>
      </c>
      <c r="AB173" s="561">
        <v>153</v>
      </c>
      <c r="AC173" s="561">
        <v>0</v>
      </c>
      <c r="AD173" s="561">
        <v>0</v>
      </c>
      <c r="AE173" s="561">
        <v>0</v>
      </c>
      <c r="AF173" s="561">
        <v>0</v>
      </c>
      <c r="AG173" s="561">
        <v>0</v>
      </c>
      <c r="AH173" s="561">
        <v>0</v>
      </c>
      <c r="AI173" s="561">
        <v>0</v>
      </c>
      <c r="AJ173" s="561">
        <v>294</v>
      </c>
      <c r="AK173" s="561">
        <v>0</v>
      </c>
      <c r="AL173" s="561">
        <v>0</v>
      </c>
      <c r="AM173" s="561">
        <v>0</v>
      </c>
      <c r="AN173" s="561">
        <v>0</v>
      </c>
      <c r="AO173" s="561">
        <v>0</v>
      </c>
      <c r="AP173" s="561">
        <v>0</v>
      </c>
      <c r="AQ173" s="561">
        <v>0</v>
      </c>
      <c r="AR173" s="561">
        <v>0</v>
      </c>
      <c r="AS173" s="561">
        <v>0</v>
      </c>
      <c r="AT173" s="561">
        <v>0</v>
      </c>
      <c r="AU173" s="561">
        <v>0</v>
      </c>
      <c r="AV173" s="561">
        <v>0</v>
      </c>
      <c r="AW173" s="561">
        <v>0</v>
      </c>
      <c r="AX173" s="561">
        <v>0</v>
      </c>
      <c r="AY173" s="561">
        <v>0</v>
      </c>
      <c r="AZ173" s="561">
        <v>0</v>
      </c>
      <c r="BA173" s="561">
        <v>0</v>
      </c>
      <c r="BB173" s="561">
        <v>0</v>
      </c>
      <c r="BC173" s="561">
        <v>0</v>
      </c>
      <c r="BD173" s="561">
        <v>0</v>
      </c>
      <c r="BE173" s="561">
        <v>0</v>
      </c>
      <c r="BF173" s="561">
        <v>0</v>
      </c>
      <c r="BG173" s="561">
        <v>0</v>
      </c>
      <c r="BH173" s="561">
        <v>0</v>
      </c>
      <c r="BI173" s="561">
        <v>0</v>
      </c>
      <c r="BJ173" s="561">
        <v>0</v>
      </c>
      <c r="BK173" s="561">
        <v>0</v>
      </c>
      <c r="BL173" s="561">
        <v>0</v>
      </c>
      <c r="BM173" s="561">
        <v>0</v>
      </c>
      <c r="BN173" s="561">
        <v>0</v>
      </c>
      <c r="BO173" s="561">
        <v>0</v>
      </c>
      <c r="BP173" s="561">
        <v>0</v>
      </c>
      <c r="BQ173" s="561">
        <v>0</v>
      </c>
      <c r="BR173" s="561">
        <v>0</v>
      </c>
      <c r="BS173" s="561">
        <v>0</v>
      </c>
      <c r="BT173" s="561">
        <v>0</v>
      </c>
      <c r="BU173" s="561">
        <v>0</v>
      </c>
      <c r="BV173" s="561">
        <v>0</v>
      </c>
      <c r="BW173" s="561">
        <v>0</v>
      </c>
      <c r="BX173" s="561">
        <v>0</v>
      </c>
      <c r="BY173" s="561">
        <v>0</v>
      </c>
      <c r="BZ173" s="561">
        <v>0</v>
      </c>
      <c r="CA173" s="561">
        <v>0</v>
      </c>
      <c r="CB173" s="561">
        <v>0</v>
      </c>
      <c r="CC173" s="561">
        <v>0</v>
      </c>
      <c r="CD173" s="561">
        <v>0</v>
      </c>
      <c r="CE173" s="561">
        <v>0</v>
      </c>
      <c r="CF173" s="561">
        <v>0</v>
      </c>
      <c r="CG173" s="561">
        <v>0</v>
      </c>
      <c r="CH173" s="561">
        <v>0</v>
      </c>
      <c r="CI173" s="561">
        <v>0</v>
      </c>
      <c r="CJ173" s="561">
        <v>0</v>
      </c>
      <c r="CK173" s="561">
        <v>0</v>
      </c>
      <c r="CL173" s="561">
        <v>0</v>
      </c>
      <c r="CM173" s="561">
        <v>0</v>
      </c>
      <c r="CN173" s="561">
        <v>0</v>
      </c>
      <c r="CO173" s="561">
        <v>0</v>
      </c>
      <c r="CP173" s="561">
        <v>0</v>
      </c>
      <c r="CQ173" s="561">
        <v>0</v>
      </c>
      <c r="CR173" s="561">
        <v>0</v>
      </c>
      <c r="CS173" s="561">
        <v>0</v>
      </c>
      <c r="CT173" s="561">
        <v>0</v>
      </c>
      <c r="CU173" s="561">
        <v>0</v>
      </c>
      <c r="CV173" s="561">
        <v>0</v>
      </c>
      <c r="CW173" s="561">
        <v>0</v>
      </c>
      <c r="CX173" s="561">
        <v>0</v>
      </c>
      <c r="CY173" s="561">
        <v>0</v>
      </c>
      <c r="CZ173" s="561">
        <v>0</v>
      </c>
      <c r="DA173" s="561">
        <v>0</v>
      </c>
      <c r="DB173" s="561">
        <v>0</v>
      </c>
      <c r="DC173" s="561">
        <v>0</v>
      </c>
      <c r="DD173" s="561">
        <v>0</v>
      </c>
      <c r="DE173" s="561">
        <v>0</v>
      </c>
      <c r="DF173" s="561">
        <v>0</v>
      </c>
      <c r="DG173" s="561">
        <v>0</v>
      </c>
      <c r="DH173" s="561">
        <v>80</v>
      </c>
      <c r="DI173" s="561">
        <v>0</v>
      </c>
      <c r="DJ173" s="561">
        <v>412</v>
      </c>
      <c r="DK173" s="561">
        <v>0</v>
      </c>
      <c r="DL173" s="561">
        <v>407</v>
      </c>
      <c r="DM173" s="561">
        <v>0</v>
      </c>
      <c r="DN173" s="561">
        <v>0</v>
      </c>
      <c r="DO173" s="561">
        <v>524</v>
      </c>
      <c r="DP173" s="561">
        <v>0</v>
      </c>
      <c r="DQ173" s="561">
        <v>0</v>
      </c>
      <c r="DR173" s="561">
        <v>677</v>
      </c>
      <c r="DS173" s="561">
        <v>0</v>
      </c>
      <c r="DT173" s="561">
        <v>0</v>
      </c>
      <c r="DU173" s="561">
        <v>1608</v>
      </c>
      <c r="DV173" s="561">
        <v>0</v>
      </c>
      <c r="DW173" s="561">
        <v>0</v>
      </c>
      <c r="DX173" s="561">
        <v>0</v>
      </c>
      <c r="DY173" s="561">
        <v>261</v>
      </c>
      <c r="DZ173" s="561">
        <v>-5</v>
      </c>
      <c r="EA173" s="561">
        <v>0</v>
      </c>
      <c r="EB173" s="561">
        <v>0</v>
      </c>
      <c r="EC173" s="561">
        <v>2356</v>
      </c>
      <c r="ED173" s="561">
        <v>15</v>
      </c>
      <c r="EE173" s="561">
        <v>15381</v>
      </c>
      <c r="EF173" s="561">
        <v>71</v>
      </c>
      <c r="EG173" s="561">
        <v>911</v>
      </c>
      <c r="EH173" s="561">
        <v>1253</v>
      </c>
      <c r="EI173" s="561">
        <v>0</v>
      </c>
      <c r="EJ173" s="561">
        <v>0</v>
      </c>
      <c r="EK173" s="561">
        <v>520</v>
      </c>
      <c r="EL173" s="561">
        <v>0</v>
      </c>
      <c r="EM173" s="561">
        <v>-1</v>
      </c>
      <c r="EN173" s="561">
        <v>3649</v>
      </c>
      <c r="EO173" s="561">
        <v>4535</v>
      </c>
      <c r="EP173" s="561">
        <v>0</v>
      </c>
      <c r="EQ173" s="561">
        <v>496</v>
      </c>
      <c r="ER173" s="561">
        <v>1912</v>
      </c>
      <c r="ES173" s="561" t="s">
        <v>4565</v>
      </c>
      <c r="ET173" s="561">
        <v>3795</v>
      </c>
      <c r="EU173" s="561">
        <v>0</v>
      </c>
      <c r="EV173" s="561">
        <v>1</v>
      </c>
      <c r="EW173" s="561">
        <v>51</v>
      </c>
      <c r="EX173" s="561">
        <v>2901</v>
      </c>
      <c r="EY173" s="561">
        <v>25</v>
      </c>
      <c r="EZ173" s="561">
        <v>770</v>
      </c>
      <c r="FA173" s="561">
        <v>3988</v>
      </c>
      <c r="FB173" s="561">
        <v>0</v>
      </c>
      <c r="FC173" s="561">
        <v>124</v>
      </c>
      <c r="FD173" s="561">
        <v>0</v>
      </c>
      <c r="FE173" s="561">
        <v>0</v>
      </c>
      <c r="FF173" s="561">
        <v>72</v>
      </c>
      <c r="FG173" s="561">
        <v>0</v>
      </c>
      <c r="FH173" s="561">
        <v>0</v>
      </c>
      <c r="FI173" s="561">
        <v>166</v>
      </c>
      <c r="FJ173" s="561">
        <v>-946</v>
      </c>
      <c r="FK173" s="561">
        <v>1154</v>
      </c>
      <c r="FL173" s="561">
        <v>0</v>
      </c>
      <c r="FM173" s="561">
        <v>0</v>
      </c>
      <c r="FN173" s="561">
        <v>0</v>
      </c>
      <c r="FO173" s="561">
        <v>570</v>
      </c>
      <c r="FP173" s="561">
        <v>0</v>
      </c>
      <c r="FQ173" s="561">
        <v>201</v>
      </c>
      <c r="FR173" s="561">
        <v>0</v>
      </c>
      <c r="FS173" s="561">
        <v>0</v>
      </c>
      <c r="FT173" s="561">
        <v>0</v>
      </c>
      <c r="FU173" s="561">
        <v>1078</v>
      </c>
      <c r="FV173" s="561">
        <v>0</v>
      </c>
      <c r="FW173" s="561">
        <v>0</v>
      </c>
      <c r="FX173" s="561">
        <v>0</v>
      </c>
      <c r="FY173" s="561">
        <v>0</v>
      </c>
      <c r="FZ173" s="561">
        <v>53</v>
      </c>
      <c r="GA173" s="561">
        <v>56</v>
      </c>
      <c r="GB173" s="561">
        <v>57</v>
      </c>
      <c r="GC173" s="561">
        <v>105</v>
      </c>
      <c r="GD173" s="561">
        <v>719</v>
      </c>
      <c r="GE173" s="561">
        <v>0</v>
      </c>
      <c r="GF173" s="561">
        <v>160</v>
      </c>
      <c r="GG173" s="561">
        <v>0</v>
      </c>
      <c r="GH173" s="561">
        <v>32</v>
      </c>
      <c r="GI173" s="561">
        <v>0</v>
      </c>
      <c r="GJ173" s="561">
        <v>0</v>
      </c>
      <c r="GK173" s="561">
        <v>0</v>
      </c>
      <c r="GL173" s="561">
        <v>1096</v>
      </c>
      <c r="GM173" s="561">
        <v>1614</v>
      </c>
      <c r="GN173" s="561">
        <v>0</v>
      </c>
      <c r="GO173" s="561">
        <v>-336</v>
      </c>
      <c r="GP173" s="561">
        <v>930</v>
      </c>
      <c r="GQ173" s="561">
        <v>0</v>
      </c>
      <c r="GR173" s="561">
        <v>68</v>
      </c>
      <c r="GS173" s="561">
        <v>5833</v>
      </c>
      <c r="GT173" s="561">
        <v>829</v>
      </c>
      <c r="GU173" s="561">
        <v>140</v>
      </c>
      <c r="GV173" s="561">
        <v>1040</v>
      </c>
      <c r="GW173" s="561">
        <v>0</v>
      </c>
      <c r="GX173" s="561">
        <v>1121</v>
      </c>
      <c r="GY173" s="561">
        <v>0</v>
      </c>
      <c r="GZ173" s="561">
        <v>131</v>
      </c>
      <c r="HA173" s="561">
        <v>0</v>
      </c>
      <c r="HB173" s="561">
        <v>0</v>
      </c>
      <c r="HC173" s="561">
        <v>247</v>
      </c>
      <c r="HD173" s="561">
        <v>2679</v>
      </c>
      <c r="HE173" s="561">
        <v>35</v>
      </c>
      <c r="HF173" s="561">
        <v>9082</v>
      </c>
      <c r="HG173" s="561">
        <v>864</v>
      </c>
      <c r="HH173" s="561">
        <v>0</v>
      </c>
      <c r="HI173" s="561">
        <v>0</v>
      </c>
      <c r="HJ173" s="561">
        <v>0</v>
      </c>
      <c r="HK173" s="561">
        <v>0</v>
      </c>
      <c r="HL173" s="561">
        <v>0</v>
      </c>
      <c r="HM173" s="561">
        <v>0</v>
      </c>
      <c r="HN173" s="561">
        <v>0</v>
      </c>
      <c r="HO173" s="561">
        <v>1881</v>
      </c>
      <c r="HP173" s="561">
        <v>560</v>
      </c>
      <c r="HQ173" s="561">
        <v>0</v>
      </c>
      <c r="HR173" s="561">
        <v>95</v>
      </c>
      <c r="HS173" s="561">
        <v>492</v>
      </c>
      <c r="HT173" s="561">
        <v>76</v>
      </c>
      <c r="HU173" s="561">
        <v>0</v>
      </c>
      <c r="HV173" s="561">
        <v>0</v>
      </c>
      <c r="HW173" s="561">
        <v>80</v>
      </c>
      <c r="HX173" s="561">
        <v>274</v>
      </c>
      <c r="HY173" s="561">
        <v>91</v>
      </c>
      <c r="HZ173" s="561">
        <v>32</v>
      </c>
      <c r="IA173" s="561">
        <v>0</v>
      </c>
      <c r="IB173" s="561">
        <v>-1480</v>
      </c>
      <c r="IC173" s="561">
        <v>0</v>
      </c>
      <c r="ID173" s="561">
        <v>0</v>
      </c>
      <c r="IE173" s="561">
        <v>71</v>
      </c>
      <c r="IF173" s="561">
        <v>0</v>
      </c>
      <c r="IG173" s="561">
        <v>0</v>
      </c>
      <c r="IH173" s="561">
        <v>-1317</v>
      </c>
      <c r="II173" s="561">
        <v>855</v>
      </c>
      <c r="IJ173" s="561">
        <v>636</v>
      </c>
      <c r="IK173" s="561">
        <v>1910</v>
      </c>
      <c r="IL173" s="561">
        <v>4321</v>
      </c>
      <c r="IM173" s="561">
        <v>0</v>
      </c>
      <c r="IN173" s="561">
        <v>1680</v>
      </c>
      <c r="IO173" s="561">
        <v>3642</v>
      </c>
      <c r="IP173" s="561">
        <v>73</v>
      </c>
      <c r="IQ173" s="561">
        <v>0</v>
      </c>
      <c r="IR173" s="561">
        <v>0</v>
      </c>
      <c r="IS173" s="561">
        <v>294</v>
      </c>
      <c r="IT173" s="561">
        <v>0</v>
      </c>
      <c r="IU173" s="561">
        <v>0</v>
      </c>
      <c r="IV173" s="561">
        <v>0</v>
      </c>
      <c r="IW173" s="561">
        <v>2356</v>
      </c>
      <c r="IX173" s="561">
        <v>570</v>
      </c>
      <c r="IY173" s="561">
        <v>5833</v>
      </c>
      <c r="IZ173" s="561">
        <v>2679</v>
      </c>
      <c r="JA173" s="561">
        <v>0</v>
      </c>
      <c r="JB173" s="561">
        <v>0</v>
      </c>
      <c r="JC173" s="561">
        <v>855</v>
      </c>
      <c r="JD173" s="561">
        <v>73</v>
      </c>
      <c r="JE173" s="561">
        <v>12660</v>
      </c>
      <c r="JF173" s="561">
        <v>7729</v>
      </c>
      <c r="JG173" s="561">
        <v>0</v>
      </c>
      <c r="JH173" s="561">
        <v>4389</v>
      </c>
      <c r="JI173" s="561">
        <v>0</v>
      </c>
      <c r="JJ173" s="561">
        <v>24</v>
      </c>
      <c r="JK173" s="561">
        <v>2776</v>
      </c>
      <c r="JL173" s="561">
        <v>0</v>
      </c>
      <c r="JM173" s="561">
        <v>0</v>
      </c>
      <c r="JN173" s="561">
        <v>0</v>
      </c>
      <c r="JO173" s="561">
        <v>0</v>
      </c>
      <c r="JP173" s="561">
        <v>-254</v>
      </c>
      <c r="JQ173" s="561">
        <v>412</v>
      </c>
      <c r="JR173" s="561">
        <v>-143</v>
      </c>
      <c r="JS173" s="561">
        <v>-121</v>
      </c>
      <c r="JT173" s="561">
        <v>-5</v>
      </c>
      <c r="JU173" s="561">
        <v>0</v>
      </c>
      <c r="JV173" s="561">
        <v>27467</v>
      </c>
      <c r="JW173" s="561">
        <v>0</v>
      </c>
      <c r="JX173" s="561">
        <v>698</v>
      </c>
      <c r="JY173" s="561">
        <v>0</v>
      </c>
      <c r="JZ173" s="561">
        <v>0</v>
      </c>
      <c r="KA173" s="561">
        <v>0</v>
      </c>
      <c r="KB173" s="561">
        <v>12</v>
      </c>
      <c r="KC173" s="561">
        <v>2129</v>
      </c>
      <c r="KD173" s="561">
        <v>560</v>
      </c>
      <c r="KE173" s="561">
        <v>602</v>
      </c>
      <c r="KF173" s="561">
        <v>413</v>
      </c>
      <c r="KG173" s="561">
        <v>31881</v>
      </c>
      <c r="KH173" s="561">
        <v>-1114</v>
      </c>
      <c r="KI173" s="561">
        <v>0</v>
      </c>
      <c r="KJ173" s="561">
        <v>0</v>
      </c>
      <c r="KK173" s="561">
        <v>0</v>
      </c>
      <c r="KL173" s="561">
        <v>-11670</v>
      </c>
      <c r="KM173" s="561">
        <v>0</v>
      </c>
      <c r="KN173" s="561">
        <v>0</v>
      </c>
      <c r="KO173" s="561">
        <v>0</v>
      </c>
      <c r="KP173" s="561">
        <v>0</v>
      </c>
      <c r="KQ173" s="561">
        <v>0</v>
      </c>
      <c r="KR173" s="561">
        <v>19097</v>
      </c>
      <c r="KS173" s="561">
        <v>0</v>
      </c>
      <c r="KT173" s="561">
        <v>-1671</v>
      </c>
      <c r="KU173" s="561">
        <v>17426</v>
      </c>
      <c r="KV173" s="561">
        <v>0</v>
      </c>
      <c r="KW173" s="561">
        <v>0</v>
      </c>
      <c r="KX173" s="561">
        <v>0</v>
      </c>
      <c r="KY173" s="561">
        <v>0</v>
      </c>
      <c r="KZ173" s="561">
        <v>-1174</v>
      </c>
      <c r="LA173" s="561">
        <v>627</v>
      </c>
      <c r="LB173" s="561">
        <v>-205</v>
      </c>
      <c r="LC173" s="561">
        <v>0</v>
      </c>
      <c r="LD173" s="561">
        <v>-7684</v>
      </c>
      <c r="LE173" s="561">
        <v>-53</v>
      </c>
      <c r="LF173" s="561">
        <v>0</v>
      </c>
      <c r="LG173" s="561">
        <v>8937</v>
      </c>
      <c r="LH173" s="561">
        <v>0</v>
      </c>
      <c r="LI173" s="561">
        <v>0</v>
      </c>
      <c r="LJ173" s="561">
        <v>0</v>
      </c>
      <c r="LK173" s="561">
        <v>0</v>
      </c>
      <c r="LL173" s="561">
        <v>10649</v>
      </c>
      <c r="LM173" s="561">
        <v>1287</v>
      </c>
      <c r="LN173" s="561">
        <v>0</v>
      </c>
      <c r="LO173" s="561">
        <v>0</v>
      </c>
      <c r="LP173" s="561">
        <v>0</v>
      </c>
      <c r="LQ173" s="561">
        <v>0</v>
      </c>
      <c r="LR173" s="561">
        <v>9475</v>
      </c>
      <c r="LS173" s="561">
        <v>1914</v>
      </c>
      <c r="LT173" s="561">
        <v>0</v>
      </c>
      <c r="LU173" s="561">
        <v>-1665</v>
      </c>
      <c r="LV173" s="561">
        <v>0</v>
      </c>
      <c r="LW173" s="561">
        <v>-1065</v>
      </c>
      <c r="LX173" s="561">
        <v>283</v>
      </c>
      <c r="LY173" s="561">
        <v>-283</v>
      </c>
      <c r="LZ173" s="561">
        <v>-2730</v>
      </c>
      <c r="MA173" s="561">
        <v>0</v>
      </c>
      <c r="MB173" s="561">
        <v>0</v>
      </c>
      <c r="MC173" s="561">
        <v>18135</v>
      </c>
      <c r="MD173" s="561">
        <v>17365</v>
      </c>
      <c r="ME173" s="561">
        <v>770</v>
      </c>
      <c r="MF173" s="561">
        <v>3988</v>
      </c>
      <c r="MG173" s="561">
        <v>4758</v>
      </c>
      <c r="MH173" s="561">
        <v>2601</v>
      </c>
      <c r="MI173" s="561">
        <v>3061</v>
      </c>
      <c r="MJ173" s="561">
        <v>5662</v>
      </c>
      <c r="MK173" s="561">
        <v>0</v>
      </c>
      <c r="ML173" s="561">
        <v>3404</v>
      </c>
      <c r="MM173" s="561">
        <v>1060</v>
      </c>
      <c r="MN173" s="561">
        <v>504</v>
      </c>
      <c r="MO173" s="561">
        <v>4507</v>
      </c>
      <c r="MP173" s="561">
        <v>0</v>
      </c>
      <c r="MQ173" s="561">
        <v>0</v>
      </c>
      <c r="MR173" s="561">
        <v>294</v>
      </c>
      <c r="MS173" s="561">
        <v>0</v>
      </c>
      <c r="MT173" s="561">
        <v>0</v>
      </c>
      <c r="MU173" s="561">
        <v>0</v>
      </c>
      <c r="MV173" s="561">
        <v>2356</v>
      </c>
      <c r="MW173" s="561">
        <v>570</v>
      </c>
      <c r="MX173" s="561">
        <v>5833</v>
      </c>
      <c r="MY173" s="561">
        <v>2679</v>
      </c>
      <c r="MZ173" s="561">
        <v>0</v>
      </c>
      <c r="NA173" s="561">
        <v>0</v>
      </c>
      <c r="NB173" s="561">
        <v>855</v>
      </c>
      <c r="NC173" s="561">
        <v>73</v>
      </c>
      <c r="ND173" s="561">
        <v>12660</v>
      </c>
      <c r="NE173" s="561">
        <v>0</v>
      </c>
      <c r="NF173" s="561">
        <v>0</v>
      </c>
      <c r="NG173" s="561">
        <v>0</v>
      </c>
      <c r="NH173" s="561">
        <v>0</v>
      </c>
      <c r="NI173" s="561">
        <v>0</v>
      </c>
      <c r="NJ173" s="561">
        <v>0</v>
      </c>
      <c r="NK173" s="561">
        <v>0</v>
      </c>
      <c r="NL173" s="561">
        <v>0</v>
      </c>
      <c r="NM173" s="561">
        <v>0</v>
      </c>
      <c r="NN173" s="561">
        <v>0</v>
      </c>
      <c r="NO173" s="561">
        <v>0</v>
      </c>
      <c r="NP173" s="561">
        <v>0</v>
      </c>
      <c r="NQ173" s="561">
        <v>0</v>
      </c>
      <c r="NR173" s="561">
        <v>0</v>
      </c>
      <c r="NS173" s="561">
        <v>0</v>
      </c>
      <c r="NT173" s="561">
        <v>-529</v>
      </c>
      <c r="NU173" s="561">
        <v>0</v>
      </c>
      <c r="NV173" s="561">
        <v>132</v>
      </c>
      <c r="NW173" s="561">
        <v>-397</v>
      </c>
      <c r="NX173" s="561">
        <v>143</v>
      </c>
      <c r="NY173" s="561">
        <v>-254</v>
      </c>
      <c r="NZ173" s="561">
        <v>0</v>
      </c>
      <c r="OA173" s="561">
        <v>0</v>
      </c>
      <c r="OB173" s="561">
        <v>0</v>
      </c>
      <c r="OC173" s="561">
        <v>0</v>
      </c>
      <c r="OD173" s="561">
        <v>0</v>
      </c>
      <c r="OE173" s="561">
        <v>0</v>
      </c>
      <c r="OF173" s="561">
        <v>0</v>
      </c>
      <c r="OG173" s="561">
        <v>0</v>
      </c>
      <c r="OH173" s="561">
        <v>0</v>
      </c>
      <c r="OI173" s="561">
        <v>0</v>
      </c>
      <c r="OJ173" s="561">
        <v>0</v>
      </c>
      <c r="OK173" s="561">
        <v>0</v>
      </c>
      <c r="OL173" s="561">
        <v>209</v>
      </c>
      <c r="OM173" s="561">
        <v>0</v>
      </c>
      <c r="ON173" s="561">
        <v>0</v>
      </c>
      <c r="OO173" s="561">
        <v>0</v>
      </c>
      <c r="OP173" s="561">
        <v>0</v>
      </c>
      <c r="OQ173" s="561">
        <v>0</v>
      </c>
      <c r="OR173" s="561">
        <v>0</v>
      </c>
      <c r="OS173" s="561">
        <v>0</v>
      </c>
      <c r="OT173" s="561">
        <v>0</v>
      </c>
      <c r="OU173" s="561">
        <v>0</v>
      </c>
      <c r="OV173" s="561">
        <v>387</v>
      </c>
      <c r="OW173" s="561">
        <v>121</v>
      </c>
      <c r="OX173" s="561">
        <v>412</v>
      </c>
      <c r="OY173" s="561">
        <v>143</v>
      </c>
      <c r="OZ173" s="561">
        <v>0</v>
      </c>
      <c r="PA173" s="561">
        <v>0</v>
      </c>
      <c r="PB173" s="561">
        <v>0</v>
      </c>
      <c r="PC173" s="561">
        <v>0</v>
      </c>
      <c r="PD173" s="561">
        <v>143</v>
      </c>
      <c r="PE173" s="561">
        <v>121</v>
      </c>
      <c r="PF173" s="561">
        <v>0</v>
      </c>
      <c r="PG173" s="561">
        <v>0</v>
      </c>
      <c r="PH173" s="561">
        <v>0</v>
      </c>
      <c r="PI173" s="561">
        <v>0</v>
      </c>
      <c r="PJ173" s="561">
        <v>121</v>
      </c>
    </row>
    <row r="174" spans="1:426" ht="14" x14ac:dyDescent="0.3">
      <c r="A174" t="s">
        <v>2957</v>
      </c>
      <c r="B174" t="s">
        <v>2958</v>
      </c>
      <c r="C174" t="s">
        <v>2959</v>
      </c>
      <c r="E174" t="s">
        <v>384</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0</v>
      </c>
      <c r="W174" s="561">
        <v>0</v>
      </c>
      <c r="X174" s="561">
        <v>0</v>
      </c>
      <c r="Y174" s="561">
        <v>0</v>
      </c>
      <c r="Z174" s="561">
        <v>0</v>
      </c>
      <c r="AA174" s="561">
        <v>147</v>
      </c>
      <c r="AB174" s="561">
        <v>-3104</v>
      </c>
      <c r="AC174" s="561">
        <v>0</v>
      </c>
      <c r="AD174" s="561">
        <v>0</v>
      </c>
      <c r="AE174" s="561">
        <v>0</v>
      </c>
      <c r="AF174" s="561">
        <v>0</v>
      </c>
      <c r="AG174" s="561">
        <v>46</v>
      </c>
      <c r="AH174" s="561">
        <v>0</v>
      </c>
      <c r="AI174" s="561">
        <v>0</v>
      </c>
      <c r="AJ174" s="561">
        <v>-2911</v>
      </c>
      <c r="AK174" s="561">
        <v>0</v>
      </c>
      <c r="AL174" s="561">
        <v>0</v>
      </c>
      <c r="AM174" s="561">
        <v>0</v>
      </c>
      <c r="AN174" s="561">
        <v>0</v>
      </c>
      <c r="AO174" s="561">
        <v>0</v>
      </c>
      <c r="AP174" s="561">
        <v>0</v>
      </c>
      <c r="AQ174" s="561">
        <v>0</v>
      </c>
      <c r="AR174" s="561">
        <v>0</v>
      </c>
      <c r="AS174" s="561">
        <v>266</v>
      </c>
      <c r="AT174" s="561">
        <v>266</v>
      </c>
      <c r="AU174" s="561">
        <v>0</v>
      </c>
      <c r="AV174" s="561">
        <v>0</v>
      </c>
      <c r="AW174" s="561">
        <v>0</v>
      </c>
      <c r="AX174" s="561">
        <v>0</v>
      </c>
      <c r="AY174" s="561">
        <v>0</v>
      </c>
      <c r="AZ174" s="561">
        <v>0</v>
      </c>
      <c r="BA174" s="561">
        <v>0</v>
      </c>
      <c r="BB174" s="561">
        <v>0</v>
      </c>
      <c r="BC174" s="561">
        <v>0</v>
      </c>
      <c r="BD174" s="561">
        <v>0</v>
      </c>
      <c r="BE174" s="561">
        <v>0</v>
      </c>
      <c r="BF174" s="561">
        <v>0</v>
      </c>
      <c r="BG174" s="561">
        <v>0</v>
      </c>
      <c r="BH174" s="561">
        <v>24</v>
      </c>
      <c r="BI174" s="561">
        <v>0</v>
      </c>
      <c r="BJ174" s="561">
        <v>0</v>
      </c>
      <c r="BK174" s="561">
        <v>0</v>
      </c>
      <c r="BL174" s="561">
        <v>0</v>
      </c>
      <c r="BM174" s="561">
        <v>0</v>
      </c>
      <c r="BN174" s="561">
        <v>0</v>
      </c>
      <c r="BO174" s="561">
        <v>0</v>
      </c>
      <c r="BP174" s="561">
        <v>0</v>
      </c>
      <c r="BQ174" s="561">
        <v>0</v>
      </c>
      <c r="BR174" s="561">
        <v>0</v>
      </c>
      <c r="BS174" s="561">
        <v>0</v>
      </c>
      <c r="BT174" s="561">
        <v>0</v>
      </c>
      <c r="BU174" s="561">
        <v>0</v>
      </c>
      <c r="BV174" s="561">
        <v>332</v>
      </c>
      <c r="BW174" s="561">
        <v>0</v>
      </c>
      <c r="BX174" s="561">
        <v>0</v>
      </c>
      <c r="BY174" s="561">
        <v>0</v>
      </c>
      <c r="BZ174" s="561">
        <v>356</v>
      </c>
      <c r="CA174" s="561">
        <v>0</v>
      </c>
      <c r="CB174" s="561">
        <v>0</v>
      </c>
      <c r="CC174" s="561">
        <v>0</v>
      </c>
      <c r="CD174" s="561">
        <v>0</v>
      </c>
      <c r="CE174" s="561">
        <v>0</v>
      </c>
      <c r="CF174" s="561">
        <v>0</v>
      </c>
      <c r="CG174" s="561">
        <v>0</v>
      </c>
      <c r="CH174" s="561">
        <v>0</v>
      </c>
      <c r="CI174" s="561">
        <v>223</v>
      </c>
      <c r="CJ174" s="561">
        <v>0</v>
      </c>
      <c r="CK174" s="561">
        <v>-3</v>
      </c>
      <c r="CL174" s="561">
        <v>0</v>
      </c>
      <c r="CM174" s="561">
        <v>0</v>
      </c>
      <c r="CN174" s="561">
        <v>0</v>
      </c>
      <c r="CO174" s="561">
        <v>0</v>
      </c>
      <c r="CP174" s="561">
        <v>-34</v>
      </c>
      <c r="CQ174" s="561">
        <v>0</v>
      </c>
      <c r="CR174" s="561">
        <v>0</v>
      </c>
      <c r="CS174" s="561">
        <v>0</v>
      </c>
      <c r="CT174" s="561">
        <v>0</v>
      </c>
      <c r="CU174" s="561">
        <v>0</v>
      </c>
      <c r="CV174" s="561">
        <v>8</v>
      </c>
      <c r="CW174" s="561">
        <v>0</v>
      </c>
      <c r="CX174" s="561">
        <v>0</v>
      </c>
      <c r="CY174" s="561">
        <v>0</v>
      </c>
      <c r="CZ174" s="561">
        <v>194</v>
      </c>
      <c r="DA174" s="561">
        <v>0</v>
      </c>
      <c r="DB174" s="561">
        <v>0</v>
      </c>
      <c r="DC174" s="561">
        <v>0</v>
      </c>
      <c r="DD174" s="561">
        <v>0</v>
      </c>
      <c r="DE174" s="561">
        <v>0</v>
      </c>
      <c r="DF174" s="561">
        <v>0</v>
      </c>
      <c r="DG174" s="561">
        <v>0</v>
      </c>
      <c r="DH174" s="561">
        <v>773</v>
      </c>
      <c r="DI174" s="561">
        <v>0</v>
      </c>
      <c r="DJ174" s="561">
        <v>0</v>
      </c>
      <c r="DK174" s="561">
        <v>0</v>
      </c>
      <c r="DL174" s="561">
        <v>0</v>
      </c>
      <c r="DM174" s="561">
        <v>-153</v>
      </c>
      <c r="DN174" s="561">
        <v>0</v>
      </c>
      <c r="DO174" s="561">
        <v>516</v>
      </c>
      <c r="DP174" s="561">
        <v>0</v>
      </c>
      <c r="DQ174" s="561">
        <v>47</v>
      </c>
      <c r="DR174" s="561">
        <v>0</v>
      </c>
      <c r="DS174" s="561">
        <v>379</v>
      </c>
      <c r="DT174" s="561">
        <v>379</v>
      </c>
      <c r="DU174" s="561">
        <v>1168</v>
      </c>
      <c r="DV174" s="561">
        <v>0</v>
      </c>
      <c r="DW174" s="561">
        <v>0</v>
      </c>
      <c r="DX174" s="561">
        <v>0</v>
      </c>
      <c r="DY174" s="561">
        <v>-21</v>
      </c>
      <c r="DZ174" s="561">
        <v>36</v>
      </c>
      <c r="EA174" s="561">
        <v>0</v>
      </c>
      <c r="EB174" s="561">
        <v>0</v>
      </c>
      <c r="EC174" s="561">
        <v>1956</v>
      </c>
      <c r="ED174" s="561">
        <v>0</v>
      </c>
      <c r="EE174" s="561">
        <v>0</v>
      </c>
      <c r="EF174" s="561">
        <v>0</v>
      </c>
      <c r="EG174" s="561">
        <v>0</v>
      </c>
      <c r="EH174" s="561">
        <v>0</v>
      </c>
      <c r="EI174" s="561">
        <v>0</v>
      </c>
      <c r="EJ174" s="561">
        <v>0</v>
      </c>
      <c r="EK174" s="561">
        <v>0</v>
      </c>
      <c r="EL174" s="561">
        <v>0</v>
      </c>
      <c r="EM174" s="561">
        <v>0</v>
      </c>
      <c r="EN174" s="561">
        <v>0</v>
      </c>
      <c r="EO174" s="561">
        <v>0</v>
      </c>
      <c r="EP174" s="561">
        <v>0</v>
      </c>
      <c r="EQ174" s="561">
        <v>0</v>
      </c>
      <c r="ER174" s="561">
        <v>0</v>
      </c>
      <c r="ES174" s="561" t="s">
        <v>4565</v>
      </c>
      <c r="ET174" s="561">
        <v>0</v>
      </c>
      <c r="EU174" s="561">
        <v>0</v>
      </c>
      <c r="EV174" s="561">
        <v>0</v>
      </c>
      <c r="EW174" s="561">
        <v>0</v>
      </c>
      <c r="EX174" s="561">
        <v>0</v>
      </c>
      <c r="EY174" s="561">
        <v>0</v>
      </c>
      <c r="EZ174" s="561">
        <v>0</v>
      </c>
      <c r="FA174" s="561">
        <v>0</v>
      </c>
      <c r="FB174" s="561">
        <v>0</v>
      </c>
      <c r="FC174" s="561">
        <v>0</v>
      </c>
      <c r="FD174" s="561">
        <v>0</v>
      </c>
      <c r="FE174" s="561">
        <v>294</v>
      </c>
      <c r="FF174" s="561">
        <v>1421</v>
      </c>
      <c r="FG174" s="561">
        <v>1</v>
      </c>
      <c r="FH174" s="561">
        <v>0</v>
      </c>
      <c r="FI174" s="561">
        <v>1171</v>
      </c>
      <c r="FJ174" s="561">
        <v>-354</v>
      </c>
      <c r="FK174" s="561">
        <v>2421</v>
      </c>
      <c r="FL174" s="561">
        <v>-9</v>
      </c>
      <c r="FM174" s="561">
        <v>14</v>
      </c>
      <c r="FN174" s="561">
        <v>0</v>
      </c>
      <c r="FO174" s="561">
        <v>4959</v>
      </c>
      <c r="FP174" s="561">
        <v>0</v>
      </c>
      <c r="FQ174" s="561">
        <v>-75</v>
      </c>
      <c r="FR174" s="561">
        <v>0</v>
      </c>
      <c r="FS174" s="561">
        <v>0</v>
      </c>
      <c r="FT174" s="561">
        <v>266</v>
      </c>
      <c r="FU174" s="561">
        <v>0</v>
      </c>
      <c r="FV174" s="561">
        <v>200</v>
      </c>
      <c r="FW174" s="561">
        <v>0</v>
      </c>
      <c r="FX174" s="561">
        <v>0</v>
      </c>
      <c r="FY174" s="561">
        <v>0</v>
      </c>
      <c r="FZ174" s="561">
        <v>0</v>
      </c>
      <c r="GA174" s="561">
        <v>40</v>
      </c>
      <c r="GB174" s="561">
        <v>801</v>
      </c>
      <c r="GC174" s="561">
        <v>209</v>
      </c>
      <c r="GD174" s="561">
        <v>40</v>
      </c>
      <c r="GE174" s="561">
        <v>588</v>
      </c>
      <c r="GF174" s="561">
        <v>0</v>
      </c>
      <c r="GG174" s="561">
        <v>0</v>
      </c>
      <c r="GH174" s="561">
        <v>143</v>
      </c>
      <c r="GI174" s="561">
        <v>0</v>
      </c>
      <c r="GJ174" s="561">
        <v>0</v>
      </c>
      <c r="GK174" s="561">
        <v>0</v>
      </c>
      <c r="GL174" s="561">
        <v>1902</v>
      </c>
      <c r="GM174" s="561">
        <v>1790</v>
      </c>
      <c r="GN174" s="561">
        <v>0</v>
      </c>
      <c r="GO174" s="561">
        <v>477</v>
      </c>
      <c r="GP174" s="561">
        <v>1790</v>
      </c>
      <c r="GQ174" s="561">
        <v>0</v>
      </c>
      <c r="GR174" s="561">
        <v>0</v>
      </c>
      <c r="GS174" s="561">
        <v>8171</v>
      </c>
      <c r="GT174" s="561">
        <v>58</v>
      </c>
      <c r="GU174" s="561">
        <v>262</v>
      </c>
      <c r="GV174" s="561">
        <v>1333</v>
      </c>
      <c r="GW174" s="561">
        <v>0</v>
      </c>
      <c r="GX174" s="561">
        <v>2173</v>
      </c>
      <c r="GY174" s="561">
        <v>46</v>
      </c>
      <c r="GZ174" s="561">
        <v>966</v>
      </c>
      <c r="HA174" s="561">
        <v>0</v>
      </c>
      <c r="HB174" s="561">
        <v>876</v>
      </c>
      <c r="HC174" s="561">
        <v>-10</v>
      </c>
      <c r="HD174" s="561">
        <v>5646</v>
      </c>
      <c r="HE174" s="561">
        <v>59</v>
      </c>
      <c r="HF174" s="561">
        <v>18776</v>
      </c>
      <c r="HG174" s="561">
        <v>117</v>
      </c>
      <c r="HH174" s="561">
        <v>0</v>
      </c>
      <c r="HI174" s="561">
        <v>0</v>
      </c>
      <c r="HJ174" s="561">
        <v>0</v>
      </c>
      <c r="HK174" s="561">
        <v>0</v>
      </c>
      <c r="HL174" s="561">
        <v>0</v>
      </c>
      <c r="HM174" s="561">
        <v>0</v>
      </c>
      <c r="HN174" s="561">
        <v>0</v>
      </c>
      <c r="HO174" s="561">
        <v>1953</v>
      </c>
      <c r="HP174" s="561">
        <v>731</v>
      </c>
      <c r="HQ174" s="561">
        <v>0</v>
      </c>
      <c r="HR174" s="561">
        <v>0</v>
      </c>
      <c r="HS174" s="561">
        <v>0</v>
      </c>
      <c r="HT174" s="561">
        <v>731</v>
      </c>
      <c r="HU174" s="561">
        <v>0</v>
      </c>
      <c r="HV174" s="561">
        <v>0</v>
      </c>
      <c r="HW174" s="561">
        <v>139</v>
      </c>
      <c r="HX174" s="561">
        <v>123</v>
      </c>
      <c r="HY174" s="561">
        <v>125</v>
      </c>
      <c r="HZ174" s="561">
        <v>2</v>
      </c>
      <c r="IA174" s="561">
        <v>0</v>
      </c>
      <c r="IB174" s="561">
        <v>306</v>
      </c>
      <c r="IC174" s="561">
        <v>0</v>
      </c>
      <c r="ID174" s="561">
        <v>0</v>
      </c>
      <c r="IE174" s="561">
        <v>0</v>
      </c>
      <c r="IF174" s="561">
        <v>0</v>
      </c>
      <c r="IG174" s="561">
        <v>0</v>
      </c>
      <c r="IH174" s="561">
        <v>2756</v>
      </c>
      <c r="II174" s="561">
        <v>6866</v>
      </c>
      <c r="IJ174" s="561">
        <v>7</v>
      </c>
      <c r="IK174" s="561">
        <v>1077</v>
      </c>
      <c r="IL174" s="561">
        <v>10875</v>
      </c>
      <c r="IM174" s="561">
        <v>0</v>
      </c>
      <c r="IN174" s="561">
        <v>0</v>
      </c>
      <c r="IO174" s="561">
        <v>1064</v>
      </c>
      <c r="IP174" s="561">
        <v>0</v>
      </c>
      <c r="IQ174" s="561">
        <v>0</v>
      </c>
      <c r="IR174" s="561">
        <v>0</v>
      </c>
      <c r="IS174" s="561">
        <v>-2911</v>
      </c>
      <c r="IT174" s="561">
        <v>0</v>
      </c>
      <c r="IU174" s="561">
        <v>356</v>
      </c>
      <c r="IV174" s="561">
        <v>194</v>
      </c>
      <c r="IW174" s="561">
        <v>1956</v>
      </c>
      <c r="IX174" s="561">
        <v>4959</v>
      </c>
      <c r="IY174" s="561">
        <v>8171</v>
      </c>
      <c r="IZ174" s="561">
        <v>5646</v>
      </c>
      <c r="JA174" s="561">
        <v>0</v>
      </c>
      <c r="JB174" s="561">
        <v>0</v>
      </c>
      <c r="JC174" s="561">
        <v>6866</v>
      </c>
      <c r="JD174" s="561">
        <v>0</v>
      </c>
      <c r="JE174" s="561">
        <v>25237</v>
      </c>
      <c r="JF174" s="561">
        <v>21980</v>
      </c>
      <c r="JG174" s="561">
        <v>912</v>
      </c>
      <c r="JH174" s="561">
        <v>0</v>
      </c>
      <c r="JI174" s="561">
        <v>0</v>
      </c>
      <c r="JJ174" s="561">
        <v>0</v>
      </c>
      <c r="JK174" s="561">
        <v>4416</v>
      </c>
      <c r="JL174" s="561">
        <v>0</v>
      </c>
      <c r="JM174" s="561">
        <v>0</v>
      </c>
      <c r="JN174" s="561">
        <v>0</v>
      </c>
      <c r="JO174" s="561">
        <v>0</v>
      </c>
      <c r="JP174" s="561">
        <v>0</v>
      </c>
      <c r="JQ174" s="561">
        <v>0</v>
      </c>
      <c r="JR174" s="561">
        <v>0</v>
      </c>
      <c r="JS174" s="561">
        <v>0</v>
      </c>
      <c r="JT174" s="561">
        <v>-18</v>
      </c>
      <c r="JU174" s="561">
        <v>0</v>
      </c>
      <c r="JV174" s="561">
        <v>52527</v>
      </c>
      <c r="JW174" s="561">
        <v>0</v>
      </c>
      <c r="JX174" s="561">
        <v>4851</v>
      </c>
      <c r="JY174" s="561">
        <v>0</v>
      </c>
      <c r="JZ174" s="561">
        <v>0</v>
      </c>
      <c r="KA174" s="561">
        <v>0</v>
      </c>
      <c r="KB174" s="561">
        <v>-71</v>
      </c>
      <c r="KC174" s="561">
        <v>914</v>
      </c>
      <c r="KD174" s="561">
        <v>0</v>
      </c>
      <c r="KE174" s="561">
        <v>0</v>
      </c>
      <c r="KF174" s="561">
        <v>0</v>
      </c>
      <c r="KG174" s="561">
        <v>58221</v>
      </c>
      <c r="KH174" s="561">
        <v>-8529</v>
      </c>
      <c r="KI174" s="561">
        <v>0</v>
      </c>
      <c r="KJ174" s="561">
        <v>0</v>
      </c>
      <c r="KK174" s="561">
        <v>0</v>
      </c>
      <c r="KL174" s="561">
        <v>-22587</v>
      </c>
      <c r="KM174" s="561">
        <v>0</v>
      </c>
      <c r="KN174" s="561">
        <v>-78</v>
      </c>
      <c r="KO174" s="561">
        <v>0</v>
      </c>
      <c r="KP174" s="561">
        <v>0</v>
      </c>
      <c r="KQ174" s="561">
        <v>0</v>
      </c>
      <c r="KR174" s="561">
        <v>27027</v>
      </c>
      <c r="KS174" s="561">
        <v>0</v>
      </c>
      <c r="KT174" s="561">
        <v>-5809</v>
      </c>
      <c r="KU174" s="561">
        <v>21218</v>
      </c>
      <c r="KV174" s="561">
        <v>0</v>
      </c>
      <c r="KW174" s="561">
        <v>0</v>
      </c>
      <c r="KX174" s="561">
        <v>0</v>
      </c>
      <c r="KY174" s="561">
        <v>0</v>
      </c>
      <c r="KZ174" s="561">
        <v>-998</v>
      </c>
      <c r="LA174" s="561">
        <v>88</v>
      </c>
      <c r="LB174" s="561">
        <v>-148</v>
      </c>
      <c r="LC174" s="561">
        <v>0</v>
      </c>
      <c r="LD174" s="561">
        <v>-4133</v>
      </c>
      <c r="LE174" s="561">
        <v>-55</v>
      </c>
      <c r="LF174" s="561">
        <v>0</v>
      </c>
      <c r="LG174" s="561">
        <v>15970</v>
      </c>
      <c r="LH174" s="561">
        <v>0</v>
      </c>
      <c r="LI174" s="561">
        <v>0</v>
      </c>
      <c r="LJ174" s="561">
        <v>0</v>
      </c>
      <c r="LK174" s="561">
        <v>0</v>
      </c>
      <c r="LL174" s="561">
        <v>24985</v>
      </c>
      <c r="LM174" s="561">
        <v>24672</v>
      </c>
      <c r="LN174" s="561">
        <v>0</v>
      </c>
      <c r="LO174" s="561">
        <v>0</v>
      </c>
      <c r="LP174" s="561">
        <v>0</v>
      </c>
      <c r="LQ174" s="561">
        <v>0</v>
      </c>
      <c r="LR174" s="561">
        <v>23987</v>
      </c>
      <c r="LS174" s="561">
        <v>24760</v>
      </c>
      <c r="LT174" s="561">
        <v>0</v>
      </c>
      <c r="LU174" s="561">
        <v>2636</v>
      </c>
      <c r="LV174" s="561">
        <v>-223</v>
      </c>
      <c r="LW174" s="561">
        <v>0</v>
      </c>
      <c r="LX174" s="561">
        <v>0</v>
      </c>
      <c r="LY174" s="561">
        <v>4198</v>
      </c>
      <c r="LZ174" s="561">
        <v>6611</v>
      </c>
      <c r="MA174" s="561">
        <v>0</v>
      </c>
      <c r="MB174" s="561">
        <v>0</v>
      </c>
      <c r="MC174" s="561">
        <v>0</v>
      </c>
      <c r="MD174" s="561">
        <v>0</v>
      </c>
      <c r="ME174" s="561">
        <v>0</v>
      </c>
      <c r="MF174" s="561">
        <v>0</v>
      </c>
      <c r="MG174" s="561">
        <v>0</v>
      </c>
      <c r="MH174" s="561">
        <v>2467</v>
      </c>
      <c r="MI174" s="561">
        <v>3385</v>
      </c>
      <c r="MJ174" s="561">
        <v>5852</v>
      </c>
      <c r="MK174" s="561">
        <v>0</v>
      </c>
      <c r="ML174" s="561">
        <v>0</v>
      </c>
      <c r="MM174" s="561">
        <v>22987</v>
      </c>
      <c r="MN174" s="561">
        <v>1000</v>
      </c>
      <c r="MO174" s="561">
        <v>0</v>
      </c>
      <c r="MP174" s="561">
        <v>0</v>
      </c>
      <c r="MQ174" s="561">
        <v>0</v>
      </c>
      <c r="MR174" s="561">
        <v>-2911</v>
      </c>
      <c r="MS174" s="561">
        <v>0</v>
      </c>
      <c r="MT174" s="561">
        <v>356</v>
      </c>
      <c r="MU174" s="561">
        <v>194</v>
      </c>
      <c r="MV174" s="561">
        <v>1956</v>
      </c>
      <c r="MW174" s="561">
        <v>4959</v>
      </c>
      <c r="MX174" s="561">
        <v>8171</v>
      </c>
      <c r="MY174" s="561">
        <v>5646</v>
      </c>
      <c r="MZ174" s="561">
        <v>0</v>
      </c>
      <c r="NA174" s="561">
        <v>0</v>
      </c>
      <c r="NB174" s="561">
        <v>6866</v>
      </c>
      <c r="NC174" s="561">
        <v>0</v>
      </c>
      <c r="ND174" s="561">
        <v>25237</v>
      </c>
      <c r="NE174" s="561">
        <v>0</v>
      </c>
      <c r="NF174" s="561">
        <v>0</v>
      </c>
      <c r="NG174" s="561">
        <v>0</v>
      </c>
      <c r="NH174" s="561">
        <v>0</v>
      </c>
      <c r="NI174" s="561">
        <v>0</v>
      </c>
      <c r="NJ174" s="561">
        <v>0</v>
      </c>
      <c r="NK174" s="561">
        <v>0</v>
      </c>
      <c r="NL174" s="561">
        <v>0</v>
      </c>
      <c r="NM174" s="561">
        <v>0</v>
      </c>
      <c r="NN174" s="561">
        <v>0</v>
      </c>
      <c r="NO174" s="561">
        <v>0</v>
      </c>
      <c r="NP174" s="561">
        <v>0</v>
      </c>
      <c r="NQ174" s="561">
        <v>0</v>
      </c>
      <c r="NR174" s="561">
        <v>0</v>
      </c>
      <c r="NS174" s="561">
        <v>0</v>
      </c>
      <c r="NT174" s="561">
        <v>0</v>
      </c>
      <c r="NU174" s="561">
        <v>0</v>
      </c>
      <c r="NV174" s="561">
        <v>0</v>
      </c>
      <c r="NW174" s="561">
        <v>0</v>
      </c>
      <c r="NX174" s="561">
        <v>0</v>
      </c>
      <c r="NY174" s="561">
        <v>0</v>
      </c>
      <c r="NZ174" s="561">
        <v>0</v>
      </c>
      <c r="OA174" s="561">
        <v>0</v>
      </c>
      <c r="OB174" s="561">
        <v>0</v>
      </c>
      <c r="OC174" s="561">
        <v>0</v>
      </c>
      <c r="OD174" s="561">
        <v>0</v>
      </c>
      <c r="OE174" s="561">
        <v>0</v>
      </c>
      <c r="OF174" s="561">
        <v>0</v>
      </c>
      <c r="OG174" s="561">
        <v>0</v>
      </c>
      <c r="OH174" s="561">
        <v>0</v>
      </c>
      <c r="OI174" s="561">
        <v>0</v>
      </c>
      <c r="OJ174" s="561">
        <v>0</v>
      </c>
      <c r="OK174" s="561">
        <v>0</v>
      </c>
      <c r="OL174" s="561">
        <v>0</v>
      </c>
      <c r="OM174" s="561">
        <v>0</v>
      </c>
      <c r="ON174" s="561">
        <v>0</v>
      </c>
      <c r="OO174" s="561">
        <v>0</v>
      </c>
      <c r="OP174" s="561">
        <v>0</v>
      </c>
      <c r="OQ174" s="561">
        <v>0</v>
      </c>
      <c r="OR174" s="561">
        <v>0</v>
      </c>
      <c r="OS174" s="561">
        <v>0</v>
      </c>
      <c r="OT174" s="561">
        <v>0</v>
      </c>
      <c r="OU174" s="561">
        <v>0</v>
      </c>
      <c r="OV174" s="561">
        <v>0</v>
      </c>
      <c r="OW174" s="561">
        <v>0</v>
      </c>
      <c r="OX174" s="561">
        <v>0</v>
      </c>
      <c r="OY174" s="561">
        <v>0</v>
      </c>
      <c r="OZ174" s="561">
        <v>0</v>
      </c>
      <c r="PA174" s="561">
        <v>0</v>
      </c>
      <c r="PB174" s="561">
        <v>0</v>
      </c>
      <c r="PC174" s="561">
        <v>0</v>
      </c>
      <c r="PD174" s="561">
        <v>0</v>
      </c>
      <c r="PE174" s="561">
        <v>0</v>
      </c>
      <c r="PF174" s="561">
        <v>0</v>
      </c>
      <c r="PG174" s="561">
        <v>0</v>
      </c>
      <c r="PH174" s="561">
        <v>0</v>
      </c>
      <c r="PI174" s="561">
        <v>0</v>
      </c>
      <c r="PJ174" s="561">
        <v>0</v>
      </c>
    </row>
    <row r="175" spans="1:426" ht="14" x14ac:dyDescent="0.3">
      <c r="A175" t="s">
        <v>2960</v>
      </c>
      <c r="B175" t="s">
        <v>2961</v>
      </c>
      <c r="C175" t="s">
        <v>2962</v>
      </c>
      <c r="E175" t="s">
        <v>2476</v>
      </c>
      <c r="F175" s="561">
        <v>31246</v>
      </c>
      <c r="G175" s="561">
        <v>131531</v>
      </c>
      <c r="H175" s="561">
        <v>29929</v>
      </c>
      <c r="I175" s="561">
        <v>62617</v>
      </c>
      <c r="J175" s="561">
        <v>0</v>
      </c>
      <c r="K175" s="561">
        <v>29490</v>
      </c>
      <c r="L175" s="561">
        <v>284813</v>
      </c>
      <c r="M175" s="561">
        <v>10035</v>
      </c>
      <c r="N175" s="561">
        <v>10258</v>
      </c>
      <c r="O175" s="561">
        <v>0</v>
      </c>
      <c r="P175" s="561">
        <v>2589</v>
      </c>
      <c r="Q175" s="561">
        <v>2589</v>
      </c>
      <c r="R175" s="561">
        <v>0</v>
      </c>
      <c r="S175" s="561">
        <v>2669</v>
      </c>
      <c r="T175" s="561">
        <v>3064</v>
      </c>
      <c r="U175" s="561">
        <v>234</v>
      </c>
      <c r="V175" s="561">
        <v>4782</v>
      </c>
      <c r="W175" s="561">
        <v>0</v>
      </c>
      <c r="X175" s="561">
        <v>331</v>
      </c>
      <c r="Y175" s="561">
        <v>1094</v>
      </c>
      <c r="Z175" s="561">
        <v>-195</v>
      </c>
      <c r="AA175" s="561">
        <v>-10429</v>
      </c>
      <c r="AB175" s="561">
        <v>76</v>
      </c>
      <c r="AC175" s="561">
        <v>8117</v>
      </c>
      <c r="AD175" s="561">
        <v>0</v>
      </c>
      <c r="AE175" s="561">
        <v>0</v>
      </c>
      <c r="AF175" s="561">
        <v>0</v>
      </c>
      <c r="AG175" s="561">
        <v>0</v>
      </c>
      <c r="AH175" s="561">
        <v>0</v>
      </c>
      <c r="AI175" s="561">
        <v>0</v>
      </c>
      <c r="AJ175" s="561">
        <v>25179</v>
      </c>
      <c r="AK175" s="561">
        <v>492</v>
      </c>
      <c r="AL175" s="561">
        <v>0</v>
      </c>
      <c r="AM175" s="561">
        <v>0</v>
      </c>
      <c r="AN175" s="561">
        <v>0</v>
      </c>
      <c r="AO175" s="561">
        <v>0</v>
      </c>
      <c r="AP175" s="561">
        <v>0</v>
      </c>
      <c r="AQ175" s="561">
        <v>0</v>
      </c>
      <c r="AR175" s="561">
        <v>0</v>
      </c>
      <c r="AS175" s="561">
        <v>10248</v>
      </c>
      <c r="AT175" s="561">
        <v>7126</v>
      </c>
      <c r="AU175" s="561">
        <v>0</v>
      </c>
      <c r="AV175" s="561">
        <v>0</v>
      </c>
      <c r="AW175" s="561">
        <v>0</v>
      </c>
      <c r="AX175" s="561">
        <v>1272</v>
      </c>
      <c r="AY175" s="561">
        <v>39438</v>
      </c>
      <c r="AZ175" s="561">
        <v>2094</v>
      </c>
      <c r="BA175" s="561">
        <v>6035</v>
      </c>
      <c r="BB175" s="561">
        <v>1787</v>
      </c>
      <c r="BC175" s="561">
        <v>12699</v>
      </c>
      <c r="BD175" s="561">
        <v>6809</v>
      </c>
      <c r="BE175" s="561">
        <v>6388</v>
      </c>
      <c r="BF175" s="561">
        <v>76522</v>
      </c>
      <c r="BG175" s="561">
        <v>3984</v>
      </c>
      <c r="BH175" s="561">
        <v>7299</v>
      </c>
      <c r="BI175" s="561">
        <v>29698</v>
      </c>
      <c r="BJ175" s="561">
        <v>624</v>
      </c>
      <c r="BK175" s="561">
        <v>172</v>
      </c>
      <c r="BL175" s="561">
        <v>307</v>
      </c>
      <c r="BM175" s="561">
        <v>2127</v>
      </c>
      <c r="BN175" s="561">
        <v>35901</v>
      </c>
      <c r="BO175" s="561">
        <v>2405</v>
      </c>
      <c r="BP175" s="561">
        <v>7910</v>
      </c>
      <c r="BQ175" s="561">
        <v>4318</v>
      </c>
      <c r="BR175" s="561">
        <v>1</v>
      </c>
      <c r="BS175" s="561">
        <v>142</v>
      </c>
      <c r="BT175" s="561">
        <v>2137</v>
      </c>
      <c r="BU175" s="561">
        <v>-548</v>
      </c>
      <c r="BV175" s="561">
        <v>300</v>
      </c>
      <c r="BW175" s="561">
        <v>12374</v>
      </c>
      <c r="BX175" s="561">
        <v>0</v>
      </c>
      <c r="BY175" s="561">
        <v>5823</v>
      </c>
      <c r="BZ175" s="561">
        <v>110990</v>
      </c>
      <c r="CA175" s="561">
        <v>2942</v>
      </c>
      <c r="CB175" s="561">
        <v>2926</v>
      </c>
      <c r="CC175" s="561">
        <v>385</v>
      </c>
      <c r="CD175" s="561">
        <v>211</v>
      </c>
      <c r="CE175" s="561">
        <v>352</v>
      </c>
      <c r="CF175" s="561">
        <v>290</v>
      </c>
      <c r="CG175" s="561">
        <v>74</v>
      </c>
      <c r="CH175" s="561">
        <v>231</v>
      </c>
      <c r="CI175" s="561">
        <v>341</v>
      </c>
      <c r="CJ175" s="561">
        <v>431</v>
      </c>
      <c r="CK175" s="561">
        <v>361</v>
      </c>
      <c r="CL175" s="561">
        <v>212</v>
      </c>
      <c r="CM175" s="561">
        <v>2658</v>
      </c>
      <c r="CN175" s="561">
        <v>190</v>
      </c>
      <c r="CO175" s="561">
        <v>379</v>
      </c>
      <c r="CP175" s="561">
        <v>379</v>
      </c>
      <c r="CQ175" s="561">
        <v>190</v>
      </c>
      <c r="CR175" s="561">
        <v>493</v>
      </c>
      <c r="CS175" s="561">
        <v>154</v>
      </c>
      <c r="CT175" s="561">
        <v>326</v>
      </c>
      <c r="CU175" s="561">
        <v>5024</v>
      </c>
      <c r="CV175" s="561">
        <v>1048</v>
      </c>
      <c r="CW175" s="561">
        <v>40</v>
      </c>
      <c r="CX175" s="561">
        <v>367</v>
      </c>
      <c r="CY175" s="561">
        <v>3709</v>
      </c>
      <c r="CZ175" s="561">
        <v>20771</v>
      </c>
      <c r="DA175" s="561">
        <v>138</v>
      </c>
      <c r="DB175" s="561">
        <v>0</v>
      </c>
      <c r="DC175" s="561">
        <v>0</v>
      </c>
      <c r="DD175" s="561">
        <v>0</v>
      </c>
      <c r="DE175" s="561">
        <v>0</v>
      </c>
      <c r="DF175" s="561">
        <v>0</v>
      </c>
      <c r="DG175" s="561">
        <v>0</v>
      </c>
      <c r="DH175" s="561">
        <v>2427</v>
      </c>
      <c r="DI175" s="561">
        <v>0</v>
      </c>
      <c r="DJ175" s="561">
        <v>0</v>
      </c>
      <c r="DK175" s="561">
        <v>682</v>
      </c>
      <c r="DL175" s="561">
        <v>535</v>
      </c>
      <c r="DM175" s="561">
        <v>1482</v>
      </c>
      <c r="DN175" s="561">
        <v>0</v>
      </c>
      <c r="DO175" s="561">
        <v>7665</v>
      </c>
      <c r="DP175" s="561">
        <v>0</v>
      </c>
      <c r="DQ175" s="561">
        <v>33</v>
      </c>
      <c r="DR175" s="561">
        <v>0</v>
      </c>
      <c r="DS175" s="561">
        <v>-17</v>
      </c>
      <c r="DT175" s="561">
        <v>7605</v>
      </c>
      <c r="DU175" s="561">
        <v>17303</v>
      </c>
      <c r="DV175" s="561">
        <v>0</v>
      </c>
      <c r="DW175" s="561">
        <v>0</v>
      </c>
      <c r="DX175" s="561">
        <v>0</v>
      </c>
      <c r="DY175" s="561">
        <v>0</v>
      </c>
      <c r="DZ175" s="561">
        <v>49</v>
      </c>
      <c r="EA175" s="561">
        <v>1387</v>
      </c>
      <c r="EB175" s="561">
        <v>0</v>
      </c>
      <c r="EC175" s="561">
        <v>21848</v>
      </c>
      <c r="ED175" s="561">
        <v>2577</v>
      </c>
      <c r="EE175" s="561">
        <v>87755</v>
      </c>
      <c r="EF175" s="561">
        <v>1749</v>
      </c>
      <c r="EG175" s="561">
        <v>7190</v>
      </c>
      <c r="EH175" s="561">
        <v>4618</v>
      </c>
      <c r="EI175" s="561">
        <v>0</v>
      </c>
      <c r="EJ175" s="561">
        <v>918</v>
      </c>
      <c r="EK175" s="561">
        <v>0</v>
      </c>
      <c r="EL175" s="561">
        <v>0</v>
      </c>
      <c r="EM175" s="561">
        <v>0</v>
      </c>
      <c r="EN175" s="561">
        <v>25114</v>
      </c>
      <c r="EO175" s="561">
        <v>15962</v>
      </c>
      <c r="EP175" s="561">
        <v>16868</v>
      </c>
      <c r="EQ175" s="561">
        <v>3706</v>
      </c>
      <c r="ER175" s="561">
        <v>22086</v>
      </c>
      <c r="ES175" s="561" t="s">
        <v>4565</v>
      </c>
      <c r="ET175" s="561">
        <v>15511</v>
      </c>
      <c r="EU175" s="561">
        <v>58</v>
      </c>
      <c r="EV175" s="561">
        <v>0</v>
      </c>
      <c r="EW175" s="561">
        <v>0</v>
      </c>
      <c r="EX175" s="561">
        <v>0</v>
      </c>
      <c r="EY175" s="561">
        <v>89</v>
      </c>
      <c r="EZ175" s="561">
        <v>2836</v>
      </c>
      <c r="FA175" s="561">
        <v>14964</v>
      </c>
      <c r="FB175" s="561">
        <v>0</v>
      </c>
      <c r="FC175" s="561">
        <v>584</v>
      </c>
      <c r="FD175" s="561">
        <v>377</v>
      </c>
      <c r="FE175" s="561">
        <v>0</v>
      </c>
      <c r="FF175" s="561">
        <v>0</v>
      </c>
      <c r="FG175" s="561">
        <v>735</v>
      </c>
      <c r="FH175" s="561">
        <v>0</v>
      </c>
      <c r="FI175" s="561">
        <v>267</v>
      </c>
      <c r="FJ175" s="561">
        <v>3708</v>
      </c>
      <c r="FK175" s="561">
        <v>5608</v>
      </c>
      <c r="FL175" s="561">
        <v>0</v>
      </c>
      <c r="FM175" s="561">
        <v>0</v>
      </c>
      <c r="FN175" s="561">
        <v>3715</v>
      </c>
      <c r="FO175" s="561">
        <v>14994</v>
      </c>
      <c r="FP175" s="561">
        <v>180</v>
      </c>
      <c r="FQ175" s="561">
        <v>-124</v>
      </c>
      <c r="FR175" s="561">
        <v>290</v>
      </c>
      <c r="FS175" s="561">
        <v>0</v>
      </c>
      <c r="FT175" s="561">
        <v>296</v>
      </c>
      <c r="FU175" s="561">
        <v>1242</v>
      </c>
      <c r="FV175" s="561">
        <v>0</v>
      </c>
      <c r="FW175" s="561">
        <v>138</v>
      </c>
      <c r="FX175" s="561">
        <v>0</v>
      </c>
      <c r="FY175" s="561">
        <v>0</v>
      </c>
      <c r="FZ175" s="561">
        <v>174</v>
      </c>
      <c r="GA175" s="561">
        <v>0</v>
      </c>
      <c r="GB175" s="561">
        <v>188</v>
      </c>
      <c r="GC175" s="561">
        <v>-101</v>
      </c>
      <c r="GD175" s="561">
        <v>142</v>
      </c>
      <c r="GE175" s="561">
        <v>0</v>
      </c>
      <c r="GF175" s="561">
        <v>2708</v>
      </c>
      <c r="GG175" s="561">
        <v>0</v>
      </c>
      <c r="GH175" s="561">
        <v>0</v>
      </c>
      <c r="GI175" s="561">
        <v>0</v>
      </c>
      <c r="GJ175" s="561">
        <v>0</v>
      </c>
      <c r="GK175" s="561">
        <v>0</v>
      </c>
      <c r="GL175" s="561">
        <v>2675</v>
      </c>
      <c r="GM175" s="561">
        <v>6396</v>
      </c>
      <c r="GN175" s="561">
        <v>908</v>
      </c>
      <c r="GO175" s="561">
        <v>-307</v>
      </c>
      <c r="GP175" s="561">
        <v>5912</v>
      </c>
      <c r="GQ175" s="561">
        <v>0</v>
      </c>
      <c r="GR175" s="561">
        <v>924</v>
      </c>
      <c r="GS175" s="561">
        <v>21461</v>
      </c>
      <c r="GT175" s="561">
        <v>1000</v>
      </c>
      <c r="GU175" s="561">
        <v>712</v>
      </c>
      <c r="GV175" s="561">
        <v>718</v>
      </c>
      <c r="GW175" s="561">
        <v>0</v>
      </c>
      <c r="GX175" s="561">
        <v>2571</v>
      </c>
      <c r="GY175" s="561">
        <v>0</v>
      </c>
      <c r="GZ175" s="561">
        <v>124</v>
      </c>
      <c r="HA175" s="561">
        <v>0</v>
      </c>
      <c r="HB175" s="561">
        <v>148</v>
      </c>
      <c r="HC175" s="561">
        <v>412</v>
      </c>
      <c r="HD175" s="561">
        <v>4685</v>
      </c>
      <c r="HE175" s="561">
        <v>238</v>
      </c>
      <c r="HF175" s="561">
        <v>41140</v>
      </c>
      <c r="HG175" s="561">
        <v>1418</v>
      </c>
      <c r="HH175" s="561">
        <v>0</v>
      </c>
      <c r="HI175" s="561">
        <v>0</v>
      </c>
      <c r="HJ175" s="561">
        <v>0</v>
      </c>
      <c r="HK175" s="561">
        <v>0</v>
      </c>
      <c r="HL175" s="561">
        <v>0</v>
      </c>
      <c r="HM175" s="561">
        <v>0</v>
      </c>
      <c r="HN175" s="561">
        <v>0</v>
      </c>
      <c r="HO175" s="561">
        <v>5601</v>
      </c>
      <c r="HP175" s="561">
        <v>2689</v>
      </c>
      <c r="HQ175" s="561">
        <v>0</v>
      </c>
      <c r="HR175" s="561">
        <v>-7</v>
      </c>
      <c r="HS175" s="561">
        <v>2968</v>
      </c>
      <c r="HT175" s="561">
        <v>-121</v>
      </c>
      <c r="HU175" s="561">
        <v>0</v>
      </c>
      <c r="HV175" s="561">
        <v>-281</v>
      </c>
      <c r="HW175" s="561">
        <v>655</v>
      </c>
      <c r="HX175" s="561">
        <v>716</v>
      </c>
      <c r="HY175" s="561">
        <v>650</v>
      </c>
      <c r="HZ175" s="561">
        <v>-31</v>
      </c>
      <c r="IA175" s="561">
        <v>5302</v>
      </c>
      <c r="IB175" s="561">
        <v>2214</v>
      </c>
      <c r="IC175" s="561">
        <v>0</v>
      </c>
      <c r="ID175" s="561">
        <v>0</v>
      </c>
      <c r="IE175" s="561">
        <v>1194</v>
      </c>
      <c r="IF175" s="561">
        <v>0</v>
      </c>
      <c r="IG175" s="561">
        <v>0</v>
      </c>
      <c r="IH175" s="561">
        <v>0</v>
      </c>
      <c r="II175" s="561">
        <v>21549</v>
      </c>
      <c r="IJ175" s="561">
        <v>41</v>
      </c>
      <c r="IK175" s="561">
        <v>1672</v>
      </c>
      <c r="IL175" s="561">
        <v>40713</v>
      </c>
      <c r="IM175" s="561">
        <v>0</v>
      </c>
      <c r="IN175" s="561">
        <v>5101</v>
      </c>
      <c r="IO175" s="561">
        <v>1893</v>
      </c>
      <c r="IP175" s="561">
        <v>0</v>
      </c>
      <c r="IQ175" s="561">
        <v>5629</v>
      </c>
      <c r="IR175" s="561">
        <v>284813</v>
      </c>
      <c r="IS175" s="561">
        <v>25179</v>
      </c>
      <c r="IT175" s="561">
        <v>76522</v>
      </c>
      <c r="IU175" s="561">
        <v>110990</v>
      </c>
      <c r="IV175" s="561">
        <v>20771</v>
      </c>
      <c r="IW175" s="561">
        <v>21848</v>
      </c>
      <c r="IX175" s="561">
        <v>14994</v>
      </c>
      <c r="IY175" s="561">
        <v>21461</v>
      </c>
      <c r="IZ175" s="561">
        <v>4685</v>
      </c>
      <c r="JA175" s="561">
        <v>0</v>
      </c>
      <c r="JB175" s="561">
        <v>0</v>
      </c>
      <c r="JC175" s="561">
        <v>21549</v>
      </c>
      <c r="JD175" s="561">
        <v>0</v>
      </c>
      <c r="JE175" s="561">
        <v>602812</v>
      </c>
      <c r="JF175" s="561">
        <v>41640</v>
      </c>
      <c r="JG175" s="561">
        <v>6141</v>
      </c>
      <c r="JH175" s="561">
        <v>25326</v>
      </c>
      <c r="JI175" s="561">
        <v>0</v>
      </c>
      <c r="JJ175" s="561">
        <v>0</v>
      </c>
      <c r="JK175" s="561">
        <v>0</v>
      </c>
      <c r="JL175" s="561">
        <v>0</v>
      </c>
      <c r="JM175" s="561">
        <v>9788</v>
      </c>
      <c r="JN175" s="561">
        <v>291</v>
      </c>
      <c r="JO175" s="561">
        <v>938</v>
      </c>
      <c r="JP175" s="561">
        <v>-199</v>
      </c>
      <c r="JQ175" s="561">
        <v>508</v>
      </c>
      <c r="JR175" s="561">
        <v>0</v>
      </c>
      <c r="JS175" s="561">
        <v>0</v>
      </c>
      <c r="JT175" s="561">
        <v>0</v>
      </c>
      <c r="JU175" s="561">
        <v>0</v>
      </c>
      <c r="JV175" s="561">
        <v>687245</v>
      </c>
      <c r="JW175" s="561">
        <v>216</v>
      </c>
      <c r="JX175" s="561">
        <v>11377</v>
      </c>
      <c r="JY175" s="561">
        <v>92</v>
      </c>
      <c r="JZ175" s="561">
        <v>0</v>
      </c>
      <c r="KA175" s="561">
        <v>0</v>
      </c>
      <c r="KB175" s="561">
        <v>421</v>
      </c>
      <c r="KC175" s="561">
        <v>12291</v>
      </c>
      <c r="KD175" s="561">
        <v>0</v>
      </c>
      <c r="KE175" s="561">
        <v>22816</v>
      </c>
      <c r="KF175" s="561">
        <v>-16003</v>
      </c>
      <c r="KG175" s="561">
        <v>718455</v>
      </c>
      <c r="KH175" s="561">
        <v>-17235</v>
      </c>
      <c r="KI175" s="561">
        <v>0</v>
      </c>
      <c r="KJ175" s="561">
        <v>227</v>
      </c>
      <c r="KK175" s="561">
        <v>0</v>
      </c>
      <c r="KL175" s="561">
        <v>-98253</v>
      </c>
      <c r="KM175" s="561">
        <v>0</v>
      </c>
      <c r="KN175" s="561">
        <v>-2360</v>
      </c>
      <c r="KO175" s="561">
        <v>0</v>
      </c>
      <c r="KP175" s="561">
        <v>0</v>
      </c>
      <c r="KQ175" s="561">
        <v>0</v>
      </c>
      <c r="KR175" s="561">
        <v>600834</v>
      </c>
      <c r="KS175" s="561">
        <v>0</v>
      </c>
      <c r="KT175" s="561">
        <v>-336126</v>
      </c>
      <c r="KU175" s="561">
        <v>264708</v>
      </c>
      <c r="KV175" s="561">
        <v>0</v>
      </c>
      <c r="KW175" s="561">
        <v>-3886.21</v>
      </c>
      <c r="KX175" s="561">
        <v>-1123.92</v>
      </c>
      <c r="KY175" s="561">
        <v>-1473.54</v>
      </c>
      <c r="KZ175" s="561">
        <v>-53949</v>
      </c>
      <c r="LA175" s="561">
        <v>4088</v>
      </c>
      <c r="LB175" s="561">
        <v>-12177</v>
      </c>
      <c r="LC175" s="561">
        <v>0</v>
      </c>
      <c r="LD175" s="561">
        <v>-58155</v>
      </c>
      <c r="LE175" s="561">
        <v>-202</v>
      </c>
      <c r="LF175" s="561">
        <v>0</v>
      </c>
      <c r="LG175" s="561">
        <v>137830</v>
      </c>
      <c r="LH175" s="561">
        <v>7917</v>
      </c>
      <c r="LI175" s="561">
        <v>0</v>
      </c>
      <c r="LJ175" s="561">
        <v>7123</v>
      </c>
      <c r="LK175" s="561">
        <v>3844</v>
      </c>
      <c r="LL175" s="561">
        <v>164592</v>
      </c>
      <c r="LM175" s="561">
        <v>13912</v>
      </c>
      <c r="LN175" s="561">
        <v>4030.79</v>
      </c>
      <c r="LO175" s="561">
        <v>0</v>
      </c>
      <c r="LP175" s="561">
        <v>5999.08</v>
      </c>
      <c r="LQ175" s="561">
        <v>2370.46</v>
      </c>
      <c r="LR175" s="561">
        <v>110643</v>
      </c>
      <c r="LS175" s="561">
        <v>18000</v>
      </c>
      <c r="LT175" s="561">
        <v>0</v>
      </c>
      <c r="LU175" s="561">
        <v>25598</v>
      </c>
      <c r="LV175" s="561">
        <v>4065</v>
      </c>
      <c r="LW175" s="561">
        <v>0</v>
      </c>
      <c r="LX175" s="561">
        <v>-17210</v>
      </c>
      <c r="LY175" s="561">
        <v>4667</v>
      </c>
      <c r="LZ175" s="561">
        <v>5866</v>
      </c>
      <c r="MA175" s="561">
        <v>0</v>
      </c>
      <c r="MB175" s="561">
        <v>0</v>
      </c>
      <c r="MC175" s="561">
        <v>102230</v>
      </c>
      <c r="MD175" s="561">
        <v>99394</v>
      </c>
      <c r="ME175" s="561">
        <v>2836</v>
      </c>
      <c r="MF175" s="561">
        <v>14964</v>
      </c>
      <c r="MG175" s="561">
        <v>17800</v>
      </c>
      <c r="MH175" s="561">
        <v>8315</v>
      </c>
      <c r="MI175" s="561">
        <v>16429</v>
      </c>
      <c r="MJ175" s="561">
        <v>24744</v>
      </c>
      <c r="MK175" s="561">
        <v>0</v>
      </c>
      <c r="ML175" s="561">
        <v>13726</v>
      </c>
      <c r="MM175" s="561">
        <v>54593</v>
      </c>
      <c r="MN175" s="561">
        <v>42324</v>
      </c>
      <c r="MO175" s="561">
        <v>0</v>
      </c>
      <c r="MP175" s="561">
        <v>0</v>
      </c>
      <c r="MQ175" s="561">
        <v>284813</v>
      </c>
      <c r="MR175" s="561">
        <v>25179</v>
      </c>
      <c r="MS175" s="561">
        <v>76522</v>
      </c>
      <c r="MT175" s="561">
        <v>110990</v>
      </c>
      <c r="MU175" s="561">
        <v>20771</v>
      </c>
      <c r="MV175" s="561">
        <v>21848</v>
      </c>
      <c r="MW175" s="561">
        <v>14994</v>
      </c>
      <c r="MX175" s="561">
        <v>21461</v>
      </c>
      <c r="MY175" s="561">
        <v>4685</v>
      </c>
      <c r="MZ175" s="561">
        <v>0</v>
      </c>
      <c r="NA175" s="561">
        <v>0</v>
      </c>
      <c r="NB175" s="561">
        <v>21549</v>
      </c>
      <c r="NC175" s="561">
        <v>0</v>
      </c>
      <c r="ND175" s="561">
        <v>602812</v>
      </c>
      <c r="NE175" s="561">
        <v>0</v>
      </c>
      <c r="NF175" s="561">
        <v>0</v>
      </c>
      <c r="NG175" s="561">
        <v>0</v>
      </c>
      <c r="NH175" s="561">
        <v>0</v>
      </c>
      <c r="NI175" s="561">
        <v>0</v>
      </c>
      <c r="NJ175" s="561">
        <v>0</v>
      </c>
      <c r="NK175" s="561">
        <v>0</v>
      </c>
      <c r="NL175" s="561">
        <v>0</v>
      </c>
      <c r="NM175" s="561">
        <v>0</v>
      </c>
      <c r="NN175" s="561">
        <v>0</v>
      </c>
      <c r="NO175" s="561">
        <v>0</v>
      </c>
      <c r="NP175" s="561">
        <v>0</v>
      </c>
      <c r="NQ175" s="561">
        <v>0</v>
      </c>
      <c r="NR175" s="561">
        <v>0</v>
      </c>
      <c r="NS175" s="561">
        <v>0</v>
      </c>
      <c r="NT175" s="561">
        <v>0</v>
      </c>
      <c r="NU175" s="561">
        <v>0</v>
      </c>
      <c r="NV175" s="561">
        <v>0</v>
      </c>
      <c r="NW175" s="561">
        <v>-199</v>
      </c>
      <c r="NX175" s="561">
        <v>0</v>
      </c>
      <c r="NY175" s="561">
        <v>-199</v>
      </c>
      <c r="NZ175" s="561">
        <v>0</v>
      </c>
      <c r="OA175" s="561">
        <v>0</v>
      </c>
      <c r="OB175" s="561">
        <v>0</v>
      </c>
      <c r="OC175" s="561">
        <v>0</v>
      </c>
      <c r="OD175" s="561">
        <v>0</v>
      </c>
      <c r="OE175" s="561">
        <v>0</v>
      </c>
      <c r="OF175" s="561">
        <v>0</v>
      </c>
      <c r="OG175" s="561">
        <v>0</v>
      </c>
      <c r="OH175" s="561">
        <v>0</v>
      </c>
      <c r="OI175" s="561">
        <v>0</v>
      </c>
      <c r="OJ175" s="561">
        <v>-929</v>
      </c>
      <c r="OK175" s="561">
        <v>796</v>
      </c>
      <c r="OL175" s="561">
        <v>0</v>
      </c>
      <c r="OM175" s="561">
        <v>0</v>
      </c>
      <c r="ON175" s="561">
        <v>641</v>
      </c>
      <c r="OO175" s="561">
        <v>0</v>
      </c>
      <c r="OP175" s="561">
        <v>0</v>
      </c>
      <c r="OQ175" s="561">
        <v>0</v>
      </c>
      <c r="OR175" s="561">
        <v>0</v>
      </c>
      <c r="OS175" s="561">
        <v>0</v>
      </c>
      <c r="OT175" s="561">
        <v>0</v>
      </c>
      <c r="OU175" s="561">
        <v>0</v>
      </c>
      <c r="OV175" s="561">
        <v>-973</v>
      </c>
      <c r="OW175" s="561">
        <v>0</v>
      </c>
      <c r="OX175" s="561">
        <v>508</v>
      </c>
      <c r="OY175" s="561">
        <v>0</v>
      </c>
      <c r="OZ175" s="561">
        <v>0</v>
      </c>
      <c r="PA175" s="561">
        <v>0</v>
      </c>
      <c r="PB175" s="561">
        <v>0</v>
      </c>
      <c r="PC175" s="561">
        <v>0</v>
      </c>
      <c r="PD175" s="561">
        <v>0</v>
      </c>
      <c r="PE175" s="561">
        <v>0</v>
      </c>
      <c r="PF175" s="561">
        <v>0</v>
      </c>
      <c r="PG175" s="561">
        <v>0</v>
      </c>
      <c r="PH175" s="561">
        <v>0</v>
      </c>
      <c r="PI175" s="561">
        <v>0</v>
      </c>
      <c r="PJ175" s="561">
        <v>0</v>
      </c>
    </row>
    <row r="176" spans="1:426" ht="14" x14ac:dyDescent="0.3">
      <c r="A176" t="s">
        <v>2966</v>
      </c>
      <c r="B176" t="s">
        <v>2967</v>
      </c>
      <c r="C176" t="s">
        <v>4611</v>
      </c>
      <c r="E176" t="s">
        <v>2466</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0</v>
      </c>
      <c r="W176" s="561">
        <v>0</v>
      </c>
      <c r="X176" s="561">
        <v>0</v>
      </c>
      <c r="Y176" s="561">
        <v>0</v>
      </c>
      <c r="Z176" s="561">
        <v>0</v>
      </c>
      <c r="AA176" s="561">
        <v>0</v>
      </c>
      <c r="AB176" s="561">
        <v>0</v>
      </c>
      <c r="AC176" s="561">
        <v>0</v>
      </c>
      <c r="AD176" s="561">
        <v>0</v>
      </c>
      <c r="AE176" s="561">
        <v>0</v>
      </c>
      <c r="AF176" s="561">
        <v>0</v>
      </c>
      <c r="AG176" s="561">
        <v>0</v>
      </c>
      <c r="AH176" s="561">
        <v>0</v>
      </c>
      <c r="AI176" s="561">
        <v>0</v>
      </c>
      <c r="AJ176" s="561">
        <v>0</v>
      </c>
      <c r="AK176" s="561">
        <v>0</v>
      </c>
      <c r="AL176" s="561">
        <v>0</v>
      </c>
      <c r="AM176" s="561">
        <v>0</v>
      </c>
      <c r="AN176" s="561">
        <v>0</v>
      </c>
      <c r="AO176" s="561">
        <v>0</v>
      </c>
      <c r="AP176" s="561">
        <v>0</v>
      </c>
      <c r="AQ176" s="561">
        <v>0</v>
      </c>
      <c r="AR176" s="561">
        <v>0</v>
      </c>
      <c r="AS176" s="561">
        <v>0</v>
      </c>
      <c r="AT176" s="561">
        <v>0</v>
      </c>
      <c r="AU176" s="561">
        <v>0</v>
      </c>
      <c r="AV176" s="561">
        <v>0</v>
      </c>
      <c r="AW176" s="561">
        <v>0</v>
      </c>
      <c r="AX176" s="561">
        <v>0</v>
      </c>
      <c r="AY176" s="561">
        <v>0</v>
      </c>
      <c r="AZ176" s="561">
        <v>0</v>
      </c>
      <c r="BA176" s="561">
        <v>0</v>
      </c>
      <c r="BB176" s="561">
        <v>0</v>
      </c>
      <c r="BC176" s="561">
        <v>0</v>
      </c>
      <c r="BD176" s="561">
        <v>0</v>
      </c>
      <c r="BE176" s="561">
        <v>0</v>
      </c>
      <c r="BF176" s="561">
        <v>0</v>
      </c>
      <c r="BG176" s="561">
        <v>0</v>
      </c>
      <c r="BH176" s="561">
        <v>0</v>
      </c>
      <c r="BI176" s="561">
        <v>0</v>
      </c>
      <c r="BJ176" s="561">
        <v>0</v>
      </c>
      <c r="BK176" s="561">
        <v>0</v>
      </c>
      <c r="BL176" s="561">
        <v>0</v>
      </c>
      <c r="BM176" s="561">
        <v>0</v>
      </c>
      <c r="BN176" s="561">
        <v>0</v>
      </c>
      <c r="BO176" s="561">
        <v>0</v>
      </c>
      <c r="BP176" s="561">
        <v>0</v>
      </c>
      <c r="BQ176" s="561">
        <v>0</v>
      </c>
      <c r="BR176" s="561">
        <v>0</v>
      </c>
      <c r="BS176" s="561">
        <v>0</v>
      </c>
      <c r="BT176" s="561">
        <v>0</v>
      </c>
      <c r="BU176" s="561">
        <v>0</v>
      </c>
      <c r="BV176" s="561">
        <v>0</v>
      </c>
      <c r="BW176" s="561">
        <v>0</v>
      </c>
      <c r="BX176" s="561">
        <v>0</v>
      </c>
      <c r="BY176" s="561">
        <v>0</v>
      </c>
      <c r="BZ176" s="561">
        <v>0</v>
      </c>
      <c r="CA176" s="561">
        <v>0</v>
      </c>
      <c r="CB176" s="561">
        <v>0</v>
      </c>
      <c r="CC176" s="561">
        <v>0</v>
      </c>
      <c r="CD176" s="561">
        <v>0</v>
      </c>
      <c r="CE176" s="561">
        <v>0</v>
      </c>
      <c r="CF176" s="561">
        <v>0</v>
      </c>
      <c r="CG176" s="561">
        <v>0</v>
      </c>
      <c r="CH176" s="561">
        <v>0</v>
      </c>
      <c r="CI176" s="561">
        <v>0</v>
      </c>
      <c r="CJ176" s="561">
        <v>0</v>
      </c>
      <c r="CK176" s="561">
        <v>0</v>
      </c>
      <c r="CL176" s="561">
        <v>0</v>
      </c>
      <c r="CM176" s="561">
        <v>0</v>
      </c>
      <c r="CN176" s="561">
        <v>0</v>
      </c>
      <c r="CO176" s="561">
        <v>0</v>
      </c>
      <c r="CP176" s="561">
        <v>0</v>
      </c>
      <c r="CQ176" s="561">
        <v>0</v>
      </c>
      <c r="CR176" s="561">
        <v>0</v>
      </c>
      <c r="CS176" s="561">
        <v>0</v>
      </c>
      <c r="CT176" s="561">
        <v>0</v>
      </c>
      <c r="CU176" s="561">
        <v>0</v>
      </c>
      <c r="CV176" s="561">
        <v>0</v>
      </c>
      <c r="CW176" s="561">
        <v>0</v>
      </c>
      <c r="CX176" s="561">
        <v>0</v>
      </c>
      <c r="CY176" s="561">
        <v>0</v>
      </c>
      <c r="CZ176" s="561">
        <v>0</v>
      </c>
      <c r="DA176" s="561">
        <v>0</v>
      </c>
      <c r="DB176" s="561">
        <v>0</v>
      </c>
      <c r="DC176" s="561">
        <v>0</v>
      </c>
      <c r="DD176" s="561">
        <v>0</v>
      </c>
      <c r="DE176" s="561">
        <v>0</v>
      </c>
      <c r="DF176" s="561">
        <v>0</v>
      </c>
      <c r="DG176" s="561">
        <v>0</v>
      </c>
      <c r="DH176" s="561">
        <v>0</v>
      </c>
      <c r="DI176" s="561">
        <v>0</v>
      </c>
      <c r="DJ176" s="561">
        <v>0</v>
      </c>
      <c r="DK176" s="561">
        <v>0</v>
      </c>
      <c r="DL176" s="561">
        <v>0</v>
      </c>
      <c r="DM176" s="561">
        <v>0</v>
      </c>
      <c r="DN176" s="561">
        <v>0</v>
      </c>
      <c r="DO176" s="561">
        <v>0</v>
      </c>
      <c r="DP176" s="561">
        <v>0</v>
      </c>
      <c r="DQ176" s="561">
        <v>0</v>
      </c>
      <c r="DR176" s="561">
        <v>0</v>
      </c>
      <c r="DS176" s="561">
        <v>0</v>
      </c>
      <c r="DT176" s="561">
        <v>0</v>
      </c>
      <c r="DU176" s="561">
        <v>0</v>
      </c>
      <c r="DV176" s="561">
        <v>0</v>
      </c>
      <c r="DW176" s="561">
        <v>0</v>
      </c>
      <c r="DX176" s="561">
        <v>0</v>
      </c>
      <c r="DY176" s="561">
        <v>0</v>
      </c>
      <c r="DZ176" s="561">
        <v>0</v>
      </c>
      <c r="EA176" s="561">
        <v>0</v>
      </c>
      <c r="EB176" s="561">
        <v>0</v>
      </c>
      <c r="EC176" s="561">
        <v>0</v>
      </c>
      <c r="ED176" s="561">
        <v>0</v>
      </c>
      <c r="EE176" s="561">
        <v>0</v>
      </c>
      <c r="EF176" s="561">
        <v>0</v>
      </c>
      <c r="EG176" s="561">
        <v>0</v>
      </c>
      <c r="EH176" s="561">
        <v>0</v>
      </c>
      <c r="EI176" s="561">
        <v>0</v>
      </c>
      <c r="EJ176" s="561">
        <v>0</v>
      </c>
      <c r="EK176" s="561">
        <v>0</v>
      </c>
      <c r="EL176" s="561">
        <v>0</v>
      </c>
      <c r="EM176" s="561">
        <v>0</v>
      </c>
      <c r="EN176" s="561">
        <v>0</v>
      </c>
      <c r="EO176" s="561">
        <v>0</v>
      </c>
      <c r="EP176" s="561">
        <v>0</v>
      </c>
      <c r="EQ176" s="561">
        <v>0</v>
      </c>
      <c r="ER176" s="561">
        <v>0</v>
      </c>
      <c r="ES176" s="561" t="s">
        <v>4565</v>
      </c>
      <c r="ET176" s="561">
        <v>0</v>
      </c>
      <c r="EU176" s="561">
        <v>0</v>
      </c>
      <c r="EV176" s="561">
        <v>0</v>
      </c>
      <c r="EW176" s="561">
        <v>0</v>
      </c>
      <c r="EX176" s="561">
        <v>0</v>
      </c>
      <c r="EY176" s="561">
        <v>0</v>
      </c>
      <c r="EZ176" s="561">
        <v>0</v>
      </c>
      <c r="FA176" s="561">
        <v>0</v>
      </c>
      <c r="FB176" s="561">
        <v>0</v>
      </c>
      <c r="FC176" s="561">
        <v>0</v>
      </c>
      <c r="FD176" s="561">
        <v>0</v>
      </c>
      <c r="FE176" s="561">
        <v>0</v>
      </c>
      <c r="FF176" s="561">
        <v>0</v>
      </c>
      <c r="FG176" s="561">
        <v>0</v>
      </c>
      <c r="FH176" s="561">
        <v>0</v>
      </c>
      <c r="FI176" s="561">
        <v>0</v>
      </c>
      <c r="FJ176" s="561">
        <v>0</v>
      </c>
      <c r="FK176" s="561">
        <v>0</v>
      </c>
      <c r="FL176" s="561">
        <v>0</v>
      </c>
      <c r="FM176" s="561">
        <v>0</v>
      </c>
      <c r="FN176" s="561">
        <v>0</v>
      </c>
      <c r="FO176" s="561">
        <v>0</v>
      </c>
      <c r="FP176" s="561">
        <v>0</v>
      </c>
      <c r="FQ176" s="561">
        <v>0</v>
      </c>
      <c r="FR176" s="561">
        <v>0</v>
      </c>
      <c r="FS176" s="561">
        <v>0</v>
      </c>
      <c r="FT176" s="561">
        <v>0</v>
      </c>
      <c r="FU176" s="561">
        <v>0</v>
      </c>
      <c r="FV176" s="561">
        <v>0</v>
      </c>
      <c r="FW176" s="561">
        <v>0</v>
      </c>
      <c r="FX176" s="561">
        <v>0</v>
      </c>
      <c r="FY176" s="561">
        <v>0</v>
      </c>
      <c r="FZ176" s="561">
        <v>0</v>
      </c>
      <c r="GA176" s="561">
        <v>0</v>
      </c>
      <c r="GB176" s="561">
        <v>0</v>
      </c>
      <c r="GC176" s="561">
        <v>0</v>
      </c>
      <c r="GD176" s="561">
        <v>0</v>
      </c>
      <c r="GE176" s="561">
        <v>0</v>
      </c>
      <c r="GF176" s="561">
        <v>0</v>
      </c>
      <c r="GG176" s="561">
        <v>0</v>
      </c>
      <c r="GH176" s="561">
        <v>0</v>
      </c>
      <c r="GI176" s="561">
        <v>0</v>
      </c>
      <c r="GJ176" s="561">
        <v>0</v>
      </c>
      <c r="GK176" s="561">
        <v>0</v>
      </c>
      <c r="GL176" s="561">
        <v>0</v>
      </c>
      <c r="GM176" s="561">
        <v>0</v>
      </c>
      <c r="GN176" s="561">
        <v>0</v>
      </c>
      <c r="GO176" s="561">
        <v>0</v>
      </c>
      <c r="GP176" s="561">
        <v>0</v>
      </c>
      <c r="GQ176" s="561">
        <v>0</v>
      </c>
      <c r="GR176" s="561">
        <v>0</v>
      </c>
      <c r="GS176" s="561">
        <v>0</v>
      </c>
      <c r="GT176" s="561">
        <v>0</v>
      </c>
      <c r="GU176" s="561">
        <v>0</v>
      </c>
      <c r="GV176" s="561">
        <v>0</v>
      </c>
      <c r="GW176" s="561">
        <v>0</v>
      </c>
      <c r="GX176" s="561">
        <v>0</v>
      </c>
      <c r="GY176" s="561">
        <v>0</v>
      </c>
      <c r="GZ176" s="561">
        <v>0</v>
      </c>
      <c r="HA176" s="561">
        <v>0</v>
      </c>
      <c r="HB176" s="561">
        <v>0</v>
      </c>
      <c r="HC176" s="561">
        <v>0</v>
      </c>
      <c r="HD176" s="561">
        <v>0</v>
      </c>
      <c r="HE176" s="561">
        <v>0</v>
      </c>
      <c r="HF176" s="561">
        <v>0</v>
      </c>
      <c r="HG176" s="561">
        <v>0</v>
      </c>
      <c r="HH176" s="561">
        <v>0</v>
      </c>
      <c r="HI176" s="561">
        <v>0</v>
      </c>
      <c r="HJ176" s="561">
        <v>5028</v>
      </c>
      <c r="HK176" s="561">
        <v>50220</v>
      </c>
      <c r="HL176" s="561">
        <v>-9</v>
      </c>
      <c r="HM176" s="561">
        <v>55239</v>
      </c>
      <c r="HN176" s="561">
        <v>0</v>
      </c>
      <c r="HO176" s="561">
        <v>227</v>
      </c>
      <c r="HP176" s="561">
        <v>0</v>
      </c>
      <c r="HQ176" s="561">
        <v>0</v>
      </c>
      <c r="HR176" s="561">
        <v>0</v>
      </c>
      <c r="HS176" s="561">
        <v>0</v>
      </c>
      <c r="HT176" s="561">
        <v>0</v>
      </c>
      <c r="HU176" s="561">
        <v>0</v>
      </c>
      <c r="HV176" s="561">
        <v>0</v>
      </c>
      <c r="HW176" s="561">
        <v>0</v>
      </c>
      <c r="HX176" s="561">
        <v>0</v>
      </c>
      <c r="HY176" s="561">
        <v>0</v>
      </c>
      <c r="HZ176" s="561">
        <v>0</v>
      </c>
      <c r="IA176" s="561">
        <v>0</v>
      </c>
      <c r="IB176" s="561">
        <v>0</v>
      </c>
      <c r="IC176" s="561">
        <v>0</v>
      </c>
      <c r="ID176" s="561">
        <v>0</v>
      </c>
      <c r="IE176" s="561">
        <v>0</v>
      </c>
      <c r="IF176" s="561">
        <v>0</v>
      </c>
      <c r="IG176" s="561">
        <v>0</v>
      </c>
      <c r="IH176" s="561">
        <v>0</v>
      </c>
      <c r="II176" s="561">
        <v>227</v>
      </c>
      <c r="IJ176" s="561">
        <v>0</v>
      </c>
      <c r="IK176" s="561">
        <v>0</v>
      </c>
      <c r="IL176" s="561">
        <v>0</v>
      </c>
      <c r="IM176" s="561">
        <v>0</v>
      </c>
      <c r="IN176" s="561">
        <v>0</v>
      </c>
      <c r="IO176" s="561">
        <v>0</v>
      </c>
      <c r="IP176" s="561">
        <v>0</v>
      </c>
      <c r="IQ176" s="561">
        <v>0</v>
      </c>
      <c r="IR176" s="561">
        <v>0</v>
      </c>
      <c r="IS176" s="561">
        <v>0</v>
      </c>
      <c r="IT176" s="561">
        <v>0</v>
      </c>
      <c r="IU176" s="561">
        <v>0</v>
      </c>
      <c r="IV176" s="561">
        <v>0</v>
      </c>
      <c r="IW176" s="561">
        <v>0</v>
      </c>
      <c r="IX176" s="561">
        <v>0</v>
      </c>
      <c r="IY176" s="561">
        <v>0</v>
      </c>
      <c r="IZ176" s="561">
        <v>0</v>
      </c>
      <c r="JA176" s="561">
        <v>0</v>
      </c>
      <c r="JB176" s="561">
        <v>55239</v>
      </c>
      <c r="JC176" s="561">
        <v>227</v>
      </c>
      <c r="JD176" s="561">
        <v>0</v>
      </c>
      <c r="JE176" s="561">
        <v>55466</v>
      </c>
      <c r="JF176" s="561">
        <v>0</v>
      </c>
      <c r="JG176" s="561">
        <v>0</v>
      </c>
      <c r="JH176" s="561">
        <v>0</v>
      </c>
      <c r="JI176" s="561">
        <v>0</v>
      </c>
      <c r="JJ176" s="561">
        <v>0</v>
      </c>
      <c r="JK176" s="561">
        <v>0</v>
      </c>
      <c r="JL176" s="561">
        <v>0</v>
      </c>
      <c r="JM176" s="561">
        <v>0</v>
      </c>
      <c r="JN176" s="561">
        <v>0</v>
      </c>
      <c r="JO176" s="561">
        <v>0</v>
      </c>
      <c r="JP176" s="561">
        <v>0</v>
      </c>
      <c r="JQ176" s="561">
        <v>0</v>
      </c>
      <c r="JR176" s="561">
        <v>0</v>
      </c>
      <c r="JS176" s="561">
        <v>0</v>
      </c>
      <c r="JT176" s="561">
        <v>0</v>
      </c>
      <c r="JU176" s="561">
        <v>0</v>
      </c>
      <c r="JV176" s="561">
        <v>55466</v>
      </c>
      <c r="JW176" s="561">
        <v>0</v>
      </c>
      <c r="JX176" s="561">
        <v>1600</v>
      </c>
      <c r="JY176" s="561">
        <v>0</v>
      </c>
      <c r="JZ176" s="561">
        <v>0</v>
      </c>
      <c r="KA176" s="561">
        <v>0</v>
      </c>
      <c r="KB176" s="561">
        <v>0</v>
      </c>
      <c r="KC176" s="561">
        <v>999</v>
      </c>
      <c r="KD176" s="561">
        <v>0</v>
      </c>
      <c r="KE176" s="561">
        <v>696</v>
      </c>
      <c r="KF176" s="561">
        <v>0</v>
      </c>
      <c r="KG176" s="561">
        <v>58761</v>
      </c>
      <c r="KH176" s="561">
        <v>-1191</v>
      </c>
      <c r="KI176" s="561">
        <v>0</v>
      </c>
      <c r="KJ176" s="561">
        <v>0</v>
      </c>
      <c r="KK176" s="561">
        <v>0</v>
      </c>
      <c r="KL176" s="561">
        <v>0</v>
      </c>
      <c r="KM176" s="561">
        <v>0</v>
      </c>
      <c r="KN176" s="561">
        <v>0</v>
      </c>
      <c r="KO176" s="561">
        <v>0</v>
      </c>
      <c r="KP176" s="561">
        <v>0</v>
      </c>
      <c r="KQ176" s="561">
        <v>0</v>
      </c>
      <c r="KR176" s="561">
        <v>57570</v>
      </c>
      <c r="KS176" s="561">
        <v>0</v>
      </c>
      <c r="KT176" s="561">
        <v>-686</v>
      </c>
      <c r="KU176" s="561">
        <v>56884</v>
      </c>
      <c r="KV176" s="561">
        <v>0</v>
      </c>
      <c r="KW176" s="561">
        <v>0</v>
      </c>
      <c r="KX176" s="561">
        <v>0</v>
      </c>
      <c r="KY176" s="561">
        <v>0</v>
      </c>
      <c r="KZ176" s="561">
        <v>1827</v>
      </c>
      <c r="LA176" s="561">
        <v>-1254</v>
      </c>
      <c r="LB176" s="561">
        <v>-11472</v>
      </c>
      <c r="LC176" s="561">
        <v>0</v>
      </c>
      <c r="LD176" s="561">
        <v>-17320</v>
      </c>
      <c r="LE176" s="561">
        <v>-340</v>
      </c>
      <c r="LF176" s="561">
        <v>0</v>
      </c>
      <c r="LG176" s="561">
        <v>28325</v>
      </c>
      <c r="LH176" s="561">
        <v>0</v>
      </c>
      <c r="LI176" s="561">
        <v>0</v>
      </c>
      <c r="LJ176" s="561">
        <v>0</v>
      </c>
      <c r="LK176" s="561">
        <v>0</v>
      </c>
      <c r="LL176" s="561">
        <v>8411</v>
      </c>
      <c r="LM176" s="561">
        <v>7225</v>
      </c>
      <c r="LN176" s="561">
        <v>0</v>
      </c>
      <c r="LO176" s="561">
        <v>0</v>
      </c>
      <c r="LP176" s="561">
        <v>0</v>
      </c>
      <c r="LQ176" s="561">
        <v>0</v>
      </c>
      <c r="LR176" s="561">
        <v>10238</v>
      </c>
      <c r="LS176" s="561">
        <v>5971</v>
      </c>
      <c r="LT176" s="561">
        <v>0</v>
      </c>
      <c r="LU176" s="561">
        <v>3963</v>
      </c>
      <c r="LV176" s="561">
        <v>1252</v>
      </c>
      <c r="LW176" s="561">
        <v>0</v>
      </c>
      <c r="LX176" s="561">
        <v>0</v>
      </c>
      <c r="LY176" s="561">
        <v>0</v>
      </c>
      <c r="LZ176" s="561">
        <v>5215</v>
      </c>
      <c r="MA176" s="561">
        <v>0</v>
      </c>
      <c r="MB176" s="561">
        <v>0</v>
      </c>
      <c r="MC176" s="561">
        <v>0</v>
      </c>
      <c r="MD176" s="561">
        <v>0</v>
      </c>
      <c r="ME176" s="561">
        <v>0</v>
      </c>
      <c r="MF176" s="561">
        <v>0</v>
      </c>
      <c r="MG176" s="561">
        <v>0</v>
      </c>
      <c r="MH176" s="561">
        <v>0</v>
      </c>
      <c r="MI176" s="561">
        <v>0</v>
      </c>
      <c r="MJ176" s="561">
        <v>0</v>
      </c>
      <c r="MK176" s="561">
        <v>0</v>
      </c>
      <c r="ML176" s="561">
        <v>0</v>
      </c>
      <c r="MM176" s="561">
        <v>8638</v>
      </c>
      <c r="MN176" s="561">
        <v>1600</v>
      </c>
      <c r="MO176" s="561">
        <v>0</v>
      </c>
      <c r="MP176" s="561">
        <v>0</v>
      </c>
      <c r="MQ176" s="561">
        <v>0</v>
      </c>
      <c r="MR176" s="561">
        <v>0</v>
      </c>
      <c r="MS176" s="561">
        <v>0</v>
      </c>
      <c r="MT176" s="561">
        <v>0</v>
      </c>
      <c r="MU176" s="561">
        <v>0</v>
      </c>
      <c r="MV176" s="561">
        <v>0</v>
      </c>
      <c r="MW176" s="561">
        <v>0</v>
      </c>
      <c r="MX176" s="561">
        <v>0</v>
      </c>
      <c r="MY176" s="561">
        <v>0</v>
      </c>
      <c r="MZ176" s="561">
        <v>0</v>
      </c>
      <c r="NA176" s="561">
        <v>55239</v>
      </c>
      <c r="NB176" s="561">
        <v>227</v>
      </c>
      <c r="NC176" s="561">
        <v>0</v>
      </c>
      <c r="ND176" s="561">
        <v>55466</v>
      </c>
      <c r="NE176" s="561">
        <v>0</v>
      </c>
      <c r="NF176" s="561">
        <v>0</v>
      </c>
      <c r="NG176" s="561">
        <v>0</v>
      </c>
      <c r="NH176" s="561">
        <v>0</v>
      </c>
      <c r="NI176" s="561">
        <v>0</v>
      </c>
      <c r="NJ176" s="561">
        <v>0</v>
      </c>
      <c r="NK176" s="561">
        <v>0</v>
      </c>
      <c r="NL176" s="561">
        <v>0</v>
      </c>
      <c r="NM176" s="561">
        <v>0</v>
      </c>
      <c r="NN176" s="561">
        <v>0</v>
      </c>
      <c r="NO176" s="561">
        <v>0</v>
      </c>
      <c r="NP176" s="561">
        <v>0</v>
      </c>
      <c r="NQ176" s="561">
        <v>0</v>
      </c>
      <c r="NR176" s="561">
        <v>0</v>
      </c>
      <c r="NS176" s="561">
        <v>0</v>
      </c>
      <c r="NT176" s="561">
        <v>0</v>
      </c>
      <c r="NU176" s="561">
        <v>0</v>
      </c>
      <c r="NV176" s="561">
        <v>0</v>
      </c>
      <c r="NW176" s="561">
        <v>0</v>
      </c>
      <c r="NX176" s="561">
        <v>0</v>
      </c>
      <c r="NY176" s="561">
        <v>0</v>
      </c>
      <c r="NZ176" s="561">
        <v>0</v>
      </c>
      <c r="OA176" s="561">
        <v>0</v>
      </c>
      <c r="OB176" s="561">
        <v>0</v>
      </c>
      <c r="OC176" s="561">
        <v>0</v>
      </c>
      <c r="OD176" s="561">
        <v>0</v>
      </c>
      <c r="OE176" s="561">
        <v>0</v>
      </c>
      <c r="OF176" s="561">
        <v>0</v>
      </c>
      <c r="OG176" s="561">
        <v>0</v>
      </c>
      <c r="OH176" s="561">
        <v>0</v>
      </c>
      <c r="OI176" s="561">
        <v>0</v>
      </c>
      <c r="OJ176" s="561">
        <v>0</v>
      </c>
      <c r="OK176" s="561">
        <v>0</v>
      </c>
      <c r="OL176" s="561">
        <v>0</v>
      </c>
      <c r="OM176" s="561">
        <v>0</v>
      </c>
      <c r="ON176" s="561">
        <v>0</v>
      </c>
      <c r="OO176" s="561">
        <v>0</v>
      </c>
      <c r="OP176" s="561">
        <v>0</v>
      </c>
      <c r="OQ176" s="561">
        <v>0</v>
      </c>
      <c r="OR176" s="561">
        <v>0</v>
      </c>
      <c r="OS176" s="561">
        <v>0</v>
      </c>
      <c r="OT176" s="561">
        <v>0</v>
      </c>
      <c r="OU176" s="561">
        <v>0</v>
      </c>
      <c r="OV176" s="561">
        <v>0</v>
      </c>
      <c r="OW176" s="561">
        <v>0</v>
      </c>
      <c r="OX176" s="561">
        <v>0</v>
      </c>
      <c r="OY176" s="561">
        <v>0</v>
      </c>
      <c r="OZ176" s="561">
        <v>0</v>
      </c>
      <c r="PA176" s="561">
        <v>0</v>
      </c>
      <c r="PB176" s="561">
        <v>0</v>
      </c>
      <c r="PC176" s="561">
        <v>0</v>
      </c>
      <c r="PD176" s="561">
        <v>0</v>
      </c>
      <c r="PE176" s="561">
        <v>0</v>
      </c>
      <c r="PF176" s="561">
        <v>0</v>
      </c>
      <c r="PG176" s="561">
        <v>0</v>
      </c>
      <c r="PH176" s="561">
        <v>0</v>
      </c>
      <c r="PI176" s="561">
        <v>0</v>
      </c>
      <c r="PJ176" s="561">
        <v>0</v>
      </c>
    </row>
    <row r="177" spans="1:426" ht="14" x14ac:dyDescent="0.3">
      <c r="A177" t="s">
        <v>2969</v>
      </c>
      <c r="B177" t="s">
        <v>2970</v>
      </c>
      <c r="C177" t="s">
        <v>2971</v>
      </c>
      <c r="E177" t="s">
        <v>2466</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0</v>
      </c>
      <c r="W177" s="561">
        <v>0</v>
      </c>
      <c r="X177" s="561">
        <v>0</v>
      </c>
      <c r="Y177" s="561">
        <v>0</v>
      </c>
      <c r="Z177" s="561">
        <v>0</v>
      </c>
      <c r="AA177" s="561">
        <v>0</v>
      </c>
      <c r="AB177" s="561">
        <v>0</v>
      </c>
      <c r="AC177" s="561">
        <v>0</v>
      </c>
      <c r="AD177" s="561">
        <v>0</v>
      </c>
      <c r="AE177" s="561">
        <v>0</v>
      </c>
      <c r="AF177" s="561">
        <v>0</v>
      </c>
      <c r="AG177" s="561">
        <v>0</v>
      </c>
      <c r="AH177" s="561">
        <v>0</v>
      </c>
      <c r="AI177" s="561">
        <v>0</v>
      </c>
      <c r="AJ177" s="561">
        <v>0</v>
      </c>
      <c r="AK177" s="561">
        <v>0</v>
      </c>
      <c r="AL177" s="561">
        <v>0</v>
      </c>
      <c r="AM177" s="561">
        <v>0</v>
      </c>
      <c r="AN177" s="561">
        <v>0</v>
      </c>
      <c r="AO177" s="561">
        <v>0</v>
      </c>
      <c r="AP177" s="561">
        <v>0</v>
      </c>
      <c r="AQ177" s="561">
        <v>0</v>
      </c>
      <c r="AR177" s="561">
        <v>0</v>
      </c>
      <c r="AS177" s="561">
        <v>0</v>
      </c>
      <c r="AT177" s="561">
        <v>0</v>
      </c>
      <c r="AU177" s="561">
        <v>0</v>
      </c>
      <c r="AV177" s="561">
        <v>0</v>
      </c>
      <c r="AW177" s="561">
        <v>0</v>
      </c>
      <c r="AX177" s="561">
        <v>0</v>
      </c>
      <c r="AY177" s="561">
        <v>0</v>
      </c>
      <c r="AZ177" s="561">
        <v>0</v>
      </c>
      <c r="BA177" s="561">
        <v>0</v>
      </c>
      <c r="BB177" s="561">
        <v>0</v>
      </c>
      <c r="BC177" s="561">
        <v>0</v>
      </c>
      <c r="BD177" s="561">
        <v>0</v>
      </c>
      <c r="BE177" s="561">
        <v>0</v>
      </c>
      <c r="BF177" s="561">
        <v>0</v>
      </c>
      <c r="BG177" s="561">
        <v>0</v>
      </c>
      <c r="BH177" s="561">
        <v>0</v>
      </c>
      <c r="BI177" s="561">
        <v>0</v>
      </c>
      <c r="BJ177" s="561">
        <v>0</v>
      </c>
      <c r="BK177" s="561">
        <v>0</v>
      </c>
      <c r="BL177" s="561">
        <v>0</v>
      </c>
      <c r="BM177" s="561">
        <v>0</v>
      </c>
      <c r="BN177" s="561">
        <v>0</v>
      </c>
      <c r="BO177" s="561">
        <v>0</v>
      </c>
      <c r="BP177" s="561">
        <v>0</v>
      </c>
      <c r="BQ177" s="561">
        <v>0</v>
      </c>
      <c r="BR177" s="561">
        <v>0</v>
      </c>
      <c r="BS177" s="561">
        <v>0</v>
      </c>
      <c r="BT177" s="561">
        <v>0</v>
      </c>
      <c r="BU177" s="561">
        <v>0</v>
      </c>
      <c r="BV177" s="561">
        <v>0</v>
      </c>
      <c r="BW177" s="561">
        <v>0</v>
      </c>
      <c r="BX177" s="561">
        <v>0</v>
      </c>
      <c r="BY177" s="561">
        <v>0</v>
      </c>
      <c r="BZ177" s="561">
        <v>0</v>
      </c>
      <c r="CA177" s="561">
        <v>0</v>
      </c>
      <c r="CB177" s="561">
        <v>0</v>
      </c>
      <c r="CC177" s="561">
        <v>0</v>
      </c>
      <c r="CD177" s="561">
        <v>0</v>
      </c>
      <c r="CE177" s="561">
        <v>0</v>
      </c>
      <c r="CF177" s="561">
        <v>0</v>
      </c>
      <c r="CG177" s="561">
        <v>0</v>
      </c>
      <c r="CH177" s="561">
        <v>0</v>
      </c>
      <c r="CI177" s="561">
        <v>0</v>
      </c>
      <c r="CJ177" s="561">
        <v>0</v>
      </c>
      <c r="CK177" s="561">
        <v>0</v>
      </c>
      <c r="CL177" s="561">
        <v>0</v>
      </c>
      <c r="CM177" s="561">
        <v>0</v>
      </c>
      <c r="CN177" s="561">
        <v>0</v>
      </c>
      <c r="CO177" s="561">
        <v>0</v>
      </c>
      <c r="CP177" s="561">
        <v>0</v>
      </c>
      <c r="CQ177" s="561">
        <v>0</v>
      </c>
      <c r="CR177" s="561">
        <v>0</v>
      </c>
      <c r="CS177" s="561">
        <v>0</v>
      </c>
      <c r="CT177" s="561">
        <v>0</v>
      </c>
      <c r="CU177" s="561">
        <v>0</v>
      </c>
      <c r="CV177" s="561">
        <v>0</v>
      </c>
      <c r="CW177" s="561">
        <v>0</v>
      </c>
      <c r="CX177" s="561">
        <v>0</v>
      </c>
      <c r="CY177" s="561">
        <v>0</v>
      </c>
      <c r="CZ177" s="561">
        <v>0</v>
      </c>
      <c r="DA177" s="561">
        <v>0</v>
      </c>
      <c r="DB177" s="561">
        <v>0</v>
      </c>
      <c r="DC177" s="561">
        <v>0</v>
      </c>
      <c r="DD177" s="561">
        <v>0</v>
      </c>
      <c r="DE177" s="561">
        <v>0</v>
      </c>
      <c r="DF177" s="561">
        <v>0</v>
      </c>
      <c r="DG177" s="561">
        <v>0</v>
      </c>
      <c r="DH177" s="561">
        <v>0</v>
      </c>
      <c r="DI177" s="561">
        <v>0</v>
      </c>
      <c r="DJ177" s="561">
        <v>0</v>
      </c>
      <c r="DK177" s="561">
        <v>0</v>
      </c>
      <c r="DL177" s="561">
        <v>0</v>
      </c>
      <c r="DM177" s="561">
        <v>0</v>
      </c>
      <c r="DN177" s="561">
        <v>0</v>
      </c>
      <c r="DO177" s="561">
        <v>0</v>
      </c>
      <c r="DP177" s="561">
        <v>0</v>
      </c>
      <c r="DQ177" s="561">
        <v>0</v>
      </c>
      <c r="DR177" s="561">
        <v>0</v>
      </c>
      <c r="DS177" s="561">
        <v>0</v>
      </c>
      <c r="DT177" s="561">
        <v>0</v>
      </c>
      <c r="DU177" s="561">
        <v>0</v>
      </c>
      <c r="DV177" s="561">
        <v>0</v>
      </c>
      <c r="DW177" s="561">
        <v>0</v>
      </c>
      <c r="DX177" s="561">
        <v>0</v>
      </c>
      <c r="DY177" s="561">
        <v>0</v>
      </c>
      <c r="DZ177" s="561">
        <v>0</v>
      </c>
      <c r="EA177" s="561">
        <v>0</v>
      </c>
      <c r="EB177" s="561">
        <v>0</v>
      </c>
      <c r="EC177" s="561">
        <v>0</v>
      </c>
      <c r="ED177" s="561">
        <v>0</v>
      </c>
      <c r="EE177" s="561">
        <v>0</v>
      </c>
      <c r="EF177" s="561">
        <v>0</v>
      </c>
      <c r="EG177" s="561">
        <v>0</v>
      </c>
      <c r="EH177" s="561">
        <v>0</v>
      </c>
      <c r="EI177" s="561">
        <v>0</v>
      </c>
      <c r="EJ177" s="561">
        <v>0</v>
      </c>
      <c r="EK177" s="561">
        <v>0</v>
      </c>
      <c r="EL177" s="561">
        <v>0</v>
      </c>
      <c r="EM177" s="561">
        <v>0</v>
      </c>
      <c r="EN177" s="561">
        <v>0</v>
      </c>
      <c r="EO177" s="561">
        <v>0</v>
      </c>
      <c r="EP177" s="561">
        <v>0</v>
      </c>
      <c r="EQ177" s="561">
        <v>0</v>
      </c>
      <c r="ER177" s="561">
        <v>0</v>
      </c>
      <c r="ES177" s="561" t="s">
        <v>4565</v>
      </c>
      <c r="ET177" s="561">
        <v>0</v>
      </c>
      <c r="EU177" s="561">
        <v>0</v>
      </c>
      <c r="EV177" s="561">
        <v>0</v>
      </c>
      <c r="EW177" s="561">
        <v>0</v>
      </c>
      <c r="EX177" s="561">
        <v>0</v>
      </c>
      <c r="EY177" s="561">
        <v>0</v>
      </c>
      <c r="EZ177" s="561">
        <v>0</v>
      </c>
      <c r="FA177" s="561">
        <v>0</v>
      </c>
      <c r="FB177" s="561">
        <v>0</v>
      </c>
      <c r="FC177" s="561">
        <v>0</v>
      </c>
      <c r="FD177" s="561">
        <v>0</v>
      </c>
      <c r="FE177" s="561">
        <v>0</v>
      </c>
      <c r="FF177" s="561">
        <v>0</v>
      </c>
      <c r="FG177" s="561">
        <v>0</v>
      </c>
      <c r="FH177" s="561">
        <v>0</v>
      </c>
      <c r="FI177" s="561">
        <v>0</v>
      </c>
      <c r="FJ177" s="561">
        <v>0</v>
      </c>
      <c r="FK177" s="561">
        <v>0</v>
      </c>
      <c r="FL177" s="561">
        <v>0</v>
      </c>
      <c r="FM177" s="561">
        <v>0</v>
      </c>
      <c r="FN177" s="561">
        <v>0</v>
      </c>
      <c r="FO177" s="561">
        <v>0</v>
      </c>
      <c r="FP177" s="561">
        <v>0</v>
      </c>
      <c r="FQ177" s="561">
        <v>0</v>
      </c>
      <c r="FR177" s="561">
        <v>0</v>
      </c>
      <c r="FS177" s="561">
        <v>0</v>
      </c>
      <c r="FT177" s="561">
        <v>0</v>
      </c>
      <c r="FU177" s="561">
        <v>0</v>
      </c>
      <c r="FV177" s="561">
        <v>0</v>
      </c>
      <c r="FW177" s="561">
        <v>0</v>
      </c>
      <c r="FX177" s="561">
        <v>0</v>
      </c>
      <c r="FY177" s="561">
        <v>0</v>
      </c>
      <c r="FZ177" s="561">
        <v>0</v>
      </c>
      <c r="GA177" s="561">
        <v>0</v>
      </c>
      <c r="GB177" s="561">
        <v>0</v>
      </c>
      <c r="GC177" s="561">
        <v>0</v>
      </c>
      <c r="GD177" s="561">
        <v>0</v>
      </c>
      <c r="GE177" s="561">
        <v>0</v>
      </c>
      <c r="GF177" s="561">
        <v>0</v>
      </c>
      <c r="GG177" s="561">
        <v>0</v>
      </c>
      <c r="GH177" s="561">
        <v>0</v>
      </c>
      <c r="GI177" s="561">
        <v>0</v>
      </c>
      <c r="GJ177" s="561">
        <v>0</v>
      </c>
      <c r="GK177" s="561">
        <v>0</v>
      </c>
      <c r="GL177" s="561">
        <v>0</v>
      </c>
      <c r="GM177" s="561">
        <v>0</v>
      </c>
      <c r="GN177" s="561">
        <v>0</v>
      </c>
      <c r="GO177" s="561">
        <v>0</v>
      </c>
      <c r="GP177" s="561">
        <v>0</v>
      </c>
      <c r="GQ177" s="561">
        <v>0</v>
      </c>
      <c r="GR177" s="561">
        <v>0</v>
      </c>
      <c r="GS177" s="561">
        <v>0</v>
      </c>
      <c r="GT177" s="561">
        <v>0</v>
      </c>
      <c r="GU177" s="561">
        <v>0</v>
      </c>
      <c r="GV177" s="561">
        <v>0</v>
      </c>
      <c r="GW177" s="561">
        <v>0</v>
      </c>
      <c r="GX177" s="561">
        <v>0</v>
      </c>
      <c r="GY177" s="561">
        <v>0</v>
      </c>
      <c r="GZ177" s="561">
        <v>0</v>
      </c>
      <c r="HA177" s="561">
        <v>0</v>
      </c>
      <c r="HB177" s="561">
        <v>0</v>
      </c>
      <c r="HC177" s="561">
        <v>0</v>
      </c>
      <c r="HD177" s="561">
        <v>0</v>
      </c>
      <c r="HE177" s="561">
        <v>0</v>
      </c>
      <c r="HF177" s="561">
        <v>0</v>
      </c>
      <c r="HG177" s="561">
        <v>0</v>
      </c>
      <c r="HH177" s="561">
        <v>257202</v>
      </c>
      <c r="HI177" s="561">
        <v>0</v>
      </c>
      <c r="HJ177" s="561">
        <v>0</v>
      </c>
      <c r="HK177" s="561">
        <v>0</v>
      </c>
      <c r="HL177" s="561">
        <v>0</v>
      </c>
      <c r="HM177" s="561">
        <v>0</v>
      </c>
      <c r="HN177" s="561">
        <v>0</v>
      </c>
      <c r="HO177" s="561">
        <v>9573</v>
      </c>
      <c r="HP177" s="561">
        <v>0</v>
      </c>
      <c r="HQ177" s="561">
        <v>0</v>
      </c>
      <c r="HR177" s="561">
        <v>0</v>
      </c>
      <c r="HS177" s="561">
        <v>0</v>
      </c>
      <c r="HT177" s="561">
        <v>0</v>
      </c>
      <c r="HU177" s="561">
        <v>0</v>
      </c>
      <c r="HV177" s="561">
        <v>0</v>
      </c>
      <c r="HW177" s="561">
        <v>0</v>
      </c>
      <c r="HX177" s="561">
        <v>0</v>
      </c>
      <c r="HY177" s="561">
        <v>0</v>
      </c>
      <c r="HZ177" s="561">
        <v>0</v>
      </c>
      <c r="IA177" s="561">
        <v>0</v>
      </c>
      <c r="IB177" s="561">
        <v>0</v>
      </c>
      <c r="IC177" s="561">
        <v>0</v>
      </c>
      <c r="ID177" s="561">
        <v>0</v>
      </c>
      <c r="IE177" s="561">
        <v>0</v>
      </c>
      <c r="IF177" s="561">
        <v>0</v>
      </c>
      <c r="IG177" s="561">
        <v>0</v>
      </c>
      <c r="IH177" s="561">
        <v>0</v>
      </c>
      <c r="II177" s="561">
        <v>9573</v>
      </c>
      <c r="IJ177" s="561">
        <v>0</v>
      </c>
      <c r="IK177" s="561">
        <v>0</v>
      </c>
      <c r="IL177" s="561">
        <v>0</v>
      </c>
      <c r="IM177" s="561">
        <v>0</v>
      </c>
      <c r="IN177" s="561">
        <v>0</v>
      </c>
      <c r="IO177" s="561">
        <v>0</v>
      </c>
      <c r="IP177" s="561">
        <v>0</v>
      </c>
      <c r="IQ177" s="561">
        <v>0</v>
      </c>
      <c r="IR177" s="561">
        <v>0</v>
      </c>
      <c r="IS177" s="561">
        <v>0</v>
      </c>
      <c r="IT177" s="561">
        <v>0</v>
      </c>
      <c r="IU177" s="561">
        <v>0</v>
      </c>
      <c r="IV177" s="561">
        <v>0</v>
      </c>
      <c r="IW177" s="561">
        <v>0</v>
      </c>
      <c r="IX177" s="561">
        <v>0</v>
      </c>
      <c r="IY177" s="561">
        <v>0</v>
      </c>
      <c r="IZ177" s="561">
        <v>0</v>
      </c>
      <c r="JA177" s="561">
        <v>257202</v>
      </c>
      <c r="JB177" s="561">
        <v>0</v>
      </c>
      <c r="JC177" s="561">
        <v>9573</v>
      </c>
      <c r="JD177" s="561">
        <v>0</v>
      </c>
      <c r="JE177" s="561">
        <v>266775</v>
      </c>
      <c r="JF177" s="561">
        <v>0</v>
      </c>
      <c r="JG177" s="561">
        <v>0</v>
      </c>
      <c r="JH177" s="561">
        <v>0</v>
      </c>
      <c r="JI177" s="561">
        <v>0</v>
      </c>
      <c r="JJ177" s="561">
        <v>0</v>
      </c>
      <c r="JK177" s="561">
        <v>0</v>
      </c>
      <c r="JL177" s="561">
        <v>0</v>
      </c>
      <c r="JM177" s="561">
        <v>0</v>
      </c>
      <c r="JN177" s="561">
        <v>0</v>
      </c>
      <c r="JO177" s="561">
        <v>0</v>
      </c>
      <c r="JP177" s="561">
        <v>0</v>
      </c>
      <c r="JQ177" s="561">
        <v>0</v>
      </c>
      <c r="JR177" s="561">
        <v>0</v>
      </c>
      <c r="JS177" s="561">
        <v>0</v>
      </c>
      <c r="JT177" s="561">
        <v>0</v>
      </c>
      <c r="JU177" s="561">
        <v>0</v>
      </c>
      <c r="JV177" s="561">
        <v>266775</v>
      </c>
      <c r="JW177" s="561">
        <v>0</v>
      </c>
      <c r="JX177" s="561">
        <v>336</v>
      </c>
      <c r="JY177" s="561">
        <v>0</v>
      </c>
      <c r="JZ177" s="561">
        <v>0</v>
      </c>
      <c r="KA177" s="561">
        <v>0</v>
      </c>
      <c r="KB177" s="561">
        <v>0</v>
      </c>
      <c r="KC177" s="561">
        <v>7757</v>
      </c>
      <c r="KD177" s="561">
        <v>76</v>
      </c>
      <c r="KE177" s="561">
        <v>2724</v>
      </c>
      <c r="KF177" s="561">
        <v>0</v>
      </c>
      <c r="KG177" s="561">
        <v>277668</v>
      </c>
      <c r="KH177" s="561">
        <v>-1666</v>
      </c>
      <c r="KI177" s="561">
        <v>0</v>
      </c>
      <c r="KJ177" s="561">
        <v>0</v>
      </c>
      <c r="KK177" s="561">
        <v>0</v>
      </c>
      <c r="KL177" s="561">
        <v>0</v>
      </c>
      <c r="KM177" s="561">
        <v>0</v>
      </c>
      <c r="KN177" s="561">
        <v>0</v>
      </c>
      <c r="KO177" s="561">
        <v>0</v>
      </c>
      <c r="KP177" s="561">
        <v>0</v>
      </c>
      <c r="KQ177" s="561">
        <v>0</v>
      </c>
      <c r="KR177" s="561">
        <v>276002</v>
      </c>
      <c r="KS177" s="561">
        <v>0</v>
      </c>
      <c r="KT177" s="561">
        <v>-28035</v>
      </c>
      <c r="KU177" s="561">
        <v>247967</v>
      </c>
      <c r="KV177" s="561">
        <v>0</v>
      </c>
      <c r="KW177" s="561">
        <v>0</v>
      </c>
      <c r="KX177" s="561">
        <v>0</v>
      </c>
      <c r="KY177" s="561">
        <v>0</v>
      </c>
      <c r="KZ177" s="561">
        <v>-8457</v>
      </c>
      <c r="LA177" s="561">
        <v>0</v>
      </c>
      <c r="LB177" s="561">
        <v>0</v>
      </c>
      <c r="LC177" s="561">
        <v>-157381</v>
      </c>
      <c r="LD177" s="561">
        <v>0</v>
      </c>
      <c r="LE177" s="561">
        <v>-809</v>
      </c>
      <c r="LF177" s="561">
        <v>0</v>
      </c>
      <c r="LG177" s="561">
        <v>81320</v>
      </c>
      <c r="LH177" s="561">
        <v>0</v>
      </c>
      <c r="LI177" s="561">
        <v>0</v>
      </c>
      <c r="LJ177" s="561">
        <v>0</v>
      </c>
      <c r="LK177" s="561">
        <v>0</v>
      </c>
      <c r="LL177" s="561">
        <v>18693</v>
      </c>
      <c r="LM177" s="561">
        <v>7000</v>
      </c>
      <c r="LN177" s="561">
        <v>0</v>
      </c>
      <c r="LO177" s="561">
        <v>0</v>
      </c>
      <c r="LP177" s="561">
        <v>0</v>
      </c>
      <c r="LQ177" s="561">
        <v>0</v>
      </c>
      <c r="LR177" s="561">
        <v>10236</v>
      </c>
      <c r="LS177" s="561">
        <v>7000</v>
      </c>
      <c r="LT177" s="561">
        <v>0</v>
      </c>
      <c r="LU177" s="561">
        <v>0</v>
      </c>
      <c r="LV177" s="561">
        <v>0</v>
      </c>
      <c r="LW177" s="561">
        <v>0</v>
      </c>
      <c r="LX177" s="561">
        <v>0</v>
      </c>
      <c r="LY177" s="561">
        <v>0</v>
      </c>
      <c r="LZ177" s="561">
        <v>0</v>
      </c>
      <c r="MA177" s="561">
        <v>0</v>
      </c>
      <c r="MB177" s="561">
        <v>0</v>
      </c>
      <c r="MC177" s="561">
        <v>0</v>
      </c>
      <c r="MD177" s="561">
        <v>0</v>
      </c>
      <c r="ME177" s="561">
        <v>0</v>
      </c>
      <c r="MF177" s="561">
        <v>0</v>
      </c>
      <c r="MG177" s="561">
        <v>0</v>
      </c>
      <c r="MH177" s="561">
        <v>0</v>
      </c>
      <c r="MI177" s="561">
        <v>0</v>
      </c>
      <c r="MJ177" s="561">
        <v>0</v>
      </c>
      <c r="MK177" s="561">
        <v>0</v>
      </c>
      <c r="ML177" s="561">
        <v>0</v>
      </c>
      <c r="MM177" s="561">
        <v>0</v>
      </c>
      <c r="MN177" s="561">
        <v>2000</v>
      </c>
      <c r="MO177" s="561">
        <v>0</v>
      </c>
      <c r="MP177" s="561">
        <v>8236</v>
      </c>
      <c r="MQ177" s="561">
        <v>0</v>
      </c>
      <c r="MR177" s="561">
        <v>0</v>
      </c>
      <c r="MS177" s="561">
        <v>0</v>
      </c>
      <c r="MT177" s="561">
        <v>0</v>
      </c>
      <c r="MU177" s="561">
        <v>0</v>
      </c>
      <c r="MV177" s="561">
        <v>0</v>
      </c>
      <c r="MW177" s="561">
        <v>0</v>
      </c>
      <c r="MX177" s="561">
        <v>0</v>
      </c>
      <c r="MY177" s="561">
        <v>0</v>
      </c>
      <c r="MZ177" s="561">
        <v>257202</v>
      </c>
      <c r="NA177" s="561">
        <v>0</v>
      </c>
      <c r="NB177" s="561">
        <v>9573</v>
      </c>
      <c r="NC177" s="561">
        <v>0</v>
      </c>
      <c r="ND177" s="561">
        <v>266775</v>
      </c>
      <c r="NE177" s="561">
        <v>0</v>
      </c>
      <c r="NF177" s="561">
        <v>0</v>
      </c>
      <c r="NG177" s="561">
        <v>0</v>
      </c>
      <c r="NH177" s="561">
        <v>0</v>
      </c>
      <c r="NI177" s="561">
        <v>0</v>
      </c>
      <c r="NJ177" s="561">
        <v>0</v>
      </c>
      <c r="NK177" s="561">
        <v>0</v>
      </c>
      <c r="NL177" s="561">
        <v>0</v>
      </c>
      <c r="NM177" s="561">
        <v>0</v>
      </c>
      <c r="NN177" s="561">
        <v>0</v>
      </c>
      <c r="NO177" s="561">
        <v>0</v>
      </c>
      <c r="NP177" s="561">
        <v>0</v>
      </c>
      <c r="NQ177" s="561">
        <v>0</v>
      </c>
      <c r="NR177" s="561">
        <v>0</v>
      </c>
      <c r="NS177" s="561">
        <v>0</v>
      </c>
      <c r="NT177" s="561">
        <v>0</v>
      </c>
      <c r="NU177" s="561">
        <v>0</v>
      </c>
      <c r="NV177" s="561">
        <v>0</v>
      </c>
      <c r="NW177" s="561">
        <v>0</v>
      </c>
      <c r="NX177" s="561">
        <v>0</v>
      </c>
      <c r="NY177" s="561">
        <v>0</v>
      </c>
      <c r="NZ177" s="561">
        <v>0</v>
      </c>
      <c r="OA177" s="561">
        <v>0</v>
      </c>
      <c r="OB177" s="561">
        <v>0</v>
      </c>
      <c r="OC177" s="561">
        <v>0</v>
      </c>
      <c r="OD177" s="561">
        <v>0</v>
      </c>
      <c r="OE177" s="561">
        <v>0</v>
      </c>
      <c r="OF177" s="561">
        <v>0</v>
      </c>
      <c r="OG177" s="561">
        <v>0</v>
      </c>
      <c r="OH177" s="561">
        <v>0</v>
      </c>
      <c r="OI177" s="561">
        <v>0</v>
      </c>
      <c r="OJ177" s="561">
        <v>0</v>
      </c>
      <c r="OK177" s="561">
        <v>0</v>
      </c>
      <c r="OL177" s="561">
        <v>0</v>
      </c>
      <c r="OM177" s="561">
        <v>0</v>
      </c>
      <c r="ON177" s="561">
        <v>0</v>
      </c>
      <c r="OO177" s="561">
        <v>0</v>
      </c>
      <c r="OP177" s="561">
        <v>0</v>
      </c>
      <c r="OQ177" s="561">
        <v>0</v>
      </c>
      <c r="OR177" s="561">
        <v>0</v>
      </c>
      <c r="OS177" s="561">
        <v>0</v>
      </c>
      <c r="OT177" s="561">
        <v>0</v>
      </c>
      <c r="OU177" s="561">
        <v>0</v>
      </c>
      <c r="OV177" s="561">
        <v>0</v>
      </c>
      <c r="OW177" s="561">
        <v>0</v>
      </c>
      <c r="OX177" s="561">
        <v>0</v>
      </c>
      <c r="OY177" s="561">
        <v>0</v>
      </c>
      <c r="OZ177" s="561">
        <v>0</v>
      </c>
      <c r="PA177" s="561">
        <v>0</v>
      </c>
      <c r="PB177" s="561">
        <v>0</v>
      </c>
      <c r="PC177" s="561">
        <v>0</v>
      </c>
      <c r="PD177" s="561">
        <v>0</v>
      </c>
      <c r="PE177" s="561">
        <v>0</v>
      </c>
      <c r="PF177" s="561">
        <v>0</v>
      </c>
      <c r="PG177" s="561">
        <v>0</v>
      </c>
      <c r="PH177" s="561">
        <v>0</v>
      </c>
      <c r="PI177" s="561">
        <v>0</v>
      </c>
      <c r="PJ177" s="561">
        <v>0</v>
      </c>
    </row>
    <row r="178" spans="1:426" ht="14" x14ac:dyDescent="0.3">
      <c r="A178" t="s">
        <v>2972</v>
      </c>
      <c r="B178" t="s">
        <v>2973</v>
      </c>
      <c r="C178" t="s">
        <v>2974</v>
      </c>
      <c r="E178" t="s">
        <v>384</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4</v>
      </c>
      <c r="U178" s="561">
        <v>0</v>
      </c>
      <c r="V178" s="561">
        <v>0</v>
      </c>
      <c r="W178" s="561">
        <v>0</v>
      </c>
      <c r="X178" s="561">
        <v>0</v>
      </c>
      <c r="Y178" s="561">
        <v>0</v>
      </c>
      <c r="Z178" s="561">
        <v>0</v>
      </c>
      <c r="AA178" s="561">
        <v>16</v>
      </c>
      <c r="AB178" s="561">
        <v>-557</v>
      </c>
      <c r="AC178" s="561">
        <v>17</v>
      </c>
      <c r="AD178" s="561">
        <v>0</v>
      </c>
      <c r="AE178" s="561">
        <v>0</v>
      </c>
      <c r="AF178" s="561">
        <v>0</v>
      </c>
      <c r="AG178" s="561">
        <v>0</v>
      </c>
      <c r="AH178" s="561">
        <v>262</v>
      </c>
      <c r="AI178" s="561">
        <v>0</v>
      </c>
      <c r="AJ178" s="561">
        <v>-258</v>
      </c>
      <c r="AK178" s="561">
        <v>0</v>
      </c>
      <c r="AL178" s="561">
        <v>0</v>
      </c>
      <c r="AM178" s="561">
        <v>0</v>
      </c>
      <c r="AN178" s="561">
        <v>0</v>
      </c>
      <c r="AO178" s="561">
        <v>0</v>
      </c>
      <c r="AP178" s="561">
        <v>0</v>
      </c>
      <c r="AQ178" s="561">
        <v>0</v>
      </c>
      <c r="AR178" s="561">
        <v>0</v>
      </c>
      <c r="AS178" s="561">
        <v>0</v>
      </c>
      <c r="AT178" s="561">
        <v>0</v>
      </c>
      <c r="AU178" s="561">
        <v>0</v>
      </c>
      <c r="AV178" s="561">
        <v>0</v>
      </c>
      <c r="AW178" s="561">
        <v>0</v>
      </c>
      <c r="AX178" s="561">
        <v>0</v>
      </c>
      <c r="AY178" s="561">
        <v>0</v>
      </c>
      <c r="AZ178" s="561">
        <v>0</v>
      </c>
      <c r="BA178" s="561">
        <v>0</v>
      </c>
      <c r="BB178" s="561">
        <v>0</v>
      </c>
      <c r="BC178" s="561">
        <v>0</v>
      </c>
      <c r="BD178" s="561">
        <v>0</v>
      </c>
      <c r="BE178" s="561">
        <v>0</v>
      </c>
      <c r="BF178" s="561">
        <v>0</v>
      </c>
      <c r="BG178" s="561">
        <v>0</v>
      </c>
      <c r="BH178" s="561">
        <v>0</v>
      </c>
      <c r="BI178" s="561">
        <v>0</v>
      </c>
      <c r="BJ178" s="561">
        <v>0</v>
      </c>
      <c r="BK178" s="561">
        <v>0</v>
      </c>
      <c r="BL178" s="561">
        <v>0</v>
      </c>
      <c r="BM178" s="561">
        <v>0</v>
      </c>
      <c r="BN178" s="561">
        <v>0</v>
      </c>
      <c r="BO178" s="561">
        <v>0</v>
      </c>
      <c r="BP178" s="561">
        <v>0</v>
      </c>
      <c r="BQ178" s="561">
        <v>0</v>
      </c>
      <c r="BR178" s="561">
        <v>0</v>
      </c>
      <c r="BS178" s="561">
        <v>0</v>
      </c>
      <c r="BT178" s="561">
        <v>0</v>
      </c>
      <c r="BU178" s="561">
        <v>0</v>
      </c>
      <c r="BV178" s="561">
        <v>0</v>
      </c>
      <c r="BW178" s="561">
        <v>0</v>
      </c>
      <c r="BX178" s="561">
        <v>0</v>
      </c>
      <c r="BY178" s="561">
        <v>0</v>
      </c>
      <c r="BZ178" s="561">
        <v>0</v>
      </c>
      <c r="CA178" s="561">
        <v>0</v>
      </c>
      <c r="CB178" s="561">
        <v>0</v>
      </c>
      <c r="CC178" s="561">
        <v>0</v>
      </c>
      <c r="CD178" s="561">
        <v>0</v>
      </c>
      <c r="CE178" s="561">
        <v>0</v>
      </c>
      <c r="CF178" s="561">
        <v>0</v>
      </c>
      <c r="CG178" s="561">
        <v>0</v>
      </c>
      <c r="CH178" s="561">
        <v>0</v>
      </c>
      <c r="CI178" s="561">
        <v>0</v>
      </c>
      <c r="CJ178" s="561">
        <v>0</v>
      </c>
      <c r="CK178" s="561">
        <v>0</v>
      </c>
      <c r="CL178" s="561">
        <v>0</v>
      </c>
      <c r="CM178" s="561">
        <v>0</v>
      </c>
      <c r="CN178" s="561">
        <v>0</v>
      </c>
      <c r="CO178" s="561">
        <v>0</v>
      </c>
      <c r="CP178" s="561">
        <v>0</v>
      </c>
      <c r="CQ178" s="561">
        <v>0</v>
      </c>
      <c r="CR178" s="561">
        <v>0</v>
      </c>
      <c r="CS178" s="561">
        <v>0</v>
      </c>
      <c r="CT178" s="561">
        <v>0</v>
      </c>
      <c r="CU178" s="561">
        <v>0</v>
      </c>
      <c r="CV178" s="561">
        <v>0</v>
      </c>
      <c r="CW178" s="561">
        <v>0</v>
      </c>
      <c r="CX178" s="561">
        <v>0</v>
      </c>
      <c r="CY178" s="561">
        <v>0</v>
      </c>
      <c r="CZ178" s="561">
        <v>0</v>
      </c>
      <c r="DA178" s="561">
        <v>0</v>
      </c>
      <c r="DB178" s="561">
        <v>0</v>
      </c>
      <c r="DC178" s="561">
        <v>0</v>
      </c>
      <c r="DD178" s="561">
        <v>0</v>
      </c>
      <c r="DE178" s="561">
        <v>0</v>
      </c>
      <c r="DF178" s="561">
        <v>0</v>
      </c>
      <c r="DG178" s="561">
        <v>0</v>
      </c>
      <c r="DH178" s="561">
        <v>1068</v>
      </c>
      <c r="DI178" s="561">
        <v>0</v>
      </c>
      <c r="DJ178" s="561">
        <v>163</v>
      </c>
      <c r="DK178" s="561">
        <v>0</v>
      </c>
      <c r="DL178" s="561">
        <v>0</v>
      </c>
      <c r="DM178" s="561">
        <v>0</v>
      </c>
      <c r="DN178" s="561">
        <v>4</v>
      </c>
      <c r="DO178" s="561">
        <v>9</v>
      </c>
      <c r="DP178" s="561">
        <v>0</v>
      </c>
      <c r="DQ178" s="561">
        <v>0</v>
      </c>
      <c r="DR178" s="561">
        <v>0</v>
      </c>
      <c r="DS178" s="561">
        <v>1174</v>
      </c>
      <c r="DT178" s="561">
        <v>0</v>
      </c>
      <c r="DU178" s="561">
        <v>1187</v>
      </c>
      <c r="DV178" s="561">
        <v>21</v>
      </c>
      <c r="DW178" s="561">
        <v>0</v>
      </c>
      <c r="DX178" s="561">
        <v>0</v>
      </c>
      <c r="DY178" s="561">
        <v>1818</v>
      </c>
      <c r="DZ178" s="561">
        <v>-52</v>
      </c>
      <c r="EA178" s="561">
        <v>0</v>
      </c>
      <c r="EB178" s="561">
        <v>0</v>
      </c>
      <c r="EC178" s="561">
        <v>4205</v>
      </c>
      <c r="ED178" s="561">
        <v>60</v>
      </c>
      <c r="EE178" s="561">
        <v>0</v>
      </c>
      <c r="EF178" s="561">
        <v>0</v>
      </c>
      <c r="EG178" s="561">
        <v>0</v>
      </c>
      <c r="EH178" s="561">
        <v>0</v>
      </c>
      <c r="EI178" s="561">
        <v>0</v>
      </c>
      <c r="EJ178" s="561">
        <v>0</v>
      </c>
      <c r="EK178" s="561">
        <v>0</v>
      </c>
      <c r="EL178" s="561">
        <v>0</v>
      </c>
      <c r="EM178" s="561">
        <v>0</v>
      </c>
      <c r="EN178" s="561">
        <v>0</v>
      </c>
      <c r="EO178" s="561">
        <v>0</v>
      </c>
      <c r="EP178" s="561">
        <v>0</v>
      </c>
      <c r="EQ178" s="561">
        <v>0</v>
      </c>
      <c r="ER178" s="561">
        <v>0</v>
      </c>
      <c r="ES178" s="561" t="s">
        <v>4565</v>
      </c>
      <c r="ET178" s="561">
        <v>0</v>
      </c>
      <c r="EU178" s="561">
        <v>0</v>
      </c>
      <c r="EV178" s="561">
        <v>0</v>
      </c>
      <c r="EW178" s="561">
        <v>0</v>
      </c>
      <c r="EX178" s="561">
        <v>0</v>
      </c>
      <c r="EY178" s="561">
        <v>0</v>
      </c>
      <c r="EZ178" s="561">
        <v>0</v>
      </c>
      <c r="FA178" s="561">
        <v>0</v>
      </c>
      <c r="FB178" s="561">
        <v>0</v>
      </c>
      <c r="FC178" s="561">
        <v>0</v>
      </c>
      <c r="FD178" s="561">
        <v>0</v>
      </c>
      <c r="FE178" s="561">
        <v>0</v>
      </c>
      <c r="FF178" s="561">
        <v>0</v>
      </c>
      <c r="FG178" s="561">
        <v>0</v>
      </c>
      <c r="FH178" s="561">
        <v>0</v>
      </c>
      <c r="FI178" s="561">
        <v>77</v>
      </c>
      <c r="FJ178" s="561">
        <v>3373</v>
      </c>
      <c r="FK178" s="561">
        <v>2504</v>
      </c>
      <c r="FL178" s="561">
        <v>0</v>
      </c>
      <c r="FM178" s="561">
        <v>0</v>
      </c>
      <c r="FN178" s="561">
        <v>0</v>
      </c>
      <c r="FO178" s="561">
        <v>5954</v>
      </c>
      <c r="FP178" s="561">
        <v>4</v>
      </c>
      <c r="FQ178" s="561">
        <v>0</v>
      </c>
      <c r="FR178" s="561">
        <v>0</v>
      </c>
      <c r="FS178" s="561">
        <v>0</v>
      </c>
      <c r="FT178" s="561">
        <v>257</v>
      </c>
      <c r="FU178" s="561">
        <v>769</v>
      </c>
      <c r="FV178" s="561">
        <v>99</v>
      </c>
      <c r="FW178" s="561">
        <v>89</v>
      </c>
      <c r="FX178" s="561">
        <v>0</v>
      </c>
      <c r="FY178" s="561">
        <v>0</v>
      </c>
      <c r="FZ178" s="561">
        <v>68</v>
      </c>
      <c r="GA178" s="561">
        <v>9</v>
      </c>
      <c r="GB178" s="561">
        <v>295</v>
      </c>
      <c r="GC178" s="561">
        <v>324</v>
      </c>
      <c r="GD178" s="561">
        <v>146</v>
      </c>
      <c r="GE178" s="561">
        <v>0</v>
      </c>
      <c r="GF178" s="561">
        <v>466</v>
      </c>
      <c r="GG178" s="561">
        <v>0</v>
      </c>
      <c r="GH178" s="561">
        <v>178</v>
      </c>
      <c r="GI178" s="561">
        <v>609</v>
      </c>
      <c r="GJ178" s="561">
        <v>0</v>
      </c>
      <c r="GK178" s="561">
        <v>0</v>
      </c>
      <c r="GL178" s="561">
        <v>2025</v>
      </c>
      <c r="GM178" s="561">
        <v>3832</v>
      </c>
      <c r="GN178" s="561">
        <v>0</v>
      </c>
      <c r="GO178" s="561">
        <v>0</v>
      </c>
      <c r="GP178" s="561">
        <v>2028</v>
      </c>
      <c r="GQ178" s="561">
        <v>156</v>
      </c>
      <c r="GR178" s="561">
        <v>0</v>
      </c>
      <c r="GS178" s="561">
        <v>11350</v>
      </c>
      <c r="GT178" s="561">
        <v>836</v>
      </c>
      <c r="GU178" s="561">
        <v>185</v>
      </c>
      <c r="GV178" s="561">
        <v>355</v>
      </c>
      <c r="GW178" s="561">
        <v>0</v>
      </c>
      <c r="GX178" s="561">
        <v>852</v>
      </c>
      <c r="GY178" s="561">
        <v>19</v>
      </c>
      <c r="GZ178" s="561">
        <v>348</v>
      </c>
      <c r="HA178" s="561">
        <v>0</v>
      </c>
      <c r="HB178" s="561">
        <v>0</v>
      </c>
      <c r="HC178" s="561">
        <v>608</v>
      </c>
      <c r="HD178" s="561">
        <v>2367</v>
      </c>
      <c r="HE178" s="561">
        <v>0</v>
      </c>
      <c r="HF178" s="561">
        <v>19671</v>
      </c>
      <c r="HG178" s="561">
        <v>840</v>
      </c>
      <c r="HH178" s="561">
        <v>0</v>
      </c>
      <c r="HI178" s="561">
        <v>0</v>
      </c>
      <c r="HJ178" s="561">
        <v>0</v>
      </c>
      <c r="HK178" s="561">
        <v>0</v>
      </c>
      <c r="HL178" s="561">
        <v>0</v>
      </c>
      <c r="HM178" s="561">
        <v>0</v>
      </c>
      <c r="HN178" s="561">
        <v>0</v>
      </c>
      <c r="HO178" s="561">
        <v>3304</v>
      </c>
      <c r="HP178" s="561">
        <v>1177</v>
      </c>
      <c r="HQ178" s="561">
        <v>0</v>
      </c>
      <c r="HR178" s="561">
        <v>0</v>
      </c>
      <c r="HS178" s="561">
        <v>618</v>
      </c>
      <c r="HT178" s="561">
        <v>409</v>
      </c>
      <c r="HU178" s="561">
        <v>0</v>
      </c>
      <c r="HV178" s="561">
        <v>0</v>
      </c>
      <c r="HW178" s="561">
        <v>199</v>
      </c>
      <c r="HX178" s="561">
        <v>457</v>
      </c>
      <c r="HY178" s="561">
        <v>42</v>
      </c>
      <c r="HZ178" s="561">
        <v>146</v>
      </c>
      <c r="IA178" s="561">
        <v>0</v>
      </c>
      <c r="IB178" s="561">
        <v>0</v>
      </c>
      <c r="IC178" s="561">
        <v>0</v>
      </c>
      <c r="ID178" s="561">
        <v>0</v>
      </c>
      <c r="IE178" s="561">
        <v>308</v>
      </c>
      <c r="IF178" s="561">
        <v>0</v>
      </c>
      <c r="IG178" s="561">
        <v>0</v>
      </c>
      <c r="IH178" s="561">
        <v>309</v>
      </c>
      <c r="II178" s="561">
        <v>6969</v>
      </c>
      <c r="IJ178" s="561">
        <v>599</v>
      </c>
      <c r="IK178" s="561">
        <v>0</v>
      </c>
      <c r="IL178" s="561">
        <v>0</v>
      </c>
      <c r="IM178" s="561">
        <v>0</v>
      </c>
      <c r="IN178" s="561">
        <v>26499</v>
      </c>
      <c r="IO178" s="561">
        <v>0</v>
      </c>
      <c r="IP178" s="561">
        <v>0</v>
      </c>
      <c r="IQ178" s="561">
        <v>0</v>
      </c>
      <c r="IR178" s="561">
        <v>0</v>
      </c>
      <c r="IS178" s="561">
        <v>-258</v>
      </c>
      <c r="IT178" s="561">
        <v>0</v>
      </c>
      <c r="IU178" s="561">
        <v>0</v>
      </c>
      <c r="IV178" s="561">
        <v>0</v>
      </c>
      <c r="IW178" s="561">
        <v>4205</v>
      </c>
      <c r="IX178" s="561">
        <v>5954</v>
      </c>
      <c r="IY178" s="561">
        <v>11350</v>
      </c>
      <c r="IZ178" s="561">
        <v>2367</v>
      </c>
      <c r="JA178" s="561">
        <v>0</v>
      </c>
      <c r="JB178" s="561">
        <v>0</v>
      </c>
      <c r="JC178" s="561">
        <v>6969</v>
      </c>
      <c r="JD178" s="561">
        <v>0</v>
      </c>
      <c r="JE178" s="561">
        <v>30587</v>
      </c>
      <c r="JF178" s="561">
        <v>25081</v>
      </c>
      <c r="JG178" s="561">
        <v>694</v>
      </c>
      <c r="JH178" s="561">
        <v>0</v>
      </c>
      <c r="JI178" s="561">
        <v>0</v>
      </c>
      <c r="JJ178" s="561">
        <v>0</v>
      </c>
      <c r="JK178" s="561">
        <v>9061</v>
      </c>
      <c r="JL178" s="561">
        <v>0</v>
      </c>
      <c r="JM178" s="561">
        <v>0</v>
      </c>
      <c r="JN178" s="561">
        <v>0</v>
      </c>
      <c r="JO178" s="561">
        <v>0</v>
      </c>
      <c r="JP178" s="561">
        <v>-2961</v>
      </c>
      <c r="JQ178" s="561">
        <v>0</v>
      </c>
      <c r="JR178" s="561">
        <v>0</v>
      </c>
      <c r="JS178" s="561">
        <v>0</v>
      </c>
      <c r="JT178" s="561">
        <v>0</v>
      </c>
      <c r="JU178" s="561">
        <v>0</v>
      </c>
      <c r="JV178" s="561">
        <v>62462</v>
      </c>
      <c r="JW178" s="561">
        <v>0</v>
      </c>
      <c r="JX178" s="561">
        <v>0</v>
      </c>
      <c r="JY178" s="561">
        <v>0</v>
      </c>
      <c r="JZ178" s="561">
        <v>0</v>
      </c>
      <c r="KA178" s="561">
        <v>0</v>
      </c>
      <c r="KB178" s="561">
        <v>-42</v>
      </c>
      <c r="KC178" s="561">
        <v>2824</v>
      </c>
      <c r="KD178" s="561">
        <v>0</v>
      </c>
      <c r="KE178" s="561">
        <v>972</v>
      </c>
      <c r="KF178" s="561">
        <v>0</v>
      </c>
      <c r="KG178" s="561">
        <v>66216</v>
      </c>
      <c r="KH178" s="561">
        <v>-5952</v>
      </c>
      <c r="KI178" s="561">
        <v>0</v>
      </c>
      <c r="KJ178" s="561">
        <v>197</v>
      </c>
      <c r="KK178" s="561">
        <v>0</v>
      </c>
      <c r="KL178" s="561">
        <v>-24006</v>
      </c>
      <c r="KM178" s="561">
        <v>0</v>
      </c>
      <c r="KN178" s="561">
        <v>-3615</v>
      </c>
      <c r="KO178" s="561">
        <v>0</v>
      </c>
      <c r="KP178" s="561">
        <v>0</v>
      </c>
      <c r="KQ178" s="561">
        <v>0</v>
      </c>
      <c r="KR178" s="561">
        <v>32840</v>
      </c>
      <c r="KS178" s="561">
        <v>0</v>
      </c>
      <c r="KT178" s="561">
        <v>-4240</v>
      </c>
      <c r="KU178" s="561">
        <v>28600</v>
      </c>
      <c r="KV178" s="561">
        <v>0</v>
      </c>
      <c r="KW178" s="561">
        <v>0</v>
      </c>
      <c r="KX178" s="561">
        <v>0</v>
      </c>
      <c r="KY178" s="561">
        <v>0</v>
      </c>
      <c r="KZ178" s="561">
        <v>3917</v>
      </c>
      <c r="LA178" s="561">
        <v>-306</v>
      </c>
      <c r="LB178" s="561">
        <v>-188</v>
      </c>
      <c r="LC178" s="561">
        <v>0</v>
      </c>
      <c r="LD178" s="561">
        <v>-12422</v>
      </c>
      <c r="LE178" s="561">
        <v>93</v>
      </c>
      <c r="LF178" s="561">
        <v>0</v>
      </c>
      <c r="LG178" s="561">
        <v>19694</v>
      </c>
      <c r="LH178" s="561">
        <v>0</v>
      </c>
      <c r="LI178" s="561">
        <v>0</v>
      </c>
      <c r="LJ178" s="561">
        <v>0</v>
      </c>
      <c r="LK178" s="561">
        <v>0</v>
      </c>
      <c r="LL178" s="561">
        <v>26429</v>
      </c>
      <c r="LM178" s="561">
        <v>9047</v>
      </c>
      <c r="LN178" s="561">
        <v>0</v>
      </c>
      <c r="LO178" s="561">
        <v>0</v>
      </c>
      <c r="LP178" s="561">
        <v>0</v>
      </c>
      <c r="LQ178" s="561">
        <v>0</v>
      </c>
      <c r="LR178" s="561">
        <v>30346</v>
      </c>
      <c r="LS178" s="561">
        <v>8741</v>
      </c>
      <c r="LT178" s="561">
        <v>0</v>
      </c>
      <c r="LU178" s="561">
        <v>3059</v>
      </c>
      <c r="LV178" s="561">
        <v>0</v>
      </c>
      <c r="LW178" s="561">
        <v>-229</v>
      </c>
      <c r="LX178" s="561">
        <v>-9965</v>
      </c>
      <c r="LY178" s="561">
        <v>9098</v>
      </c>
      <c r="LZ178" s="561">
        <v>-883</v>
      </c>
      <c r="MA178" s="561">
        <v>0</v>
      </c>
      <c r="MB178" s="561">
        <v>0</v>
      </c>
      <c r="MC178" s="561">
        <v>0</v>
      </c>
      <c r="MD178" s="561">
        <v>0</v>
      </c>
      <c r="ME178" s="561">
        <v>0</v>
      </c>
      <c r="MF178" s="561">
        <v>0</v>
      </c>
      <c r="MG178" s="561">
        <v>0</v>
      </c>
      <c r="MH178" s="561">
        <v>3622</v>
      </c>
      <c r="MI178" s="561">
        <v>6673</v>
      </c>
      <c r="MJ178" s="561">
        <v>10295</v>
      </c>
      <c r="MK178" s="561">
        <v>0</v>
      </c>
      <c r="ML178" s="561">
        <v>6524</v>
      </c>
      <c r="MM178" s="561">
        <v>16240</v>
      </c>
      <c r="MN178" s="561">
        <v>632</v>
      </c>
      <c r="MO178" s="561">
        <v>6950</v>
      </c>
      <c r="MP178" s="561">
        <v>0</v>
      </c>
      <c r="MQ178" s="561">
        <v>0</v>
      </c>
      <c r="MR178" s="561">
        <v>-258</v>
      </c>
      <c r="MS178" s="561">
        <v>0</v>
      </c>
      <c r="MT178" s="561">
        <v>0</v>
      </c>
      <c r="MU178" s="561">
        <v>0</v>
      </c>
      <c r="MV178" s="561">
        <v>4205</v>
      </c>
      <c r="MW178" s="561">
        <v>5954</v>
      </c>
      <c r="MX178" s="561">
        <v>11350</v>
      </c>
      <c r="MY178" s="561">
        <v>2367</v>
      </c>
      <c r="MZ178" s="561">
        <v>0</v>
      </c>
      <c r="NA178" s="561">
        <v>0</v>
      </c>
      <c r="NB178" s="561">
        <v>6969</v>
      </c>
      <c r="NC178" s="561">
        <v>0</v>
      </c>
      <c r="ND178" s="561">
        <v>30587</v>
      </c>
      <c r="NE178" s="561">
        <v>0</v>
      </c>
      <c r="NF178" s="561">
        <v>0</v>
      </c>
      <c r="NG178" s="561">
        <v>0</v>
      </c>
      <c r="NH178" s="561">
        <v>0</v>
      </c>
      <c r="NI178" s="561">
        <v>0</v>
      </c>
      <c r="NJ178" s="561">
        <v>0</v>
      </c>
      <c r="NK178" s="561">
        <v>0</v>
      </c>
      <c r="NL178" s="561">
        <v>0</v>
      </c>
      <c r="NM178" s="561">
        <v>0</v>
      </c>
      <c r="NN178" s="561">
        <v>0</v>
      </c>
      <c r="NO178" s="561">
        <v>0</v>
      </c>
      <c r="NP178" s="561">
        <v>0</v>
      </c>
      <c r="NQ178" s="561">
        <v>-126</v>
      </c>
      <c r="NR178" s="561">
        <v>0</v>
      </c>
      <c r="NS178" s="561">
        <v>0</v>
      </c>
      <c r="NT178" s="561">
        <v>-1421</v>
      </c>
      <c r="NU178" s="561">
        <v>-439</v>
      </c>
      <c r="NV178" s="561">
        <v>132</v>
      </c>
      <c r="NW178" s="561">
        <v>-2961</v>
      </c>
      <c r="NX178" s="561">
        <v>0</v>
      </c>
      <c r="NY178" s="561">
        <v>-2961</v>
      </c>
      <c r="NZ178" s="561">
        <v>0</v>
      </c>
      <c r="OA178" s="561">
        <v>0</v>
      </c>
      <c r="OB178" s="561">
        <v>0</v>
      </c>
      <c r="OC178" s="561">
        <v>0</v>
      </c>
      <c r="OD178" s="561">
        <v>0</v>
      </c>
      <c r="OE178" s="561">
        <v>0</v>
      </c>
      <c r="OF178" s="561">
        <v>0</v>
      </c>
      <c r="OG178" s="561">
        <v>0</v>
      </c>
      <c r="OH178" s="561">
        <v>0</v>
      </c>
      <c r="OI178" s="561">
        <v>0</v>
      </c>
      <c r="OJ178" s="561">
        <v>0</v>
      </c>
      <c r="OK178" s="561">
        <v>0</v>
      </c>
      <c r="OL178" s="561">
        <v>0</v>
      </c>
      <c r="OM178" s="561">
        <v>0</v>
      </c>
      <c r="ON178" s="561">
        <v>0</v>
      </c>
      <c r="OO178" s="561">
        <v>0</v>
      </c>
      <c r="OP178" s="561">
        <v>0</v>
      </c>
      <c r="OQ178" s="561">
        <v>0</v>
      </c>
      <c r="OR178" s="561">
        <v>0</v>
      </c>
      <c r="OS178" s="561">
        <v>0</v>
      </c>
      <c r="OT178" s="561">
        <v>0</v>
      </c>
      <c r="OU178" s="561">
        <v>0</v>
      </c>
      <c r="OV178" s="561">
        <v>0</v>
      </c>
      <c r="OW178" s="561">
        <v>0</v>
      </c>
      <c r="OX178" s="561">
        <v>0</v>
      </c>
      <c r="OY178" s="561">
        <v>0</v>
      </c>
      <c r="OZ178" s="561">
        <v>0</v>
      </c>
      <c r="PA178" s="561">
        <v>0</v>
      </c>
      <c r="PB178" s="561">
        <v>0</v>
      </c>
      <c r="PC178" s="561">
        <v>0</v>
      </c>
      <c r="PD178" s="561">
        <v>0</v>
      </c>
      <c r="PE178" s="561">
        <v>0</v>
      </c>
      <c r="PF178" s="561">
        <v>0</v>
      </c>
      <c r="PG178" s="561">
        <v>0</v>
      </c>
      <c r="PH178" s="561">
        <v>0</v>
      </c>
      <c r="PI178" s="561">
        <v>0</v>
      </c>
      <c r="PJ178" s="561">
        <v>0</v>
      </c>
    </row>
    <row r="179" spans="1:426" ht="14" x14ac:dyDescent="0.3">
      <c r="A179" t="s">
        <v>2975</v>
      </c>
      <c r="B179" t="s">
        <v>2976</v>
      </c>
      <c r="C179" t="s">
        <v>4612</v>
      </c>
      <c r="E179" t="s">
        <v>384</v>
      </c>
      <c r="F179" s="561">
        <v>0</v>
      </c>
      <c r="G179" s="561">
        <v>0</v>
      </c>
      <c r="H179" s="561">
        <v>0</v>
      </c>
      <c r="I179" s="561">
        <v>0</v>
      </c>
      <c r="J179" s="561">
        <v>0</v>
      </c>
      <c r="K179" s="561">
        <v>0</v>
      </c>
      <c r="L179" s="561">
        <v>0</v>
      </c>
      <c r="M179" s="561">
        <v>0</v>
      </c>
      <c r="N179" s="561">
        <v>0</v>
      </c>
      <c r="O179" s="561">
        <v>0</v>
      </c>
      <c r="P179" s="561">
        <v>128</v>
      </c>
      <c r="Q179" s="561">
        <v>0</v>
      </c>
      <c r="R179" s="561">
        <v>0</v>
      </c>
      <c r="S179" s="561">
        <v>0</v>
      </c>
      <c r="T179" s="561">
        <v>0</v>
      </c>
      <c r="U179" s="561">
        <v>0</v>
      </c>
      <c r="V179" s="561">
        <v>126</v>
      </c>
      <c r="W179" s="561">
        <v>0</v>
      </c>
      <c r="X179" s="561">
        <v>0</v>
      </c>
      <c r="Y179" s="561">
        <v>0</v>
      </c>
      <c r="Z179" s="561">
        <v>0</v>
      </c>
      <c r="AA179" s="561">
        <v>0</v>
      </c>
      <c r="AB179" s="561">
        <v>80</v>
      </c>
      <c r="AC179" s="561">
        <v>0</v>
      </c>
      <c r="AD179" s="561">
        <v>0</v>
      </c>
      <c r="AE179" s="561">
        <v>0</v>
      </c>
      <c r="AF179" s="561">
        <v>0</v>
      </c>
      <c r="AG179" s="561">
        <v>0</v>
      </c>
      <c r="AH179" s="561">
        <v>14</v>
      </c>
      <c r="AI179" s="561">
        <v>0</v>
      </c>
      <c r="AJ179" s="561">
        <v>348</v>
      </c>
      <c r="AK179" s="561">
        <v>0</v>
      </c>
      <c r="AL179" s="561">
        <v>0</v>
      </c>
      <c r="AM179" s="561">
        <v>0</v>
      </c>
      <c r="AN179" s="561">
        <v>0</v>
      </c>
      <c r="AO179" s="561">
        <v>0</v>
      </c>
      <c r="AP179" s="561">
        <v>0</v>
      </c>
      <c r="AQ179" s="561">
        <v>0</v>
      </c>
      <c r="AR179" s="561">
        <v>0</v>
      </c>
      <c r="AS179" s="561">
        <v>0</v>
      </c>
      <c r="AT179" s="561">
        <v>0</v>
      </c>
      <c r="AU179" s="561">
        <v>0</v>
      </c>
      <c r="AV179" s="561">
        <v>0</v>
      </c>
      <c r="AW179" s="561">
        <v>0</v>
      </c>
      <c r="AX179" s="561">
        <v>0</v>
      </c>
      <c r="AY179" s="561">
        <v>0</v>
      </c>
      <c r="AZ179" s="561">
        <v>0</v>
      </c>
      <c r="BA179" s="561">
        <v>0</v>
      </c>
      <c r="BB179" s="561">
        <v>0</v>
      </c>
      <c r="BC179" s="561">
        <v>0</v>
      </c>
      <c r="BD179" s="561">
        <v>0</v>
      </c>
      <c r="BE179" s="561">
        <v>0</v>
      </c>
      <c r="BF179" s="561">
        <v>0</v>
      </c>
      <c r="BG179" s="561">
        <v>0</v>
      </c>
      <c r="BH179" s="561">
        <v>0</v>
      </c>
      <c r="BI179" s="561">
        <v>0</v>
      </c>
      <c r="BJ179" s="561">
        <v>0</v>
      </c>
      <c r="BK179" s="561">
        <v>0</v>
      </c>
      <c r="BL179" s="561">
        <v>0</v>
      </c>
      <c r="BM179" s="561">
        <v>0</v>
      </c>
      <c r="BN179" s="561">
        <v>0</v>
      </c>
      <c r="BO179" s="561">
        <v>0</v>
      </c>
      <c r="BP179" s="561">
        <v>0</v>
      </c>
      <c r="BQ179" s="561">
        <v>0</v>
      </c>
      <c r="BR179" s="561">
        <v>0</v>
      </c>
      <c r="BS179" s="561">
        <v>0</v>
      </c>
      <c r="BT179" s="561">
        <v>0</v>
      </c>
      <c r="BU179" s="561">
        <v>0</v>
      </c>
      <c r="BV179" s="561">
        <v>0</v>
      </c>
      <c r="BW179" s="561">
        <v>0</v>
      </c>
      <c r="BX179" s="561">
        <v>0</v>
      </c>
      <c r="BY179" s="561">
        <v>0</v>
      </c>
      <c r="BZ179" s="561">
        <v>0</v>
      </c>
      <c r="CA179" s="561">
        <v>0</v>
      </c>
      <c r="CB179" s="561">
        <v>0</v>
      </c>
      <c r="CC179" s="561">
        <v>0</v>
      </c>
      <c r="CD179" s="561">
        <v>0</v>
      </c>
      <c r="CE179" s="561">
        <v>0</v>
      </c>
      <c r="CF179" s="561">
        <v>0</v>
      </c>
      <c r="CG179" s="561">
        <v>0</v>
      </c>
      <c r="CH179" s="561">
        <v>0</v>
      </c>
      <c r="CI179" s="561">
        <v>0</v>
      </c>
      <c r="CJ179" s="561">
        <v>0</v>
      </c>
      <c r="CK179" s="561">
        <v>0</v>
      </c>
      <c r="CL179" s="561">
        <v>0</v>
      </c>
      <c r="CM179" s="561">
        <v>0</v>
      </c>
      <c r="CN179" s="561">
        <v>0</v>
      </c>
      <c r="CO179" s="561">
        <v>0</v>
      </c>
      <c r="CP179" s="561">
        <v>0</v>
      </c>
      <c r="CQ179" s="561">
        <v>0</v>
      </c>
      <c r="CR179" s="561">
        <v>0</v>
      </c>
      <c r="CS179" s="561">
        <v>0</v>
      </c>
      <c r="CT179" s="561">
        <v>0</v>
      </c>
      <c r="CU179" s="561">
        <v>0</v>
      </c>
      <c r="CV179" s="561">
        <v>0</v>
      </c>
      <c r="CW179" s="561">
        <v>0</v>
      </c>
      <c r="CX179" s="561">
        <v>0</v>
      </c>
      <c r="CY179" s="561">
        <v>130</v>
      </c>
      <c r="CZ179" s="561">
        <v>130</v>
      </c>
      <c r="DA179" s="561">
        <v>0</v>
      </c>
      <c r="DB179" s="561">
        <v>0</v>
      </c>
      <c r="DC179" s="561">
        <v>0</v>
      </c>
      <c r="DD179" s="561">
        <v>0</v>
      </c>
      <c r="DE179" s="561">
        <v>0</v>
      </c>
      <c r="DF179" s="561">
        <v>0</v>
      </c>
      <c r="DG179" s="561">
        <v>0</v>
      </c>
      <c r="DH179" s="561">
        <v>173.5</v>
      </c>
      <c r="DI179" s="561">
        <v>0</v>
      </c>
      <c r="DJ179" s="561">
        <v>-160</v>
      </c>
      <c r="DK179" s="561">
        <v>156</v>
      </c>
      <c r="DL179" s="561">
        <v>0</v>
      </c>
      <c r="DM179" s="561">
        <v>191</v>
      </c>
      <c r="DN179" s="561">
        <v>0</v>
      </c>
      <c r="DO179" s="561">
        <v>303</v>
      </c>
      <c r="DP179" s="561">
        <v>0</v>
      </c>
      <c r="DQ179" s="561">
        <v>0</v>
      </c>
      <c r="DR179" s="561">
        <v>0</v>
      </c>
      <c r="DS179" s="561">
        <v>218.5</v>
      </c>
      <c r="DT179" s="561">
        <v>0</v>
      </c>
      <c r="DU179" s="561">
        <v>712.5</v>
      </c>
      <c r="DV179" s="561">
        <v>0</v>
      </c>
      <c r="DW179" s="561">
        <v>0</v>
      </c>
      <c r="DX179" s="561">
        <v>0</v>
      </c>
      <c r="DY179" s="561">
        <v>478</v>
      </c>
      <c r="DZ179" s="561">
        <v>0</v>
      </c>
      <c r="EA179" s="561">
        <v>172</v>
      </c>
      <c r="EB179" s="561">
        <v>0</v>
      </c>
      <c r="EC179" s="561">
        <v>1532</v>
      </c>
      <c r="ED179" s="561">
        <v>186</v>
      </c>
      <c r="EE179" s="561">
        <v>0</v>
      </c>
      <c r="EF179" s="561">
        <v>0</v>
      </c>
      <c r="EG179" s="561">
        <v>0</v>
      </c>
      <c r="EH179" s="561">
        <v>0</v>
      </c>
      <c r="EI179" s="561">
        <v>0</v>
      </c>
      <c r="EJ179" s="561">
        <v>0</v>
      </c>
      <c r="EK179" s="561">
        <v>0</v>
      </c>
      <c r="EL179" s="561">
        <v>0</v>
      </c>
      <c r="EM179" s="561">
        <v>0</v>
      </c>
      <c r="EN179" s="561">
        <v>0</v>
      </c>
      <c r="EO179" s="561">
        <v>0</v>
      </c>
      <c r="EP179" s="561">
        <v>0</v>
      </c>
      <c r="EQ179" s="561">
        <v>0</v>
      </c>
      <c r="ER179" s="561">
        <v>0</v>
      </c>
      <c r="ES179" s="561" t="s">
        <v>4565</v>
      </c>
      <c r="ET179" s="561">
        <v>0</v>
      </c>
      <c r="EU179" s="561">
        <v>0</v>
      </c>
      <c r="EV179" s="561">
        <v>0</v>
      </c>
      <c r="EW179" s="561">
        <v>0</v>
      </c>
      <c r="EX179" s="561">
        <v>0</v>
      </c>
      <c r="EY179" s="561">
        <v>0</v>
      </c>
      <c r="EZ179" s="561">
        <v>0</v>
      </c>
      <c r="FA179" s="561">
        <v>0</v>
      </c>
      <c r="FB179" s="561">
        <v>0</v>
      </c>
      <c r="FC179" s="561">
        <v>0</v>
      </c>
      <c r="FD179" s="561">
        <v>0</v>
      </c>
      <c r="FE179" s="561">
        <v>255</v>
      </c>
      <c r="FF179" s="561">
        <v>0</v>
      </c>
      <c r="FG179" s="561">
        <v>0</v>
      </c>
      <c r="FH179" s="561">
        <v>0</v>
      </c>
      <c r="FI179" s="561">
        <v>0</v>
      </c>
      <c r="FJ179" s="561">
        <v>2096</v>
      </c>
      <c r="FK179" s="561">
        <v>1472</v>
      </c>
      <c r="FL179" s="561">
        <v>-2</v>
      </c>
      <c r="FM179" s="561">
        <v>0</v>
      </c>
      <c r="FN179" s="561">
        <v>0</v>
      </c>
      <c r="FO179" s="561">
        <v>3821</v>
      </c>
      <c r="FP179" s="561">
        <v>55</v>
      </c>
      <c r="FQ179" s="561">
        <v>-180</v>
      </c>
      <c r="FR179" s="561">
        <v>3</v>
      </c>
      <c r="FS179" s="561">
        <v>0</v>
      </c>
      <c r="FT179" s="561">
        <v>437</v>
      </c>
      <c r="FU179" s="561">
        <v>200</v>
      </c>
      <c r="FV179" s="561">
        <v>432</v>
      </c>
      <c r="FW179" s="561">
        <v>0</v>
      </c>
      <c r="FX179" s="561">
        <v>0</v>
      </c>
      <c r="FY179" s="561">
        <v>0</v>
      </c>
      <c r="FZ179" s="561">
        <v>63</v>
      </c>
      <c r="GA179" s="561">
        <v>0</v>
      </c>
      <c r="GB179" s="561">
        <v>121</v>
      </c>
      <c r="GC179" s="561">
        <v>143</v>
      </c>
      <c r="GD179" s="561">
        <v>0</v>
      </c>
      <c r="GE179" s="561">
        <v>0</v>
      </c>
      <c r="GF179" s="561">
        <v>152</v>
      </c>
      <c r="GG179" s="561">
        <v>0</v>
      </c>
      <c r="GH179" s="561">
        <v>0</v>
      </c>
      <c r="GI179" s="561">
        <v>0</v>
      </c>
      <c r="GJ179" s="561">
        <v>0</v>
      </c>
      <c r="GK179" s="561">
        <v>0</v>
      </c>
      <c r="GL179" s="561">
        <v>1480</v>
      </c>
      <c r="GM179" s="561">
        <v>1392</v>
      </c>
      <c r="GN179" s="561">
        <v>0</v>
      </c>
      <c r="GO179" s="561">
        <v>-118</v>
      </c>
      <c r="GP179" s="561">
        <v>1127</v>
      </c>
      <c r="GQ179" s="561">
        <v>0</v>
      </c>
      <c r="GR179" s="561">
        <v>210</v>
      </c>
      <c r="GS179" s="561">
        <v>5462</v>
      </c>
      <c r="GT179" s="561">
        <v>286</v>
      </c>
      <c r="GU179" s="561">
        <v>102</v>
      </c>
      <c r="GV179" s="561">
        <v>421</v>
      </c>
      <c r="GW179" s="561">
        <v>0</v>
      </c>
      <c r="GX179" s="561">
        <v>316</v>
      </c>
      <c r="GY179" s="561">
        <v>159</v>
      </c>
      <c r="GZ179" s="561">
        <v>547</v>
      </c>
      <c r="HA179" s="561">
        <v>0</v>
      </c>
      <c r="HB179" s="561">
        <v>1140</v>
      </c>
      <c r="HC179" s="561">
        <v>0</v>
      </c>
      <c r="HD179" s="561">
        <v>2685</v>
      </c>
      <c r="HE179" s="561">
        <v>362</v>
      </c>
      <c r="HF179" s="561">
        <v>11968</v>
      </c>
      <c r="HG179" s="561">
        <v>703</v>
      </c>
      <c r="HH179" s="561">
        <v>0</v>
      </c>
      <c r="HI179" s="561">
        <v>0</v>
      </c>
      <c r="HJ179" s="561">
        <v>0</v>
      </c>
      <c r="HK179" s="561">
        <v>0</v>
      </c>
      <c r="HL179" s="561">
        <v>0</v>
      </c>
      <c r="HM179" s="561">
        <v>0</v>
      </c>
      <c r="HN179" s="561">
        <v>0</v>
      </c>
      <c r="HO179" s="561">
        <v>941</v>
      </c>
      <c r="HP179" s="561">
        <v>542</v>
      </c>
      <c r="HQ179" s="561">
        <v>0</v>
      </c>
      <c r="HR179" s="561">
        <v>0</v>
      </c>
      <c r="HS179" s="561">
        <v>187</v>
      </c>
      <c r="HT179" s="561">
        <v>237</v>
      </c>
      <c r="HU179" s="561">
        <v>0</v>
      </c>
      <c r="HV179" s="561">
        <v>0</v>
      </c>
      <c r="HW179" s="561">
        <v>244</v>
      </c>
      <c r="HX179" s="561">
        <v>104</v>
      </c>
      <c r="HY179" s="561">
        <v>0</v>
      </c>
      <c r="HZ179" s="561">
        <v>9</v>
      </c>
      <c r="IA179" s="561">
        <v>0</v>
      </c>
      <c r="IB179" s="561">
        <v>0</v>
      </c>
      <c r="IC179" s="561">
        <v>0</v>
      </c>
      <c r="ID179" s="561">
        <v>0</v>
      </c>
      <c r="IE179" s="561">
        <v>575</v>
      </c>
      <c r="IF179" s="561">
        <v>0</v>
      </c>
      <c r="IG179" s="561">
        <v>0</v>
      </c>
      <c r="IH179" s="561">
        <v>1909</v>
      </c>
      <c r="II179" s="561">
        <v>4748</v>
      </c>
      <c r="IJ179" s="561">
        <v>50</v>
      </c>
      <c r="IK179" s="561">
        <v>1070</v>
      </c>
      <c r="IL179" s="561">
        <v>3415</v>
      </c>
      <c r="IM179" s="561">
        <v>0</v>
      </c>
      <c r="IN179" s="561">
        <v>422</v>
      </c>
      <c r="IO179" s="561">
        <v>0</v>
      </c>
      <c r="IP179" s="561">
        <v>0</v>
      </c>
      <c r="IQ179" s="561">
        <v>0</v>
      </c>
      <c r="IR179" s="561">
        <v>0</v>
      </c>
      <c r="IS179" s="561">
        <v>348</v>
      </c>
      <c r="IT179" s="561">
        <v>0</v>
      </c>
      <c r="IU179" s="561">
        <v>0</v>
      </c>
      <c r="IV179" s="561">
        <v>130</v>
      </c>
      <c r="IW179" s="561">
        <v>1532</v>
      </c>
      <c r="IX179" s="561">
        <v>3821</v>
      </c>
      <c r="IY179" s="561">
        <v>5462</v>
      </c>
      <c r="IZ179" s="561">
        <v>2685</v>
      </c>
      <c r="JA179" s="561">
        <v>0</v>
      </c>
      <c r="JB179" s="561">
        <v>0</v>
      </c>
      <c r="JC179" s="561">
        <v>4748</v>
      </c>
      <c r="JD179" s="561">
        <v>0</v>
      </c>
      <c r="JE179" s="561">
        <v>18726</v>
      </c>
      <c r="JF179" s="561">
        <v>22988</v>
      </c>
      <c r="JG179" s="561">
        <v>0</v>
      </c>
      <c r="JH179" s="561">
        <v>0</v>
      </c>
      <c r="JI179" s="561">
        <v>0</v>
      </c>
      <c r="JJ179" s="561">
        <v>0</v>
      </c>
      <c r="JK179" s="561">
        <v>14</v>
      </c>
      <c r="JL179" s="561">
        <v>0</v>
      </c>
      <c r="JM179" s="561">
        <v>0</v>
      </c>
      <c r="JN179" s="561">
        <v>0</v>
      </c>
      <c r="JO179" s="561">
        <v>0</v>
      </c>
      <c r="JP179" s="561">
        <v>-31</v>
      </c>
      <c r="JQ179" s="561">
        <v>471</v>
      </c>
      <c r="JR179" s="561">
        <v>0</v>
      </c>
      <c r="JS179" s="561">
        <v>-522</v>
      </c>
      <c r="JT179" s="561">
        <v>0</v>
      </c>
      <c r="JU179" s="561">
        <v>0</v>
      </c>
      <c r="JV179" s="561">
        <v>41646</v>
      </c>
      <c r="JW179" s="561">
        <v>0</v>
      </c>
      <c r="JX179" s="561">
        <v>4342</v>
      </c>
      <c r="JY179" s="561">
        <v>0</v>
      </c>
      <c r="JZ179" s="561">
        <v>0</v>
      </c>
      <c r="KA179" s="561">
        <v>0</v>
      </c>
      <c r="KB179" s="561">
        <v>486</v>
      </c>
      <c r="KC179" s="561">
        <v>891</v>
      </c>
      <c r="KD179" s="561">
        <v>0</v>
      </c>
      <c r="KE179" s="561">
        <v>520</v>
      </c>
      <c r="KF179" s="561">
        <v>0</v>
      </c>
      <c r="KG179" s="561">
        <v>47885</v>
      </c>
      <c r="KH179" s="561">
        <v>-1813</v>
      </c>
      <c r="KI179" s="561">
        <v>0</v>
      </c>
      <c r="KJ179" s="561">
        <v>0</v>
      </c>
      <c r="KK179" s="561">
        <v>0</v>
      </c>
      <c r="KL179" s="561">
        <v>-22126</v>
      </c>
      <c r="KM179" s="561">
        <v>0</v>
      </c>
      <c r="KN179" s="561">
        <v>0</v>
      </c>
      <c r="KO179" s="561">
        <v>0</v>
      </c>
      <c r="KP179" s="561">
        <v>0</v>
      </c>
      <c r="KQ179" s="561">
        <v>0</v>
      </c>
      <c r="KR179" s="561">
        <v>23946</v>
      </c>
      <c r="KS179" s="561">
        <v>0</v>
      </c>
      <c r="KT179" s="561">
        <v>-4553</v>
      </c>
      <c r="KU179" s="561">
        <v>19393</v>
      </c>
      <c r="KV179" s="561">
        <v>0</v>
      </c>
      <c r="KW179" s="561">
        <v>0</v>
      </c>
      <c r="KX179" s="561">
        <v>0</v>
      </c>
      <c r="KY179" s="561">
        <v>0</v>
      </c>
      <c r="KZ179" s="561">
        <v>-3356</v>
      </c>
      <c r="LA179" s="561">
        <v>0</v>
      </c>
      <c r="LB179" s="561">
        <v>-2018</v>
      </c>
      <c r="LC179" s="561">
        <v>0</v>
      </c>
      <c r="LD179" s="561">
        <v>-8251</v>
      </c>
      <c r="LE179" s="561">
        <v>177</v>
      </c>
      <c r="LF179" s="561">
        <v>0</v>
      </c>
      <c r="LG179" s="561">
        <v>5945</v>
      </c>
      <c r="LH179" s="561">
        <v>0</v>
      </c>
      <c r="LI179" s="561">
        <v>0</v>
      </c>
      <c r="LJ179" s="561">
        <v>0</v>
      </c>
      <c r="LK179" s="561">
        <v>0</v>
      </c>
      <c r="LL179" s="561">
        <v>19038</v>
      </c>
      <c r="LM179" s="561">
        <v>2464</v>
      </c>
      <c r="LN179" s="561">
        <v>0</v>
      </c>
      <c r="LO179" s="561">
        <v>0</v>
      </c>
      <c r="LP179" s="561">
        <v>0</v>
      </c>
      <c r="LQ179" s="561">
        <v>0</v>
      </c>
      <c r="LR179" s="561">
        <v>15682</v>
      </c>
      <c r="LS179" s="561">
        <v>2464</v>
      </c>
      <c r="LT179" s="561">
        <v>595</v>
      </c>
      <c r="LU179" s="561">
        <v>972</v>
      </c>
      <c r="LV179" s="561">
        <v>0</v>
      </c>
      <c r="LW179" s="561">
        <v>283</v>
      </c>
      <c r="LX179" s="561">
        <v>-17547</v>
      </c>
      <c r="LY179" s="561">
        <v>4342</v>
      </c>
      <c r="LZ179" s="561">
        <v>-11655</v>
      </c>
      <c r="MA179" s="561">
        <v>0</v>
      </c>
      <c r="MB179" s="561">
        <v>0</v>
      </c>
      <c r="MC179" s="561">
        <v>0</v>
      </c>
      <c r="MD179" s="561">
        <v>0</v>
      </c>
      <c r="ME179" s="561">
        <v>0</v>
      </c>
      <c r="MF179" s="561">
        <v>0</v>
      </c>
      <c r="MG179" s="561">
        <v>0</v>
      </c>
      <c r="MH179" s="561">
        <v>3396</v>
      </c>
      <c r="MI179" s="561">
        <v>2953</v>
      </c>
      <c r="MJ179" s="561">
        <v>6349</v>
      </c>
      <c r="MK179" s="561">
        <v>0</v>
      </c>
      <c r="ML179" s="561">
        <v>0</v>
      </c>
      <c r="MM179" s="561">
        <v>15656</v>
      </c>
      <c r="MN179" s="561">
        <v>26</v>
      </c>
      <c r="MO179" s="561">
        <v>0</v>
      </c>
      <c r="MP179" s="561">
        <v>0</v>
      </c>
      <c r="MQ179" s="561">
        <v>0</v>
      </c>
      <c r="MR179" s="561">
        <v>348</v>
      </c>
      <c r="MS179" s="561">
        <v>0</v>
      </c>
      <c r="MT179" s="561">
        <v>0</v>
      </c>
      <c r="MU179" s="561">
        <v>130</v>
      </c>
      <c r="MV179" s="561">
        <v>1532</v>
      </c>
      <c r="MW179" s="561">
        <v>3821</v>
      </c>
      <c r="MX179" s="561">
        <v>5462</v>
      </c>
      <c r="MY179" s="561">
        <v>2685</v>
      </c>
      <c r="MZ179" s="561">
        <v>0</v>
      </c>
      <c r="NA179" s="561">
        <v>0</v>
      </c>
      <c r="NB179" s="561">
        <v>4748</v>
      </c>
      <c r="NC179" s="561">
        <v>0</v>
      </c>
      <c r="ND179" s="561">
        <v>18726</v>
      </c>
      <c r="NE179" s="561">
        <v>0</v>
      </c>
      <c r="NF179" s="561">
        <v>0</v>
      </c>
      <c r="NG179" s="561">
        <v>0</v>
      </c>
      <c r="NH179" s="561">
        <v>0</v>
      </c>
      <c r="NI179" s="561">
        <v>0</v>
      </c>
      <c r="NJ179" s="561">
        <v>0</v>
      </c>
      <c r="NK179" s="561">
        <v>0</v>
      </c>
      <c r="NL179" s="561">
        <v>0</v>
      </c>
      <c r="NM179" s="561">
        <v>0</v>
      </c>
      <c r="NN179" s="561">
        <v>0</v>
      </c>
      <c r="NO179" s="561">
        <v>0</v>
      </c>
      <c r="NP179" s="561">
        <v>0</v>
      </c>
      <c r="NQ179" s="561">
        <v>0</v>
      </c>
      <c r="NR179" s="561">
        <v>0</v>
      </c>
      <c r="NS179" s="561">
        <v>0</v>
      </c>
      <c r="NT179" s="561">
        <v>-256</v>
      </c>
      <c r="NU179" s="561">
        <v>0</v>
      </c>
      <c r="NV179" s="561">
        <v>225</v>
      </c>
      <c r="NW179" s="561">
        <v>-31</v>
      </c>
      <c r="NX179" s="561">
        <v>0</v>
      </c>
      <c r="NY179" s="561">
        <v>-31</v>
      </c>
      <c r="NZ179" s="561">
        <v>0</v>
      </c>
      <c r="OA179" s="561">
        <v>0</v>
      </c>
      <c r="OB179" s="561">
        <v>0</v>
      </c>
      <c r="OC179" s="561">
        <v>0</v>
      </c>
      <c r="OD179" s="561">
        <v>0</v>
      </c>
      <c r="OE179" s="561">
        <v>0</v>
      </c>
      <c r="OF179" s="561">
        <v>0</v>
      </c>
      <c r="OG179" s="561">
        <v>0</v>
      </c>
      <c r="OH179" s="561">
        <v>0</v>
      </c>
      <c r="OI179" s="561">
        <v>0</v>
      </c>
      <c r="OJ179" s="561">
        <v>0</v>
      </c>
      <c r="OK179" s="561">
        <v>0</v>
      </c>
      <c r="OL179" s="561">
        <v>0</v>
      </c>
      <c r="OM179" s="561">
        <v>-51</v>
      </c>
      <c r="ON179" s="561">
        <v>0</v>
      </c>
      <c r="OO179" s="561">
        <v>0</v>
      </c>
      <c r="OP179" s="561">
        <v>0</v>
      </c>
      <c r="OQ179" s="561">
        <v>0</v>
      </c>
      <c r="OR179" s="561">
        <v>0</v>
      </c>
      <c r="OS179" s="561">
        <v>0</v>
      </c>
      <c r="OT179" s="561">
        <v>0</v>
      </c>
      <c r="OU179" s="561">
        <v>0</v>
      </c>
      <c r="OV179" s="561">
        <v>144</v>
      </c>
      <c r="OW179" s="561">
        <v>522</v>
      </c>
      <c r="OX179" s="561">
        <v>471</v>
      </c>
      <c r="OY179" s="561">
        <v>0</v>
      </c>
      <c r="OZ179" s="561">
        <v>0</v>
      </c>
      <c r="PA179" s="561">
        <v>0</v>
      </c>
      <c r="PB179" s="561">
        <v>0</v>
      </c>
      <c r="PC179" s="561">
        <v>0</v>
      </c>
      <c r="PD179" s="561">
        <v>0</v>
      </c>
      <c r="PE179" s="561">
        <v>720</v>
      </c>
      <c r="PF179" s="561">
        <v>0</v>
      </c>
      <c r="PG179" s="561">
        <v>-198</v>
      </c>
      <c r="PH179" s="561">
        <v>0</v>
      </c>
      <c r="PI179" s="561">
        <v>0</v>
      </c>
      <c r="PJ179" s="561">
        <v>522</v>
      </c>
    </row>
    <row r="180" spans="1:426" ht="14" x14ac:dyDescent="0.3">
      <c r="A180" t="s">
        <v>2978</v>
      </c>
      <c r="B180" t="s">
        <v>2979</v>
      </c>
      <c r="C180" t="s">
        <v>2980</v>
      </c>
      <c r="E180" t="s">
        <v>384</v>
      </c>
      <c r="F180" s="561">
        <v>0</v>
      </c>
      <c r="G180" s="561">
        <v>0</v>
      </c>
      <c r="H180" s="561">
        <v>0</v>
      </c>
      <c r="I180" s="561">
        <v>0</v>
      </c>
      <c r="J180" s="561">
        <v>0</v>
      </c>
      <c r="K180" s="561">
        <v>0</v>
      </c>
      <c r="L180" s="561">
        <v>0</v>
      </c>
      <c r="M180" s="561">
        <v>0</v>
      </c>
      <c r="N180" s="561">
        <v>0</v>
      </c>
      <c r="O180" s="561">
        <v>53</v>
      </c>
      <c r="P180" s="561">
        <v>0</v>
      </c>
      <c r="Q180" s="561">
        <v>0</v>
      </c>
      <c r="R180" s="561">
        <v>0</v>
      </c>
      <c r="S180" s="561">
        <v>0</v>
      </c>
      <c r="T180" s="561">
        <v>97</v>
      </c>
      <c r="U180" s="561">
        <v>0</v>
      </c>
      <c r="V180" s="561">
        <v>11</v>
      </c>
      <c r="W180" s="561">
        <v>0</v>
      </c>
      <c r="X180" s="561">
        <v>0</v>
      </c>
      <c r="Y180" s="561">
        <v>0</v>
      </c>
      <c r="Z180" s="561">
        <v>0</v>
      </c>
      <c r="AA180" s="561">
        <v>-100</v>
      </c>
      <c r="AB180" s="561">
        <v>-1594</v>
      </c>
      <c r="AC180" s="561">
        <v>0</v>
      </c>
      <c r="AD180" s="561">
        <v>0</v>
      </c>
      <c r="AE180" s="561">
        <v>174</v>
      </c>
      <c r="AF180" s="561">
        <v>0</v>
      </c>
      <c r="AG180" s="561">
        <v>37</v>
      </c>
      <c r="AH180" s="561">
        <v>-16</v>
      </c>
      <c r="AI180" s="561">
        <v>0</v>
      </c>
      <c r="AJ180" s="561">
        <v>-1338</v>
      </c>
      <c r="AK180" s="561">
        <v>0</v>
      </c>
      <c r="AL180" s="561">
        <v>0</v>
      </c>
      <c r="AM180" s="561">
        <v>0</v>
      </c>
      <c r="AN180" s="561">
        <v>0</v>
      </c>
      <c r="AO180" s="561">
        <v>0</v>
      </c>
      <c r="AP180" s="561">
        <v>0</v>
      </c>
      <c r="AQ180" s="561">
        <v>0</v>
      </c>
      <c r="AR180" s="561">
        <v>0</v>
      </c>
      <c r="AS180" s="561">
        <v>84</v>
      </c>
      <c r="AT180" s="561">
        <v>862</v>
      </c>
      <c r="AU180" s="561">
        <v>0</v>
      </c>
      <c r="AV180" s="561">
        <v>0</v>
      </c>
      <c r="AW180" s="561">
        <v>0</v>
      </c>
      <c r="AX180" s="561">
        <v>0</v>
      </c>
      <c r="AY180" s="561">
        <v>0</v>
      </c>
      <c r="AZ180" s="561">
        <v>0</v>
      </c>
      <c r="BA180" s="561">
        <v>0</v>
      </c>
      <c r="BB180" s="561">
        <v>0</v>
      </c>
      <c r="BC180" s="561">
        <v>0</v>
      </c>
      <c r="BD180" s="561">
        <v>0</v>
      </c>
      <c r="BE180" s="561">
        <v>0</v>
      </c>
      <c r="BF180" s="561">
        <v>0</v>
      </c>
      <c r="BG180" s="561">
        <v>0</v>
      </c>
      <c r="BH180" s="561">
        <v>0</v>
      </c>
      <c r="BI180" s="561">
        <v>0</v>
      </c>
      <c r="BJ180" s="561">
        <v>0</v>
      </c>
      <c r="BK180" s="561">
        <v>0</v>
      </c>
      <c r="BL180" s="561">
        <v>0</v>
      </c>
      <c r="BM180" s="561">
        <v>0</v>
      </c>
      <c r="BN180" s="561">
        <v>0</v>
      </c>
      <c r="BO180" s="561">
        <v>0</v>
      </c>
      <c r="BP180" s="561">
        <v>0</v>
      </c>
      <c r="BQ180" s="561">
        <v>0</v>
      </c>
      <c r="BR180" s="561">
        <v>0</v>
      </c>
      <c r="BS180" s="561">
        <v>0</v>
      </c>
      <c r="BT180" s="561">
        <v>0</v>
      </c>
      <c r="BU180" s="561">
        <v>0</v>
      </c>
      <c r="BV180" s="561">
        <v>0</v>
      </c>
      <c r="BW180" s="561">
        <v>0</v>
      </c>
      <c r="BX180" s="561">
        <v>0</v>
      </c>
      <c r="BY180" s="561">
        <v>0</v>
      </c>
      <c r="BZ180" s="561">
        <v>0</v>
      </c>
      <c r="CA180" s="561">
        <v>0</v>
      </c>
      <c r="CB180" s="561">
        <v>0</v>
      </c>
      <c r="CC180" s="561">
        <v>0</v>
      </c>
      <c r="CD180" s="561">
        <v>0</v>
      </c>
      <c r="CE180" s="561">
        <v>0</v>
      </c>
      <c r="CF180" s="561">
        <v>0</v>
      </c>
      <c r="CG180" s="561">
        <v>0</v>
      </c>
      <c r="CH180" s="561">
        <v>0</v>
      </c>
      <c r="CI180" s="561">
        <v>0</v>
      </c>
      <c r="CJ180" s="561">
        <v>0</v>
      </c>
      <c r="CK180" s="561">
        <v>0</v>
      </c>
      <c r="CL180" s="561">
        <v>0</v>
      </c>
      <c r="CM180" s="561">
        <v>0</v>
      </c>
      <c r="CN180" s="561">
        <v>0</v>
      </c>
      <c r="CO180" s="561">
        <v>0</v>
      </c>
      <c r="CP180" s="561">
        <v>0</v>
      </c>
      <c r="CQ180" s="561">
        <v>0</v>
      </c>
      <c r="CR180" s="561">
        <v>0</v>
      </c>
      <c r="CS180" s="561">
        <v>0</v>
      </c>
      <c r="CT180" s="561">
        <v>0</v>
      </c>
      <c r="CU180" s="561">
        <v>0</v>
      </c>
      <c r="CV180" s="561">
        <v>0</v>
      </c>
      <c r="CW180" s="561">
        <v>0</v>
      </c>
      <c r="CX180" s="561">
        <v>0</v>
      </c>
      <c r="CY180" s="561">
        <v>0</v>
      </c>
      <c r="CZ180" s="561">
        <v>0</v>
      </c>
      <c r="DA180" s="561">
        <v>0</v>
      </c>
      <c r="DB180" s="561">
        <v>0</v>
      </c>
      <c r="DC180" s="561">
        <v>0</v>
      </c>
      <c r="DD180" s="561">
        <v>0</v>
      </c>
      <c r="DE180" s="561">
        <v>0</v>
      </c>
      <c r="DF180" s="561">
        <v>0</v>
      </c>
      <c r="DG180" s="561">
        <v>0</v>
      </c>
      <c r="DH180" s="561">
        <v>271</v>
      </c>
      <c r="DI180" s="561">
        <v>0</v>
      </c>
      <c r="DJ180" s="561">
        <v>-6</v>
      </c>
      <c r="DK180" s="561">
        <v>394</v>
      </c>
      <c r="DL180" s="561">
        <v>0</v>
      </c>
      <c r="DM180" s="561">
        <v>0</v>
      </c>
      <c r="DN180" s="561">
        <v>1306</v>
      </c>
      <c r="DO180" s="561">
        <v>516</v>
      </c>
      <c r="DP180" s="561">
        <v>0</v>
      </c>
      <c r="DQ180" s="561">
        <v>7</v>
      </c>
      <c r="DR180" s="561">
        <v>249</v>
      </c>
      <c r="DS180" s="561">
        <v>1241</v>
      </c>
      <c r="DT180" s="561">
        <v>993</v>
      </c>
      <c r="DU180" s="561">
        <v>4312</v>
      </c>
      <c r="DV180" s="561">
        <v>211</v>
      </c>
      <c r="DW180" s="561">
        <v>0</v>
      </c>
      <c r="DX180" s="561">
        <v>18</v>
      </c>
      <c r="DY180" s="561">
        <v>1455</v>
      </c>
      <c r="DZ180" s="561">
        <v>0</v>
      </c>
      <c r="EA180" s="561">
        <v>0</v>
      </c>
      <c r="EB180" s="561">
        <v>0</v>
      </c>
      <c r="EC180" s="561">
        <v>6655</v>
      </c>
      <c r="ED180" s="561">
        <v>0</v>
      </c>
      <c r="EE180" s="561">
        <v>41462</v>
      </c>
      <c r="EF180" s="561">
        <v>1298</v>
      </c>
      <c r="EG180" s="561">
        <v>865</v>
      </c>
      <c r="EH180" s="561">
        <v>0</v>
      </c>
      <c r="EI180" s="561">
        <v>0</v>
      </c>
      <c r="EJ180" s="561">
        <v>1106</v>
      </c>
      <c r="EK180" s="561">
        <v>219</v>
      </c>
      <c r="EL180" s="561">
        <v>0</v>
      </c>
      <c r="EM180" s="561">
        <v>0</v>
      </c>
      <c r="EN180" s="561">
        <v>12683</v>
      </c>
      <c r="EO180" s="561">
        <v>6387</v>
      </c>
      <c r="EP180" s="561">
        <v>3738</v>
      </c>
      <c r="EQ180" s="561">
        <v>420</v>
      </c>
      <c r="ER180" s="561">
        <v>3450</v>
      </c>
      <c r="ES180" s="561" t="s">
        <v>4565</v>
      </c>
      <c r="ET180" s="561">
        <v>3144</v>
      </c>
      <c r="EU180" s="561">
        <v>0</v>
      </c>
      <c r="EV180" s="561">
        <v>22</v>
      </c>
      <c r="EW180" s="561">
        <v>0</v>
      </c>
      <c r="EX180" s="561">
        <v>12322</v>
      </c>
      <c r="EY180" s="561">
        <v>-30</v>
      </c>
      <c r="EZ180" s="561">
        <v>2814</v>
      </c>
      <c r="FA180" s="561">
        <v>3233</v>
      </c>
      <c r="FB180" s="561">
        <v>0</v>
      </c>
      <c r="FC180" s="561">
        <v>200</v>
      </c>
      <c r="FD180" s="561">
        <v>52</v>
      </c>
      <c r="FE180" s="561">
        <v>1508</v>
      </c>
      <c r="FF180" s="561">
        <v>1502</v>
      </c>
      <c r="FG180" s="561">
        <v>0</v>
      </c>
      <c r="FH180" s="561">
        <v>0</v>
      </c>
      <c r="FI180" s="561">
        <v>292</v>
      </c>
      <c r="FJ180" s="561">
        <v>2639</v>
      </c>
      <c r="FK180" s="561">
        <v>2700</v>
      </c>
      <c r="FL180" s="561">
        <v>6</v>
      </c>
      <c r="FM180" s="561">
        <v>0</v>
      </c>
      <c r="FN180" s="561">
        <v>0</v>
      </c>
      <c r="FO180" s="561">
        <v>8899</v>
      </c>
      <c r="FP180" s="561">
        <v>0</v>
      </c>
      <c r="FQ180" s="561">
        <v>-499</v>
      </c>
      <c r="FR180" s="561">
        <v>0</v>
      </c>
      <c r="FS180" s="561">
        <v>0</v>
      </c>
      <c r="FT180" s="561">
        <v>379</v>
      </c>
      <c r="FU180" s="561">
        <v>909</v>
      </c>
      <c r="FV180" s="561">
        <v>0</v>
      </c>
      <c r="FW180" s="561">
        <v>268</v>
      </c>
      <c r="FX180" s="561">
        <v>21</v>
      </c>
      <c r="FY180" s="561">
        <v>0</v>
      </c>
      <c r="FZ180" s="561">
        <v>7</v>
      </c>
      <c r="GA180" s="561">
        <v>120</v>
      </c>
      <c r="GB180" s="561">
        <v>18</v>
      </c>
      <c r="GC180" s="561">
        <v>-60</v>
      </c>
      <c r="GD180" s="561">
        <v>353</v>
      </c>
      <c r="GE180" s="561">
        <v>173</v>
      </c>
      <c r="GF180" s="561">
        <v>772</v>
      </c>
      <c r="GG180" s="561">
        <v>0</v>
      </c>
      <c r="GH180" s="561">
        <v>0</v>
      </c>
      <c r="GI180" s="561">
        <v>44</v>
      </c>
      <c r="GJ180" s="561">
        <v>0</v>
      </c>
      <c r="GK180" s="561">
        <v>0</v>
      </c>
      <c r="GL180" s="561">
        <v>1863</v>
      </c>
      <c r="GM180" s="561">
        <v>3667</v>
      </c>
      <c r="GN180" s="561">
        <v>0</v>
      </c>
      <c r="GO180" s="561">
        <v>-750</v>
      </c>
      <c r="GP180" s="561">
        <v>0</v>
      </c>
      <c r="GQ180" s="561">
        <v>212</v>
      </c>
      <c r="GR180" s="561">
        <v>12</v>
      </c>
      <c r="GS180" s="561">
        <v>7509</v>
      </c>
      <c r="GT180" s="561">
        <v>0</v>
      </c>
      <c r="GU180" s="561">
        <v>681</v>
      </c>
      <c r="GV180" s="561">
        <v>1015</v>
      </c>
      <c r="GW180" s="561">
        <v>0</v>
      </c>
      <c r="GX180" s="561">
        <v>76</v>
      </c>
      <c r="GY180" s="561">
        <v>0</v>
      </c>
      <c r="GZ180" s="561">
        <v>692</v>
      </c>
      <c r="HA180" s="561">
        <v>0</v>
      </c>
      <c r="HB180" s="561">
        <v>-614</v>
      </c>
      <c r="HC180" s="561">
        <v>365</v>
      </c>
      <c r="HD180" s="561">
        <v>2215</v>
      </c>
      <c r="HE180" s="561">
        <v>0</v>
      </c>
      <c r="HF180" s="561">
        <v>18623</v>
      </c>
      <c r="HG180" s="561">
        <v>0</v>
      </c>
      <c r="HH180" s="561">
        <v>0</v>
      </c>
      <c r="HI180" s="561">
        <v>0</v>
      </c>
      <c r="HJ180" s="561">
        <v>0</v>
      </c>
      <c r="HK180" s="561">
        <v>0</v>
      </c>
      <c r="HL180" s="561">
        <v>0</v>
      </c>
      <c r="HM180" s="561">
        <v>0</v>
      </c>
      <c r="HN180" s="561">
        <v>0</v>
      </c>
      <c r="HO180" s="561">
        <v>1786</v>
      </c>
      <c r="HP180" s="561">
        <v>709</v>
      </c>
      <c r="HQ180" s="561">
        <v>0</v>
      </c>
      <c r="HR180" s="561">
        <v>0</v>
      </c>
      <c r="HS180" s="561">
        <v>0</v>
      </c>
      <c r="HT180" s="561">
        <v>635</v>
      </c>
      <c r="HU180" s="561">
        <v>0</v>
      </c>
      <c r="HV180" s="561">
        <v>0</v>
      </c>
      <c r="HW180" s="561">
        <v>258</v>
      </c>
      <c r="HX180" s="561">
        <v>136</v>
      </c>
      <c r="HY180" s="561">
        <v>78</v>
      </c>
      <c r="HZ180" s="561">
        <v>5</v>
      </c>
      <c r="IA180" s="561">
        <v>0</v>
      </c>
      <c r="IB180" s="561">
        <v>329</v>
      </c>
      <c r="IC180" s="561">
        <v>0</v>
      </c>
      <c r="ID180" s="561">
        <v>0</v>
      </c>
      <c r="IE180" s="561">
        <v>-140</v>
      </c>
      <c r="IF180" s="561">
        <v>24</v>
      </c>
      <c r="IG180" s="561">
        <v>0</v>
      </c>
      <c r="IH180" s="561">
        <v>1177</v>
      </c>
      <c r="II180" s="561">
        <v>4997</v>
      </c>
      <c r="IJ180" s="561">
        <v>0</v>
      </c>
      <c r="IK180" s="561">
        <v>1715</v>
      </c>
      <c r="IL180" s="561">
        <v>8054</v>
      </c>
      <c r="IM180" s="561">
        <v>0</v>
      </c>
      <c r="IN180" s="561">
        <v>4453</v>
      </c>
      <c r="IO180" s="561">
        <v>100</v>
      </c>
      <c r="IP180" s="561">
        <v>0</v>
      </c>
      <c r="IQ180" s="561">
        <v>0</v>
      </c>
      <c r="IR180" s="561">
        <v>0</v>
      </c>
      <c r="IS180" s="561">
        <v>-1338</v>
      </c>
      <c r="IT180" s="561">
        <v>0</v>
      </c>
      <c r="IU180" s="561">
        <v>0</v>
      </c>
      <c r="IV180" s="561">
        <v>0</v>
      </c>
      <c r="IW180" s="561">
        <v>6655</v>
      </c>
      <c r="IX180" s="561">
        <v>8899</v>
      </c>
      <c r="IY180" s="561">
        <v>7509</v>
      </c>
      <c r="IZ180" s="561">
        <v>2215</v>
      </c>
      <c r="JA180" s="561">
        <v>0</v>
      </c>
      <c r="JB180" s="561">
        <v>0</v>
      </c>
      <c r="JC180" s="561">
        <v>4997</v>
      </c>
      <c r="JD180" s="561">
        <v>0</v>
      </c>
      <c r="JE180" s="561">
        <v>28937</v>
      </c>
      <c r="JF180" s="561">
        <v>21012</v>
      </c>
      <c r="JG180" s="561">
        <v>993</v>
      </c>
      <c r="JH180" s="561">
        <v>10542</v>
      </c>
      <c r="JI180" s="561">
        <v>0</v>
      </c>
      <c r="JJ180" s="561">
        <v>219</v>
      </c>
      <c r="JK180" s="561">
        <v>0</v>
      </c>
      <c r="JL180" s="561">
        <v>0</v>
      </c>
      <c r="JM180" s="561">
        <v>0</v>
      </c>
      <c r="JN180" s="561">
        <v>0</v>
      </c>
      <c r="JO180" s="561">
        <v>0</v>
      </c>
      <c r="JP180" s="561">
        <v>22118</v>
      </c>
      <c r="JQ180" s="561">
        <v>0</v>
      </c>
      <c r="JR180" s="561">
        <v>-22952</v>
      </c>
      <c r="JS180" s="561">
        <v>0</v>
      </c>
      <c r="JT180" s="561">
        <v>0</v>
      </c>
      <c r="JU180" s="561">
        <v>0</v>
      </c>
      <c r="JV180" s="561">
        <v>60869</v>
      </c>
      <c r="JW180" s="561">
        <v>0</v>
      </c>
      <c r="JX180" s="561">
        <v>76</v>
      </c>
      <c r="JY180" s="561">
        <v>0</v>
      </c>
      <c r="JZ180" s="561">
        <v>0</v>
      </c>
      <c r="KA180" s="561">
        <v>0</v>
      </c>
      <c r="KB180" s="561">
        <v>0</v>
      </c>
      <c r="KC180" s="561">
        <v>4014</v>
      </c>
      <c r="KD180" s="561">
        <v>0</v>
      </c>
      <c r="KE180" s="561">
        <v>6734</v>
      </c>
      <c r="KF180" s="561">
        <v>0</v>
      </c>
      <c r="KG180" s="561">
        <v>71693</v>
      </c>
      <c r="KH180" s="561">
        <v>-7379</v>
      </c>
      <c r="KI180" s="561">
        <v>0</v>
      </c>
      <c r="KJ180" s="561">
        <v>0</v>
      </c>
      <c r="KK180" s="561">
        <v>0</v>
      </c>
      <c r="KL180" s="561">
        <v>-32170</v>
      </c>
      <c r="KM180" s="561">
        <v>0</v>
      </c>
      <c r="KN180" s="561">
        <v>0</v>
      </c>
      <c r="KO180" s="561">
        <v>0</v>
      </c>
      <c r="KP180" s="561">
        <v>0</v>
      </c>
      <c r="KQ180" s="561">
        <v>0</v>
      </c>
      <c r="KR180" s="561">
        <v>32144</v>
      </c>
      <c r="KS180" s="561">
        <v>0</v>
      </c>
      <c r="KT180" s="561">
        <v>-3455</v>
      </c>
      <c r="KU180" s="561">
        <v>28689</v>
      </c>
      <c r="KV180" s="561">
        <v>0</v>
      </c>
      <c r="KW180" s="561">
        <v>0</v>
      </c>
      <c r="KX180" s="561">
        <v>0</v>
      </c>
      <c r="KY180" s="561">
        <v>0</v>
      </c>
      <c r="KZ180" s="561">
        <v>0</v>
      </c>
      <c r="LA180" s="561">
        <v>-733</v>
      </c>
      <c r="LB180" s="561">
        <v>-201</v>
      </c>
      <c r="LC180" s="561">
        <v>0</v>
      </c>
      <c r="LD180" s="561">
        <v>-11699</v>
      </c>
      <c r="LE180" s="561">
        <v>20</v>
      </c>
      <c r="LF180" s="561">
        <v>0</v>
      </c>
      <c r="LG180" s="561">
        <v>16076</v>
      </c>
      <c r="LH180" s="561">
        <v>0</v>
      </c>
      <c r="LI180" s="561">
        <v>0</v>
      </c>
      <c r="LJ180" s="561">
        <v>0</v>
      </c>
      <c r="LK180" s="561">
        <v>0</v>
      </c>
      <c r="LL180" s="561">
        <v>16384</v>
      </c>
      <c r="LM180" s="561">
        <v>6268</v>
      </c>
      <c r="LN180" s="561">
        <v>0</v>
      </c>
      <c r="LO180" s="561">
        <v>0</v>
      </c>
      <c r="LP180" s="561">
        <v>0</v>
      </c>
      <c r="LQ180" s="561">
        <v>0</v>
      </c>
      <c r="LR180" s="561">
        <v>16384</v>
      </c>
      <c r="LS180" s="561">
        <v>5535</v>
      </c>
      <c r="LT180" s="561">
        <v>0</v>
      </c>
      <c r="LU180" s="561">
        <v>2948</v>
      </c>
      <c r="LV180" s="561">
        <v>0</v>
      </c>
      <c r="LW180" s="561">
        <v>-355</v>
      </c>
      <c r="LX180" s="561">
        <v>0</v>
      </c>
      <c r="LY180" s="561">
        <v>1227</v>
      </c>
      <c r="LZ180" s="561">
        <v>3820</v>
      </c>
      <c r="MA180" s="561">
        <v>0</v>
      </c>
      <c r="MB180" s="561">
        <v>0</v>
      </c>
      <c r="MC180" s="561">
        <v>44950</v>
      </c>
      <c r="MD180" s="561">
        <v>42136</v>
      </c>
      <c r="ME180" s="561">
        <v>2814</v>
      </c>
      <c r="MF180" s="561">
        <v>3233</v>
      </c>
      <c r="MG180" s="561">
        <v>6047</v>
      </c>
      <c r="MH180" s="561">
        <v>3731</v>
      </c>
      <c r="MI180" s="561">
        <v>8026</v>
      </c>
      <c r="MJ180" s="561">
        <v>11757</v>
      </c>
      <c r="MK180" s="561">
        <v>0</v>
      </c>
      <c r="ML180" s="561">
        <v>4989</v>
      </c>
      <c r="MM180" s="561">
        <v>10941</v>
      </c>
      <c r="MN180" s="561">
        <v>454</v>
      </c>
      <c r="MO180" s="561">
        <v>0</v>
      </c>
      <c r="MP180" s="561">
        <v>0</v>
      </c>
      <c r="MQ180" s="561">
        <v>0</v>
      </c>
      <c r="MR180" s="561">
        <v>-1338</v>
      </c>
      <c r="MS180" s="561">
        <v>0</v>
      </c>
      <c r="MT180" s="561">
        <v>0</v>
      </c>
      <c r="MU180" s="561">
        <v>0</v>
      </c>
      <c r="MV180" s="561">
        <v>6655</v>
      </c>
      <c r="MW180" s="561">
        <v>8899</v>
      </c>
      <c r="MX180" s="561">
        <v>7509</v>
      </c>
      <c r="MY180" s="561">
        <v>2215</v>
      </c>
      <c r="MZ180" s="561">
        <v>0</v>
      </c>
      <c r="NA180" s="561">
        <v>0</v>
      </c>
      <c r="NB180" s="561">
        <v>4997</v>
      </c>
      <c r="NC180" s="561">
        <v>0</v>
      </c>
      <c r="ND180" s="561">
        <v>28937</v>
      </c>
      <c r="NE180" s="561">
        <v>0</v>
      </c>
      <c r="NF180" s="561">
        <v>0</v>
      </c>
      <c r="NG180" s="561">
        <v>0</v>
      </c>
      <c r="NH180" s="561">
        <v>0</v>
      </c>
      <c r="NI180" s="561">
        <v>0</v>
      </c>
      <c r="NJ180" s="561">
        <v>0</v>
      </c>
      <c r="NK180" s="561">
        <v>0</v>
      </c>
      <c r="NL180" s="561">
        <v>0</v>
      </c>
      <c r="NM180" s="561">
        <v>0</v>
      </c>
      <c r="NN180" s="561">
        <v>0</v>
      </c>
      <c r="NO180" s="561">
        <v>0</v>
      </c>
      <c r="NP180" s="561">
        <v>0</v>
      </c>
      <c r="NQ180" s="561">
        <v>0</v>
      </c>
      <c r="NR180" s="561">
        <v>0</v>
      </c>
      <c r="NS180" s="561">
        <v>-918</v>
      </c>
      <c r="NT180" s="561">
        <v>0</v>
      </c>
      <c r="NU180" s="561">
        <v>0</v>
      </c>
      <c r="NV180" s="561">
        <v>84</v>
      </c>
      <c r="NW180" s="561">
        <v>-834</v>
      </c>
      <c r="NX180" s="561">
        <v>22952</v>
      </c>
      <c r="NY180" s="561">
        <v>22118</v>
      </c>
      <c r="NZ180" s="561">
        <v>0</v>
      </c>
      <c r="OA180" s="561">
        <v>0</v>
      </c>
      <c r="OB180" s="561">
        <v>0</v>
      </c>
      <c r="OC180" s="561">
        <v>0</v>
      </c>
      <c r="OD180" s="561">
        <v>0</v>
      </c>
      <c r="OE180" s="561">
        <v>0</v>
      </c>
      <c r="OF180" s="561">
        <v>0</v>
      </c>
      <c r="OG180" s="561">
        <v>0</v>
      </c>
      <c r="OH180" s="561">
        <v>0</v>
      </c>
      <c r="OI180" s="561">
        <v>0</v>
      </c>
      <c r="OJ180" s="561">
        <v>0</v>
      </c>
      <c r="OK180" s="561">
        <v>0</v>
      </c>
      <c r="OL180" s="561">
        <v>0</v>
      </c>
      <c r="OM180" s="561">
        <v>0</v>
      </c>
      <c r="ON180" s="561">
        <v>0</v>
      </c>
      <c r="OO180" s="561">
        <v>0</v>
      </c>
      <c r="OP180" s="561">
        <v>0</v>
      </c>
      <c r="OQ180" s="561">
        <v>0</v>
      </c>
      <c r="OR180" s="561">
        <v>0</v>
      </c>
      <c r="OS180" s="561">
        <v>0</v>
      </c>
      <c r="OT180" s="561">
        <v>0</v>
      </c>
      <c r="OU180" s="561">
        <v>0</v>
      </c>
      <c r="OV180" s="561">
        <v>0</v>
      </c>
      <c r="OW180" s="561">
        <v>0</v>
      </c>
      <c r="OX180" s="561">
        <v>0</v>
      </c>
      <c r="OY180" s="561">
        <v>323</v>
      </c>
      <c r="OZ180" s="561">
        <v>0</v>
      </c>
      <c r="PA180" s="561">
        <v>22590</v>
      </c>
      <c r="PB180" s="561">
        <v>0</v>
      </c>
      <c r="PC180" s="561">
        <v>39</v>
      </c>
      <c r="PD180" s="561">
        <v>22952</v>
      </c>
      <c r="PE180" s="561">
        <v>0</v>
      </c>
      <c r="PF180" s="561">
        <v>0</v>
      </c>
      <c r="PG180" s="561">
        <v>0</v>
      </c>
      <c r="PH180" s="561">
        <v>0</v>
      </c>
      <c r="PI180" s="561">
        <v>0</v>
      </c>
      <c r="PJ180" s="561">
        <v>0</v>
      </c>
    </row>
    <row r="181" spans="1:426" ht="14" x14ac:dyDescent="0.3">
      <c r="A181" t="s">
        <v>2981</v>
      </c>
      <c r="B181" t="s">
        <v>2982</v>
      </c>
      <c r="C181" t="s">
        <v>4613</v>
      </c>
      <c r="E181" t="s">
        <v>385</v>
      </c>
      <c r="F181" s="561">
        <v>11563.85</v>
      </c>
      <c r="G181" s="561">
        <v>52813.34</v>
      </c>
      <c r="H181" s="561">
        <v>21896.53</v>
      </c>
      <c r="I181" s="561">
        <v>19127.72</v>
      </c>
      <c r="J181" s="561">
        <v>2900.98</v>
      </c>
      <c r="K181" s="561">
        <v>10048.92</v>
      </c>
      <c r="L181" s="561">
        <v>118351.34</v>
      </c>
      <c r="M181" s="561">
        <v>598</v>
      </c>
      <c r="N181" s="561">
        <v>1784</v>
      </c>
      <c r="O181" s="561">
        <v>184</v>
      </c>
      <c r="P181" s="561">
        <v>715</v>
      </c>
      <c r="Q181" s="561">
        <v>2071</v>
      </c>
      <c r="R181" s="561">
        <v>390</v>
      </c>
      <c r="S181" s="561">
        <v>786</v>
      </c>
      <c r="T181" s="561">
        <v>2308</v>
      </c>
      <c r="U181" s="561">
        <v>807</v>
      </c>
      <c r="V181" s="561">
        <v>1031</v>
      </c>
      <c r="W181" s="561">
        <v>0</v>
      </c>
      <c r="X181" s="561">
        <v>0</v>
      </c>
      <c r="Y181" s="561">
        <v>784</v>
      </c>
      <c r="Z181" s="561">
        <v>0</v>
      </c>
      <c r="AA181" s="561">
        <v>-1425</v>
      </c>
      <c r="AB181" s="561">
        <v>-2851</v>
      </c>
      <c r="AC181" s="561">
        <v>4984</v>
      </c>
      <c r="AD181" s="561">
        <v>0</v>
      </c>
      <c r="AE181" s="561">
        <v>582</v>
      </c>
      <c r="AF181" s="561">
        <v>0</v>
      </c>
      <c r="AG181" s="561">
        <v>0</v>
      </c>
      <c r="AH181" s="561">
        <v>53</v>
      </c>
      <c r="AI181" s="561">
        <v>1198</v>
      </c>
      <c r="AJ181" s="561">
        <v>13401</v>
      </c>
      <c r="AK181" s="561">
        <v>328</v>
      </c>
      <c r="AL181" s="561">
        <v>0</v>
      </c>
      <c r="AM181" s="561">
        <v>0</v>
      </c>
      <c r="AN181" s="561">
        <v>0</v>
      </c>
      <c r="AO181" s="561">
        <v>0</v>
      </c>
      <c r="AP181" s="561">
        <v>0</v>
      </c>
      <c r="AQ181" s="561">
        <v>0</v>
      </c>
      <c r="AR181" s="561">
        <v>0</v>
      </c>
      <c r="AS181" s="561">
        <v>265</v>
      </c>
      <c r="AT181" s="561">
        <v>2165</v>
      </c>
      <c r="AU181" s="561">
        <v>0</v>
      </c>
      <c r="AV181" s="561">
        <v>0</v>
      </c>
      <c r="AW181" s="561">
        <v>0</v>
      </c>
      <c r="AX181" s="561">
        <v>272.82</v>
      </c>
      <c r="AY181" s="561">
        <v>22012.51</v>
      </c>
      <c r="AZ181" s="561">
        <v>35.119999999999997</v>
      </c>
      <c r="BA181" s="561">
        <v>5141.1899999999996</v>
      </c>
      <c r="BB181" s="561">
        <v>611.27</v>
      </c>
      <c r="BC181" s="561">
        <v>12875.11</v>
      </c>
      <c r="BD181" s="561">
        <v>269.04000000000002</v>
      </c>
      <c r="BE181" s="561">
        <v>957.95</v>
      </c>
      <c r="BF181" s="561">
        <v>42175.01</v>
      </c>
      <c r="BG181" s="561">
        <v>3605</v>
      </c>
      <c r="BH181" s="561">
        <v>4748.34</v>
      </c>
      <c r="BI181" s="561">
        <v>23492.58</v>
      </c>
      <c r="BJ181" s="561">
        <v>60.82</v>
      </c>
      <c r="BK181" s="561">
        <v>142.18</v>
      </c>
      <c r="BL181" s="561">
        <v>222.33</v>
      </c>
      <c r="BM181" s="561">
        <v>6454.07</v>
      </c>
      <c r="BN181" s="561">
        <v>22622.26</v>
      </c>
      <c r="BO181" s="561">
        <v>2181.77</v>
      </c>
      <c r="BP181" s="561">
        <v>3624.57</v>
      </c>
      <c r="BQ181" s="561">
        <v>1906.63</v>
      </c>
      <c r="BR181" s="561">
        <v>370.45</v>
      </c>
      <c r="BS181" s="561">
        <v>550.97</v>
      </c>
      <c r="BT181" s="561">
        <v>3877.88</v>
      </c>
      <c r="BU181" s="561">
        <v>696.86</v>
      </c>
      <c r="BV181" s="561">
        <v>429.24</v>
      </c>
      <c r="BW181" s="561">
        <v>6668.46</v>
      </c>
      <c r="BX181" s="561">
        <v>880.74</v>
      </c>
      <c r="BY181" s="561">
        <v>8308.3799999999992</v>
      </c>
      <c r="BZ181" s="561">
        <v>87238.53</v>
      </c>
      <c r="CA181" s="561">
        <v>232</v>
      </c>
      <c r="CB181" s="561">
        <v>755.54</v>
      </c>
      <c r="CC181" s="561">
        <v>358.43</v>
      </c>
      <c r="CD181" s="561">
        <v>133.29</v>
      </c>
      <c r="CE181" s="561">
        <v>148.63</v>
      </c>
      <c r="CF181" s="561">
        <v>38.92</v>
      </c>
      <c r="CG181" s="561">
        <v>43.74</v>
      </c>
      <c r="CH181" s="561">
        <v>60.49</v>
      </c>
      <c r="CI181" s="561">
        <v>170.65</v>
      </c>
      <c r="CJ181" s="561">
        <v>167.97</v>
      </c>
      <c r="CK181" s="561">
        <v>99.42</v>
      </c>
      <c r="CL181" s="561">
        <v>68.63</v>
      </c>
      <c r="CM181" s="561">
        <v>1404.7</v>
      </c>
      <c r="CN181" s="561">
        <v>699.55</v>
      </c>
      <c r="CO181" s="561">
        <v>27.91</v>
      </c>
      <c r="CP181" s="561">
        <v>27.91</v>
      </c>
      <c r="CQ181" s="561">
        <v>337.1</v>
      </c>
      <c r="CR181" s="561">
        <v>427.58</v>
      </c>
      <c r="CS181" s="561">
        <v>72.150000000000006</v>
      </c>
      <c r="CT181" s="561">
        <v>621.32000000000005</v>
      </c>
      <c r="CU181" s="561">
        <v>1939.22</v>
      </c>
      <c r="CV181" s="561">
        <v>475.19</v>
      </c>
      <c r="CW181" s="561">
        <v>0</v>
      </c>
      <c r="CX181" s="561">
        <v>354.31</v>
      </c>
      <c r="CY181" s="561">
        <v>1037.03</v>
      </c>
      <c r="CZ181" s="561">
        <v>9469.68</v>
      </c>
      <c r="DA181" s="561">
        <v>0</v>
      </c>
      <c r="DB181" s="561">
        <v>0</v>
      </c>
      <c r="DC181" s="561">
        <v>0</v>
      </c>
      <c r="DD181" s="561">
        <v>0</v>
      </c>
      <c r="DE181" s="561">
        <v>0</v>
      </c>
      <c r="DF181" s="561">
        <v>0</v>
      </c>
      <c r="DG181" s="561">
        <v>0</v>
      </c>
      <c r="DH181" s="561">
        <v>168</v>
      </c>
      <c r="DI181" s="561">
        <v>0</v>
      </c>
      <c r="DJ181" s="561">
        <v>0</v>
      </c>
      <c r="DK181" s="561">
        <v>357</v>
      </c>
      <c r="DL181" s="561">
        <v>0</v>
      </c>
      <c r="DM181" s="561">
        <v>440</v>
      </c>
      <c r="DN181" s="561">
        <v>199</v>
      </c>
      <c r="DO181" s="561">
        <v>682</v>
      </c>
      <c r="DP181" s="561">
        <v>-4</v>
      </c>
      <c r="DQ181" s="561">
        <v>263</v>
      </c>
      <c r="DR181" s="561">
        <v>263</v>
      </c>
      <c r="DS181" s="561">
        <v>1002</v>
      </c>
      <c r="DT181" s="561">
        <v>1327</v>
      </c>
      <c r="DU181" s="561">
        <v>4172</v>
      </c>
      <c r="DV181" s="561">
        <v>0</v>
      </c>
      <c r="DW181" s="561">
        <v>0</v>
      </c>
      <c r="DX181" s="561">
        <v>0</v>
      </c>
      <c r="DY181" s="561">
        <v>1556</v>
      </c>
      <c r="DZ181" s="561">
        <v>-186</v>
      </c>
      <c r="EA181" s="561">
        <v>849</v>
      </c>
      <c r="EB181" s="561">
        <v>0</v>
      </c>
      <c r="EC181" s="561">
        <v>6916</v>
      </c>
      <c r="ED181" s="561">
        <v>0</v>
      </c>
      <c r="EE181" s="561">
        <v>0</v>
      </c>
      <c r="EF181" s="561">
        <v>0</v>
      </c>
      <c r="EG181" s="561">
        <v>0</v>
      </c>
      <c r="EH181" s="561">
        <v>0</v>
      </c>
      <c r="EI181" s="561">
        <v>0</v>
      </c>
      <c r="EJ181" s="561">
        <v>0</v>
      </c>
      <c r="EK181" s="561">
        <v>0</v>
      </c>
      <c r="EL181" s="561">
        <v>0</v>
      </c>
      <c r="EM181" s="561">
        <v>0</v>
      </c>
      <c r="EN181" s="561">
        <v>0</v>
      </c>
      <c r="EO181" s="561">
        <v>0</v>
      </c>
      <c r="EP181" s="561">
        <v>0</v>
      </c>
      <c r="EQ181" s="561">
        <v>0</v>
      </c>
      <c r="ER181" s="561">
        <v>0</v>
      </c>
      <c r="ES181" s="561" t="s">
        <v>4565</v>
      </c>
      <c r="ET181" s="561">
        <v>0</v>
      </c>
      <c r="EU181" s="561">
        <v>0</v>
      </c>
      <c r="EV181" s="561">
        <v>0</v>
      </c>
      <c r="EW181" s="561">
        <v>0</v>
      </c>
      <c r="EX181" s="561">
        <v>0</v>
      </c>
      <c r="EY181" s="561">
        <v>0</v>
      </c>
      <c r="EZ181" s="561">
        <v>0</v>
      </c>
      <c r="FA181" s="561">
        <v>0</v>
      </c>
      <c r="FB181" s="561">
        <v>214</v>
      </c>
      <c r="FC181" s="561">
        <v>0</v>
      </c>
      <c r="FD181" s="561">
        <v>277</v>
      </c>
      <c r="FE181" s="561">
        <v>383</v>
      </c>
      <c r="FF181" s="561">
        <v>43</v>
      </c>
      <c r="FG181" s="561">
        <v>0</v>
      </c>
      <c r="FH181" s="561">
        <v>-552</v>
      </c>
      <c r="FI181" s="561">
        <v>172</v>
      </c>
      <c r="FJ181" s="561">
        <v>829</v>
      </c>
      <c r="FK181" s="561">
        <v>1443</v>
      </c>
      <c r="FL181" s="561">
        <v>14</v>
      </c>
      <c r="FM181" s="561">
        <v>-36</v>
      </c>
      <c r="FN181" s="561">
        <v>1430</v>
      </c>
      <c r="FO181" s="561">
        <v>4217</v>
      </c>
      <c r="FP181" s="561">
        <v>0</v>
      </c>
      <c r="FQ181" s="561">
        <v>-560</v>
      </c>
      <c r="FR181" s="561">
        <v>429</v>
      </c>
      <c r="FS181" s="561">
        <v>9</v>
      </c>
      <c r="FT181" s="561">
        <v>423</v>
      </c>
      <c r="FU181" s="561">
        <v>268</v>
      </c>
      <c r="FV181" s="561">
        <v>0</v>
      </c>
      <c r="FW181" s="561">
        <v>207</v>
      </c>
      <c r="FX181" s="561">
        <v>98</v>
      </c>
      <c r="FY181" s="561">
        <v>0</v>
      </c>
      <c r="FZ181" s="561">
        <v>0</v>
      </c>
      <c r="GA181" s="561">
        <v>7</v>
      </c>
      <c r="GB181" s="561">
        <v>207</v>
      </c>
      <c r="GC181" s="561">
        <v>-1</v>
      </c>
      <c r="GD181" s="561">
        <v>82</v>
      </c>
      <c r="GE181" s="561">
        <v>82</v>
      </c>
      <c r="GF181" s="561">
        <v>23</v>
      </c>
      <c r="GG181" s="561">
        <v>242</v>
      </c>
      <c r="GH181" s="561">
        <v>0</v>
      </c>
      <c r="GI181" s="561">
        <v>0</v>
      </c>
      <c r="GJ181" s="561">
        <v>349</v>
      </c>
      <c r="GK181" s="561">
        <v>121</v>
      </c>
      <c r="GL181" s="561">
        <v>3918</v>
      </c>
      <c r="GM181" s="561">
        <v>1074</v>
      </c>
      <c r="GN181" s="561">
        <v>2907</v>
      </c>
      <c r="GO181" s="561">
        <v>0</v>
      </c>
      <c r="GP181" s="561">
        <v>672</v>
      </c>
      <c r="GQ181" s="561">
        <v>0</v>
      </c>
      <c r="GR181" s="561">
        <v>30</v>
      </c>
      <c r="GS181" s="561">
        <v>10587</v>
      </c>
      <c r="GT181" s="561">
        <v>0</v>
      </c>
      <c r="GU181" s="561">
        <v>261</v>
      </c>
      <c r="GV181" s="561">
        <v>1096</v>
      </c>
      <c r="GW181" s="561">
        <v>0</v>
      </c>
      <c r="GX181" s="561">
        <v>2420</v>
      </c>
      <c r="GY181" s="561">
        <v>934</v>
      </c>
      <c r="GZ181" s="561">
        <v>1549</v>
      </c>
      <c r="HA181" s="561">
        <v>0</v>
      </c>
      <c r="HB181" s="561">
        <v>-135</v>
      </c>
      <c r="HC181" s="561">
        <v>0</v>
      </c>
      <c r="HD181" s="561">
        <v>6125</v>
      </c>
      <c r="HE181" s="561">
        <v>49</v>
      </c>
      <c r="HF181" s="561">
        <v>20929</v>
      </c>
      <c r="HG181" s="561">
        <v>49</v>
      </c>
      <c r="HH181" s="561">
        <v>0</v>
      </c>
      <c r="HI181" s="561">
        <v>0</v>
      </c>
      <c r="HJ181" s="561">
        <v>0</v>
      </c>
      <c r="HK181" s="561">
        <v>0</v>
      </c>
      <c r="HL181" s="561">
        <v>0</v>
      </c>
      <c r="HM181" s="561">
        <v>0</v>
      </c>
      <c r="HN181" s="561">
        <v>0</v>
      </c>
      <c r="HO181" s="561">
        <v>3703.92</v>
      </c>
      <c r="HP181" s="561">
        <v>1630</v>
      </c>
      <c r="HQ181" s="561">
        <v>0</v>
      </c>
      <c r="HR181" s="561">
        <v>99</v>
      </c>
      <c r="HS181" s="561">
        <v>1</v>
      </c>
      <c r="HT181" s="561">
        <v>-260</v>
      </c>
      <c r="HU181" s="561">
        <v>0</v>
      </c>
      <c r="HV181" s="561">
        <v>84</v>
      </c>
      <c r="HW181" s="561">
        <v>290</v>
      </c>
      <c r="HX181" s="561">
        <v>-44</v>
      </c>
      <c r="HY181" s="561">
        <v>266</v>
      </c>
      <c r="HZ181" s="561">
        <v>-9</v>
      </c>
      <c r="IA181" s="561">
        <v>0</v>
      </c>
      <c r="IB181" s="561">
        <v>125</v>
      </c>
      <c r="IC181" s="561">
        <v>1010</v>
      </c>
      <c r="ID181" s="561">
        <v>0</v>
      </c>
      <c r="IE181" s="561">
        <v>1471</v>
      </c>
      <c r="IF181" s="561">
        <v>0</v>
      </c>
      <c r="IG181" s="561">
        <v>0</v>
      </c>
      <c r="IH181" s="561">
        <v>-1438</v>
      </c>
      <c r="II181" s="561">
        <v>6928.92</v>
      </c>
      <c r="IJ181" s="561">
        <v>0</v>
      </c>
      <c r="IK181" s="561">
        <v>4334</v>
      </c>
      <c r="IL181" s="561">
        <v>20543</v>
      </c>
      <c r="IM181" s="561">
        <v>523</v>
      </c>
      <c r="IN181" s="561">
        <v>75</v>
      </c>
      <c r="IO181" s="561">
        <v>614</v>
      </c>
      <c r="IP181" s="561">
        <v>0</v>
      </c>
      <c r="IQ181" s="561">
        <v>0</v>
      </c>
      <c r="IR181" s="561">
        <v>118351.34</v>
      </c>
      <c r="IS181" s="561">
        <v>13401</v>
      </c>
      <c r="IT181" s="561">
        <v>42175.01</v>
      </c>
      <c r="IU181" s="561">
        <v>87238.53</v>
      </c>
      <c r="IV181" s="561">
        <v>9469.68</v>
      </c>
      <c r="IW181" s="561">
        <v>6916</v>
      </c>
      <c r="IX181" s="561">
        <v>4217</v>
      </c>
      <c r="IY181" s="561">
        <v>10587</v>
      </c>
      <c r="IZ181" s="561">
        <v>6125</v>
      </c>
      <c r="JA181" s="561">
        <v>0</v>
      </c>
      <c r="JB181" s="561">
        <v>0</v>
      </c>
      <c r="JC181" s="561">
        <v>6928.92</v>
      </c>
      <c r="JD181" s="561">
        <v>0</v>
      </c>
      <c r="JE181" s="561">
        <v>305409.48</v>
      </c>
      <c r="JF181" s="561">
        <v>28061</v>
      </c>
      <c r="JG181" s="561">
        <v>1096</v>
      </c>
      <c r="JH181" s="561">
        <v>0</v>
      </c>
      <c r="JI181" s="561">
        <v>0</v>
      </c>
      <c r="JJ181" s="561">
        <v>0</v>
      </c>
      <c r="JK181" s="561">
        <v>6577</v>
      </c>
      <c r="JL181" s="561">
        <v>0</v>
      </c>
      <c r="JM181" s="561">
        <v>0</v>
      </c>
      <c r="JN181" s="561">
        <v>0</v>
      </c>
      <c r="JO181" s="561">
        <v>0</v>
      </c>
      <c r="JP181" s="561">
        <v>0</v>
      </c>
      <c r="JQ181" s="561">
        <v>0</v>
      </c>
      <c r="JR181" s="561">
        <v>0</v>
      </c>
      <c r="JS181" s="561">
        <v>0</v>
      </c>
      <c r="JT181" s="561">
        <v>785</v>
      </c>
      <c r="JU181" s="561">
        <v>3316</v>
      </c>
      <c r="JV181" s="561">
        <v>345244.48</v>
      </c>
      <c r="JW181" s="561">
        <v>46</v>
      </c>
      <c r="JX181" s="561">
        <v>0</v>
      </c>
      <c r="JY181" s="561">
        <v>0</v>
      </c>
      <c r="JZ181" s="561">
        <v>0</v>
      </c>
      <c r="KA181" s="561">
        <v>0</v>
      </c>
      <c r="KB181" s="561">
        <v>375</v>
      </c>
      <c r="KC181" s="561">
        <v>14721</v>
      </c>
      <c r="KD181" s="561">
        <v>14</v>
      </c>
      <c r="KE181" s="561">
        <v>14212</v>
      </c>
      <c r="KF181" s="561">
        <v>0</v>
      </c>
      <c r="KG181" s="561">
        <v>374612.47999999998</v>
      </c>
      <c r="KH181" s="561">
        <v>-3288</v>
      </c>
      <c r="KI181" s="561">
        <v>0</v>
      </c>
      <c r="KJ181" s="561">
        <v>0</v>
      </c>
      <c r="KK181" s="561">
        <v>0</v>
      </c>
      <c r="KL181" s="561">
        <v>-34227.15</v>
      </c>
      <c r="KM181" s="561">
        <v>0</v>
      </c>
      <c r="KN181" s="561">
        <v>0</v>
      </c>
      <c r="KO181" s="561">
        <v>0</v>
      </c>
      <c r="KP181" s="561">
        <v>0</v>
      </c>
      <c r="KQ181" s="561">
        <v>-5370</v>
      </c>
      <c r="KR181" s="561">
        <v>331727.33</v>
      </c>
      <c r="KS181" s="561">
        <v>0</v>
      </c>
      <c r="KT181" s="561">
        <v>-168585.03</v>
      </c>
      <c r="KU181" s="561">
        <v>163142.29999999999</v>
      </c>
      <c r="KV181" s="561">
        <v>0</v>
      </c>
      <c r="KW181" s="561">
        <v>-1182</v>
      </c>
      <c r="KX181" s="561">
        <v>0</v>
      </c>
      <c r="KY181" s="561">
        <v>40</v>
      </c>
      <c r="KZ181" s="561">
        <v>633</v>
      </c>
      <c r="LA181" s="561">
        <v>-2937</v>
      </c>
      <c r="LB181" s="561">
        <v>-4646</v>
      </c>
      <c r="LC181" s="561">
        <v>0</v>
      </c>
      <c r="LD181" s="561">
        <v>-43378</v>
      </c>
      <c r="LE181" s="561">
        <v>-1265</v>
      </c>
      <c r="LF181" s="561">
        <v>0</v>
      </c>
      <c r="LG181" s="561">
        <v>110407</v>
      </c>
      <c r="LH181" s="561">
        <v>4174</v>
      </c>
      <c r="LI181" s="561">
        <v>-6593</v>
      </c>
      <c r="LJ181" s="561">
        <v>0</v>
      </c>
      <c r="LK181" s="561">
        <v>1546</v>
      </c>
      <c r="LL181" s="561">
        <v>105234</v>
      </c>
      <c r="LM181" s="561">
        <v>13201</v>
      </c>
      <c r="LN181" s="561">
        <v>2992</v>
      </c>
      <c r="LO181" s="561">
        <v>-11963</v>
      </c>
      <c r="LP181" s="561">
        <v>0</v>
      </c>
      <c r="LQ181" s="561">
        <v>1586</v>
      </c>
      <c r="LR181" s="561">
        <v>105867</v>
      </c>
      <c r="LS181" s="561">
        <v>10264</v>
      </c>
      <c r="LT181" s="561">
        <v>0</v>
      </c>
      <c r="LU181" s="561">
        <v>19123</v>
      </c>
      <c r="LV181" s="561">
        <v>0</v>
      </c>
      <c r="LW181" s="561">
        <v>-3</v>
      </c>
      <c r="LX181" s="561">
        <v>-7750</v>
      </c>
      <c r="LY181" s="561">
        <v>6605</v>
      </c>
      <c r="LZ181" s="561">
        <v>17975</v>
      </c>
      <c r="MA181" s="561">
        <v>0</v>
      </c>
      <c r="MB181" s="561">
        <v>0</v>
      </c>
      <c r="MC181" s="561">
        <v>0</v>
      </c>
      <c r="MD181" s="561">
        <v>0</v>
      </c>
      <c r="ME181" s="561">
        <v>0</v>
      </c>
      <c r="MF181" s="561">
        <v>0</v>
      </c>
      <c r="MG181" s="561">
        <v>0</v>
      </c>
      <c r="MH181" s="561">
        <v>7300</v>
      </c>
      <c r="MI181" s="561">
        <v>4025</v>
      </c>
      <c r="MJ181" s="561">
        <v>11325</v>
      </c>
      <c r="MK181" s="561">
        <v>0</v>
      </c>
      <c r="ML181" s="561">
        <v>27272</v>
      </c>
      <c r="MM181" s="561">
        <v>40695</v>
      </c>
      <c r="MN181" s="561">
        <v>19559</v>
      </c>
      <c r="MO181" s="561">
        <v>18341</v>
      </c>
      <c r="MP181" s="561">
        <v>0</v>
      </c>
      <c r="MQ181" s="561">
        <v>118351.34</v>
      </c>
      <c r="MR181" s="561">
        <v>13401</v>
      </c>
      <c r="MS181" s="561">
        <v>42175.01</v>
      </c>
      <c r="MT181" s="561">
        <v>87238.53</v>
      </c>
      <c r="MU181" s="561">
        <v>9469.68</v>
      </c>
      <c r="MV181" s="561">
        <v>6916</v>
      </c>
      <c r="MW181" s="561">
        <v>4217</v>
      </c>
      <c r="MX181" s="561">
        <v>10587</v>
      </c>
      <c r="MY181" s="561">
        <v>6125</v>
      </c>
      <c r="MZ181" s="561">
        <v>0</v>
      </c>
      <c r="NA181" s="561">
        <v>0</v>
      </c>
      <c r="NB181" s="561">
        <v>6928.92</v>
      </c>
      <c r="NC181" s="561">
        <v>0</v>
      </c>
      <c r="ND181" s="561">
        <v>305409.48</v>
      </c>
      <c r="NE181" s="561">
        <v>0</v>
      </c>
      <c r="NF181" s="561">
        <v>0</v>
      </c>
      <c r="NG181" s="561">
        <v>0</v>
      </c>
      <c r="NH181" s="561">
        <v>0</v>
      </c>
      <c r="NI181" s="561">
        <v>0</v>
      </c>
      <c r="NJ181" s="561">
        <v>0</v>
      </c>
      <c r="NK181" s="561">
        <v>0</v>
      </c>
      <c r="NL181" s="561">
        <v>0</v>
      </c>
      <c r="NM181" s="561">
        <v>0</v>
      </c>
      <c r="NN181" s="561">
        <v>0</v>
      </c>
      <c r="NO181" s="561">
        <v>0</v>
      </c>
      <c r="NP181" s="561">
        <v>0</v>
      </c>
      <c r="NQ181" s="561">
        <v>0</v>
      </c>
      <c r="NR181" s="561">
        <v>0</v>
      </c>
      <c r="NS181" s="561">
        <v>0</v>
      </c>
      <c r="NT181" s="561">
        <v>0</v>
      </c>
      <c r="NU181" s="561">
        <v>0</v>
      </c>
      <c r="NV181" s="561">
        <v>0</v>
      </c>
      <c r="NW181" s="561">
        <v>0</v>
      </c>
      <c r="NX181" s="561">
        <v>0</v>
      </c>
      <c r="NY181" s="561">
        <v>0</v>
      </c>
      <c r="NZ181" s="561">
        <v>0</v>
      </c>
      <c r="OA181" s="561">
        <v>0</v>
      </c>
      <c r="OB181" s="561">
        <v>0</v>
      </c>
      <c r="OC181" s="561">
        <v>0</v>
      </c>
      <c r="OD181" s="561">
        <v>0</v>
      </c>
      <c r="OE181" s="561">
        <v>0</v>
      </c>
      <c r="OF181" s="561">
        <v>0</v>
      </c>
      <c r="OG181" s="561">
        <v>0</v>
      </c>
      <c r="OH181" s="561">
        <v>0</v>
      </c>
      <c r="OI181" s="561">
        <v>0</v>
      </c>
      <c r="OJ181" s="561">
        <v>0</v>
      </c>
      <c r="OK181" s="561">
        <v>0</v>
      </c>
      <c r="OL181" s="561">
        <v>0</v>
      </c>
      <c r="OM181" s="561">
        <v>0</v>
      </c>
      <c r="ON181" s="561">
        <v>0</v>
      </c>
      <c r="OO181" s="561">
        <v>0</v>
      </c>
      <c r="OP181" s="561">
        <v>0</v>
      </c>
      <c r="OQ181" s="561">
        <v>0</v>
      </c>
      <c r="OR181" s="561">
        <v>0</v>
      </c>
      <c r="OS181" s="561">
        <v>0</v>
      </c>
      <c r="OT181" s="561">
        <v>0</v>
      </c>
      <c r="OU181" s="561">
        <v>0</v>
      </c>
      <c r="OV181" s="561">
        <v>0</v>
      </c>
      <c r="OW181" s="561">
        <v>0</v>
      </c>
      <c r="OX181" s="561">
        <v>0</v>
      </c>
      <c r="OY181" s="561">
        <v>0</v>
      </c>
      <c r="OZ181" s="561">
        <v>0</v>
      </c>
      <c r="PA181" s="561">
        <v>0</v>
      </c>
      <c r="PB181" s="561">
        <v>0</v>
      </c>
      <c r="PC181" s="561">
        <v>0</v>
      </c>
      <c r="PD181" s="561">
        <v>0</v>
      </c>
      <c r="PE181" s="561">
        <v>0</v>
      </c>
      <c r="PF181" s="561">
        <v>0</v>
      </c>
      <c r="PG181" s="561">
        <v>0</v>
      </c>
      <c r="PH181" s="561">
        <v>0</v>
      </c>
      <c r="PI181" s="561">
        <v>0</v>
      </c>
      <c r="PJ181" s="561">
        <v>0</v>
      </c>
    </row>
    <row r="182" spans="1:426" ht="14" x14ac:dyDescent="0.3">
      <c r="A182" t="s">
        <v>2984</v>
      </c>
      <c r="B182" t="s">
        <v>2985</v>
      </c>
      <c r="C182" t="s">
        <v>2986</v>
      </c>
      <c r="E182" t="s">
        <v>385</v>
      </c>
      <c r="F182" s="561">
        <v>595</v>
      </c>
      <c r="G182" s="561">
        <v>0</v>
      </c>
      <c r="H182" s="561">
        <v>0</v>
      </c>
      <c r="I182" s="561">
        <v>0</v>
      </c>
      <c r="J182" s="561">
        <v>519</v>
      </c>
      <c r="K182" s="561">
        <v>938</v>
      </c>
      <c r="L182" s="561">
        <v>2052</v>
      </c>
      <c r="M182" s="561">
        <v>0</v>
      </c>
      <c r="N182" s="561">
        <v>0</v>
      </c>
      <c r="O182" s="561">
        <v>224</v>
      </c>
      <c r="P182" s="561">
        <v>0</v>
      </c>
      <c r="Q182" s="561">
        <v>0</v>
      </c>
      <c r="R182" s="561">
        <v>0</v>
      </c>
      <c r="S182" s="561">
        <v>0</v>
      </c>
      <c r="T182" s="561">
        <v>200</v>
      </c>
      <c r="U182" s="561">
        <v>0</v>
      </c>
      <c r="V182" s="561">
        <v>0</v>
      </c>
      <c r="W182" s="561">
        <v>0</v>
      </c>
      <c r="X182" s="561">
        <v>0</v>
      </c>
      <c r="Y182" s="561">
        <v>0</v>
      </c>
      <c r="Z182" s="561">
        <v>0</v>
      </c>
      <c r="AA182" s="561">
        <v>0</v>
      </c>
      <c r="AB182" s="561">
        <v>0</v>
      </c>
      <c r="AC182" s="561">
        <v>0</v>
      </c>
      <c r="AD182" s="561">
        <v>0</v>
      </c>
      <c r="AE182" s="561">
        <v>0</v>
      </c>
      <c r="AF182" s="561">
        <v>0</v>
      </c>
      <c r="AG182" s="561">
        <v>0</v>
      </c>
      <c r="AH182" s="561">
        <v>0</v>
      </c>
      <c r="AI182" s="561">
        <v>491</v>
      </c>
      <c r="AJ182" s="561">
        <v>915</v>
      </c>
      <c r="AK182" s="561">
        <v>0</v>
      </c>
      <c r="AL182" s="561">
        <v>0</v>
      </c>
      <c r="AM182" s="561">
        <v>0</v>
      </c>
      <c r="AN182" s="561">
        <v>0</v>
      </c>
      <c r="AO182" s="561">
        <v>0</v>
      </c>
      <c r="AP182" s="561">
        <v>0</v>
      </c>
      <c r="AQ182" s="561">
        <v>0</v>
      </c>
      <c r="AR182" s="561">
        <v>0</v>
      </c>
      <c r="AS182" s="561">
        <v>0</v>
      </c>
      <c r="AT182" s="561">
        <v>0</v>
      </c>
      <c r="AU182" s="561">
        <v>0</v>
      </c>
      <c r="AV182" s="561">
        <v>0</v>
      </c>
      <c r="AW182" s="561">
        <v>0</v>
      </c>
      <c r="AX182" s="561">
        <v>0</v>
      </c>
      <c r="AY182" s="561">
        <v>75</v>
      </c>
      <c r="AZ182" s="561">
        <v>225</v>
      </c>
      <c r="BA182" s="561">
        <v>19</v>
      </c>
      <c r="BB182" s="561">
        <v>0</v>
      </c>
      <c r="BC182" s="561">
        <v>749</v>
      </c>
      <c r="BD182" s="561">
        <v>0</v>
      </c>
      <c r="BE182" s="561">
        <v>0</v>
      </c>
      <c r="BF182" s="561">
        <v>1068</v>
      </c>
      <c r="BG182" s="561">
        <v>655</v>
      </c>
      <c r="BH182" s="561">
        <v>158</v>
      </c>
      <c r="BI182" s="561">
        <v>907</v>
      </c>
      <c r="BJ182" s="561">
        <v>2</v>
      </c>
      <c r="BK182" s="561">
        <v>69</v>
      </c>
      <c r="BL182" s="561">
        <v>6</v>
      </c>
      <c r="BM182" s="561">
        <v>562</v>
      </c>
      <c r="BN182" s="561">
        <v>29</v>
      </c>
      <c r="BO182" s="561">
        <v>0</v>
      </c>
      <c r="BP182" s="561">
        <v>2</v>
      </c>
      <c r="BQ182" s="561">
        <v>60</v>
      </c>
      <c r="BR182" s="561">
        <v>0</v>
      </c>
      <c r="BS182" s="561">
        <v>0</v>
      </c>
      <c r="BT182" s="561">
        <v>7</v>
      </c>
      <c r="BU182" s="561">
        <v>11</v>
      </c>
      <c r="BV182" s="561">
        <v>24</v>
      </c>
      <c r="BW182" s="561">
        <v>83</v>
      </c>
      <c r="BX182" s="561">
        <v>59</v>
      </c>
      <c r="BY182" s="561">
        <v>53</v>
      </c>
      <c r="BZ182" s="561">
        <v>2032</v>
      </c>
      <c r="CA182" s="561">
        <v>480</v>
      </c>
      <c r="CB182" s="561">
        <v>3</v>
      </c>
      <c r="CC182" s="561">
        <v>3</v>
      </c>
      <c r="CD182" s="561">
        <v>8</v>
      </c>
      <c r="CE182" s="561">
        <v>7</v>
      </c>
      <c r="CF182" s="561">
        <v>1</v>
      </c>
      <c r="CG182" s="561">
        <v>1</v>
      </c>
      <c r="CH182" s="561">
        <v>2</v>
      </c>
      <c r="CI182" s="561">
        <v>2</v>
      </c>
      <c r="CJ182" s="561">
        <v>1</v>
      </c>
      <c r="CK182" s="561">
        <v>1</v>
      </c>
      <c r="CL182" s="561">
        <v>1</v>
      </c>
      <c r="CM182" s="561">
        <v>5</v>
      </c>
      <c r="CN182" s="561">
        <v>10</v>
      </c>
      <c r="CO182" s="561">
        <v>2</v>
      </c>
      <c r="CP182" s="561">
        <v>3</v>
      </c>
      <c r="CQ182" s="561">
        <v>1</v>
      </c>
      <c r="CR182" s="561">
        <v>6</v>
      </c>
      <c r="CS182" s="561">
        <v>1</v>
      </c>
      <c r="CT182" s="561">
        <v>19</v>
      </c>
      <c r="CU182" s="561">
        <v>48</v>
      </c>
      <c r="CV182" s="561">
        <v>1</v>
      </c>
      <c r="CW182" s="561">
        <v>1</v>
      </c>
      <c r="CX182" s="561">
        <v>12</v>
      </c>
      <c r="CY182" s="561">
        <v>6</v>
      </c>
      <c r="CZ182" s="561">
        <v>145</v>
      </c>
      <c r="DA182" s="561">
        <v>0</v>
      </c>
      <c r="DB182" s="561">
        <v>0</v>
      </c>
      <c r="DC182" s="561">
        <v>0</v>
      </c>
      <c r="DD182" s="561">
        <v>0</v>
      </c>
      <c r="DE182" s="561">
        <v>0</v>
      </c>
      <c r="DF182" s="561">
        <v>0</v>
      </c>
      <c r="DG182" s="561">
        <v>0</v>
      </c>
      <c r="DH182" s="561">
        <v>48</v>
      </c>
      <c r="DI182" s="561">
        <v>0</v>
      </c>
      <c r="DJ182" s="561">
        <v>0</v>
      </c>
      <c r="DK182" s="561">
        <v>0</v>
      </c>
      <c r="DL182" s="561">
        <v>0</v>
      </c>
      <c r="DM182" s="561">
        <v>0</v>
      </c>
      <c r="DN182" s="561">
        <v>0</v>
      </c>
      <c r="DO182" s="561">
        <v>0</v>
      </c>
      <c r="DP182" s="561">
        <v>0</v>
      </c>
      <c r="DQ182" s="561">
        <v>0</v>
      </c>
      <c r="DR182" s="561">
        <v>0</v>
      </c>
      <c r="DS182" s="561">
        <v>0</v>
      </c>
      <c r="DT182" s="561">
        <v>0</v>
      </c>
      <c r="DU182" s="561">
        <v>0</v>
      </c>
      <c r="DV182" s="561">
        <v>0</v>
      </c>
      <c r="DW182" s="561">
        <v>0</v>
      </c>
      <c r="DX182" s="561">
        <v>0</v>
      </c>
      <c r="DY182" s="561">
        <v>0</v>
      </c>
      <c r="DZ182" s="561">
        <v>-25</v>
      </c>
      <c r="EA182" s="561">
        <v>10</v>
      </c>
      <c r="EB182" s="561">
        <v>0</v>
      </c>
      <c r="EC182" s="561">
        <v>33</v>
      </c>
      <c r="ED182" s="561">
        <v>0</v>
      </c>
      <c r="EE182" s="561">
        <v>0</v>
      </c>
      <c r="EF182" s="561">
        <v>0</v>
      </c>
      <c r="EG182" s="561">
        <v>0</v>
      </c>
      <c r="EH182" s="561">
        <v>0</v>
      </c>
      <c r="EI182" s="561">
        <v>0</v>
      </c>
      <c r="EJ182" s="561">
        <v>0</v>
      </c>
      <c r="EK182" s="561">
        <v>0</v>
      </c>
      <c r="EL182" s="561">
        <v>0</v>
      </c>
      <c r="EM182" s="561">
        <v>0</v>
      </c>
      <c r="EN182" s="561">
        <v>0</v>
      </c>
      <c r="EO182" s="561">
        <v>0</v>
      </c>
      <c r="EP182" s="561">
        <v>0</v>
      </c>
      <c r="EQ182" s="561">
        <v>0</v>
      </c>
      <c r="ER182" s="561">
        <v>0</v>
      </c>
      <c r="ES182" s="561" t="s">
        <v>4565</v>
      </c>
      <c r="ET182" s="561">
        <v>0</v>
      </c>
      <c r="EU182" s="561">
        <v>0</v>
      </c>
      <c r="EV182" s="561">
        <v>0</v>
      </c>
      <c r="EW182" s="561">
        <v>0</v>
      </c>
      <c r="EX182" s="561">
        <v>0</v>
      </c>
      <c r="EY182" s="561">
        <v>0</v>
      </c>
      <c r="EZ182" s="561">
        <v>0</v>
      </c>
      <c r="FA182" s="561">
        <v>0</v>
      </c>
      <c r="FB182" s="561">
        <v>0</v>
      </c>
      <c r="FC182" s="561">
        <v>0</v>
      </c>
      <c r="FD182" s="561">
        <v>18</v>
      </c>
      <c r="FE182" s="561">
        <v>0</v>
      </c>
      <c r="FF182" s="561">
        <v>0</v>
      </c>
      <c r="FG182" s="561">
        <v>0</v>
      </c>
      <c r="FH182" s="561">
        <v>0</v>
      </c>
      <c r="FI182" s="561">
        <v>0</v>
      </c>
      <c r="FJ182" s="561">
        <v>326</v>
      </c>
      <c r="FK182" s="561">
        <v>68</v>
      </c>
      <c r="FL182" s="561">
        <v>0</v>
      </c>
      <c r="FM182" s="561">
        <v>0</v>
      </c>
      <c r="FN182" s="561">
        <v>65</v>
      </c>
      <c r="FO182" s="561">
        <v>477</v>
      </c>
      <c r="FP182" s="561">
        <v>0</v>
      </c>
      <c r="FQ182" s="561">
        <v>3</v>
      </c>
      <c r="FR182" s="561">
        <v>0</v>
      </c>
      <c r="FS182" s="561">
        <v>0</v>
      </c>
      <c r="FT182" s="561">
        <v>0</v>
      </c>
      <c r="FU182" s="561">
        <v>0</v>
      </c>
      <c r="FV182" s="561">
        <v>0</v>
      </c>
      <c r="FW182" s="561">
        <v>0</v>
      </c>
      <c r="FX182" s="561">
        <v>0</v>
      </c>
      <c r="FY182" s="561">
        <v>0</v>
      </c>
      <c r="FZ182" s="561">
        <v>89</v>
      </c>
      <c r="GA182" s="561">
        <v>82</v>
      </c>
      <c r="GB182" s="561">
        <v>88</v>
      </c>
      <c r="GC182" s="561">
        <v>44</v>
      </c>
      <c r="GD182" s="561">
        <v>0</v>
      </c>
      <c r="GE182" s="561">
        <v>0</v>
      </c>
      <c r="GF182" s="561">
        <v>0</v>
      </c>
      <c r="GG182" s="561">
        <v>21</v>
      </c>
      <c r="GH182" s="561">
        <v>0</v>
      </c>
      <c r="GI182" s="561">
        <v>0</v>
      </c>
      <c r="GJ182" s="561">
        <v>380</v>
      </c>
      <c r="GK182" s="561">
        <v>146</v>
      </c>
      <c r="GL182" s="561">
        <v>0</v>
      </c>
      <c r="GM182" s="561">
        <v>426</v>
      </c>
      <c r="GN182" s="561">
        <v>319</v>
      </c>
      <c r="GO182" s="561">
        <v>107</v>
      </c>
      <c r="GP182" s="561">
        <v>212</v>
      </c>
      <c r="GQ182" s="561">
        <v>0</v>
      </c>
      <c r="GR182" s="561">
        <v>0</v>
      </c>
      <c r="GS182" s="561">
        <v>1917</v>
      </c>
      <c r="GT182" s="561">
        <v>0</v>
      </c>
      <c r="GU182" s="561">
        <v>0</v>
      </c>
      <c r="GV182" s="561">
        <v>198</v>
      </c>
      <c r="GW182" s="561">
        <v>0</v>
      </c>
      <c r="GX182" s="561">
        <v>-2</v>
      </c>
      <c r="GY182" s="561">
        <v>0</v>
      </c>
      <c r="GZ182" s="561">
        <v>140</v>
      </c>
      <c r="HA182" s="561">
        <v>0</v>
      </c>
      <c r="HB182" s="561">
        <v>0</v>
      </c>
      <c r="HC182" s="561">
        <v>0</v>
      </c>
      <c r="HD182" s="561">
        <v>336</v>
      </c>
      <c r="HE182" s="561">
        <v>0</v>
      </c>
      <c r="HF182" s="561">
        <v>2730</v>
      </c>
      <c r="HG182" s="561">
        <v>0</v>
      </c>
      <c r="HH182" s="561">
        <v>0</v>
      </c>
      <c r="HI182" s="561">
        <v>0</v>
      </c>
      <c r="HJ182" s="561">
        <v>625</v>
      </c>
      <c r="HK182" s="561">
        <v>267</v>
      </c>
      <c r="HL182" s="561">
        <v>11</v>
      </c>
      <c r="HM182" s="561">
        <v>903</v>
      </c>
      <c r="HN182" s="561">
        <v>0</v>
      </c>
      <c r="HO182" s="561">
        <v>1087</v>
      </c>
      <c r="HP182" s="561">
        <v>-1</v>
      </c>
      <c r="HQ182" s="561">
        <v>0</v>
      </c>
      <c r="HR182" s="561">
        <v>0</v>
      </c>
      <c r="HS182" s="561">
        <v>0</v>
      </c>
      <c r="HT182" s="561">
        <v>0</v>
      </c>
      <c r="HU182" s="561">
        <v>0</v>
      </c>
      <c r="HV182" s="561">
        <v>27</v>
      </c>
      <c r="HW182" s="561">
        <v>30</v>
      </c>
      <c r="HX182" s="561">
        <v>8</v>
      </c>
      <c r="HY182" s="561">
        <v>0</v>
      </c>
      <c r="HZ182" s="561">
        <v>-4</v>
      </c>
      <c r="IA182" s="561">
        <v>0</v>
      </c>
      <c r="IB182" s="561">
        <v>51</v>
      </c>
      <c r="IC182" s="561">
        <v>0</v>
      </c>
      <c r="ID182" s="561">
        <v>0</v>
      </c>
      <c r="IE182" s="561">
        <v>0</v>
      </c>
      <c r="IF182" s="561">
        <v>0</v>
      </c>
      <c r="IG182" s="561">
        <v>0</v>
      </c>
      <c r="IH182" s="561">
        <v>0</v>
      </c>
      <c r="II182" s="561">
        <v>1198</v>
      </c>
      <c r="IJ182" s="561">
        <v>0</v>
      </c>
      <c r="IK182" s="561">
        <v>0</v>
      </c>
      <c r="IL182" s="561">
        <v>0</v>
      </c>
      <c r="IM182" s="561">
        <v>0</v>
      </c>
      <c r="IN182" s="561">
        <v>0</v>
      </c>
      <c r="IO182" s="561">
        <v>0</v>
      </c>
      <c r="IP182" s="561">
        <v>2</v>
      </c>
      <c r="IQ182" s="561">
        <v>0</v>
      </c>
      <c r="IR182" s="561">
        <v>2052</v>
      </c>
      <c r="IS182" s="561">
        <v>915</v>
      </c>
      <c r="IT182" s="561">
        <v>1068</v>
      </c>
      <c r="IU182" s="561">
        <v>2032</v>
      </c>
      <c r="IV182" s="561">
        <v>145</v>
      </c>
      <c r="IW182" s="561">
        <v>33</v>
      </c>
      <c r="IX182" s="561">
        <v>477</v>
      </c>
      <c r="IY182" s="561">
        <v>1917</v>
      </c>
      <c r="IZ182" s="561">
        <v>336</v>
      </c>
      <c r="JA182" s="561">
        <v>0</v>
      </c>
      <c r="JB182" s="561">
        <v>903</v>
      </c>
      <c r="JC182" s="561">
        <v>1198</v>
      </c>
      <c r="JD182" s="561">
        <v>2</v>
      </c>
      <c r="JE182" s="561">
        <v>11078</v>
      </c>
      <c r="JF182" s="561">
        <v>126</v>
      </c>
      <c r="JG182" s="561">
        <v>58</v>
      </c>
      <c r="JH182" s="561">
        <v>0</v>
      </c>
      <c r="JI182" s="561">
        <v>0</v>
      </c>
      <c r="JJ182" s="561">
        <v>0</v>
      </c>
      <c r="JK182" s="561">
        <v>0</v>
      </c>
      <c r="JL182" s="561">
        <v>0</v>
      </c>
      <c r="JM182" s="561">
        <v>0</v>
      </c>
      <c r="JN182" s="561">
        <v>0</v>
      </c>
      <c r="JO182" s="561">
        <v>0</v>
      </c>
      <c r="JP182" s="561">
        <v>0</v>
      </c>
      <c r="JQ182" s="561">
        <v>119</v>
      </c>
      <c r="JR182" s="561">
        <v>0</v>
      </c>
      <c r="JS182" s="561">
        <v>0</v>
      </c>
      <c r="JT182" s="561">
        <v>3</v>
      </c>
      <c r="JU182" s="561">
        <v>99</v>
      </c>
      <c r="JV182" s="561">
        <v>11483</v>
      </c>
      <c r="JW182" s="561">
        <v>0</v>
      </c>
      <c r="JX182" s="561">
        <v>12</v>
      </c>
      <c r="JY182" s="561">
        <v>0</v>
      </c>
      <c r="JZ182" s="561">
        <v>0</v>
      </c>
      <c r="KA182" s="561">
        <v>0</v>
      </c>
      <c r="KB182" s="561">
        <v>18</v>
      </c>
      <c r="KC182" s="561">
        <v>222</v>
      </c>
      <c r="KD182" s="561">
        <v>0</v>
      </c>
      <c r="KE182" s="561">
        <v>47</v>
      </c>
      <c r="KF182" s="561">
        <v>0</v>
      </c>
      <c r="KG182" s="561">
        <v>11782</v>
      </c>
      <c r="KH182" s="561">
        <v>-279</v>
      </c>
      <c r="KI182" s="561">
        <v>0</v>
      </c>
      <c r="KJ182" s="561">
        <v>-10</v>
      </c>
      <c r="KK182" s="561">
        <v>0</v>
      </c>
      <c r="KL182" s="561">
        <v>-708</v>
      </c>
      <c r="KM182" s="561">
        <v>0</v>
      </c>
      <c r="KN182" s="561">
        <v>0</v>
      </c>
      <c r="KO182" s="561">
        <v>0</v>
      </c>
      <c r="KP182" s="561">
        <v>0</v>
      </c>
      <c r="KQ182" s="561">
        <v>0</v>
      </c>
      <c r="KR182" s="561">
        <v>10785</v>
      </c>
      <c r="KS182" s="561">
        <v>0</v>
      </c>
      <c r="KT182" s="561">
        <v>-2952</v>
      </c>
      <c r="KU182" s="561">
        <v>7833</v>
      </c>
      <c r="KV182" s="561">
        <v>0</v>
      </c>
      <c r="KW182" s="561">
        <v>0</v>
      </c>
      <c r="KX182" s="561">
        <v>-10</v>
      </c>
      <c r="KY182" s="561">
        <v>0</v>
      </c>
      <c r="KZ182" s="561">
        <v>-698</v>
      </c>
      <c r="LA182" s="561">
        <v>-669</v>
      </c>
      <c r="LB182" s="561">
        <v>-2293</v>
      </c>
      <c r="LC182" s="561">
        <v>0</v>
      </c>
      <c r="LD182" s="561">
        <v>-2203</v>
      </c>
      <c r="LE182" s="561">
        <v>9</v>
      </c>
      <c r="LF182" s="561">
        <v>0</v>
      </c>
      <c r="LG182" s="561">
        <v>1969</v>
      </c>
      <c r="LH182" s="561">
        <v>0</v>
      </c>
      <c r="LI182" s="561">
        <v>0</v>
      </c>
      <c r="LJ182" s="561">
        <v>10</v>
      </c>
      <c r="LK182" s="561">
        <v>0</v>
      </c>
      <c r="LL182" s="561">
        <v>1310</v>
      </c>
      <c r="LM182" s="561">
        <v>2533</v>
      </c>
      <c r="LN182" s="561">
        <v>0</v>
      </c>
      <c r="LO182" s="561">
        <v>0</v>
      </c>
      <c r="LP182" s="561">
        <v>0</v>
      </c>
      <c r="LQ182" s="561">
        <v>0</v>
      </c>
      <c r="LR182" s="561">
        <v>612</v>
      </c>
      <c r="LS182" s="561">
        <v>1864</v>
      </c>
      <c r="LT182" s="561">
        <v>0</v>
      </c>
      <c r="LU182" s="561">
        <v>1513</v>
      </c>
      <c r="LV182" s="561">
        <v>0</v>
      </c>
      <c r="LW182" s="561">
        <v>-642</v>
      </c>
      <c r="LX182" s="561">
        <v>-5039</v>
      </c>
      <c r="LY182" s="561">
        <v>261</v>
      </c>
      <c r="LZ182" s="561">
        <v>-3907</v>
      </c>
      <c r="MA182" s="561">
        <v>0</v>
      </c>
      <c r="MB182" s="561">
        <v>0</v>
      </c>
      <c r="MC182" s="561">
        <v>0</v>
      </c>
      <c r="MD182" s="561">
        <v>0</v>
      </c>
      <c r="ME182" s="561">
        <v>0</v>
      </c>
      <c r="MF182" s="561">
        <v>0</v>
      </c>
      <c r="MG182" s="561">
        <v>0</v>
      </c>
      <c r="MH182" s="561">
        <v>56</v>
      </c>
      <c r="MI182" s="561">
        <v>20</v>
      </c>
      <c r="MJ182" s="561">
        <v>76</v>
      </c>
      <c r="MK182" s="561">
        <v>0</v>
      </c>
      <c r="ML182" s="561">
        <v>0</v>
      </c>
      <c r="MM182" s="561">
        <v>612</v>
      </c>
      <c r="MN182" s="561">
        <v>0</v>
      </c>
      <c r="MO182" s="561">
        <v>0</v>
      </c>
      <c r="MP182" s="561">
        <v>0</v>
      </c>
      <c r="MQ182" s="561">
        <v>2052</v>
      </c>
      <c r="MR182" s="561">
        <v>915</v>
      </c>
      <c r="MS182" s="561">
        <v>1068</v>
      </c>
      <c r="MT182" s="561">
        <v>2032</v>
      </c>
      <c r="MU182" s="561">
        <v>145</v>
      </c>
      <c r="MV182" s="561">
        <v>33</v>
      </c>
      <c r="MW182" s="561">
        <v>477</v>
      </c>
      <c r="MX182" s="561">
        <v>1917</v>
      </c>
      <c r="MY182" s="561">
        <v>336</v>
      </c>
      <c r="MZ182" s="561">
        <v>0</v>
      </c>
      <c r="NA182" s="561">
        <v>903</v>
      </c>
      <c r="NB182" s="561">
        <v>1198</v>
      </c>
      <c r="NC182" s="561">
        <v>2</v>
      </c>
      <c r="ND182" s="561">
        <v>11078</v>
      </c>
      <c r="NE182" s="561">
        <v>0</v>
      </c>
      <c r="NF182" s="561">
        <v>0</v>
      </c>
      <c r="NG182" s="561">
        <v>0</v>
      </c>
      <c r="NH182" s="561">
        <v>0</v>
      </c>
      <c r="NI182" s="561">
        <v>0</v>
      </c>
      <c r="NJ182" s="561">
        <v>0</v>
      </c>
      <c r="NK182" s="561">
        <v>0</v>
      </c>
      <c r="NL182" s="561">
        <v>0</v>
      </c>
      <c r="NM182" s="561">
        <v>0</v>
      </c>
      <c r="NN182" s="561">
        <v>0</v>
      </c>
      <c r="NO182" s="561">
        <v>0</v>
      </c>
      <c r="NP182" s="561">
        <v>0</v>
      </c>
      <c r="NQ182" s="561">
        <v>0</v>
      </c>
      <c r="NR182" s="561">
        <v>0</v>
      </c>
      <c r="NS182" s="561">
        <v>0</v>
      </c>
      <c r="NT182" s="561">
        <v>0</v>
      </c>
      <c r="NU182" s="561">
        <v>0</v>
      </c>
      <c r="NV182" s="561">
        <v>0</v>
      </c>
      <c r="NW182" s="561">
        <v>0</v>
      </c>
      <c r="NX182" s="561">
        <v>0</v>
      </c>
      <c r="NY182" s="561">
        <v>0</v>
      </c>
      <c r="NZ182" s="561">
        <v>0</v>
      </c>
      <c r="OA182" s="561">
        <v>0</v>
      </c>
      <c r="OB182" s="561">
        <v>0</v>
      </c>
      <c r="OC182" s="561">
        <v>0</v>
      </c>
      <c r="OD182" s="561">
        <v>0</v>
      </c>
      <c r="OE182" s="561">
        <v>0</v>
      </c>
      <c r="OF182" s="561">
        <v>0</v>
      </c>
      <c r="OG182" s="561">
        <v>0</v>
      </c>
      <c r="OH182" s="561">
        <v>0</v>
      </c>
      <c r="OI182" s="561">
        <v>0</v>
      </c>
      <c r="OJ182" s="561">
        <v>119</v>
      </c>
      <c r="OK182" s="561">
        <v>0</v>
      </c>
      <c r="OL182" s="561">
        <v>0</v>
      </c>
      <c r="OM182" s="561">
        <v>0</v>
      </c>
      <c r="ON182" s="561">
        <v>0</v>
      </c>
      <c r="OO182" s="561">
        <v>0</v>
      </c>
      <c r="OP182" s="561">
        <v>0</v>
      </c>
      <c r="OQ182" s="561">
        <v>0</v>
      </c>
      <c r="OR182" s="561">
        <v>0</v>
      </c>
      <c r="OS182" s="561">
        <v>0</v>
      </c>
      <c r="OT182" s="561">
        <v>0</v>
      </c>
      <c r="OU182" s="561">
        <v>0</v>
      </c>
      <c r="OV182" s="561">
        <v>98</v>
      </c>
      <c r="OW182" s="561">
        <v>0</v>
      </c>
      <c r="OX182" s="561">
        <v>119</v>
      </c>
      <c r="OY182" s="561">
        <v>0</v>
      </c>
      <c r="OZ182" s="561">
        <v>0</v>
      </c>
      <c r="PA182" s="561">
        <v>0</v>
      </c>
      <c r="PB182" s="561">
        <v>0</v>
      </c>
      <c r="PC182" s="561">
        <v>0</v>
      </c>
      <c r="PD182" s="561">
        <v>0</v>
      </c>
      <c r="PE182" s="561">
        <v>0</v>
      </c>
      <c r="PF182" s="561">
        <v>0</v>
      </c>
      <c r="PG182" s="561">
        <v>0</v>
      </c>
      <c r="PH182" s="561">
        <v>0</v>
      </c>
      <c r="PI182" s="561">
        <v>0</v>
      </c>
      <c r="PJ182" s="561">
        <v>0</v>
      </c>
    </row>
    <row r="183" spans="1:426" ht="14" x14ac:dyDescent="0.3">
      <c r="A183" t="s">
        <v>2987</v>
      </c>
      <c r="B183" t="s">
        <v>2988</v>
      </c>
      <c r="C183" t="s">
        <v>2989</v>
      </c>
      <c r="E183" t="s">
        <v>2476</v>
      </c>
      <c r="F183" s="561">
        <v>11224.1</v>
      </c>
      <c r="G183" s="561">
        <v>79516.42</v>
      </c>
      <c r="H183" s="561">
        <v>41490.42</v>
      </c>
      <c r="I183" s="561">
        <v>12091.12</v>
      </c>
      <c r="J183" s="561">
        <v>9993.41</v>
      </c>
      <c r="K183" s="561">
        <v>58093.13</v>
      </c>
      <c r="L183" s="561">
        <v>212408.6</v>
      </c>
      <c r="M183" s="561">
        <v>1112</v>
      </c>
      <c r="N183" s="561">
        <v>-90.8</v>
      </c>
      <c r="O183" s="561">
        <v>1190.43</v>
      </c>
      <c r="P183" s="561">
        <v>0</v>
      </c>
      <c r="Q183" s="561">
        <v>0</v>
      </c>
      <c r="R183" s="561">
        <v>0</v>
      </c>
      <c r="S183" s="561">
        <v>0</v>
      </c>
      <c r="T183" s="561">
        <v>10117.799999999999</v>
      </c>
      <c r="U183" s="561">
        <v>193.44</v>
      </c>
      <c r="V183" s="561">
        <v>2369.0700000000002</v>
      </c>
      <c r="W183" s="561">
        <v>4.92</v>
      </c>
      <c r="X183" s="561">
        <v>0</v>
      </c>
      <c r="Y183" s="561">
        <v>243</v>
      </c>
      <c r="Z183" s="561">
        <v>243.47</v>
      </c>
      <c r="AA183" s="561">
        <v>-35469.32</v>
      </c>
      <c r="AB183" s="561">
        <v>90.27</v>
      </c>
      <c r="AC183" s="561">
        <v>10062.209999999999</v>
      </c>
      <c r="AD183" s="561">
        <v>0</v>
      </c>
      <c r="AE183" s="561">
        <v>0</v>
      </c>
      <c r="AF183" s="561">
        <v>0</v>
      </c>
      <c r="AG183" s="561">
        <v>0</v>
      </c>
      <c r="AH183" s="561">
        <v>0</v>
      </c>
      <c r="AI183" s="561">
        <v>0</v>
      </c>
      <c r="AJ183" s="561">
        <v>-11045.51</v>
      </c>
      <c r="AK183" s="561">
        <v>1006</v>
      </c>
      <c r="AL183" s="561">
        <v>0</v>
      </c>
      <c r="AM183" s="561">
        <v>0</v>
      </c>
      <c r="AN183" s="561">
        <v>0</v>
      </c>
      <c r="AO183" s="561">
        <v>0</v>
      </c>
      <c r="AP183" s="561">
        <v>0</v>
      </c>
      <c r="AQ183" s="561">
        <v>0</v>
      </c>
      <c r="AR183" s="561">
        <v>0</v>
      </c>
      <c r="AS183" s="561">
        <v>31357.18</v>
      </c>
      <c r="AT183" s="561">
        <v>29160.87</v>
      </c>
      <c r="AU183" s="561">
        <v>0</v>
      </c>
      <c r="AV183" s="561">
        <v>0</v>
      </c>
      <c r="AW183" s="561">
        <v>0</v>
      </c>
      <c r="AX183" s="561">
        <v>24599.22</v>
      </c>
      <c r="AY183" s="561">
        <v>29074.27</v>
      </c>
      <c r="AZ183" s="561">
        <v>0.37</v>
      </c>
      <c r="BA183" s="561">
        <v>3800.66</v>
      </c>
      <c r="BB183" s="561">
        <v>413.99</v>
      </c>
      <c r="BC183" s="561">
        <v>27003.52</v>
      </c>
      <c r="BD183" s="561">
        <v>4720.58</v>
      </c>
      <c r="BE183" s="561">
        <v>5842.27</v>
      </c>
      <c r="BF183" s="561">
        <v>95454.88</v>
      </c>
      <c r="BG183" s="561">
        <v>6636</v>
      </c>
      <c r="BH183" s="561">
        <v>13197.48</v>
      </c>
      <c r="BI183" s="561">
        <v>26272.3</v>
      </c>
      <c r="BJ183" s="561">
        <v>178.62</v>
      </c>
      <c r="BK183" s="561">
        <v>185.18</v>
      </c>
      <c r="BL183" s="561">
        <v>1443.37</v>
      </c>
      <c r="BM183" s="561">
        <v>-274.16000000000003</v>
      </c>
      <c r="BN183" s="561">
        <v>37595.370000000003</v>
      </c>
      <c r="BO183" s="561">
        <v>1435.87</v>
      </c>
      <c r="BP183" s="561">
        <v>8073.19</v>
      </c>
      <c r="BQ183" s="561">
        <v>7493.23</v>
      </c>
      <c r="BR183" s="561">
        <v>203.74</v>
      </c>
      <c r="BS183" s="561">
        <v>5502.17</v>
      </c>
      <c r="BT183" s="561">
        <v>80.42</v>
      </c>
      <c r="BU183" s="561">
        <v>932.42</v>
      </c>
      <c r="BV183" s="561">
        <v>826.51</v>
      </c>
      <c r="BW183" s="561">
        <v>9602.6299999999992</v>
      </c>
      <c r="BX183" s="561">
        <v>164.01</v>
      </c>
      <c r="BY183" s="561">
        <v>2359.02</v>
      </c>
      <c r="BZ183" s="561">
        <v>115271.37</v>
      </c>
      <c r="CA183" s="561">
        <v>6208</v>
      </c>
      <c r="CB183" s="561">
        <v>6158.06</v>
      </c>
      <c r="CC183" s="561">
        <v>49.15</v>
      </c>
      <c r="CD183" s="561">
        <v>137.53</v>
      </c>
      <c r="CE183" s="561">
        <v>248.24</v>
      </c>
      <c r="CF183" s="561">
        <v>226.2</v>
      </c>
      <c r="CG183" s="561">
        <v>77.209999999999994</v>
      </c>
      <c r="CH183" s="561">
        <v>1987.27</v>
      </c>
      <c r="CI183" s="561">
        <v>119.87</v>
      </c>
      <c r="CJ183" s="561">
        <v>78.680000000000007</v>
      </c>
      <c r="CK183" s="561">
        <v>157</v>
      </c>
      <c r="CL183" s="561">
        <v>156</v>
      </c>
      <c r="CM183" s="561">
        <v>10571.78</v>
      </c>
      <c r="CN183" s="561">
        <v>1.69</v>
      </c>
      <c r="CO183" s="561">
        <v>920.07</v>
      </c>
      <c r="CP183" s="561">
        <v>0</v>
      </c>
      <c r="CQ183" s="561">
        <v>269.39999999999998</v>
      </c>
      <c r="CR183" s="561">
        <v>652.15</v>
      </c>
      <c r="CS183" s="561">
        <v>0</v>
      </c>
      <c r="CT183" s="561">
        <v>3158.38</v>
      </c>
      <c r="CU183" s="561">
        <v>3564.73</v>
      </c>
      <c r="CV183" s="561">
        <v>869.41</v>
      </c>
      <c r="CW183" s="561">
        <v>0</v>
      </c>
      <c r="CX183" s="561">
        <v>762.07</v>
      </c>
      <c r="CY183" s="561">
        <v>5128.67</v>
      </c>
      <c r="CZ183" s="561">
        <v>35293.56</v>
      </c>
      <c r="DA183" s="561">
        <v>0</v>
      </c>
      <c r="DB183" s="561">
        <v>0</v>
      </c>
      <c r="DC183" s="561">
        <v>0</v>
      </c>
      <c r="DD183" s="561">
        <v>0</v>
      </c>
      <c r="DE183" s="561">
        <v>0</v>
      </c>
      <c r="DF183" s="561">
        <v>0</v>
      </c>
      <c r="DG183" s="561">
        <v>0</v>
      </c>
      <c r="DH183" s="561">
        <v>13966.88</v>
      </c>
      <c r="DI183" s="561">
        <v>0</v>
      </c>
      <c r="DJ183" s="561">
        <v>0</v>
      </c>
      <c r="DK183" s="561">
        <v>-870.55</v>
      </c>
      <c r="DL183" s="561">
        <v>11531.58</v>
      </c>
      <c r="DM183" s="561">
        <v>-61.06</v>
      </c>
      <c r="DN183" s="561">
        <v>0</v>
      </c>
      <c r="DO183" s="561">
        <v>0</v>
      </c>
      <c r="DP183" s="561">
        <v>0</v>
      </c>
      <c r="DQ183" s="561">
        <v>-1.19</v>
      </c>
      <c r="DR183" s="561">
        <v>862.69</v>
      </c>
      <c r="DS183" s="561">
        <v>2712.11</v>
      </c>
      <c r="DT183" s="561">
        <v>1102.58</v>
      </c>
      <c r="DU183" s="561">
        <v>16146.71</v>
      </c>
      <c r="DV183" s="561">
        <v>0</v>
      </c>
      <c r="DW183" s="561">
        <v>0</v>
      </c>
      <c r="DX183" s="561">
        <v>0</v>
      </c>
      <c r="DY183" s="561">
        <v>4286.8599999999997</v>
      </c>
      <c r="DZ183" s="561">
        <v>0</v>
      </c>
      <c r="EA183" s="561">
        <v>1303.33</v>
      </c>
      <c r="EB183" s="561">
        <v>0</v>
      </c>
      <c r="EC183" s="561">
        <v>34833.230000000003</v>
      </c>
      <c r="ED183" s="561">
        <v>2489</v>
      </c>
      <c r="EE183" s="561">
        <v>197329.8</v>
      </c>
      <c r="EF183" s="561">
        <v>1952.14</v>
      </c>
      <c r="EG183" s="561">
        <v>57378.78</v>
      </c>
      <c r="EH183" s="561">
        <v>2861.35</v>
      </c>
      <c r="EI183" s="561">
        <v>6451.29</v>
      </c>
      <c r="EJ183" s="561">
        <v>3911.72</v>
      </c>
      <c r="EK183" s="561">
        <v>32.380000000000003</v>
      </c>
      <c r="EL183" s="561">
        <v>0</v>
      </c>
      <c r="EM183" s="561">
        <v>0</v>
      </c>
      <c r="EN183" s="561">
        <v>57397.27</v>
      </c>
      <c r="EO183" s="561">
        <v>102686.63</v>
      </c>
      <c r="EP183" s="561">
        <v>29525.98</v>
      </c>
      <c r="EQ183" s="561">
        <v>2272.33</v>
      </c>
      <c r="ER183" s="561">
        <v>11948.65</v>
      </c>
      <c r="ES183" s="561" t="s">
        <v>4565</v>
      </c>
      <c r="ET183" s="561">
        <v>35074.26</v>
      </c>
      <c r="EU183" s="561">
        <v>8050</v>
      </c>
      <c r="EV183" s="561">
        <v>33.25</v>
      </c>
      <c r="EW183" s="561">
        <v>0</v>
      </c>
      <c r="EX183" s="561">
        <v>1748.97</v>
      </c>
      <c r="EY183" s="561">
        <v>2377.61</v>
      </c>
      <c r="EZ183" s="561">
        <v>18802.509999999998</v>
      </c>
      <c r="FA183" s="561">
        <v>61691</v>
      </c>
      <c r="FB183" s="561">
        <v>0</v>
      </c>
      <c r="FC183" s="561">
        <v>443.92</v>
      </c>
      <c r="FD183" s="561">
        <v>517.41</v>
      </c>
      <c r="FE183" s="561">
        <v>64.05</v>
      </c>
      <c r="FF183" s="561">
        <v>-300.27999999999997</v>
      </c>
      <c r="FG183" s="561">
        <v>584.94000000000005</v>
      </c>
      <c r="FH183" s="561">
        <v>0</v>
      </c>
      <c r="FI183" s="561">
        <v>724.05</v>
      </c>
      <c r="FJ183" s="561">
        <v>-1294.9100000000001</v>
      </c>
      <c r="FK183" s="561">
        <v>4657.53</v>
      </c>
      <c r="FL183" s="561">
        <v>0</v>
      </c>
      <c r="FM183" s="561">
        <v>0</v>
      </c>
      <c r="FN183" s="561">
        <v>4928.3500000000004</v>
      </c>
      <c r="FO183" s="561">
        <v>10325.06</v>
      </c>
      <c r="FP183" s="561">
        <v>346.45</v>
      </c>
      <c r="FQ183" s="561">
        <v>-9.68</v>
      </c>
      <c r="FR183" s="561">
        <v>374.03</v>
      </c>
      <c r="FS183" s="561">
        <v>0</v>
      </c>
      <c r="FT183" s="561">
        <v>1099.3699999999999</v>
      </c>
      <c r="FU183" s="561">
        <v>1288.17</v>
      </c>
      <c r="FV183" s="561">
        <v>849.31</v>
      </c>
      <c r="FW183" s="561">
        <v>684.76</v>
      </c>
      <c r="FX183" s="561">
        <v>0</v>
      </c>
      <c r="FY183" s="561">
        <v>0</v>
      </c>
      <c r="FZ183" s="561">
        <v>-75.47</v>
      </c>
      <c r="GA183" s="561">
        <v>141.71</v>
      </c>
      <c r="GB183" s="561">
        <v>175.29</v>
      </c>
      <c r="GC183" s="561">
        <v>-124.66</v>
      </c>
      <c r="GD183" s="561">
        <v>2664.53</v>
      </c>
      <c r="GE183" s="561">
        <v>1617.97</v>
      </c>
      <c r="GF183" s="561">
        <v>1669.13</v>
      </c>
      <c r="GG183" s="561">
        <v>0</v>
      </c>
      <c r="GH183" s="561">
        <v>0</v>
      </c>
      <c r="GI183" s="561">
        <v>0</v>
      </c>
      <c r="GJ183" s="561">
        <v>0</v>
      </c>
      <c r="GK183" s="561">
        <v>0</v>
      </c>
      <c r="GL183" s="561">
        <v>10494.61</v>
      </c>
      <c r="GM183" s="561">
        <v>7050.82</v>
      </c>
      <c r="GN183" s="561">
        <v>0</v>
      </c>
      <c r="GO183" s="561">
        <v>2269.19</v>
      </c>
      <c r="GP183" s="561">
        <v>192.37</v>
      </c>
      <c r="GQ183" s="561">
        <v>2456.27</v>
      </c>
      <c r="GR183" s="561">
        <v>1587.63</v>
      </c>
      <c r="GS183" s="561">
        <v>34405.35</v>
      </c>
      <c r="GT183" s="561">
        <v>6302</v>
      </c>
      <c r="GU183" s="561">
        <v>213.76</v>
      </c>
      <c r="GV183" s="561">
        <v>971.96</v>
      </c>
      <c r="GW183" s="561">
        <v>0</v>
      </c>
      <c r="GX183" s="561">
        <v>237.79</v>
      </c>
      <c r="GY183" s="561">
        <v>1383.6</v>
      </c>
      <c r="GZ183" s="561">
        <v>7330.25</v>
      </c>
      <c r="HA183" s="561">
        <v>0</v>
      </c>
      <c r="HB183" s="561">
        <v>0</v>
      </c>
      <c r="HC183" s="561">
        <v>3553.55</v>
      </c>
      <c r="HD183" s="561">
        <v>13690.91</v>
      </c>
      <c r="HE183" s="561">
        <v>1376.27</v>
      </c>
      <c r="HF183" s="561">
        <v>58421.32</v>
      </c>
      <c r="HG183" s="561">
        <v>3.5</v>
      </c>
      <c r="HH183" s="561">
        <v>0</v>
      </c>
      <c r="HI183" s="561">
        <v>0</v>
      </c>
      <c r="HJ183" s="561">
        <v>0</v>
      </c>
      <c r="HK183" s="561">
        <v>0</v>
      </c>
      <c r="HL183" s="561">
        <v>0</v>
      </c>
      <c r="HM183" s="561">
        <v>0</v>
      </c>
      <c r="HN183" s="561">
        <v>0</v>
      </c>
      <c r="HO183" s="561">
        <v>3129.76</v>
      </c>
      <c r="HP183" s="561">
        <v>1688.18</v>
      </c>
      <c r="HQ183" s="561">
        <v>0</v>
      </c>
      <c r="HR183" s="561">
        <v>0</v>
      </c>
      <c r="HS183" s="561">
        <v>0</v>
      </c>
      <c r="HT183" s="561">
        <v>0</v>
      </c>
      <c r="HU183" s="561">
        <v>0</v>
      </c>
      <c r="HV183" s="561">
        <v>-983.43</v>
      </c>
      <c r="HW183" s="561">
        <v>548.80999999999995</v>
      </c>
      <c r="HX183" s="561">
        <v>7.15</v>
      </c>
      <c r="HY183" s="561">
        <v>314.64999999999998</v>
      </c>
      <c r="HZ183" s="561">
        <v>-345.2</v>
      </c>
      <c r="IA183" s="561">
        <v>4482.1000000000004</v>
      </c>
      <c r="IB183" s="561">
        <v>0</v>
      </c>
      <c r="IC183" s="561">
        <v>757.23</v>
      </c>
      <c r="ID183" s="561">
        <v>0</v>
      </c>
      <c r="IE183" s="561">
        <v>11576.62</v>
      </c>
      <c r="IF183" s="561">
        <v>0</v>
      </c>
      <c r="IG183" s="561">
        <v>0</v>
      </c>
      <c r="IH183" s="561">
        <v>62906.2</v>
      </c>
      <c r="II183" s="561">
        <v>84082.07</v>
      </c>
      <c r="IJ183" s="561">
        <v>0</v>
      </c>
      <c r="IK183" s="561">
        <v>23784</v>
      </c>
      <c r="IL183" s="561">
        <v>0</v>
      </c>
      <c r="IM183" s="561">
        <v>0</v>
      </c>
      <c r="IN183" s="561">
        <v>0</v>
      </c>
      <c r="IO183" s="561">
        <v>0</v>
      </c>
      <c r="IP183" s="561">
        <v>-14895.84</v>
      </c>
      <c r="IQ183" s="561">
        <v>0</v>
      </c>
      <c r="IR183" s="561">
        <v>212408.6</v>
      </c>
      <c r="IS183" s="561">
        <v>-11045.51</v>
      </c>
      <c r="IT183" s="561">
        <v>95454.88</v>
      </c>
      <c r="IU183" s="561">
        <v>115271.37</v>
      </c>
      <c r="IV183" s="561">
        <v>35293.56</v>
      </c>
      <c r="IW183" s="561">
        <v>34833.230000000003</v>
      </c>
      <c r="IX183" s="561">
        <v>10325.06</v>
      </c>
      <c r="IY183" s="561">
        <v>34405.35</v>
      </c>
      <c r="IZ183" s="561">
        <v>13690.91</v>
      </c>
      <c r="JA183" s="561">
        <v>0</v>
      </c>
      <c r="JB183" s="561">
        <v>0</v>
      </c>
      <c r="JC183" s="561">
        <v>84082.07</v>
      </c>
      <c r="JD183" s="561">
        <v>-14895.84</v>
      </c>
      <c r="JE183" s="561">
        <v>609823.68000000005</v>
      </c>
      <c r="JF183" s="561">
        <v>63006.38</v>
      </c>
      <c r="JG183" s="561">
        <v>9256.4</v>
      </c>
      <c r="JH183" s="561">
        <v>69887.56</v>
      </c>
      <c r="JI183" s="561">
        <v>0</v>
      </c>
      <c r="JJ183" s="561">
        <v>0</v>
      </c>
      <c r="JK183" s="561">
        <v>0</v>
      </c>
      <c r="JL183" s="561">
        <v>0</v>
      </c>
      <c r="JM183" s="561">
        <v>8288.02</v>
      </c>
      <c r="JN183" s="561">
        <v>484.78</v>
      </c>
      <c r="JO183" s="561">
        <v>1254.1199999999999</v>
      </c>
      <c r="JP183" s="561">
        <v>1166.24</v>
      </c>
      <c r="JQ183" s="561">
        <v>3388.33</v>
      </c>
      <c r="JR183" s="561">
        <v>0</v>
      </c>
      <c r="JS183" s="561">
        <v>0</v>
      </c>
      <c r="JT183" s="561">
        <v>742</v>
      </c>
      <c r="JU183" s="561">
        <v>0</v>
      </c>
      <c r="JV183" s="561">
        <v>767297.51</v>
      </c>
      <c r="JW183" s="561">
        <v>194.24</v>
      </c>
      <c r="JX183" s="561">
        <v>44.11</v>
      </c>
      <c r="JY183" s="561">
        <v>0</v>
      </c>
      <c r="JZ183" s="561">
        <v>0</v>
      </c>
      <c r="KA183" s="561">
        <v>-178.96</v>
      </c>
      <c r="KB183" s="561">
        <v>-1406.11</v>
      </c>
      <c r="KC183" s="561">
        <v>6332.31</v>
      </c>
      <c r="KD183" s="561">
        <v>0</v>
      </c>
      <c r="KE183" s="561">
        <v>2608.6999999999998</v>
      </c>
      <c r="KF183" s="561">
        <v>-6076.19</v>
      </c>
      <c r="KG183" s="561">
        <v>768815.61</v>
      </c>
      <c r="KH183" s="561">
        <v>-7486.31</v>
      </c>
      <c r="KI183" s="561">
        <v>5423</v>
      </c>
      <c r="KJ183" s="561">
        <v>0</v>
      </c>
      <c r="KK183" s="561">
        <v>0</v>
      </c>
      <c r="KL183" s="561">
        <v>-161574.84</v>
      </c>
      <c r="KM183" s="561">
        <v>0</v>
      </c>
      <c r="KN183" s="561">
        <v>-2249.77</v>
      </c>
      <c r="KO183" s="561">
        <v>0</v>
      </c>
      <c r="KP183" s="561">
        <v>0</v>
      </c>
      <c r="KQ183" s="561">
        <v>0</v>
      </c>
      <c r="KR183" s="561">
        <v>602927.68999999994</v>
      </c>
      <c r="KS183" s="561">
        <v>0</v>
      </c>
      <c r="KT183" s="561">
        <v>-337624.47</v>
      </c>
      <c r="KU183" s="561">
        <v>265303.21999999997</v>
      </c>
      <c r="KV183" s="561">
        <v>0</v>
      </c>
      <c r="KW183" s="561">
        <v>-264</v>
      </c>
      <c r="KX183" s="561">
        <v>-1859</v>
      </c>
      <c r="KY183" s="561">
        <v>1077</v>
      </c>
      <c r="KZ183" s="561">
        <v>9528</v>
      </c>
      <c r="LA183" s="561">
        <v>5000</v>
      </c>
      <c r="LB183" s="561">
        <v>-30412</v>
      </c>
      <c r="LC183" s="561">
        <v>0</v>
      </c>
      <c r="LD183" s="561">
        <v>-129339.62</v>
      </c>
      <c r="LE183" s="561">
        <v>-811.92</v>
      </c>
      <c r="LF183" s="561">
        <v>0</v>
      </c>
      <c r="LG183" s="561">
        <v>118221</v>
      </c>
      <c r="LH183" s="561">
        <v>5985</v>
      </c>
      <c r="LI183" s="561">
        <v>0</v>
      </c>
      <c r="LJ183" s="561">
        <v>5769</v>
      </c>
      <c r="LK183" s="561">
        <v>1591</v>
      </c>
      <c r="LL183" s="561">
        <v>94061</v>
      </c>
      <c r="LM183" s="561">
        <v>31657</v>
      </c>
      <c r="LN183" s="561">
        <v>5721</v>
      </c>
      <c r="LO183" s="561">
        <v>0</v>
      </c>
      <c r="LP183" s="561">
        <v>3910</v>
      </c>
      <c r="LQ183" s="561">
        <v>2668</v>
      </c>
      <c r="LR183" s="561">
        <v>103589</v>
      </c>
      <c r="LS183" s="561">
        <v>36657</v>
      </c>
      <c r="LT183" s="561">
        <v>0</v>
      </c>
      <c r="LU183" s="561">
        <v>28710</v>
      </c>
      <c r="LV183" s="561">
        <v>0</v>
      </c>
      <c r="LW183" s="561">
        <v>59016</v>
      </c>
      <c r="LX183" s="561">
        <v>-12182</v>
      </c>
      <c r="LY183" s="561">
        <v>11364</v>
      </c>
      <c r="LZ183" s="561">
        <v>91151</v>
      </c>
      <c r="MA183" s="561">
        <v>0</v>
      </c>
      <c r="MB183" s="561">
        <v>0</v>
      </c>
      <c r="MC183" s="561">
        <v>269917.46000000002</v>
      </c>
      <c r="MD183" s="561">
        <v>251114.95</v>
      </c>
      <c r="ME183" s="561">
        <v>18802.509999999998</v>
      </c>
      <c r="MF183" s="561">
        <v>61691</v>
      </c>
      <c r="MG183" s="561">
        <v>80493.509999999995</v>
      </c>
      <c r="MH183" s="561">
        <v>25109</v>
      </c>
      <c r="MI183" s="561">
        <v>10703</v>
      </c>
      <c r="MJ183" s="561">
        <v>35812</v>
      </c>
      <c r="MK183" s="561">
        <v>0</v>
      </c>
      <c r="ML183" s="561">
        <v>0</v>
      </c>
      <c r="MM183" s="561">
        <v>14629</v>
      </c>
      <c r="MN183" s="561">
        <v>64630</v>
      </c>
      <c r="MO183" s="561">
        <v>0</v>
      </c>
      <c r="MP183" s="561">
        <v>24330</v>
      </c>
      <c r="MQ183" s="561">
        <v>212408.6</v>
      </c>
      <c r="MR183" s="561">
        <v>-11045.51</v>
      </c>
      <c r="MS183" s="561">
        <v>95454.88</v>
      </c>
      <c r="MT183" s="561">
        <v>115271.37</v>
      </c>
      <c r="MU183" s="561">
        <v>35293.56</v>
      </c>
      <c r="MV183" s="561">
        <v>34833.230000000003</v>
      </c>
      <c r="MW183" s="561">
        <v>10325.06</v>
      </c>
      <c r="MX183" s="561">
        <v>34405.35</v>
      </c>
      <c r="MY183" s="561">
        <v>13690.91</v>
      </c>
      <c r="MZ183" s="561">
        <v>0</v>
      </c>
      <c r="NA183" s="561">
        <v>0</v>
      </c>
      <c r="NB183" s="561">
        <v>84082.07</v>
      </c>
      <c r="NC183" s="561">
        <v>-14895.84</v>
      </c>
      <c r="ND183" s="561">
        <v>609823.68000000005</v>
      </c>
      <c r="NE183" s="561">
        <v>0</v>
      </c>
      <c r="NF183" s="561">
        <v>0</v>
      </c>
      <c r="NG183" s="561">
        <v>0</v>
      </c>
      <c r="NH183" s="561">
        <v>0</v>
      </c>
      <c r="NI183" s="561">
        <v>0</v>
      </c>
      <c r="NJ183" s="561">
        <v>0</v>
      </c>
      <c r="NK183" s="561">
        <v>0</v>
      </c>
      <c r="NL183" s="561">
        <v>0</v>
      </c>
      <c r="NM183" s="561">
        <v>0</v>
      </c>
      <c r="NN183" s="561">
        <v>0</v>
      </c>
      <c r="NO183" s="561">
        <v>322.63</v>
      </c>
      <c r="NP183" s="561">
        <v>0</v>
      </c>
      <c r="NQ183" s="561">
        <v>0</v>
      </c>
      <c r="NR183" s="561">
        <v>0</v>
      </c>
      <c r="NS183" s="561">
        <v>0</v>
      </c>
      <c r="NT183" s="561">
        <v>0</v>
      </c>
      <c r="NU183" s="561">
        <v>0</v>
      </c>
      <c r="NV183" s="561">
        <v>17.03</v>
      </c>
      <c r="NW183" s="561">
        <v>1166.24</v>
      </c>
      <c r="NX183" s="561">
        <v>0</v>
      </c>
      <c r="NY183" s="561">
        <v>1166.24</v>
      </c>
      <c r="NZ183" s="561">
        <v>0</v>
      </c>
      <c r="OA183" s="561">
        <v>0</v>
      </c>
      <c r="OB183" s="561">
        <v>0</v>
      </c>
      <c r="OC183" s="561">
        <v>0</v>
      </c>
      <c r="OD183" s="561">
        <v>0</v>
      </c>
      <c r="OE183" s="561">
        <v>0</v>
      </c>
      <c r="OF183" s="561">
        <v>0</v>
      </c>
      <c r="OG183" s="561">
        <v>0</v>
      </c>
      <c r="OH183" s="561">
        <v>0</v>
      </c>
      <c r="OI183" s="561">
        <v>0</v>
      </c>
      <c r="OJ183" s="561">
        <v>0</v>
      </c>
      <c r="OK183" s="561">
        <v>0</v>
      </c>
      <c r="OL183" s="561">
        <v>0</v>
      </c>
      <c r="OM183" s="561">
        <v>1278.42</v>
      </c>
      <c r="ON183" s="561">
        <v>0</v>
      </c>
      <c r="OO183" s="561">
        <v>0</v>
      </c>
      <c r="OP183" s="561">
        <v>0</v>
      </c>
      <c r="OQ183" s="561">
        <v>0</v>
      </c>
      <c r="OR183" s="561">
        <v>0</v>
      </c>
      <c r="OS183" s="561">
        <v>0</v>
      </c>
      <c r="OT183" s="561">
        <v>-419</v>
      </c>
      <c r="OU183" s="561">
        <v>0</v>
      </c>
      <c r="OV183" s="561">
        <v>1880.64</v>
      </c>
      <c r="OW183" s="561">
        <v>0</v>
      </c>
      <c r="OX183" s="561">
        <v>3388.33</v>
      </c>
      <c r="OY183" s="561">
        <v>0</v>
      </c>
      <c r="OZ183" s="561">
        <v>0</v>
      </c>
      <c r="PA183" s="561">
        <v>0</v>
      </c>
      <c r="PB183" s="561">
        <v>0</v>
      </c>
      <c r="PC183" s="561">
        <v>0</v>
      </c>
      <c r="PD183" s="561">
        <v>0</v>
      </c>
      <c r="PE183" s="561">
        <v>0</v>
      </c>
      <c r="PF183" s="561">
        <v>0</v>
      </c>
      <c r="PG183" s="561">
        <v>0</v>
      </c>
      <c r="PH183" s="561">
        <v>0</v>
      </c>
      <c r="PI183" s="561">
        <v>0</v>
      </c>
      <c r="PJ183" s="561">
        <v>0</v>
      </c>
    </row>
    <row r="184" spans="1:426" ht="14" x14ac:dyDescent="0.3">
      <c r="A184" t="s">
        <v>2990</v>
      </c>
      <c r="B184" t="s">
        <v>2991</v>
      </c>
      <c r="C184" t="s">
        <v>2992</v>
      </c>
      <c r="E184" t="s">
        <v>2476</v>
      </c>
      <c r="F184" s="561">
        <v>17719</v>
      </c>
      <c r="G184" s="561">
        <v>51123</v>
      </c>
      <c r="H184" s="561">
        <v>18632</v>
      </c>
      <c r="I184" s="561">
        <v>8881</v>
      </c>
      <c r="J184" s="561">
        <v>171</v>
      </c>
      <c r="K184" s="561">
        <v>8959</v>
      </c>
      <c r="L184" s="561">
        <v>105485</v>
      </c>
      <c r="M184" s="561">
        <v>3482</v>
      </c>
      <c r="N184" s="561">
        <v>-811</v>
      </c>
      <c r="O184" s="561">
        <v>1032</v>
      </c>
      <c r="P184" s="561">
        <v>914</v>
      </c>
      <c r="Q184" s="561">
        <v>3172</v>
      </c>
      <c r="R184" s="561">
        <v>0</v>
      </c>
      <c r="S184" s="561">
        <v>194</v>
      </c>
      <c r="T184" s="561">
        <v>0</v>
      </c>
      <c r="U184" s="561">
        <v>0</v>
      </c>
      <c r="V184" s="561">
        <v>2317</v>
      </c>
      <c r="W184" s="561">
        <v>0</v>
      </c>
      <c r="X184" s="561">
        <v>0</v>
      </c>
      <c r="Y184" s="561">
        <v>63</v>
      </c>
      <c r="Z184" s="561">
        <v>973</v>
      </c>
      <c r="AA184" s="561">
        <v>-49676</v>
      </c>
      <c r="AB184" s="561">
        <v>0</v>
      </c>
      <c r="AC184" s="561">
        <v>7178</v>
      </c>
      <c r="AD184" s="561">
        <v>596</v>
      </c>
      <c r="AE184" s="561">
        <v>0</v>
      </c>
      <c r="AF184" s="561">
        <v>0</v>
      </c>
      <c r="AG184" s="561">
        <v>0</v>
      </c>
      <c r="AH184" s="561">
        <v>0</v>
      </c>
      <c r="AI184" s="561">
        <v>0</v>
      </c>
      <c r="AJ184" s="561">
        <v>-34048</v>
      </c>
      <c r="AK184" s="561">
        <v>101</v>
      </c>
      <c r="AL184" s="561">
        <v>0</v>
      </c>
      <c r="AM184" s="561">
        <v>0</v>
      </c>
      <c r="AN184" s="561">
        <v>0</v>
      </c>
      <c r="AO184" s="561">
        <v>0</v>
      </c>
      <c r="AP184" s="561">
        <v>0</v>
      </c>
      <c r="AQ184" s="561">
        <v>0</v>
      </c>
      <c r="AR184" s="561">
        <v>0</v>
      </c>
      <c r="AS184" s="561">
        <v>19703</v>
      </c>
      <c r="AT184" s="561">
        <v>43462</v>
      </c>
      <c r="AU184" s="561">
        <v>0</v>
      </c>
      <c r="AV184" s="561">
        <v>0</v>
      </c>
      <c r="AW184" s="561">
        <v>0</v>
      </c>
      <c r="AX184" s="561">
        <v>59</v>
      </c>
      <c r="AY184" s="561">
        <v>23231</v>
      </c>
      <c r="AZ184" s="561">
        <v>5846</v>
      </c>
      <c r="BA184" s="561">
        <v>8032</v>
      </c>
      <c r="BB184" s="561">
        <v>2221</v>
      </c>
      <c r="BC184" s="561">
        <v>7028</v>
      </c>
      <c r="BD184" s="561">
        <v>1107</v>
      </c>
      <c r="BE184" s="561">
        <v>2729</v>
      </c>
      <c r="BF184" s="561">
        <v>50253</v>
      </c>
      <c r="BG184" s="561">
        <v>1164</v>
      </c>
      <c r="BH184" s="561">
        <v>3633</v>
      </c>
      <c r="BI184" s="561">
        <v>19169</v>
      </c>
      <c r="BJ184" s="561">
        <v>-9</v>
      </c>
      <c r="BK184" s="561">
        <v>150</v>
      </c>
      <c r="BL184" s="561">
        <v>-110</v>
      </c>
      <c r="BM184" s="561">
        <v>3094</v>
      </c>
      <c r="BN184" s="561">
        <v>9839</v>
      </c>
      <c r="BO184" s="561">
        <v>2802</v>
      </c>
      <c r="BP184" s="561">
        <v>-538</v>
      </c>
      <c r="BQ184" s="561">
        <v>6420</v>
      </c>
      <c r="BR184" s="561">
        <v>173</v>
      </c>
      <c r="BS184" s="561">
        <v>0</v>
      </c>
      <c r="BT184" s="561">
        <v>0</v>
      </c>
      <c r="BU184" s="561">
        <v>16</v>
      </c>
      <c r="BV184" s="561">
        <v>656</v>
      </c>
      <c r="BW184" s="561">
        <v>15136</v>
      </c>
      <c r="BX184" s="561">
        <v>0</v>
      </c>
      <c r="BY184" s="561">
        <v>10703</v>
      </c>
      <c r="BZ184" s="561">
        <v>71134</v>
      </c>
      <c r="CA184" s="561">
        <v>1017</v>
      </c>
      <c r="CB184" s="561">
        <v>3077</v>
      </c>
      <c r="CC184" s="561">
        <v>208</v>
      </c>
      <c r="CD184" s="561">
        <v>193</v>
      </c>
      <c r="CE184" s="561">
        <v>447</v>
      </c>
      <c r="CF184" s="561">
        <v>23</v>
      </c>
      <c r="CG184" s="561">
        <v>183</v>
      </c>
      <c r="CH184" s="561">
        <v>116</v>
      </c>
      <c r="CI184" s="561">
        <v>1957</v>
      </c>
      <c r="CJ184" s="561">
        <v>391</v>
      </c>
      <c r="CK184" s="561">
        <v>1153</v>
      </c>
      <c r="CL184" s="561">
        <v>197</v>
      </c>
      <c r="CM184" s="561">
        <v>2128</v>
      </c>
      <c r="CN184" s="561">
        <v>1134</v>
      </c>
      <c r="CO184" s="561">
        <v>1474</v>
      </c>
      <c r="CP184" s="561">
        <v>990</v>
      </c>
      <c r="CQ184" s="561">
        <v>171</v>
      </c>
      <c r="CR184" s="561">
        <v>682</v>
      </c>
      <c r="CS184" s="561">
        <v>5</v>
      </c>
      <c r="CT184" s="561">
        <v>2498</v>
      </c>
      <c r="CU184" s="561">
        <v>1971</v>
      </c>
      <c r="CV184" s="561">
        <v>343</v>
      </c>
      <c r="CW184" s="561">
        <v>0</v>
      </c>
      <c r="CX184" s="561">
        <v>365</v>
      </c>
      <c r="CY184" s="561">
        <v>6448</v>
      </c>
      <c r="CZ184" s="561">
        <v>26154</v>
      </c>
      <c r="DA184" s="561">
        <v>379</v>
      </c>
      <c r="DB184" s="561">
        <v>0</v>
      </c>
      <c r="DC184" s="561">
        <v>0</v>
      </c>
      <c r="DD184" s="561">
        <v>0</v>
      </c>
      <c r="DE184" s="561">
        <v>0</v>
      </c>
      <c r="DF184" s="561">
        <v>0</v>
      </c>
      <c r="DG184" s="561">
        <v>0</v>
      </c>
      <c r="DH184" s="561">
        <v>5314</v>
      </c>
      <c r="DI184" s="561">
        <v>0</v>
      </c>
      <c r="DJ184" s="561">
        <v>0</v>
      </c>
      <c r="DK184" s="561">
        <v>0</v>
      </c>
      <c r="DL184" s="561">
        <v>0</v>
      </c>
      <c r="DM184" s="561">
        <v>14731</v>
      </c>
      <c r="DN184" s="561">
        <v>0</v>
      </c>
      <c r="DO184" s="561">
        <v>0</v>
      </c>
      <c r="DP184" s="561">
        <v>164</v>
      </c>
      <c r="DQ184" s="561">
        <v>482</v>
      </c>
      <c r="DR184" s="561">
        <v>4547</v>
      </c>
      <c r="DS184" s="561">
        <v>7964</v>
      </c>
      <c r="DT184" s="561">
        <v>2932</v>
      </c>
      <c r="DU184" s="561">
        <v>30820</v>
      </c>
      <c r="DV184" s="561">
        <v>-568</v>
      </c>
      <c r="DW184" s="561">
        <v>0</v>
      </c>
      <c r="DX184" s="561">
        <v>0</v>
      </c>
      <c r="DY184" s="561">
        <v>3339</v>
      </c>
      <c r="DZ184" s="561">
        <v>721</v>
      </c>
      <c r="EA184" s="561">
        <v>4993</v>
      </c>
      <c r="EB184" s="561">
        <v>0</v>
      </c>
      <c r="EC184" s="561">
        <v>44619</v>
      </c>
      <c r="ED184" s="561">
        <v>993</v>
      </c>
      <c r="EE184" s="561">
        <v>52098</v>
      </c>
      <c r="EF184" s="561">
        <v>5590</v>
      </c>
      <c r="EG184" s="561">
        <v>17655</v>
      </c>
      <c r="EH184" s="561">
        <v>0</v>
      </c>
      <c r="EI184" s="561">
        <v>0</v>
      </c>
      <c r="EJ184" s="561">
        <v>203</v>
      </c>
      <c r="EK184" s="561">
        <v>0</v>
      </c>
      <c r="EL184" s="561">
        <v>0</v>
      </c>
      <c r="EM184" s="561">
        <v>0</v>
      </c>
      <c r="EN184" s="561">
        <v>19110</v>
      </c>
      <c r="EO184" s="561">
        <v>28931</v>
      </c>
      <c r="EP184" s="561">
        <v>9291</v>
      </c>
      <c r="EQ184" s="561">
        <v>363</v>
      </c>
      <c r="ER184" s="561">
        <v>9274</v>
      </c>
      <c r="ES184" s="561" t="s">
        <v>4565</v>
      </c>
      <c r="ET184" s="561">
        <v>0</v>
      </c>
      <c r="EU184" s="561">
        <v>0</v>
      </c>
      <c r="EV184" s="561">
        <v>35</v>
      </c>
      <c r="EW184" s="561">
        <v>0</v>
      </c>
      <c r="EX184" s="561">
        <v>7683</v>
      </c>
      <c r="EY184" s="561">
        <v>859</v>
      </c>
      <c r="EZ184" s="561">
        <v>0</v>
      </c>
      <c r="FA184" s="561">
        <v>5000</v>
      </c>
      <c r="FB184" s="561">
        <v>219</v>
      </c>
      <c r="FC184" s="561">
        <v>379</v>
      </c>
      <c r="FD184" s="561">
        <v>0</v>
      </c>
      <c r="FE184" s="561">
        <v>1312</v>
      </c>
      <c r="FF184" s="561">
        <v>1102</v>
      </c>
      <c r="FG184" s="561">
        <v>0</v>
      </c>
      <c r="FH184" s="561">
        <v>0</v>
      </c>
      <c r="FI184" s="561">
        <v>0</v>
      </c>
      <c r="FJ184" s="561">
        <v>-357</v>
      </c>
      <c r="FK184" s="561">
        <v>5465</v>
      </c>
      <c r="FL184" s="561">
        <v>0</v>
      </c>
      <c r="FM184" s="561">
        <v>0</v>
      </c>
      <c r="FN184" s="561">
        <v>6456</v>
      </c>
      <c r="FO184" s="561">
        <v>14576</v>
      </c>
      <c r="FP184" s="561">
        <v>34</v>
      </c>
      <c r="FQ184" s="561">
        <v>412</v>
      </c>
      <c r="FR184" s="561">
        <v>513</v>
      </c>
      <c r="FS184" s="561">
        <v>0</v>
      </c>
      <c r="FT184" s="561">
        <v>1149</v>
      </c>
      <c r="FU184" s="561">
        <v>4374</v>
      </c>
      <c r="FV184" s="561">
        <v>2048</v>
      </c>
      <c r="FW184" s="561">
        <v>1351</v>
      </c>
      <c r="FX184" s="561">
        <v>0</v>
      </c>
      <c r="FY184" s="561">
        <v>0</v>
      </c>
      <c r="FZ184" s="561">
        <v>164</v>
      </c>
      <c r="GA184" s="561">
        <v>377</v>
      </c>
      <c r="GB184" s="561">
        <v>28</v>
      </c>
      <c r="GC184" s="561">
        <v>191</v>
      </c>
      <c r="GD184" s="561">
        <v>918</v>
      </c>
      <c r="GE184" s="561">
        <v>2777</v>
      </c>
      <c r="GF184" s="561">
        <v>384</v>
      </c>
      <c r="GG184" s="561">
        <v>0</v>
      </c>
      <c r="GH184" s="561">
        <v>0</v>
      </c>
      <c r="GI184" s="561">
        <v>0</v>
      </c>
      <c r="GJ184" s="561">
        <v>0</v>
      </c>
      <c r="GK184" s="561">
        <v>0</v>
      </c>
      <c r="GL184" s="561">
        <v>7315</v>
      </c>
      <c r="GM184" s="561">
        <v>8018</v>
      </c>
      <c r="GN184" s="561">
        <v>4826</v>
      </c>
      <c r="GO184" s="561">
        <v>335</v>
      </c>
      <c r="GP184" s="561">
        <v>5917</v>
      </c>
      <c r="GQ184" s="561">
        <v>0</v>
      </c>
      <c r="GR184" s="561">
        <v>783</v>
      </c>
      <c r="GS184" s="561">
        <v>41880</v>
      </c>
      <c r="GT184" s="561">
        <v>510</v>
      </c>
      <c r="GU184" s="561">
        <v>1362</v>
      </c>
      <c r="GV184" s="561">
        <v>1835</v>
      </c>
      <c r="GW184" s="561">
        <v>853</v>
      </c>
      <c r="GX184" s="561">
        <v>1706</v>
      </c>
      <c r="GY184" s="561">
        <v>284</v>
      </c>
      <c r="GZ184" s="561">
        <v>925</v>
      </c>
      <c r="HA184" s="561">
        <v>0</v>
      </c>
      <c r="HB184" s="561">
        <v>0</v>
      </c>
      <c r="HC184" s="561">
        <v>5653</v>
      </c>
      <c r="HD184" s="561">
        <v>12618</v>
      </c>
      <c r="HE184" s="561">
        <v>12</v>
      </c>
      <c r="HF184" s="561">
        <v>69074</v>
      </c>
      <c r="HG184" s="561">
        <v>0</v>
      </c>
      <c r="HH184" s="561">
        <v>0</v>
      </c>
      <c r="HI184" s="561">
        <v>0</v>
      </c>
      <c r="HJ184" s="561">
        <v>0</v>
      </c>
      <c r="HK184" s="561">
        <v>0</v>
      </c>
      <c r="HL184" s="561">
        <v>0</v>
      </c>
      <c r="HM184" s="561">
        <v>0</v>
      </c>
      <c r="HN184" s="561">
        <v>0</v>
      </c>
      <c r="HO184" s="561">
        <v>10528</v>
      </c>
      <c r="HP184" s="561">
        <v>2490</v>
      </c>
      <c r="HQ184" s="561">
        <v>0</v>
      </c>
      <c r="HR184" s="561">
        <v>0</v>
      </c>
      <c r="HS184" s="561">
        <v>0</v>
      </c>
      <c r="HT184" s="561">
        <v>570</v>
      </c>
      <c r="HU184" s="561">
        <v>0</v>
      </c>
      <c r="HV184" s="561">
        <v>1254</v>
      </c>
      <c r="HW184" s="561">
        <v>956</v>
      </c>
      <c r="HX184" s="561">
        <v>501</v>
      </c>
      <c r="HY184" s="561">
        <v>594</v>
      </c>
      <c r="HZ184" s="561">
        <v>-879</v>
      </c>
      <c r="IA184" s="561">
        <v>5081</v>
      </c>
      <c r="IB184" s="561">
        <v>0</v>
      </c>
      <c r="IC184" s="561">
        <v>442</v>
      </c>
      <c r="ID184" s="561">
        <v>0</v>
      </c>
      <c r="IE184" s="561">
        <v>348</v>
      </c>
      <c r="IF184" s="561">
        <v>0</v>
      </c>
      <c r="IG184" s="561">
        <v>0</v>
      </c>
      <c r="IH184" s="561">
        <v>-102</v>
      </c>
      <c r="II184" s="561">
        <v>21783</v>
      </c>
      <c r="IJ184" s="561">
        <v>6938</v>
      </c>
      <c r="IK184" s="561">
        <v>0</v>
      </c>
      <c r="IL184" s="561">
        <v>58617</v>
      </c>
      <c r="IM184" s="561">
        <v>0</v>
      </c>
      <c r="IN184" s="561">
        <v>0</v>
      </c>
      <c r="IO184" s="561">
        <v>1180</v>
      </c>
      <c r="IP184" s="561">
        <v>-6139</v>
      </c>
      <c r="IQ184" s="561">
        <v>0</v>
      </c>
      <c r="IR184" s="561">
        <v>105485</v>
      </c>
      <c r="IS184" s="561">
        <v>-34048</v>
      </c>
      <c r="IT184" s="561">
        <v>50253</v>
      </c>
      <c r="IU184" s="561">
        <v>71134</v>
      </c>
      <c r="IV184" s="561">
        <v>26154</v>
      </c>
      <c r="IW184" s="561">
        <v>44619</v>
      </c>
      <c r="IX184" s="561">
        <v>14576</v>
      </c>
      <c r="IY184" s="561">
        <v>41880</v>
      </c>
      <c r="IZ184" s="561">
        <v>12618</v>
      </c>
      <c r="JA184" s="561">
        <v>0</v>
      </c>
      <c r="JB184" s="561">
        <v>0</v>
      </c>
      <c r="JC184" s="561">
        <v>21783</v>
      </c>
      <c r="JD184" s="561">
        <v>-6139</v>
      </c>
      <c r="JE184" s="561">
        <v>348315</v>
      </c>
      <c r="JF184" s="561">
        <v>63892</v>
      </c>
      <c r="JG184" s="561">
        <v>28506</v>
      </c>
      <c r="JH184" s="561">
        <v>21939</v>
      </c>
      <c r="JI184" s="561">
        <v>0</v>
      </c>
      <c r="JJ184" s="561">
        <v>0</v>
      </c>
      <c r="JK184" s="561">
        <v>0</v>
      </c>
      <c r="JL184" s="561">
        <v>0</v>
      </c>
      <c r="JM184" s="561">
        <v>957</v>
      </c>
      <c r="JN184" s="561">
        <v>1382</v>
      </c>
      <c r="JO184" s="561">
        <v>2429</v>
      </c>
      <c r="JP184" s="561">
        <v>0</v>
      </c>
      <c r="JQ184" s="561">
        <v>599</v>
      </c>
      <c r="JR184" s="561">
        <v>0</v>
      </c>
      <c r="JS184" s="561">
        <v>0</v>
      </c>
      <c r="JT184" s="561">
        <v>0</v>
      </c>
      <c r="JU184" s="561">
        <v>-17</v>
      </c>
      <c r="JV184" s="561">
        <v>468002</v>
      </c>
      <c r="JW184" s="561">
        <v>235</v>
      </c>
      <c r="JX184" s="561">
        <v>2186</v>
      </c>
      <c r="JY184" s="561">
        <v>0</v>
      </c>
      <c r="JZ184" s="561">
        <v>0</v>
      </c>
      <c r="KA184" s="561">
        <v>0</v>
      </c>
      <c r="KB184" s="561">
        <v>7555</v>
      </c>
      <c r="KC184" s="561">
        <v>12239</v>
      </c>
      <c r="KD184" s="561">
        <v>448</v>
      </c>
      <c r="KE184" s="561">
        <v>14754</v>
      </c>
      <c r="KF184" s="561">
        <v>-9275</v>
      </c>
      <c r="KG184" s="561">
        <v>496144</v>
      </c>
      <c r="KH184" s="561">
        <v>-14993</v>
      </c>
      <c r="KI184" s="561">
        <v>0</v>
      </c>
      <c r="KJ184" s="561">
        <v>110</v>
      </c>
      <c r="KK184" s="561">
        <v>0</v>
      </c>
      <c r="KL184" s="561">
        <v>-114176</v>
      </c>
      <c r="KM184" s="561">
        <v>0</v>
      </c>
      <c r="KN184" s="561">
        <v>0</v>
      </c>
      <c r="KO184" s="561">
        <v>0</v>
      </c>
      <c r="KP184" s="561">
        <v>0</v>
      </c>
      <c r="KQ184" s="561">
        <v>0</v>
      </c>
      <c r="KR184" s="561">
        <v>367085</v>
      </c>
      <c r="KS184" s="561">
        <v>0</v>
      </c>
      <c r="KT184" s="561">
        <v>-185430</v>
      </c>
      <c r="KU184" s="561">
        <v>181655</v>
      </c>
      <c r="KV184" s="561">
        <v>0</v>
      </c>
      <c r="KW184" s="561">
        <v>-2108</v>
      </c>
      <c r="KX184" s="561">
        <v>840</v>
      </c>
      <c r="KY184" s="561">
        <v>-823</v>
      </c>
      <c r="KZ184" s="561">
        <v>-18783</v>
      </c>
      <c r="LA184" s="561">
        <v>0</v>
      </c>
      <c r="LB184" s="561">
        <v>-13875</v>
      </c>
      <c r="LC184" s="561">
        <v>0</v>
      </c>
      <c r="LD184" s="561">
        <v>-42854</v>
      </c>
      <c r="LE184" s="561">
        <v>605</v>
      </c>
      <c r="LF184" s="561">
        <v>0</v>
      </c>
      <c r="LG184" s="561">
        <v>104657</v>
      </c>
      <c r="LH184" s="561">
        <v>6969</v>
      </c>
      <c r="LI184" s="561">
        <v>-7606</v>
      </c>
      <c r="LJ184" s="561">
        <v>3479</v>
      </c>
      <c r="LK184" s="561">
        <v>9157</v>
      </c>
      <c r="LL184" s="561">
        <v>96043</v>
      </c>
      <c r="LM184" s="561">
        <v>10000</v>
      </c>
      <c r="LN184" s="561">
        <v>4861</v>
      </c>
      <c r="LO184" s="561">
        <v>-7606</v>
      </c>
      <c r="LP184" s="561">
        <v>4319</v>
      </c>
      <c r="LQ184" s="561">
        <v>8334</v>
      </c>
      <c r="LR184" s="561">
        <v>77260</v>
      </c>
      <c r="LS184" s="561">
        <v>10000</v>
      </c>
      <c r="LT184" s="561">
        <v>0</v>
      </c>
      <c r="LU184" s="561">
        <v>18526</v>
      </c>
      <c r="LV184" s="561">
        <v>0</v>
      </c>
      <c r="LW184" s="561">
        <v>7825</v>
      </c>
      <c r="LX184" s="561">
        <v>-53322</v>
      </c>
      <c r="LY184" s="561">
        <v>11533</v>
      </c>
      <c r="LZ184" s="561">
        <v>-20805</v>
      </c>
      <c r="MA184" s="561">
        <v>0</v>
      </c>
      <c r="MB184" s="561">
        <v>0</v>
      </c>
      <c r="MC184" s="561">
        <v>75546</v>
      </c>
      <c r="MD184" s="561">
        <v>75546</v>
      </c>
      <c r="ME184" s="561">
        <v>0</v>
      </c>
      <c r="MF184" s="561">
        <v>5000</v>
      </c>
      <c r="MG184" s="561">
        <v>5000</v>
      </c>
      <c r="MH184" s="561">
        <v>5892</v>
      </c>
      <c r="MI184" s="561">
        <v>8960</v>
      </c>
      <c r="MJ184" s="561">
        <v>14852</v>
      </c>
      <c r="MK184" s="561">
        <v>0</v>
      </c>
      <c r="ML184" s="561">
        <v>20444</v>
      </c>
      <c r="MM184" s="561">
        <v>35555</v>
      </c>
      <c r="MN184" s="561">
        <v>0</v>
      </c>
      <c r="MO184" s="561">
        <v>16942</v>
      </c>
      <c r="MP184" s="561">
        <v>4319</v>
      </c>
      <c r="MQ184" s="561">
        <v>105485</v>
      </c>
      <c r="MR184" s="561">
        <v>-34048</v>
      </c>
      <c r="MS184" s="561">
        <v>50253</v>
      </c>
      <c r="MT184" s="561">
        <v>71134</v>
      </c>
      <c r="MU184" s="561">
        <v>26154</v>
      </c>
      <c r="MV184" s="561">
        <v>44619</v>
      </c>
      <c r="MW184" s="561">
        <v>14576</v>
      </c>
      <c r="MX184" s="561">
        <v>41880</v>
      </c>
      <c r="MY184" s="561">
        <v>12618</v>
      </c>
      <c r="MZ184" s="561">
        <v>0</v>
      </c>
      <c r="NA184" s="561">
        <v>0</v>
      </c>
      <c r="NB184" s="561">
        <v>21783</v>
      </c>
      <c r="NC184" s="561">
        <v>-6139</v>
      </c>
      <c r="ND184" s="561">
        <v>348315</v>
      </c>
      <c r="NE184" s="561">
        <v>0</v>
      </c>
      <c r="NF184" s="561">
        <v>0</v>
      </c>
      <c r="NG184" s="561">
        <v>0</v>
      </c>
      <c r="NH184" s="561">
        <v>0</v>
      </c>
      <c r="NI184" s="561">
        <v>0</v>
      </c>
      <c r="NJ184" s="561">
        <v>0</v>
      </c>
      <c r="NK184" s="561">
        <v>0</v>
      </c>
      <c r="NL184" s="561">
        <v>0</v>
      </c>
      <c r="NM184" s="561">
        <v>0</v>
      </c>
      <c r="NN184" s="561">
        <v>0</v>
      </c>
      <c r="NO184" s="561">
        <v>0</v>
      </c>
      <c r="NP184" s="561">
        <v>0</v>
      </c>
      <c r="NQ184" s="561">
        <v>0</v>
      </c>
      <c r="NR184" s="561">
        <v>0</v>
      </c>
      <c r="NS184" s="561">
        <v>0</v>
      </c>
      <c r="NT184" s="561">
        <v>0</v>
      </c>
      <c r="NU184" s="561">
        <v>-10966</v>
      </c>
      <c r="NV184" s="561">
        <v>0</v>
      </c>
      <c r="NW184" s="561">
        <v>0</v>
      </c>
      <c r="NX184" s="561">
        <v>0</v>
      </c>
      <c r="NY184" s="561">
        <v>0</v>
      </c>
      <c r="NZ184" s="561">
        <v>0</v>
      </c>
      <c r="OA184" s="561">
        <v>0</v>
      </c>
      <c r="OB184" s="561">
        <v>0</v>
      </c>
      <c r="OC184" s="561">
        <v>0</v>
      </c>
      <c r="OD184" s="561">
        <v>0</v>
      </c>
      <c r="OE184" s="561">
        <v>0</v>
      </c>
      <c r="OF184" s="561">
        <v>0</v>
      </c>
      <c r="OG184" s="561">
        <v>0</v>
      </c>
      <c r="OH184" s="561">
        <v>0</v>
      </c>
      <c r="OI184" s="561">
        <v>0</v>
      </c>
      <c r="OJ184" s="561">
        <v>0</v>
      </c>
      <c r="OK184" s="561">
        <v>0</v>
      </c>
      <c r="OL184" s="561">
        <v>0</v>
      </c>
      <c r="OM184" s="561">
        <v>0</v>
      </c>
      <c r="ON184" s="561">
        <v>0</v>
      </c>
      <c r="OO184" s="561">
        <v>0</v>
      </c>
      <c r="OP184" s="561">
        <v>0</v>
      </c>
      <c r="OQ184" s="561">
        <v>0</v>
      </c>
      <c r="OR184" s="561">
        <v>0</v>
      </c>
      <c r="OS184" s="561">
        <v>0</v>
      </c>
      <c r="OT184" s="561">
        <v>599</v>
      </c>
      <c r="OU184" s="561">
        <v>0</v>
      </c>
      <c r="OV184" s="561">
        <v>41</v>
      </c>
      <c r="OW184" s="561">
        <v>0</v>
      </c>
      <c r="OX184" s="561">
        <v>599</v>
      </c>
      <c r="OY184" s="561">
        <v>0</v>
      </c>
      <c r="OZ184" s="561">
        <v>0</v>
      </c>
      <c r="PA184" s="561">
        <v>0</v>
      </c>
      <c r="PB184" s="561">
        <v>0</v>
      </c>
      <c r="PC184" s="561">
        <v>0</v>
      </c>
      <c r="PD184" s="561">
        <v>0</v>
      </c>
      <c r="PE184" s="561">
        <v>0</v>
      </c>
      <c r="PF184" s="561">
        <v>0</v>
      </c>
      <c r="PG184" s="561">
        <v>0</v>
      </c>
      <c r="PH184" s="561">
        <v>0</v>
      </c>
      <c r="PI184" s="561">
        <v>0</v>
      </c>
      <c r="PJ184" s="561">
        <v>0</v>
      </c>
    </row>
    <row r="185" spans="1:426" ht="14" x14ac:dyDescent="0.3">
      <c r="A185" t="s">
        <v>2993</v>
      </c>
      <c r="B185" t="s">
        <v>2994</v>
      </c>
      <c r="C185" t="s">
        <v>4614</v>
      </c>
      <c r="E185" t="s">
        <v>2595</v>
      </c>
      <c r="F185" s="561">
        <v>155711.85999999999</v>
      </c>
      <c r="G185" s="561">
        <v>446866.19</v>
      </c>
      <c r="H185" s="561">
        <v>171955.57</v>
      </c>
      <c r="I185" s="561">
        <v>277174.21999999997</v>
      </c>
      <c r="J185" s="561">
        <v>22155.18</v>
      </c>
      <c r="K185" s="561">
        <v>168445.65</v>
      </c>
      <c r="L185" s="561">
        <v>1242308.67</v>
      </c>
      <c r="M185" s="561">
        <v>12886.31</v>
      </c>
      <c r="N185" s="561">
        <v>889</v>
      </c>
      <c r="O185" s="561">
        <v>8568</v>
      </c>
      <c r="P185" s="561">
        <v>548</v>
      </c>
      <c r="Q185" s="561">
        <v>6</v>
      </c>
      <c r="R185" s="561">
        <v>5634</v>
      </c>
      <c r="S185" s="561">
        <v>6810</v>
      </c>
      <c r="T185" s="561">
        <v>27297</v>
      </c>
      <c r="U185" s="561">
        <v>4590</v>
      </c>
      <c r="V185" s="561">
        <v>6382</v>
      </c>
      <c r="W185" s="561">
        <v>0</v>
      </c>
      <c r="X185" s="561">
        <v>0</v>
      </c>
      <c r="Y185" s="561">
        <v>2459</v>
      </c>
      <c r="Z185" s="561">
        <v>4406</v>
      </c>
      <c r="AA185" s="561">
        <v>0</v>
      </c>
      <c r="AB185" s="561">
        <v>0</v>
      </c>
      <c r="AC185" s="561">
        <v>16824</v>
      </c>
      <c r="AD185" s="561">
        <v>5480</v>
      </c>
      <c r="AE185" s="561">
        <v>6854</v>
      </c>
      <c r="AF185" s="561">
        <v>0</v>
      </c>
      <c r="AG185" s="561">
        <v>1</v>
      </c>
      <c r="AH185" s="561">
        <v>582</v>
      </c>
      <c r="AI185" s="561">
        <v>0</v>
      </c>
      <c r="AJ185" s="561">
        <v>97330</v>
      </c>
      <c r="AK185" s="561">
        <v>0</v>
      </c>
      <c r="AL185" s="561">
        <v>0</v>
      </c>
      <c r="AM185" s="561">
        <v>0</v>
      </c>
      <c r="AN185" s="561">
        <v>0</v>
      </c>
      <c r="AO185" s="561">
        <v>0</v>
      </c>
      <c r="AP185" s="561">
        <v>0</v>
      </c>
      <c r="AQ185" s="561">
        <v>0</v>
      </c>
      <c r="AR185" s="561">
        <v>0</v>
      </c>
      <c r="AS185" s="561">
        <v>0</v>
      </c>
      <c r="AT185" s="561">
        <v>0</v>
      </c>
      <c r="AU185" s="561">
        <v>0</v>
      </c>
      <c r="AV185" s="561">
        <v>0</v>
      </c>
      <c r="AW185" s="561">
        <v>0</v>
      </c>
      <c r="AX185" s="561">
        <v>265</v>
      </c>
      <c r="AY185" s="561">
        <v>217184.6</v>
      </c>
      <c r="AZ185" s="561">
        <v>0</v>
      </c>
      <c r="BA185" s="561">
        <v>47243.21</v>
      </c>
      <c r="BB185" s="561">
        <v>2756.53</v>
      </c>
      <c r="BC185" s="561">
        <v>84680.08</v>
      </c>
      <c r="BD185" s="561">
        <v>0</v>
      </c>
      <c r="BE185" s="561">
        <v>3337.5</v>
      </c>
      <c r="BF185" s="561">
        <v>355466.92</v>
      </c>
      <c r="BG185" s="561">
        <v>15615.97</v>
      </c>
      <c r="BH185" s="561">
        <v>61232</v>
      </c>
      <c r="BI185" s="561">
        <v>180196</v>
      </c>
      <c r="BJ185" s="561">
        <v>2165</v>
      </c>
      <c r="BK185" s="561">
        <v>2745</v>
      </c>
      <c r="BL185" s="561">
        <v>9755</v>
      </c>
      <c r="BM185" s="561">
        <v>13700</v>
      </c>
      <c r="BN185" s="561">
        <v>242656</v>
      </c>
      <c r="BO185" s="561">
        <v>21315</v>
      </c>
      <c r="BP185" s="561">
        <v>47224</v>
      </c>
      <c r="BQ185" s="561">
        <v>8945</v>
      </c>
      <c r="BR185" s="561">
        <v>0</v>
      </c>
      <c r="BS185" s="561">
        <v>0</v>
      </c>
      <c r="BT185" s="561">
        <v>16222</v>
      </c>
      <c r="BU185" s="561">
        <v>6263</v>
      </c>
      <c r="BV185" s="561">
        <v>4028</v>
      </c>
      <c r="BW185" s="561">
        <v>47430</v>
      </c>
      <c r="BX185" s="561">
        <v>2823</v>
      </c>
      <c r="BY185" s="561">
        <v>54377</v>
      </c>
      <c r="BZ185" s="561">
        <v>721076</v>
      </c>
      <c r="CA185" s="561">
        <v>0</v>
      </c>
      <c r="CB185" s="561">
        <v>8210</v>
      </c>
      <c r="CC185" s="561">
        <v>4244</v>
      </c>
      <c r="CD185" s="561">
        <v>1484</v>
      </c>
      <c r="CE185" s="561">
        <v>2847</v>
      </c>
      <c r="CF185" s="561">
        <v>464</v>
      </c>
      <c r="CG185" s="561">
        <v>563</v>
      </c>
      <c r="CH185" s="561">
        <v>1474</v>
      </c>
      <c r="CI185" s="561">
        <v>1897</v>
      </c>
      <c r="CJ185" s="561">
        <v>74</v>
      </c>
      <c r="CK185" s="561">
        <v>1087</v>
      </c>
      <c r="CL185" s="561">
        <v>0</v>
      </c>
      <c r="CM185" s="561">
        <v>5095</v>
      </c>
      <c r="CN185" s="561">
        <v>5100</v>
      </c>
      <c r="CO185" s="561">
        <v>1982</v>
      </c>
      <c r="CP185" s="561">
        <v>2334</v>
      </c>
      <c r="CQ185" s="561">
        <v>992</v>
      </c>
      <c r="CR185" s="561">
        <v>4143</v>
      </c>
      <c r="CS185" s="561">
        <v>442.78</v>
      </c>
      <c r="CT185" s="561">
        <v>7618.14</v>
      </c>
      <c r="CU185" s="561">
        <v>8814</v>
      </c>
      <c r="CV185" s="561">
        <v>17291.47</v>
      </c>
      <c r="CW185" s="561">
        <v>101</v>
      </c>
      <c r="CX185" s="561">
        <v>5488.64</v>
      </c>
      <c r="CY185" s="561">
        <v>6557.47</v>
      </c>
      <c r="CZ185" s="561">
        <v>88303.5</v>
      </c>
      <c r="DA185" s="561">
        <v>0</v>
      </c>
      <c r="DB185" s="561">
        <v>0</v>
      </c>
      <c r="DC185" s="561">
        <v>0</v>
      </c>
      <c r="DD185" s="561">
        <v>0</v>
      </c>
      <c r="DE185" s="561">
        <v>0</v>
      </c>
      <c r="DF185" s="561">
        <v>0</v>
      </c>
      <c r="DG185" s="561">
        <v>0</v>
      </c>
      <c r="DH185" s="561">
        <v>0</v>
      </c>
      <c r="DI185" s="561">
        <v>0</v>
      </c>
      <c r="DJ185" s="561">
        <v>0</v>
      </c>
      <c r="DK185" s="561">
        <v>157</v>
      </c>
      <c r="DL185" s="561">
        <v>0</v>
      </c>
      <c r="DM185" s="561">
        <v>0</v>
      </c>
      <c r="DN185" s="561">
        <v>0</v>
      </c>
      <c r="DO185" s="561">
        <v>0</v>
      </c>
      <c r="DP185" s="561">
        <v>0</v>
      </c>
      <c r="DQ185" s="561">
        <v>25</v>
      </c>
      <c r="DR185" s="561">
        <v>0</v>
      </c>
      <c r="DS185" s="561">
        <v>0</v>
      </c>
      <c r="DT185" s="561">
        <v>0</v>
      </c>
      <c r="DU185" s="561">
        <v>25</v>
      </c>
      <c r="DV185" s="561">
        <v>0</v>
      </c>
      <c r="DW185" s="561">
        <v>0</v>
      </c>
      <c r="DX185" s="561">
        <v>0</v>
      </c>
      <c r="DY185" s="561">
        <v>0</v>
      </c>
      <c r="DZ185" s="561">
        <v>478</v>
      </c>
      <c r="EA185" s="561">
        <v>4836</v>
      </c>
      <c r="EB185" s="561">
        <v>0</v>
      </c>
      <c r="EC185" s="561">
        <v>5496</v>
      </c>
      <c r="ED185" s="561">
        <v>0</v>
      </c>
      <c r="EE185" s="561">
        <v>0</v>
      </c>
      <c r="EF185" s="561">
        <v>0</v>
      </c>
      <c r="EG185" s="561">
        <v>0</v>
      </c>
      <c r="EH185" s="561">
        <v>0</v>
      </c>
      <c r="EI185" s="561">
        <v>0</v>
      </c>
      <c r="EJ185" s="561">
        <v>0</v>
      </c>
      <c r="EK185" s="561">
        <v>0</v>
      </c>
      <c r="EL185" s="561">
        <v>0</v>
      </c>
      <c r="EM185" s="561">
        <v>0</v>
      </c>
      <c r="EN185" s="561">
        <v>0</v>
      </c>
      <c r="EO185" s="561">
        <v>0</v>
      </c>
      <c r="EP185" s="561">
        <v>0</v>
      </c>
      <c r="EQ185" s="561">
        <v>0</v>
      </c>
      <c r="ER185" s="561">
        <v>0</v>
      </c>
      <c r="ES185" s="561" t="s">
        <v>4565</v>
      </c>
      <c r="ET185" s="561">
        <v>0</v>
      </c>
      <c r="EU185" s="561">
        <v>0</v>
      </c>
      <c r="EV185" s="561">
        <v>0</v>
      </c>
      <c r="EW185" s="561">
        <v>0</v>
      </c>
      <c r="EX185" s="561">
        <v>0</v>
      </c>
      <c r="EY185" s="561">
        <v>0</v>
      </c>
      <c r="EZ185" s="561">
        <v>0</v>
      </c>
      <c r="FA185" s="561">
        <v>0</v>
      </c>
      <c r="FB185" s="561">
        <v>1243</v>
      </c>
      <c r="FC185" s="561">
        <v>1534</v>
      </c>
      <c r="FD185" s="561">
        <v>416</v>
      </c>
      <c r="FE185" s="561">
        <v>0</v>
      </c>
      <c r="FF185" s="561">
        <v>0</v>
      </c>
      <c r="FG185" s="561">
        <v>55</v>
      </c>
      <c r="FH185" s="561">
        <v>0</v>
      </c>
      <c r="FI185" s="561">
        <v>401</v>
      </c>
      <c r="FJ185" s="561">
        <v>93</v>
      </c>
      <c r="FK185" s="561">
        <v>5228</v>
      </c>
      <c r="FL185" s="561">
        <v>0</v>
      </c>
      <c r="FM185" s="561">
        <v>201</v>
      </c>
      <c r="FN185" s="561">
        <v>19728</v>
      </c>
      <c r="FO185" s="561">
        <v>28899</v>
      </c>
      <c r="FP185" s="561">
        <v>0</v>
      </c>
      <c r="FQ185" s="561">
        <v>0</v>
      </c>
      <c r="FR185" s="561">
        <v>3822</v>
      </c>
      <c r="FS185" s="561">
        <v>0</v>
      </c>
      <c r="FT185" s="561">
        <v>0</v>
      </c>
      <c r="FU185" s="561">
        <v>0</v>
      </c>
      <c r="FV185" s="561">
        <v>0</v>
      </c>
      <c r="FW185" s="561">
        <v>0</v>
      </c>
      <c r="FX185" s="561">
        <v>0</v>
      </c>
      <c r="FY185" s="561">
        <v>0</v>
      </c>
      <c r="FZ185" s="561">
        <v>0</v>
      </c>
      <c r="GA185" s="561">
        <v>0</v>
      </c>
      <c r="GB185" s="561">
        <v>0</v>
      </c>
      <c r="GC185" s="561">
        <v>0</v>
      </c>
      <c r="GD185" s="561">
        <v>0</v>
      </c>
      <c r="GE185" s="561">
        <v>1282</v>
      </c>
      <c r="GF185" s="561">
        <v>0</v>
      </c>
      <c r="GG185" s="561">
        <v>0</v>
      </c>
      <c r="GH185" s="561">
        <v>130</v>
      </c>
      <c r="GI185" s="561">
        <v>0</v>
      </c>
      <c r="GJ185" s="561">
        <v>269</v>
      </c>
      <c r="GK185" s="561">
        <v>0</v>
      </c>
      <c r="GL185" s="561">
        <v>0</v>
      </c>
      <c r="GM185" s="561">
        <v>0</v>
      </c>
      <c r="GN185" s="561">
        <v>81331.83</v>
      </c>
      <c r="GO185" s="561">
        <v>-387</v>
      </c>
      <c r="GP185" s="561">
        <v>13592</v>
      </c>
      <c r="GQ185" s="561">
        <v>1448</v>
      </c>
      <c r="GR185" s="561">
        <v>-31</v>
      </c>
      <c r="GS185" s="561">
        <v>101456.83</v>
      </c>
      <c r="GT185" s="561">
        <v>0</v>
      </c>
      <c r="GU185" s="561">
        <v>10</v>
      </c>
      <c r="GV185" s="561">
        <v>2488</v>
      </c>
      <c r="GW185" s="561">
        <v>0</v>
      </c>
      <c r="GX185" s="561">
        <v>944</v>
      </c>
      <c r="GY185" s="561">
        <v>3733</v>
      </c>
      <c r="GZ185" s="561">
        <v>2078</v>
      </c>
      <c r="HA185" s="561">
        <v>0</v>
      </c>
      <c r="HB185" s="561">
        <v>693</v>
      </c>
      <c r="HC185" s="561">
        <v>1757</v>
      </c>
      <c r="HD185" s="561">
        <v>11703</v>
      </c>
      <c r="HE185" s="561">
        <v>0</v>
      </c>
      <c r="HF185" s="561">
        <v>142058.82999999999</v>
      </c>
      <c r="HG185" s="561">
        <v>0</v>
      </c>
      <c r="HH185" s="561">
        <v>0</v>
      </c>
      <c r="HI185" s="561">
        <v>0</v>
      </c>
      <c r="HJ185" s="561">
        <v>0</v>
      </c>
      <c r="HK185" s="561">
        <v>0</v>
      </c>
      <c r="HL185" s="561">
        <v>0</v>
      </c>
      <c r="HM185" s="561">
        <v>0</v>
      </c>
      <c r="HN185" s="561">
        <v>0</v>
      </c>
      <c r="HO185" s="561">
        <v>15267.07</v>
      </c>
      <c r="HP185" s="561">
        <v>0</v>
      </c>
      <c r="HQ185" s="561">
        <v>0</v>
      </c>
      <c r="HR185" s="561">
        <v>0</v>
      </c>
      <c r="HS185" s="561">
        <v>0</v>
      </c>
      <c r="HT185" s="561">
        <v>0</v>
      </c>
      <c r="HU185" s="561">
        <v>0</v>
      </c>
      <c r="HV185" s="561">
        <v>390</v>
      </c>
      <c r="HW185" s="561">
        <v>0</v>
      </c>
      <c r="HX185" s="561">
        <v>307</v>
      </c>
      <c r="HY185" s="561">
        <v>788</v>
      </c>
      <c r="HZ185" s="561">
        <v>0</v>
      </c>
      <c r="IA185" s="561">
        <v>18505</v>
      </c>
      <c r="IB185" s="561">
        <v>0</v>
      </c>
      <c r="IC185" s="561">
        <v>6613</v>
      </c>
      <c r="ID185" s="561">
        <v>0</v>
      </c>
      <c r="IE185" s="561">
        <v>13723.09</v>
      </c>
      <c r="IF185" s="561">
        <v>0</v>
      </c>
      <c r="IG185" s="561">
        <v>3924</v>
      </c>
      <c r="IH185" s="561">
        <v>-794.77</v>
      </c>
      <c r="II185" s="561">
        <v>58722.39</v>
      </c>
      <c r="IJ185" s="561">
        <v>3849</v>
      </c>
      <c r="IK185" s="561">
        <v>112082.28</v>
      </c>
      <c r="IL185" s="561">
        <v>6942</v>
      </c>
      <c r="IM185" s="561">
        <v>36</v>
      </c>
      <c r="IN185" s="561">
        <v>5840</v>
      </c>
      <c r="IO185" s="561">
        <v>6544.98</v>
      </c>
      <c r="IP185" s="561">
        <v>0</v>
      </c>
      <c r="IQ185" s="561">
        <v>0</v>
      </c>
      <c r="IR185" s="561">
        <v>1242308.67</v>
      </c>
      <c r="IS185" s="561">
        <v>97330</v>
      </c>
      <c r="IT185" s="561">
        <v>355466.92</v>
      </c>
      <c r="IU185" s="561">
        <v>721076</v>
      </c>
      <c r="IV185" s="561">
        <v>88303.5</v>
      </c>
      <c r="IW185" s="561">
        <v>5496</v>
      </c>
      <c r="IX185" s="561">
        <v>28899</v>
      </c>
      <c r="IY185" s="561">
        <v>101456.83</v>
      </c>
      <c r="IZ185" s="561">
        <v>11703</v>
      </c>
      <c r="JA185" s="561">
        <v>0</v>
      </c>
      <c r="JB185" s="561">
        <v>0</v>
      </c>
      <c r="JC185" s="561">
        <v>58722.39</v>
      </c>
      <c r="JD185" s="561">
        <v>0</v>
      </c>
      <c r="JE185" s="561">
        <v>2710762.31</v>
      </c>
      <c r="JF185" s="561">
        <v>0</v>
      </c>
      <c r="JG185" s="561">
        <v>0</v>
      </c>
      <c r="JH185" s="561">
        <v>0</v>
      </c>
      <c r="JI185" s="561">
        <v>0</v>
      </c>
      <c r="JJ185" s="561">
        <v>0</v>
      </c>
      <c r="JK185" s="561">
        <v>0</v>
      </c>
      <c r="JL185" s="561">
        <v>0</v>
      </c>
      <c r="JM185" s="561">
        <v>0</v>
      </c>
      <c r="JN185" s="561">
        <v>0</v>
      </c>
      <c r="JO185" s="561">
        <v>1905.44</v>
      </c>
      <c r="JP185" s="561">
        <v>-2512</v>
      </c>
      <c r="JQ185" s="561">
        <v>-303</v>
      </c>
      <c r="JR185" s="561">
        <v>0</v>
      </c>
      <c r="JS185" s="561">
        <v>0</v>
      </c>
      <c r="JT185" s="561">
        <v>603.57000000000005</v>
      </c>
      <c r="JU185" s="561">
        <v>-12092.28</v>
      </c>
      <c r="JV185" s="561">
        <v>2698364.04</v>
      </c>
      <c r="JW185" s="561">
        <v>492.9</v>
      </c>
      <c r="JX185" s="561">
        <v>17466.259999999998</v>
      </c>
      <c r="JY185" s="561">
        <v>2</v>
      </c>
      <c r="JZ185" s="561">
        <v>-7688</v>
      </c>
      <c r="KA185" s="561">
        <v>0</v>
      </c>
      <c r="KB185" s="561">
        <v>9127.07</v>
      </c>
      <c r="KC185" s="561">
        <v>53213.04</v>
      </c>
      <c r="KD185" s="561">
        <v>0</v>
      </c>
      <c r="KE185" s="561">
        <v>31966.18</v>
      </c>
      <c r="KF185" s="561">
        <v>0</v>
      </c>
      <c r="KG185" s="561">
        <v>2802943.49</v>
      </c>
      <c r="KH185" s="561">
        <v>-16252.05</v>
      </c>
      <c r="KI185" s="561">
        <v>0</v>
      </c>
      <c r="KJ185" s="561">
        <v>2464.8200000000002</v>
      </c>
      <c r="KK185" s="561">
        <v>0</v>
      </c>
      <c r="KL185" s="561">
        <v>-59546.82</v>
      </c>
      <c r="KM185" s="561">
        <v>0</v>
      </c>
      <c r="KN185" s="561">
        <v>0</v>
      </c>
      <c r="KO185" s="561">
        <v>0</v>
      </c>
      <c r="KP185" s="561">
        <v>0</v>
      </c>
      <c r="KQ185" s="561">
        <v>-30315.22</v>
      </c>
      <c r="KR185" s="561">
        <v>2699294.22</v>
      </c>
      <c r="KS185" s="561">
        <v>-3682.54</v>
      </c>
      <c r="KT185" s="561">
        <v>-1447399.67</v>
      </c>
      <c r="KU185" s="561">
        <v>1248212.01</v>
      </c>
      <c r="KV185" s="561">
        <v>0</v>
      </c>
      <c r="KW185" s="561">
        <v>-144.04</v>
      </c>
      <c r="KX185" s="561">
        <v>0</v>
      </c>
      <c r="KY185" s="561">
        <v>-263.93</v>
      </c>
      <c r="KZ185" s="561">
        <v>-59218.11</v>
      </c>
      <c r="LA185" s="561">
        <v>35532.300000000003</v>
      </c>
      <c r="LB185" s="561">
        <v>-11806</v>
      </c>
      <c r="LC185" s="561">
        <v>0</v>
      </c>
      <c r="LD185" s="561">
        <v>-274084.03999999998</v>
      </c>
      <c r="LE185" s="561">
        <v>-2515.5</v>
      </c>
      <c r="LF185" s="561">
        <v>-44.43</v>
      </c>
      <c r="LG185" s="561">
        <v>935667</v>
      </c>
      <c r="LH185" s="561">
        <v>58634</v>
      </c>
      <c r="LI185" s="561">
        <v>-103430</v>
      </c>
      <c r="LJ185" s="561">
        <v>0</v>
      </c>
      <c r="LK185" s="561">
        <v>16984</v>
      </c>
      <c r="LL185" s="561">
        <v>298112</v>
      </c>
      <c r="LM185" s="561">
        <v>43030</v>
      </c>
      <c r="LN185" s="561">
        <v>58489.96</v>
      </c>
      <c r="LO185" s="561">
        <v>-133745.22</v>
      </c>
      <c r="LP185" s="561">
        <v>0</v>
      </c>
      <c r="LQ185" s="561">
        <v>16720.07</v>
      </c>
      <c r="LR185" s="561">
        <v>238893.89</v>
      </c>
      <c r="LS185" s="561">
        <v>78562.3</v>
      </c>
      <c r="LT185" s="561">
        <v>0</v>
      </c>
      <c r="LU185" s="561">
        <v>112353.67</v>
      </c>
      <c r="LV185" s="561">
        <v>523.91</v>
      </c>
      <c r="LW185" s="561">
        <v>28.84</v>
      </c>
      <c r="LX185" s="561">
        <v>-33097.54</v>
      </c>
      <c r="LY185" s="561">
        <v>51734.31</v>
      </c>
      <c r="LZ185" s="561">
        <v>126738.72</v>
      </c>
      <c r="MA185" s="561">
        <v>0</v>
      </c>
      <c r="MB185" s="561">
        <v>0</v>
      </c>
      <c r="MC185" s="561">
        <v>0</v>
      </c>
      <c r="MD185" s="561">
        <v>0</v>
      </c>
      <c r="ME185" s="561">
        <v>0</v>
      </c>
      <c r="MF185" s="561">
        <v>0</v>
      </c>
      <c r="MG185" s="561">
        <v>0</v>
      </c>
      <c r="MH185" s="561">
        <v>0</v>
      </c>
      <c r="MI185" s="561">
        <v>0</v>
      </c>
      <c r="MJ185" s="561">
        <v>0</v>
      </c>
      <c r="MK185" s="561">
        <v>0</v>
      </c>
      <c r="ML185" s="561">
        <v>22094.38</v>
      </c>
      <c r="MM185" s="561">
        <v>72493.95</v>
      </c>
      <c r="MN185" s="561">
        <v>48772.5</v>
      </c>
      <c r="MO185" s="561">
        <v>62525.59</v>
      </c>
      <c r="MP185" s="561">
        <v>33007.47</v>
      </c>
      <c r="MQ185" s="561">
        <v>1242308.67</v>
      </c>
      <c r="MR185" s="561">
        <v>97330</v>
      </c>
      <c r="MS185" s="561">
        <v>355466.92</v>
      </c>
      <c r="MT185" s="561">
        <v>721076</v>
      </c>
      <c r="MU185" s="561">
        <v>88303.5</v>
      </c>
      <c r="MV185" s="561">
        <v>5496</v>
      </c>
      <c r="MW185" s="561">
        <v>28899</v>
      </c>
      <c r="MX185" s="561">
        <v>101456.83</v>
      </c>
      <c r="MY185" s="561">
        <v>11703</v>
      </c>
      <c r="MZ185" s="561">
        <v>0</v>
      </c>
      <c r="NA185" s="561">
        <v>0</v>
      </c>
      <c r="NB185" s="561">
        <v>58722.39</v>
      </c>
      <c r="NC185" s="561">
        <v>0</v>
      </c>
      <c r="ND185" s="561">
        <v>2710762.31</v>
      </c>
      <c r="NE185" s="561">
        <v>0</v>
      </c>
      <c r="NF185" s="561">
        <v>0</v>
      </c>
      <c r="NG185" s="561">
        <v>0</v>
      </c>
      <c r="NH185" s="561">
        <v>0</v>
      </c>
      <c r="NI185" s="561">
        <v>0</v>
      </c>
      <c r="NJ185" s="561">
        <v>0</v>
      </c>
      <c r="NK185" s="561">
        <v>0</v>
      </c>
      <c r="NL185" s="561">
        <v>0</v>
      </c>
      <c r="NM185" s="561">
        <v>0</v>
      </c>
      <c r="NN185" s="561">
        <v>0</v>
      </c>
      <c r="NO185" s="561">
        <v>0</v>
      </c>
      <c r="NP185" s="561">
        <v>0</v>
      </c>
      <c r="NQ185" s="561">
        <v>0</v>
      </c>
      <c r="NR185" s="561">
        <v>0</v>
      </c>
      <c r="NS185" s="561">
        <v>0</v>
      </c>
      <c r="NT185" s="561">
        <v>0</v>
      </c>
      <c r="NU185" s="561">
        <v>-2045</v>
      </c>
      <c r="NV185" s="561">
        <v>0</v>
      </c>
      <c r="NW185" s="561">
        <v>-2512</v>
      </c>
      <c r="NX185" s="561">
        <v>0</v>
      </c>
      <c r="NY185" s="561">
        <v>-2512</v>
      </c>
      <c r="NZ185" s="561">
        <v>0</v>
      </c>
      <c r="OA185" s="561">
        <v>0</v>
      </c>
      <c r="OB185" s="561">
        <v>0</v>
      </c>
      <c r="OC185" s="561">
        <v>0</v>
      </c>
      <c r="OD185" s="561">
        <v>0</v>
      </c>
      <c r="OE185" s="561">
        <v>0</v>
      </c>
      <c r="OF185" s="561">
        <v>0</v>
      </c>
      <c r="OG185" s="561">
        <v>0</v>
      </c>
      <c r="OH185" s="561">
        <v>0</v>
      </c>
      <c r="OI185" s="561">
        <v>0</v>
      </c>
      <c r="OJ185" s="561">
        <v>0</v>
      </c>
      <c r="OK185" s="561">
        <v>0</v>
      </c>
      <c r="OL185" s="561">
        <v>0</v>
      </c>
      <c r="OM185" s="561">
        <v>0</v>
      </c>
      <c r="ON185" s="561">
        <v>0</v>
      </c>
      <c r="OO185" s="561">
        <v>0</v>
      </c>
      <c r="OP185" s="561">
        <v>0</v>
      </c>
      <c r="OQ185" s="561">
        <v>0</v>
      </c>
      <c r="OR185" s="561">
        <v>0</v>
      </c>
      <c r="OS185" s="561">
        <v>0</v>
      </c>
      <c r="OT185" s="561">
        <v>0</v>
      </c>
      <c r="OU185" s="561">
        <v>0</v>
      </c>
      <c r="OV185" s="561">
        <v>-276.88995</v>
      </c>
      <c r="OW185" s="561">
        <v>0</v>
      </c>
      <c r="OX185" s="561">
        <v>-303</v>
      </c>
      <c r="OY185" s="561">
        <v>0</v>
      </c>
      <c r="OZ185" s="561">
        <v>0</v>
      </c>
      <c r="PA185" s="561">
        <v>0</v>
      </c>
      <c r="PB185" s="561">
        <v>0</v>
      </c>
      <c r="PC185" s="561">
        <v>0</v>
      </c>
      <c r="PD185" s="561">
        <v>0</v>
      </c>
      <c r="PE185" s="561">
        <v>0</v>
      </c>
      <c r="PF185" s="561">
        <v>0</v>
      </c>
      <c r="PG185" s="561">
        <v>0</v>
      </c>
      <c r="PH185" s="561">
        <v>0</v>
      </c>
      <c r="PI185" s="561">
        <v>0</v>
      </c>
      <c r="PJ185" s="561">
        <v>0</v>
      </c>
    </row>
    <row r="186" spans="1:426" ht="14" x14ac:dyDescent="0.3">
      <c r="A186" t="s">
        <v>2996</v>
      </c>
      <c r="B186" t="s">
        <v>2997</v>
      </c>
      <c r="C186" t="s">
        <v>4615</v>
      </c>
      <c r="E186" t="s">
        <v>2466</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61">
        <v>0</v>
      </c>
      <c r="U186" s="561">
        <v>0</v>
      </c>
      <c r="V186" s="561">
        <v>0</v>
      </c>
      <c r="W186" s="561">
        <v>0</v>
      </c>
      <c r="X186" s="561">
        <v>0</v>
      </c>
      <c r="Y186" s="561">
        <v>0</v>
      </c>
      <c r="Z186" s="561">
        <v>0</v>
      </c>
      <c r="AA186" s="561">
        <v>0</v>
      </c>
      <c r="AB186" s="561">
        <v>0</v>
      </c>
      <c r="AC186" s="561">
        <v>0</v>
      </c>
      <c r="AD186" s="561">
        <v>0</v>
      </c>
      <c r="AE186" s="561">
        <v>0</v>
      </c>
      <c r="AF186" s="561">
        <v>0</v>
      </c>
      <c r="AG186" s="561">
        <v>0</v>
      </c>
      <c r="AH186" s="561">
        <v>0</v>
      </c>
      <c r="AI186" s="561">
        <v>0</v>
      </c>
      <c r="AJ186" s="561">
        <v>0</v>
      </c>
      <c r="AK186" s="561">
        <v>0</v>
      </c>
      <c r="AL186" s="561">
        <v>0</v>
      </c>
      <c r="AM186" s="561">
        <v>0</v>
      </c>
      <c r="AN186" s="561">
        <v>0</v>
      </c>
      <c r="AO186" s="561">
        <v>0</v>
      </c>
      <c r="AP186" s="561">
        <v>0</v>
      </c>
      <c r="AQ186" s="561">
        <v>0</v>
      </c>
      <c r="AR186" s="561">
        <v>0</v>
      </c>
      <c r="AS186" s="561">
        <v>0</v>
      </c>
      <c r="AT186" s="561">
        <v>0</v>
      </c>
      <c r="AU186" s="561">
        <v>0</v>
      </c>
      <c r="AV186" s="561">
        <v>0</v>
      </c>
      <c r="AW186" s="561">
        <v>0</v>
      </c>
      <c r="AX186" s="561">
        <v>0</v>
      </c>
      <c r="AY186" s="561">
        <v>0</v>
      </c>
      <c r="AZ186" s="561">
        <v>0</v>
      </c>
      <c r="BA186" s="561">
        <v>0</v>
      </c>
      <c r="BB186" s="561">
        <v>0</v>
      </c>
      <c r="BC186" s="561">
        <v>0</v>
      </c>
      <c r="BD186" s="561">
        <v>0</v>
      </c>
      <c r="BE186" s="561">
        <v>0</v>
      </c>
      <c r="BF186" s="561">
        <v>0</v>
      </c>
      <c r="BG186" s="561">
        <v>0</v>
      </c>
      <c r="BH186" s="561">
        <v>0</v>
      </c>
      <c r="BI186" s="561">
        <v>0</v>
      </c>
      <c r="BJ186" s="561">
        <v>0</v>
      </c>
      <c r="BK186" s="561">
        <v>0</v>
      </c>
      <c r="BL186" s="561">
        <v>0</v>
      </c>
      <c r="BM186" s="561">
        <v>0</v>
      </c>
      <c r="BN186" s="561">
        <v>0</v>
      </c>
      <c r="BO186" s="561">
        <v>0</v>
      </c>
      <c r="BP186" s="561">
        <v>0</v>
      </c>
      <c r="BQ186" s="561">
        <v>0</v>
      </c>
      <c r="BR186" s="561">
        <v>0</v>
      </c>
      <c r="BS186" s="561">
        <v>0</v>
      </c>
      <c r="BT186" s="561">
        <v>0</v>
      </c>
      <c r="BU186" s="561">
        <v>0</v>
      </c>
      <c r="BV186" s="561">
        <v>0</v>
      </c>
      <c r="BW186" s="561">
        <v>0</v>
      </c>
      <c r="BX186" s="561">
        <v>0</v>
      </c>
      <c r="BY186" s="561">
        <v>0</v>
      </c>
      <c r="BZ186" s="561">
        <v>0</v>
      </c>
      <c r="CA186" s="561">
        <v>0</v>
      </c>
      <c r="CB186" s="561">
        <v>0</v>
      </c>
      <c r="CC186" s="561">
        <v>0</v>
      </c>
      <c r="CD186" s="561">
        <v>0</v>
      </c>
      <c r="CE186" s="561">
        <v>0</v>
      </c>
      <c r="CF186" s="561">
        <v>0</v>
      </c>
      <c r="CG186" s="561">
        <v>0</v>
      </c>
      <c r="CH186" s="561">
        <v>0</v>
      </c>
      <c r="CI186" s="561">
        <v>0</v>
      </c>
      <c r="CJ186" s="561">
        <v>0</v>
      </c>
      <c r="CK186" s="561">
        <v>0</v>
      </c>
      <c r="CL186" s="561">
        <v>0</v>
      </c>
      <c r="CM186" s="561">
        <v>0</v>
      </c>
      <c r="CN186" s="561">
        <v>0</v>
      </c>
      <c r="CO186" s="561">
        <v>0</v>
      </c>
      <c r="CP186" s="561">
        <v>0</v>
      </c>
      <c r="CQ186" s="561">
        <v>0</v>
      </c>
      <c r="CR186" s="561">
        <v>0</v>
      </c>
      <c r="CS186" s="561">
        <v>0</v>
      </c>
      <c r="CT186" s="561">
        <v>0</v>
      </c>
      <c r="CU186" s="561">
        <v>0</v>
      </c>
      <c r="CV186" s="561">
        <v>0</v>
      </c>
      <c r="CW186" s="561">
        <v>0</v>
      </c>
      <c r="CX186" s="561">
        <v>0</v>
      </c>
      <c r="CY186" s="561">
        <v>0</v>
      </c>
      <c r="CZ186" s="561">
        <v>0</v>
      </c>
      <c r="DA186" s="561">
        <v>0</v>
      </c>
      <c r="DB186" s="561">
        <v>0</v>
      </c>
      <c r="DC186" s="561">
        <v>0</v>
      </c>
      <c r="DD186" s="561">
        <v>0</v>
      </c>
      <c r="DE186" s="561">
        <v>0</v>
      </c>
      <c r="DF186" s="561">
        <v>0</v>
      </c>
      <c r="DG186" s="561">
        <v>0</v>
      </c>
      <c r="DH186" s="561">
        <v>0</v>
      </c>
      <c r="DI186" s="561">
        <v>0</v>
      </c>
      <c r="DJ186" s="561">
        <v>0</v>
      </c>
      <c r="DK186" s="561">
        <v>0</v>
      </c>
      <c r="DL186" s="561">
        <v>0</v>
      </c>
      <c r="DM186" s="561">
        <v>0</v>
      </c>
      <c r="DN186" s="561">
        <v>0</v>
      </c>
      <c r="DO186" s="561">
        <v>0</v>
      </c>
      <c r="DP186" s="561">
        <v>0</v>
      </c>
      <c r="DQ186" s="561">
        <v>0</v>
      </c>
      <c r="DR186" s="561">
        <v>0</v>
      </c>
      <c r="DS186" s="561">
        <v>0</v>
      </c>
      <c r="DT186" s="561">
        <v>0</v>
      </c>
      <c r="DU186" s="561">
        <v>0</v>
      </c>
      <c r="DV186" s="561">
        <v>0</v>
      </c>
      <c r="DW186" s="561">
        <v>0</v>
      </c>
      <c r="DX186" s="561">
        <v>0</v>
      </c>
      <c r="DY186" s="561">
        <v>0</v>
      </c>
      <c r="DZ186" s="561">
        <v>0</v>
      </c>
      <c r="EA186" s="561">
        <v>0</v>
      </c>
      <c r="EB186" s="561">
        <v>0</v>
      </c>
      <c r="EC186" s="561">
        <v>0</v>
      </c>
      <c r="ED186" s="561">
        <v>0</v>
      </c>
      <c r="EE186" s="561">
        <v>0</v>
      </c>
      <c r="EF186" s="561">
        <v>0</v>
      </c>
      <c r="EG186" s="561">
        <v>0</v>
      </c>
      <c r="EH186" s="561">
        <v>0</v>
      </c>
      <c r="EI186" s="561">
        <v>0</v>
      </c>
      <c r="EJ186" s="561">
        <v>0</v>
      </c>
      <c r="EK186" s="561">
        <v>0</v>
      </c>
      <c r="EL186" s="561">
        <v>0</v>
      </c>
      <c r="EM186" s="561">
        <v>0</v>
      </c>
      <c r="EN186" s="561">
        <v>0</v>
      </c>
      <c r="EO186" s="561">
        <v>0</v>
      </c>
      <c r="EP186" s="561">
        <v>0</v>
      </c>
      <c r="EQ186" s="561">
        <v>0</v>
      </c>
      <c r="ER186" s="561">
        <v>0</v>
      </c>
      <c r="ES186" s="561" t="s">
        <v>4565</v>
      </c>
      <c r="ET186" s="561">
        <v>0</v>
      </c>
      <c r="EU186" s="561">
        <v>0</v>
      </c>
      <c r="EV186" s="561">
        <v>0</v>
      </c>
      <c r="EW186" s="561">
        <v>0</v>
      </c>
      <c r="EX186" s="561">
        <v>0</v>
      </c>
      <c r="EY186" s="561">
        <v>0</v>
      </c>
      <c r="EZ186" s="561">
        <v>0</v>
      </c>
      <c r="FA186" s="561">
        <v>0</v>
      </c>
      <c r="FB186" s="561">
        <v>0</v>
      </c>
      <c r="FC186" s="561">
        <v>0</v>
      </c>
      <c r="FD186" s="561">
        <v>0</v>
      </c>
      <c r="FE186" s="561">
        <v>0</v>
      </c>
      <c r="FF186" s="561">
        <v>0</v>
      </c>
      <c r="FG186" s="561">
        <v>0</v>
      </c>
      <c r="FH186" s="561">
        <v>0</v>
      </c>
      <c r="FI186" s="561">
        <v>0</v>
      </c>
      <c r="FJ186" s="561">
        <v>0</v>
      </c>
      <c r="FK186" s="561">
        <v>0</v>
      </c>
      <c r="FL186" s="561">
        <v>0</v>
      </c>
      <c r="FM186" s="561">
        <v>0</v>
      </c>
      <c r="FN186" s="561">
        <v>0</v>
      </c>
      <c r="FO186" s="561">
        <v>0</v>
      </c>
      <c r="FP186" s="561">
        <v>0</v>
      </c>
      <c r="FQ186" s="561">
        <v>0</v>
      </c>
      <c r="FR186" s="561">
        <v>0</v>
      </c>
      <c r="FS186" s="561">
        <v>0</v>
      </c>
      <c r="FT186" s="561">
        <v>0</v>
      </c>
      <c r="FU186" s="561">
        <v>0</v>
      </c>
      <c r="FV186" s="561">
        <v>0</v>
      </c>
      <c r="FW186" s="561">
        <v>0</v>
      </c>
      <c r="FX186" s="561">
        <v>0</v>
      </c>
      <c r="FY186" s="561">
        <v>0</v>
      </c>
      <c r="FZ186" s="561">
        <v>0</v>
      </c>
      <c r="GA186" s="561">
        <v>0</v>
      </c>
      <c r="GB186" s="561">
        <v>0</v>
      </c>
      <c r="GC186" s="561">
        <v>0</v>
      </c>
      <c r="GD186" s="561">
        <v>0</v>
      </c>
      <c r="GE186" s="561">
        <v>0</v>
      </c>
      <c r="GF186" s="561">
        <v>0</v>
      </c>
      <c r="GG186" s="561">
        <v>0</v>
      </c>
      <c r="GH186" s="561">
        <v>0</v>
      </c>
      <c r="GI186" s="561">
        <v>0</v>
      </c>
      <c r="GJ186" s="561">
        <v>0</v>
      </c>
      <c r="GK186" s="561">
        <v>0</v>
      </c>
      <c r="GL186" s="561">
        <v>0</v>
      </c>
      <c r="GM186" s="561">
        <v>0</v>
      </c>
      <c r="GN186" s="561">
        <v>0</v>
      </c>
      <c r="GO186" s="561">
        <v>0</v>
      </c>
      <c r="GP186" s="561">
        <v>0</v>
      </c>
      <c r="GQ186" s="561">
        <v>0</v>
      </c>
      <c r="GR186" s="561">
        <v>0</v>
      </c>
      <c r="GS186" s="561">
        <v>0</v>
      </c>
      <c r="GT186" s="561">
        <v>0</v>
      </c>
      <c r="GU186" s="561">
        <v>0</v>
      </c>
      <c r="GV186" s="561">
        <v>0</v>
      </c>
      <c r="GW186" s="561">
        <v>0</v>
      </c>
      <c r="GX186" s="561">
        <v>0</v>
      </c>
      <c r="GY186" s="561">
        <v>0</v>
      </c>
      <c r="GZ186" s="561">
        <v>0</v>
      </c>
      <c r="HA186" s="561">
        <v>0</v>
      </c>
      <c r="HB186" s="561">
        <v>0</v>
      </c>
      <c r="HC186" s="561">
        <v>0</v>
      </c>
      <c r="HD186" s="561">
        <v>0</v>
      </c>
      <c r="HE186" s="561">
        <v>0</v>
      </c>
      <c r="HF186" s="561">
        <v>0</v>
      </c>
      <c r="HG186" s="561">
        <v>0</v>
      </c>
      <c r="HH186" s="561">
        <v>0</v>
      </c>
      <c r="HI186" s="561">
        <v>0</v>
      </c>
      <c r="HJ186" s="561">
        <v>17663</v>
      </c>
      <c r="HK186" s="561">
        <v>73776</v>
      </c>
      <c r="HL186" s="561">
        <v>2147</v>
      </c>
      <c r="HM186" s="561">
        <v>93586</v>
      </c>
      <c r="HN186" s="561">
        <v>56</v>
      </c>
      <c r="HO186" s="561">
        <v>2849</v>
      </c>
      <c r="HP186" s="561">
        <v>0</v>
      </c>
      <c r="HQ186" s="561">
        <v>0</v>
      </c>
      <c r="HR186" s="561">
        <v>0</v>
      </c>
      <c r="HS186" s="561">
        <v>0</v>
      </c>
      <c r="HT186" s="561">
        <v>0</v>
      </c>
      <c r="HU186" s="561">
        <v>0</v>
      </c>
      <c r="HV186" s="561">
        <v>0</v>
      </c>
      <c r="HW186" s="561">
        <v>0</v>
      </c>
      <c r="HX186" s="561">
        <v>0</v>
      </c>
      <c r="HY186" s="561">
        <v>0</v>
      </c>
      <c r="HZ186" s="561">
        <v>0</v>
      </c>
      <c r="IA186" s="561">
        <v>0</v>
      </c>
      <c r="IB186" s="561">
        <v>0</v>
      </c>
      <c r="IC186" s="561">
        <v>0</v>
      </c>
      <c r="ID186" s="561">
        <v>0</v>
      </c>
      <c r="IE186" s="561">
        <v>0</v>
      </c>
      <c r="IF186" s="561">
        <v>0</v>
      </c>
      <c r="IG186" s="561">
        <v>0</v>
      </c>
      <c r="IH186" s="561">
        <v>0</v>
      </c>
      <c r="II186" s="561">
        <v>2849</v>
      </c>
      <c r="IJ186" s="561">
        <v>220</v>
      </c>
      <c r="IK186" s="561">
        <v>2532</v>
      </c>
      <c r="IL186" s="561">
        <v>15554</v>
      </c>
      <c r="IM186" s="561">
        <v>0</v>
      </c>
      <c r="IN186" s="561">
        <v>0</v>
      </c>
      <c r="IO186" s="561">
        <v>0</v>
      </c>
      <c r="IP186" s="561">
        <v>0</v>
      </c>
      <c r="IQ186" s="561">
        <v>0</v>
      </c>
      <c r="IR186" s="561">
        <v>0</v>
      </c>
      <c r="IS186" s="561">
        <v>0</v>
      </c>
      <c r="IT186" s="561">
        <v>0</v>
      </c>
      <c r="IU186" s="561">
        <v>0</v>
      </c>
      <c r="IV186" s="561">
        <v>0</v>
      </c>
      <c r="IW186" s="561">
        <v>0</v>
      </c>
      <c r="IX186" s="561">
        <v>0</v>
      </c>
      <c r="IY186" s="561">
        <v>0</v>
      </c>
      <c r="IZ186" s="561">
        <v>0</v>
      </c>
      <c r="JA186" s="561">
        <v>0</v>
      </c>
      <c r="JB186" s="561">
        <v>93586</v>
      </c>
      <c r="JC186" s="561">
        <v>2849</v>
      </c>
      <c r="JD186" s="561">
        <v>0</v>
      </c>
      <c r="JE186" s="561">
        <v>96435</v>
      </c>
      <c r="JF186" s="561">
        <v>0</v>
      </c>
      <c r="JG186" s="561">
        <v>0</v>
      </c>
      <c r="JH186" s="561">
        <v>0</v>
      </c>
      <c r="JI186" s="561">
        <v>0</v>
      </c>
      <c r="JJ186" s="561">
        <v>0</v>
      </c>
      <c r="JK186" s="561">
        <v>0</v>
      </c>
      <c r="JL186" s="561">
        <v>0</v>
      </c>
      <c r="JM186" s="561">
        <v>0</v>
      </c>
      <c r="JN186" s="561">
        <v>0</v>
      </c>
      <c r="JO186" s="561">
        <v>-22</v>
      </c>
      <c r="JP186" s="561">
        <v>0</v>
      </c>
      <c r="JQ186" s="561">
        <v>0</v>
      </c>
      <c r="JR186" s="561">
        <v>0</v>
      </c>
      <c r="JS186" s="561">
        <v>0</v>
      </c>
      <c r="JT186" s="561">
        <v>-89</v>
      </c>
      <c r="JU186" s="561">
        <v>0</v>
      </c>
      <c r="JV186" s="561">
        <v>96324</v>
      </c>
      <c r="JW186" s="561">
        <v>0</v>
      </c>
      <c r="JX186" s="561">
        <v>1719</v>
      </c>
      <c r="JY186" s="561">
        <v>0</v>
      </c>
      <c r="JZ186" s="561">
        <v>0</v>
      </c>
      <c r="KA186" s="561">
        <v>0</v>
      </c>
      <c r="KB186" s="561">
        <v>1</v>
      </c>
      <c r="KC186" s="561">
        <v>1295</v>
      </c>
      <c r="KD186" s="561">
        <v>39</v>
      </c>
      <c r="KE186" s="561">
        <v>27</v>
      </c>
      <c r="KF186" s="561">
        <v>0</v>
      </c>
      <c r="KG186" s="561">
        <v>99405</v>
      </c>
      <c r="KH186" s="561">
        <v>-3138</v>
      </c>
      <c r="KI186" s="561">
        <v>0</v>
      </c>
      <c r="KJ186" s="561">
        <v>0</v>
      </c>
      <c r="KK186" s="561">
        <v>0</v>
      </c>
      <c r="KL186" s="561">
        <v>0</v>
      </c>
      <c r="KM186" s="561">
        <v>0</v>
      </c>
      <c r="KN186" s="561">
        <v>0</v>
      </c>
      <c r="KO186" s="561">
        <v>0</v>
      </c>
      <c r="KP186" s="561">
        <v>0</v>
      </c>
      <c r="KQ186" s="561">
        <v>0</v>
      </c>
      <c r="KR186" s="561">
        <v>96267</v>
      </c>
      <c r="KS186" s="561">
        <v>0</v>
      </c>
      <c r="KT186" s="561">
        <v>-6716.23</v>
      </c>
      <c r="KU186" s="561">
        <v>89550.77</v>
      </c>
      <c r="KV186" s="561">
        <v>0</v>
      </c>
      <c r="KW186" s="561">
        <v>0</v>
      </c>
      <c r="KX186" s="561">
        <v>0</v>
      </c>
      <c r="KY186" s="561">
        <v>0</v>
      </c>
      <c r="KZ186" s="561">
        <v>3259</v>
      </c>
      <c r="LA186" s="561">
        <v>420</v>
      </c>
      <c r="LB186" s="561">
        <v>-11352</v>
      </c>
      <c r="LC186" s="561">
        <v>0</v>
      </c>
      <c r="LD186" s="561">
        <v>-21338</v>
      </c>
      <c r="LE186" s="561">
        <v>-141</v>
      </c>
      <c r="LF186" s="561">
        <v>0</v>
      </c>
      <c r="LG186" s="561">
        <v>60399</v>
      </c>
      <c r="LH186" s="561">
        <v>0</v>
      </c>
      <c r="LI186" s="561">
        <v>0</v>
      </c>
      <c r="LJ186" s="561">
        <v>0</v>
      </c>
      <c r="LK186" s="561">
        <v>0</v>
      </c>
      <c r="LL186" s="561">
        <v>33396</v>
      </c>
      <c r="LM186" s="561">
        <v>4260</v>
      </c>
      <c r="LN186" s="561">
        <v>0</v>
      </c>
      <c r="LO186" s="561">
        <v>0</v>
      </c>
      <c r="LP186" s="561">
        <v>0</v>
      </c>
      <c r="LQ186" s="561">
        <v>0</v>
      </c>
      <c r="LR186" s="561">
        <v>36655</v>
      </c>
      <c r="LS186" s="561">
        <v>4680</v>
      </c>
      <c r="LT186" s="561">
        <v>0</v>
      </c>
      <c r="LU186" s="561">
        <v>-2278</v>
      </c>
      <c r="LV186" s="561">
        <v>-3245</v>
      </c>
      <c r="LW186" s="561">
        <v>0</v>
      </c>
      <c r="LX186" s="561">
        <v>0</v>
      </c>
      <c r="LY186" s="561">
        <v>0</v>
      </c>
      <c r="LZ186" s="561">
        <v>-5523</v>
      </c>
      <c r="MA186" s="561">
        <v>0</v>
      </c>
      <c r="MB186" s="561">
        <v>0</v>
      </c>
      <c r="MC186" s="561">
        <v>0</v>
      </c>
      <c r="MD186" s="561">
        <v>0</v>
      </c>
      <c r="ME186" s="561">
        <v>0</v>
      </c>
      <c r="MF186" s="561">
        <v>0</v>
      </c>
      <c r="MG186" s="561">
        <v>0</v>
      </c>
      <c r="MH186" s="561">
        <v>0</v>
      </c>
      <c r="MI186" s="561">
        <v>0</v>
      </c>
      <c r="MJ186" s="561">
        <v>0</v>
      </c>
      <c r="MK186" s="561">
        <v>0</v>
      </c>
      <c r="ML186" s="561">
        <v>0</v>
      </c>
      <c r="MM186" s="561">
        <v>28969</v>
      </c>
      <c r="MN186" s="561">
        <v>5888</v>
      </c>
      <c r="MO186" s="561">
        <v>1798</v>
      </c>
      <c r="MP186" s="561">
        <v>0</v>
      </c>
      <c r="MQ186" s="561">
        <v>0</v>
      </c>
      <c r="MR186" s="561">
        <v>0</v>
      </c>
      <c r="MS186" s="561">
        <v>0</v>
      </c>
      <c r="MT186" s="561">
        <v>0</v>
      </c>
      <c r="MU186" s="561">
        <v>0</v>
      </c>
      <c r="MV186" s="561">
        <v>0</v>
      </c>
      <c r="MW186" s="561">
        <v>0</v>
      </c>
      <c r="MX186" s="561">
        <v>0</v>
      </c>
      <c r="MY186" s="561">
        <v>0</v>
      </c>
      <c r="MZ186" s="561">
        <v>0</v>
      </c>
      <c r="NA186" s="561">
        <v>93586</v>
      </c>
      <c r="NB186" s="561">
        <v>2849</v>
      </c>
      <c r="NC186" s="561">
        <v>0</v>
      </c>
      <c r="ND186" s="561">
        <v>96435</v>
      </c>
      <c r="NE186" s="561">
        <v>0</v>
      </c>
      <c r="NF186" s="561">
        <v>0</v>
      </c>
      <c r="NG186" s="561">
        <v>0</v>
      </c>
      <c r="NH186" s="561">
        <v>0</v>
      </c>
      <c r="NI186" s="561">
        <v>0</v>
      </c>
      <c r="NJ186" s="561">
        <v>0</v>
      </c>
      <c r="NK186" s="561">
        <v>0</v>
      </c>
      <c r="NL186" s="561">
        <v>0</v>
      </c>
      <c r="NM186" s="561">
        <v>0</v>
      </c>
      <c r="NN186" s="561">
        <v>0</v>
      </c>
      <c r="NO186" s="561">
        <v>0</v>
      </c>
      <c r="NP186" s="561">
        <v>0</v>
      </c>
      <c r="NQ186" s="561">
        <v>0</v>
      </c>
      <c r="NR186" s="561">
        <v>0</v>
      </c>
      <c r="NS186" s="561">
        <v>0</v>
      </c>
      <c r="NT186" s="561">
        <v>0</v>
      </c>
      <c r="NU186" s="561">
        <v>0</v>
      </c>
      <c r="NV186" s="561">
        <v>0</v>
      </c>
      <c r="NW186" s="561">
        <v>0</v>
      </c>
      <c r="NX186" s="561">
        <v>0</v>
      </c>
      <c r="NY186" s="561">
        <v>0</v>
      </c>
      <c r="NZ186" s="561">
        <v>0</v>
      </c>
      <c r="OA186" s="561">
        <v>0</v>
      </c>
      <c r="OB186" s="561">
        <v>0</v>
      </c>
      <c r="OC186" s="561">
        <v>0</v>
      </c>
      <c r="OD186" s="561">
        <v>0</v>
      </c>
      <c r="OE186" s="561">
        <v>0</v>
      </c>
      <c r="OF186" s="561">
        <v>0</v>
      </c>
      <c r="OG186" s="561">
        <v>0</v>
      </c>
      <c r="OH186" s="561">
        <v>0</v>
      </c>
      <c r="OI186" s="561">
        <v>0</v>
      </c>
      <c r="OJ186" s="561">
        <v>0</v>
      </c>
      <c r="OK186" s="561">
        <v>0</v>
      </c>
      <c r="OL186" s="561">
        <v>0</v>
      </c>
      <c r="OM186" s="561">
        <v>0</v>
      </c>
      <c r="ON186" s="561">
        <v>0</v>
      </c>
      <c r="OO186" s="561">
        <v>0</v>
      </c>
      <c r="OP186" s="561">
        <v>0</v>
      </c>
      <c r="OQ186" s="561">
        <v>0</v>
      </c>
      <c r="OR186" s="561">
        <v>0</v>
      </c>
      <c r="OS186" s="561">
        <v>0</v>
      </c>
      <c r="OT186" s="561">
        <v>0</v>
      </c>
      <c r="OU186" s="561">
        <v>0</v>
      </c>
      <c r="OV186" s="561">
        <v>0</v>
      </c>
      <c r="OW186" s="561">
        <v>0</v>
      </c>
      <c r="OX186" s="561">
        <v>0</v>
      </c>
      <c r="OY186" s="561">
        <v>0</v>
      </c>
      <c r="OZ186" s="561">
        <v>0</v>
      </c>
      <c r="PA186" s="561">
        <v>0</v>
      </c>
      <c r="PB186" s="561">
        <v>0</v>
      </c>
      <c r="PC186" s="561">
        <v>0</v>
      </c>
      <c r="PD186" s="561">
        <v>0</v>
      </c>
      <c r="PE186" s="561">
        <v>0</v>
      </c>
      <c r="PF186" s="561">
        <v>0</v>
      </c>
      <c r="PG186" s="561">
        <v>0</v>
      </c>
      <c r="PH186" s="561">
        <v>0</v>
      </c>
      <c r="PI186" s="561">
        <v>0</v>
      </c>
      <c r="PJ186" s="561">
        <v>0</v>
      </c>
    </row>
    <row r="187" spans="1:426" ht="14" x14ac:dyDescent="0.3">
      <c r="A187" t="s">
        <v>2999</v>
      </c>
      <c r="B187" t="s">
        <v>3000</v>
      </c>
      <c r="C187" t="s">
        <v>3001</v>
      </c>
      <c r="E187" t="s">
        <v>2466</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561">
        <v>0</v>
      </c>
      <c r="BG187" s="561">
        <v>0</v>
      </c>
      <c r="BH187" s="561">
        <v>0</v>
      </c>
      <c r="BI187" s="561">
        <v>0</v>
      </c>
      <c r="BJ187" s="561">
        <v>0</v>
      </c>
      <c r="BK187" s="561">
        <v>0</v>
      </c>
      <c r="BL187" s="561">
        <v>0</v>
      </c>
      <c r="BM187" s="561">
        <v>0</v>
      </c>
      <c r="BN187" s="561">
        <v>0</v>
      </c>
      <c r="BO187" s="561">
        <v>0</v>
      </c>
      <c r="BP187" s="561">
        <v>0</v>
      </c>
      <c r="BQ187" s="561">
        <v>0</v>
      </c>
      <c r="BR187" s="561">
        <v>0</v>
      </c>
      <c r="BS187" s="561">
        <v>0</v>
      </c>
      <c r="BT187" s="561">
        <v>0</v>
      </c>
      <c r="BU187" s="561">
        <v>0</v>
      </c>
      <c r="BV187" s="561">
        <v>0</v>
      </c>
      <c r="BW187" s="561">
        <v>0</v>
      </c>
      <c r="BX187" s="561">
        <v>0</v>
      </c>
      <c r="BY187" s="561">
        <v>0</v>
      </c>
      <c r="BZ187" s="561">
        <v>0</v>
      </c>
      <c r="CA187" s="561">
        <v>0</v>
      </c>
      <c r="CB187" s="561">
        <v>0</v>
      </c>
      <c r="CC187" s="561">
        <v>0</v>
      </c>
      <c r="CD187" s="561">
        <v>0</v>
      </c>
      <c r="CE187" s="561">
        <v>0</v>
      </c>
      <c r="CF187" s="561">
        <v>0</v>
      </c>
      <c r="CG187" s="561">
        <v>0</v>
      </c>
      <c r="CH187" s="561">
        <v>0</v>
      </c>
      <c r="CI187" s="561">
        <v>0</v>
      </c>
      <c r="CJ187" s="561">
        <v>0</v>
      </c>
      <c r="CK187" s="561">
        <v>0</v>
      </c>
      <c r="CL187" s="561">
        <v>0</v>
      </c>
      <c r="CM187" s="561">
        <v>0</v>
      </c>
      <c r="CN187" s="561">
        <v>0</v>
      </c>
      <c r="CO187" s="561">
        <v>0</v>
      </c>
      <c r="CP187" s="561">
        <v>0</v>
      </c>
      <c r="CQ187" s="561">
        <v>0</v>
      </c>
      <c r="CR187" s="561">
        <v>0</v>
      </c>
      <c r="CS187" s="561">
        <v>0</v>
      </c>
      <c r="CT187" s="561">
        <v>0</v>
      </c>
      <c r="CU187" s="561">
        <v>0</v>
      </c>
      <c r="CV187" s="561">
        <v>0</v>
      </c>
      <c r="CW187" s="561">
        <v>0</v>
      </c>
      <c r="CX187" s="561">
        <v>0</v>
      </c>
      <c r="CY187" s="561">
        <v>0</v>
      </c>
      <c r="CZ187" s="561">
        <v>0</v>
      </c>
      <c r="DA187" s="561">
        <v>0</v>
      </c>
      <c r="DB187" s="561">
        <v>0</v>
      </c>
      <c r="DC187" s="561">
        <v>0</v>
      </c>
      <c r="DD187" s="561">
        <v>0</v>
      </c>
      <c r="DE187" s="561">
        <v>0</v>
      </c>
      <c r="DF187" s="561">
        <v>0</v>
      </c>
      <c r="DG187" s="561">
        <v>0</v>
      </c>
      <c r="DH187" s="561">
        <v>0</v>
      </c>
      <c r="DI187" s="561">
        <v>0</v>
      </c>
      <c r="DJ187" s="561">
        <v>0</v>
      </c>
      <c r="DK187" s="561">
        <v>0</v>
      </c>
      <c r="DL187" s="561">
        <v>0</v>
      </c>
      <c r="DM187" s="561">
        <v>0</v>
      </c>
      <c r="DN187" s="561">
        <v>0</v>
      </c>
      <c r="DO187" s="561">
        <v>0</v>
      </c>
      <c r="DP187" s="561">
        <v>0</v>
      </c>
      <c r="DQ187" s="561">
        <v>0</v>
      </c>
      <c r="DR187" s="561">
        <v>0</v>
      </c>
      <c r="DS187" s="561">
        <v>0</v>
      </c>
      <c r="DT187" s="561">
        <v>0</v>
      </c>
      <c r="DU187" s="561">
        <v>0</v>
      </c>
      <c r="DV187" s="561">
        <v>0</v>
      </c>
      <c r="DW187" s="561">
        <v>0</v>
      </c>
      <c r="DX187" s="561">
        <v>0</v>
      </c>
      <c r="DY187" s="561">
        <v>0</v>
      </c>
      <c r="DZ187" s="561">
        <v>0</v>
      </c>
      <c r="EA187" s="561">
        <v>0</v>
      </c>
      <c r="EB187" s="561">
        <v>0</v>
      </c>
      <c r="EC187" s="561">
        <v>0</v>
      </c>
      <c r="ED187" s="561">
        <v>0</v>
      </c>
      <c r="EE187" s="561">
        <v>0</v>
      </c>
      <c r="EF187" s="561">
        <v>0</v>
      </c>
      <c r="EG187" s="561">
        <v>0</v>
      </c>
      <c r="EH187" s="561">
        <v>0</v>
      </c>
      <c r="EI187" s="561">
        <v>0</v>
      </c>
      <c r="EJ187" s="561">
        <v>0</v>
      </c>
      <c r="EK187" s="561">
        <v>0</v>
      </c>
      <c r="EL187" s="561">
        <v>0</v>
      </c>
      <c r="EM187" s="561">
        <v>0</v>
      </c>
      <c r="EN187" s="561">
        <v>0</v>
      </c>
      <c r="EO187" s="561">
        <v>0</v>
      </c>
      <c r="EP187" s="561">
        <v>0</v>
      </c>
      <c r="EQ187" s="561">
        <v>0</v>
      </c>
      <c r="ER187" s="561">
        <v>0</v>
      </c>
      <c r="ES187" s="561" t="s">
        <v>4565</v>
      </c>
      <c r="ET187" s="561">
        <v>0</v>
      </c>
      <c r="EU187" s="561">
        <v>0</v>
      </c>
      <c r="EV187" s="561">
        <v>0</v>
      </c>
      <c r="EW187" s="561">
        <v>0</v>
      </c>
      <c r="EX187" s="561">
        <v>0</v>
      </c>
      <c r="EY187" s="561">
        <v>0</v>
      </c>
      <c r="EZ187" s="561">
        <v>0</v>
      </c>
      <c r="FA187" s="561">
        <v>0</v>
      </c>
      <c r="FB187" s="561">
        <v>0</v>
      </c>
      <c r="FC187" s="561">
        <v>0</v>
      </c>
      <c r="FD187" s="561">
        <v>0</v>
      </c>
      <c r="FE187" s="561">
        <v>0</v>
      </c>
      <c r="FF187" s="561">
        <v>0</v>
      </c>
      <c r="FG187" s="561">
        <v>0</v>
      </c>
      <c r="FH187" s="561">
        <v>0</v>
      </c>
      <c r="FI187" s="561">
        <v>0</v>
      </c>
      <c r="FJ187" s="561">
        <v>0</v>
      </c>
      <c r="FK187" s="561">
        <v>0</v>
      </c>
      <c r="FL187" s="561">
        <v>0</v>
      </c>
      <c r="FM187" s="561">
        <v>0</v>
      </c>
      <c r="FN187" s="561">
        <v>0</v>
      </c>
      <c r="FO187" s="561">
        <v>0</v>
      </c>
      <c r="FP187" s="561">
        <v>0</v>
      </c>
      <c r="FQ187" s="561">
        <v>0</v>
      </c>
      <c r="FR187" s="561">
        <v>0</v>
      </c>
      <c r="FS187" s="561">
        <v>0</v>
      </c>
      <c r="FT187" s="561">
        <v>0</v>
      </c>
      <c r="FU187" s="561">
        <v>0</v>
      </c>
      <c r="FV187" s="561">
        <v>0</v>
      </c>
      <c r="FW187" s="561">
        <v>0</v>
      </c>
      <c r="FX187" s="561">
        <v>0</v>
      </c>
      <c r="FY187" s="561">
        <v>0</v>
      </c>
      <c r="FZ187" s="561">
        <v>0</v>
      </c>
      <c r="GA187" s="561">
        <v>0</v>
      </c>
      <c r="GB187" s="561">
        <v>0</v>
      </c>
      <c r="GC187" s="561">
        <v>0</v>
      </c>
      <c r="GD187" s="561">
        <v>0</v>
      </c>
      <c r="GE187" s="561">
        <v>0</v>
      </c>
      <c r="GF187" s="561">
        <v>0</v>
      </c>
      <c r="GG187" s="561">
        <v>0</v>
      </c>
      <c r="GH187" s="561">
        <v>0</v>
      </c>
      <c r="GI187" s="561">
        <v>0</v>
      </c>
      <c r="GJ187" s="561">
        <v>0</v>
      </c>
      <c r="GK187" s="561">
        <v>0</v>
      </c>
      <c r="GL187" s="561">
        <v>0</v>
      </c>
      <c r="GM187" s="561">
        <v>0</v>
      </c>
      <c r="GN187" s="561">
        <v>0</v>
      </c>
      <c r="GO187" s="561">
        <v>0</v>
      </c>
      <c r="GP187" s="561">
        <v>0</v>
      </c>
      <c r="GQ187" s="561">
        <v>0</v>
      </c>
      <c r="GR187" s="561">
        <v>0</v>
      </c>
      <c r="GS187" s="561">
        <v>0</v>
      </c>
      <c r="GT187" s="561">
        <v>0</v>
      </c>
      <c r="GU187" s="561">
        <v>0</v>
      </c>
      <c r="GV187" s="561">
        <v>0</v>
      </c>
      <c r="GW187" s="561">
        <v>0</v>
      </c>
      <c r="GX187" s="561">
        <v>0</v>
      </c>
      <c r="GY187" s="561">
        <v>0</v>
      </c>
      <c r="GZ187" s="561">
        <v>0</v>
      </c>
      <c r="HA187" s="561">
        <v>0</v>
      </c>
      <c r="HB187" s="561">
        <v>0</v>
      </c>
      <c r="HC187" s="561">
        <v>0</v>
      </c>
      <c r="HD187" s="561">
        <v>0</v>
      </c>
      <c r="HE187" s="561">
        <v>0</v>
      </c>
      <c r="HF187" s="561">
        <v>0</v>
      </c>
      <c r="HG187" s="561">
        <v>0</v>
      </c>
      <c r="HH187" s="561">
        <v>433654</v>
      </c>
      <c r="HI187" s="561">
        <v>5412</v>
      </c>
      <c r="HJ187" s="561">
        <v>0</v>
      </c>
      <c r="HK187" s="561">
        <v>0</v>
      </c>
      <c r="HL187" s="561">
        <v>0</v>
      </c>
      <c r="HM187" s="561">
        <v>0</v>
      </c>
      <c r="HN187" s="561">
        <v>0</v>
      </c>
      <c r="HO187" s="561">
        <v>9895</v>
      </c>
      <c r="HP187" s="561">
        <v>0</v>
      </c>
      <c r="HQ187" s="561">
        <v>0</v>
      </c>
      <c r="HR187" s="561">
        <v>0</v>
      </c>
      <c r="HS187" s="561">
        <v>0</v>
      </c>
      <c r="HT187" s="561">
        <v>0</v>
      </c>
      <c r="HU187" s="561">
        <v>0</v>
      </c>
      <c r="HV187" s="561">
        <v>0</v>
      </c>
      <c r="HW187" s="561">
        <v>0</v>
      </c>
      <c r="HX187" s="561">
        <v>0</v>
      </c>
      <c r="HY187" s="561">
        <v>0</v>
      </c>
      <c r="HZ187" s="561">
        <v>0</v>
      </c>
      <c r="IA187" s="561">
        <v>0</v>
      </c>
      <c r="IB187" s="561">
        <v>0</v>
      </c>
      <c r="IC187" s="561">
        <v>0</v>
      </c>
      <c r="ID187" s="561">
        <v>0</v>
      </c>
      <c r="IE187" s="561">
        <v>5412</v>
      </c>
      <c r="IF187" s="561">
        <v>0</v>
      </c>
      <c r="IG187" s="561">
        <v>0</v>
      </c>
      <c r="IH187" s="561">
        <v>0</v>
      </c>
      <c r="II187" s="561">
        <v>15307</v>
      </c>
      <c r="IJ187" s="561">
        <v>0</v>
      </c>
      <c r="IK187" s="561">
        <v>0</v>
      </c>
      <c r="IL187" s="561">
        <v>0</v>
      </c>
      <c r="IM187" s="561">
        <v>0</v>
      </c>
      <c r="IN187" s="561">
        <v>0</v>
      </c>
      <c r="IO187" s="561">
        <v>0</v>
      </c>
      <c r="IP187" s="561">
        <v>0</v>
      </c>
      <c r="IQ187" s="561">
        <v>0</v>
      </c>
      <c r="IR187" s="561">
        <v>0</v>
      </c>
      <c r="IS187" s="561">
        <v>0</v>
      </c>
      <c r="IT187" s="561">
        <v>0</v>
      </c>
      <c r="IU187" s="561">
        <v>0</v>
      </c>
      <c r="IV187" s="561">
        <v>0</v>
      </c>
      <c r="IW187" s="561">
        <v>0</v>
      </c>
      <c r="IX187" s="561">
        <v>0</v>
      </c>
      <c r="IY187" s="561">
        <v>0</v>
      </c>
      <c r="IZ187" s="561">
        <v>0</v>
      </c>
      <c r="JA187" s="561">
        <v>433654</v>
      </c>
      <c r="JB187" s="561">
        <v>0</v>
      </c>
      <c r="JC187" s="561">
        <v>15307</v>
      </c>
      <c r="JD187" s="561">
        <v>0</v>
      </c>
      <c r="JE187" s="561">
        <v>448961</v>
      </c>
      <c r="JF187" s="561">
        <v>0</v>
      </c>
      <c r="JG187" s="561">
        <v>0</v>
      </c>
      <c r="JH187" s="561">
        <v>0</v>
      </c>
      <c r="JI187" s="561">
        <v>0</v>
      </c>
      <c r="JJ187" s="561">
        <v>0</v>
      </c>
      <c r="JK187" s="561">
        <v>0</v>
      </c>
      <c r="JL187" s="561">
        <v>0</v>
      </c>
      <c r="JM187" s="561">
        <v>0</v>
      </c>
      <c r="JN187" s="561">
        <v>0</v>
      </c>
      <c r="JO187" s="561">
        <v>0</v>
      </c>
      <c r="JP187" s="561">
        <v>0</v>
      </c>
      <c r="JQ187" s="561">
        <v>0</v>
      </c>
      <c r="JR187" s="561">
        <v>0</v>
      </c>
      <c r="JS187" s="561">
        <v>0</v>
      </c>
      <c r="JT187" s="561">
        <v>0</v>
      </c>
      <c r="JU187" s="561">
        <v>0</v>
      </c>
      <c r="JV187" s="561">
        <v>448961</v>
      </c>
      <c r="JW187" s="561">
        <v>0</v>
      </c>
      <c r="JX187" s="561">
        <v>3479</v>
      </c>
      <c r="JY187" s="561">
        <v>0</v>
      </c>
      <c r="JZ187" s="561">
        <v>0</v>
      </c>
      <c r="KA187" s="561">
        <v>0</v>
      </c>
      <c r="KB187" s="561">
        <v>-79</v>
      </c>
      <c r="KC187" s="561">
        <v>4130</v>
      </c>
      <c r="KD187" s="561">
        <v>0</v>
      </c>
      <c r="KE187" s="561">
        <v>1680</v>
      </c>
      <c r="KF187" s="561">
        <v>0</v>
      </c>
      <c r="KG187" s="561">
        <v>458171</v>
      </c>
      <c r="KH187" s="561">
        <v>-2341</v>
      </c>
      <c r="KI187" s="561">
        <v>2973</v>
      </c>
      <c r="KJ187" s="561">
        <v>0</v>
      </c>
      <c r="KK187" s="561">
        <v>0</v>
      </c>
      <c r="KL187" s="561">
        <v>0</v>
      </c>
      <c r="KM187" s="561">
        <v>0</v>
      </c>
      <c r="KN187" s="561">
        <v>0</v>
      </c>
      <c r="KO187" s="561">
        <v>0</v>
      </c>
      <c r="KP187" s="561">
        <v>0</v>
      </c>
      <c r="KQ187" s="561">
        <v>0</v>
      </c>
      <c r="KR187" s="561">
        <v>458803</v>
      </c>
      <c r="KS187" s="561">
        <v>0</v>
      </c>
      <c r="KT187" s="561">
        <v>-56912</v>
      </c>
      <c r="KU187" s="561">
        <v>401891</v>
      </c>
      <c r="KV187" s="561">
        <v>0</v>
      </c>
      <c r="KW187" s="561">
        <v>0</v>
      </c>
      <c r="KX187" s="561">
        <v>0</v>
      </c>
      <c r="KY187" s="561">
        <v>0</v>
      </c>
      <c r="KZ187" s="561">
        <v>6623</v>
      </c>
      <c r="LA187" s="561">
        <v>1097</v>
      </c>
      <c r="LB187" s="561">
        <v>0</v>
      </c>
      <c r="LC187" s="561">
        <v>-237119</v>
      </c>
      <c r="LD187" s="561">
        <v>0</v>
      </c>
      <c r="LE187" s="561">
        <v>-416</v>
      </c>
      <c r="LF187" s="561">
        <v>0</v>
      </c>
      <c r="LG187" s="561">
        <v>172076</v>
      </c>
      <c r="LH187" s="561">
        <v>0</v>
      </c>
      <c r="LI187" s="561">
        <v>0</v>
      </c>
      <c r="LJ187" s="561">
        <v>0</v>
      </c>
      <c r="LK187" s="561">
        <v>0</v>
      </c>
      <c r="LL187" s="561">
        <v>18718</v>
      </c>
      <c r="LM187" s="561">
        <v>12273</v>
      </c>
      <c r="LN187" s="561">
        <v>0</v>
      </c>
      <c r="LO187" s="561">
        <v>0</v>
      </c>
      <c r="LP187" s="561">
        <v>0</v>
      </c>
      <c r="LQ187" s="561">
        <v>0</v>
      </c>
      <c r="LR187" s="561">
        <v>25341</v>
      </c>
      <c r="LS187" s="561">
        <v>13370</v>
      </c>
      <c r="LT187" s="561">
        <v>0</v>
      </c>
      <c r="LU187" s="561">
        <v>10667</v>
      </c>
      <c r="LV187" s="561">
        <v>0</v>
      </c>
      <c r="LW187" s="561">
        <v>9857</v>
      </c>
      <c r="LX187" s="561">
        <v>-167</v>
      </c>
      <c r="LY187" s="561">
        <v>0</v>
      </c>
      <c r="LZ187" s="561">
        <v>20416</v>
      </c>
      <c r="MA187" s="561">
        <v>0</v>
      </c>
      <c r="MB187" s="561">
        <v>0</v>
      </c>
      <c r="MC187" s="561">
        <v>0</v>
      </c>
      <c r="MD187" s="561">
        <v>0</v>
      </c>
      <c r="ME187" s="561">
        <v>0</v>
      </c>
      <c r="MF187" s="561">
        <v>0</v>
      </c>
      <c r="MG187" s="561">
        <v>0</v>
      </c>
      <c r="MH187" s="561">
        <v>0</v>
      </c>
      <c r="MI187" s="561">
        <v>0</v>
      </c>
      <c r="MJ187" s="561">
        <v>0</v>
      </c>
      <c r="MK187" s="561">
        <v>0</v>
      </c>
      <c r="ML187" s="561">
        <v>0</v>
      </c>
      <c r="MM187" s="561">
        <v>0</v>
      </c>
      <c r="MN187" s="561">
        <v>2999</v>
      </c>
      <c r="MO187" s="561">
        <v>22342</v>
      </c>
      <c r="MP187" s="561">
        <v>0</v>
      </c>
      <c r="MQ187" s="561">
        <v>0</v>
      </c>
      <c r="MR187" s="561">
        <v>0</v>
      </c>
      <c r="MS187" s="561">
        <v>0</v>
      </c>
      <c r="MT187" s="561">
        <v>0</v>
      </c>
      <c r="MU187" s="561">
        <v>0</v>
      </c>
      <c r="MV187" s="561">
        <v>0</v>
      </c>
      <c r="MW187" s="561">
        <v>0</v>
      </c>
      <c r="MX187" s="561">
        <v>0</v>
      </c>
      <c r="MY187" s="561">
        <v>0</v>
      </c>
      <c r="MZ187" s="561">
        <v>433654</v>
      </c>
      <c r="NA187" s="561">
        <v>0</v>
      </c>
      <c r="NB187" s="561">
        <v>15307</v>
      </c>
      <c r="NC187" s="561">
        <v>0</v>
      </c>
      <c r="ND187" s="561">
        <v>448961</v>
      </c>
      <c r="NE187" s="561">
        <v>0</v>
      </c>
      <c r="NF187" s="561">
        <v>0</v>
      </c>
      <c r="NG187" s="561">
        <v>0</v>
      </c>
      <c r="NH187" s="561">
        <v>0</v>
      </c>
      <c r="NI187" s="561">
        <v>0</v>
      </c>
      <c r="NJ187" s="561">
        <v>0</v>
      </c>
      <c r="NK187" s="561">
        <v>0</v>
      </c>
      <c r="NL187" s="561">
        <v>0</v>
      </c>
      <c r="NM187" s="561">
        <v>0</v>
      </c>
      <c r="NN187" s="561">
        <v>0</v>
      </c>
      <c r="NO187" s="561">
        <v>0</v>
      </c>
      <c r="NP187" s="561">
        <v>0</v>
      </c>
      <c r="NQ187" s="561">
        <v>0</v>
      </c>
      <c r="NR187" s="561">
        <v>0</v>
      </c>
      <c r="NS187" s="561">
        <v>0</v>
      </c>
      <c r="NT187" s="561">
        <v>0</v>
      </c>
      <c r="NU187" s="561">
        <v>0</v>
      </c>
      <c r="NV187" s="561">
        <v>0</v>
      </c>
      <c r="NW187" s="561">
        <v>0</v>
      </c>
      <c r="NX187" s="561">
        <v>0</v>
      </c>
      <c r="NY187" s="561">
        <v>0</v>
      </c>
      <c r="NZ187" s="561">
        <v>0</v>
      </c>
      <c r="OA187" s="561">
        <v>0</v>
      </c>
      <c r="OB187" s="561">
        <v>0</v>
      </c>
      <c r="OC187" s="561">
        <v>0</v>
      </c>
      <c r="OD187" s="561">
        <v>0</v>
      </c>
      <c r="OE187" s="561">
        <v>0</v>
      </c>
      <c r="OF187" s="561">
        <v>0</v>
      </c>
      <c r="OG187" s="561">
        <v>0</v>
      </c>
      <c r="OH187" s="561">
        <v>0</v>
      </c>
      <c r="OI187" s="561">
        <v>0</v>
      </c>
      <c r="OJ187" s="561">
        <v>0</v>
      </c>
      <c r="OK187" s="561">
        <v>0</v>
      </c>
      <c r="OL187" s="561">
        <v>0</v>
      </c>
      <c r="OM187" s="561">
        <v>0</v>
      </c>
      <c r="ON187" s="561">
        <v>0</v>
      </c>
      <c r="OO187" s="561">
        <v>0</v>
      </c>
      <c r="OP187" s="561">
        <v>0</v>
      </c>
      <c r="OQ187" s="561">
        <v>0</v>
      </c>
      <c r="OR187" s="561">
        <v>0</v>
      </c>
      <c r="OS187" s="561">
        <v>0</v>
      </c>
      <c r="OT187" s="561">
        <v>0</v>
      </c>
      <c r="OU187" s="561">
        <v>0</v>
      </c>
      <c r="OV187" s="561">
        <v>0</v>
      </c>
      <c r="OW187" s="561">
        <v>0</v>
      </c>
      <c r="OX187" s="561">
        <v>0</v>
      </c>
      <c r="OY187" s="561">
        <v>0</v>
      </c>
      <c r="OZ187" s="561">
        <v>0</v>
      </c>
      <c r="PA187" s="561">
        <v>0</v>
      </c>
      <c r="PB187" s="561">
        <v>0</v>
      </c>
      <c r="PC187" s="561">
        <v>0</v>
      </c>
      <c r="PD187" s="561">
        <v>0</v>
      </c>
      <c r="PE187" s="561">
        <v>0</v>
      </c>
      <c r="PF187" s="561">
        <v>0</v>
      </c>
      <c r="PG187" s="561">
        <v>0</v>
      </c>
      <c r="PH187" s="561">
        <v>0</v>
      </c>
      <c r="PI187" s="561">
        <v>0</v>
      </c>
      <c r="PJ187" s="561">
        <v>0</v>
      </c>
    </row>
    <row r="188" spans="1:426" ht="14" x14ac:dyDescent="0.3">
      <c r="A188" t="s">
        <v>3002</v>
      </c>
      <c r="B188" t="s">
        <v>3003</v>
      </c>
      <c r="C188" t="s">
        <v>3004</v>
      </c>
      <c r="E188" t="s">
        <v>384</v>
      </c>
      <c r="F188" s="561">
        <v>0</v>
      </c>
      <c r="G188" s="561">
        <v>0</v>
      </c>
      <c r="H188" s="561">
        <v>0</v>
      </c>
      <c r="I188" s="561">
        <v>0</v>
      </c>
      <c r="J188" s="561">
        <v>0</v>
      </c>
      <c r="K188" s="561">
        <v>0</v>
      </c>
      <c r="L188" s="561">
        <v>0</v>
      </c>
      <c r="M188" s="561">
        <v>0</v>
      </c>
      <c r="N188" s="561">
        <v>0</v>
      </c>
      <c r="O188" s="561">
        <v>0</v>
      </c>
      <c r="P188" s="561">
        <v>0</v>
      </c>
      <c r="Q188" s="561">
        <v>0</v>
      </c>
      <c r="R188" s="561">
        <v>0</v>
      </c>
      <c r="S188" s="561">
        <v>0</v>
      </c>
      <c r="T188" s="561">
        <v>0</v>
      </c>
      <c r="U188" s="561">
        <v>0</v>
      </c>
      <c r="V188" s="561">
        <v>121</v>
      </c>
      <c r="W188" s="561">
        <v>0</v>
      </c>
      <c r="X188" s="561">
        <v>0</v>
      </c>
      <c r="Y188" s="561">
        <v>0</v>
      </c>
      <c r="Z188" s="561">
        <v>0</v>
      </c>
      <c r="AA188" s="561">
        <v>-539</v>
      </c>
      <c r="AB188" s="561">
        <v>-2213</v>
      </c>
      <c r="AC188" s="561">
        <v>0</v>
      </c>
      <c r="AD188" s="561">
        <v>-634</v>
      </c>
      <c r="AE188" s="561">
        <v>0</v>
      </c>
      <c r="AF188" s="561">
        <v>0</v>
      </c>
      <c r="AG188" s="561">
        <v>0</v>
      </c>
      <c r="AH188" s="561">
        <v>0</v>
      </c>
      <c r="AI188" s="561">
        <v>0</v>
      </c>
      <c r="AJ188" s="561">
        <v>-3265</v>
      </c>
      <c r="AK188" s="561">
        <v>0</v>
      </c>
      <c r="AL188" s="561">
        <v>0</v>
      </c>
      <c r="AM188" s="561">
        <v>0</v>
      </c>
      <c r="AN188" s="561">
        <v>0</v>
      </c>
      <c r="AO188" s="561">
        <v>0</v>
      </c>
      <c r="AP188" s="561">
        <v>0</v>
      </c>
      <c r="AQ188" s="561">
        <v>0</v>
      </c>
      <c r="AR188" s="561">
        <v>0</v>
      </c>
      <c r="AS188" s="561">
        <v>1221</v>
      </c>
      <c r="AT188" s="561">
        <v>900</v>
      </c>
      <c r="AU188" s="561">
        <v>0</v>
      </c>
      <c r="AV188" s="561">
        <v>0</v>
      </c>
      <c r="AW188" s="561">
        <v>0</v>
      </c>
      <c r="AX188" s="561">
        <v>0</v>
      </c>
      <c r="AY188" s="561">
        <v>0</v>
      </c>
      <c r="AZ188" s="561">
        <v>0</v>
      </c>
      <c r="BA188" s="561">
        <v>0</v>
      </c>
      <c r="BB188" s="561">
        <v>0</v>
      </c>
      <c r="BC188" s="561">
        <v>0</v>
      </c>
      <c r="BD188" s="561">
        <v>0</v>
      </c>
      <c r="BE188" s="561">
        <v>0</v>
      </c>
      <c r="BF188" s="561">
        <v>0</v>
      </c>
      <c r="BG188" s="561">
        <v>0</v>
      </c>
      <c r="BH188" s="561">
        <v>0</v>
      </c>
      <c r="BI188" s="561">
        <v>0</v>
      </c>
      <c r="BJ188" s="561">
        <v>0</v>
      </c>
      <c r="BK188" s="561">
        <v>0</v>
      </c>
      <c r="BL188" s="561">
        <v>0</v>
      </c>
      <c r="BM188" s="561">
        <v>0</v>
      </c>
      <c r="BN188" s="561">
        <v>0</v>
      </c>
      <c r="BO188" s="561">
        <v>0</v>
      </c>
      <c r="BP188" s="561">
        <v>0</v>
      </c>
      <c r="BQ188" s="561">
        <v>0</v>
      </c>
      <c r="BR188" s="561">
        <v>0</v>
      </c>
      <c r="BS188" s="561">
        <v>0</v>
      </c>
      <c r="BT188" s="561">
        <v>0</v>
      </c>
      <c r="BU188" s="561">
        <v>0</v>
      </c>
      <c r="BV188" s="561">
        <v>0</v>
      </c>
      <c r="BW188" s="561">
        <v>0</v>
      </c>
      <c r="BX188" s="561">
        <v>0</v>
      </c>
      <c r="BY188" s="561">
        <v>0</v>
      </c>
      <c r="BZ188" s="561">
        <v>0</v>
      </c>
      <c r="CA188" s="561">
        <v>0</v>
      </c>
      <c r="CB188" s="561">
        <v>0</v>
      </c>
      <c r="CC188" s="561">
        <v>0</v>
      </c>
      <c r="CD188" s="561">
        <v>0</v>
      </c>
      <c r="CE188" s="561">
        <v>0</v>
      </c>
      <c r="CF188" s="561">
        <v>0</v>
      </c>
      <c r="CG188" s="561">
        <v>0</v>
      </c>
      <c r="CH188" s="561">
        <v>0</v>
      </c>
      <c r="CI188" s="561">
        <v>0</v>
      </c>
      <c r="CJ188" s="561">
        <v>0</v>
      </c>
      <c r="CK188" s="561">
        <v>0</v>
      </c>
      <c r="CL188" s="561">
        <v>0</v>
      </c>
      <c r="CM188" s="561">
        <v>0</v>
      </c>
      <c r="CN188" s="561">
        <v>0</v>
      </c>
      <c r="CO188" s="561">
        <v>0</v>
      </c>
      <c r="CP188" s="561">
        <v>0</v>
      </c>
      <c r="CQ188" s="561">
        <v>0</v>
      </c>
      <c r="CR188" s="561">
        <v>0</v>
      </c>
      <c r="CS188" s="561">
        <v>0</v>
      </c>
      <c r="CT188" s="561">
        <v>0</v>
      </c>
      <c r="CU188" s="561">
        <v>0</v>
      </c>
      <c r="CV188" s="561">
        <v>0</v>
      </c>
      <c r="CW188" s="561">
        <v>0</v>
      </c>
      <c r="CX188" s="561">
        <v>0</v>
      </c>
      <c r="CY188" s="561">
        <v>0</v>
      </c>
      <c r="CZ188" s="561">
        <v>0</v>
      </c>
      <c r="DA188" s="561">
        <v>0</v>
      </c>
      <c r="DB188" s="561">
        <v>0</v>
      </c>
      <c r="DC188" s="561">
        <v>0</v>
      </c>
      <c r="DD188" s="561">
        <v>0</v>
      </c>
      <c r="DE188" s="561">
        <v>0</v>
      </c>
      <c r="DF188" s="561">
        <v>0</v>
      </c>
      <c r="DG188" s="561">
        <v>0</v>
      </c>
      <c r="DH188" s="561">
        <v>475</v>
      </c>
      <c r="DI188" s="561">
        <v>0</v>
      </c>
      <c r="DJ188" s="561">
        <v>776</v>
      </c>
      <c r="DK188" s="561">
        <v>0</v>
      </c>
      <c r="DL188" s="561">
        <v>0</v>
      </c>
      <c r="DM188" s="561">
        <v>0</v>
      </c>
      <c r="DN188" s="561">
        <v>0</v>
      </c>
      <c r="DO188" s="561">
        <v>0</v>
      </c>
      <c r="DP188" s="561">
        <v>0</v>
      </c>
      <c r="DQ188" s="561">
        <v>0</v>
      </c>
      <c r="DR188" s="561">
        <v>0</v>
      </c>
      <c r="DS188" s="561">
        <v>588</v>
      </c>
      <c r="DT188" s="561">
        <v>0</v>
      </c>
      <c r="DU188" s="561">
        <v>588</v>
      </c>
      <c r="DV188" s="561">
        <v>-65</v>
      </c>
      <c r="DW188" s="561">
        <v>0</v>
      </c>
      <c r="DX188" s="561">
        <v>0</v>
      </c>
      <c r="DY188" s="561">
        <v>954</v>
      </c>
      <c r="DZ188" s="561">
        <v>0</v>
      </c>
      <c r="EA188" s="561">
        <v>-52</v>
      </c>
      <c r="EB188" s="561">
        <v>0</v>
      </c>
      <c r="EC188" s="561">
        <v>2676</v>
      </c>
      <c r="ED188" s="561">
        <v>0</v>
      </c>
      <c r="EE188" s="561">
        <v>0</v>
      </c>
      <c r="EF188" s="561">
        <v>0</v>
      </c>
      <c r="EG188" s="561">
        <v>0</v>
      </c>
      <c r="EH188" s="561">
        <v>0</v>
      </c>
      <c r="EI188" s="561">
        <v>0</v>
      </c>
      <c r="EJ188" s="561">
        <v>0</v>
      </c>
      <c r="EK188" s="561">
        <v>0</v>
      </c>
      <c r="EL188" s="561">
        <v>0</v>
      </c>
      <c r="EM188" s="561">
        <v>0</v>
      </c>
      <c r="EN188" s="561">
        <v>0</v>
      </c>
      <c r="EO188" s="561">
        <v>0</v>
      </c>
      <c r="EP188" s="561">
        <v>0</v>
      </c>
      <c r="EQ188" s="561">
        <v>0</v>
      </c>
      <c r="ER188" s="561">
        <v>0</v>
      </c>
      <c r="ES188" s="561" t="s">
        <v>4565</v>
      </c>
      <c r="ET188" s="561">
        <v>0</v>
      </c>
      <c r="EU188" s="561">
        <v>0</v>
      </c>
      <c r="EV188" s="561">
        <v>0</v>
      </c>
      <c r="EW188" s="561">
        <v>0</v>
      </c>
      <c r="EX188" s="561">
        <v>0</v>
      </c>
      <c r="EY188" s="561">
        <v>0</v>
      </c>
      <c r="EZ188" s="561">
        <v>0</v>
      </c>
      <c r="FA188" s="561">
        <v>0</v>
      </c>
      <c r="FB188" s="561">
        <v>0</v>
      </c>
      <c r="FC188" s="561">
        <v>14</v>
      </c>
      <c r="FD188" s="561">
        <v>494</v>
      </c>
      <c r="FE188" s="561">
        <v>136</v>
      </c>
      <c r="FF188" s="561">
        <v>546</v>
      </c>
      <c r="FG188" s="561">
        <v>-3</v>
      </c>
      <c r="FH188" s="561">
        <v>0</v>
      </c>
      <c r="FI188" s="561">
        <v>17</v>
      </c>
      <c r="FJ188" s="561">
        <v>1821</v>
      </c>
      <c r="FK188" s="561">
        <v>1223</v>
      </c>
      <c r="FL188" s="561">
        <v>0</v>
      </c>
      <c r="FM188" s="561">
        <v>-321</v>
      </c>
      <c r="FN188" s="561">
        <v>0</v>
      </c>
      <c r="FO188" s="561">
        <v>3927</v>
      </c>
      <c r="FP188" s="561">
        <v>0</v>
      </c>
      <c r="FQ188" s="561">
        <v>-736</v>
      </c>
      <c r="FR188" s="561">
        <v>0</v>
      </c>
      <c r="FS188" s="561">
        <v>231</v>
      </c>
      <c r="FT188" s="561">
        <v>653</v>
      </c>
      <c r="FU188" s="561">
        <v>883</v>
      </c>
      <c r="FV188" s="561">
        <v>0</v>
      </c>
      <c r="FW188" s="561">
        <v>-2</v>
      </c>
      <c r="FX188" s="561">
        <v>0</v>
      </c>
      <c r="FY188" s="561">
        <v>0</v>
      </c>
      <c r="FZ188" s="561">
        <v>0</v>
      </c>
      <c r="GA188" s="561">
        <v>401</v>
      </c>
      <c r="GB188" s="561">
        <v>66</v>
      </c>
      <c r="GC188" s="561">
        <v>109</v>
      </c>
      <c r="GD188" s="561">
        <v>89</v>
      </c>
      <c r="GE188" s="561">
        <v>146</v>
      </c>
      <c r="GF188" s="561">
        <v>-356</v>
      </c>
      <c r="GG188" s="561">
        <v>0</v>
      </c>
      <c r="GH188" s="561">
        <v>0</v>
      </c>
      <c r="GI188" s="561">
        <v>0</v>
      </c>
      <c r="GJ188" s="561">
        <v>272</v>
      </c>
      <c r="GK188" s="561">
        <v>0</v>
      </c>
      <c r="GL188" s="561">
        <v>1558</v>
      </c>
      <c r="GM188" s="561">
        <v>1348</v>
      </c>
      <c r="GN188" s="561">
        <v>0</v>
      </c>
      <c r="GO188" s="561">
        <v>-656</v>
      </c>
      <c r="GP188" s="561">
        <v>1829</v>
      </c>
      <c r="GQ188" s="561">
        <v>0</v>
      </c>
      <c r="GR188" s="561">
        <v>0</v>
      </c>
      <c r="GS188" s="561">
        <v>5835</v>
      </c>
      <c r="GT188" s="561">
        <v>174</v>
      </c>
      <c r="GU188" s="561">
        <v>476</v>
      </c>
      <c r="GV188" s="561">
        <v>416</v>
      </c>
      <c r="GW188" s="561">
        <v>0</v>
      </c>
      <c r="GX188" s="561">
        <v>439</v>
      </c>
      <c r="GY188" s="561">
        <v>-59</v>
      </c>
      <c r="GZ188" s="561">
        <v>-90</v>
      </c>
      <c r="HA188" s="561">
        <v>0</v>
      </c>
      <c r="HB188" s="561">
        <v>-217</v>
      </c>
      <c r="HC188" s="561">
        <v>199</v>
      </c>
      <c r="HD188" s="561">
        <v>1164</v>
      </c>
      <c r="HE188" s="561">
        <v>486</v>
      </c>
      <c r="HF188" s="561">
        <v>10926</v>
      </c>
      <c r="HG188" s="561">
        <v>660</v>
      </c>
      <c r="HH188" s="561">
        <v>0</v>
      </c>
      <c r="HI188" s="561">
        <v>0</v>
      </c>
      <c r="HJ188" s="561">
        <v>0</v>
      </c>
      <c r="HK188" s="561">
        <v>0</v>
      </c>
      <c r="HL188" s="561">
        <v>0</v>
      </c>
      <c r="HM188" s="561">
        <v>0</v>
      </c>
      <c r="HN188" s="561">
        <v>0</v>
      </c>
      <c r="HO188" s="561">
        <v>11581</v>
      </c>
      <c r="HP188" s="561">
        <v>606</v>
      </c>
      <c r="HQ188" s="561">
        <v>0</v>
      </c>
      <c r="HR188" s="561">
        <v>0</v>
      </c>
      <c r="HS188" s="561">
        <v>48</v>
      </c>
      <c r="HT188" s="561">
        <v>-4</v>
      </c>
      <c r="HU188" s="561">
        <v>-2</v>
      </c>
      <c r="HV188" s="561">
        <v>0</v>
      </c>
      <c r="HW188" s="561">
        <v>263</v>
      </c>
      <c r="HX188" s="561">
        <v>2</v>
      </c>
      <c r="HY188" s="561">
        <v>111</v>
      </c>
      <c r="HZ188" s="561">
        <v>4</v>
      </c>
      <c r="IA188" s="561">
        <v>0</v>
      </c>
      <c r="IB188" s="561">
        <v>152</v>
      </c>
      <c r="IC188" s="561">
        <v>0</v>
      </c>
      <c r="ID188" s="561">
        <v>0</v>
      </c>
      <c r="IE188" s="561">
        <v>0</v>
      </c>
      <c r="IF188" s="561">
        <v>0</v>
      </c>
      <c r="IG188" s="561">
        <v>0</v>
      </c>
      <c r="IH188" s="561">
        <v>8</v>
      </c>
      <c r="II188" s="561">
        <v>12769</v>
      </c>
      <c r="IJ188" s="561">
        <v>962</v>
      </c>
      <c r="IK188" s="561">
        <v>0</v>
      </c>
      <c r="IL188" s="561">
        <v>0</v>
      </c>
      <c r="IM188" s="561">
        <v>0</v>
      </c>
      <c r="IN188" s="561">
        <v>0</v>
      </c>
      <c r="IO188" s="561">
        <v>0</v>
      </c>
      <c r="IP188" s="561">
        <v>0</v>
      </c>
      <c r="IQ188" s="561">
        <v>0</v>
      </c>
      <c r="IR188" s="561">
        <v>0</v>
      </c>
      <c r="IS188" s="561">
        <v>-3265</v>
      </c>
      <c r="IT188" s="561">
        <v>0</v>
      </c>
      <c r="IU188" s="561">
        <v>0</v>
      </c>
      <c r="IV188" s="561">
        <v>0</v>
      </c>
      <c r="IW188" s="561">
        <v>2676</v>
      </c>
      <c r="IX188" s="561">
        <v>3927</v>
      </c>
      <c r="IY188" s="561">
        <v>5835</v>
      </c>
      <c r="IZ188" s="561">
        <v>1164</v>
      </c>
      <c r="JA188" s="561">
        <v>0</v>
      </c>
      <c r="JB188" s="561">
        <v>0</v>
      </c>
      <c r="JC188" s="561">
        <v>12769</v>
      </c>
      <c r="JD188" s="561">
        <v>0</v>
      </c>
      <c r="JE188" s="561">
        <v>23106</v>
      </c>
      <c r="JF188" s="561">
        <v>25386</v>
      </c>
      <c r="JG188" s="561">
        <v>0</v>
      </c>
      <c r="JH188" s="561">
        <v>0</v>
      </c>
      <c r="JI188" s="561">
        <v>0</v>
      </c>
      <c r="JJ188" s="561">
        <v>0</v>
      </c>
      <c r="JK188" s="561">
        <v>3414</v>
      </c>
      <c r="JL188" s="561">
        <v>0</v>
      </c>
      <c r="JM188" s="561">
        <v>0</v>
      </c>
      <c r="JN188" s="561">
        <v>0</v>
      </c>
      <c r="JO188" s="561">
        <v>3510</v>
      </c>
      <c r="JP188" s="561">
        <v>-1884</v>
      </c>
      <c r="JQ188" s="561">
        <v>0</v>
      </c>
      <c r="JR188" s="561">
        <v>0</v>
      </c>
      <c r="JS188" s="561">
        <v>0</v>
      </c>
      <c r="JT188" s="561">
        <v>0</v>
      </c>
      <c r="JU188" s="561">
        <v>0</v>
      </c>
      <c r="JV188" s="561">
        <v>53532</v>
      </c>
      <c r="JW188" s="561">
        <v>0</v>
      </c>
      <c r="JX188" s="561">
        <v>0</v>
      </c>
      <c r="JY188" s="561">
        <v>0</v>
      </c>
      <c r="JZ188" s="561">
        <v>0</v>
      </c>
      <c r="KA188" s="561">
        <v>0</v>
      </c>
      <c r="KB188" s="561">
        <v>0</v>
      </c>
      <c r="KC188" s="561">
        <v>0</v>
      </c>
      <c r="KD188" s="561">
        <v>0</v>
      </c>
      <c r="KE188" s="561">
        <v>1366</v>
      </c>
      <c r="KF188" s="561">
        <v>0</v>
      </c>
      <c r="KG188" s="561">
        <v>54898</v>
      </c>
      <c r="KH188" s="561">
        <v>-1155</v>
      </c>
      <c r="KI188" s="561">
        <v>0</v>
      </c>
      <c r="KJ188" s="561">
        <v>0</v>
      </c>
      <c r="KK188" s="561">
        <v>0</v>
      </c>
      <c r="KL188" s="561">
        <v>-24155</v>
      </c>
      <c r="KM188" s="561">
        <v>0</v>
      </c>
      <c r="KN188" s="561">
        <v>-815</v>
      </c>
      <c r="KO188" s="561">
        <v>0</v>
      </c>
      <c r="KP188" s="561">
        <v>0</v>
      </c>
      <c r="KQ188" s="561">
        <v>0</v>
      </c>
      <c r="KR188" s="561">
        <v>28773</v>
      </c>
      <c r="KS188" s="561">
        <v>0</v>
      </c>
      <c r="KT188" s="561">
        <v>-2600</v>
      </c>
      <c r="KU188" s="561">
        <v>26173</v>
      </c>
      <c r="KV188" s="561">
        <v>0</v>
      </c>
      <c r="KW188" s="561">
        <v>0</v>
      </c>
      <c r="KX188" s="561">
        <v>0</v>
      </c>
      <c r="KY188" s="561">
        <v>0</v>
      </c>
      <c r="KZ188" s="561">
        <v>1034</v>
      </c>
      <c r="LA188" s="561">
        <v>1034</v>
      </c>
      <c r="LB188" s="561">
        <v>-1015</v>
      </c>
      <c r="LC188" s="561">
        <v>0</v>
      </c>
      <c r="LD188" s="561">
        <v>-14990</v>
      </c>
      <c r="LE188" s="561">
        <v>0</v>
      </c>
      <c r="LF188" s="561">
        <v>0</v>
      </c>
      <c r="LG188" s="561">
        <v>12236</v>
      </c>
      <c r="LH188" s="561">
        <v>0</v>
      </c>
      <c r="LI188" s="561">
        <v>0</v>
      </c>
      <c r="LJ188" s="561">
        <v>0</v>
      </c>
      <c r="LK188" s="561">
        <v>0</v>
      </c>
      <c r="LL188" s="561">
        <v>30214</v>
      </c>
      <c r="LM188" s="561">
        <v>8598</v>
      </c>
      <c r="LN188" s="561">
        <v>0</v>
      </c>
      <c r="LO188" s="561">
        <v>0</v>
      </c>
      <c r="LP188" s="561">
        <v>0</v>
      </c>
      <c r="LQ188" s="561">
        <v>0</v>
      </c>
      <c r="LR188" s="561">
        <v>31248</v>
      </c>
      <c r="LS188" s="561">
        <v>9632</v>
      </c>
      <c r="LT188" s="561">
        <v>4</v>
      </c>
      <c r="LU188" s="561">
        <v>0</v>
      </c>
      <c r="LV188" s="561">
        <v>0</v>
      </c>
      <c r="LW188" s="561">
        <v>0</v>
      </c>
      <c r="LX188" s="561">
        <v>0</v>
      </c>
      <c r="LY188" s="561">
        <v>0</v>
      </c>
      <c r="LZ188" s="561">
        <v>0</v>
      </c>
      <c r="MA188" s="561">
        <v>0</v>
      </c>
      <c r="MB188" s="561">
        <v>0</v>
      </c>
      <c r="MC188" s="561">
        <v>0</v>
      </c>
      <c r="MD188" s="561">
        <v>0</v>
      </c>
      <c r="ME188" s="561">
        <v>0</v>
      </c>
      <c r="MF188" s="561">
        <v>0</v>
      </c>
      <c r="MG188" s="561">
        <v>0</v>
      </c>
      <c r="MH188" s="561">
        <v>4944</v>
      </c>
      <c r="MI188" s="561">
        <v>5920</v>
      </c>
      <c r="MJ188" s="561">
        <v>10864</v>
      </c>
      <c r="MK188" s="561">
        <v>0</v>
      </c>
      <c r="ML188" s="561">
        <v>10420</v>
      </c>
      <c r="MM188" s="561">
        <v>6875</v>
      </c>
      <c r="MN188" s="561">
        <v>120</v>
      </c>
      <c r="MO188" s="561">
        <v>13833</v>
      </c>
      <c r="MP188" s="561">
        <v>0</v>
      </c>
      <c r="MQ188" s="561">
        <v>0</v>
      </c>
      <c r="MR188" s="561">
        <v>-3265</v>
      </c>
      <c r="MS188" s="561">
        <v>0</v>
      </c>
      <c r="MT188" s="561">
        <v>0</v>
      </c>
      <c r="MU188" s="561">
        <v>0</v>
      </c>
      <c r="MV188" s="561">
        <v>2676</v>
      </c>
      <c r="MW188" s="561">
        <v>3927</v>
      </c>
      <c r="MX188" s="561">
        <v>5835</v>
      </c>
      <c r="MY188" s="561">
        <v>1164</v>
      </c>
      <c r="MZ188" s="561">
        <v>0</v>
      </c>
      <c r="NA188" s="561">
        <v>0</v>
      </c>
      <c r="NB188" s="561">
        <v>12769</v>
      </c>
      <c r="NC188" s="561">
        <v>0</v>
      </c>
      <c r="ND188" s="561">
        <v>23106</v>
      </c>
      <c r="NE188" s="561">
        <v>0</v>
      </c>
      <c r="NF188" s="561">
        <v>0</v>
      </c>
      <c r="NG188" s="561">
        <v>0</v>
      </c>
      <c r="NH188" s="561">
        <v>0</v>
      </c>
      <c r="NI188" s="561">
        <v>0</v>
      </c>
      <c r="NJ188" s="561">
        <v>0</v>
      </c>
      <c r="NK188" s="561">
        <v>0</v>
      </c>
      <c r="NL188" s="561">
        <v>0</v>
      </c>
      <c r="NM188" s="561">
        <v>0</v>
      </c>
      <c r="NN188" s="561">
        <v>0</v>
      </c>
      <c r="NO188" s="561">
        <v>0</v>
      </c>
      <c r="NP188" s="561">
        <v>0</v>
      </c>
      <c r="NQ188" s="561">
        <v>0</v>
      </c>
      <c r="NR188" s="561">
        <v>0</v>
      </c>
      <c r="NS188" s="561">
        <v>0</v>
      </c>
      <c r="NT188" s="561">
        <v>-1645</v>
      </c>
      <c r="NU188" s="561">
        <v>0</v>
      </c>
      <c r="NV188" s="561">
        <v>3</v>
      </c>
      <c r="NW188" s="561">
        <v>-1884</v>
      </c>
      <c r="NX188" s="561">
        <v>0</v>
      </c>
      <c r="NY188" s="561">
        <v>-1884</v>
      </c>
      <c r="NZ188" s="561">
        <v>0</v>
      </c>
      <c r="OA188" s="561">
        <v>0</v>
      </c>
      <c r="OB188" s="561">
        <v>0</v>
      </c>
      <c r="OC188" s="561">
        <v>0</v>
      </c>
      <c r="OD188" s="561">
        <v>0</v>
      </c>
      <c r="OE188" s="561">
        <v>0</v>
      </c>
      <c r="OF188" s="561">
        <v>0</v>
      </c>
      <c r="OG188" s="561">
        <v>0</v>
      </c>
      <c r="OH188" s="561">
        <v>0</v>
      </c>
      <c r="OI188" s="561">
        <v>0</v>
      </c>
      <c r="OJ188" s="561">
        <v>0</v>
      </c>
      <c r="OK188" s="561">
        <v>0</v>
      </c>
      <c r="OL188" s="561">
        <v>0</v>
      </c>
      <c r="OM188" s="561">
        <v>0</v>
      </c>
      <c r="ON188" s="561">
        <v>0</v>
      </c>
      <c r="OO188" s="561">
        <v>0</v>
      </c>
      <c r="OP188" s="561">
        <v>0</v>
      </c>
      <c r="OQ188" s="561">
        <v>0</v>
      </c>
      <c r="OR188" s="561">
        <v>0</v>
      </c>
      <c r="OS188" s="561">
        <v>0</v>
      </c>
      <c r="OT188" s="561">
        <v>0</v>
      </c>
      <c r="OU188" s="561">
        <v>0</v>
      </c>
      <c r="OV188" s="561">
        <v>0</v>
      </c>
      <c r="OW188" s="561">
        <v>0</v>
      </c>
      <c r="OX188" s="561">
        <v>0</v>
      </c>
      <c r="OY188" s="561">
        <v>0</v>
      </c>
      <c r="OZ188" s="561">
        <v>0</v>
      </c>
      <c r="PA188" s="561">
        <v>0</v>
      </c>
      <c r="PB188" s="561">
        <v>0</v>
      </c>
      <c r="PC188" s="561">
        <v>0</v>
      </c>
      <c r="PD188" s="561">
        <v>0</v>
      </c>
      <c r="PE188" s="561">
        <v>0</v>
      </c>
      <c r="PF188" s="561">
        <v>0</v>
      </c>
      <c r="PG188" s="561">
        <v>0</v>
      </c>
      <c r="PH188" s="561">
        <v>0</v>
      </c>
      <c r="PI188" s="561">
        <v>0</v>
      </c>
      <c r="PJ188" s="561">
        <v>0</v>
      </c>
    </row>
    <row r="189" spans="1:426" ht="14" x14ac:dyDescent="0.3">
      <c r="A189" t="s">
        <v>3008</v>
      </c>
      <c r="B189" t="s">
        <v>3009</v>
      </c>
      <c r="C189" t="s">
        <v>4616</v>
      </c>
      <c r="E189" t="s">
        <v>2476</v>
      </c>
      <c r="F189" s="561">
        <v>21097.41</v>
      </c>
      <c r="G189" s="561">
        <v>78883.66</v>
      </c>
      <c r="H189" s="561">
        <v>3506.48</v>
      </c>
      <c r="I189" s="561">
        <v>20001.8</v>
      </c>
      <c r="J189" s="561">
        <v>6584.56</v>
      </c>
      <c r="K189" s="561">
        <v>18725.740000000002</v>
      </c>
      <c r="L189" s="561">
        <v>148799.65</v>
      </c>
      <c r="M189" s="561">
        <v>1493</v>
      </c>
      <c r="N189" s="561">
        <v>777</v>
      </c>
      <c r="O189" s="561">
        <v>1155</v>
      </c>
      <c r="P189" s="561">
        <v>727</v>
      </c>
      <c r="Q189" s="561">
        <v>2342</v>
      </c>
      <c r="R189" s="561">
        <v>0</v>
      </c>
      <c r="S189" s="561">
        <v>0</v>
      </c>
      <c r="T189" s="561">
        <v>26</v>
      </c>
      <c r="U189" s="561">
        <v>1470</v>
      </c>
      <c r="V189" s="561">
        <v>0</v>
      </c>
      <c r="W189" s="561">
        <v>0</v>
      </c>
      <c r="X189" s="561">
        <v>-658</v>
      </c>
      <c r="Y189" s="561">
        <v>393</v>
      </c>
      <c r="Z189" s="561">
        <v>260</v>
      </c>
      <c r="AA189" s="561">
        <v>-2438</v>
      </c>
      <c r="AB189" s="561">
        <v>-3681</v>
      </c>
      <c r="AC189" s="561">
        <v>4532</v>
      </c>
      <c r="AD189" s="561">
        <v>0</v>
      </c>
      <c r="AE189" s="561">
        <v>0</v>
      </c>
      <c r="AF189" s="561">
        <v>0</v>
      </c>
      <c r="AG189" s="561">
        <v>0</v>
      </c>
      <c r="AH189" s="561">
        <v>0</v>
      </c>
      <c r="AI189" s="561">
        <v>0</v>
      </c>
      <c r="AJ189" s="561">
        <v>4905</v>
      </c>
      <c r="AK189" s="561">
        <v>674</v>
      </c>
      <c r="AL189" s="561">
        <v>0</v>
      </c>
      <c r="AM189" s="561">
        <v>0</v>
      </c>
      <c r="AN189" s="561">
        <v>0</v>
      </c>
      <c r="AO189" s="561">
        <v>0</v>
      </c>
      <c r="AP189" s="561">
        <v>0</v>
      </c>
      <c r="AQ189" s="561">
        <v>0</v>
      </c>
      <c r="AR189" s="561">
        <v>0</v>
      </c>
      <c r="AS189" s="561">
        <v>2489</v>
      </c>
      <c r="AT189" s="561">
        <v>4042</v>
      </c>
      <c r="AU189" s="561">
        <v>0</v>
      </c>
      <c r="AV189" s="561">
        <v>0</v>
      </c>
      <c r="AW189" s="561">
        <v>0</v>
      </c>
      <c r="AX189" s="561">
        <v>1293.6099999999999</v>
      </c>
      <c r="AY189" s="561">
        <v>22025</v>
      </c>
      <c r="AZ189" s="561">
        <v>543.54</v>
      </c>
      <c r="BA189" s="561">
        <v>6049.76</v>
      </c>
      <c r="BB189" s="561">
        <v>646.28</v>
      </c>
      <c r="BC189" s="561">
        <v>7579.28</v>
      </c>
      <c r="BD189" s="561">
        <v>1296.3800000000001</v>
      </c>
      <c r="BE189" s="561">
        <v>3908.22</v>
      </c>
      <c r="BF189" s="561">
        <v>43342.07</v>
      </c>
      <c r="BG189" s="561">
        <v>0</v>
      </c>
      <c r="BH189" s="561">
        <v>2145</v>
      </c>
      <c r="BI189" s="561">
        <v>9265</v>
      </c>
      <c r="BJ189" s="561">
        <v>452</v>
      </c>
      <c r="BK189" s="561">
        <v>512</v>
      </c>
      <c r="BL189" s="561">
        <v>315</v>
      </c>
      <c r="BM189" s="561">
        <v>4694</v>
      </c>
      <c r="BN189" s="561">
        <v>21550</v>
      </c>
      <c r="BO189" s="561">
        <v>2406</v>
      </c>
      <c r="BP189" s="561">
        <v>4949</v>
      </c>
      <c r="BQ189" s="561">
        <v>623</v>
      </c>
      <c r="BR189" s="561">
        <v>101</v>
      </c>
      <c r="BS189" s="561">
        <v>0</v>
      </c>
      <c r="BT189" s="561">
        <v>238</v>
      </c>
      <c r="BU189" s="561">
        <v>402</v>
      </c>
      <c r="BV189" s="561">
        <v>274</v>
      </c>
      <c r="BW189" s="561">
        <v>16866</v>
      </c>
      <c r="BX189" s="561">
        <v>158</v>
      </c>
      <c r="BY189" s="561">
        <v>127</v>
      </c>
      <c r="BZ189" s="561">
        <v>65077</v>
      </c>
      <c r="CA189" s="561">
        <v>1777</v>
      </c>
      <c r="CB189" s="561">
        <v>1012</v>
      </c>
      <c r="CC189" s="561">
        <v>990</v>
      </c>
      <c r="CD189" s="561">
        <v>337</v>
      </c>
      <c r="CE189" s="561">
        <v>386</v>
      </c>
      <c r="CF189" s="561">
        <v>122</v>
      </c>
      <c r="CG189" s="561">
        <v>87</v>
      </c>
      <c r="CH189" s="561">
        <v>59</v>
      </c>
      <c r="CI189" s="561">
        <v>120</v>
      </c>
      <c r="CJ189" s="561">
        <v>151</v>
      </c>
      <c r="CK189" s="561">
        <v>347</v>
      </c>
      <c r="CL189" s="561">
        <v>267</v>
      </c>
      <c r="CM189" s="561">
        <v>983</v>
      </c>
      <c r="CN189" s="561">
        <v>983</v>
      </c>
      <c r="CO189" s="561">
        <v>393</v>
      </c>
      <c r="CP189" s="561">
        <v>364</v>
      </c>
      <c r="CQ189" s="561">
        <v>91</v>
      </c>
      <c r="CR189" s="561">
        <v>326</v>
      </c>
      <c r="CS189" s="561">
        <v>95</v>
      </c>
      <c r="CT189" s="561">
        <v>679</v>
      </c>
      <c r="CU189" s="561">
        <v>1706</v>
      </c>
      <c r="CV189" s="561">
        <v>942</v>
      </c>
      <c r="CW189" s="561">
        <v>87</v>
      </c>
      <c r="CX189" s="561">
        <v>357</v>
      </c>
      <c r="CY189" s="561">
        <v>1314</v>
      </c>
      <c r="CZ189" s="561">
        <v>12198</v>
      </c>
      <c r="DA189" s="561">
        <v>93</v>
      </c>
      <c r="DB189" s="561">
        <v>0</v>
      </c>
      <c r="DC189" s="561">
        <v>0</v>
      </c>
      <c r="DD189" s="561">
        <v>0</v>
      </c>
      <c r="DE189" s="561">
        <v>0</v>
      </c>
      <c r="DF189" s="561">
        <v>0</v>
      </c>
      <c r="DG189" s="561">
        <v>0</v>
      </c>
      <c r="DH189" s="561">
        <v>1760</v>
      </c>
      <c r="DI189" s="561">
        <v>0</v>
      </c>
      <c r="DJ189" s="561">
        <v>0</v>
      </c>
      <c r="DK189" s="561">
        <v>0</v>
      </c>
      <c r="DL189" s="561">
        <v>241</v>
      </c>
      <c r="DM189" s="561">
        <v>3098</v>
      </c>
      <c r="DN189" s="561">
        <v>0</v>
      </c>
      <c r="DO189" s="561">
        <v>10222</v>
      </c>
      <c r="DP189" s="561">
        <v>0</v>
      </c>
      <c r="DQ189" s="561">
        <v>0</v>
      </c>
      <c r="DR189" s="561">
        <v>622</v>
      </c>
      <c r="DS189" s="561">
        <v>8</v>
      </c>
      <c r="DT189" s="561">
        <v>871</v>
      </c>
      <c r="DU189" s="561">
        <v>15062</v>
      </c>
      <c r="DV189" s="561">
        <v>0</v>
      </c>
      <c r="DW189" s="561">
        <v>0</v>
      </c>
      <c r="DX189" s="561">
        <v>0</v>
      </c>
      <c r="DY189" s="561">
        <v>1037</v>
      </c>
      <c r="DZ189" s="561">
        <v>275</v>
      </c>
      <c r="EA189" s="561">
        <v>0</v>
      </c>
      <c r="EB189" s="561">
        <v>0</v>
      </c>
      <c r="EC189" s="561">
        <v>18134</v>
      </c>
      <c r="ED189" s="561">
        <v>420</v>
      </c>
      <c r="EE189" s="561">
        <v>30670</v>
      </c>
      <c r="EF189" s="561">
        <v>416</v>
      </c>
      <c r="EG189" s="561">
        <v>4491</v>
      </c>
      <c r="EH189" s="561">
        <v>735</v>
      </c>
      <c r="EI189" s="561">
        <v>0</v>
      </c>
      <c r="EJ189" s="561">
        <v>1021</v>
      </c>
      <c r="EK189" s="561">
        <v>0</v>
      </c>
      <c r="EL189" s="561">
        <v>0</v>
      </c>
      <c r="EM189" s="561">
        <v>0</v>
      </c>
      <c r="EN189" s="561">
        <v>6247</v>
      </c>
      <c r="EO189" s="561">
        <v>13355</v>
      </c>
      <c r="EP189" s="561">
        <v>550</v>
      </c>
      <c r="EQ189" s="561">
        <v>1284</v>
      </c>
      <c r="ER189" s="561">
        <v>0</v>
      </c>
      <c r="ES189" s="561" t="s">
        <v>4565</v>
      </c>
      <c r="ET189" s="561">
        <v>5608</v>
      </c>
      <c r="EU189" s="561">
        <v>256</v>
      </c>
      <c r="EV189" s="561">
        <v>5297</v>
      </c>
      <c r="EW189" s="561">
        <v>-35</v>
      </c>
      <c r="EX189" s="561">
        <v>0</v>
      </c>
      <c r="EY189" s="561">
        <v>410</v>
      </c>
      <c r="EZ189" s="561">
        <v>4361</v>
      </c>
      <c r="FA189" s="561">
        <v>11358</v>
      </c>
      <c r="FB189" s="561">
        <v>0</v>
      </c>
      <c r="FC189" s="561">
        <v>1397</v>
      </c>
      <c r="FD189" s="561">
        <v>460</v>
      </c>
      <c r="FE189" s="561">
        <v>0</v>
      </c>
      <c r="FF189" s="561">
        <v>212</v>
      </c>
      <c r="FG189" s="561">
        <v>2179</v>
      </c>
      <c r="FH189" s="561">
        <v>0</v>
      </c>
      <c r="FI189" s="561">
        <v>0</v>
      </c>
      <c r="FJ189" s="561">
        <v>934</v>
      </c>
      <c r="FK189" s="561">
        <v>2196</v>
      </c>
      <c r="FL189" s="561">
        <v>0</v>
      </c>
      <c r="FM189" s="561">
        <v>0</v>
      </c>
      <c r="FN189" s="561">
        <v>2495</v>
      </c>
      <c r="FO189" s="561">
        <v>9873</v>
      </c>
      <c r="FP189" s="561">
        <v>41</v>
      </c>
      <c r="FQ189" s="561">
        <v>1638</v>
      </c>
      <c r="FR189" s="561">
        <v>217</v>
      </c>
      <c r="FS189" s="561">
        <v>0</v>
      </c>
      <c r="FT189" s="561">
        <v>460</v>
      </c>
      <c r="FU189" s="561">
        <v>1495</v>
      </c>
      <c r="FV189" s="561">
        <v>440</v>
      </c>
      <c r="FW189" s="561">
        <v>0</v>
      </c>
      <c r="FX189" s="561">
        <v>0</v>
      </c>
      <c r="FY189" s="561">
        <v>0</v>
      </c>
      <c r="FZ189" s="561">
        <v>0</v>
      </c>
      <c r="GA189" s="561">
        <v>0</v>
      </c>
      <c r="GB189" s="561">
        <v>0</v>
      </c>
      <c r="GC189" s="561">
        <v>-69</v>
      </c>
      <c r="GD189" s="561">
        <v>1263</v>
      </c>
      <c r="GE189" s="561">
        <v>14</v>
      </c>
      <c r="GF189" s="561">
        <v>0</v>
      </c>
      <c r="GG189" s="561">
        <v>0</v>
      </c>
      <c r="GH189" s="561">
        <v>0</v>
      </c>
      <c r="GI189" s="561">
        <v>0</v>
      </c>
      <c r="GJ189" s="561">
        <v>0</v>
      </c>
      <c r="GK189" s="561">
        <v>0</v>
      </c>
      <c r="GL189" s="561">
        <v>2624</v>
      </c>
      <c r="GM189" s="561">
        <v>3217</v>
      </c>
      <c r="GN189" s="561">
        <v>5550</v>
      </c>
      <c r="GO189" s="561">
        <v>0</v>
      </c>
      <c r="GP189" s="561">
        <v>0</v>
      </c>
      <c r="GQ189" s="561">
        <v>0</v>
      </c>
      <c r="GR189" s="561">
        <v>388</v>
      </c>
      <c r="GS189" s="561">
        <v>17237</v>
      </c>
      <c r="GT189" s="561">
        <v>135</v>
      </c>
      <c r="GU189" s="561">
        <v>506</v>
      </c>
      <c r="GV189" s="561">
        <v>697</v>
      </c>
      <c r="GW189" s="561">
        <v>255</v>
      </c>
      <c r="GX189" s="561">
        <v>624</v>
      </c>
      <c r="GY189" s="561">
        <v>109</v>
      </c>
      <c r="GZ189" s="561">
        <v>1338</v>
      </c>
      <c r="HA189" s="561">
        <v>0</v>
      </c>
      <c r="HB189" s="561">
        <v>319</v>
      </c>
      <c r="HC189" s="561">
        <v>1139</v>
      </c>
      <c r="HD189" s="561">
        <v>4987</v>
      </c>
      <c r="HE189" s="561">
        <v>754</v>
      </c>
      <c r="HF189" s="561">
        <v>32097</v>
      </c>
      <c r="HG189" s="561">
        <v>930</v>
      </c>
      <c r="HH189" s="561">
        <v>0</v>
      </c>
      <c r="HI189" s="561">
        <v>0</v>
      </c>
      <c r="HJ189" s="561">
        <v>0</v>
      </c>
      <c r="HK189" s="561">
        <v>0</v>
      </c>
      <c r="HL189" s="561">
        <v>0</v>
      </c>
      <c r="HM189" s="561">
        <v>0</v>
      </c>
      <c r="HN189" s="561">
        <v>0</v>
      </c>
      <c r="HO189" s="561">
        <v>7939</v>
      </c>
      <c r="HP189" s="561">
        <v>1485</v>
      </c>
      <c r="HQ189" s="561">
        <v>0</v>
      </c>
      <c r="HR189" s="561">
        <v>52</v>
      </c>
      <c r="HS189" s="561">
        <v>0</v>
      </c>
      <c r="HT189" s="561">
        <v>88</v>
      </c>
      <c r="HU189" s="561">
        <v>-10</v>
      </c>
      <c r="HV189" s="561">
        <v>-9</v>
      </c>
      <c r="HW189" s="561">
        <v>446</v>
      </c>
      <c r="HX189" s="561">
        <v>1022</v>
      </c>
      <c r="HY189" s="561">
        <v>485</v>
      </c>
      <c r="HZ189" s="561">
        <v>-48</v>
      </c>
      <c r="IA189" s="561">
        <v>873</v>
      </c>
      <c r="IB189" s="561">
        <v>281</v>
      </c>
      <c r="IC189" s="561">
        <v>0</v>
      </c>
      <c r="ID189" s="561">
        <v>88</v>
      </c>
      <c r="IE189" s="561">
        <v>1441</v>
      </c>
      <c r="IF189" s="561">
        <v>0</v>
      </c>
      <c r="IG189" s="561">
        <v>0</v>
      </c>
      <c r="IH189" s="561">
        <v>0</v>
      </c>
      <c r="II189" s="561">
        <v>14133</v>
      </c>
      <c r="IJ189" s="561">
        <v>3234</v>
      </c>
      <c r="IK189" s="561">
        <v>3434</v>
      </c>
      <c r="IL189" s="561">
        <v>10821</v>
      </c>
      <c r="IM189" s="561">
        <v>0</v>
      </c>
      <c r="IN189" s="561">
        <v>0</v>
      </c>
      <c r="IO189" s="561">
        <v>8207</v>
      </c>
      <c r="IP189" s="561">
        <v>0</v>
      </c>
      <c r="IQ189" s="561">
        <v>0</v>
      </c>
      <c r="IR189" s="561">
        <v>148799.65</v>
      </c>
      <c r="IS189" s="561">
        <v>4905</v>
      </c>
      <c r="IT189" s="561">
        <v>43342.07</v>
      </c>
      <c r="IU189" s="561">
        <v>65077</v>
      </c>
      <c r="IV189" s="561">
        <v>12198</v>
      </c>
      <c r="IW189" s="561">
        <v>18134</v>
      </c>
      <c r="IX189" s="561">
        <v>9873</v>
      </c>
      <c r="IY189" s="561">
        <v>17237</v>
      </c>
      <c r="IZ189" s="561">
        <v>4987</v>
      </c>
      <c r="JA189" s="561">
        <v>0</v>
      </c>
      <c r="JB189" s="561">
        <v>0</v>
      </c>
      <c r="JC189" s="561">
        <v>14133</v>
      </c>
      <c r="JD189" s="561">
        <v>0</v>
      </c>
      <c r="JE189" s="561">
        <v>338685.72</v>
      </c>
      <c r="JF189" s="561">
        <v>24197</v>
      </c>
      <c r="JG189" s="561">
        <v>8061</v>
      </c>
      <c r="JH189" s="561">
        <v>11710</v>
      </c>
      <c r="JI189" s="561">
        <v>0</v>
      </c>
      <c r="JJ189" s="561">
        <v>0</v>
      </c>
      <c r="JK189" s="561">
        <v>0</v>
      </c>
      <c r="JL189" s="561">
        <v>0</v>
      </c>
      <c r="JM189" s="561">
        <v>0</v>
      </c>
      <c r="JN189" s="561">
        <v>212</v>
      </c>
      <c r="JO189" s="561">
        <v>529</v>
      </c>
      <c r="JP189" s="561">
        <v>0</v>
      </c>
      <c r="JQ189" s="561">
        <v>0</v>
      </c>
      <c r="JR189" s="561">
        <v>0</v>
      </c>
      <c r="JS189" s="561">
        <v>0</v>
      </c>
      <c r="JT189" s="561">
        <v>-3015</v>
      </c>
      <c r="JU189" s="561">
        <v>0</v>
      </c>
      <c r="JV189" s="561">
        <v>380379.72</v>
      </c>
      <c r="JW189" s="561">
        <v>156</v>
      </c>
      <c r="JX189" s="561">
        <v>1076</v>
      </c>
      <c r="JY189" s="561">
        <v>0</v>
      </c>
      <c r="JZ189" s="561">
        <v>-1605</v>
      </c>
      <c r="KA189" s="561">
        <v>0</v>
      </c>
      <c r="KB189" s="561">
        <v>3957</v>
      </c>
      <c r="KC189" s="561">
        <v>7565</v>
      </c>
      <c r="KD189" s="561">
        <v>0</v>
      </c>
      <c r="KE189" s="561">
        <v>10342</v>
      </c>
      <c r="KF189" s="561">
        <v>-5297</v>
      </c>
      <c r="KG189" s="561">
        <v>396573.72</v>
      </c>
      <c r="KH189" s="561">
        <v>-9998</v>
      </c>
      <c r="KI189" s="561">
        <v>0</v>
      </c>
      <c r="KJ189" s="561">
        <v>19</v>
      </c>
      <c r="KK189" s="561">
        <v>0</v>
      </c>
      <c r="KL189" s="561">
        <v>-45076.42</v>
      </c>
      <c r="KM189" s="561">
        <v>0</v>
      </c>
      <c r="KN189" s="561">
        <v>-107</v>
      </c>
      <c r="KO189" s="561">
        <v>0</v>
      </c>
      <c r="KP189" s="561">
        <v>0</v>
      </c>
      <c r="KQ189" s="561">
        <v>-3548</v>
      </c>
      <c r="KR189" s="561">
        <v>337863.3</v>
      </c>
      <c r="KS189" s="561">
        <v>0</v>
      </c>
      <c r="KT189" s="561">
        <v>-178056.47</v>
      </c>
      <c r="KU189" s="561">
        <v>159806.82999999999</v>
      </c>
      <c r="KV189" s="561">
        <v>0</v>
      </c>
      <c r="KW189" s="561">
        <v>-596</v>
      </c>
      <c r="KX189" s="561">
        <v>0</v>
      </c>
      <c r="KY189" s="561">
        <v>186</v>
      </c>
      <c r="KZ189" s="561">
        <v>-3937</v>
      </c>
      <c r="LA189" s="561">
        <v>0</v>
      </c>
      <c r="LB189" s="561">
        <v>-197</v>
      </c>
      <c r="LC189" s="561">
        <v>0</v>
      </c>
      <c r="LD189" s="561">
        <v>-27429</v>
      </c>
      <c r="LE189" s="561">
        <v>-3124</v>
      </c>
      <c r="LF189" s="561">
        <v>0</v>
      </c>
      <c r="LG189" s="561">
        <v>124710</v>
      </c>
      <c r="LH189" s="561">
        <v>6942</v>
      </c>
      <c r="LI189" s="561">
        <v>-12402</v>
      </c>
      <c r="LJ189" s="561">
        <v>7682</v>
      </c>
      <c r="LK189" s="561">
        <v>2395</v>
      </c>
      <c r="LL189" s="561">
        <v>40874</v>
      </c>
      <c r="LM189" s="561">
        <v>19633</v>
      </c>
      <c r="LN189" s="561">
        <v>6346</v>
      </c>
      <c r="LO189" s="561">
        <v>-15950</v>
      </c>
      <c r="LP189" s="561">
        <v>7682</v>
      </c>
      <c r="LQ189" s="561">
        <v>2581</v>
      </c>
      <c r="LR189" s="561">
        <v>36937</v>
      </c>
      <c r="LS189" s="561">
        <v>19633</v>
      </c>
      <c r="LT189" s="561">
        <v>0</v>
      </c>
      <c r="LU189" s="561">
        <v>32729</v>
      </c>
      <c r="LV189" s="561">
        <v>0</v>
      </c>
      <c r="LW189" s="561">
        <v>-25028</v>
      </c>
      <c r="LX189" s="561">
        <v>-16588</v>
      </c>
      <c r="LY189" s="561">
        <v>3749</v>
      </c>
      <c r="LZ189" s="561">
        <v>2902</v>
      </c>
      <c r="MA189" s="561">
        <v>0</v>
      </c>
      <c r="MB189" s="561">
        <v>0</v>
      </c>
      <c r="MC189" s="561">
        <v>37333</v>
      </c>
      <c r="MD189" s="561">
        <v>32972</v>
      </c>
      <c r="ME189" s="561">
        <v>4361</v>
      </c>
      <c r="MF189" s="561">
        <v>11358</v>
      </c>
      <c r="MG189" s="561">
        <v>15719</v>
      </c>
      <c r="MH189" s="561">
        <v>4314</v>
      </c>
      <c r="MI189" s="561">
        <v>8152</v>
      </c>
      <c r="MJ189" s="561">
        <v>12466</v>
      </c>
      <c r="MK189" s="561">
        <v>0</v>
      </c>
      <c r="ML189" s="561">
        <v>0</v>
      </c>
      <c r="MM189" s="561">
        <v>24615</v>
      </c>
      <c r="MN189" s="561">
        <v>12322</v>
      </c>
      <c r="MO189" s="561">
        <v>0</v>
      </c>
      <c r="MP189" s="561">
        <v>0</v>
      </c>
      <c r="MQ189" s="561">
        <v>148799.65</v>
      </c>
      <c r="MR189" s="561">
        <v>4905</v>
      </c>
      <c r="MS189" s="561">
        <v>43342.07</v>
      </c>
      <c r="MT189" s="561">
        <v>65077</v>
      </c>
      <c r="MU189" s="561">
        <v>12198</v>
      </c>
      <c r="MV189" s="561">
        <v>18134</v>
      </c>
      <c r="MW189" s="561">
        <v>9873</v>
      </c>
      <c r="MX189" s="561">
        <v>17237</v>
      </c>
      <c r="MY189" s="561">
        <v>4987</v>
      </c>
      <c r="MZ189" s="561">
        <v>0</v>
      </c>
      <c r="NA189" s="561">
        <v>0</v>
      </c>
      <c r="NB189" s="561">
        <v>14133</v>
      </c>
      <c r="NC189" s="561">
        <v>0</v>
      </c>
      <c r="ND189" s="561">
        <v>338685.72</v>
      </c>
      <c r="NE189" s="561">
        <v>0</v>
      </c>
      <c r="NF189" s="561">
        <v>0</v>
      </c>
      <c r="NG189" s="561">
        <v>0</v>
      </c>
      <c r="NH189" s="561">
        <v>0</v>
      </c>
      <c r="NI189" s="561">
        <v>0</v>
      </c>
      <c r="NJ189" s="561">
        <v>0</v>
      </c>
      <c r="NK189" s="561">
        <v>0</v>
      </c>
      <c r="NL189" s="561">
        <v>0</v>
      </c>
      <c r="NM189" s="561">
        <v>0</v>
      </c>
      <c r="NN189" s="561">
        <v>0</v>
      </c>
      <c r="NO189" s="561">
        <v>0</v>
      </c>
      <c r="NP189" s="561">
        <v>0</v>
      </c>
      <c r="NQ189" s="561">
        <v>0</v>
      </c>
      <c r="NR189" s="561">
        <v>0</v>
      </c>
      <c r="NS189" s="561">
        <v>0</v>
      </c>
      <c r="NT189" s="561">
        <v>0</v>
      </c>
      <c r="NU189" s="561">
        <v>224</v>
      </c>
      <c r="NV189" s="561">
        <v>0</v>
      </c>
      <c r="NW189" s="561">
        <v>0</v>
      </c>
      <c r="NX189" s="561">
        <v>0</v>
      </c>
      <c r="NY189" s="561">
        <v>0</v>
      </c>
      <c r="NZ189" s="561">
        <v>0</v>
      </c>
      <c r="OA189" s="561">
        <v>0</v>
      </c>
      <c r="OB189" s="561">
        <v>0</v>
      </c>
      <c r="OC189" s="561">
        <v>0</v>
      </c>
      <c r="OD189" s="561">
        <v>0</v>
      </c>
      <c r="OE189" s="561">
        <v>0</v>
      </c>
      <c r="OF189" s="561">
        <v>0</v>
      </c>
      <c r="OG189" s="561">
        <v>0</v>
      </c>
      <c r="OH189" s="561">
        <v>0</v>
      </c>
      <c r="OI189" s="561">
        <v>0</v>
      </c>
      <c r="OJ189" s="561">
        <v>0</v>
      </c>
      <c r="OK189" s="561">
        <v>0</v>
      </c>
      <c r="OL189" s="561">
        <v>0</v>
      </c>
      <c r="OM189" s="561">
        <v>0</v>
      </c>
      <c r="ON189" s="561">
        <v>0</v>
      </c>
      <c r="OO189" s="561">
        <v>0</v>
      </c>
      <c r="OP189" s="561">
        <v>0</v>
      </c>
      <c r="OQ189" s="561">
        <v>0</v>
      </c>
      <c r="OR189" s="561">
        <v>0</v>
      </c>
      <c r="OS189" s="561">
        <v>0</v>
      </c>
      <c r="OT189" s="561">
        <v>0</v>
      </c>
      <c r="OU189" s="561">
        <v>0</v>
      </c>
      <c r="OV189" s="561">
        <v>1179</v>
      </c>
      <c r="OW189" s="561">
        <v>0</v>
      </c>
      <c r="OX189" s="561">
        <v>0</v>
      </c>
      <c r="OY189" s="561">
        <v>0</v>
      </c>
      <c r="OZ189" s="561">
        <v>0</v>
      </c>
      <c r="PA189" s="561">
        <v>0</v>
      </c>
      <c r="PB189" s="561">
        <v>0</v>
      </c>
      <c r="PC189" s="561">
        <v>0</v>
      </c>
      <c r="PD189" s="561">
        <v>0</v>
      </c>
      <c r="PE189" s="561">
        <v>0</v>
      </c>
      <c r="PF189" s="561">
        <v>0</v>
      </c>
      <c r="PG189" s="561">
        <v>0</v>
      </c>
      <c r="PH189" s="561">
        <v>0</v>
      </c>
      <c r="PI189" s="561">
        <v>0</v>
      </c>
      <c r="PJ189" s="561">
        <v>0</v>
      </c>
    </row>
    <row r="190" spans="1:426" ht="14" x14ac:dyDescent="0.3">
      <c r="A190" t="s">
        <v>3005</v>
      </c>
      <c r="B190" t="s">
        <v>3006</v>
      </c>
      <c r="C190" t="s">
        <v>4617</v>
      </c>
      <c r="E190" t="s">
        <v>385</v>
      </c>
      <c r="F190" s="561">
        <v>37428</v>
      </c>
      <c r="G190" s="561">
        <v>8396</v>
      </c>
      <c r="H190" s="561">
        <v>10062</v>
      </c>
      <c r="I190" s="561">
        <v>50186</v>
      </c>
      <c r="J190" s="561">
        <v>2098</v>
      </c>
      <c r="K190" s="561">
        <v>19979</v>
      </c>
      <c r="L190" s="561">
        <v>128149</v>
      </c>
      <c r="M190" s="561">
        <v>55</v>
      </c>
      <c r="N190" s="561">
        <v>38</v>
      </c>
      <c r="O190" s="561">
        <v>910</v>
      </c>
      <c r="P190" s="561">
        <v>0</v>
      </c>
      <c r="Q190" s="561">
        <v>0</v>
      </c>
      <c r="R190" s="561">
        <v>552</v>
      </c>
      <c r="S190" s="561">
        <v>481</v>
      </c>
      <c r="T190" s="561">
        <v>853</v>
      </c>
      <c r="U190" s="561">
        <v>508</v>
      </c>
      <c r="V190" s="561">
        <v>3001</v>
      </c>
      <c r="W190" s="561">
        <v>0</v>
      </c>
      <c r="X190" s="561">
        <v>-701</v>
      </c>
      <c r="Y190" s="561">
        <v>592</v>
      </c>
      <c r="Z190" s="561">
        <v>150</v>
      </c>
      <c r="AA190" s="561">
        <v>-383</v>
      </c>
      <c r="AB190" s="561">
        <v>-451</v>
      </c>
      <c r="AC190" s="561">
        <v>5732</v>
      </c>
      <c r="AD190" s="561">
        <v>171</v>
      </c>
      <c r="AE190" s="561">
        <v>274</v>
      </c>
      <c r="AF190" s="561">
        <v>0</v>
      </c>
      <c r="AG190" s="561">
        <v>2003</v>
      </c>
      <c r="AH190" s="561">
        <v>197</v>
      </c>
      <c r="AI190" s="561">
        <v>-22</v>
      </c>
      <c r="AJ190" s="561">
        <v>13905</v>
      </c>
      <c r="AK190" s="561">
        <v>151</v>
      </c>
      <c r="AL190" s="561">
        <v>0</v>
      </c>
      <c r="AM190" s="561">
        <v>0</v>
      </c>
      <c r="AN190" s="561">
        <v>0</v>
      </c>
      <c r="AO190" s="561">
        <v>0</v>
      </c>
      <c r="AP190" s="561">
        <v>0</v>
      </c>
      <c r="AQ190" s="561">
        <v>0</v>
      </c>
      <c r="AR190" s="561">
        <v>0</v>
      </c>
      <c r="AS190" s="561">
        <v>0</v>
      </c>
      <c r="AT190" s="561">
        <v>2347</v>
      </c>
      <c r="AU190" s="561">
        <v>0</v>
      </c>
      <c r="AV190" s="561">
        <v>0</v>
      </c>
      <c r="AW190" s="561">
        <v>0</v>
      </c>
      <c r="AX190" s="561">
        <v>7402</v>
      </c>
      <c r="AY190" s="561">
        <v>61177</v>
      </c>
      <c r="AZ190" s="561">
        <v>6403</v>
      </c>
      <c r="BA190" s="561">
        <v>10821</v>
      </c>
      <c r="BB190" s="561">
        <v>2049</v>
      </c>
      <c r="BC190" s="561">
        <v>9719</v>
      </c>
      <c r="BD190" s="561">
        <v>3177</v>
      </c>
      <c r="BE190" s="561">
        <v>852</v>
      </c>
      <c r="BF190" s="561">
        <v>101600</v>
      </c>
      <c r="BG190" s="561">
        <v>3875</v>
      </c>
      <c r="BH190" s="561">
        <v>15673</v>
      </c>
      <c r="BI190" s="561">
        <v>33612</v>
      </c>
      <c r="BJ190" s="561">
        <v>204</v>
      </c>
      <c r="BK190" s="561">
        <v>277</v>
      </c>
      <c r="BL190" s="561">
        <v>662</v>
      </c>
      <c r="BM190" s="561">
        <v>4770</v>
      </c>
      <c r="BN190" s="561">
        <v>21157</v>
      </c>
      <c r="BO190" s="561">
        <v>3182</v>
      </c>
      <c r="BP190" s="561">
        <v>19136</v>
      </c>
      <c r="BQ190" s="561">
        <v>3586</v>
      </c>
      <c r="BR190" s="561">
        <v>0</v>
      </c>
      <c r="BS190" s="561">
        <v>2460</v>
      </c>
      <c r="BT190" s="561">
        <v>163</v>
      </c>
      <c r="BU190" s="561">
        <v>1216</v>
      </c>
      <c r="BV190" s="561">
        <v>-129</v>
      </c>
      <c r="BW190" s="561">
        <v>4826</v>
      </c>
      <c r="BX190" s="561">
        <v>2105</v>
      </c>
      <c r="BY190" s="561">
        <v>11068</v>
      </c>
      <c r="BZ190" s="561">
        <v>123968</v>
      </c>
      <c r="CA190" s="561">
        <v>1397</v>
      </c>
      <c r="CB190" s="561">
        <v>3200</v>
      </c>
      <c r="CC190" s="561">
        <v>425</v>
      </c>
      <c r="CD190" s="561">
        <v>795</v>
      </c>
      <c r="CE190" s="561">
        <v>75</v>
      </c>
      <c r="CF190" s="561">
        <v>185</v>
      </c>
      <c r="CG190" s="561">
        <v>145</v>
      </c>
      <c r="CH190" s="561">
        <v>0</v>
      </c>
      <c r="CI190" s="561">
        <v>235</v>
      </c>
      <c r="CJ190" s="561">
        <v>967</v>
      </c>
      <c r="CK190" s="561">
        <v>366</v>
      </c>
      <c r="CL190" s="561">
        <v>263</v>
      </c>
      <c r="CM190" s="561">
        <v>6034</v>
      </c>
      <c r="CN190" s="561">
        <v>3443</v>
      </c>
      <c r="CO190" s="561">
        <v>672</v>
      </c>
      <c r="CP190" s="561">
        <v>427</v>
      </c>
      <c r="CQ190" s="561">
        <v>770</v>
      </c>
      <c r="CR190" s="561">
        <v>597</v>
      </c>
      <c r="CS190" s="561">
        <v>667</v>
      </c>
      <c r="CT190" s="561">
        <v>1624</v>
      </c>
      <c r="CU190" s="561">
        <v>3858</v>
      </c>
      <c r="CV190" s="561">
        <v>1960</v>
      </c>
      <c r="CW190" s="561">
        <v>81</v>
      </c>
      <c r="CX190" s="561">
        <v>556</v>
      </c>
      <c r="CY190" s="561">
        <v>4947</v>
      </c>
      <c r="CZ190" s="561">
        <v>32292</v>
      </c>
      <c r="DA190" s="561">
        <v>0</v>
      </c>
      <c r="DB190" s="561">
        <v>0</v>
      </c>
      <c r="DC190" s="561">
        <v>0</v>
      </c>
      <c r="DD190" s="561">
        <v>0</v>
      </c>
      <c r="DE190" s="561">
        <v>0</v>
      </c>
      <c r="DF190" s="561">
        <v>0</v>
      </c>
      <c r="DG190" s="561">
        <v>0</v>
      </c>
      <c r="DH190" s="561">
        <v>1532</v>
      </c>
      <c r="DI190" s="561">
        <v>-4</v>
      </c>
      <c r="DJ190" s="561">
        <v>637</v>
      </c>
      <c r="DK190" s="561">
        <v>-50</v>
      </c>
      <c r="DL190" s="561">
        <v>306</v>
      </c>
      <c r="DM190" s="561">
        <v>0</v>
      </c>
      <c r="DN190" s="561">
        <v>834</v>
      </c>
      <c r="DO190" s="561">
        <v>1428</v>
      </c>
      <c r="DP190" s="561">
        <v>0</v>
      </c>
      <c r="DQ190" s="561">
        <v>0</v>
      </c>
      <c r="DR190" s="561">
        <v>107</v>
      </c>
      <c r="DS190" s="561">
        <v>1502</v>
      </c>
      <c r="DT190" s="561">
        <v>2226</v>
      </c>
      <c r="DU190" s="561">
        <v>6403</v>
      </c>
      <c r="DV190" s="561">
        <v>316</v>
      </c>
      <c r="DW190" s="561">
        <v>0</v>
      </c>
      <c r="DX190" s="561">
        <v>52</v>
      </c>
      <c r="DY190" s="561">
        <v>1697</v>
      </c>
      <c r="DZ190" s="561">
        <v>-20</v>
      </c>
      <c r="EA190" s="561">
        <v>3746</v>
      </c>
      <c r="EB190" s="561">
        <v>0</v>
      </c>
      <c r="EC190" s="561">
        <v>14309</v>
      </c>
      <c r="ED190" s="561">
        <v>207</v>
      </c>
      <c r="EE190" s="561">
        <v>105095</v>
      </c>
      <c r="EF190" s="561">
        <v>974</v>
      </c>
      <c r="EG190" s="561">
        <v>4152</v>
      </c>
      <c r="EH190" s="561">
        <v>950</v>
      </c>
      <c r="EI190" s="561">
        <v>0</v>
      </c>
      <c r="EJ190" s="561">
        <v>1472</v>
      </c>
      <c r="EK190" s="561">
        <v>1456</v>
      </c>
      <c r="EL190" s="561">
        <v>0</v>
      </c>
      <c r="EM190" s="561">
        <v>0</v>
      </c>
      <c r="EN190" s="561">
        <v>28819</v>
      </c>
      <c r="EO190" s="561">
        <v>22437</v>
      </c>
      <c r="EP190" s="561">
        <v>7582</v>
      </c>
      <c r="EQ190" s="561">
        <v>1292</v>
      </c>
      <c r="ER190" s="561">
        <v>5801</v>
      </c>
      <c r="ES190" s="561" t="s">
        <v>4565</v>
      </c>
      <c r="ET190" s="561">
        <v>8016</v>
      </c>
      <c r="EU190" s="561">
        <v>0</v>
      </c>
      <c r="EV190" s="561">
        <v>36</v>
      </c>
      <c r="EW190" s="561">
        <v>0</v>
      </c>
      <c r="EX190" s="561">
        <v>36387</v>
      </c>
      <c r="EY190" s="561">
        <v>589</v>
      </c>
      <c r="EZ190" s="561">
        <v>3140</v>
      </c>
      <c r="FA190" s="561">
        <v>23609</v>
      </c>
      <c r="FB190" s="561">
        <v>0</v>
      </c>
      <c r="FC190" s="561">
        <v>844</v>
      </c>
      <c r="FD190" s="561">
        <v>80</v>
      </c>
      <c r="FE190" s="561">
        <v>4475</v>
      </c>
      <c r="FF190" s="561">
        <v>1266</v>
      </c>
      <c r="FG190" s="561">
        <v>116</v>
      </c>
      <c r="FH190" s="561">
        <v>0</v>
      </c>
      <c r="FI190" s="561">
        <v>560</v>
      </c>
      <c r="FJ190" s="561">
        <v>-815</v>
      </c>
      <c r="FK190" s="561">
        <v>9038</v>
      </c>
      <c r="FL190" s="561">
        <v>0</v>
      </c>
      <c r="FM190" s="561">
        <v>915</v>
      </c>
      <c r="FN190" s="561">
        <v>6051</v>
      </c>
      <c r="FO190" s="561">
        <v>22530</v>
      </c>
      <c r="FP190" s="561">
        <v>29</v>
      </c>
      <c r="FQ190" s="561">
        <v>1551</v>
      </c>
      <c r="FR190" s="561">
        <v>697</v>
      </c>
      <c r="FS190" s="561">
        <v>0</v>
      </c>
      <c r="FT190" s="561">
        <v>534</v>
      </c>
      <c r="FU190" s="561">
        <v>999</v>
      </c>
      <c r="FV190" s="561">
        <v>0</v>
      </c>
      <c r="FW190" s="561">
        <v>0</v>
      </c>
      <c r="FX190" s="561">
        <v>-134</v>
      </c>
      <c r="FY190" s="561">
        <v>207</v>
      </c>
      <c r="FZ190" s="561">
        <v>982</v>
      </c>
      <c r="GA190" s="561">
        <v>0</v>
      </c>
      <c r="GB190" s="561">
        <v>2577</v>
      </c>
      <c r="GC190" s="561">
        <v>-124</v>
      </c>
      <c r="GD190" s="561">
        <v>3900</v>
      </c>
      <c r="GE190" s="561">
        <v>989</v>
      </c>
      <c r="GF190" s="561">
        <v>1441</v>
      </c>
      <c r="GG190" s="561">
        <v>371</v>
      </c>
      <c r="GH190" s="561">
        <v>0</v>
      </c>
      <c r="GI190" s="561">
        <v>0</v>
      </c>
      <c r="GJ190" s="561">
        <v>0</v>
      </c>
      <c r="GK190" s="561">
        <v>0</v>
      </c>
      <c r="GL190" s="561">
        <v>7598</v>
      </c>
      <c r="GM190" s="561">
        <v>11041</v>
      </c>
      <c r="GN190" s="561">
        <v>8467</v>
      </c>
      <c r="GO190" s="561">
        <v>-581</v>
      </c>
      <c r="GP190" s="561">
        <v>673</v>
      </c>
      <c r="GQ190" s="561">
        <v>162</v>
      </c>
      <c r="GR190" s="561">
        <v>110</v>
      </c>
      <c r="GS190" s="561">
        <v>41460</v>
      </c>
      <c r="GT190" s="561">
        <v>1173</v>
      </c>
      <c r="GU190" s="561">
        <v>174</v>
      </c>
      <c r="GV190" s="561">
        <v>-34</v>
      </c>
      <c r="GW190" s="561">
        <v>0</v>
      </c>
      <c r="GX190" s="561">
        <v>984</v>
      </c>
      <c r="GY190" s="561">
        <v>262</v>
      </c>
      <c r="GZ190" s="561">
        <v>2261</v>
      </c>
      <c r="HA190" s="561">
        <v>0</v>
      </c>
      <c r="HB190" s="561">
        <v>3119</v>
      </c>
      <c r="HC190" s="561">
        <v>3545</v>
      </c>
      <c r="HD190" s="561">
        <v>10311</v>
      </c>
      <c r="HE190" s="561">
        <v>108</v>
      </c>
      <c r="HF190" s="561">
        <v>74301</v>
      </c>
      <c r="HG190" s="561">
        <v>1130</v>
      </c>
      <c r="HH190" s="561">
        <v>0</v>
      </c>
      <c r="HI190" s="561">
        <v>0</v>
      </c>
      <c r="HJ190" s="561">
        <v>0</v>
      </c>
      <c r="HK190" s="561">
        <v>0</v>
      </c>
      <c r="HL190" s="561">
        <v>0</v>
      </c>
      <c r="HM190" s="561">
        <v>0</v>
      </c>
      <c r="HN190" s="561">
        <v>0</v>
      </c>
      <c r="HO190" s="561">
        <v>9423</v>
      </c>
      <c r="HP190" s="561">
        <v>1167</v>
      </c>
      <c r="HQ190" s="561">
        <v>0</v>
      </c>
      <c r="HR190" s="561">
        <v>0</v>
      </c>
      <c r="HS190" s="561">
        <v>0</v>
      </c>
      <c r="HT190" s="561">
        <v>-142</v>
      </c>
      <c r="HU190" s="561">
        <v>0</v>
      </c>
      <c r="HV190" s="561">
        <v>394</v>
      </c>
      <c r="HW190" s="561">
        <v>142</v>
      </c>
      <c r="HX190" s="561">
        <v>568</v>
      </c>
      <c r="HY190" s="561">
        <v>113</v>
      </c>
      <c r="HZ190" s="561">
        <v>40</v>
      </c>
      <c r="IA190" s="561">
        <v>1250</v>
      </c>
      <c r="IB190" s="561">
        <v>1299</v>
      </c>
      <c r="IC190" s="561">
        <v>851</v>
      </c>
      <c r="ID190" s="561">
        <v>-1409</v>
      </c>
      <c r="IE190" s="561">
        <v>6486</v>
      </c>
      <c r="IF190" s="561">
        <v>0</v>
      </c>
      <c r="IG190" s="561">
        <v>0</v>
      </c>
      <c r="IH190" s="561">
        <v>-9195</v>
      </c>
      <c r="II190" s="561">
        <v>10987</v>
      </c>
      <c r="IJ190" s="561">
        <v>672</v>
      </c>
      <c r="IK190" s="561">
        <v>63846</v>
      </c>
      <c r="IL190" s="561">
        <v>0</v>
      </c>
      <c r="IM190" s="561">
        <v>0</v>
      </c>
      <c r="IN190" s="561">
        <v>6679</v>
      </c>
      <c r="IO190" s="561">
        <v>478</v>
      </c>
      <c r="IP190" s="561">
        <v>4712</v>
      </c>
      <c r="IQ190" s="561">
        <v>0</v>
      </c>
      <c r="IR190" s="561">
        <v>128149</v>
      </c>
      <c r="IS190" s="561">
        <v>13905</v>
      </c>
      <c r="IT190" s="561">
        <v>101600</v>
      </c>
      <c r="IU190" s="561">
        <v>123968</v>
      </c>
      <c r="IV190" s="561">
        <v>32292</v>
      </c>
      <c r="IW190" s="561">
        <v>14309</v>
      </c>
      <c r="IX190" s="561">
        <v>22530</v>
      </c>
      <c r="IY190" s="561">
        <v>41460</v>
      </c>
      <c r="IZ190" s="561">
        <v>10311</v>
      </c>
      <c r="JA190" s="561">
        <v>0</v>
      </c>
      <c r="JB190" s="561">
        <v>0</v>
      </c>
      <c r="JC190" s="561">
        <v>10987</v>
      </c>
      <c r="JD190" s="561">
        <v>4712</v>
      </c>
      <c r="JE190" s="561">
        <v>504223</v>
      </c>
      <c r="JF190" s="561">
        <v>56142</v>
      </c>
      <c r="JG190" s="561">
        <v>470</v>
      </c>
      <c r="JH190" s="561">
        <v>28998</v>
      </c>
      <c r="JI190" s="561">
        <v>0</v>
      </c>
      <c r="JJ190" s="561">
        <v>1199</v>
      </c>
      <c r="JK190" s="561">
        <v>0</v>
      </c>
      <c r="JL190" s="561">
        <v>0</v>
      </c>
      <c r="JM190" s="561">
        <v>0</v>
      </c>
      <c r="JN190" s="561">
        <v>0</v>
      </c>
      <c r="JO190" s="561">
        <v>171</v>
      </c>
      <c r="JP190" s="561">
        <v>2871</v>
      </c>
      <c r="JQ190" s="561">
        <v>1248</v>
      </c>
      <c r="JR190" s="561">
        <v>-5733</v>
      </c>
      <c r="JS190" s="561">
        <v>0</v>
      </c>
      <c r="JT190" s="561">
        <v>361</v>
      </c>
      <c r="JU190" s="561">
        <v>0</v>
      </c>
      <c r="JV190" s="561">
        <v>589950</v>
      </c>
      <c r="JW190" s="561">
        <v>123</v>
      </c>
      <c r="JX190" s="561">
        <v>326</v>
      </c>
      <c r="JY190" s="561">
        <v>0</v>
      </c>
      <c r="JZ190" s="561">
        <v>-6000</v>
      </c>
      <c r="KA190" s="561">
        <v>0</v>
      </c>
      <c r="KB190" s="561">
        <v>1983</v>
      </c>
      <c r="KC190" s="561">
        <v>9378</v>
      </c>
      <c r="KD190" s="561">
        <v>6545</v>
      </c>
      <c r="KE190" s="561">
        <v>18034</v>
      </c>
      <c r="KF190" s="561">
        <v>0</v>
      </c>
      <c r="KG190" s="561">
        <v>620339</v>
      </c>
      <c r="KH190" s="561">
        <v>-3824</v>
      </c>
      <c r="KI190" s="561">
        <v>-5709</v>
      </c>
      <c r="KJ190" s="561">
        <v>0</v>
      </c>
      <c r="KK190" s="561">
        <v>0</v>
      </c>
      <c r="KL190" s="561">
        <v>-93533</v>
      </c>
      <c r="KM190" s="561">
        <v>0</v>
      </c>
      <c r="KN190" s="561">
        <v>0</v>
      </c>
      <c r="KO190" s="561">
        <v>0</v>
      </c>
      <c r="KP190" s="561">
        <v>0</v>
      </c>
      <c r="KQ190" s="561">
        <v>-5778</v>
      </c>
      <c r="KR190" s="561">
        <v>511495</v>
      </c>
      <c r="KS190" s="561">
        <v>0</v>
      </c>
      <c r="KT190" s="561">
        <v>-239747</v>
      </c>
      <c r="KU190" s="561">
        <v>271748</v>
      </c>
      <c r="KV190" s="561">
        <v>0</v>
      </c>
      <c r="KW190" s="561">
        <v>0</v>
      </c>
      <c r="KX190" s="561">
        <v>0</v>
      </c>
      <c r="KY190" s="561">
        <v>-175</v>
      </c>
      <c r="KZ190" s="561">
        <v>-5180</v>
      </c>
      <c r="LA190" s="561">
        <v>0</v>
      </c>
      <c r="LB190" s="561">
        <v>-30231</v>
      </c>
      <c r="LC190" s="561">
        <v>0</v>
      </c>
      <c r="LD190" s="561">
        <v>-123404</v>
      </c>
      <c r="LE190" s="561">
        <v>-642</v>
      </c>
      <c r="LF190" s="561">
        <v>0</v>
      </c>
      <c r="LG190" s="561">
        <v>112116</v>
      </c>
      <c r="LH190" s="561">
        <v>2173</v>
      </c>
      <c r="LI190" s="561">
        <v>-3509</v>
      </c>
      <c r="LJ190" s="561">
        <v>0</v>
      </c>
      <c r="LK190" s="561">
        <v>175</v>
      </c>
      <c r="LL190" s="561">
        <v>17857</v>
      </c>
      <c r="LM190" s="561">
        <v>20968</v>
      </c>
      <c r="LN190" s="561">
        <v>2173</v>
      </c>
      <c r="LO190" s="561">
        <v>-9287</v>
      </c>
      <c r="LP190" s="561">
        <v>0</v>
      </c>
      <c r="LQ190" s="561">
        <v>0</v>
      </c>
      <c r="LR190" s="561">
        <v>12677</v>
      </c>
      <c r="LS190" s="561">
        <v>20968</v>
      </c>
      <c r="LT190" s="561">
        <v>0</v>
      </c>
      <c r="LU190" s="561">
        <v>48659</v>
      </c>
      <c r="LV190" s="561">
        <v>0</v>
      </c>
      <c r="LW190" s="561">
        <v>60822</v>
      </c>
      <c r="LX190" s="561">
        <v>-56027</v>
      </c>
      <c r="LY190" s="561">
        <v>22134</v>
      </c>
      <c r="LZ190" s="561">
        <v>77945</v>
      </c>
      <c r="MA190" s="561">
        <v>0</v>
      </c>
      <c r="MB190" s="561">
        <v>0</v>
      </c>
      <c r="MC190" s="561">
        <v>114099</v>
      </c>
      <c r="MD190" s="561">
        <v>110959</v>
      </c>
      <c r="ME190" s="561">
        <v>3140</v>
      </c>
      <c r="MF190" s="561">
        <v>23609</v>
      </c>
      <c r="MG190" s="561">
        <v>26749</v>
      </c>
      <c r="MH190" s="561">
        <v>10378</v>
      </c>
      <c r="MI190" s="561">
        <v>14805</v>
      </c>
      <c r="MJ190" s="561">
        <v>25183</v>
      </c>
      <c r="MK190" s="561">
        <v>0</v>
      </c>
      <c r="ML190" s="561">
        <v>1610</v>
      </c>
      <c r="MM190" s="561">
        <v>7358</v>
      </c>
      <c r="MN190" s="561">
        <v>2176</v>
      </c>
      <c r="MO190" s="561">
        <v>0</v>
      </c>
      <c r="MP190" s="561">
        <v>1533</v>
      </c>
      <c r="MQ190" s="561">
        <v>128149</v>
      </c>
      <c r="MR190" s="561">
        <v>13905</v>
      </c>
      <c r="MS190" s="561">
        <v>101600</v>
      </c>
      <c r="MT190" s="561">
        <v>123968</v>
      </c>
      <c r="MU190" s="561">
        <v>32292</v>
      </c>
      <c r="MV190" s="561">
        <v>14309</v>
      </c>
      <c r="MW190" s="561">
        <v>22530</v>
      </c>
      <c r="MX190" s="561">
        <v>41460</v>
      </c>
      <c r="MY190" s="561">
        <v>10311</v>
      </c>
      <c r="MZ190" s="561">
        <v>0</v>
      </c>
      <c r="NA190" s="561">
        <v>0</v>
      </c>
      <c r="NB190" s="561">
        <v>10987</v>
      </c>
      <c r="NC190" s="561">
        <v>4712</v>
      </c>
      <c r="ND190" s="561">
        <v>504223</v>
      </c>
      <c r="NE190" s="561">
        <v>0</v>
      </c>
      <c r="NF190" s="561">
        <v>0</v>
      </c>
      <c r="NG190" s="561">
        <v>0</v>
      </c>
      <c r="NH190" s="561">
        <v>0</v>
      </c>
      <c r="NI190" s="561">
        <v>0</v>
      </c>
      <c r="NJ190" s="561">
        <v>0</v>
      </c>
      <c r="NK190" s="561">
        <v>0</v>
      </c>
      <c r="NL190" s="561">
        <v>0</v>
      </c>
      <c r="NM190" s="561">
        <v>50</v>
      </c>
      <c r="NN190" s="561">
        <v>0</v>
      </c>
      <c r="NO190" s="561">
        <v>0</v>
      </c>
      <c r="NP190" s="561">
        <v>0</v>
      </c>
      <c r="NQ190" s="561">
        <v>0</v>
      </c>
      <c r="NR190" s="561">
        <v>0</v>
      </c>
      <c r="NS190" s="561">
        <v>-1735</v>
      </c>
      <c r="NT190" s="561">
        <v>-1177</v>
      </c>
      <c r="NU190" s="561">
        <v>0</v>
      </c>
      <c r="NV190" s="561">
        <v>0</v>
      </c>
      <c r="NW190" s="561">
        <v>-2862</v>
      </c>
      <c r="NX190" s="561">
        <v>5733</v>
      </c>
      <c r="NY190" s="561">
        <v>2871</v>
      </c>
      <c r="NZ190" s="561">
        <v>0</v>
      </c>
      <c r="OA190" s="561">
        <v>0</v>
      </c>
      <c r="OB190" s="561">
        <v>0</v>
      </c>
      <c r="OC190" s="561">
        <v>0</v>
      </c>
      <c r="OD190" s="561">
        <v>0</v>
      </c>
      <c r="OE190" s="561">
        <v>0</v>
      </c>
      <c r="OF190" s="561">
        <v>0</v>
      </c>
      <c r="OG190" s="561">
        <v>0</v>
      </c>
      <c r="OH190" s="561">
        <v>0</v>
      </c>
      <c r="OI190" s="561">
        <v>0</v>
      </c>
      <c r="OJ190" s="561">
        <v>-102</v>
      </c>
      <c r="OK190" s="561">
        <v>0</v>
      </c>
      <c r="OL190" s="561">
        <v>0</v>
      </c>
      <c r="OM190" s="561">
        <v>0</v>
      </c>
      <c r="ON190" s="561">
        <v>659</v>
      </c>
      <c r="OO190" s="561">
        <v>0</v>
      </c>
      <c r="OP190" s="561">
        <v>691</v>
      </c>
      <c r="OQ190" s="561">
        <v>0</v>
      </c>
      <c r="OR190" s="561">
        <v>0</v>
      </c>
      <c r="OS190" s="561">
        <v>0</v>
      </c>
      <c r="OT190" s="561">
        <v>0</v>
      </c>
      <c r="OU190" s="561">
        <v>0</v>
      </c>
      <c r="OV190" s="561">
        <v>0</v>
      </c>
      <c r="OW190" s="561">
        <v>0</v>
      </c>
      <c r="OX190" s="561">
        <v>1248</v>
      </c>
      <c r="OY190" s="561">
        <v>3754</v>
      </c>
      <c r="OZ190" s="561">
        <v>0</v>
      </c>
      <c r="PA190" s="561">
        <v>1979</v>
      </c>
      <c r="PB190" s="561">
        <v>0</v>
      </c>
      <c r="PC190" s="561">
        <v>0</v>
      </c>
      <c r="PD190" s="561">
        <v>5733</v>
      </c>
      <c r="PE190" s="561">
        <v>0</v>
      </c>
      <c r="PF190" s="561">
        <v>0</v>
      </c>
      <c r="PG190" s="561">
        <v>0</v>
      </c>
      <c r="PH190" s="561">
        <v>0</v>
      </c>
      <c r="PI190" s="561">
        <v>0</v>
      </c>
      <c r="PJ190" s="561">
        <v>0</v>
      </c>
    </row>
    <row r="191" spans="1:426" ht="14" x14ac:dyDescent="0.3">
      <c r="A191" t="s">
        <v>3011</v>
      </c>
      <c r="B191" t="s">
        <v>3012</v>
      </c>
      <c r="C191" t="s">
        <v>3013</v>
      </c>
      <c r="E191" t="s">
        <v>379</v>
      </c>
      <c r="F191" s="561">
        <v>47262</v>
      </c>
      <c r="G191" s="561">
        <v>171358</v>
      </c>
      <c r="H191" s="561">
        <v>79927</v>
      </c>
      <c r="I191" s="561">
        <v>53100</v>
      </c>
      <c r="J191" s="561">
        <v>5100</v>
      </c>
      <c r="K191" s="561">
        <v>9816</v>
      </c>
      <c r="L191" s="561">
        <v>366563</v>
      </c>
      <c r="M191" s="561">
        <v>901</v>
      </c>
      <c r="N191" s="561">
        <v>-1192</v>
      </c>
      <c r="O191" s="561">
        <v>0</v>
      </c>
      <c r="P191" s="561">
        <v>-60</v>
      </c>
      <c r="Q191" s="561">
        <v>-14</v>
      </c>
      <c r="R191" s="561">
        <v>-70</v>
      </c>
      <c r="S191" s="561">
        <v>2033</v>
      </c>
      <c r="T191" s="561">
        <v>795</v>
      </c>
      <c r="U191" s="561">
        <v>2416</v>
      </c>
      <c r="V191" s="561">
        <v>2998</v>
      </c>
      <c r="W191" s="561">
        <v>0</v>
      </c>
      <c r="X191" s="561">
        <v>86</v>
      </c>
      <c r="Y191" s="561">
        <v>622</v>
      </c>
      <c r="Z191" s="561">
        <v>369</v>
      </c>
      <c r="AA191" s="561">
        <v>-694</v>
      </c>
      <c r="AB191" s="561">
        <v>-1405</v>
      </c>
      <c r="AC191" s="561">
        <v>0</v>
      </c>
      <c r="AD191" s="561">
        <v>0</v>
      </c>
      <c r="AE191" s="561">
        <v>0</v>
      </c>
      <c r="AF191" s="561">
        <v>0</v>
      </c>
      <c r="AG191" s="561">
        <v>0</v>
      </c>
      <c r="AH191" s="561">
        <v>0</v>
      </c>
      <c r="AI191" s="561">
        <v>0</v>
      </c>
      <c r="AJ191" s="561">
        <v>5884</v>
      </c>
      <c r="AK191" s="561">
        <v>4181</v>
      </c>
      <c r="AL191" s="561">
        <v>0</v>
      </c>
      <c r="AM191" s="561">
        <v>0</v>
      </c>
      <c r="AN191" s="561">
        <v>0</v>
      </c>
      <c r="AO191" s="561">
        <v>0</v>
      </c>
      <c r="AP191" s="561">
        <v>0</v>
      </c>
      <c r="AQ191" s="561">
        <v>0</v>
      </c>
      <c r="AR191" s="561">
        <v>0</v>
      </c>
      <c r="AS191" s="561">
        <v>665</v>
      </c>
      <c r="AT191" s="561">
        <v>1321</v>
      </c>
      <c r="AU191" s="561">
        <v>0</v>
      </c>
      <c r="AV191" s="561">
        <v>0</v>
      </c>
      <c r="AW191" s="561">
        <v>0</v>
      </c>
      <c r="AX191" s="561">
        <v>4319</v>
      </c>
      <c r="AY191" s="561">
        <v>51145</v>
      </c>
      <c r="AZ191" s="561">
        <v>0</v>
      </c>
      <c r="BA191" s="561">
        <v>17193</v>
      </c>
      <c r="BB191" s="561">
        <v>1069</v>
      </c>
      <c r="BC191" s="561">
        <v>19070</v>
      </c>
      <c r="BD191" s="561">
        <v>2570</v>
      </c>
      <c r="BE191" s="561">
        <v>1643</v>
      </c>
      <c r="BF191" s="561">
        <v>97009</v>
      </c>
      <c r="BG191" s="561">
        <v>348</v>
      </c>
      <c r="BH191" s="561">
        <v>12406</v>
      </c>
      <c r="BI191" s="561">
        <v>37428</v>
      </c>
      <c r="BJ191" s="561">
        <v>578</v>
      </c>
      <c r="BK191" s="561">
        <v>1826</v>
      </c>
      <c r="BL191" s="561">
        <v>656</v>
      </c>
      <c r="BM191" s="561">
        <v>8309</v>
      </c>
      <c r="BN191" s="561">
        <v>56305</v>
      </c>
      <c r="BO191" s="561">
        <v>6087</v>
      </c>
      <c r="BP191" s="561">
        <v>12490</v>
      </c>
      <c r="BQ191" s="561">
        <v>9454</v>
      </c>
      <c r="BR191" s="561">
        <v>287</v>
      </c>
      <c r="BS191" s="561">
        <v>53</v>
      </c>
      <c r="BT191" s="561">
        <v>3369</v>
      </c>
      <c r="BU191" s="561">
        <v>1717</v>
      </c>
      <c r="BV191" s="561">
        <v>20</v>
      </c>
      <c r="BW191" s="561">
        <v>13261</v>
      </c>
      <c r="BX191" s="561">
        <v>4533</v>
      </c>
      <c r="BY191" s="561">
        <v>16903</v>
      </c>
      <c r="BZ191" s="561">
        <v>185682</v>
      </c>
      <c r="CA191" s="561">
        <v>1758</v>
      </c>
      <c r="CB191" s="561">
        <v>1990</v>
      </c>
      <c r="CC191" s="561">
        <v>2088</v>
      </c>
      <c r="CD191" s="561">
        <v>193</v>
      </c>
      <c r="CE191" s="561">
        <v>325</v>
      </c>
      <c r="CF191" s="561">
        <v>1802</v>
      </c>
      <c r="CG191" s="561">
        <v>0</v>
      </c>
      <c r="CH191" s="561">
        <v>81</v>
      </c>
      <c r="CI191" s="561">
        <v>100</v>
      </c>
      <c r="CJ191" s="561">
        <v>0</v>
      </c>
      <c r="CK191" s="561">
        <v>1001</v>
      </c>
      <c r="CL191" s="561">
        <v>526</v>
      </c>
      <c r="CM191" s="561">
        <v>7009</v>
      </c>
      <c r="CN191" s="561">
        <v>1585</v>
      </c>
      <c r="CO191" s="561">
        <v>99</v>
      </c>
      <c r="CP191" s="561">
        <v>100</v>
      </c>
      <c r="CQ191" s="561">
        <v>396</v>
      </c>
      <c r="CR191" s="561">
        <v>1044</v>
      </c>
      <c r="CS191" s="561">
        <v>26</v>
      </c>
      <c r="CT191" s="561">
        <v>1543</v>
      </c>
      <c r="CU191" s="561">
        <v>6153</v>
      </c>
      <c r="CV191" s="561">
        <v>508</v>
      </c>
      <c r="CW191" s="561">
        <v>0</v>
      </c>
      <c r="CX191" s="561">
        <v>812</v>
      </c>
      <c r="CY191" s="561">
        <v>5485</v>
      </c>
      <c r="CZ191" s="561">
        <v>32866</v>
      </c>
      <c r="DA191" s="561">
        <v>0</v>
      </c>
      <c r="DB191" s="561">
        <v>0</v>
      </c>
      <c r="DC191" s="561">
        <v>0</v>
      </c>
      <c r="DD191" s="561">
        <v>0</v>
      </c>
      <c r="DE191" s="561">
        <v>0</v>
      </c>
      <c r="DF191" s="561">
        <v>0</v>
      </c>
      <c r="DG191" s="561">
        <v>0</v>
      </c>
      <c r="DH191" s="561">
        <v>635</v>
      </c>
      <c r="DI191" s="561">
        <v>0</v>
      </c>
      <c r="DJ191" s="561">
        <v>503</v>
      </c>
      <c r="DK191" s="561">
        <v>455</v>
      </c>
      <c r="DL191" s="561">
        <v>0</v>
      </c>
      <c r="DM191" s="561">
        <v>0</v>
      </c>
      <c r="DN191" s="561">
        <v>0</v>
      </c>
      <c r="DO191" s="561">
        <v>8710</v>
      </c>
      <c r="DP191" s="561">
        <v>0</v>
      </c>
      <c r="DQ191" s="561">
        <v>0</v>
      </c>
      <c r="DR191" s="561">
        <v>1471</v>
      </c>
      <c r="DS191" s="561">
        <v>3266</v>
      </c>
      <c r="DT191" s="561">
        <v>0</v>
      </c>
      <c r="DU191" s="561">
        <v>13447</v>
      </c>
      <c r="DV191" s="561">
        <v>1069</v>
      </c>
      <c r="DW191" s="561">
        <v>0</v>
      </c>
      <c r="DX191" s="561">
        <v>0</v>
      </c>
      <c r="DY191" s="561">
        <v>3094</v>
      </c>
      <c r="DZ191" s="561">
        <v>0</v>
      </c>
      <c r="EA191" s="561">
        <v>3313</v>
      </c>
      <c r="EB191" s="561">
        <v>0</v>
      </c>
      <c r="EC191" s="561">
        <v>22516</v>
      </c>
      <c r="ED191" s="561">
        <v>16</v>
      </c>
      <c r="EE191" s="561">
        <v>94966</v>
      </c>
      <c r="EF191" s="561">
        <v>645</v>
      </c>
      <c r="EG191" s="561">
        <v>3372</v>
      </c>
      <c r="EH191" s="561">
        <v>0</v>
      </c>
      <c r="EI191" s="561">
        <v>7912</v>
      </c>
      <c r="EJ191" s="561">
        <v>1411</v>
      </c>
      <c r="EK191" s="561">
        <v>0</v>
      </c>
      <c r="EL191" s="561">
        <v>0</v>
      </c>
      <c r="EM191" s="561">
        <v>0</v>
      </c>
      <c r="EN191" s="561">
        <v>29820</v>
      </c>
      <c r="EO191" s="561">
        <v>40912</v>
      </c>
      <c r="EP191" s="561">
        <v>3519</v>
      </c>
      <c r="EQ191" s="561">
        <v>1173</v>
      </c>
      <c r="ER191" s="561">
        <v>7087</v>
      </c>
      <c r="ES191" s="561" t="s">
        <v>4565</v>
      </c>
      <c r="ET191" s="561">
        <v>23976</v>
      </c>
      <c r="EU191" s="561">
        <v>4637</v>
      </c>
      <c r="EV191" s="561">
        <v>35</v>
      </c>
      <c r="EW191" s="561">
        <v>0</v>
      </c>
      <c r="EX191" s="561">
        <v>0</v>
      </c>
      <c r="EY191" s="561">
        <v>443</v>
      </c>
      <c r="EZ191" s="561">
        <v>-3296</v>
      </c>
      <c r="FA191" s="561">
        <v>33942</v>
      </c>
      <c r="FB191" s="561">
        <v>327</v>
      </c>
      <c r="FC191" s="561">
        <v>601</v>
      </c>
      <c r="FD191" s="561">
        <v>49</v>
      </c>
      <c r="FE191" s="561">
        <v>1615</v>
      </c>
      <c r="FF191" s="561">
        <v>2096</v>
      </c>
      <c r="FG191" s="561">
        <v>927</v>
      </c>
      <c r="FH191" s="561">
        <v>0</v>
      </c>
      <c r="FI191" s="561">
        <v>130</v>
      </c>
      <c r="FJ191" s="561">
        <v>727</v>
      </c>
      <c r="FK191" s="561">
        <v>4844</v>
      </c>
      <c r="FL191" s="561">
        <v>-13</v>
      </c>
      <c r="FM191" s="561">
        <v>87</v>
      </c>
      <c r="FN191" s="561">
        <v>5491</v>
      </c>
      <c r="FO191" s="561">
        <v>16881</v>
      </c>
      <c r="FP191" s="561">
        <v>26</v>
      </c>
      <c r="FQ191" s="561">
        <v>-805</v>
      </c>
      <c r="FR191" s="561">
        <v>438</v>
      </c>
      <c r="FS191" s="561">
        <v>42</v>
      </c>
      <c r="FT191" s="561">
        <v>244</v>
      </c>
      <c r="FU191" s="561">
        <v>1605</v>
      </c>
      <c r="FV191" s="561">
        <v>0</v>
      </c>
      <c r="FW191" s="561">
        <v>54</v>
      </c>
      <c r="FX191" s="561">
        <v>0</v>
      </c>
      <c r="FY191" s="561">
        <v>0</v>
      </c>
      <c r="FZ191" s="561">
        <v>72</v>
      </c>
      <c r="GA191" s="561">
        <v>0</v>
      </c>
      <c r="GB191" s="561">
        <v>240</v>
      </c>
      <c r="GC191" s="561">
        <v>-77</v>
      </c>
      <c r="GD191" s="561">
        <v>1631</v>
      </c>
      <c r="GE191" s="561">
        <v>-54</v>
      </c>
      <c r="GF191" s="561">
        <v>0</v>
      </c>
      <c r="GG191" s="561">
        <v>0</v>
      </c>
      <c r="GH191" s="561">
        <v>298</v>
      </c>
      <c r="GI191" s="561">
        <v>0</v>
      </c>
      <c r="GJ191" s="561">
        <v>0</v>
      </c>
      <c r="GK191" s="561">
        <v>0</v>
      </c>
      <c r="GL191" s="561">
        <v>5779</v>
      </c>
      <c r="GM191" s="561">
        <v>6244</v>
      </c>
      <c r="GN191" s="561">
        <v>18874</v>
      </c>
      <c r="GO191" s="561">
        <v>-1491</v>
      </c>
      <c r="GP191" s="561">
        <v>6990</v>
      </c>
      <c r="GQ191" s="561">
        <v>0</v>
      </c>
      <c r="GR191" s="561">
        <v>0</v>
      </c>
      <c r="GS191" s="561">
        <v>40084</v>
      </c>
      <c r="GT191" s="561">
        <v>916</v>
      </c>
      <c r="GU191" s="561">
        <v>200</v>
      </c>
      <c r="GV191" s="561">
        <v>1234</v>
      </c>
      <c r="GW191" s="561">
        <v>0</v>
      </c>
      <c r="GX191" s="561">
        <v>2705</v>
      </c>
      <c r="GY191" s="561">
        <v>-583</v>
      </c>
      <c r="GZ191" s="561">
        <v>165</v>
      </c>
      <c r="HA191" s="561">
        <v>0</v>
      </c>
      <c r="HB191" s="561">
        <v>1278</v>
      </c>
      <c r="HC191" s="561">
        <v>798</v>
      </c>
      <c r="HD191" s="561">
        <v>5797</v>
      </c>
      <c r="HE191" s="561">
        <v>679</v>
      </c>
      <c r="HF191" s="561">
        <v>62762</v>
      </c>
      <c r="HG191" s="561">
        <v>1621</v>
      </c>
      <c r="HH191" s="561">
        <v>0</v>
      </c>
      <c r="HI191" s="561">
        <v>0</v>
      </c>
      <c r="HJ191" s="561">
        <v>0</v>
      </c>
      <c r="HK191" s="561">
        <v>0</v>
      </c>
      <c r="HL191" s="561">
        <v>0</v>
      </c>
      <c r="HM191" s="561">
        <v>0</v>
      </c>
      <c r="HN191" s="561">
        <v>0</v>
      </c>
      <c r="HO191" s="561">
        <v>5813</v>
      </c>
      <c r="HP191" s="561">
        <v>1736</v>
      </c>
      <c r="HQ191" s="561">
        <v>0</v>
      </c>
      <c r="HR191" s="561">
        <v>166</v>
      </c>
      <c r="HS191" s="561">
        <v>956</v>
      </c>
      <c r="HT191" s="561">
        <v>54</v>
      </c>
      <c r="HU191" s="561">
        <v>0</v>
      </c>
      <c r="HV191" s="561">
        <v>438</v>
      </c>
      <c r="HW191" s="561">
        <v>663</v>
      </c>
      <c r="HX191" s="561">
        <v>1437</v>
      </c>
      <c r="HY191" s="561">
        <v>44</v>
      </c>
      <c r="HZ191" s="561">
        <v>-13</v>
      </c>
      <c r="IA191" s="561">
        <v>7924</v>
      </c>
      <c r="IB191" s="561">
        <v>-264</v>
      </c>
      <c r="IC191" s="561">
        <v>875</v>
      </c>
      <c r="ID191" s="561">
        <v>0</v>
      </c>
      <c r="IE191" s="561">
        <v>6178</v>
      </c>
      <c r="IF191" s="561">
        <v>0</v>
      </c>
      <c r="IG191" s="561">
        <v>0</v>
      </c>
      <c r="IH191" s="561">
        <v>-863</v>
      </c>
      <c r="II191" s="561">
        <v>25144</v>
      </c>
      <c r="IJ191" s="561">
        <v>2489</v>
      </c>
      <c r="IK191" s="561">
        <v>8484</v>
      </c>
      <c r="IL191" s="561">
        <v>51731</v>
      </c>
      <c r="IM191" s="561">
        <v>0</v>
      </c>
      <c r="IN191" s="561">
        <v>9946</v>
      </c>
      <c r="IO191" s="561">
        <v>27</v>
      </c>
      <c r="IP191" s="561">
        <v>2830</v>
      </c>
      <c r="IQ191" s="561">
        <v>0</v>
      </c>
      <c r="IR191" s="561">
        <v>366563</v>
      </c>
      <c r="IS191" s="561">
        <v>5884</v>
      </c>
      <c r="IT191" s="561">
        <v>97009</v>
      </c>
      <c r="IU191" s="561">
        <v>185682</v>
      </c>
      <c r="IV191" s="561">
        <v>32866</v>
      </c>
      <c r="IW191" s="561">
        <v>22516</v>
      </c>
      <c r="IX191" s="561">
        <v>16881</v>
      </c>
      <c r="IY191" s="561">
        <v>40084</v>
      </c>
      <c r="IZ191" s="561">
        <v>5797</v>
      </c>
      <c r="JA191" s="561">
        <v>0</v>
      </c>
      <c r="JB191" s="561">
        <v>0</v>
      </c>
      <c r="JC191" s="561">
        <v>25144</v>
      </c>
      <c r="JD191" s="561">
        <v>2830</v>
      </c>
      <c r="JE191" s="561">
        <v>801256</v>
      </c>
      <c r="JF191" s="561">
        <v>29229</v>
      </c>
      <c r="JG191" s="561">
        <v>1175</v>
      </c>
      <c r="JH191" s="561">
        <v>28942</v>
      </c>
      <c r="JI191" s="561">
        <v>0</v>
      </c>
      <c r="JJ191" s="561">
        <v>0</v>
      </c>
      <c r="JK191" s="561">
        <v>992</v>
      </c>
      <c r="JL191" s="561">
        <v>11166</v>
      </c>
      <c r="JM191" s="561">
        <v>0</v>
      </c>
      <c r="JN191" s="561">
        <v>0</v>
      </c>
      <c r="JO191" s="561">
        <v>0</v>
      </c>
      <c r="JP191" s="561">
        <v>-643</v>
      </c>
      <c r="JQ191" s="561">
        <v>-719</v>
      </c>
      <c r="JR191" s="561">
        <v>-112</v>
      </c>
      <c r="JS191" s="561">
        <v>-130</v>
      </c>
      <c r="JT191" s="561">
        <v>18</v>
      </c>
      <c r="JU191" s="561">
        <v>0</v>
      </c>
      <c r="JV191" s="561">
        <v>871174</v>
      </c>
      <c r="JW191" s="561">
        <v>235</v>
      </c>
      <c r="JX191" s="561">
        <v>93</v>
      </c>
      <c r="JY191" s="561">
        <v>0</v>
      </c>
      <c r="JZ191" s="561">
        <v>-5516</v>
      </c>
      <c r="KA191" s="561">
        <v>0</v>
      </c>
      <c r="KB191" s="561">
        <v>1370</v>
      </c>
      <c r="KC191" s="561">
        <v>8169</v>
      </c>
      <c r="KD191" s="561">
        <v>0</v>
      </c>
      <c r="KE191" s="561">
        <v>33815</v>
      </c>
      <c r="KF191" s="561">
        <v>-7122</v>
      </c>
      <c r="KG191" s="561">
        <v>902218</v>
      </c>
      <c r="KH191" s="561">
        <v>-6602</v>
      </c>
      <c r="KI191" s="561">
        <v>0</v>
      </c>
      <c r="KJ191" s="561">
        <v>0</v>
      </c>
      <c r="KK191" s="561">
        <v>0</v>
      </c>
      <c r="KL191" s="561">
        <v>-60399</v>
      </c>
      <c r="KM191" s="561">
        <v>0</v>
      </c>
      <c r="KN191" s="561">
        <v>0</v>
      </c>
      <c r="KO191" s="561">
        <v>0</v>
      </c>
      <c r="KP191" s="561">
        <v>0</v>
      </c>
      <c r="KQ191" s="561">
        <v>-20260</v>
      </c>
      <c r="KR191" s="561">
        <v>814957</v>
      </c>
      <c r="KS191" s="561">
        <v>0</v>
      </c>
      <c r="KT191" s="561">
        <v>-447652</v>
      </c>
      <c r="KU191" s="561">
        <v>367305</v>
      </c>
      <c r="KV191" s="561">
        <v>0</v>
      </c>
      <c r="KW191" s="561">
        <v>-477</v>
      </c>
      <c r="KX191" s="561">
        <v>0</v>
      </c>
      <c r="KY191" s="561">
        <v>-223</v>
      </c>
      <c r="KZ191" s="561">
        <v>-188</v>
      </c>
      <c r="LA191" s="561">
        <v>0</v>
      </c>
      <c r="LB191" s="561">
        <v>-16517</v>
      </c>
      <c r="LC191" s="561">
        <v>0</v>
      </c>
      <c r="LD191" s="561">
        <v>-114857</v>
      </c>
      <c r="LE191" s="561">
        <v>2340</v>
      </c>
      <c r="LF191" s="561">
        <v>0</v>
      </c>
      <c r="LG191" s="561">
        <v>237383</v>
      </c>
      <c r="LH191" s="561">
        <v>11596</v>
      </c>
      <c r="LI191" s="561">
        <v>-43686</v>
      </c>
      <c r="LJ191" s="561">
        <v>0</v>
      </c>
      <c r="LK191" s="561">
        <v>1119</v>
      </c>
      <c r="LL191" s="561">
        <v>36193</v>
      </c>
      <c r="LM191" s="561">
        <v>25046</v>
      </c>
      <c r="LN191" s="561">
        <v>11119</v>
      </c>
      <c r="LO191" s="561">
        <v>-63946</v>
      </c>
      <c r="LP191" s="561">
        <v>0</v>
      </c>
      <c r="LQ191" s="561">
        <v>896</v>
      </c>
      <c r="LR191" s="561">
        <v>36005</v>
      </c>
      <c r="LS191" s="561">
        <v>25046</v>
      </c>
      <c r="LT191" s="561">
        <v>0</v>
      </c>
      <c r="LU191" s="561">
        <v>46257</v>
      </c>
      <c r="LV191" s="561">
        <v>0</v>
      </c>
      <c r="LW191" s="561">
        <v>30032</v>
      </c>
      <c r="LX191" s="561">
        <v>-18554</v>
      </c>
      <c r="LY191" s="561">
        <v>29024</v>
      </c>
      <c r="LZ191" s="561">
        <v>86759</v>
      </c>
      <c r="MA191" s="561">
        <v>0</v>
      </c>
      <c r="MB191" s="561">
        <v>0</v>
      </c>
      <c r="MC191" s="561">
        <v>108306</v>
      </c>
      <c r="MD191" s="561">
        <v>111602</v>
      </c>
      <c r="ME191" s="561">
        <v>-3296</v>
      </c>
      <c r="MF191" s="561">
        <v>33942</v>
      </c>
      <c r="MG191" s="561">
        <v>30646</v>
      </c>
      <c r="MH191" s="561">
        <v>13465</v>
      </c>
      <c r="MI191" s="561">
        <v>19281</v>
      </c>
      <c r="MJ191" s="561">
        <v>32746</v>
      </c>
      <c r="MK191" s="561">
        <v>0</v>
      </c>
      <c r="ML191" s="561">
        <v>664</v>
      </c>
      <c r="MM191" s="561">
        <v>30996</v>
      </c>
      <c r="MN191" s="561">
        <v>0</v>
      </c>
      <c r="MO191" s="561">
        <v>3500</v>
      </c>
      <c r="MP191" s="561">
        <v>845</v>
      </c>
      <c r="MQ191" s="561">
        <v>366563</v>
      </c>
      <c r="MR191" s="561">
        <v>5884</v>
      </c>
      <c r="MS191" s="561">
        <v>97009</v>
      </c>
      <c r="MT191" s="561">
        <v>185682</v>
      </c>
      <c r="MU191" s="561">
        <v>32866</v>
      </c>
      <c r="MV191" s="561">
        <v>22516</v>
      </c>
      <c r="MW191" s="561">
        <v>16881</v>
      </c>
      <c r="MX191" s="561">
        <v>40084</v>
      </c>
      <c r="MY191" s="561">
        <v>5797</v>
      </c>
      <c r="MZ191" s="561">
        <v>0</v>
      </c>
      <c r="NA191" s="561">
        <v>0</v>
      </c>
      <c r="NB191" s="561">
        <v>25144</v>
      </c>
      <c r="NC191" s="561">
        <v>2830</v>
      </c>
      <c r="ND191" s="561">
        <v>801256</v>
      </c>
      <c r="NE191" s="561">
        <v>0</v>
      </c>
      <c r="NF191" s="561">
        <v>0</v>
      </c>
      <c r="NG191" s="561">
        <v>0</v>
      </c>
      <c r="NH191" s="561">
        <v>0</v>
      </c>
      <c r="NI191" s="561">
        <v>0</v>
      </c>
      <c r="NJ191" s="561">
        <v>0</v>
      </c>
      <c r="NK191" s="561">
        <v>0</v>
      </c>
      <c r="NL191" s="561">
        <v>0</v>
      </c>
      <c r="NM191" s="561">
        <v>0</v>
      </c>
      <c r="NN191" s="561">
        <v>0</v>
      </c>
      <c r="NO191" s="561">
        <v>0</v>
      </c>
      <c r="NP191" s="561">
        <v>0</v>
      </c>
      <c r="NQ191" s="561">
        <v>0</v>
      </c>
      <c r="NR191" s="561">
        <v>0</v>
      </c>
      <c r="NS191" s="561">
        <v>0</v>
      </c>
      <c r="NT191" s="561">
        <v>0</v>
      </c>
      <c r="NU191" s="561">
        <v>0</v>
      </c>
      <c r="NV191" s="561">
        <v>0</v>
      </c>
      <c r="NW191" s="561">
        <v>-755</v>
      </c>
      <c r="NX191" s="561">
        <v>112</v>
      </c>
      <c r="NY191" s="561">
        <v>-643</v>
      </c>
      <c r="NZ191" s="561">
        <v>0</v>
      </c>
      <c r="OA191" s="561">
        <v>0</v>
      </c>
      <c r="OB191" s="561">
        <v>0</v>
      </c>
      <c r="OC191" s="561">
        <v>0</v>
      </c>
      <c r="OD191" s="561">
        <v>0</v>
      </c>
      <c r="OE191" s="561">
        <v>0</v>
      </c>
      <c r="OF191" s="561">
        <v>0</v>
      </c>
      <c r="OG191" s="561">
        <v>0</v>
      </c>
      <c r="OH191" s="561">
        <v>0</v>
      </c>
      <c r="OI191" s="561">
        <v>0</v>
      </c>
      <c r="OJ191" s="561">
        <v>-2</v>
      </c>
      <c r="OK191" s="561">
        <v>0</v>
      </c>
      <c r="OL191" s="561">
        <v>0</v>
      </c>
      <c r="OM191" s="561">
        <v>-847</v>
      </c>
      <c r="ON191" s="561">
        <v>0</v>
      </c>
      <c r="OO191" s="561">
        <v>0</v>
      </c>
      <c r="OP191" s="561">
        <v>0</v>
      </c>
      <c r="OQ191" s="561">
        <v>0</v>
      </c>
      <c r="OR191" s="561">
        <v>0</v>
      </c>
      <c r="OS191" s="561">
        <v>0</v>
      </c>
      <c r="OT191" s="561">
        <v>0</v>
      </c>
      <c r="OU191" s="561">
        <v>0</v>
      </c>
      <c r="OV191" s="561">
        <v>-358</v>
      </c>
      <c r="OW191" s="561">
        <v>130</v>
      </c>
      <c r="OX191" s="561">
        <v>-719</v>
      </c>
      <c r="OY191" s="561">
        <v>112</v>
      </c>
      <c r="OZ191" s="561">
        <v>0</v>
      </c>
      <c r="PA191" s="561">
        <v>0</v>
      </c>
      <c r="PB191" s="561">
        <v>0</v>
      </c>
      <c r="PC191" s="561">
        <v>0</v>
      </c>
      <c r="PD191" s="561">
        <v>112</v>
      </c>
      <c r="PE191" s="561">
        <v>130</v>
      </c>
      <c r="PF191" s="561">
        <v>0</v>
      </c>
      <c r="PG191" s="561">
        <v>0</v>
      </c>
      <c r="PH191" s="561">
        <v>0</v>
      </c>
      <c r="PI191" s="561">
        <v>0</v>
      </c>
      <c r="PJ191" s="561">
        <v>130</v>
      </c>
    </row>
    <row r="192" spans="1:426" ht="14" x14ac:dyDescent="0.3">
      <c r="A192" t="s">
        <v>3014</v>
      </c>
      <c r="B192" t="s">
        <v>3015</v>
      </c>
      <c r="C192" t="s">
        <v>3016</v>
      </c>
      <c r="E192" t="s">
        <v>379</v>
      </c>
      <c r="F192" s="561">
        <v>16241</v>
      </c>
      <c r="G192" s="561">
        <v>73210</v>
      </c>
      <c r="H192" s="561">
        <v>32446</v>
      </c>
      <c r="I192" s="561">
        <v>41802</v>
      </c>
      <c r="J192" s="561">
        <v>1617</v>
      </c>
      <c r="K192" s="561">
        <v>17821</v>
      </c>
      <c r="L192" s="561">
        <v>183137</v>
      </c>
      <c r="M192" s="561">
        <v>0</v>
      </c>
      <c r="N192" s="561">
        <v>-360</v>
      </c>
      <c r="O192" s="561">
        <v>204</v>
      </c>
      <c r="P192" s="561">
        <v>0</v>
      </c>
      <c r="Q192" s="561">
        <v>0</v>
      </c>
      <c r="R192" s="561">
        <v>149</v>
      </c>
      <c r="S192" s="561">
        <v>937</v>
      </c>
      <c r="T192" s="561">
        <v>1810</v>
      </c>
      <c r="U192" s="561">
        <v>274</v>
      </c>
      <c r="V192" s="561">
        <v>7746</v>
      </c>
      <c r="W192" s="561">
        <v>0</v>
      </c>
      <c r="X192" s="561">
        <v>0</v>
      </c>
      <c r="Y192" s="561">
        <v>516</v>
      </c>
      <c r="Z192" s="561">
        <v>543</v>
      </c>
      <c r="AA192" s="561">
        <v>61</v>
      </c>
      <c r="AB192" s="561">
        <v>398</v>
      </c>
      <c r="AC192" s="561">
        <v>0</v>
      </c>
      <c r="AD192" s="561">
        <v>0</v>
      </c>
      <c r="AE192" s="561">
        <v>0</v>
      </c>
      <c r="AF192" s="561">
        <v>0</v>
      </c>
      <c r="AG192" s="561">
        <v>0</v>
      </c>
      <c r="AH192" s="561">
        <v>0</v>
      </c>
      <c r="AI192" s="561">
        <v>0</v>
      </c>
      <c r="AJ192" s="561">
        <v>12278</v>
      </c>
      <c r="AK192" s="561">
        <v>189</v>
      </c>
      <c r="AL192" s="561">
        <v>0</v>
      </c>
      <c r="AM192" s="561">
        <v>0</v>
      </c>
      <c r="AN192" s="561">
        <v>0</v>
      </c>
      <c r="AO192" s="561">
        <v>0</v>
      </c>
      <c r="AP192" s="561">
        <v>0</v>
      </c>
      <c r="AQ192" s="561">
        <v>0</v>
      </c>
      <c r="AR192" s="561">
        <v>0</v>
      </c>
      <c r="AS192" s="561">
        <v>213</v>
      </c>
      <c r="AT192" s="561">
        <v>0</v>
      </c>
      <c r="AU192" s="561">
        <v>0</v>
      </c>
      <c r="AV192" s="561">
        <v>0</v>
      </c>
      <c r="AW192" s="561">
        <v>0</v>
      </c>
      <c r="AX192" s="561">
        <v>546</v>
      </c>
      <c r="AY192" s="561">
        <v>33045</v>
      </c>
      <c r="AZ192" s="561">
        <v>257</v>
      </c>
      <c r="BA192" s="561">
        <v>11901</v>
      </c>
      <c r="BB192" s="561">
        <v>2717</v>
      </c>
      <c r="BC192" s="561">
        <v>10777</v>
      </c>
      <c r="BD192" s="561">
        <v>0</v>
      </c>
      <c r="BE192" s="561">
        <v>1229</v>
      </c>
      <c r="BF192" s="561">
        <v>60472</v>
      </c>
      <c r="BG192" s="561">
        <v>3257</v>
      </c>
      <c r="BH192" s="561">
        <v>5653</v>
      </c>
      <c r="BI192" s="561">
        <v>16950</v>
      </c>
      <c r="BJ192" s="561">
        <v>839</v>
      </c>
      <c r="BK192" s="561">
        <v>58</v>
      </c>
      <c r="BL192" s="561">
        <v>302</v>
      </c>
      <c r="BM192" s="561">
        <v>3785</v>
      </c>
      <c r="BN192" s="561">
        <v>35962</v>
      </c>
      <c r="BO192" s="561">
        <v>6862</v>
      </c>
      <c r="BP192" s="561">
        <v>5159</v>
      </c>
      <c r="BQ192" s="561">
        <v>1982</v>
      </c>
      <c r="BR192" s="561">
        <v>17</v>
      </c>
      <c r="BS192" s="561">
        <v>29</v>
      </c>
      <c r="BT192" s="561">
        <v>380</v>
      </c>
      <c r="BU192" s="561">
        <v>2319</v>
      </c>
      <c r="BV192" s="561">
        <v>1650</v>
      </c>
      <c r="BW192" s="561">
        <v>10451</v>
      </c>
      <c r="BX192" s="561">
        <v>2040</v>
      </c>
      <c r="BY192" s="561">
        <v>4635</v>
      </c>
      <c r="BZ192" s="561">
        <v>99073</v>
      </c>
      <c r="CA192" s="561">
        <v>0</v>
      </c>
      <c r="CB192" s="561">
        <v>777</v>
      </c>
      <c r="CC192" s="561">
        <v>1111</v>
      </c>
      <c r="CD192" s="561">
        <v>411</v>
      </c>
      <c r="CE192" s="561">
        <v>318</v>
      </c>
      <c r="CF192" s="561">
        <v>210</v>
      </c>
      <c r="CG192" s="561">
        <v>73</v>
      </c>
      <c r="CH192" s="561">
        <v>81</v>
      </c>
      <c r="CI192" s="561">
        <v>505</v>
      </c>
      <c r="CJ192" s="561">
        <v>491</v>
      </c>
      <c r="CK192" s="561">
        <v>1470</v>
      </c>
      <c r="CL192" s="561">
        <v>160</v>
      </c>
      <c r="CM192" s="561">
        <v>3100</v>
      </c>
      <c r="CN192" s="561">
        <v>973</v>
      </c>
      <c r="CO192" s="561">
        <v>344</v>
      </c>
      <c r="CP192" s="561">
        <v>294</v>
      </c>
      <c r="CQ192" s="561">
        <v>72</v>
      </c>
      <c r="CR192" s="561">
        <v>893</v>
      </c>
      <c r="CS192" s="561">
        <v>177</v>
      </c>
      <c r="CT192" s="561">
        <v>2413</v>
      </c>
      <c r="CU192" s="561">
        <v>2081</v>
      </c>
      <c r="CV192" s="561">
        <v>2567</v>
      </c>
      <c r="CW192" s="561">
        <v>187</v>
      </c>
      <c r="CX192" s="561">
        <v>231</v>
      </c>
      <c r="CY192" s="561">
        <v>2524</v>
      </c>
      <c r="CZ192" s="561">
        <v>21463</v>
      </c>
      <c r="DA192" s="561">
        <v>0</v>
      </c>
      <c r="DB192" s="561">
        <v>328</v>
      </c>
      <c r="DC192" s="561">
        <v>0</v>
      </c>
      <c r="DD192" s="561">
        <v>234</v>
      </c>
      <c r="DE192" s="561">
        <v>58</v>
      </c>
      <c r="DF192" s="561">
        <v>0</v>
      </c>
      <c r="DG192" s="561">
        <v>0</v>
      </c>
      <c r="DH192" s="561">
        <v>687</v>
      </c>
      <c r="DI192" s="561">
        <v>0</v>
      </c>
      <c r="DJ192" s="561">
        <v>44</v>
      </c>
      <c r="DK192" s="561">
        <v>-11</v>
      </c>
      <c r="DL192" s="561">
        <v>0</v>
      </c>
      <c r="DM192" s="561">
        <v>0</v>
      </c>
      <c r="DN192" s="561">
        <v>0</v>
      </c>
      <c r="DO192" s="561">
        <v>453</v>
      </c>
      <c r="DP192" s="561">
        <v>0</v>
      </c>
      <c r="DQ192" s="561">
        <v>0</v>
      </c>
      <c r="DR192" s="561">
        <v>349</v>
      </c>
      <c r="DS192" s="561">
        <v>988</v>
      </c>
      <c r="DT192" s="561">
        <v>275</v>
      </c>
      <c r="DU192" s="561">
        <v>2065</v>
      </c>
      <c r="DV192" s="561">
        <v>0</v>
      </c>
      <c r="DW192" s="561">
        <v>0</v>
      </c>
      <c r="DX192" s="561">
        <v>0</v>
      </c>
      <c r="DY192" s="561">
        <v>739</v>
      </c>
      <c r="DZ192" s="561">
        <v>0</v>
      </c>
      <c r="EA192" s="561">
        <v>0</v>
      </c>
      <c r="EB192" s="561">
        <v>0</v>
      </c>
      <c r="EC192" s="561">
        <v>3524</v>
      </c>
      <c r="ED192" s="561">
        <v>0</v>
      </c>
      <c r="EE192" s="561">
        <v>0</v>
      </c>
      <c r="EF192" s="561">
        <v>0</v>
      </c>
      <c r="EG192" s="561">
        <v>0</v>
      </c>
      <c r="EH192" s="561">
        <v>0</v>
      </c>
      <c r="EI192" s="561">
        <v>0</v>
      </c>
      <c r="EJ192" s="561">
        <v>0</v>
      </c>
      <c r="EK192" s="561">
        <v>0</v>
      </c>
      <c r="EL192" s="561">
        <v>0</v>
      </c>
      <c r="EM192" s="561">
        <v>0</v>
      </c>
      <c r="EN192" s="561">
        <v>0</v>
      </c>
      <c r="EO192" s="561">
        <v>0</v>
      </c>
      <c r="EP192" s="561">
        <v>0</v>
      </c>
      <c r="EQ192" s="561">
        <v>0</v>
      </c>
      <c r="ER192" s="561">
        <v>0</v>
      </c>
      <c r="ES192" s="561" t="s">
        <v>4565</v>
      </c>
      <c r="ET192" s="561">
        <v>0</v>
      </c>
      <c r="EU192" s="561">
        <v>0</v>
      </c>
      <c r="EV192" s="561">
        <v>0</v>
      </c>
      <c r="EW192" s="561">
        <v>0</v>
      </c>
      <c r="EX192" s="561">
        <v>0</v>
      </c>
      <c r="EY192" s="561">
        <v>0</v>
      </c>
      <c r="EZ192" s="561">
        <v>0</v>
      </c>
      <c r="FA192" s="561">
        <v>0</v>
      </c>
      <c r="FB192" s="561">
        <v>0</v>
      </c>
      <c r="FC192" s="561">
        <v>977</v>
      </c>
      <c r="FD192" s="561">
        <v>0</v>
      </c>
      <c r="FE192" s="561">
        <v>0</v>
      </c>
      <c r="FF192" s="561">
        <v>1</v>
      </c>
      <c r="FG192" s="561">
        <v>3</v>
      </c>
      <c r="FH192" s="561">
        <v>0</v>
      </c>
      <c r="FI192" s="561">
        <v>44</v>
      </c>
      <c r="FJ192" s="561">
        <v>820</v>
      </c>
      <c r="FK192" s="561">
        <v>2130</v>
      </c>
      <c r="FL192" s="561">
        <v>0</v>
      </c>
      <c r="FM192" s="561">
        <v>0</v>
      </c>
      <c r="FN192" s="561">
        <v>1702</v>
      </c>
      <c r="FO192" s="561">
        <v>5677</v>
      </c>
      <c r="FP192" s="561">
        <v>0</v>
      </c>
      <c r="FQ192" s="561">
        <v>-60</v>
      </c>
      <c r="FR192" s="561">
        <v>512</v>
      </c>
      <c r="FS192" s="561">
        <v>0</v>
      </c>
      <c r="FT192" s="561">
        <v>164</v>
      </c>
      <c r="FU192" s="561">
        <v>481</v>
      </c>
      <c r="FV192" s="561">
        <v>164</v>
      </c>
      <c r="FW192" s="561">
        <v>131</v>
      </c>
      <c r="FX192" s="561">
        <v>0</v>
      </c>
      <c r="FY192" s="561">
        <v>0</v>
      </c>
      <c r="FZ192" s="561">
        <v>14</v>
      </c>
      <c r="GA192" s="561">
        <v>0</v>
      </c>
      <c r="GB192" s="561">
        <v>377</v>
      </c>
      <c r="GC192" s="561">
        <v>-4</v>
      </c>
      <c r="GD192" s="561">
        <v>684</v>
      </c>
      <c r="GE192" s="561">
        <v>0</v>
      </c>
      <c r="GF192" s="561">
        <v>7</v>
      </c>
      <c r="GG192" s="561">
        <v>0</v>
      </c>
      <c r="GH192" s="561">
        <v>0</v>
      </c>
      <c r="GI192" s="561">
        <v>0</v>
      </c>
      <c r="GJ192" s="561">
        <v>0</v>
      </c>
      <c r="GK192" s="561">
        <v>0</v>
      </c>
      <c r="GL192" s="561">
        <v>0</v>
      </c>
      <c r="GM192" s="561">
        <v>3710</v>
      </c>
      <c r="GN192" s="561">
        <v>0</v>
      </c>
      <c r="GO192" s="561">
        <v>50</v>
      </c>
      <c r="GP192" s="561">
        <v>202</v>
      </c>
      <c r="GQ192" s="561">
        <v>0</v>
      </c>
      <c r="GR192" s="561">
        <v>24</v>
      </c>
      <c r="GS192" s="561">
        <v>6456</v>
      </c>
      <c r="GT192" s="561">
        <v>454</v>
      </c>
      <c r="GU192" s="561">
        <v>132</v>
      </c>
      <c r="GV192" s="561">
        <v>497</v>
      </c>
      <c r="GW192" s="561">
        <v>0</v>
      </c>
      <c r="GX192" s="561">
        <v>388</v>
      </c>
      <c r="GY192" s="561">
        <v>773</v>
      </c>
      <c r="GZ192" s="561">
        <v>5543</v>
      </c>
      <c r="HA192" s="561">
        <v>0</v>
      </c>
      <c r="HB192" s="561">
        <v>-1080</v>
      </c>
      <c r="HC192" s="561">
        <v>3305</v>
      </c>
      <c r="HD192" s="561">
        <v>9558</v>
      </c>
      <c r="HE192" s="561">
        <v>0</v>
      </c>
      <c r="HF192" s="561">
        <v>21691</v>
      </c>
      <c r="HG192" s="561">
        <v>0</v>
      </c>
      <c r="HH192" s="561">
        <v>0</v>
      </c>
      <c r="HI192" s="561">
        <v>0</v>
      </c>
      <c r="HJ192" s="561">
        <v>0</v>
      </c>
      <c r="HK192" s="561">
        <v>0</v>
      </c>
      <c r="HL192" s="561">
        <v>0</v>
      </c>
      <c r="HM192" s="561">
        <v>0</v>
      </c>
      <c r="HN192" s="561">
        <v>0</v>
      </c>
      <c r="HO192" s="561">
        <v>3950</v>
      </c>
      <c r="HP192" s="561">
        <v>588</v>
      </c>
      <c r="HQ192" s="561">
        <v>0</v>
      </c>
      <c r="HR192" s="561">
        <v>0</v>
      </c>
      <c r="HS192" s="561">
        <v>630</v>
      </c>
      <c r="HT192" s="561">
        <v>23</v>
      </c>
      <c r="HU192" s="561">
        <v>0</v>
      </c>
      <c r="HV192" s="561">
        <v>73</v>
      </c>
      <c r="HW192" s="561">
        <v>158</v>
      </c>
      <c r="HX192" s="561">
        <v>117</v>
      </c>
      <c r="HY192" s="561">
        <v>15</v>
      </c>
      <c r="HZ192" s="561">
        <v>-27</v>
      </c>
      <c r="IA192" s="561">
        <v>2029</v>
      </c>
      <c r="IB192" s="561">
        <v>0</v>
      </c>
      <c r="IC192" s="561">
        <v>0</v>
      </c>
      <c r="ID192" s="561">
        <v>0</v>
      </c>
      <c r="IE192" s="561">
        <v>0</v>
      </c>
      <c r="IF192" s="561">
        <v>0</v>
      </c>
      <c r="IG192" s="561">
        <v>0</v>
      </c>
      <c r="IH192" s="561">
        <v>21719</v>
      </c>
      <c r="II192" s="561">
        <v>29275</v>
      </c>
      <c r="IJ192" s="561">
        <v>0</v>
      </c>
      <c r="IK192" s="561">
        <v>0</v>
      </c>
      <c r="IL192" s="561">
        <v>36</v>
      </c>
      <c r="IM192" s="561">
        <v>0</v>
      </c>
      <c r="IN192" s="561">
        <v>36</v>
      </c>
      <c r="IO192" s="561">
        <v>1572</v>
      </c>
      <c r="IP192" s="561">
        <v>0</v>
      </c>
      <c r="IQ192" s="561">
        <v>0</v>
      </c>
      <c r="IR192" s="561">
        <v>183137</v>
      </c>
      <c r="IS192" s="561">
        <v>12278</v>
      </c>
      <c r="IT192" s="561">
        <v>60472</v>
      </c>
      <c r="IU192" s="561">
        <v>99073</v>
      </c>
      <c r="IV192" s="561">
        <v>21463</v>
      </c>
      <c r="IW192" s="561">
        <v>3524</v>
      </c>
      <c r="IX192" s="561">
        <v>5677</v>
      </c>
      <c r="IY192" s="561">
        <v>6456</v>
      </c>
      <c r="IZ192" s="561">
        <v>9558</v>
      </c>
      <c r="JA192" s="561">
        <v>0</v>
      </c>
      <c r="JB192" s="561">
        <v>0</v>
      </c>
      <c r="JC192" s="561">
        <v>29275</v>
      </c>
      <c r="JD192" s="561">
        <v>0</v>
      </c>
      <c r="JE192" s="561">
        <v>430913</v>
      </c>
      <c r="JF192" s="561">
        <v>45577</v>
      </c>
      <c r="JG192" s="561">
        <v>0</v>
      </c>
      <c r="JH192" s="561">
        <v>0</v>
      </c>
      <c r="JI192" s="561">
        <v>0</v>
      </c>
      <c r="JJ192" s="561">
        <v>0</v>
      </c>
      <c r="JK192" s="561">
        <v>1546</v>
      </c>
      <c r="JL192" s="561">
        <v>11471</v>
      </c>
      <c r="JM192" s="561">
        <v>9161</v>
      </c>
      <c r="JN192" s="561">
        <v>0</v>
      </c>
      <c r="JO192" s="561">
        <v>325</v>
      </c>
      <c r="JP192" s="561">
        <v>-206</v>
      </c>
      <c r="JQ192" s="561">
        <v>5527</v>
      </c>
      <c r="JR192" s="561">
        <v>0</v>
      </c>
      <c r="JS192" s="561">
        <v>0</v>
      </c>
      <c r="JT192" s="561">
        <v>-1454</v>
      </c>
      <c r="JU192" s="561">
        <v>0</v>
      </c>
      <c r="JV192" s="561">
        <v>502860</v>
      </c>
      <c r="JW192" s="561">
        <v>78</v>
      </c>
      <c r="JX192" s="561">
        <v>4321</v>
      </c>
      <c r="JY192" s="561">
        <v>0</v>
      </c>
      <c r="JZ192" s="561">
        <v>0</v>
      </c>
      <c r="KA192" s="561">
        <v>-19</v>
      </c>
      <c r="KB192" s="561">
        <v>0</v>
      </c>
      <c r="KC192" s="561">
        <v>6229</v>
      </c>
      <c r="KD192" s="561">
        <v>0</v>
      </c>
      <c r="KE192" s="561">
        <v>13062</v>
      </c>
      <c r="KF192" s="561">
        <v>0</v>
      </c>
      <c r="KG192" s="561">
        <v>526531</v>
      </c>
      <c r="KH192" s="561">
        <v>-8463</v>
      </c>
      <c r="KI192" s="561">
        <v>7667</v>
      </c>
      <c r="KJ192" s="561">
        <v>42</v>
      </c>
      <c r="KK192" s="561">
        <v>0</v>
      </c>
      <c r="KL192" s="561">
        <v>-50183</v>
      </c>
      <c r="KM192" s="561">
        <v>0</v>
      </c>
      <c r="KN192" s="561">
        <v>0</v>
      </c>
      <c r="KO192" s="561">
        <v>0</v>
      </c>
      <c r="KP192" s="561">
        <v>0</v>
      </c>
      <c r="KQ192" s="561">
        <v>-13202</v>
      </c>
      <c r="KR192" s="561">
        <v>462392</v>
      </c>
      <c r="KS192" s="561">
        <v>0</v>
      </c>
      <c r="KT192" s="561">
        <v>-254079</v>
      </c>
      <c r="KU192" s="561">
        <v>208313</v>
      </c>
      <c r="KV192" s="561">
        <v>0</v>
      </c>
      <c r="KW192" s="561">
        <v>2549</v>
      </c>
      <c r="KX192" s="561">
        <v>0</v>
      </c>
      <c r="KY192" s="561">
        <v>77</v>
      </c>
      <c r="KZ192" s="561">
        <v>-2185</v>
      </c>
      <c r="LA192" s="561">
        <v>1000</v>
      </c>
      <c r="LB192" s="561">
        <v>0</v>
      </c>
      <c r="LC192" s="561">
        <v>0</v>
      </c>
      <c r="LD192" s="561">
        <v>-136502</v>
      </c>
      <c r="LE192" s="561">
        <v>0</v>
      </c>
      <c r="LF192" s="561">
        <v>0</v>
      </c>
      <c r="LG192" s="561">
        <v>73252</v>
      </c>
      <c r="LH192" s="561">
        <v>35230</v>
      </c>
      <c r="LI192" s="561">
        <v>-12931</v>
      </c>
      <c r="LJ192" s="561">
        <v>0</v>
      </c>
      <c r="LK192" s="561">
        <v>2807</v>
      </c>
      <c r="LL192" s="561">
        <v>56290</v>
      </c>
      <c r="LM192" s="561">
        <v>8975</v>
      </c>
      <c r="LN192" s="561">
        <v>37779</v>
      </c>
      <c r="LO192" s="561">
        <v>-26133</v>
      </c>
      <c r="LP192" s="561">
        <v>0</v>
      </c>
      <c r="LQ192" s="561">
        <v>2884</v>
      </c>
      <c r="LR192" s="561">
        <v>54105</v>
      </c>
      <c r="LS192" s="561">
        <v>9975</v>
      </c>
      <c r="LT192" s="561">
        <v>0</v>
      </c>
      <c r="LU192" s="561">
        <v>19032</v>
      </c>
      <c r="LV192" s="561">
        <v>499</v>
      </c>
      <c r="LW192" s="561">
        <v>8021</v>
      </c>
      <c r="LX192" s="561">
        <v>-24927</v>
      </c>
      <c r="LY192" s="561">
        <v>8194</v>
      </c>
      <c r="LZ192" s="561">
        <v>4281</v>
      </c>
      <c r="MA192" s="561">
        <v>0</v>
      </c>
      <c r="MB192" s="561">
        <v>0</v>
      </c>
      <c r="MC192" s="561">
        <v>0</v>
      </c>
      <c r="MD192" s="561">
        <v>0</v>
      </c>
      <c r="ME192" s="561">
        <v>0</v>
      </c>
      <c r="MF192" s="561">
        <v>0</v>
      </c>
      <c r="MG192" s="561">
        <v>0</v>
      </c>
      <c r="MH192" s="561">
        <v>8460</v>
      </c>
      <c r="MI192" s="561">
        <v>9524</v>
      </c>
      <c r="MJ192" s="561">
        <v>17984</v>
      </c>
      <c r="MK192" s="561">
        <v>0</v>
      </c>
      <c r="ML192" s="561">
        <v>7177</v>
      </c>
      <c r="MM192" s="561">
        <v>40908</v>
      </c>
      <c r="MN192" s="561">
        <v>5100</v>
      </c>
      <c r="MO192" s="561">
        <v>0</v>
      </c>
      <c r="MP192" s="561">
        <v>920</v>
      </c>
      <c r="MQ192" s="561">
        <v>183137</v>
      </c>
      <c r="MR192" s="561">
        <v>12278</v>
      </c>
      <c r="MS192" s="561">
        <v>60472</v>
      </c>
      <c r="MT192" s="561">
        <v>99073</v>
      </c>
      <c r="MU192" s="561">
        <v>21463</v>
      </c>
      <c r="MV192" s="561">
        <v>3524</v>
      </c>
      <c r="MW192" s="561">
        <v>5677</v>
      </c>
      <c r="MX192" s="561">
        <v>6456</v>
      </c>
      <c r="MY192" s="561">
        <v>9558</v>
      </c>
      <c r="MZ192" s="561">
        <v>0</v>
      </c>
      <c r="NA192" s="561">
        <v>0</v>
      </c>
      <c r="NB192" s="561">
        <v>29275</v>
      </c>
      <c r="NC192" s="561">
        <v>0</v>
      </c>
      <c r="ND192" s="561">
        <v>430913</v>
      </c>
      <c r="NE192" s="561">
        <v>0</v>
      </c>
      <c r="NF192" s="561">
        <v>0</v>
      </c>
      <c r="NG192" s="561">
        <v>0</v>
      </c>
      <c r="NH192" s="561">
        <v>0</v>
      </c>
      <c r="NI192" s="561">
        <v>0</v>
      </c>
      <c r="NJ192" s="561">
        <v>0</v>
      </c>
      <c r="NK192" s="561">
        <v>0</v>
      </c>
      <c r="NL192" s="561">
        <v>0</v>
      </c>
      <c r="NM192" s="561">
        <v>0</v>
      </c>
      <c r="NN192" s="561">
        <v>0</v>
      </c>
      <c r="NO192" s="561">
        <v>0</v>
      </c>
      <c r="NP192" s="561">
        <v>0</v>
      </c>
      <c r="NQ192" s="561">
        <v>0</v>
      </c>
      <c r="NR192" s="561">
        <v>0</v>
      </c>
      <c r="NS192" s="561">
        <v>0</v>
      </c>
      <c r="NT192" s="561">
        <v>0</v>
      </c>
      <c r="NU192" s="561">
        <v>0</v>
      </c>
      <c r="NV192" s="561">
        <v>-206</v>
      </c>
      <c r="NW192" s="561">
        <v>-206</v>
      </c>
      <c r="NX192" s="561">
        <v>0</v>
      </c>
      <c r="NY192" s="561">
        <v>-206</v>
      </c>
      <c r="NZ192" s="561">
        <v>0</v>
      </c>
      <c r="OA192" s="561">
        <v>0</v>
      </c>
      <c r="OB192" s="561">
        <v>0</v>
      </c>
      <c r="OC192" s="561">
        <v>0</v>
      </c>
      <c r="OD192" s="561">
        <v>0</v>
      </c>
      <c r="OE192" s="561">
        <v>0</v>
      </c>
      <c r="OF192" s="561">
        <v>0</v>
      </c>
      <c r="OG192" s="561">
        <v>0</v>
      </c>
      <c r="OH192" s="561">
        <v>2551</v>
      </c>
      <c r="OI192" s="561">
        <v>0</v>
      </c>
      <c r="OJ192" s="561">
        <v>-871</v>
      </c>
      <c r="OK192" s="561">
        <v>0</v>
      </c>
      <c r="OL192" s="561">
        <v>1810</v>
      </c>
      <c r="OM192" s="561">
        <v>-401</v>
      </c>
      <c r="ON192" s="561">
        <v>0</v>
      </c>
      <c r="OO192" s="561">
        <v>0</v>
      </c>
      <c r="OP192" s="561">
        <v>915</v>
      </c>
      <c r="OQ192" s="561">
        <v>0</v>
      </c>
      <c r="OR192" s="561">
        <v>0</v>
      </c>
      <c r="OS192" s="561">
        <v>0</v>
      </c>
      <c r="OT192" s="561">
        <v>0</v>
      </c>
      <c r="OU192" s="561">
        <v>0</v>
      </c>
      <c r="OV192" s="561">
        <v>6657</v>
      </c>
      <c r="OW192" s="561">
        <v>0</v>
      </c>
      <c r="OX192" s="561">
        <v>5527</v>
      </c>
      <c r="OY192" s="561">
        <v>0</v>
      </c>
      <c r="OZ192" s="561">
        <v>0</v>
      </c>
      <c r="PA192" s="561">
        <v>0</v>
      </c>
      <c r="PB192" s="561">
        <v>0</v>
      </c>
      <c r="PC192" s="561">
        <v>0</v>
      </c>
      <c r="PD192" s="561">
        <v>0</v>
      </c>
      <c r="PE192" s="561">
        <v>0</v>
      </c>
      <c r="PF192" s="561">
        <v>0</v>
      </c>
      <c r="PG192" s="561">
        <v>0</v>
      </c>
      <c r="PH192" s="561">
        <v>0</v>
      </c>
      <c r="PI192" s="561">
        <v>0</v>
      </c>
      <c r="PJ192" s="561">
        <v>0</v>
      </c>
    </row>
    <row r="193" spans="1:426" ht="14" x14ac:dyDescent="0.3">
      <c r="A193" t="s">
        <v>3017</v>
      </c>
      <c r="B193" t="s">
        <v>3018</v>
      </c>
      <c r="C193" t="s">
        <v>4618</v>
      </c>
      <c r="E193" t="s">
        <v>2466</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-1995</v>
      </c>
      <c r="AC193" s="561">
        <v>0</v>
      </c>
      <c r="AD193" s="561">
        <v>0</v>
      </c>
      <c r="AE193" s="561">
        <v>0</v>
      </c>
      <c r="AF193" s="561">
        <v>0</v>
      </c>
      <c r="AG193" s="561">
        <v>0</v>
      </c>
      <c r="AH193" s="561">
        <v>0</v>
      </c>
      <c r="AI193" s="561">
        <v>0</v>
      </c>
      <c r="AJ193" s="561">
        <v>-1995</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561">
        <v>0</v>
      </c>
      <c r="BG193" s="561">
        <v>0</v>
      </c>
      <c r="BH193" s="561">
        <v>0</v>
      </c>
      <c r="BI193" s="561">
        <v>0</v>
      </c>
      <c r="BJ193" s="561">
        <v>0</v>
      </c>
      <c r="BK193" s="561">
        <v>0</v>
      </c>
      <c r="BL193" s="561">
        <v>0</v>
      </c>
      <c r="BM193" s="561">
        <v>0</v>
      </c>
      <c r="BN193" s="561">
        <v>0</v>
      </c>
      <c r="BO193" s="561">
        <v>0</v>
      </c>
      <c r="BP193" s="561">
        <v>0</v>
      </c>
      <c r="BQ193" s="561">
        <v>0</v>
      </c>
      <c r="BR193" s="561">
        <v>0</v>
      </c>
      <c r="BS193" s="561">
        <v>0</v>
      </c>
      <c r="BT193" s="561">
        <v>0</v>
      </c>
      <c r="BU193" s="561">
        <v>0</v>
      </c>
      <c r="BV193" s="561">
        <v>0</v>
      </c>
      <c r="BW193" s="561">
        <v>0</v>
      </c>
      <c r="BX193" s="561">
        <v>0</v>
      </c>
      <c r="BY193" s="561">
        <v>0</v>
      </c>
      <c r="BZ193" s="561">
        <v>0</v>
      </c>
      <c r="CA193" s="561">
        <v>0</v>
      </c>
      <c r="CB193" s="561">
        <v>0</v>
      </c>
      <c r="CC193" s="561">
        <v>0</v>
      </c>
      <c r="CD193" s="561">
        <v>0</v>
      </c>
      <c r="CE193" s="561">
        <v>0</v>
      </c>
      <c r="CF193" s="561">
        <v>0</v>
      </c>
      <c r="CG193" s="561">
        <v>0</v>
      </c>
      <c r="CH193" s="561">
        <v>0</v>
      </c>
      <c r="CI193" s="561">
        <v>0</v>
      </c>
      <c r="CJ193" s="561">
        <v>0</v>
      </c>
      <c r="CK193" s="561">
        <v>0</v>
      </c>
      <c r="CL193" s="561">
        <v>0</v>
      </c>
      <c r="CM193" s="561">
        <v>0</v>
      </c>
      <c r="CN193" s="561">
        <v>0</v>
      </c>
      <c r="CO193" s="561">
        <v>0</v>
      </c>
      <c r="CP193" s="561">
        <v>0</v>
      </c>
      <c r="CQ193" s="561">
        <v>0</v>
      </c>
      <c r="CR193" s="561">
        <v>0</v>
      </c>
      <c r="CS193" s="561">
        <v>0</v>
      </c>
      <c r="CT193" s="561">
        <v>0</v>
      </c>
      <c r="CU193" s="561">
        <v>0</v>
      </c>
      <c r="CV193" s="561">
        <v>0</v>
      </c>
      <c r="CW193" s="561">
        <v>0</v>
      </c>
      <c r="CX193" s="561">
        <v>0</v>
      </c>
      <c r="CY193" s="561">
        <v>0</v>
      </c>
      <c r="CZ193" s="561">
        <v>0</v>
      </c>
      <c r="DA193" s="561">
        <v>0</v>
      </c>
      <c r="DB193" s="561">
        <v>0</v>
      </c>
      <c r="DC193" s="561">
        <v>0</v>
      </c>
      <c r="DD193" s="561">
        <v>0</v>
      </c>
      <c r="DE193" s="561">
        <v>0</v>
      </c>
      <c r="DF193" s="561">
        <v>0</v>
      </c>
      <c r="DG193" s="561">
        <v>0</v>
      </c>
      <c r="DH193" s="561">
        <v>0</v>
      </c>
      <c r="DI193" s="561">
        <v>0</v>
      </c>
      <c r="DJ193" s="561">
        <v>0</v>
      </c>
      <c r="DK193" s="561">
        <v>0</v>
      </c>
      <c r="DL193" s="561">
        <v>0</v>
      </c>
      <c r="DM193" s="561">
        <v>0</v>
      </c>
      <c r="DN193" s="561">
        <v>0</v>
      </c>
      <c r="DO193" s="561">
        <v>0</v>
      </c>
      <c r="DP193" s="561">
        <v>0</v>
      </c>
      <c r="DQ193" s="561">
        <v>0</v>
      </c>
      <c r="DR193" s="561">
        <v>0</v>
      </c>
      <c r="DS193" s="561">
        <v>0</v>
      </c>
      <c r="DT193" s="561">
        <v>0</v>
      </c>
      <c r="DU193" s="561">
        <v>0</v>
      </c>
      <c r="DV193" s="561">
        <v>0</v>
      </c>
      <c r="DW193" s="561">
        <v>0</v>
      </c>
      <c r="DX193" s="561">
        <v>0</v>
      </c>
      <c r="DY193" s="561">
        <v>0</v>
      </c>
      <c r="DZ193" s="561">
        <v>0</v>
      </c>
      <c r="EA193" s="561">
        <v>0</v>
      </c>
      <c r="EB193" s="561">
        <v>0</v>
      </c>
      <c r="EC193" s="561">
        <v>0</v>
      </c>
      <c r="ED193" s="561">
        <v>0</v>
      </c>
      <c r="EE193" s="561">
        <v>0</v>
      </c>
      <c r="EF193" s="561">
        <v>0</v>
      </c>
      <c r="EG193" s="561">
        <v>0</v>
      </c>
      <c r="EH193" s="561">
        <v>0</v>
      </c>
      <c r="EI193" s="561">
        <v>0</v>
      </c>
      <c r="EJ193" s="561">
        <v>0</v>
      </c>
      <c r="EK193" s="561">
        <v>0</v>
      </c>
      <c r="EL193" s="561">
        <v>0</v>
      </c>
      <c r="EM193" s="561">
        <v>0</v>
      </c>
      <c r="EN193" s="561">
        <v>0</v>
      </c>
      <c r="EO193" s="561">
        <v>0</v>
      </c>
      <c r="EP193" s="561">
        <v>0</v>
      </c>
      <c r="EQ193" s="561">
        <v>0</v>
      </c>
      <c r="ER193" s="561">
        <v>0</v>
      </c>
      <c r="ES193" s="561" t="s">
        <v>4565</v>
      </c>
      <c r="ET193" s="561">
        <v>0</v>
      </c>
      <c r="EU193" s="561">
        <v>0</v>
      </c>
      <c r="EV193" s="561">
        <v>0</v>
      </c>
      <c r="EW193" s="561">
        <v>0</v>
      </c>
      <c r="EX193" s="561">
        <v>0</v>
      </c>
      <c r="EY193" s="561">
        <v>0</v>
      </c>
      <c r="EZ193" s="561">
        <v>0</v>
      </c>
      <c r="FA193" s="561">
        <v>0</v>
      </c>
      <c r="FB193" s="561">
        <v>0</v>
      </c>
      <c r="FC193" s="561">
        <v>0</v>
      </c>
      <c r="FD193" s="561">
        <v>2470</v>
      </c>
      <c r="FE193" s="561">
        <v>0</v>
      </c>
      <c r="FF193" s="561">
        <v>0</v>
      </c>
      <c r="FG193" s="561">
        <v>0</v>
      </c>
      <c r="FH193" s="561">
        <v>0</v>
      </c>
      <c r="FI193" s="561">
        <v>0</v>
      </c>
      <c r="FJ193" s="561">
        <v>0</v>
      </c>
      <c r="FK193" s="561">
        <v>3605</v>
      </c>
      <c r="FL193" s="561">
        <v>0</v>
      </c>
      <c r="FM193" s="561">
        <v>1842</v>
      </c>
      <c r="FN193" s="561">
        <v>0</v>
      </c>
      <c r="FO193" s="561">
        <v>7917</v>
      </c>
      <c r="FP193" s="561">
        <v>0</v>
      </c>
      <c r="FQ193" s="561">
        <v>0</v>
      </c>
      <c r="FR193" s="561">
        <v>0</v>
      </c>
      <c r="FS193" s="561">
        <v>0</v>
      </c>
      <c r="FT193" s="561">
        <v>0</v>
      </c>
      <c r="FU193" s="561">
        <v>0</v>
      </c>
      <c r="FV193" s="561">
        <v>0</v>
      </c>
      <c r="FW193" s="561">
        <v>0</v>
      </c>
      <c r="FX193" s="561">
        <v>0</v>
      </c>
      <c r="FY193" s="561">
        <v>0</v>
      </c>
      <c r="FZ193" s="561">
        <v>0</v>
      </c>
      <c r="GA193" s="561">
        <v>28</v>
      </c>
      <c r="GB193" s="561">
        <v>0</v>
      </c>
      <c r="GC193" s="561">
        <v>0</v>
      </c>
      <c r="GD193" s="561">
        <v>0</v>
      </c>
      <c r="GE193" s="561">
        <v>0</v>
      </c>
      <c r="GF193" s="561">
        <v>0</v>
      </c>
      <c r="GG193" s="561">
        <v>0</v>
      </c>
      <c r="GH193" s="561">
        <v>0</v>
      </c>
      <c r="GI193" s="561">
        <v>0</v>
      </c>
      <c r="GJ193" s="561">
        <v>0</v>
      </c>
      <c r="GK193" s="561">
        <v>2287</v>
      </c>
      <c r="GL193" s="561">
        <v>0</v>
      </c>
      <c r="GM193" s="561">
        <v>0</v>
      </c>
      <c r="GN193" s="561">
        <v>0</v>
      </c>
      <c r="GO193" s="561">
        <v>0</v>
      </c>
      <c r="GP193" s="561">
        <v>0</v>
      </c>
      <c r="GQ193" s="561">
        <v>0</v>
      </c>
      <c r="GR193" s="561">
        <v>0</v>
      </c>
      <c r="GS193" s="561">
        <v>2315</v>
      </c>
      <c r="GT193" s="561">
        <v>0</v>
      </c>
      <c r="GU193" s="561">
        <v>0</v>
      </c>
      <c r="GV193" s="561">
        <v>557</v>
      </c>
      <c r="GW193" s="561">
        <v>0</v>
      </c>
      <c r="GX193" s="561">
        <v>57</v>
      </c>
      <c r="GY193" s="561">
        <v>0</v>
      </c>
      <c r="GZ193" s="561">
        <v>0</v>
      </c>
      <c r="HA193" s="561">
        <v>0</v>
      </c>
      <c r="HB193" s="561">
        <v>0</v>
      </c>
      <c r="HC193" s="561">
        <v>0</v>
      </c>
      <c r="HD193" s="561">
        <v>614</v>
      </c>
      <c r="HE193" s="561">
        <v>0</v>
      </c>
      <c r="HF193" s="561">
        <v>10846</v>
      </c>
      <c r="HG193" s="561">
        <v>0</v>
      </c>
      <c r="HH193" s="561">
        <v>0</v>
      </c>
      <c r="HI193" s="561">
        <v>0</v>
      </c>
      <c r="HJ193" s="561">
        <v>0</v>
      </c>
      <c r="HK193" s="561">
        <v>0</v>
      </c>
      <c r="HL193" s="561">
        <v>0</v>
      </c>
      <c r="HM193" s="561">
        <v>0</v>
      </c>
      <c r="HN193" s="561">
        <v>0</v>
      </c>
      <c r="HO193" s="561">
        <v>1518</v>
      </c>
      <c r="HP193" s="561">
        <v>0</v>
      </c>
      <c r="HQ193" s="561">
        <v>0</v>
      </c>
      <c r="HR193" s="561">
        <v>0</v>
      </c>
      <c r="HS193" s="561">
        <v>0</v>
      </c>
      <c r="HT193" s="561">
        <v>0</v>
      </c>
      <c r="HU193" s="561">
        <v>0</v>
      </c>
      <c r="HV193" s="561">
        <v>0</v>
      </c>
      <c r="HW193" s="561">
        <v>0</v>
      </c>
      <c r="HX193" s="561">
        <v>0</v>
      </c>
      <c r="HY193" s="561">
        <v>0</v>
      </c>
      <c r="HZ193" s="561">
        <v>0</v>
      </c>
      <c r="IA193" s="561">
        <v>0</v>
      </c>
      <c r="IB193" s="561">
        <v>0</v>
      </c>
      <c r="IC193" s="561">
        <v>0</v>
      </c>
      <c r="ID193" s="561">
        <v>0</v>
      </c>
      <c r="IE193" s="561">
        <v>0</v>
      </c>
      <c r="IF193" s="561">
        <v>0</v>
      </c>
      <c r="IG193" s="561">
        <v>0</v>
      </c>
      <c r="IH193" s="561">
        <v>0</v>
      </c>
      <c r="II193" s="561">
        <v>1518</v>
      </c>
      <c r="IJ193" s="561">
        <v>0</v>
      </c>
      <c r="IK193" s="561">
        <v>0</v>
      </c>
      <c r="IL193" s="561">
        <v>0</v>
      </c>
      <c r="IM193" s="561">
        <v>0</v>
      </c>
      <c r="IN193" s="561">
        <v>0</v>
      </c>
      <c r="IO193" s="561">
        <v>0</v>
      </c>
      <c r="IP193" s="561">
        <v>0</v>
      </c>
      <c r="IQ193" s="561">
        <v>0</v>
      </c>
      <c r="IR193" s="561">
        <v>0</v>
      </c>
      <c r="IS193" s="561">
        <v>-1995</v>
      </c>
      <c r="IT193" s="561">
        <v>0</v>
      </c>
      <c r="IU193" s="561">
        <v>0</v>
      </c>
      <c r="IV193" s="561">
        <v>0</v>
      </c>
      <c r="IW193" s="561">
        <v>0</v>
      </c>
      <c r="IX193" s="561">
        <v>7917</v>
      </c>
      <c r="IY193" s="561">
        <v>2315</v>
      </c>
      <c r="IZ193" s="561">
        <v>614</v>
      </c>
      <c r="JA193" s="561">
        <v>0</v>
      </c>
      <c r="JB193" s="561">
        <v>0</v>
      </c>
      <c r="JC193" s="561">
        <v>1518</v>
      </c>
      <c r="JD193" s="561">
        <v>0</v>
      </c>
      <c r="JE193" s="561">
        <v>10369</v>
      </c>
      <c r="JF193" s="561">
        <v>0</v>
      </c>
      <c r="JG193" s="561">
        <v>0</v>
      </c>
      <c r="JH193" s="561">
        <v>0</v>
      </c>
      <c r="JI193" s="561">
        <v>0</v>
      </c>
      <c r="JJ193" s="561">
        <v>0</v>
      </c>
      <c r="JK193" s="561">
        <v>0</v>
      </c>
      <c r="JL193" s="561">
        <v>0</v>
      </c>
      <c r="JM193" s="561">
        <v>0</v>
      </c>
      <c r="JN193" s="561">
        <v>0</v>
      </c>
      <c r="JO193" s="561">
        <v>0</v>
      </c>
      <c r="JP193" s="561">
        <v>0</v>
      </c>
      <c r="JQ193" s="561">
        <v>0</v>
      </c>
      <c r="JR193" s="561">
        <v>0</v>
      </c>
      <c r="JS193" s="561">
        <v>0</v>
      </c>
      <c r="JT193" s="561">
        <v>-3</v>
      </c>
      <c r="JU193" s="561">
        <v>0</v>
      </c>
      <c r="JV193" s="561">
        <v>10366</v>
      </c>
      <c r="JW193" s="561">
        <v>0</v>
      </c>
      <c r="JX193" s="561">
        <v>0</v>
      </c>
      <c r="JY193" s="561">
        <v>0</v>
      </c>
      <c r="JZ193" s="561">
        <v>0</v>
      </c>
      <c r="KA193" s="561">
        <v>0</v>
      </c>
      <c r="KB193" s="561">
        <v>0</v>
      </c>
      <c r="KC193" s="561">
        <v>0</v>
      </c>
      <c r="KD193" s="561">
        <v>0</v>
      </c>
      <c r="KE193" s="561">
        <v>0</v>
      </c>
      <c r="KF193" s="561">
        <v>0</v>
      </c>
      <c r="KG193" s="561">
        <v>10366</v>
      </c>
      <c r="KH193" s="561">
        <v>-317</v>
      </c>
      <c r="KI193" s="561">
        <v>0</v>
      </c>
      <c r="KJ193" s="561">
        <v>0</v>
      </c>
      <c r="KK193" s="561">
        <v>0</v>
      </c>
      <c r="KL193" s="561">
        <v>0</v>
      </c>
      <c r="KM193" s="561">
        <v>0</v>
      </c>
      <c r="KN193" s="561">
        <v>0</v>
      </c>
      <c r="KO193" s="561">
        <v>0</v>
      </c>
      <c r="KP193" s="561">
        <v>0</v>
      </c>
      <c r="KQ193" s="561">
        <v>0</v>
      </c>
      <c r="KR193" s="561">
        <v>10049</v>
      </c>
      <c r="KS193" s="561">
        <v>0</v>
      </c>
      <c r="KT193" s="561">
        <v>-11414</v>
      </c>
      <c r="KU193" s="561">
        <v>-1365</v>
      </c>
      <c r="KV193" s="561">
        <v>0</v>
      </c>
      <c r="KW193" s="561">
        <v>0</v>
      </c>
      <c r="KX193" s="561">
        <v>0</v>
      </c>
      <c r="KY193" s="561">
        <v>0</v>
      </c>
      <c r="KZ193" s="561">
        <v>1184</v>
      </c>
      <c r="LA193" s="561">
        <v>181</v>
      </c>
      <c r="LB193" s="561">
        <v>0</v>
      </c>
      <c r="LC193" s="561">
        <v>0</v>
      </c>
      <c r="LD193" s="561">
        <v>0</v>
      </c>
      <c r="LE193" s="561">
        <v>0</v>
      </c>
      <c r="LF193" s="561">
        <v>0</v>
      </c>
      <c r="LG193" s="561">
        <v>0</v>
      </c>
      <c r="LH193" s="561">
        <v>0</v>
      </c>
      <c r="LI193" s="561">
        <v>0</v>
      </c>
      <c r="LJ193" s="561">
        <v>0</v>
      </c>
      <c r="LK193" s="561">
        <v>0</v>
      </c>
      <c r="LL193" s="561">
        <v>2403</v>
      </c>
      <c r="LM193" s="561">
        <v>1387</v>
      </c>
      <c r="LN193" s="561">
        <v>0</v>
      </c>
      <c r="LO193" s="561">
        <v>0</v>
      </c>
      <c r="LP193" s="561">
        <v>0</v>
      </c>
      <c r="LQ193" s="561">
        <v>0</v>
      </c>
      <c r="LR193" s="561">
        <v>3587</v>
      </c>
      <c r="LS193" s="561">
        <v>1568</v>
      </c>
      <c r="LT193" s="561">
        <v>0</v>
      </c>
      <c r="LU193" s="561">
        <v>1380</v>
      </c>
      <c r="LV193" s="561">
        <v>0</v>
      </c>
      <c r="LW193" s="561">
        <v>72</v>
      </c>
      <c r="LX193" s="561">
        <v>415</v>
      </c>
      <c r="LY193" s="561">
        <v>52</v>
      </c>
      <c r="LZ193" s="561">
        <v>2091</v>
      </c>
      <c r="MA193" s="561">
        <v>0</v>
      </c>
      <c r="MB193" s="561">
        <v>0</v>
      </c>
      <c r="MC193" s="561">
        <v>0</v>
      </c>
      <c r="MD193" s="561">
        <v>0</v>
      </c>
      <c r="ME193" s="561">
        <v>0</v>
      </c>
      <c r="MF193" s="561">
        <v>0</v>
      </c>
      <c r="MG193" s="561">
        <v>0</v>
      </c>
      <c r="MH193" s="561">
        <v>0</v>
      </c>
      <c r="MI193" s="561">
        <v>0</v>
      </c>
      <c r="MJ193" s="561">
        <v>0</v>
      </c>
      <c r="MK193" s="561">
        <v>0</v>
      </c>
      <c r="ML193" s="561">
        <v>0</v>
      </c>
      <c r="MM193" s="561">
        <v>3059</v>
      </c>
      <c r="MN193" s="561">
        <v>528</v>
      </c>
      <c r="MO193" s="561">
        <v>0</v>
      </c>
      <c r="MP193" s="561">
        <v>0</v>
      </c>
      <c r="MQ193" s="561">
        <v>0</v>
      </c>
      <c r="MR193" s="561">
        <v>-1995</v>
      </c>
      <c r="MS193" s="561">
        <v>0</v>
      </c>
      <c r="MT193" s="561">
        <v>0</v>
      </c>
      <c r="MU193" s="561">
        <v>0</v>
      </c>
      <c r="MV193" s="561">
        <v>0</v>
      </c>
      <c r="MW193" s="561">
        <v>7917</v>
      </c>
      <c r="MX193" s="561">
        <v>2315</v>
      </c>
      <c r="MY193" s="561">
        <v>614</v>
      </c>
      <c r="MZ193" s="561">
        <v>0</v>
      </c>
      <c r="NA193" s="561">
        <v>0</v>
      </c>
      <c r="NB193" s="561">
        <v>1518</v>
      </c>
      <c r="NC193" s="561">
        <v>0</v>
      </c>
      <c r="ND193" s="561">
        <v>10369</v>
      </c>
      <c r="NE193" s="561">
        <v>0</v>
      </c>
      <c r="NF193" s="561">
        <v>0</v>
      </c>
      <c r="NG193" s="561">
        <v>0</v>
      </c>
      <c r="NH193" s="561">
        <v>0</v>
      </c>
      <c r="NI193" s="561">
        <v>0</v>
      </c>
      <c r="NJ193" s="561">
        <v>0</v>
      </c>
      <c r="NK193" s="561">
        <v>0</v>
      </c>
      <c r="NL193" s="561">
        <v>0</v>
      </c>
      <c r="NM193" s="561">
        <v>0</v>
      </c>
      <c r="NN193" s="561">
        <v>0</v>
      </c>
      <c r="NO193" s="561">
        <v>0</v>
      </c>
      <c r="NP193" s="561">
        <v>0</v>
      </c>
      <c r="NQ193" s="561">
        <v>0</v>
      </c>
      <c r="NR193" s="561">
        <v>0</v>
      </c>
      <c r="NS193" s="561">
        <v>0</v>
      </c>
      <c r="NT193" s="561">
        <v>0</v>
      </c>
      <c r="NU193" s="561">
        <v>0</v>
      </c>
      <c r="NV193" s="561">
        <v>0</v>
      </c>
      <c r="NW193" s="561">
        <v>0</v>
      </c>
      <c r="NX193" s="561">
        <v>0</v>
      </c>
      <c r="NY193" s="561">
        <v>0</v>
      </c>
      <c r="NZ193" s="561">
        <v>0</v>
      </c>
      <c r="OA193" s="561">
        <v>0</v>
      </c>
      <c r="OB193" s="561">
        <v>0</v>
      </c>
      <c r="OC193" s="561">
        <v>0</v>
      </c>
      <c r="OD193" s="561">
        <v>0</v>
      </c>
      <c r="OE193" s="561">
        <v>0</v>
      </c>
      <c r="OF193" s="561">
        <v>0</v>
      </c>
      <c r="OG193" s="561">
        <v>0</v>
      </c>
      <c r="OH193" s="561">
        <v>0</v>
      </c>
      <c r="OI193" s="561">
        <v>0</v>
      </c>
      <c r="OJ193" s="561">
        <v>0</v>
      </c>
      <c r="OK193" s="561">
        <v>0</v>
      </c>
      <c r="OL193" s="561">
        <v>0</v>
      </c>
      <c r="OM193" s="561">
        <v>0</v>
      </c>
      <c r="ON193" s="561">
        <v>0</v>
      </c>
      <c r="OO193" s="561">
        <v>0</v>
      </c>
      <c r="OP193" s="561">
        <v>0</v>
      </c>
      <c r="OQ193" s="561">
        <v>0</v>
      </c>
      <c r="OR193" s="561">
        <v>0</v>
      </c>
      <c r="OS193" s="561">
        <v>0</v>
      </c>
      <c r="OT193" s="561">
        <v>0</v>
      </c>
      <c r="OU193" s="561">
        <v>0</v>
      </c>
      <c r="OV193" s="561">
        <v>0</v>
      </c>
      <c r="OW193" s="561">
        <v>0</v>
      </c>
      <c r="OX193" s="561">
        <v>0</v>
      </c>
      <c r="OY193" s="561">
        <v>0</v>
      </c>
      <c r="OZ193" s="561">
        <v>0</v>
      </c>
      <c r="PA193" s="561">
        <v>0</v>
      </c>
      <c r="PB193" s="561">
        <v>0</v>
      </c>
      <c r="PC193" s="561">
        <v>0</v>
      </c>
      <c r="PD193" s="561">
        <v>0</v>
      </c>
      <c r="PE193" s="561">
        <v>0</v>
      </c>
      <c r="PF193" s="561">
        <v>0</v>
      </c>
      <c r="PG193" s="561">
        <v>0</v>
      </c>
      <c r="PH193" s="561">
        <v>0</v>
      </c>
      <c r="PI193" s="561">
        <v>0</v>
      </c>
      <c r="PJ193" s="561">
        <v>0</v>
      </c>
    </row>
    <row r="194" spans="1:426" ht="14" x14ac:dyDescent="0.3">
      <c r="A194" t="s">
        <v>3020</v>
      </c>
      <c r="B194" t="s">
        <v>3021</v>
      </c>
      <c r="C194" t="s">
        <v>3022</v>
      </c>
      <c r="E194" t="s">
        <v>2476</v>
      </c>
      <c r="F194" s="561">
        <v>48471.89</v>
      </c>
      <c r="G194" s="561">
        <v>102486.57</v>
      </c>
      <c r="H194" s="561">
        <v>58263.92</v>
      </c>
      <c r="I194" s="561">
        <v>55603.44</v>
      </c>
      <c r="J194" s="561">
        <v>14227.33</v>
      </c>
      <c r="K194" s="561">
        <v>50261.95</v>
      </c>
      <c r="L194" s="561">
        <v>329315.09999999998</v>
      </c>
      <c r="M194" s="561">
        <v>18700</v>
      </c>
      <c r="N194" s="561">
        <v>0</v>
      </c>
      <c r="O194" s="561">
        <v>-519.64</v>
      </c>
      <c r="P194" s="561">
        <v>44.08</v>
      </c>
      <c r="Q194" s="561">
        <v>2151.73</v>
      </c>
      <c r="R194" s="561">
        <v>0</v>
      </c>
      <c r="S194" s="561">
        <v>0</v>
      </c>
      <c r="T194" s="561">
        <v>0</v>
      </c>
      <c r="U194" s="561">
        <v>0</v>
      </c>
      <c r="V194" s="561">
        <v>3888.55</v>
      </c>
      <c r="W194" s="561">
        <v>0</v>
      </c>
      <c r="X194" s="561">
        <v>0</v>
      </c>
      <c r="Y194" s="561">
        <v>812.27</v>
      </c>
      <c r="Z194" s="561">
        <v>0</v>
      </c>
      <c r="AA194" s="561">
        <v>-39404.1</v>
      </c>
      <c r="AB194" s="561">
        <v>190.01</v>
      </c>
      <c r="AC194" s="561">
        <v>12799.68</v>
      </c>
      <c r="AD194" s="561">
        <v>0</v>
      </c>
      <c r="AE194" s="561">
        <v>0</v>
      </c>
      <c r="AF194" s="561">
        <v>0</v>
      </c>
      <c r="AG194" s="561">
        <v>0</v>
      </c>
      <c r="AH194" s="561">
        <v>0</v>
      </c>
      <c r="AI194" s="561">
        <v>0</v>
      </c>
      <c r="AJ194" s="561">
        <v>-20037.419999999998</v>
      </c>
      <c r="AK194" s="561">
        <v>345</v>
      </c>
      <c r="AL194" s="561">
        <v>0</v>
      </c>
      <c r="AM194" s="561">
        <v>0</v>
      </c>
      <c r="AN194" s="561">
        <v>0</v>
      </c>
      <c r="AO194" s="561">
        <v>0</v>
      </c>
      <c r="AP194" s="561">
        <v>0</v>
      </c>
      <c r="AQ194" s="561">
        <v>0</v>
      </c>
      <c r="AR194" s="561">
        <v>0</v>
      </c>
      <c r="AS194" s="561">
        <v>41002</v>
      </c>
      <c r="AT194" s="561">
        <v>21690</v>
      </c>
      <c r="AU194" s="561">
        <v>0</v>
      </c>
      <c r="AV194" s="561">
        <v>0</v>
      </c>
      <c r="AW194" s="561">
        <v>0</v>
      </c>
      <c r="AX194" s="561">
        <v>2596.61</v>
      </c>
      <c r="AY194" s="561">
        <v>64112.82</v>
      </c>
      <c r="AZ194" s="561">
        <v>46.52</v>
      </c>
      <c r="BA194" s="561">
        <v>7684.17</v>
      </c>
      <c r="BB194" s="561">
        <v>4566.24</v>
      </c>
      <c r="BC194" s="561">
        <v>38806.69</v>
      </c>
      <c r="BD194" s="561">
        <v>3035.77</v>
      </c>
      <c r="BE194" s="561">
        <v>1555.95</v>
      </c>
      <c r="BF194" s="561">
        <v>122404.77</v>
      </c>
      <c r="BG194" s="561">
        <v>16152</v>
      </c>
      <c r="BH194" s="561">
        <v>-4821.63</v>
      </c>
      <c r="BI194" s="561">
        <v>43961.69</v>
      </c>
      <c r="BJ194" s="561">
        <v>-2613.2800000000002</v>
      </c>
      <c r="BK194" s="561">
        <v>-453.25</v>
      </c>
      <c r="BL194" s="561">
        <v>-3115.55</v>
      </c>
      <c r="BM194" s="561">
        <v>1958.41</v>
      </c>
      <c r="BN194" s="561">
        <v>58163.31</v>
      </c>
      <c r="BO194" s="561">
        <v>7403.61</v>
      </c>
      <c r="BP194" s="561">
        <v>10434.469999999999</v>
      </c>
      <c r="BQ194" s="561">
        <v>3181.33</v>
      </c>
      <c r="BR194" s="561">
        <v>75.36</v>
      </c>
      <c r="BS194" s="561">
        <v>2258.9699999999998</v>
      </c>
      <c r="BT194" s="561">
        <v>1538.32</v>
      </c>
      <c r="BU194" s="561">
        <v>1417.77</v>
      </c>
      <c r="BV194" s="561">
        <v>1273.43</v>
      </c>
      <c r="BW194" s="561">
        <v>18310.71</v>
      </c>
      <c r="BX194" s="561">
        <v>338.4</v>
      </c>
      <c r="BY194" s="561">
        <v>6224.9</v>
      </c>
      <c r="BZ194" s="561">
        <v>145536.97</v>
      </c>
      <c r="CA194" s="561">
        <v>3338</v>
      </c>
      <c r="CB194" s="561">
        <v>6918.74</v>
      </c>
      <c r="CC194" s="561">
        <v>2307.7800000000002</v>
      </c>
      <c r="CD194" s="561">
        <v>633.11</v>
      </c>
      <c r="CE194" s="561">
        <v>382.39</v>
      </c>
      <c r="CF194" s="561">
        <v>299.57</v>
      </c>
      <c r="CG194" s="561">
        <v>73.58</v>
      </c>
      <c r="CH194" s="561">
        <v>216.13</v>
      </c>
      <c r="CI194" s="561">
        <v>786.54</v>
      </c>
      <c r="CJ194" s="561">
        <v>362.8</v>
      </c>
      <c r="CK194" s="561">
        <v>656.59</v>
      </c>
      <c r="CL194" s="561">
        <v>107</v>
      </c>
      <c r="CM194" s="561">
        <v>4061.55</v>
      </c>
      <c r="CN194" s="561">
        <v>3138.4</v>
      </c>
      <c r="CO194" s="561">
        <v>647.29</v>
      </c>
      <c r="CP194" s="561">
        <v>621.66999999999996</v>
      </c>
      <c r="CQ194" s="561">
        <v>793.79</v>
      </c>
      <c r="CR194" s="561">
        <v>1098.1099999999999</v>
      </c>
      <c r="CS194" s="561">
        <v>240.66</v>
      </c>
      <c r="CT194" s="561">
        <v>1909.07</v>
      </c>
      <c r="CU194" s="561">
        <v>7440.23</v>
      </c>
      <c r="CV194" s="561">
        <v>134.28</v>
      </c>
      <c r="CW194" s="561">
        <v>29.78</v>
      </c>
      <c r="CX194" s="561">
        <v>1391.22</v>
      </c>
      <c r="CY194" s="561">
        <v>6724.94</v>
      </c>
      <c r="CZ194" s="561">
        <v>40975.22</v>
      </c>
      <c r="DA194" s="561">
        <v>195</v>
      </c>
      <c r="DB194" s="561">
        <v>251.03</v>
      </c>
      <c r="DC194" s="561">
        <v>0</v>
      </c>
      <c r="DD194" s="561">
        <v>104.34</v>
      </c>
      <c r="DE194" s="561">
        <v>0</v>
      </c>
      <c r="DF194" s="561">
        <v>0</v>
      </c>
      <c r="DG194" s="561">
        <v>0</v>
      </c>
      <c r="DH194" s="561">
        <v>5714.98</v>
      </c>
      <c r="DI194" s="561">
        <v>0</v>
      </c>
      <c r="DJ194" s="561">
        <v>0</v>
      </c>
      <c r="DK194" s="561">
        <v>0</v>
      </c>
      <c r="DL194" s="561">
        <v>102351.63</v>
      </c>
      <c r="DM194" s="561">
        <v>9763.3799999999992</v>
      </c>
      <c r="DN194" s="561">
        <v>0</v>
      </c>
      <c r="DO194" s="561">
        <v>-40557.29</v>
      </c>
      <c r="DP194" s="561">
        <v>0</v>
      </c>
      <c r="DQ194" s="561">
        <v>0</v>
      </c>
      <c r="DR194" s="561">
        <v>2039.35</v>
      </c>
      <c r="DS194" s="561">
        <v>6242.32</v>
      </c>
      <c r="DT194" s="561">
        <v>0</v>
      </c>
      <c r="DU194" s="561">
        <v>79839.39</v>
      </c>
      <c r="DV194" s="561">
        <v>647.16</v>
      </c>
      <c r="DW194" s="561">
        <v>0</v>
      </c>
      <c r="DX194" s="561">
        <v>0</v>
      </c>
      <c r="DY194" s="561">
        <v>4885.59</v>
      </c>
      <c r="DZ194" s="561">
        <v>0</v>
      </c>
      <c r="EA194" s="561">
        <v>0</v>
      </c>
      <c r="EB194" s="561">
        <v>0</v>
      </c>
      <c r="EC194" s="561">
        <v>91087.12</v>
      </c>
      <c r="ED194" s="561">
        <v>835</v>
      </c>
      <c r="EE194" s="561">
        <v>159796</v>
      </c>
      <c r="EF194" s="561">
        <v>4039</v>
      </c>
      <c r="EG194" s="561">
        <v>50596</v>
      </c>
      <c r="EH194" s="561">
        <v>4400</v>
      </c>
      <c r="EI194" s="561">
        <v>7729</v>
      </c>
      <c r="EJ194" s="561">
        <v>0</v>
      </c>
      <c r="EK194" s="561">
        <v>0</v>
      </c>
      <c r="EL194" s="561">
        <v>0</v>
      </c>
      <c r="EM194" s="561">
        <v>0</v>
      </c>
      <c r="EN194" s="561">
        <v>60574</v>
      </c>
      <c r="EO194" s="561">
        <v>90544</v>
      </c>
      <c r="EP194" s="561">
        <v>24814</v>
      </c>
      <c r="EQ194" s="561">
        <v>3455</v>
      </c>
      <c r="ER194" s="561">
        <v>18165</v>
      </c>
      <c r="ES194" s="561" t="s">
        <v>4565</v>
      </c>
      <c r="ET194" s="561">
        <v>6198</v>
      </c>
      <c r="EU194" s="561">
        <v>0</v>
      </c>
      <c r="EV194" s="561">
        <v>0</v>
      </c>
      <c r="EW194" s="561">
        <v>0</v>
      </c>
      <c r="EX194" s="561">
        <v>29497</v>
      </c>
      <c r="EY194" s="561">
        <v>2013</v>
      </c>
      <c r="EZ194" s="561">
        <v>-8700</v>
      </c>
      <c r="FA194" s="561">
        <v>14381</v>
      </c>
      <c r="FB194" s="561">
        <v>306.89</v>
      </c>
      <c r="FC194" s="561">
        <v>885.96</v>
      </c>
      <c r="FD194" s="561">
        <v>0</v>
      </c>
      <c r="FE194" s="561">
        <v>0</v>
      </c>
      <c r="FF194" s="561">
        <v>0</v>
      </c>
      <c r="FG194" s="561">
        <v>2082.8200000000002</v>
      </c>
      <c r="FH194" s="561">
        <v>0</v>
      </c>
      <c r="FI194" s="561">
        <v>250.96</v>
      </c>
      <c r="FJ194" s="561">
        <v>-543.34</v>
      </c>
      <c r="FK194" s="561">
        <v>4628.72</v>
      </c>
      <c r="FL194" s="561">
        <v>0</v>
      </c>
      <c r="FM194" s="561">
        <v>81.150000000000006</v>
      </c>
      <c r="FN194" s="561">
        <v>4299.9799999999996</v>
      </c>
      <c r="FO194" s="561">
        <v>11993.14</v>
      </c>
      <c r="FP194" s="561">
        <v>564</v>
      </c>
      <c r="FQ194" s="561">
        <v>26.52</v>
      </c>
      <c r="FR194" s="561">
        <v>72.19</v>
      </c>
      <c r="FS194" s="561">
        <v>0</v>
      </c>
      <c r="FT194" s="561">
        <v>382.03</v>
      </c>
      <c r="FU194" s="561">
        <v>1564.34</v>
      </c>
      <c r="FV194" s="561">
        <v>-2421.36</v>
      </c>
      <c r="FW194" s="561">
        <v>6.16</v>
      </c>
      <c r="FX194" s="561">
        <v>0</v>
      </c>
      <c r="FY194" s="561">
        <v>0</v>
      </c>
      <c r="FZ194" s="561">
        <v>68</v>
      </c>
      <c r="GA194" s="561">
        <v>21.69</v>
      </c>
      <c r="GB194" s="561">
        <v>137</v>
      </c>
      <c r="GC194" s="561">
        <v>-1472.74</v>
      </c>
      <c r="GD194" s="561">
        <v>462.19</v>
      </c>
      <c r="GE194" s="561">
        <v>6694.53</v>
      </c>
      <c r="GF194" s="561">
        <v>473.74</v>
      </c>
      <c r="GG194" s="561">
        <v>0</v>
      </c>
      <c r="GH194" s="561">
        <v>0</v>
      </c>
      <c r="GI194" s="561">
        <v>0</v>
      </c>
      <c r="GJ194" s="561">
        <v>0</v>
      </c>
      <c r="GK194" s="561">
        <v>0</v>
      </c>
      <c r="GL194" s="561">
        <v>0</v>
      </c>
      <c r="GM194" s="561">
        <v>9985.5499999999993</v>
      </c>
      <c r="GN194" s="561">
        <v>16247.19</v>
      </c>
      <c r="GO194" s="561">
        <v>8857.81</v>
      </c>
      <c r="GP194" s="561">
        <v>492.01</v>
      </c>
      <c r="GQ194" s="561">
        <v>0</v>
      </c>
      <c r="GR194" s="561">
        <v>0</v>
      </c>
      <c r="GS194" s="561">
        <v>41596.85</v>
      </c>
      <c r="GT194" s="561">
        <v>600</v>
      </c>
      <c r="GU194" s="561">
        <v>516.28</v>
      </c>
      <c r="GV194" s="561">
        <v>1201.0899999999999</v>
      </c>
      <c r="GW194" s="561">
        <v>0</v>
      </c>
      <c r="GX194" s="561">
        <v>788.39</v>
      </c>
      <c r="GY194" s="561">
        <v>1068.96</v>
      </c>
      <c r="GZ194" s="561">
        <v>5015.75</v>
      </c>
      <c r="HA194" s="561">
        <v>0</v>
      </c>
      <c r="HB194" s="561">
        <v>4690.74</v>
      </c>
      <c r="HC194" s="561">
        <v>461.62</v>
      </c>
      <c r="HD194" s="561">
        <v>13742.83</v>
      </c>
      <c r="HE194" s="561">
        <v>856</v>
      </c>
      <c r="HF194" s="561">
        <v>67332.820000000007</v>
      </c>
      <c r="HG194" s="561">
        <v>2020</v>
      </c>
      <c r="HH194" s="561">
        <v>0</v>
      </c>
      <c r="HI194" s="561">
        <v>0</v>
      </c>
      <c r="HJ194" s="561">
        <v>0</v>
      </c>
      <c r="HK194" s="561">
        <v>0</v>
      </c>
      <c r="HL194" s="561">
        <v>0</v>
      </c>
      <c r="HM194" s="561">
        <v>0</v>
      </c>
      <c r="HN194" s="561">
        <v>0</v>
      </c>
      <c r="HO194" s="561">
        <v>5949.27</v>
      </c>
      <c r="HP194" s="561">
        <v>6630.05</v>
      </c>
      <c r="HQ194" s="561">
        <v>0</v>
      </c>
      <c r="HR194" s="561">
        <v>0</v>
      </c>
      <c r="HS194" s="561">
        <v>0</v>
      </c>
      <c r="HT194" s="561">
        <v>0</v>
      </c>
      <c r="HU194" s="561">
        <v>0</v>
      </c>
      <c r="HV194" s="561">
        <v>-6.52</v>
      </c>
      <c r="HW194" s="561">
        <v>339.7</v>
      </c>
      <c r="HX194" s="561">
        <v>1095.3</v>
      </c>
      <c r="HY194" s="561">
        <v>381.06</v>
      </c>
      <c r="HZ194" s="561">
        <v>-453.23</v>
      </c>
      <c r="IA194" s="561">
        <v>692.51</v>
      </c>
      <c r="IB194" s="561">
        <v>0</v>
      </c>
      <c r="IC194" s="561">
        <v>0</v>
      </c>
      <c r="ID194" s="561">
        <v>0</v>
      </c>
      <c r="IE194" s="561">
        <v>11644.32</v>
      </c>
      <c r="IF194" s="561">
        <v>0</v>
      </c>
      <c r="IG194" s="561">
        <v>0</v>
      </c>
      <c r="IH194" s="561">
        <v>0</v>
      </c>
      <c r="II194" s="561">
        <v>26272.46</v>
      </c>
      <c r="IJ194" s="561">
        <v>388</v>
      </c>
      <c r="IK194" s="561">
        <v>0</v>
      </c>
      <c r="IL194" s="561">
        <v>0</v>
      </c>
      <c r="IM194" s="561">
        <v>0</v>
      </c>
      <c r="IN194" s="561">
        <v>0</v>
      </c>
      <c r="IO194" s="561">
        <v>0</v>
      </c>
      <c r="IP194" s="561">
        <v>0</v>
      </c>
      <c r="IQ194" s="561">
        <v>0</v>
      </c>
      <c r="IR194" s="561">
        <v>329315.09999999998</v>
      </c>
      <c r="IS194" s="561">
        <v>-20037.419999999998</v>
      </c>
      <c r="IT194" s="561">
        <v>122404.77</v>
      </c>
      <c r="IU194" s="561">
        <v>145536.97</v>
      </c>
      <c r="IV194" s="561">
        <v>40975.22</v>
      </c>
      <c r="IW194" s="561">
        <v>91087.12</v>
      </c>
      <c r="IX194" s="561">
        <v>11993.14</v>
      </c>
      <c r="IY194" s="561">
        <v>41596.85</v>
      </c>
      <c r="IZ194" s="561">
        <v>13742.83</v>
      </c>
      <c r="JA194" s="561">
        <v>0</v>
      </c>
      <c r="JB194" s="561">
        <v>0</v>
      </c>
      <c r="JC194" s="561">
        <v>26272.46</v>
      </c>
      <c r="JD194" s="561">
        <v>0</v>
      </c>
      <c r="JE194" s="561">
        <v>802887.04</v>
      </c>
      <c r="JF194" s="561">
        <v>98832.86</v>
      </c>
      <c r="JG194" s="561">
        <v>31644.26</v>
      </c>
      <c r="JH194" s="561">
        <v>47705.87</v>
      </c>
      <c r="JI194" s="561">
        <v>0</v>
      </c>
      <c r="JJ194" s="561">
        <v>0</v>
      </c>
      <c r="JK194" s="561">
        <v>0</v>
      </c>
      <c r="JL194" s="561">
        <v>0</v>
      </c>
      <c r="JM194" s="561">
        <v>1109</v>
      </c>
      <c r="JN194" s="561">
        <v>680</v>
      </c>
      <c r="JO194" s="561">
        <v>1514</v>
      </c>
      <c r="JP194" s="561">
        <v>0</v>
      </c>
      <c r="JQ194" s="561">
        <v>0</v>
      </c>
      <c r="JR194" s="561">
        <v>0</v>
      </c>
      <c r="JS194" s="561">
        <v>0</v>
      </c>
      <c r="JT194" s="561">
        <v>0</v>
      </c>
      <c r="JU194" s="561">
        <v>-1100</v>
      </c>
      <c r="JV194" s="561">
        <v>983273.03</v>
      </c>
      <c r="JW194" s="561">
        <v>273</v>
      </c>
      <c r="JX194" s="561">
        <v>0</v>
      </c>
      <c r="JY194" s="561">
        <v>0</v>
      </c>
      <c r="JZ194" s="561">
        <v>0</v>
      </c>
      <c r="KA194" s="561">
        <v>0</v>
      </c>
      <c r="KB194" s="561">
        <v>11422</v>
      </c>
      <c r="KC194" s="561">
        <v>27974</v>
      </c>
      <c r="KD194" s="561">
        <v>0</v>
      </c>
      <c r="KE194" s="561">
        <v>40640</v>
      </c>
      <c r="KF194" s="561">
        <v>-14516</v>
      </c>
      <c r="KG194" s="561">
        <v>1049066.03</v>
      </c>
      <c r="KH194" s="561">
        <v>-53</v>
      </c>
      <c r="KI194" s="561">
        <v>0</v>
      </c>
      <c r="KJ194" s="561">
        <v>0</v>
      </c>
      <c r="KK194" s="561">
        <v>0</v>
      </c>
      <c r="KL194" s="561">
        <v>-190607.99</v>
      </c>
      <c r="KM194" s="561">
        <v>0</v>
      </c>
      <c r="KN194" s="561">
        <v>-9702</v>
      </c>
      <c r="KO194" s="561">
        <v>0</v>
      </c>
      <c r="KP194" s="561">
        <v>0</v>
      </c>
      <c r="KQ194" s="561">
        <v>0</v>
      </c>
      <c r="KR194" s="561">
        <v>848703.04</v>
      </c>
      <c r="KS194" s="561">
        <v>0</v>
      </c>
      <c r="KT194" s="561">
        <v>-444695.47</v>
      </c>
      <c r="KU194" s="561">
        <v>404007.57</v>
      </c>
      <c r="KV194" s="561">
        <v>0</v>
      </c>
      <c r="KW194" s="561">
        <v>-6618</v>
      </c>
      <c r="KX194" s="561">
        <v>0</v>
      </c>
      <c r="KY194" s="561">
        <v>-112</v>
      </c>
      <c r="KZ194" s="561">
        <v>-46679</v>
      </c>
      <c r="LA194" s="561">
        <v>0</v>
      </c>
      <c r="LB194" s="561">
        <v>-39729</v>
      </c>
      <c r="LC194" s="561">
        <v>0</v>
      </c>
      <c r="LD194" s="561">
        <v>-151278</v>
      </c>
      <c r="LE194" s="561">
        <v>0</v>
      </c>
      <c r="LF194" s="561">
        <v>0</v>
      </c>
      <c r="LG194" s="561">
        <v>159592</v>
      </c>
      <c r="LH194" s="561">
        <v>16462</v>
      </c>
      <c r="LI194" s="561">
        <v>0</v>
      </c>
      <c r="LJ194" s="561">
        <v>0</v>
      </c>
      <c r="LK194" s="561">
        <v>112</v>
      </c>
      <c r="LL194" s="561">
        <v>138686</v>
      </c>
      <c r="LM194" s="561">
        <v>30000</v>
      </c>
      <c r="LN194" s="561">
        <v>9844</v>
      </c>
      <c r="LO194" s="561">
        <v>0</v>
      </c>
      <c r="LP194" s="561">
        <v>0</v>
      </c>
      <c r="LQ194" s="561">
        <v>0</v>
      </c>
      <c r="LR194" s="561">
        <v>92007</v>
      </c>
      <c r="LS194" s="561">
        <v>30000</v>
      </c>
      <c r="LT194" s="561">
        <v>0</v>
      </c>
      <c r="LU194" s="561">
        <v>65441</v>
      </c>
      <c r="LV194" s="561">
        <v>21690</v>
      </c>
      <c r="LW194" s="561">
        <v>37697</v>
      </c>
      <c r="LX194" s="561">
        <v>-34245</v>
      </c>
      <c r="LY194" s="561">
        <v>18162</v>
      </c>
      <c r="LZ194" s="561">
        <v>145141</v>
      </c>
      <c r="MA194" s="561">
        <v>0</v>
      </c>
      <c r="MB194" s="561">
        <v>0</v>
      </c>
      <c r="MC194" s="561">
        <v>226560</v>
      </c>
      <c r="MD194" s="561">
        <v>235260</v>
      </c>
      <c r="ME194" s="561">
        <v>-8700</v>
      </c>
      <c r="MF194" s="561">
        <v>14381</v>
      </c>
      <c r="MG194" s="561">
        <v>5681</v>
      </c>
      <c r="MH194" s="561">
        <v>10308</v>
      </c>
      <c r="MI194" s="561">
        <v>18037</v>
      </c>
      <c r="MJ194" s="561">
        <v>28345</v>
      </c>
      <c r="MK194" s="561">
        <v>0</v>
      </c>
      <c r="ML194" s="561">
        <v>0</v>
      </c>
      <c r="MM194" s="561">
        <v>51398</v>
      </c>
      <c r="MN194" s="561">
        <v>39783</v>
      </c>
      <c r="MO194" s="561">
        <v>826</v>
      </c>
      <c r="MP194" s="561">
        <v>0</v>
      </c>
      <c r="MQ194" s="561">
        <v>329315.09999999998</v>
      </c>
      <c r="MR194" s="561">
        <v>-20037.419999999998</v>
      </c>
      <c r="MS194" s="561">
        <v>122404.77</v>
      </c>
      <c r="MT194" s="561">
        <v>145536.97</v>
      </c>
      <c r="MU194" s="561">
        <v>40975.22</v>
      </c>
      <c r="MV194" s="561">
        <v>91087.12</v>
      </c>
      <c r="MW194" s="561">
        <v>11993.14</v>
      </c>
      <c r="MX194" s="561">
        <v>41596.85</v>
      </c>
      <c r="MY194" s="561">
        <v>13742.83</v>
      </c>
      <c r="MZ194" s="561">
        <v>0</v>
      </c>
      <c r="NA194" s="561">
        <v>0</v>
      </c>
      <c r="NB194" s="561">
        <v>26272.46</v>
      </c>
      <c r="NC194" s="561">
        <v>0</v>
      </c>
      <c r="ND194" s="561">
        <v>802887.04</v>
      </c>
      <c r="NE194" s="561">
        <v>0</v>
      </c>
      <c r="NF194" s="561">
        <v>0</v>
      </c>
      <c r="NG194" s="561">
        <v>0</v>
      </c>
      <c r="NH194" s="561">
        <v>0</v>
      </c>
      <c r="NI194" s="561">
        <v>0</v>
      </c>
      <c r="NJ194" s="561">
        <v>0</v>
      </c>
      <c r="NK194" s="561">
        <v>0</v>
      </c>
      <c r="NL194" s="561">
        <v>0</v>
      </c>
      <c r="NM194" s="561">
        <v>0</v>
      </c>
      <c r="NN194" s="561">
        <v>0</v>
      </c>
      <c r="NO194" s="561">
        <v>0</v>
      </c>
      <c r="NP194" s="561">
        <v>0</v>
      </c>
      <c r="NQ194" s="561">
        <v>0</v>
      </c>
      <c r="NR194" s="561">
        <v>0</v>
      </c>
      <c r="NS194" s="561">
        <v>0</v>
      </c>
      <c r="NT194" s="561">
        <v>0</v>
      </c>
      <c r="NU194" s="561">
        <v>0</v>
      </c>
      <c r="NV194" s="561">
        <v>0</v>
      </c>
      <c r="NW194" s="561">
        <v>0</v>
      </c>
      <c r="NX194" s="561">
        <v>0</v>
      </c>
      <c r="NY194" s="561">
        <v>0</v>
      </c>
      <c r="NZ194" s="561">
        <v>0</v>
      </c>
      <c r="OA194" s="561">
        <v>0</v>
      </c>
      <c r="OB194" s="561">
        <v>0</v>
      </c>
      <c r="OC194" s="561">
        <v>0</v>
      </c>
      <c r="OD194" s="561">
        <v>0</v>
      </c>
      <c r="OE194" s="561">
        <v>0</v>
      </c>
      <c r="OF194" s="561">
        <v>0</v>
      </c>
      <c r="OG194" s="561">
        <v>0</v>
      </c>
      <c r="OH194" s="561">
        <v>0</v>
      </c>
      <c r="OI194" s="561">
        <v>0</v>
      </c>
      <c r="OJ194" s="561">
        <v>0</v>
      </c>
      <c r="OK194" s="561">
        <v>0</v>
      </c>
      <c r="OL194" s="561">
        <v>0</v>
      </c>
      <c r="OM194" s="561">
        <v>0</v>
      </c>
      <c r="ON194" s="561">
        <v>0</v>
      </c>
      <c r="OO194" s="561">
        <v>0</v>
      </c>
      <c r="OP194" s="561">
        <v>0</v>
      </c>
      <c r="OQ194" s="561">
        <v>0</v>
      </c>
      <c r="OR194" s="561">
        <v>0</v>
      </c>
      <c r="OS194" s="561">
        <v>0</v>
      </c>
      <c r="OT194" s="561">
        <v>0</v>
      </c>
      <c r="OU194" s="561">
        <v>0</v>
      </c>
      <c r="OV194" s="561">
        <v>0</v>
      </c>
      <c r="OW194" s="561">
        <v>0</v>
      </c>
      <c r="OX194" s="561">
        <v>0</v>
      </c>
      <c r="OY194" s="561">
        <v>0</v>
      </c>
      <c r="OZ194" s="561">
        <v>0</v>
      </c>
      <c r="PA194" s="561">
        <v>0</v>
      </c>
      <c r="PB194" s="561">
        <v>0</v>
      </c>
      <c r="PC194" s="561">
        <v>0</v>
      </c>
      <c r="PD194" s="561">
        <v>0</v>
      </c>
      <c r="PE194" s="561">
        <v>0</v>
      </c>
      <c r="PF194" s="561">
        <v>0</v>
      </c>
      <c r="PG194" s="561">
        <v>0</v>
      </c>
      <c r="PH194" s="561">
        <v>0</v>
      </c>
      <c r="PI194" s="561">
        <v>0</v>
      </c>
      <c r="PJ194" s="561">
        <v>0</v>
      </c>
    </row>
    <row r="195" spans="1:426" ht="14" x14ac:dyDescent="0.3">
      <c r="A195" t="s">
        <v>3023</v>
      </c>
      <c r="B195" t="s">
        <v>3024</v>
      </c>
      <c r="C195" t="s">
        <v>4619</v>
      </c>
      <c r="E195" t="s">
        <v>2595</v>
      </c>
      <c r="F195" s="561">
        <v>139343</v>
      </c>
      <c r="G195" s="561">
        <v>585682</v>
      </c>
      <c r="H195" s="561">
        <v>288826</v>
      </c>
      <c r="I195" s="561">
        <v>173004</v>
      </c>
      <c r="J195" s="561">
        <v>0</v>
      </c>
      <c r="K195" s="561">
        <v>79725</v>
      </c>
      <c r="L195" s="561">
        <v>1266580</v>
      </c>
      <c r="M195" s="561">
        <v>743</v>
      </c>
      <c r="N195" s="561">
        <v>-1629</v>
      </c>
      <c r="O195" s="561">
        <v>2142</v>
      </c>
      <c r="P195" s="561">
        <v>449</v>
      </c>
      <c r="Q195" s="561">
        <v>3295</v>
      </c>
      <c r="R195" s="561">
        <v>380</v>
      </c>
      <c r="S195" s="561">
        <v>1575</v>
      </c>
      <c r="T195" s="561">
        <v>9652</v>
      </c>
      <c r="U195" s="561">
        <v>5116</v>
      </c>
      <c r="V195" s="561">
        <v>8515</v>
      </c>
      <c r="W195" s="561">
        <v>0</v>
      </c>
      <c r="X195" s="561">
        <v>-2560</v>
      </c>
      <c r="Y195" s="561">
        <v>1966</v>
      </c>
      <c r="Z195" s="561">
        <v>-7</v>
      </c>
      <c r="AA195" s="561">
        <v>211</v>
      </c>
      <c r="AB195" s="561">
        <v>-21</v>
      </c>
      <c r="AC195" s="561">
        <v>15771</v>
      </c>
      <c r="AD195" s="561">
        <v>413</v>
      </c>
      <c r="AE195" s="561">
        <v>19594</v>
      </c>
      <c r="AF195" s="561">
        <v>3</v>
      </c>
      <c r="AG195" s="561">
        <v>694</v>
      </c>
      <c r="AH195" s="561">
        <v>2913</v>
      </c>
      <c r="AI195" s="561">
        <v>0</v>
      </c>
      <c r="AJ195" s="561">
        <v>68472</v>
      </c>
      <c r="AK195" s="561">
        <v>148</v>
      </c>
      <c r="AL195" s="561">
        <v>0</v>
      </c>
      <c r="AM195" s="561">
        <v>0</v>
      </c>
      <c r="AN195" s="561">
        <v>0</v>
      </c>
      <c r="AO195" s="561">
        <v>0</v>
      </c>
      <c r="AP195" s="561">
        <v>3828</v>
      </c>
      <c r="AQ195" s="561">
        <v>0</v>
      </c>
      <c r="AR195" s="561">
        <v>0</v>
      </c>
      <c r="AS195" s="561">
        <v>2441</v>
      </c>
      <c r="AT195" s="561">
        <v>649</v>
      </c>
      <c r="AU195" s="561">
        <v>0</v>
      </c>
      <c r="AV195" s="561">
        <v>0</v>
      </c>
      <c r="AW195" s="561">
        <v>0</v>
      </c>
      <c r="AX195" s="561">
        <v>13670</v>
      </c>
      <c r="AY195" s="561">
        <v>172465</v>
      </c>
      <c r="AZ195" s="561">
        <v>0</v>
      </c>
      <c r="BA195" s="561">
        <v>39226</v>
      </c>
      <c r="BB195" s="561">
        <v>4362</v>
      </c>
      <c r="BC195" s="561">
        <v>46655</v>
      </c>
      <c r="BD195" s="561">
        <v>8983</v>
      </c>
      <c r="BE195" s="561">
        <v>6121</v>
      </c>
      <c r="BF195" s="561">
        <v>291482</v>
      </c>
      <c r="BG195" s="561">
        <v>4174</v>
      </c>
      <c r="BH195" s="561">
        <v>51936</v>
      </c>
      <c r="BI195" s="561">
        <v>126475</v>
      </c>
      <c r="BJ195" s="561">
        <v>1545</v>
      </c>
      <c r="BK195" s="561">
        <v>1424</v>
      </c>
      <c r="BL195" s="561">
        <v>5453</v>
      </c>
      <c r="BM195" s="561">
        <v>69865</v>
      </c>
      <c r="BN195" s="561">
        <v>156566</v>
      </c>
      <c r="BO195" s="561">
        <v>21645</v>
      </c>
      <c r="BP195" s="561">
        <v>25086</v>
      </c>
      <c r="BQ195" s="561">
        <v>19391</v>
      </c>
      <c r="BR195" s="561">
        <v>835</v>
      </c>
      <c r="BS195" s="561">
        <v>0</v>
      </c>
      <c r="BT195" s="561">
        <v>0</v>
      </c>
      <c r="BU195" s="561">
        <v>4123</v>
      </c>
      <c r="BV195" s="561">
        <v>-752</v>
      </c>
      <c r="BW195" s="561">
        <v>45306</v>
      </c>
      <c r="BX195" s="561">
        <v>1837</v>
      </c>
      <c r="BY195" s="561">
        <v>53766</v>
      </c>
      <c r="BZ195" s="561">
        <v>584501</v>
      </c>
      <c r="CA195" s="561">
        <v>9440</v>
      </c>
      <c r="CB195" s="561">
        <v>4030</v>
      </c>
      <c r="CC195" s="561">
        <v>4749</v>
      </c>
      <c r="CD195" s="561">
        <v>440</v>
      </c>
      <c r="CE195" s="561">
        <v>1839</v>
      </c>
      <c r="CF195" s="561">
        <v>1110</v>
      </c>
      <c r="CG195" s="561">
        <v>343</v>
      </c>
      <c r="CH195" s="561">
        <v>517</v>
      </c>
      <c r="CI195" s="561">
        <v>894</v>
      </c>
      <c r="CJ195" s="561">
        <v>416</v>
      </c>
      <c r="CK195" s="561">
        <v>379</v>
      </c>
      <c r="CL195" s="561">
        <v>361</v>
      </c>
      <c r="CM195" s="561">
        <v>11547</v>
      </c>
      <c r="CN195" s="561">
        <v>7505</v>
      </c>
      <c r="CO195" s="561">
        <v>3776</v>
      </c>
      <c r="CP195" s="561">
        <v>2462</v>
      </c>
      <c r="CQ195" s="561">
        <v>1018</v>
      </c>
      <c r="CR195" s="561">
        <v>3682</v>
      </c>
      <c r="CS195" s="561">
        <v>49</v>
      </c>
      <c r="CT195" s="561">
        <v>7721</v>
      </c>
      <c r="CU195" s="561">
        <v>9167</v>
      </c>
      <c r="CV195" s="561">
        <v>8764</v>
      </c>
      <c r="CW195" s="561">
        <v>0</v>
      </c>
      <c r="CX195" s="561">
        <v>2519</v>
      </c>
      <c r="CY195" s="561">
        <v>24353</v>
      </c>
      <c r="CZ195" s="561">
        <v>97641</v>
      </c>
      <c r="DA195" s="561">
        <v>142</v>
      </c>
      <c r="DB195" s="561">
        <v>0</v>
      </c>
      <c r="DC195" s="561">
        <v>0</v>
      </c>
      <c r="DD195" s="561">
        <v>0</v>
      </c>
      <c r="DE195" s="561">
        <v>0</v>
      </c>
      <c r="DF195" s="561">
        <v>0</v>
      </c>
      <c r="DG195" s="561">
        <v>0</v>
      </c>
      <c r="DH195" s="561">
        <v>0</v>
      </c>
      <c r="DI195" s="561">
        <v>0</v>
      </c>
      <c r="DJ195" s="561">
        <v>0</v>
      </c>
      <c r="DK195" s="561">
        <v>0</v>
      </c>
      <c r="DL195" s="561">
        <v>0</v>
      </c>
      <c r="DM195" s="561">
        <v>0</v>
      </c>
      <c r="DN195" s="561">
        <v>0</v>
      </c>
      <c r="DO195" s="561">
        <v>0</v>
      </c>
      <c r="DP195" s="561">
        <v>0</v>
      </c>
      <c r="DQ195" s="561">
        <v>0</v>
      </c>
      <c r="DR195" s="561">
        <v>0</v>
      </c>
      <c r="DS195" s="561">
        <v>0</v>
      </c>
      <c r="DT195" s="561">
        <v>0</v>
      </c>
      <c r="DU195" s="561">
        <v>0</v>
      </c>
      <c r="DV195" s="561">
        <v>0</v>
      </c>
      <c r="DW195" s="561">
        <v>0</v>
      </c>
      <c r="DX195" s="561">
        <v>0</v>
      </c>
      <c r="DY195" s="561">
        <v>0</v>
      </c>
      <c r="DZ195" s="561">
        <v>0</v>
      </c>
      <c r="EA195" s="561">
        <v>0</v>
      </c>
      <c r="EB195" s="561">
        <v>0</v>
      </c>
      <c r="EC195" s="561">
        <v>0</v>
      </c>
      <c r="ED195" s="561">
        <v>0</v>
      </c>
      <c r="EE195" s="561">
        <v>0</v>
      </c>
      <c r="EF195" s="561">
        <v>0</v>
      </c>
      <c r="EG195" s="561">
        <v>0</v>
      </c>
      <c r="EH195" s="561">
        <v>0</v>
      </c>
      <c r="EI195" s="561">
        <v>0</v>
      </c>
      <c r="EJ195" s="561">
        <v>0</v>
      </c>
      <c r="EK195" s="561">
        <v>0</v>
      </c>
      <c r="EL195" s="561">
        <v>0</v>
      </c>
      <c r="EM195" s="561">
        <v>0</v>
      </c>
      <c r="EN195" s="561">
        <v>0</v>
      </c>
      <c r="EO195" s="561">
        <v>0</v>
      </c>
      <c r="EP195" s="561">
        <v>0</v>
      </c>
      <c r="EQ195" s="561">
        <v>0</v>
      </c>
      <c r="ER195" s="561">
        <v>0</v>
      </c>
      <c r="ES195" s="561" t="s">
        <v>4565</v>
      </c>
      <c r="ET195" s="561">
        <v>0</v>
      </c>
      <c r="EU195" s="561">
        <v>0</v>
      </c>
      <c r="EV195" s="561">
        <v>0</v>
      </c>
      <c r="EW195" s="561">
        <v>0</v>
      </c>
      <c r="EX195" s="561">
        <v>0</v>
      </c>
      <c r="EY195" s="561">
        <v>0</v>
      </c>
      <c r="EZ195" s="561">
        <v>0</v>
      </c>
      <c r="FA195" s="561">
        <v>0</v>
      </c>
      <c r="FB195" s="561">
        <v>1087</v>
      </c>
      <c r="FC195" s="561">
        <v>718</v>
      </c>
      <c r="FD195" s="561">
        <v>0</v>
      </c>
      <c r="FE195" s="561">
        <v>2127</v>
      </c>
      <c r="FF195" s="561">
        <v>0</v>
      </c>
      <c r="FG195" s="561">
        <v>0</v>
      </c>
      <c r="FH195" s="561">
        <v>0</v>
      </c>
      <c r="FI195" s="561">
        <v>0</v>
      </c>
      <c r="FJ195" s="561">
        <v>0</v>
      </c>
      <c r="FK195" s="561">
        <v>3300</v>
      </c>
      <c r="FL195" s="561">
        <v>0</v>
      </c>
      <c r="FM195" s="561">
        <v>0</v>
      </c>
      <c r="FN195" s="561">
        <v>16421</v>
      </c>
      <c r="FO195" s="561">
        <v>23653</v>
      </c>
      <c r="FP195" s="561">
        <v>0</v>
      </c>
      <c r="FQ195" s="561">
        <v>0</v>
      </c>
      <c r="FR195" s="561">
        <v>2954</v>
      </c>
      <c r="FS195" s="561">
        <v>0</v>
      </c>
      <c r="FT195" s="561">
        <v>0</v>
      </c>
      <c r="FU195" s="561">
        <v>1561</v>
      </c>
      <c r="FV195" s="561">
        <v>0</v>
      </c>
      <c r="FW195" s="561">
        <v>603</v>
      </c>
      <c r="FX195" s="561">
        <v>0</v>
      </c>
      <c r="FY195" s="561">
        <v>0</v>
      </c>
      <c r="FZ195" s="561">
        <v>0</v>
      </c>
      <c r="GA195" s="561">
        <v>0</v>
      </c>
      <c r="GB195" s="561">
        <v>0</v>
      </c>
      <c r="GC195" s="561">
        <v>0</v>
      </c>
      <c r="GD195" s="561">
        <v>0</v>
      </c>
      <c r="GE195" s="561">
        <v>0</v>
      </c>
      <c r="GF195" s="561">
        <v>0</v>
      </c>
      <c r="GG195" s="561">
        <v>0</v>
      </c>
      <c r="GH195" s="561">
        <v>842</v>
      </c>
      <c r="GI195" s="561">
        <v>0</v>
      </c>
      <c r="GJ195" s="561">
        <v>0</v>
      </c>
      <c r="GK195" s="561">
        <v>-3</v>
      </c>
      <c r="GL195" s="561">
        <v>0</v>
      </c>
      <c r="GM195" s="561">
        <v>0</v>
      </c>
      <c r="GN195" s="561">
        <v>88260</v>
      </c>
      <c r="GO195" s="561">
        <v>0</v>
      </c>
      <c r="GP195" s="561">
        <v>-18</v>
      </c>
      <c r="GQ195" s="561">
        <v>149</v>
      </c>
      <c r="GR195" s="561">
        <v>0</v>
      </c>
      <c r="GS195" s="561">
        <v>94348</v>
      </c>
      <c r="GT195" s="561">
        <v>0</v>
      </c>
      <c r="GU195" s="561">
        <v>0</v>
      </c>
      <c r="GV195" s="561">
        <v>-1247</v>
      </c>
      <c r="GW195" s="561">
        <v>0</v>
      </c>
      <c r="GX195" s="561">
        <v>12</v>
      </c>
      <c r="GY195" s="561">
        <v>1170</v>
      </c>
      <c r="GZ195" s="561">
        <v>7483</v>
      </c>
      <c r="HA195" s="561">
        <v>0</v>
      </c>
      <c r="HB195" s="561">
        <v>179</v>
      </c>
      <c r="HC195" s="561">
        <v>0</v>
      </c>
      <c r="HD195" s="561">
        <v>7597</v>
      </c>
      <c r="HE195" s="561">
        <v>40</v>
      </c>
      <c r="HF195" s="561">
        <v>125598</v>
      </c>
      <c r="HG195" s="561">
        <v>0</v>
      </c>
      <c r="HH195" s="561">
        <v>0</v>
      </c>
      <c r="HI195" s="561">
        <v>0</v>
      </c>
      <c r="HJ195" s="561">
        <v>0</v>
      </c>
      <c r="HK195" s="561">
        <v>0</v>
      </c>
      <c r="HL195" s="561">
        <v>0</v>
      </c>
      <c r="HM195" s="561">
        <v>0</v>
      </c>
      <c r="HN195" s="561">
        <v>0</v>
      </c>
      <c r="HO195" s="561">
        <v>21963</v>
      </c>
      <c r="HP195" s="561">
        <v>0</v>
      </c>
      <c r="HQ195" s="561">
        <v>0</v>
      </c>
      <c r="HR195" s="561">
        <v>0</v>
      </c>
      <c r="HS195" s="561">
        <v>0</v>
      </c>
      <c r="HT195" s="561">
        <v>0</v>
      </c>
      <c r="HU195" s="561">
        <v>0</v>
      </c>
      <c r="HV195" s="561">
        <v>323</v>
      </c>
      <c r="HW195" s="561">
        <v>0</v>
      </c>
      <c r="HX195" s="561">
        <v>45</v>
      </c>
      <c r="HY195" s="561">
        <v>1006</v>
      </c>
      <c r="HZ195" s="561">
        <v>0</v>
      </c>
      <c r="IA195" s="561">
        <v>0</v>
      </c>
      <c r="IB195" s="561">
        <v>235</v>
      </c>
      <c r="IC195" s="561">
        <v>3264</v>
      </c>
      <c r="ID195" s="561">
        <v>0</v>
      </c>
      <c r="IE195" s="561">
        <v>11947</v>
      </c>
      <c r="IF195" s="561">
        <v>0</v>
      </c>
      <c r="IG195" s="561">
        <v>308</v>
      </c>
      <c r="IH195" s="561">
        <v>2790</v>
      </c>
      <c r="II195" s="561">
        <v>41881</v>
      </c>
      <c r="IJ195" s="561">
        <v>2926</v>
      </c>
      <c r="IK195" s="561">
        <v>83382</v>
      </c>
      <c r="IL195" s="561">
        <v>0</v>
      </c>
      <c r="IM195" s="561">
        <v>0</v>
      </c>
      <c r="IN195" s="561">
        <v>0</v>
      </c>
      <c r="IO195" s="561">
        <v>25220</v>
      </c>
      <c r="IP195" s="561">
        <v>0</v>
      </c>
      <c r="IQ195" s="561">
        <v>0</v>
      </c>
      <c r="IR195" s="561">
        <v>1266580</v>
      </c>
      <c r="IS195" s="561">
        <v>68472</v>
      </c>
      <c r="IT195" s="561">
        <v>291482</v>
      </c>
      <c r="IU195" s="561">
        <v>584501</v>
      </c>
      <c r="IV195" s="561">
        <v>97641</v>
      </c>
      <c r="IW195" s="561">
        <v>0</v>
      </c>
      <c r="IX195" s="561">
        <v>23653</v>
      </c>
      <c r="IY195" s="561">
        <v>94348</v>
      </c>
      <c r="IZ195" s="561">
        <v>7597</v>
      </c>
      <c r="JA195" s="561">
        <v>0</v>
      </c>
      <c r="JB195" s="561">
        <v>0</v>
      </c>
      <c r="JC195" s="561">
        <v>41881</v>
      </c>
      <c r="JD195" s="561">
        <v>0</v>
      </c>
      <c r="JE195" s="561">
        <v>2476155</v>
      </c>
      <c r="JF195" s="561">
        <v>0</v>
      </c>
      <c r="JG195" s="561">
        <v>0</v>
      </c>
      <c r="JH195" s="561">
        <v>0</v>
      </c>
      <c r="JI195" s="561">
        <v>0</v>
      </c>
      <c r="JJ195" s="561">
        <v>0</v>
      </c>
      <c r="JK195" s="561">
        <v>0</v>
      </c>
      <c r="JL195" s="561">
        <v>0</v>
      </c>
      <c r="JM195" s="561">
        <v>0</v>
      </c>
      <c r="JN195" s="561">
        <v>0</v>
      </c>
      <c r="JO195" s="561">
        <v>580</v>
      </c>
      <c r="JP195" s="561">
        <v>0</v>
      </c>
      <c r="JQ195" s="561">
        <v>0</v>
      </c>
      <c r="JR195" s="561">
        <v>0</v>
      </c>
      <c r="JS195" s="561">
        <v>0</v>
      </c>
      <c r="JT195" s="561">
        <v>623</v>
      </c>
      <c r="JU195" s="561">
        <v>0</v>
      </c>
      <c r="JV195" s="561">
        <v>2477358</v>
      </c>
      <c r="JW195" s="561">
        <v>774</v>
      </c>
      <c r="JX195" s="561">
        <v>6652</v>
      </c>
      <c r="JY195" s="561">
        <v>0</v>
      </c>
      <c r="JZ195" s="561">
        <v>-5000</v>
      </c>
      <c r="KA195" s="561">
        <v>0</v>
      </c>
      <c r="KB195" s="561">
        <v>19256</v>
      </c>
      <c r="KC195" s="561">
        <v>34202</v>
      </c>
      <c r="KD195" s="561">
        <v>0</v>
      </c>
      <c r="KE195" s="561">
        <v>49464</v>
      </c>
      <c r="KF195" s="561">
        <v>0</v>
      </c>
      <c r="KG195" s="561">
        <v>2582706</v>
      </c>
      <c r="KH195" s="561">
        <v>-27134</v>
      </c>
      <c r="KI195" s="561">
        <v>8941</v>
      </c>
      <c r="KJ195" s="561">
        <v>-1845</v>
      </c>
      <c r="KK195" s="561">
        <v>0</v>
      </c>
      <c r="KL195" s="561">
        <v>-18366</v>
      </c>
      <c r="KM195" s="561">
        <v>0</v>
      </c>
      <c r="KN195" s="561">
        <v>0</v>
      </c>
      <c r="KO195" s="561">
        <v>0</v>
      </c>
      <c r="KP195" s="561">
        <v>0</v>
      </c>
      <c r="KQ195" s="561">
        <v>-22417</v>
      </c>
      <c r="KR195" s="561">
        <v>2521885</v>
      </c>
      <c r="KS195" s="561">
        <v>-1905</v>
      </c>
      <c r="KT195" s="561">
        <v>-1534054</v>
      </c>
      <c r="KU195" s="561">
        <v>985926</v>
      </c>
      <c r="KV195" s="561">
        <v>0</v>
      </c>
      <c r="KW195" s="561">
        <v>-3073</v>
      </c>
      <c r="KX195" s="561">
        <v>-18429</v>
      </c>
      <c r="KY195" s="561">
        <v>-7134</v>
      </c>
      <c r="KZ195" s="561">
        <v>-54514</v>
      </c>
      <c r="LA195" s="561">
        <v>32565</v>
      </c>
      <c r="LB195" s="561">
        <v>-40737</v>
      </c>
      <c r="LC195" s="561">
        <v>0</v>
      </c>
      <c r="LD195" s="561">
        <v>-254925</v>
      </c>
      <c r="LE195" s="561">
        <v>2529</v>
      </c>
      <c r="LF195" s="561">
        <v>0</v>
      </c>
      <c r="LG195" s="561">
        <v>642208</v>
      </c>
      <c r="LH195" s="561">
        <v>79314</v>
      </c>
      <c r="LI195" s="561">
        <v>0</v>
      </c>
      <c r="LJ195" s="561">
        <v>18429</v>
      </c>
      <c r="LK195" s="561">
        <v>21275</v>
      </c>
      <c r="LL195" s="561">
        <v>343554</v>
      </c>
      <c r="LM195" s="561">
        <v>23435</v>
      </c>
      <c r="LN195" s="561">
        <v>76241</v>
      </c>
      <c r="LO195" s="561">
        <v>-22417</v>
      </c>
      <c r="LP195" s="561">
        <v>0</v>
      </c>
      <c r="LQ195" s="561">
        <v>14141</v>
      </c>
      <c r="LR195" s="561">
        <v>289040</v>
      </c>
      <c r="LS195" s="561">
        <v>56000</v>
      </c>
      <c r="LT195" s="561">
        <v>0</v>
      </c>
      <c r="LU195" s="561">
        <v>116744</v>
      </c>
      <c r="LV195" s="561">
        <v>0</v>
      </c>
      <c r="LW195" s="561">
        <v>333240</v>
      </c>
      <c r="LX195" s="561">
        <v>0</v>
      </c>
      <c r="LY195" s="561">
        <v>47476</v>
      </c>
      <c r="LZ195" s="561">
        <v>497460</v>
      </c>
      <c r="MA195" s="561">
        <v>0</v>
      </c>
      <c r="MB195" s="561">
        <v>0</v>
      </c>
      <c r="MC195" s="561">
        <v>0</v>
      </c>
      <c r="MD195" s="561">
        <v>0</v>
      </c>
      <c r="ME195" s="561">
        <v>0</v>
      </c>
      <c r="MF195" s="561">
        <v>0</v>
      </c>
      <c r="MG195" s="561">
        <v>0</v>
      </c>
      <c r="MH195" s="561">
        <v>0</v>
      </c>
      <c r="MI195" s="561">
        <v>0</v>
      </c>
      <c r="MJ195" s="561">
        <v>0</v>
      </c>
      <c r="MK195" s="561">
        <v>0</v>
      </c>
      <c r="ML195" s="561">
        <v>15359</v>
      </c>
      <c r="MM195" s="561">
        <v>97118</v>
      </c>
      <c r="MN195" s="561">
        <v>54661</v>
      </c>
      <c r="MO195" s="561">
        <v>121902</v>
      </c>
      <c r="MP195" s="561">
        <v>0</v>
      </c>
      <c r="MQ195" s="561">
        <v>1266580</v>
      </c>
      <c r="MR195" s="561">
        <v>68472</v>
      </c>
      <c r="MS195" s="561">
        <v>291482</v>
      </c>
      <c r="MT195" s="561">
        <v>584501</v>
      </c>
      <c r="MU195" s="561">
        <v>97641</v>
      </c>
      <c r="MV195" s="561">
        <v>0</v>
      </c>
      <c r="MW195" s="561">
        <v>23653</v>
      </c>
      <c r="MX195" s="561">
        <v>94348</v>
      </c>
      <c r="MY195" s="561">
        <v>7597</v>
      </c>
      <c r="MZ195" s="561">
        <v>0</v>
      </c>
      <c r="NA195" s="561">
        <v>0</v>
      </c>
      <c r="NB195" s="561">
        <v>41881</v>
      </c>
      <c r="NC195" s="561">
        <v>0</v>
      </c>
      <c r="ND195" s="561">
        <v>2476155</v>
      </c>
      <c r="NE195" s="561">
        <v>0</v>
      </c>
      <c r="NF195" s="561">
        <v>0</v>
      </c>
      <c r="NG195" s="561">
        <v>0</v>
      </c>
      <c r="NH195" s="561">
        <v>0</v>
      </c>
      <c r="NI195" s="561">
        <v>0</v>
      </c>
      <c r="NJ195" s="561">
        <v>0</v>
      </c>
      <c r="NK195" s="561">
        <v>0</v>
      </c>
      <c r="NL195" s="561">
        <v>0</v>
      </c>
      <c r="NM195" s="561">
        <v>0</v>
      </c>
      <c r="NN195" s="561">
        <v>0</v>
      </c>
      <c r="NO195" s="561">
        <v>0</v>
      </c>
      <c r="NP195" s="561">
        <v>0</v>
      </c>
      <c r="NQ195" s="561">
        <v>0</v>
      </c>
      <c r="NR195" s="561">
        <v>0</v>
      </c>
      <c r="NS195" s="561">
        <v>0</v>
      </c>
      <c r="NT195" s="561">
        <v>0</v>
      </c>
      <c r="NU195" s="561">
        <v>0</v>
      </c>
      <c r="NV195" s="561">
        <v>0</v>
      </c>
      <c r="NW195" s="561">
        <v>0</v>
      </c>
      <c r="NX195" s="561">
        <v>0</v>
      </c>
      <c r="NY195" s="561">
        <v>0</v>
      </c>
      <c r="NZ195" s="561">
        <v>0</v>
      </c>
      <c r="OA195" s="561">
        <v>0</v>
      </c>
      <c r="OB195" s="561">
        <v>0</v>
      </c>
      <c r="OC195" s="561">
        <v>0</v>
      </c>
      <c r="OD195" s="561">
        <v>0</v>
      </c>
      <c r="OE195" s="561">
        <v>0</v>
      </c>
      <c r="OF195" s="561">
        <v>0</v>
      </c>
      <c r="OG195" s="561">
        <v>0</v>
      </c>
      <c r="OH195" s="561">
        <v>0</v>
      </c>
      <c r="OI195" s="561">
        <v>0</v>
      </c>
      <c r="OJ195" s="561">
        <v>0</v>
      </c>
      <c r="OK195" s="561">
        <v>0</v>
      </c>
      <c r="OL195" s="561">
        <v>0</v>
      </c>
      <c r="OM195" s="561">
        <v>0</v>
      </c>
      <c r="ON195" s="561">
        <v>0</v>
      </c>
      <c r="OO195" s="561">
        <v>0</v>
      </c>
      <c r="OP195" s="561">
        <v>0</v>
      </c>
      <c r="OQ195" s="561">
        <v>0</v>
      </c>
      <c r="OR195" s="561">
        <v>0</v>
      </c>
      <c r="OS195" s="561">
        <v>0</v>
      </c>
      <c r="OT195" s="561">
        <v>0</v>
      </c>
      <c r="OU195" s="561">
        <v>0</v>
      </c>
      <c r="OV195" s="561">
        <v>0</v>
      </c>
      <c r="OW195" s="561">
        <v>0</v>
      </c>
      <c r="OX195" s="561">
        <v>0</v>
      </c>
      <c r="OY195" s="561">
        <v>0</v>
      </c>
      <c r="OZ195" s="561">
        <v>0</v>
      </c>
      <c r="PA195" s="561">
        <v>0</v>
      </c>
      <c r="PB195" s="561">
        <v>0</v>
      </c>
      <c r="PC195" s="561">
        <v>0</v>
      </c>
      <c r="PD195" s="561">
        <v>0</v>
      </c>
      <c r="PE195" s="561">
        <v>0</v>
      </c>
      <c r="PF195" s="561">
        <v>0</v>
      </c>
      <c r="PG195" s="561">
        <v>0</v>
      </c>
      <c r="PH195" s="561">
        <v>0</v>
      </c>
      <c r="PI195" s="561">
        <v>0</v>
      </c>
      <c r="PJ195" s="561">
        <v>0</v>
      </c>
    </row>
    <row r="196" spans="1:426" ht="14" x14ac:dyDescent="0.3">
      <c r="A196" t="s">
        <v>3029</v>
      </c>
      <c r="B196" t="s">
        <v>3030</v>
      </c>
      <c r="C196" t="s">
        <v>4620</v>
      </c>
      <c r="E196" t="s">
        <v>2466</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561">
        <v>0</v>
      </c>
      <c r="BG196" s="561">
        <v>0</v>
      </c>
      <c r="BH196" s="561">
        <v>0</v>
      </c>
      <c r="BI196" s="561">
        <v>0</v>
      </c>
      <c r="BJ196" s="561">
        <v>0</v>
      </c>
      <c r="BK196" s="561">
        <v>0</v>
      </c>
      <c r="BL196" s="561">
        <v>0</v>
      </c>
      <c r="BM196" s="561">
        <v>0</v>
      </c>
      <c r="BN196" s="561">
        <v>0</v>
      </c>
      <c r="BO196" s="561">
        <v>0</v>
      </c>
      <c r="BP196" s="561">
        <v>0</v>
      </c>
      <c r="BQ196" s="561">
        <v>0</v>
      </c>
      <c r="BR196" s="561">
        <v>0</v>
      </c>
      <c r="BS196" s="561">
        <v>0</v>
      </c>
      <c r="BT196" s="561">
        <v>0</v>
      </c>
      <c r="BU196" s="561">
        <v>0</v>
      </c>
      <c r="BV196" s="561">
        <v>0</v>
      </c>
      <c r="BW196" s="561">
        <v>0</v>
      </c>
      <c r="BX196" s="561">
        <v>0</v>
      </c>
      <c r="BY196" s="561">
        <v>0</v>
      </c>
      <c r="BZ196" s="561">
        <v>0</v>
      </c>
      <c r="CA196" s="561">
        <v>0</v>
      </c>
      <c r="CB196" s="561">
        <v>0</v>
      </c>
      <c r="CC196" s="561">
        <v>0</v>
      </c>
      <c r="CD196" s="561">
        <v>0</v>
      </c>
      <c r="CE196" s="561">
        <v>0</v>
      </c>
      <c r="CF196" s="561">
        <v>0</v>
      </c>
      <c r="CG196" s="561">
        <v>0</v>
      </c>
      <c r="CH196" s="561">
        <v>0</v>
      </c>
      <c r="CI196" s="561">
        <v>0</v>
      </c>
      <c r="CJ196" s="561">
        <v>0</v>
      </c>
      <c r="CK196" s="561">
        <v>0</v>
      </c>
      <c r="CL196" s="561">
        <v>0</v>
      </c>
      <c r="CM196" s="561">
        <v>0</v>
      </c>
      <c r="CN196" s="561">
        <v>0</v>
      </c>
      <c r="CO196" s="561">
        <v>0</v>
      </c>
      <c r="CP196" s="561">
        <v>0</v>
      </c>
      <c r="CQ196" s="561">
        <v>0</v>
      </c>
      <c r="CR196" s="561">
        <v>0</v>
      </c>
      <c r="CS196" s="561">
        <v>0</v>
      </c>
      <c r="CT196" s="561">
        <v>0</v>
      </c>
      <c r="CU196" s="561">
        <v>0</v>
      </c>
      <c r="CV196" s="561">
        <v>0</v>
      </c>
      <c r="CW196" s="561">
        <v>0</v>
      </c>
      <c r="CX196" s="561">
        <v>0</v>
      </c>
      <c r="CY196" s="561">
        <v>0</v>
      </c>
      <c r="CZ196" s="561">
        <v>0</v>
      </c>
      <c r="DA196" s="561">
        <v>0</v>
      </c>
      <c r="DB196" s="561">
        <v>0</v>
      </c>
      <c r="DC196" s="561">
        <v>0</v>
      </c>
      <c r="DD196" s="561">
        <v>0</v>
      </c>
      <c r="DE196" s="561">
        <v>0</v>
      </c>
      <c r="DF196" s="561">
        <v>0</v>
      </c>
      <c r="DG196" s="561">
        <v>0</v>
      </c>
      <c r="DH196" s="561">
        <v>0</v>
      </c>
      <c r="DI196" s="561">
        <v>0</v>
      </c>
      <c r="DJ196" s="561">
        <v>0</v>
      </c>
      <c r="DK196" s="561">
        <v>0</v>
      </c>
      <c r="DL196" s="561">
        <v>0</v>
      </c>
      <c r="DM196" s="561">
        <v>0</v>
      </c>
      <c r="DN196" s="561">
        <v>0</v>
      </c>
      <c r="DO196" s="561">
        <v>0</v>
      </c>
      <c r="DP196" s="561">
        <v>0</v>
      </c>
      <c r="DQ196" s="561">
        <v>0</v>
      </c>
      <c r="DR196" s="561">
        <v>0</v>
      </c>
      <c r="DS196" s="561">
        <v>0</v>
      </c>
      <c r="DT196" s="561">
        <v>0</v>
      </c>
      <c r="DU196" s="561">
        <v>0</v>
      </c>
      <c r="DV196" s="561">
        <v>0</v>
      </c>
      <c r="DW196" s="561">
        <v>0</v>
      </c>
      <c r="DX196" s="561">
        <v>0</v>
      </c>
      <c r="DY196" s="561">
        <v>0</v>
      </c>
      <c r="DZ196" s="561">
        <v>0</v>
      </c>
      <c r="EA196" s="561">
        <v>0</v>
      </c>
      <c r="EB196" s="561">
        <v>0</v>
      </c>
      <c r="EC196" s="561">
        <v>0</v>
      </c>
      <c r="ED196" s="561">
        <v>0</v>
      </c>
      <c r="EE196" s="561">
        <v>0</v>
      </c>
      <c r="EF196" s="561">
        <v>0</v>
      </c>
      <c r="EG196" s="561">
        <v>0</v>
      </c>
      <c r="EH196" s="561">
        <v>0</v>
      </c>
      <c r="EI196" s="561">
        <v>0</v>
      </c>
      <c r="EJ196" s="561">
        <v>0</v>
      </c>
      <c r="EK196" s="561">
        <v>0</v>
      </c>
      <c r="EL196" s="561">
        <v>0</v>
      </c>
      <c r="EM196" s="561">
        <v>0</v>
      </c>
      <c r="EN196" s="561">
        <v>0</v>
      </c>
      <c r="EO196" s="561">
        <v>0</v>
      </c>
      <c r="EP196" s="561">
        <v>0</v>
      </c>
      <c r="EQ196" s="561">
        <v>0</v>
      </c>
      <c r="ER196" s="561">
        <v>0</v>
      </c>
      <c r="ES196" s="561" t="s">
        <v>4565</v>
      </c>
      <c r="ET196" s="561">
        <v>0</v>
      </c>
      <c r="EU196" s="561">
        <v>0</v>
      </c>
      <c r="EV196" s="561">
        <v>0</v>
      </c>
      <c r="EW196" s="561">
        <v>0</v>
      </c>
      <c r="EX196" s="561">
        <v>0</v>
      </c>
      <c r="EY196" s="561">
        <v>0</v>
      </c>
      <c r="EZ196" s="561">
        <v>0</v>
      </c>
      <c r="FA196" s="561">
        <v>0</v>
      </c>
      <c r="FB196" s="561">
        <v>0</v>
      </c>
      <c r="FC196" s="561">
        <v>0</v>
      </c>
      <c r="FD196" s="561">
        <v>0</v>
      </c>
      <c r="FE196" s="561">
        <v>0</v>
      </c>
      <c r="FF196" s="561">
        <v>0</v>
      </c>
      <c r="FG196" s="561">
        <v>0</v>
      </c>
      <c r="FH196" s="561">
        <v>0</v>
      </c>
      <c r="FI196" s="561">
        <v>0</v>
      </c>
      <c r="FJ196" s="561">
        <v>0</v>
      </c>
      <c r="FK196" s="561">
        <v>0</v>
      </c>
      <c r="FL196" s="561">
        <v>0</v>
      </c>
      <c r="FM196" s="561">
        <v>0</v>
      </c>
      <c r="FN196" s="561">
        <v>0</v>
      </c>
      <c r="FO196" s="561">
        <v>0</v>
      </c>
      <c r="FP196" s="561">
        <v>0</v>
      </c>
      <c r="FQ196" s="561">
        <v>0</v>
      </c>
      <c r="FR196" s="561">
        <v>0</v>
      </c>
      <c r="FS196" s="561">
        <v>0</v>
      </c>
      <c r="FT196" s="561">
        <v>0</v>
      </c>
      <c r="FU196" s="561">
        <v>0</v>
      </c>
      <c r="FV196" s="561">
        <v>0</v>
      </c>
      <c r="FW196" s="561">
        <v>0</v>
      </c>
      <c r="FX196" s="561">
        <v>0</v>
      </c>
      <c r="FY196" s="561">
        <v>0</v>
      </c>
      <c r="FZ196" s="561">
        <v>0</v>
      </c>
      <c r="GA196" s="561">
        <v>0</v>
      </c>
      <c r="GB196" s="561">
        <v>0</v>
      </c>
      <c r="GC196" s="561">
        <v>0</v>
      </c>
      <c r="GD196" s="561">
        <v>0</v>
      </c>
      <c r="GE196" s="561">
        <v>0</v>
      </c>
      <c r="GF196" s="561">
        <v>0</v>
      </c>
      <c r="GG196" s="561">
        <v>0</v>
      </c>
      <c r="GH196" s="561">
        <v>0</v>
      </c>
      <c r="GI196" s="561">
        <v>0</v>
      </c>
      <c r="GJ196" s="561">
        <v>0</v>
      </c>
      <c r="GK196" s="561">
        <v>0</v>
      </c>
      <c r="GL196" s="561">
        <v>0</v>
      </c>
      <c r="GM196" s="561">
        <v>0</v>
      </c>
      <c r="GN196" s="561">
        <v>0</v>
      </c>
      <c r="GO196" s="561">
        <v>0</v>
      </c>
      <c r="GP196" s="561">
        <v>0</v>
      </c>
      <c r="GQ196" s="561">
        <v>0</v>
      </c>
      <c r="GR196" s="561">
        <v>0</v>
      </c>
      <c r="GS196" s="561">
        <v>0</v>
      </c>
      <c r="GT196" s="561">
        <v>0</v>
      </c>
      <c r="GU196" s="561">
        <v>0</v>
      </c>
      <c r="GV196" s="561">
        <v>0</v>
      </c>
      <c r="GW196" s="561">
        <v>0</v>
      </c>
      <c r="GX196" s="561">
        <v>0</v>
      </c>
      <c r="GY196" s="561">
        <v>0</v>
      </c>
      <c r="GZ196" s="561">
        <v>0</v>
      </c>
      <c r="HA196" s="561">
        <v>0</v>
      </c>
      <c r="HB196" s="561">
        <v>0</v>
      </c>
      <c r="HC196" s="561">
        <v>0</v>
      </c>
      <c r="HD196" s="561">
        <v>0</v>
      </c>
      <c r="HE196" s="561">
        <v>0</v>
      </c>
      <c r="HF196" s="561">
        <v>0</v>
      </c>
      <c r="HG196" s="561">
        <v>0</v>
      </c>
      <c r="HH196" s="561">
        <v>0</v>
      </c>
      <c r="HI196" s="561">
        <v>0</v>
      </c>
      <c r="HJ196" s="561">
        <v>6160</v>
      </c>
      <c r="HK196" s="561">
        <v>64279</v>
      </c>
      <c r="HL196" s="561">
        <v>3121</v>
      </c>
      <c r="HM196" s="561">
        <v>73560</v>
      </c>
      <c r="HN196" s="561">
        <v>236</v>
      </c>
      <c r="HO196" s="561">
        <v>1199</v>
      </c>
      <c r="HP196" s="561">
        <v>0</v>
      </c>
      <c r="HQ196" s="561">
        <v>0</v>
      </c>
      <c r="HR196" s="561">
        <v>0</v>
      </c>
      <c r="HS196" s="561">
        <v>0</v>
      </c>
      <c r="HT196" s="561">
        <v>0</v>
      </c>
      <c r="HU196" s="561">
        <v>0</v>
      </c>
      <c r="HV196" s="561">
        <v>0</v>
      </c>
      <c r="HW196" s="561">
        <v>0</v>
      </c>
      <c r="HX196" s="561">
        <v>0</v>
      </c>
      <c r="HY196" s="561">
        <v>0</v>
      </c>
      <c r="HZ196" s="561">
        <v>0</v>
      </c>
      <c r="IA196" s="561">
        <v>0</v>
      </c>
      <c r="IB196" s="561">
        <v>0</v>
      </c>
      <c r="IC196" s="561">
        <v>0</v>
      </c>
      <c r="ID196" s="561">
        <v>0</v>
      </c>
      <c r="IE196" s="561">
        <v>57</v>
      </c>
      <c r="IF196" s="561">
        <v>0</v>
      </c>
      <c r="IG196" s="561">
        <v>0</v>
      </c>
      <c r="IH196" s="561">
        <v>0</v>
      </c>
      <c r="II196" s="561">
        <v>1256</v>
      </c>
      <c r="IJ196" s="561">
        <v>15</v>
      </c>
      <c r="IK196" s="561">
        <v>0</v>
      </c>
      <c r="IL196" s="561">
        <v>0</v>
      </c>
      <c r="IM196" s="561">
        <v>0</v>
      </c>
      <c r="IN196" s="561">
        <v>0</v>
      </c>
      <c r="IO196" s="561">
        <v>0</v>
      </c>
      <c r="IP196" s="561">
        <v>0</v>
      </c>
      <c r="IQ196" s="561">
        <v>0</v>
      </c>
      <c r="IR196" s="561">
        <v>0</v>
      </c>
      <c r="IS196" s="561">
        <v>0</v>
      </c>
      <c r="IT196" s="561">
        <v>0</v>
      </c>
      <c r="IU196" s="561">
        <v>0</v>
      </c>
      <c r="IV196" s="561">
        <v>0</v>
      </c>
      <c r="IW196" s="561">
        <v>0</v>
      </c>
      <c r="IX196" s="561">
        <v>0</v>
      </c>
      <c r="IY196" s="561">
        <v>0</v>
      </c>
      <c r="IZ196" s="561">
        <v>0</v>
      </c>
      <c r="JA196" s="561">
        <v>0</v>
      </c>
      <c r="JB196" s="561">
        <v>73560</v>
      </c>
      <c r="JC196" s="561">
        <v>1256</v>
      </c>
      <c r="JD196" s="561">
        <v>0</v>
      </c>
      <c r="JE196" s="561">
        <v>74816</v>
      </c>
      <c r="JF196" s="561">
        <v>0</v>
      </c>
      <c r="JG196" s="561">
        <v>0</v>
      </c>
      <c r="JH196" s="561">
        <v>0</v>
      </c>
      <c r="JI196" s="561">
        <v>0</v>
      </c>
      <c r="JJ196" s="561">
        <v>0</v>
      </c>
      <c r="JK196" s="561">
        <v>0</v>
      </c>
      <c r="JL196" s="561">
        <v>0</v>
      </c>
      <c r="JM196" s="561">
        <v>0</v>
      </c>
      <c r="JN196" s="561">
        <v>0</v>
      </c>
      <c r="JO196" s="561">
        <v>0</v>
      </c>
      <c r="JP196" s="561">
        <v>0</v>
      </c>
      <c r="JQ196" s="561">
        <v>0</v>
      </c>
      <c r="JR196" s="561">
        <v>0</v>
      </c>
      <c r="JS196" s="561">
        <v>0</v>
      </c>
      <c r="JT196" s="561">
        <v>0</v>
      </c>
      <c r="JU196" s="561">
        <v>0</v>
      </c>
      <c r="JV196" s="561">
        <v>74816</v>
      </c>
      <c r="JW196" s="561">
        <v>0</v>
      </c>
      <c r="JX196" s="561">
        <v>3000</v>
      </c>
      <c r="JY196" s="561">
        <v>0</v>
      </c>
      <c r="JZ196" s="561">
        <v>0</v>
      </c>
      <c r="KA196" s="561">
        <v>0</v>
      </c>
      <c r="KB196" s="561">
        <v>-2</v>
      </c>
      <c r="KC196" s="561">
        <v>0</v>
      </c>
      <c r="KD196" s="561">
        <v>0</v>
      </c>
      <c r="KE196" s="561">
        <v>90</v>
      </c>
      <c r="KF196" s="561">
        <v>0</v>
      </c>
      <c r="KG196" s="561">
        <v>77904</v>
      </c>
      <c r="KH196" s="561">
        <v>-2290</v>
      </c>
      <c r="KI196" s="561">
        <v>0</v>
      </c>
      <c r="KJ196" s="561">
        <v>0</v>
      </c>
      <c r="KK196" s="561">
        <v>0</v>
      </c>
      <c r="KL196" s="561">
        <v>0</v>
      </c>
      <c r="KM196" s="561">
        <v>0</v>
      </c>
      <c r="KN196" s="561">
        <v>0</v>
      </c>
      <c r="KO196" s="561">
        <v>0</v>
      </c>
      <c r="KP196" s="561">
        <v>0</v>
      </c>
      <c r="KQ196" s="561">
        <v>0</v>
      </c>
      <c r="KR196" s="561">
        <v>75614</v>
      </c>
      <c r="KS196" s="561">
        <v>0</v>
      </c>
      <c r="KT196" s="561">
        <v>-4018</v>
      </c>
      <c r="KU196" s="561">
        <v>71596</v>
      </c>
      <c r="KV196" s="561">
        <v>0</v>
      </c>
      <c r="KW196" s="561">
        <v>0</v>
      </c>
      <c r="KX196" s="561">
        <v>0</v>
      </c>
      <c r="KY196" s="561">
        <v>0</v>
      </c>
      <c r="KZ196" s="561">
        <v>1967</v>
      </c>
      <c r="LA196" s="561">
        <v>734</v>
      </c>
      <c r="LB196" s="561">
        <v>-13470</v>
      </c>
      <c r="LC196" s="561">
        <v>0</v>
      </c>
      <c r="LD196" s="561">
        <v>-21432</v>
      </c>
      <c r="LE196" s="561">
        <v>-58</v>
      </c>
      <c r="LF196" s="561">
        <v>0</v>
      </c>
      <c r="LG196" s="561">
        <v>39337</v>
      </c>
      <c r="LH196" s="561">
        <v>0</v>
      </c>
      <c r="LI196" s="561">
        <v>0</v>
      </c>
      <c r="LJ196" s="561">
        <v>0</v>
      </c>
      <c r="LK196" s="561">
        <v>0</v>
      </c>
      <c r="LL196" s="561">
        <v>8442</v>
      </c>
      <c r="LM196" s="561">
        <v>5830</v>
      </c>
      <c r="LN196" s="561">
        <v>0</v>
      </c>
      <c r="LO196" s="561">
        <v>0</v>
      </c>
      <c r="LP196" s="561">
        <v>0</v>
      </c>
      <c r="LQ196" s="561">
        <v>0</v>
      </c>
      <c r="LR196" s="561">
        <v>10409</v>
      </c>
      <c r="LS196" s="561">
        <v>6564</v>
      </c>
      <c r="LT196" s="561">
        <v>0</v>
      </c>
      <c r="LU196" s="561">
        <v>6648</v>
      </c>
      <c r="LV196" s="561">
        <v>71</v>
      </c>
      <c r="LW196" s="561">
        <v>-3645.34</v>
      </c>
      <c r="LX196" s="561">
        <v>0</v>
      </c>
      <c r="LY196" s="561">
        <v>0</v>
      </c>
      <c r="LZ196" s="561">
        <v>3073.66</v>
      </c>
      <c r="MA196" s="561">
        <v>0</v>
      </c>
      <c r="MB196" s="561">
        <v>0</v>
      </c>
      <c r="MC196" s="561">
        <v>0</v>
      </c>
      <c r="MD196" s="561">
        <v>0</v>
      </c>
      <c r="ME196" s="561">
        <v>0</v>
      </c>
      <c r="MF196" s="561">
        <v>0</v>
      </c>
      <c r="MG196" s="561">
        <v>0</v>
      </c>
      <c r="MH196" s="561">
        <v>0</v>
      </c>
      <c r="MI196" s="561">
        <v>0</v>
      </c>
      <c r="MJ196" s="561">
        <v>0</v>
      </c>
      <c r="MK196" s="561">
        <v>0</v>
      </c>
      <c r="ML196" s="561">
        <v>5019</v>
      </c>
      <c r="MM196" s="561">
        <v>0</v>
      </c>
      <c r="MN196" s="561">
        <v>0</v>
      </c>
      <c r="MO196" s="561">
        <v>5390</v>
      </c>
      <c r="MP196" s="561">
        <v>0</v>
      </c>
      <c r="MQ196" s="561">
        <v>0</v>
      </c>
      <c r="MR196" s="561">
        <v>0</v>
      </c>
      <c r="MS196" s="561">
        <v>0</v>
      </c>
      <c r="MT196" s="561">
        <v>0</v>
      </c>
      <c r="MU196" s="561">
        <v>0</v>
      </c>
      <c r="MV196" s="561">
        <v>0</v>
      </c>
      <c r="MW196" s="561">
        <v>0</v>
      </c>
      <c r="MX196" s="561">
        <v>0</v>
      </c>
      <c r="MY196" s="561">
        <v>0</v>
      </c>
      <c r="MZ196" s="561">
        <v>0</v>
      </c>
      <c r="NA196" s="561">
        <v>73560</v>
      </c>
      <c r="NB196" s="561">
        <v>1256</v>
      </c>
      <c r="NC196" s="561">
        <v>0</v>
      </c>
      <c r="ND196" s="561">
        <v>74816</v>
      </c>
      <c r="NE196" s="561">
        <v>0</v>
      </c>
      <c r="NF196" s="561">
        <v>0</v>
      </c>
      <c r="NG196" s="561">
        <v>0</v>
      </c>
      <c r="NH196" s="561">
        <v>0</v>
      </c>
      <c r="NI196" s="561">
        <v>0</v>
      </c>
      <c r="NJ196" s="561">
        <v>0</v>
      </c>
      <c r="NK196" s="561">
        <v>0</v>
      </c>
      <c r="NL196" s="561">
        <v>0</v>
      </c>
      <c r="NM196" s="561">
        <v>0</v>
      </c>
      <c r="NN196" s="561">
        <v>0</v>
      </c>
      <c r="NO196" s="561">
        <v>0</v>
      </c>
      <c r="NP196" s="561">
        <v>0</v>
      </c>
      <c r="NQ196" s="561">
        <v>0</v>
      </c>
      <c r="NR196" s="561">
        <v>0</v>
      </c>
      <c r="NS196" s="561">
        <v>0</v>
      </c>
      <c r="NT196" s="561">
        <v>0</v>
      </c>
      <c r="NU196" s="561">
        <v>0</v>
      </c>
      <c r="NV196" s="561">
        <v>0</v>
      </c>
      <c r="NW196" s="561">
        <v>0</v>
      </c>
      <c r="NX196" s="561">
        <v>0</v>
      </c>
      <c r="NY196" s="561">
        <v>0</v>
      </c>
      <c r="NZ196" s="561">
        <v>0</v>
      </c>
      <c r="OA196" s="561">
        <v>0</v>
      </c>
      <c r="OB196" s="561">
        <v>0</v>
      </c>
      <c r="OC196" s="561">
        <v>0</v>
      </c>
      <c r="OD196" s="561">
        <v>0</v>
      </c>
      <c r="OE196" s="561">
        <v>0</v>
      </c>
      <c r="OF196" s="561">
        <v>0</v>
      </c>
      <c r="OG196" s="561">
        <v>0</v>
      </c>
      <c r="OH196" s="561">
        <v>0</v>
      </c>
      <c r="OI196" s="561">
        <v>0</v>
      </c>
      <c r="OJ196" s="561">
        <v>0</v>
      </c>
      <c r="OK196" s="561">
        <v>0</v>
      </c>
      <c r="OL196" s="561">
        <v>0</v>
      </c>
      <c r="OM196" s="561">
        <v>0</v>
      </c>
      <c r="ON196" s="561">
        <v>0</v>
      </c>
      <c r="OO196" s="561">
        <v>0</v>
      </c>
      <c r="OP196" s="561">
        <v>0</v>
      </c>
      <c r="OQ196" s="561">
        <v>0</v>
      </c>
      <c r="OR196" s="561">
        <v>0</v>
      </c>
      <c r="OS196" s="561">
        <v>0</v>
      </c>
      <c r="OT196" s="561">
        <v>0</v>
      </c>
      <c r="OU196" s="561">
        <v>0</v>
      </c>
      <c r="OV196" s="561">
        <v>0</v>
      </c>
      <c r="OW196" s="561">
        <v>0</v>
      </c>
      <c r="OX196" s="561">
        <v>0</v>
      </c>
      <c r="OY196" s="561">
        <v>0</v>
      </c>
      <c r="OZ196" s="561">
        <v>0</v>
      </c>
      <c r="PA196" s="561">
        <v>0</v>
      </c>
      <c r="PB196" s="561">
        <v>0</v>
      </c>
      <c r="PC196" s="561">
        <v>0</v>
      </c>
      <c r="PD196" s="561">
        <v>0</v>
      </c>
      <c r="PE196" s="561">
        <v>0</v>
      </c>
      <c r="PF196" s="561">
        <v>0</v>
      </c>
      <c r="PG196" s="561">
        <v>0</v>
      </c>
      <c r="PH196" s="561">
        <v>0</v>
      </c>
      <c r="PI196" s="561">
        <v>0</v>
      </c>
      <c r="PJ196" s="561">
        <v>0</v>
      </c>
    </row>
    <row r="197" spans="1:426" ht="14" x14ac:dyDescent="0.3">
      <c r="A197" t="s">
        <v>3032</v>
      </c>
      <c r="B197" t="s">
        <v>3033</v>
      </c>
      <c r="C197" t="s">
        <v>3034</v>
      </c>
      <c r="E197" t="s">
        <v>2466</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61">
        <v>0</v>
      </c>
      <c r="U197" s="561">
        <v>0</v>
      </c>
      <c r="V197" s="561">
        <v>0</v>
      </c>
      <c r="W197" s="561">
        <v>0</v>
      </c>
      <c r="X197" s="561">
        <v>0</v>
      </c>
      <c r="Y197" s="561">
        <v>0</v>
      </c>
      <c r="Z197" s="561">
        <v>0</v>
      </c>
      <c r="AA197" s="561">
        <v>0</v>
      </c>
      <c r="AB197" s="561">
        <v>0</v>
      </c>
      <c r="AC197" s="561">
        <v>0</v>
      </c>
      <c r="AD197" s="561">
        <v>0</v>
      </c>
      <c r="AE197" s="561">
        <v>0</v>
      </c>
      <c r="AF197" s="561">
        <v>0</v>
      </c>
      <c r="AG197" s="561">
        <v>0</v>
      </c>
      <c r="AH197" s="561">
        <v>0</v>
      </c>
      <c r="AI197" s="561">
        <v>0</v>
      </c>
      <c r="AJ197" s="561">
        <v>0</v>
      </c>
      <c r="AK197" s="561">
        <v>0</v>
      </c>
      <c r="AL197" s="561">
        <v>0</v>
      </c>
      <c r="AM197" s="561">
        <v>0</v>
      </c>
      <c r="AN197" s="561">
        <v>0</v>
      </c>
      <c r="AO197" s="561">
        <v>0</v>
      </c>
      <c r="AP197" s="561">
        <v>0</v>
      </c>
      <c r="AQ197" s="561">
        <v>0</v>
      </c>
      <c r="AR197" s="561">
        <v>0</v>
      </c>
      <c r="AS197" s="561">
        <v>0</v>
      </c>
      <c r="AT197" s="561">
        <v>0</v>
      </c>
      <c r="AU197" s="561">
        <v>0</v>
      </c>
      <c r="AV197" s="561">
        <v>0</v>
      </c>
      <c r="AW197" s="561">
        <v>0</v>
      </c>
      <c r="AX197" s="561">
        <v>0</v>
      </c>
      <c r="AY197" s="561">
        <v>0</v>
      </c>
      <c r="AZ197" s="561">
        <v>0</v>
      </c>
      <c r="BA197" s="561">
        <v>0</v>
      </c>
      <c r="BB197" s="561">
        <v>0</v>
      </c>
      <c r="BC197" s="561">
        <v>0</v>
      </c>
      <c r="BD197" s="561">
        <v>0</v>
      </c>
      <c r="BE197" s="561">
        <v>0</v>
      </c>
      <c r="BF197" s="561">
        <v>0</v>
      </c>
      <c r="BG197" s="561">
        <v>0</v>
      </c>
      <c r="BH197" s="561">
        <v>0</v>
      </c>
      <c r="BI197" s="561">
        <v>0</v>
      </c>
      <c r="BJ197" s="561">
        <v>0</v>
      </c>
      <c r="BK197" s="561">
        <v>0</v>
      </c>
      <c r="BL197" s="561">
        <v>0</v>
      </c>
      <c r="BM197" s="561">
        <v>0</v>
      </c>
      <c r="BN197" s="561">
        <v>0</v>
      </c>
      <c r="BO197" s="561">
        <v>0</v>
      </c>
      <c r="BP197" s="561">
        <v>0</v>
      </c>
      <c r="BQ197" s="561">
        <v>0</v>
      </c>
      <c r="BR197" s="561">
        <v>0</v>
      </c>
      <c r="BS197" s="561">
        <v>0</v>
      </c>
      <c r="BT197" s="561">
        <v>0</v>
      </c>
      <c r="BU197" s="561">
        <v>0</v>
      </c>
      <c r="BV197" s="561">
        <v>0</v>
      </c>
      <c r="BW197" s="561">
        <v>0</v>
      </c>
      <c r="BX197" s="561">
        <v>0</v>
      </c>
      <c r="BY197" s="561">
        <v>0</v>
      </c>
      <c r="BZ197" s="561">
        <v>0</v>
      </c>
      <c r="CA197" s="561">
        <v>0</v>
      </c>
      <c r="CB197" s="561">
        <v>0</v>
      </c>
      <c r="CC197" s="561">
        <v>0</v>
      </c>
      <c r="CD197" s="561">
        <v>0</v>
      </c>
      <c r="CE197" s="561">
        <v>0</v>
      </c>
      <c r="CF197" s="561">
        <v>0</v>
      </c>
      <c r="CG197" s="561">
        <v>0</v>
      </c>
      <c r="CH197" s="561">
        <v>0</v>
      </c>
      <c r="CI197" s="561">
        <v>0</v>
      </c>
      <c r="CJ197" s="561">
        <v>0</v>
      </c>
      <c r="CK197" s="561">
        <v>0</v>
      </c>
      <c r="CL197" s="561">
        <v>0</v>
      </c>
      <c r="CM197" s="561">
        <v>0</v>
      </c>
      <c r="CN197" s="561">
        <v>0</v>
      </c>
      <c r="CO197" s="561">
        <v>0</v>
      </c>
      <c r="CP197" s="561">
        <v>0</v>
      </c>
      <c r="CQ197" s="561">
        <v>0</v>
      </c>
      <c r="CR197" s="561">
        <v>0</v>
      </c>
      <c r="CS197" s="561">
        <v>0</v>
      </c>
      <c r="CT197" s="561">
        <v>0</v>
      </c>
      <c r="CU197" s="561">
        <v>0</v>
      </c>
      <c r="CV197" s="561">
        <v>0</v>
      </c>
      <c r="CW197" s="561">
        <v>0</v>
      </c>
      <c r="CX197" s="561">
        <v>0</v>
      </c>
      <c r="CY197" s="561">
        <v>0</v>
      </c>
      <c r="CZ197" s="561">
        <v>0</v>
      </c>
      <c r="DA197" s="561">
        <v>0</v>
      </c>
      <c r="DB197" s="561">
        <v>0</v>
      </c>
      <c r="DC197" s="561">
        <v>0</v>
      </c>
      <c r="DD197" s="561">
        <v>0</v>
      </c>
      <c r="DE197" s="561">
        <v>0</v>
      </c>
      <c r="DF197" s="561">
        <v>0</v>
      </c>
      <c r="DG197" s="561">
        <v>0</v>
      </c>
      <c r="DH197" s="561">
        <v>0</v>
      </c>
      <c r="DI197" s="561">
        <v>0</v>
      </c>
      <c r="DJ197" s="561">
        <v>0</v>
      </c>
      <c r="DK197" s="561">
        <v>0</v>
      </c>
      <c r="DL197" s="561">
        <v>0</v>
      </c>
      <c r="DM197" s="561">
        <v>0</v>
      </c>
      <c r="DN197" s="561">
        <v>0</v>
      </c>
      <c r="DO197" s="561">
        <v>0</v>
      </c>
      <c r="DP197" s="561">
        <v>0</v>
      </c>
      <c r="DQ197" s="561">
        <v>0</v>
      </c>
      <c r="DR197" s="561">
        <v>0</v>
      </c>
      <c r="DS197" s="561">
        <v>0</v>
      </c>
      <c r="DT197" s="561">
        <v>0</v>
      </c>
      <c r="DU197" s="561">
        <v>0</v>
      </c>
      <c r="DV197" s="561">
        <v>0</v>
      </c>
      <c r="DW197" s="561">
        <v>0</v>
      </c>
      <c r="DX197" s="561">
        <v>0</v>
      </c>
      <c r="DY197" s="561">
        <v>0</v>
      </c>
      <c r="DZ197" s="561">
        <v>0</v>
      </c>
      <c r="EA197" s="561">
        <v>0</v>
      </c>
      <c r="EB197" s="561">
        <v>0</v>
      </c>
      <c r="EC197" s="561">
        <v>0</v>
      </c>
      <c r="ED197" s="561">
        <v>0</v>
      </c>
      <c r="EE197" s="561">
        <v>0</v>
      </c>
      <c r="EF197" s="561">
        <v>0</v>
      </c>
      <c r="EG197" s="561">
        <v>0</v>
      </c>
      <c r="EH197" s="561">
        <v>0</v>
      </c>
      <c r="EI197" s="561">
        <v>0</v>
      </c>
      <c r="EJ197" s="561">
        <v>0</v>
      </c>
      <c r="EK197" s="561">
        <v>0</v>
      </c>
      <c r="EL197" s="561">
        <v>0</v>
      </c>
      <c r="EM197" s="561">
        <v>0</v>
      </c>
      <c r="EN197" s="561">
        <v>0</v>
      </c>
      <c r="EO197" s="561">
        <v>0</v>
      </c>
      <c r="EP197" s="561">
        <v>0</v>
      </c>
      <c r="EQ197" s="561">
        <v>0</v>
      </c>
      <c r="ER197" s="561">
        <v>0</v>
      </c>
      <c r="ES197" s="561" t="s">
        <v>4565</v>
      </c>
      <c r="ET197" s="561">
        <v>0</v>
      </c>
      <c r="EU197" s="561">
        <v>0</v>
      </c>
      <c r="EV197" s="561">
        <v>0</v>
      </c>
      <c r="EW197" s="561">
        <v>0</v>
      </c>
      <c r="EX197" s="561">
        <v>0</v>
      </c>
      <c r="EY197" s="561">
        <v>0</v>
      </c>
      <c r="EZ197" s="561">
        <v>0</v>
      </c>
      <c r="FA197" s="561">
        <v>0</v>
      </c>
      <c r="FB197" s="561">
        <v>0</v>
      </c>
      <c r="FC197" s="561">
        <v>0</v>
      </c>
      <c r="FD197" s="561">
        <v>0</v>
      </c>
      <c r="FE197" s="561">
        <v>0</v>
      </c>
      <c r="FF197" s="561">
        <v>0</v>
      </c>
      <c r="FG197" s="561">
        <v>0</v>
      </c>
      <c r="FH197" s="561">
        <v>0</v>
      </c>
      <c r="FI197" s="561">
        <v>0</v>
      </c>
      <c r="FJ197" s="561">
        <v>0</v>
      </c>
      <c r="FK197" s="561">
        <v>0</v>
      </c>
      <c r="FL197" s="561">
        <v>0</v>
      </c>
      <c r="FM197" s="561">
        <v>0</v>
      </c>
      <c r="FN197" s="561">
        <v>0</v>
      </c>
      <c r="FO197" s="561">
        <v>0</v>
      </c>
      <c r="FP197" s="561">
        <v>0</v>
      </c>
      <c r="FQ197" s="561">
        <v>0</v>
      </c>
      <c r="FR197" s="561">
        <v>0</v>
      </c>
      <c r="FS197" s="561">
        <v>0</v>
      </c>
      <c r="FT197" s="561">
        <v>0</v>
      </c>
      <c r="FU197" s="561">
        <v>0</v>
      </c>
      <c r="FV197" s="561">
        <v>0</v>
      </c>
      <c r="FW197" s="561">
        <v>0</v>
      </c>
      <c r="FX197" s="561">
        <v>0</v>
      </c>
      <c r="FY197" s="561">
        <v>0</v>
      </c>
      <c r="FZ197" s="561">
        <v>0</v>
      </c>
      <c r="GA197" s="561">
        <v>0</v>
      </c>
      <c r="GB197" s="561">
        <v>0</v>
      </c>
      <c r="GC197" s="561">
        <v>0</v>
      </c>
      <c r="GD197" s="561">
        <v>0</v>
      </c>
      <c r="GE197" s="561">
        <v>0</v>
      </c>
      <c r="GF197" s="561">
        <v>0</v>
      </c>
      <c r="GG197" s="561">
        <v>0</v>
      </c>
      <c r="GH197" s="561">
        <v>0</v>
      </c>
      <c r="GI197" s="561">
        <v>0</v>
      </c>
      <c r="GJ197" s="561">
        <v>0</v>
      </c>
      <c r="GK197" s="561">
        <v>0</v>
      </c>
      <c r="GL197" s="561">
        <v>0</v>
      </c>
      <c r="GM197" s="561">
        <v>0</v>
      </c>
      <c r="GN197" s="561">
        <v>0</v>
      </c>
      <c r="GO197" s="561">
        <v>0</v>
      </c>
      <c r="GP197" s="561">
        <v>0</v>
      </c>
      <c r="GQ197" s="561">
        <v>0</v>
      </c>
      <c r="GR197" s="561">
        <v>0</v>
      </c>
      <c r="GS197" s="561">
        <v>0</v>
      </c>
      <c r="GT197" s="561">
        <v>0</v>
      </c>
      <c r="GU197" s="561">
        <v>0</v>
      </c>
      <c r="GV197" s="561">
        <v>0</v>
      </c>
      <c r="GW197" s="561">
        <v>0</v>
      </c>
      <c r="GX197" s="561">
        <v>0</v>
      </c>
      <c r="GY197" s="561">
        <v>0</v>
      </c>
      <c r="GZ197" s="561">
        <v>0</v>
      </c>
      <c r="HA197" s="561">
        <v>0</v>
      </c>
      <c r="HB197" s="561">
        <v>0</v>
      </c>
      <c r="HC197" s="561">
        <v>0</v>
      </c>
      <c r="HD197" s="561">
        <v>0</v>
      </c>
      <c r="HE197" s="561">
        <v>0</v>
      </c>
      <c r="HF197" s="561">
        <v>0</v>
      </c>
      <c r="HG197" s="561">
        <v>0</v>
      </c>
      <c r="HH197" s="561">
        <v>394655</v>
      </c>
      <c r="HI197" s="561">
        <v>1774</v>
      </c>
      <c r="HJ197" s="561">
        <v>0</v>
      </c>
      <c r="HK197" s="561">
        <v>0</v>
      </c>
      <c r="HL197" s="561">
        <v>0</v>
      </c>
      <c r="HM197" s="561">
        <v>0</v>
      </c>
      <c r="HN197" s="561">
        <v>0</v>
      </c>
      <c r="HO197" s="561">
        <v>2459</v>
      </c>
      <c r="HP197" s="561">
        <v>0</v>
      </c>
      <c r="HQ197" s="561">
        <v>0</v>
      </c>
      <c r="HR197" s="561">
        <v>0</v>
      </c>
      <c r="HS197" s="561">
        <v>0</v>
      </c>
      <c r="HT197" s="561">
        <v>0</v>
      </c>
      <c r="HU197" s="561">
        <v>0</v>
      </c>
      <c r="HV197" s="561">
        <v>0</v>
      </c>
      <c r="HW197" s="561">
        <v>0</v>
      </c>
      <c r="HX197" s="561">
        <v>0</v>
      </c>
      <c r="HY197" s="561">
        <v>0</v>
      </c>
      <c r="HZ197" s="561">
        <v>0</v>
      </c>
      <c r="IA197" s="561">
        <v>0</v>
      </c>
      <c r="IB197" s="561">
        <v>0</v>
      </c>
      <c r="IC197" s="561">
        <v>0</v>
      </c>
      <c r="ID197" s="561">
        <v>0</v>
      </c>
      <c r="IE197" s="561">
        <v>-55</v>
      </c>
      <c r="IF197" s="561">
        <v>0</v>
      </c>
      <c r="IG197" s="561">
        <v>0</v>
      </c>
      <c r="IH197" s="561">
        <v>0</v>
      </c>
      <c r="II197" s="561">
        <v>2404</v>
      </c>
      <c r="IJ197" s="561">
        <v>0</v>
      </c>
      <c r="IK197" s="561">
        <v>0</v>
      </c>
      <c r="IL197" s="561">
        <v>0</v>
      </c>
      <c r="IM197" s="561">
        <v>0</v>
      </c>
      <c r="IN197" s="561">
        <v>0</v>
      </c>
      <c r="IO197" s="561">
        <v>0</v>
      </c>
      <c r="IP197" s="561">
        <v>0</v>
      </c>
      <c r="IQ197" s="561">
        <v>0</v>
      </c>
      <c r="IR197" s="561">
        <v>0</v>
      </c>
      <c r="IS197" s="561">
        <v>0</v>
      </c>
      <c r="IT197" s="561">
        <v>0</v>
      </c>
      <c r="IU197" s="561">
        <v>0</v>
      </c>
      <c r="IV197" s="561">
        <v>0</v>
      </c>
      <c r="IW197" s="561">
        <v>0</v>
      </c>
      <c r="IX197" s="561">
        <v>0</v>
      </c>
      <c r="IY197" s="561">
        <v>0</v>
      </c>
      <c r="IZ197" s="561">
        <v>0</v>
      </c>
      <c r="JA197" s="561">
        <v>394655</v>
      </c>
      <c r="JB197" s="561">
        <v>0</v>
      </c>
      <c r="JC197" s="561">
        <v>2404</v>
      </c>
      <c r="JD197" s="561">
        <v>0</v>
      </c>
      <c r="JE197" s="561">
        <v>397059</v>
      </c>
      <c r="JF197" s="561">
        <v>0</v>
      </c>
      <c r="JG197" s="561">
        <v>0</v>
      </c>
      <c r="JH197" s="561">
        <v>0</v>
      </c>
      <c r="JI197" s="561">
        <v>0</v>
      </c>
      <c r="JJ197" s="561">
        <v>0</v>
      </c>
      <c r="JK197" s="561">
        <v>0</v>
      </c>
      <c r="JL197" s="561">
        <v>0</v>
      </c>
      <c r="JM197" s="561">
        <v>0</v>
      </c>
      <c r="JN197" s="561">
        <v>0</v>
      </c>
      <c r="JO197" s="561">
        <v>1219</v>
      </c>
      <c r="JP197" s="561">
        <v>0</v>
      </c>
      <c r="JQ197" s="561">
        <v>0</v>
      </c>
      <c r="JR197" s="561">
        <v>0</v>
      </c>
      <c r="JS197" s="561">
        <v>0</v>
      </c>
      <c r="JT197" s="561">
        <v>1460</v>
      </c>
      <c r="JU197" s="561">
        <v>0</v>
      </c>
      <c r="JV197" s="561">
        <v>399738</v>
      </c>
      <c r="JW197" s="561">
        <v>0</v>
      </c>
      <c r="JX197" s="561">
        <v>13385</v>
      </c>
      <c r="JY197" s="561">
        <v>0</v>
      </c>
      <c r="JZ197" s="561">
        <v>0</v>
      </c>
      <c r="KA197" s="561">
        <v>0</v>
      </c>
      <c r="KB197" s="561">
        <v>14</v>
      </c>
      <c r="KC197" s="561">
        <v>2345</v>
      </c>
      <c r="KD197" s="561">
        <v>82</v>
      </c>
      <c r="KE197" s="561">
        <v>3507</v>
      </c>
      <c r="KF197" s="561">
        <v>0</v>
      </c>
      <c r="KG197" s="561">
        <v>419071</v>
      </c>
      <c r="KH197" s="561">
        <v>-1658</v>
      </c>
      <c r="KI197" s="561">
        <v>0</v>
      </c>
      <c r="KJ197" s="561">
        <v>0</v>
      </c>
      <c r="KK197" s="561">
        <v>0</v>
      </c>
      <c r="KL197" s="561">
        <v>-15927.3</v>
      </c>
      <c r="KM197" s="561">
        <v>0</v>
      </c>
      <c r="KN197" s="561">
        <v>0</v>
      </c>
      <c r="KO197" s="561">
        <v>0</v>
      </c>
      <c r="KP197" s="561">
        <v>0</v>
      </c>
      <c r="KQ197" s="561">
        <v>0</v>
      </c>
      <c r="KR197" s="561">
        <v>401485.7</v>
      </c>
      <c r="KS197" s="561">
        <v>0</v>
      </c>
      <c r="KT197" s="561">
        <v>-28027.040000000001</v>
      </c>
      <c r="KU197" s="561">
        <v>373458.66</v>
      </c>
      <c r="KV197" s="561">
        <v>0</v>
      </c>
      <c r="KW197" s="561">
        <v>0</v>
      </c>
      <c r="KX197" s="561">
        <v>0</v>
      </c>
      <c r="KY197" s="561">
        <v>0</v>
      </c>
      <c r="KZ197" s="561">
        <v>1457.3</v>
      </c>
      <c r="LA197" s="561">
        <v>-3665.41</v>
      </c>
      <c r="LB197" s="561">
        <v>0</v>
      </c>
      <c r="LC197" s="561">
        <v>-248779</v>
      </c>
      <c r="LD197" s="561">
        <v>0</v>
      </c>
      <c r="LE197" s="561">
        <v>-182</v>
      </c>
      <c r="LF197" s="561">
        <v>0</v>
      </c>
      <c r="LG197" s="561">
        <v>122288</v>
      </c>
      <c r="LH197" s="561">
        <v>0</v>
      </c>
      <c r="LI197" s="561">
        <v>0</v>
      </c>
      <c r="LJ197" s="561">
        <v>0</v>
      </c>
      <c r="LK197" s="561">
        <v>0</v>
      </c>
      <c r="LL197" s="561">
        <v>9723</v>
      </c>
      <c r="LM197" s="561">
        <v>19657</v>
      </c>
      <c r="LN197" s="561">
        <v>0</v>
      </c>
      <c r="LO197" s="561">
        <v>0</v>
      </c>
      <c r="LP197" s="561">
        <v>0</v>
      </c>
      <c r="LQ197" s="561">
        <v>0</v>
      </c>
      <c r="LR197" s="561">
        <v>11180.3</v>
      </c>
      <c r="LS197" s="561">
        <v>15991.59</v>
      </c>
      <c r="LT197" s="561">
        <v>0</v>
      </c>
      <c r="LU197" s="561">
        <v>22099.4</v>
      </c>
      <c r="LV197" s="561">
        <v>57</v>
      </c>
      <c r="LW197" s="561">
        <v>8</v>
      </c>
      <c r="LX197" s="561">
        <v>-203</v>
      </c>
      <c r="LY197" s="561">
        <v>119.5</v>
      </c>
      <c r="LZ197" s="561">
        <v>22080.9</v>
      </c>
      <c r="MA197" s="561">
        <v>0</v>
      </c>
      <c r="MB197" s="561">
        <v>0</v>
      </c>
      <c r="MC197" s="561">
        <v>0</v>
      </c>
      <c r="MD197" s="561">
        <v>0</v>
      </c>
      <c r="ME197" s="561">
        <v>0</v>
      </c>
      <c r="MF197" s="561">
        <v>0</v>
      </c>
      <c r="MG197" s="561">
        <v>0</v>
      </c>
      <c r="MH197" s="561">
        <v>0</v>
      </c>
      <c r="MI197" s="561">
        <v>0</v>
      </c>
      <c r="MJ197" s="561">
        <v>0</v>
      </c>
      <c r="MK197" s="561">
        <v>0</v>
      </c>
      <c r="ML197" s="561">
        <v>0</v>
      </c>
      <c r="MM197" s="561">
        <v>5724.89</v>
      </c>
      <c r="MN197" s="561">
        <v>0</v>
      </c>
      <c r="MO197" s="561">
        <v>1691</v>
      </c>
      <c r="MP197" s="561">
        <v>3764.41</v>
      </c>
      <c r="MQ197" s="561">
        <v>0</v>
      </c>
      <c r="MR197" s="561">
        <v>0</v>
      </c>
      <c r="MS197" s="561">
        <v>0</v>
      </c>
      <c r="MT197" s="561">
        <v>0</v>
      </c>
      <c r="MU197" s="561">
        <v>0</v>
      </c>
      <c r="MV197" s="561">
        <v>0</v>
      </c>
      <c r="MW197" s="561">
        <v>0</v>
      </c>
      <c r="MX197" s="561">
        <v>0</v>
      </c>
      <c r="MY197" s="561">
        <v>0</v>
      </c>
      <c r="MZ197" s="561">
        <v>394655</v>
      </c>
      <c r="NA197" s="561">
        <v>0</v>
      </c>
      <c r="NB197" s="561">
        <v>2404</v>
      </c>
      <c r="NC197" s="561">
        <v>0</v>
      </c>
      <c r="ND197" s="561">
        <v>397059</v>
      </c>
      <c r="NE197" s="561">
        <v>0</v>
      </c>
      <c r="NF197" s="561">
        <v>0</v>
      </c>
      <c r="NG197" s="561">
        <v>0</v>
      </c>
      <c r="NH197" s="561">
        <v>0</v>
      </c>
      <c r="NI197" s="561">
        <v>0</v>
      </c>
      <c r="NJ197" s="561">
        <v>0</v>
      </c>
      <c r="NK197" s="561">
        <v>0</v>
      </c>
      <c r="NL197" s="561">
        <v>0</v>
      </c>
      <c r="NM197" s="561">
        <v>0</v>
      </c>
      <c r="NN197" s="561">
        <v>0</v>
      </c>
      <c r="NO197" s="561">
        <v>0</v>
      </c>
      <c r="NP197" s="561">
        <v>0</v>
      </c>
      <c r="NQ197" s="561">
        <v>0</v>
      </c>
      <c r="NR197" s="561">
        <v>0</v>
      </c>
      <c r="NS197" s="561">
        <v>0</v>
      </c>
      <c r="NT197" s="561">
        <v>0</v>
      </c>
      <c r="NU197" s="561">
        <v>0</v>
      </c>
      <c r="NV197" s="561">
        <v>0</v>
      </c>
      <c r="NW197" s="561">
        <v>0</v>
      </c>
      <c r="NX197" s="561">
        <v>0</v>
      </c>
      <c r="NY197" s="561">
        <v>0</v>
      </c>
      <c r="NZ197" s="561">
        <v>0</v>
      </c>
      <c r="OA197" s="561">
        <v>0</v>
      </c>
      <c r="OB197" s="561">
        <v>0</v>
      </c>
      <c r="OC197" s="561">
        <v>0</v>
      </c>
      <c r="OD197" s="561">
        <v>0</v>
      </c>
      <c r="OE197" s="561">
        <v>0</v>
      </c>
      <c r="OF197" s="561">
        <v>0</v>
      </c>
      <c r="OG197" s="561">
        <v>0</v>
      </c>
      <c r="OH197" s="561">
        <v>0</v>
      </c>
      <c r="OI197" s="561">
        <v>0</v>
      </c>
      <c r="OJ197" s="561">
        <v>0</v>
      </c>
      <c r="OK197" s="561">
        <v>0</v>
      </c>
      <c r="OL197" s="561">
        <v>0</v>
      </c>
      <c r="OM197" s="561">
        <v>0</v>
      </c>
      <c r="ON197" s="561">
        <v>0</v>
      </c>
      <c r="OO197" s="561">
        <v>0</v>
      </c>
      <c r="OP197" s="561">
        <v>0</v>
      </c>
      <c r="OQ197" s="561">
        <v>0</v>
      </c>
      <c r="OR197" s="561">
        <v>0</v>
      </c>
      <c r="OS197" s="561">
        <v>0</v>
      </c>
      <c r="OT197" s="561">
        <v>0</v>
      </c>
      <c r="OU197" s="561">
        <v>0</v>
      </c>
      <c r="OV197" s="561">
        <v>426.625</v>
      </c>
      <c r="OW197" s="561">
        <v>0</v>
      </c>
      <c r="OX197" s="561">
        <v>0</v>
      </c>
      <c r="OY197" s="561">
        <v>0</v>
      </c>
      <c r="OZ197" s="561">
        <v>0</v>
      </c>
      <c r="PA197" s="561">
        <v>0</v>
      </c>
      <c r="PB197" s="561">
        <v>0</v>
      </c>
      <c r="PC197" s="561">
        <v>0</v>
      </c>
      <c r="PD197" s="561">
        <v>0</v>
      </c>
      <c r="PE197" s="561">
        <v>0</v>
      </c>
      <c r="PF197" s="561">
        <v>0</v>
      </c>
      <c r="PG197" s="561">
        <v>0</v>
      </c>
      <c r="PH197" s="561">
        <v>0</v>
      </c>
      <c r="PI197" s="561">
        <v>0</v>
      </c>
      <c r="PJ197" s="561">
        <v>0</v>
      </c>
    </row>
    <row r="198" spans="1:426" ht="14" x14ac:dyDescent="0.3">
      <c r="A198" t="s">
        <v>3035</v>
      </c>
      <c r="B198" t="s">
        <v>3036</v>
      </c>
      <c r="C198" t="s">
        <v>3037</v>
      </c>
      <c r="E198" t="s">
        <v>384</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22</v>
      </c>
      <c r="U198" s="561">
        <v>0</v>
      </c>
      <c r="V198" s="561">
        <v>30</v>
      </c>
      <c r="W198" s="561">
        <v>0</v>
      </c>
      <c r="X198" s="561">
        <v>0</v>
      </c>
      <c r="Y198" s="561">
        <v>0</v>
      </c>
      <c r="Z198" s="561">
        <v>0</v>
      </c>
      <c r="AA198" s="561">
        <v>0</v>
      </c>
      <c r="AB198" s="561">
        <v>-2460</v>
      </c>
      <c r="AC198" s="561">
        <v>0</v>
      </c>
      <c r="AD198" s="561">
        <v>0</v>
      </c>
      <c r="AE198" s="561">
        <v>0</v>
      </c>
      <c r="AF198" s="561">
        <v>0</v>
      </c>
      <c r="AG198" s="561">
        <v>0</v>
      </c>
      <c r="AH198" s="561">
        <v>60</v>
      </c>
      <c r="AI198" s="561">
        <v>0</v>
      </c>
      <c r="AJ198" s="561">
        <v>-2348</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19</v>
      </c>
      <c r="BE198" s="561">
        <v>0</v>
      </c>
      <c r="BF198" s="561">
        <v>19</v>
      </c>
      <c r="BG198" s="561">
        <v>0</v>
      </c>
      <c r="BH198" s="561">
        <v>0</v>
      </c>
      <c r="BI198" s="561">
        <v>0</v>
      </c>
      <c r="BJ198" s="561">
        <v>0</v>
      </c>
      <c r="BK198" s="561">
        <v>0</v>
      </c>
      <c r="BL198" s="561">
        <v>0</v>
      </c>
      <c r="BM198" s="561">
        <v>0</v>
      </c>
      <c r="BN198" s="561">
        <v>0</v>
      </c>
      <c r="BO198" s="561">
        <v>0</v>
      </c>
      <c r="BP198" s="561">
        <v>0</v>
      </c>
      <c r="BQ198" s="561">
        <v>0</v>
      </c>
      <c r="BR198" s="561">
        <v>0</v>
      </c>
      <c r="BS198" s="561">
        <v>0</v>
      </c>
      <c r="BT198" s="561">
        <v>0</v>
      </c>
      <c r="BU198" s="561">
        <v>0</v>
      </c>
      <c r="BV198" s="561">
        <v>0</v>
      </c>
      <c r="BW198" s="561">
        <v>0</v>
      </c>
      <c r="BX198" s="561">
        <v>0</v>
      </c>
      <c r="BY198" s="561">
        <v>0</v>
      </c>
      <c r="BZ198" s="561">
        <v>0</v>
      </c>
      <c r="CA198" s="561">
        <v>0</v>
      </c>
      <c r="CB198" s="561">
        <v>0</v>
      </c>
      <c r="CC198" s="561">
        <v>0</v>
      </c>
      <c r="CD198" s="561">
        <v>0</v>
      </c>
      <c r="CE198" s="561">
        <v>0</v>
      </c>
      <c r="CF198" s="561">
        <v>0</v>
      </c>
      <c r="CG198" s="561">
        <v>0</v>
      </c>
      <c r="CH198" s="561">
        <v>0</v>
      </c>
      <c r="CI198" s="561">
        <v>0</v>
      </c>
      <c r="CJ198" s="561">
        <v>0</v>
      </c>
      <c r="CK198" s="561">
        <v>0</v>
      </c>
      <c r="CL198" s="561">
        <v>0</v>
      </c>
      <c r="CM198" s="561">
        <v>0</v>
      </c>
      <c r="CN198" s="561">
        <v>0</v>
      </c>
      <c r="CO198" s="561">
        <v>0</v>
      </c>
      <c r="CP198" s="561">
        <v>0</v>
      </c>
      <c r="CQ198" s="561">
        <v>0</v>
      </c>
      <c r="CR198" s="561">
        <v>0</v>
      </c>
      <c r="CS198" s="561">
        <v>0</v>
      </c>
      <c r="CT198" s="561">
        <v>0</v>
      </c>
      <c r="CU198" s="561">
        <v>0</v>
      </c>
      <c r="CV198" s="561">
        <v>0</v>
      </c>
      <c r="CW198" s="561">
        <v>0</v>
      </c>
      <c r="CX198" s="561">
        <v>0</v>
      </c>
      <c r="CY198" s="561">
        <v>0</v>
      </c>
      <c r="CZ198" s="561">
        <v>0</v>
      </c>
      <c r="DA198" s="561">
        <v>0</v>
      </c>
      <c r="DB198" s="561">
        <v>0</v>
      </c>
      <c r="DC198" s="561">
        <v>0</v>
      </c>
      <c r="DD198" s="561">
        <v>0</v>
      </c>
      <c r="DE198" s="561">
        <v>0</v>
      </c>
      <c r="DF198" s="561">
        <v>0</v>
      </c>
      <c r="DG198" s="561">
        <v>0</v>
      </c>
      <c r="DH198" s="561">
        <v>0</v>
      </c>
      <c r="DI198" s="561">
        <v>348</v>
      </c>
      <c r="DJ198" s="561">
        <v>134</v>
      </c>
      <c r="DK198" s="561">
        <v>-33</v>
      </c>
      <c r="DL198" s="561">
        <v>0</v>
      </c>
      <c r="DM198" s="561">
        <v>0</v>
      </c>
      <c r="DN198" s="561">
        <v>0</v>
      </c>
      <c r="DO198" s="561">
        <v>0</v>
      </c>
      <c r="DP198" s="561">
        <v>0</v>
      </c>
      <c r="DQ198" s="561">
        <v>0</v>
      </c>
      <c r="DR198" s="561">
        <v>0</v>
      </c>
      <c r="DS198" s="561">
        <v>1634</v>
      </c>
      <c r="DT198" s="561">
        <v>0</v>
      </c>
      <c r="DU198" s="561">
        <v>1634</v>
      </c>
      <c r="DV198" s="561">
        <v>137</v>
      </c>
      <c r="DW198" s="561">
        <v>33</v>
      </c>
      <c r="DX198" s="561">
        <v>0</v>
      </c>
      <c r="DY198" s="561">
        <v>1922</v>
      </c>
      <c r="DZ198" s="561">
        <v>96</v>
      </c>
      <c r="EA198" s="561">
        <v>0</v>
      </c>
      <c r="EB198" s="561">
        <v>0</v>
      </c>
      <c r="EC198" s="561">
        <v>4271</v>
      </c>
      <c r="ED198" s="561">
        <v>0</v>
      </c>
      <c r="EE198" s="561">
        <v>16751</v>
      </c>
      <c r="EF198" s="561">
        <v>286</v>
      </c>
      <c r="EG198" s="561">
        <v>2451</v>
      </c>
      <c r="EH198" s="561">
        <v>794</v>
      </c>
      <c r="EI198" s="561">
        <v>61</v>
      </c>
      <c r="EJ198" s="561">
        <v>268</v>
      </c>
      <c r="EK198" s="561">
        <v>105</v>
      </c>
      <c r="EL198" s="561">
        <v>0</v>
      </c>
      <c r="EM198" s="561">
        <v>0</v>
      </c>
      <c r="EN198" s="561">
        <v>6971</v>
      </c>
      <c r="EO198" s="561">
        <v>5114</v>
      </c>
      <c r="EP198" s="561">
        <v>0</v>
      </c>
      <c r="EQ198" s="561">
        <v>644</v>
      </c>
      <c r="ER198" s="561">
        <v>1803</v>
      </c>
      <c r="ES198" s="561" t="s">
        <v>4565</v>
      </c>
      <c r="ET198" s="561">
        <v>1041</v>
      </c>
      <c r="EU198" s="561">
        <v>5743</v>
      </c>
      <c r="EV198" s="561">
        <v>0</v>
      </c>
      <c r="EW198" s="561">
        <v>0</v>
      </c>
      <c r="EX198" s="561">
        <v>543</v>
      </c>
      <c r="EY198" s="561">
        <v>297</v>
      </c>
      <c r="EZ198" s="561">
        <v>-1440</v>
      </c>
      <c r="FA198" s="561">
        <v>3574</v>
      </c>
      <c r="FB198" s="561">
        <v>0</v>
      </c>
      <c r="FC198" s="561">
        <v>0</v>
      </c>
      <c r="FD198" s="561">
        <v>28</v>
      </c>
      <c r="FE198" s="561">
        <v>534</v>
      </c>
      <c r="FF198" s="561">
        <v>512</v>
      </c>
      <c r="FG198" s="561">
        <v>0</v>
      </c>
      <c r="FH198" s="561">
        <v>-89</v>
      </c>
      <c r="FI198" s="561">
        <v>118</v>
      </c>
      <c r="FJ198" s="561">
        <v>734</v>
      </c>
      <c r="FK198" s="561">
        <v>2795</v>
      </c>
      <c r="FL198" s="561">
        <v>0</v>
      </c>
      <c r="FM198" s="561">
        <v>218</v>
      </c>
      <c r="FN198" s="561">
        <v>0</v>
      </c>
      <c r="FO198" s="561">
        <v>4850</v>
      </c>
      <c r="FP198" s="561">
        <v>0</v>
      </c>
      <c r="FQ198" s="561">
        <v>178</v>
      </c>
      <c r="FR198" s="561">
        <v>0</v>
      </c>
      <c r="FS198" s="561">
        <v>0</v>
      </c>
      <c r="FT198" s="561">
        <v>352</v>
      </c>
      <c r="FU198" s="561">
        <v>483</v>
      </c>
      <c r="FV198" s="561">
        <v>0</v>
      </c>
      <c r="FW198" s="561">
        <v>186</v>
      </c>
      <c r="FX198" s="561">
        <v>102</v>
      </c>
      <c r="FY198" s="561">
        <v>0</v>
      </c>
      <c r="FZ198" s="561">
        <v>59</v>
      </c>
      <c r="GA198" s="561">
        <v>278</v>
      </c>
      <c r="GB198" s="561">
        <v>182</v>
      </c>
      <c r="GC198" s="561">
        <v>102</v>
      </c>
      <c r="GD198" s="561">
        <v>0</v>
      </c>
      <c r="GE198" s="561">
        <v>0</v>
      </c>
      <c r="GF198" s="561">
        <v>66</v>
      </c>
      <c r="GG198" s="561">
        <v>241</v>
      </c>
      <c r="GH198" s="561">
        <v>110</v>
      </c>
      <c r="GI198" s="561">
        <v>0</v>
      </c>
      <c r="GJ198" s="561">
        <v>0</v>
      </c>
      <c r="GK198" s="561">
        <v>0</v>
      </c>
      <c r="GL198" s="561">
        <v>1957</v>
      </c>
      <c r="GM198" s="561">
        <v>4264</v>
      </c>
      <c r="GN198" s="561">
        <v>0</v>
      </c>
      <c r="GO198" s="561">
        <v>-619</v>
      </c>
      <c r="GP198" s="561">
        <v>0</v>
      </c>
      <c r="GQ198" s="561">
        <v>0</v>
      </c>
      <c r="GR198" s="561">
        <v>0</v>
      </c>
      <c r="GS198" s="561">
        <v>7941</v>
      </c>
      <c r="GT198" s="561">
        <v>0</v>
      </c>
      <c r="GU198" s="561">
        <v>324</v>
      </c>
      <c r="GV198" s="561">
        <v>-480</v>
      </c>
      <c r="GW198" s="561">
        <v>70</v>
      </c>
      <c r="GX198" s="561">
        <v>3449</v>
      </c>
      <c r="GY198" s="561">
        <v>0</v>
      </c>
      <c r="GZ198" s="561">
        <v>728</v>
      </c>
      <c r="HA198" s="561">
        <v>0</v>
      </c>
      <c r="HB198" s="561">
        <v>0</v>
      </c>
      <c r="HC198" s="561">
        <v>1965</v>
      </c>
      <c r="HD198" s="561">
        <v>6056</v>
      </c>
      <c r="HE198" s="561">
        <v>0</v>
      </c>
      <c r="HF198" s="561">
        <v>18847</v>
      </c>
      <c r="HG198" s="561">
        <v>0</v>
      </c>
      <c r="HH198" s="561">
        <v>0</v>
      </c>
      <c r="HI198" s="561">
        <v>0</v>
      </c>
      <c r="HJ198" s="561">
        <v>0</v>
      </c>
      <c r="HK198" s="561">
        <v>0</v>
      </c>
      <c r="HL198" s="561">
        <v>0</v>
      </c>
      <c r="HM198" s="561">
        <v>0</v>
      </c>
      <c r="HN198" s="561">
        <v>0</v>
      </c>
      <c r="HO198" s="561">
        <v>2165</v>
      </c>
      <c r="HP198" s="561">
        <v>840</v>
      </c>
      <c r="HQ198" s="561">
        <v>0</v>
      </c>
      <c r="HR198" s="561">
        <v>0</v>
      </c>
      <c r="HS198" s="561">
        <v>486</v>
      </c>
      <c r="HT198" s="561">
        <v>333</v>
      </c>
      <c r="HU198" s="561">
        <v>0</v>
      </c>
      <c r="HV198" s="561">
        <v>0</v>
      </c>
      <c r="HW198" s="561">
        <v>304</v>
      </c>
      <c r="HX198" s="561">
        <v>765</v>
      </c>
      <c r="HY198" s="561">
        <v>69</v>
      </c>
      <c r="HZ198" s="561">
        <v>95</v>
      </c>
      <c r="IA198" s="561">
        <v>0</v>
      </c>
      <c r="IB198" s="561">
        <v>368</v>
      </c>
      <c r="IC198" s="561">
        <v>0</v>
      </c>
      <c r="ID198" s="561">
        <v>0</v>
      </c>
      <c r="IE198" s="561">
        <v>1692</v>
      </c>
      <c r="IF198" s="561">
        <v>0</v>
      </c>
      <c r="IG198" s="561">
        <v>0</v>
      </c>
      <c r="IH198" s="561">
        <v>13.46</v>
      </c>
      <c r="II198" s="561">
        <v>7130.46</v>
      </c>
      <c r="IJ198" s="561">
        <v>0</v>
      </c>
      <c r="IK198" s="561">
        <v>10911</v>
      </c>
      <c r="IL198" s="561">
        <v>9117.44</v>
      </c>
      <c r="IM198" s="561">
        <v>0</v>
      </c>
      <c r="IN198" s="561">
        <v>11641.11</v>
      </c>
      <c r="IO198" s="561">
        <v>130.99</v>
      </c>
      <c r="IP198" s="561">
        <v>0</v>
      </c>
      <c r="IQ198" s="561">
        <v>0</v>
      </c>
      <c r="IR198" s="561">
        <v>0</v>
      </c>
      <c r="IS198" s="561">
        <v>-2348</v>
      </c>
      <c r="IT198" s="561">
        <v>19</v>
      </c>
      <c r="IU198" s="561">
        <v>0</v>
      </c>
      <c r="IV198" s="561">
        <v>0</v>
      </c>
      <c r="IW198" s="561">
        <v>4271</v>
      </c>
      <c r="IX198" s="561">
        <v>4850</v>
      </c>
      <c r="IY198" s="561">
        <v>7941</v>
      </c>
      <c r="IZ198" s="561">
        <v>6056</v>
      </c>
      <c r="JA198" s="561">
        <v>0</v>
      </c>
      <c r="JB198" s="561">
        <v>0</v>
      </c>
      <c r="JC198" s="561">
        <v>7130.46</v>
      </c>
      <c r="JD198" s="561">
        <v>0</v>
      </c>
      <c r="JE198" s="561">
        <v>27919.46</v>
      </c>
      <c r="JF198" s="561">
        <v>18353</v>
      </c>
      <c r="JG198" s="561">
        <v>0</v>
      </c>
      <c r="JH198" s="561">
        <v>6106</v>
      </c>
      <c r="JI198" s="561">
        <v>0</v>
      </c>
      <c r="JJ198" s="561">
        <v>105</v>
      </c>
      <c r="JK198" s="561">
        <v>1667</v>
      </c>
      <c r="JL198" s="561">
        <v>0</v>
      </c>
      <c r="JM198" s="561">
        <v>0</v>
      </c>
      <c r="JN198" s="561">
        <v>0</v>
      </c>
      <c r="JO198" s="561">
        <v>0</v>
      </c>
      <c r="JP198" s="561">
        <v>939</v>
      </c>
      <c r="JQ198" s="561">
        <v>175</v>
      </c>
      <c r="JR198" s="561">
        <v>-134</v>
      </c>
      <c r="JS198" s="561">
        <v>-34</v>
      </c>
      <c r="JT198" s="561">
        <v>0</v>
      </c>
      <c r="JU198" s="561">
        <v>0</v>
      </c>
      <c r="JV198" s="561">
        <v>55096.46</v>
      </c>
      <c r="JW198" s="561">
        <v>0</v>
      </c>
      <c r="JX198" s="561">
        <v>100</v>
      </c>
      <c r="JY198" s="561">
        <v>0</v>
      </c>
      <c r="JZ198" s="561">
        <v>-222</v>
      </c>
      <c r="KA198" s="561">
        <v>0</v>
      </c>
      <c r="KB198" s="561">
        <v>0</v>
      </c>
      <c r="KC198" s="561">
        <v>2912</v>
      </c>
      <c r="KD198" s="561">
        <v>0</v>
      </c>
      <c r="KE198" s="561">
        <v>2793</v>
      </c>
      <c r="KF198" s="561">
        <v>-1648</v>
      </c>
      <c r="KG198" s="561">
        <v>59031.46</v>
      </c>
      <c r="KH198" s="561">
        <v>-1302</v>
      </c>
      <c r="KI198" s="561">
        <v>0</v>
      </c>
      <c r="KJ198" s="561">
        <v>0</v>
      </c>
      <c r="KK198" s="561">
        <v>0</v>
      </c>
      <c r="KL198" s="561">
        <v>-24966</v>
      </c>
      <c r="KM198" s="561">
        <v>0</v>
      </c>
      <c r="KN198" s="561">
        <v>0</v>
      </c>
      <c r="KO198" s="561">
        <v>0</v>
      </c>
      <c r="KP198" s="561">
        <v>0</v>
      </c>
      <c r="KQ198" s="561">
        <v>0</v>
      </c>
      <c r="KR198" s="561">
        <v>32763.46</v>
      </c>
      <c r="KS198" s="561">
        <v>0</v>
      </c>
      <c r="KT198" s="561">
        <v>-6910</v>
      </c>
      <c r="KU198" s="561">
        <v>25853.46</v>
      </c>
      <c r="KV198" s="561">
        <v>0</v>
      </c>
      <c r="KW198" s="561">
        <v>0</v>
      </c>
      <c r="KX198" s="561">
        <v>0</v>
      </c>
      <c r="KY198" s="561">
        <v>0</v>
      </c>
      <c r="KZ198" s="561">
        <v>1672</v>
      </c>
      <c r="LA198" s="561">
        <v>-299</v>
      </c>
      <c r="LB198" s="561">
        <v>-433</v>
      </c>
      <c r="LC198" s="561">
        <v>0</v>
      </c>
      <c r="LD198" s="561">
        <v>-14339</v>
      </c>
      <c r="LE198" s="561">
        <v>141</v>
      </c>
      <c r="LF198" s="561">
        <v>0</v>
      </c>
      <c r="LG198" s="561">
        <v>12595</v>
      </c>
      <c r="LH198" s="561">
        <v>0</v>
      </c>
      <c r="LI198" s="561">
        <v>0</v>
      </c>
      <c r="LJ198" s="561">
        <v>0</v>
      </c>
      <c r="LK198" s="561">
        <v>0</v>
      </c>
      <c r="LL198" s="561">
        <v>17039</v>
      </c>
      <c r="LM198" s="561">
        <v>10327</v>
      </c>
      <c r="LN198" s="561">
        <v>0</v>
      </c>
      <c r="LO198" s="561">
        <v>0</v>
      </c>
      <c r="LP198" s="561">
        <v>0</v>
      </c>
      <c r="LQ198" s="561">
        <v>0</v>
      </c>
      <c r="LR198" s="561">
        <v>18711</v>
      </c>
      <c r="LS198" s="561">
        <v>10028</v>
      </c>
      <c r="LT198" s="561">
        <v>0</v>
      </c>
      <c r="LU198" s="561">
        <v>8383</v>
      </c>
      <c r="LV198" s="561">
        <v>0</v>
      </c>
      <c r="LW198" s="561">
        <v>1112</v>
      </c>
      <c r="LX198" s="561">
        <v>1024</v>
      </c>
      <c r="LY198" s="561">
        <v>3688</v>
      </c>
      <c r="LZ198" s="561">
        <v>14207</v>
      </c>
      <c r="MA198" s="561">
        <v>0</v>
      </c>
      <c r="MB198" s="561">
        <v>0</v>
      </c>
      <c r="MC198" s="561">
        <v>20716</v>
      </c>
      <c r="MD198" s="561">
        <v>22156</v>
      </c>
      <c r="ME198" s="561">
        <v>-1440</v>
      </c>
      <c r="MF198" s="561">
        <v>3574</v>
      </c>
      <c r="MG198" s="561">
        <v>2134</v>
      </c>
      <c r="MH198" s="561">
        <v>4452</v>
      </c>
      <c r="MI198" s="561">
        <v>7045</v>
      </c>
      <c r="MJ198" s="561">
        <v>11497</v>
      </c>
      <c r="MK198" s="561">
        <v>0</v>
      </c>
      <c r="ML198" s="561">
        <v>0</v>
      </c>
      <c r="MM198" s="561">
        <v>2668</v>
      </c>
      <c r="MN198" s="561">
        <v>460</v>
      </c>
      <c r="MO198" s="561">
        <v>163</v>
      </c>
      <c r="MP198" s="561">
        <v>15420</v>
      </c>
      <c r="MQ198" s="561">
        <v>0</v>
      </c>
      <c r="MR198" s="561">
        <v>-2348</v>
      </c>
      <c r="MS198" s="561">
        <v>19</v>
      </c>
      <c r="MT198" s="561">
        <v>0</v>
      </c>
      <c r="MU198" s="561">
        <v>0</v>
      </c>
      <c r="MV198" s="561">
        <v>4271</v>
      </c>
      <c r="MW198" s="561">
        <v>4850</v>
      </c>
      <c r="MX198" s="561">
        <v>7941</v>
      </c>
      <c r="MY198" s="561">
        <v>6056</v>
      </c>
      <c r="MZ198" s="561">
        <v>0</v>
      </c>
      <c r="NA198" s="561">
        <v>0</v>
      </c>
      <c r="NB198" s="561">
        <v>7130.46</v>
      </c>
      <c r="NC198" s="561">
        <v>0</v>
      </c>
      <c r="ND198" s="561">
        <v>27919.46</v>
      </c>
      <c r="NE198" s="561">
        <v>0</v>
      </c>
      <c r="NF198" s="561">
        <v>0</v>
      </c>
      <c r="NG198" s="561">
        <v>0</v>
      </c>
      <c r="NH198" s="561">
        <v>0</v>
      </c>
      <c r="NI198" s="561">
        <v>0</v>
      </c>
      <c r="NJ198" s="561">
        <v>19</v>
      </c>
      <c r="NK198" s="561">
        <v>-10</v>
      </c>
      <c r="NL198" s="561">
        <v>0</v>
      </c>
      <c r="NM198" s="561">
        <v>0</v>
      </c>
      <c r="NN198" s="561">
        <v>-1</v>
      </c>
      <c r="NO198" s="561">
        <v>0</v>
      </c>
      <c r="NP198" s="561">
        <v>0</v>
      </c>
      <c r="NQ198" s="561">
        <v>0</v>
      </c>
      <c r="NR198" s="561">
        <v>0</v>
      </c>
      <c r="NS198" s="561">
        <v>0</v>
      </c>
      <c r="NT198" s="561">
        <v>1</v>
      </c>
      <c r="NU198" s="561">
        <v>-936</v>
      </c>
      <c r="NV198" s="561">
        <v>-51</v>
      </c>
      <c r="NW198" s="561">
        <v>805</v>
      </c>
      <c r="NX198" s="561">
        <v>134</v>
      </c>
      <c r="NY198" s="561">
        <v>939</v>
      </c>
      <c r="NZ198" s="561">
        <v>0</v>
      </c>
      <c r="OA198" s="561">
        <v>0</v>
      </c>
      <c r="OB198" s="561">
        <v>0</v>
      </c>
      <c r="OC198" s="561">
        <v>0</v>
      </c>
      <c r="OD198" s="561">
        <v>0</v>
      </c>
      <c r="OE198" s="561">
        <v>0</v>
      </c>
      <c r="OF198" s="561">
        <v>0</v>
      </c>
      <c r="OG198" s="561">
        <v>0</v>
      </c>
      <c r="OH198" s="561">
        <v>0</v>
      </c>
      <c r="OI198" s="561">
        <v>0</v>
      </c>
      <c r="OJ198" s="561">
        <v>61</v>
      </c>
      <c r="OK198" s="561">
        <v>0</v>
      </c>
      <c r="OL198" s="561">
        <v>0</v>
      </c>
      <c r="OM198" s="561">
        <v>80</v>
      </c>
      <c r="ON198" s="561">
        <v>0</v>
      </c>
      <c r="OO198" s="561">
        <v>0</v>
      </c>
      <c r="OP198" s="561">
        <v>0</v>
      </c>
      <c r="OQ198" s="561">
        <v>0</v>
      </c>
      <c r="OR198" s="561">
        <v>0</v>
      </c>
      <c r="OS198" s="561">
        <v>0</v>
      </c>
      <c r="OT198" s="561">
        <v>0</v>
      </c>
      <c r="OU198" s="561">
        <v>0</v>
      </c>
      <c r="OV198" s="561">
        <v>232</v>
      </c>
      <c r="OW198" s="561">
        <v>34</v>
      </c>
      <c r="OX198" s="561">
        <v>175</v>
      </c>
      <c r="OY198" s="561">
        <v>14</v>
      </c>
      <c r="OZ198" s="561">
        <v>0</v>
      </c>
      <c r="PA198" s="561">
        <v>120</v>
      </c>
      <c r="PB198" s="561">
        <v>0</v>
      </c>
      <c r="PC198" s="561">
        <v>0</v>
      </c>
      <c r="PD198" s="561">
        <v>134</v>
      </c>
      <c r="PE198" s="561">
        <v>34</v>
      </c>
      <c r="PF198" s="561">
        <v>0</v>
      </c>
      <c r="PG198" s="561">
        <v>0</v>
      </c>
      <c r="PH198" s="561">
        <v>0</v>
      </c>
      <c r="PI198" s="561">
        <v>0</v>
      </c>
      <c r="PJ198" s="561">
        <v>34</v>
      </c>
    </row>
    <row r="199" spans="1:426" ht="14" x14ac:dyDescent="0.3">
      <c r="A199" t="s">
        <v>3038</v>
      </c>
      <c r="B199" t="s">
        <v>3038</v>
      </c>
      <c r="C199" t="s">
        <v>3039</v>
      </c>
      <c r="E199" t="s">
        <v>2466</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61">
        <v>0</v>
      </c>
      <c r="U199" s="561">
        <v>0</v>
      </c>
      <c r="V199" s="561">
        <v>0</v>
      </c>
      <c r="W199" s="561">
        <v>0</v>
      </c>
      <c r="X199" s="561">
        <v>0</v>
      </c>
      <c r="Y199" s="561">
        <v>0</v>
      </c>
      <c r="Z199" s="561">
        <v>0</v>
      </c>
      <c r="AA199" s="561">
        <v>0</v>
      </c>
      <c r="AB199" s="561">
        <v>0</v>
      </c>
      <c r="AC199" s="561">
        <v>0</v>
      </c>
      <c r="AD199" s="561">
        <v>0</v>
      </c>
      <c r="AE199" s="561">
        <v>0</v>
      </c>
      <c r="AF199" s="561">
        <v>0</v>
      </c>
      <c r="AG199" s="561">
        <v>0</v>
      </c>
      <c r="AH199" s="561">
        <v>0</v>
      </c>
      <c r="AI199" s="561">
        <v>0</v>
      </c>
      <c r="AJ199" s="561">
        <v>0</v>
      </c>
      <c r="AK199" s="561">
        <v>0</v>
      </c>
      <c r="AL199" s="561">
        <v>0</v>
      </c>
      <c r="AM199" s="561">
        <v>0</v>
      </c>
      <c r="AN199" s="561">
        <v>0</v>
      </c>
      <c r="AO199" s="561">
        <v>0</v>
      </c>
      <c r="AP199" s="561">
        <v>0</v>
      </c>
      <c r="AQ199" s="561">
        <v>0</v>
      </c>
      <c r="AR199" s="561">
        <v>0</v>
      </c>
      <c r="AS199" s="561">
        <v>0</v>
      </c>
      <c r="AT199" s="561">
        <v>0</v>
      </c>
      <c r="AU199" s="561">
        <v>0</v>
      </c>
      <c r="AV199" s="561">
        <v>0</v>
      </c>
      <c r="AW199" s="561">
        <v>0</v>
      </c>
      <c r="AX199" s="561">
        <v>0</v>
      </c>
      <c r="AY199" s="561">
        <v>0</v>
      </c>
      <c r="AZ199" s="561">
        <v>0</v>
      </c>
      <c r="BA199" s="561">
        <v>0</v>
      </c>
      <c r="BB199" s="561">
        <v>0</v>
      </c>
      <c r="BC199" s="561">
        <v>0</v>
      </c>
      <c r="BD199" s="561">
        <v>0</v>
      </c>
      <c r="BE199" s="561">
        <v>0</v>
      </c>
      <c r="BF199" s="561">
        <v>0</v>
      </c>
      <c r="BG199" s="561">
        <v>0</v>
      </c>
      <c r="BH199" s="561">
        <v>0</v>
      </c>
      <c r="BI199" s="561">
        <v>0</v>
      </c>
      <c r="BJ199" s="561">
        <v>0</v>
      </c>
      <c r="BK199" s="561">
        <v>0</v>
      </c>
      <c r="BL199" s="561">
        <v>0</v>
      </c>
      <c r="BM199" s="561">
        <v>0</v>
      </c>
      <c r="BN199" s="561">
        <v>0</v>
      </c>
      <c r="BO199" s="561">
        <v>0</v>
      </c>
      <c r="BP199" s="561">
        <v>0</v>
      </c>
      <c r="BQ199" s="561">
        <v>0</v>
      </c>
      <c r="BR199" s="561">
        <v>0</v>
      </c>
      <c r="BS199" s="561">
        <v>0</v>
      </c>
      <c r="BT199" s="561">
        <v>0</v>
      </c>
      <c r="BU199" s="561">
        <v>0</v>
      </c>
      <c r="BV199" s="561">
        <v>0</v>
      </c>
      <c r="BW199" s="561">
        <v>0</v>
      </c>
      <c r="BX199" s="561">
        <v>0</v>
      </c>
      <c r="BY199" s="561">
        <v>0</v>
      </c>
      <c r="BZ199" s="561">
        <v>0</v>
      </c>
      <c r="CA199" s="561">
        <v>0</v>
      </c>
      <c r="CB199" s="561">
        <v>0</v>
      </c>
      <c r="CC199" s="561">
        <v>0</v>
      </c>
      <c r="CD199" s="561">
        <v>0</v>
      </c>
      <c r="CE199" s="561">
        <v>0</v>
      </c>
      <c r="CF199" s="561">
        <v>0</v>
      </c>
      <c r="CG199" s="561">
        <v>0</v>
      </c>
      <c r="CH199" s="561">
        <v>0</v>
      </c>
      <c r="CI199" s="561">
        <v>0</v>
      </c>
      <c r="CJ199" s="561">
        <v>0</v>
      </c>
      <c r="CK199" s="561">
        <v>0</v>
      </c>
      <c r="CL199" s="561">
        <v>0</v>
      </c>
      <c r="CM199" s="561">
        <v>0</v>
      </c>
      <c r="CN199" s="561">
        <v>0</v>
      </c>
      <c r="CO199" s="561">
        <v>0</v>
      </c>
      <c r="CP199" s="561">
        <v>0</v>
      </c>
      <c r="CQ199" s="561">
        <v>0</v>
      </c>
      <c r="CR199" s="561">
        <v>0</v>
      </c>
      <c r="CS199" s="561">
        <v>0</v>
      </c>
      <c r="CT199" s="561">
        <v>0</v>
      </c>
      <c r="CU199" s="561">
        <v>0</v>
      </c>
      <c r="CV199" s="561">
        <v>0</v>
      </c>
      <c r="CW199" s="561">
        <v>0</v>
      </c>
      <c r="CX199" s="561">
        <v>0</v>
      </c>
      <c r="CY199" s="561">
        <v>0</v>
      </c>
      <c r="CZ199" s="561">
        <v>0</v>
      </c>
      <c r="DA199" s="561">
        <v>0</v>
      </c>
      <c r="DB199" s="561">
        <v>0</v>
      </c>
      <c r="DC199" s="561">
        <v>0</v>
      </c>
      <c r="DD199" s="561">
        <v>0</v>
      </c>
      <c r="DE199" s="561">
        <v>0</v>
      </c>
      <c r="DF199" s="561">
        <v>0</v>
      </c>
      <c r="DG199" s="561">
        <v>0</v>
      </c>
      <c r="DH199" s="561">
        <v>0</v>
      </c>
      <c r="DI199" s="561">
        <v>0</v>
      </c>
      <c r="DJ199" s="561">
        <v>0</v>
      </c>
      <c r="DK199" s="561">
        <v>0</v>
      </c>
      <c r="DL199" s="561">
        <v>0</v>
      </c>
      <c r="DM199" s="561">
        <v>0</v>
      </c>
      <c r="DN199" s="561">
        <v>0</v>
      </c>
      <c r="DO199" s="561">
        <v>0</v>
      </c>
      <c r="DP199" s="561">
        <v>0</v>
      </c>
      <c r="DQ199" s="561">
        <v>0</v>
      </c>
      <c r="DR199" s="561">
        <v>0</v>
      </c>
      <c r="DS199" s="561">
        <v>0</v>
      </c>
      <c r="DT199" s="561">
        <v>0</v>
      </c>
      <c r="DU199" s="561">
        <v>0</v>
      </c>
      <c r="DV199" s="561">
        <v>0</v>
      </c>
      <c r="DW199" s="561">
        <v>0</v>
      </c>
      <c r="DX199" s="561">
        <v>0</v>
      </c>
      <c r="DY199" s="561">
        <v>0</v>
      </c>
      <c r="DZ199" s="561">
        <v>0</v>
      </c>
      <c r="EA199" s="561">
        <v>0</v>
      </c>
      <c r="EB199" s="561">
        <v>0</v>
      </c>
      <c r="EC199" s="561">
        <v>0</v>
      </c>
      <c r="ED199" s="561">
        <v>0</v>
      </c>
      <c r="EE199" s="561">
        <v>0</v>
      </c>
      <c r="EF199" s="561">
        <v>0</v>
      </c>
      <c r="EG199" s="561">
        <v>0</v>
      </c>
      <c r="EH199" s="561">
        <v>0</v>
      </c>
      <c r="EI199" s="561">
        <v>0</v>
      </c>
      <c r="EJ199" s="561">
        <v>0</v>
      </c>
      <c r="EK199" s="561">
        <v>0</v>
      </c>
      <c r="EL199" s="561">
        <v>0</v>
      </c>
      <c r="EM199" s="561">
        <v>0</v>
      </c>
      <c r="EN199" s="561">
        <v>0</v>
      </c>
      <c r="EO199" s="561">
        <v>0</v>
      </c>
      <c r="EP199" s="561">
        <v>0</v>
      </c>
      <c r="EQ199" s="561">
        <v>0</v>
      </c>
      <c r="ER199" s="561">
        <v>0</v>
      </c>
      <c r="ES199" s="561" t="s">
        <v>4565</v>
      </c>
      <c r="ET199" s="561">
        <v>0</v>
      </c>
      <c r="EU199" s="561">
        <v>0</v>
      </c>
      <c r="EV199" s="561">
        <v>0</v>
      </c>
      <c r="EW199" s="561">
        <v>0</v>
      </c>
      <c r="EX199" s="561">
        <v>0</v>
      </c>
      <c r="EY199" s="561">
        <v>0</v>
      </c>
      <c r="EZ199" s="561">
        <v>0</v>
      </c>
      <c r="FA199" s="561">
        <v>0</v>
      </c>
      <c r="FB199" s="561">
        <v>0</v>
      </c>
      <c r="FC199" s="561">
        <v>0</v>
      </c>
      <c r="FD199" s="561">
        <v>30</v>
      </c>
      <c r="FE199" s="561">
        <v>0</v>
      </c>
      <c r="FF199" s="561">
        <v>0</v>
      </c>
      <c r="FG199" s="561">
        <v>0</v>
      </c>
      <c r="FH199" s="561">
        <v>0</v>
      </c>
      <c r="FI199" s="561">
        <v>66</v>
      </c>
      <c r="FJ199" s="561">
        <v>2016</v>
      </c>
      <c r="FK199" s="561">
        <v>216</v>
      </c>
      <c r="FL199" s="561">
        <v>0</v>
      </c>
      <c r="FM199" s="561">
        <v>60</v>
      </c>
      <c r="FN199" s="561">
        <v>0</v>
      </c>
      <c r="FO199" s="561">
        <v>2388</v>
      </c>
      <c r="FP199" s="561">
        <v>0</v>
      </c>
      <c r="FQ199" s="561">
        <v>0</v>
      </c>
      <c r="FR199" s="561">
        <v>0</v>
      </c>
      <c r="FS199" s="561">
        <v>0</v>
      </c>
      <c r="FT199" s="561">
        <v>0</v>
      </c>
      <c r="FU199" s="561">
        <v>0</v>
      </c>
      <c r="FV199" s="561">
        <v>0</v>
      </c>
      <c r="FW199" s="561">
        <v>0</v>
      </c>
      <c r="FX199" s="561">
        <v>0</v>
      </c>
      <c r="FY199" s="561">
        <v>0</v>
      </c>
      <c r="FZ199" s="561">
        <v>0</v>
      </c>
      <c r="GA199" s="561">
        <v>0</v>
      </c>
      <c r="GB199" s="561">
        <v>0</v>
      </c>
      <c r="GC199" s="561">
        <v>0</v>
      </c>
      <c r="GD199" s="561">
        <v>0</v>
      </c>
      <c r="GE199" s="561">
        <v>0</v>
      </c>
      <c r="GF199" s="561">
        <v>0</v>
      </c>
      <c r="GG199" s="561">
        <v>0</v>
      </c>
      <c r="GH199" s="561">
        <v>0</v>
      </c>
      <c r="GI199" s="561">
        <v>0</v>
      </c>
      <c r="GJ199" s="561">
        <v>0</v>
      </c>
      <c r="GK199" s="561">
        <v>120</v>
      </c>
      <c r="GL199" s="561">
        <v>0</v>
      </c>
      <c r="GM199" s="561">
        <v>0</v>
      </c>
      <c r="GN199" s="561">
        <v>0</v>
      </c>
      <c r="GO199" s="561">
        <v>0</v>
      </c>
      <c r="GP199" s="561">
        <v>0</v>
      </c>
      <c r="GQ199" s="561">
        <v>0</v>
      </c>
      <c r="GR199" s="561">
        <v>0</v>
      </c>
      <c r="GS199" s="561">
        <v>120</v>
      </c>
      <c r="GT199" s="561">
        <v>0</v>
      </c>
      <c r="GU199" s="561">
        <v>0</v>
      </c>
      <c r="GV199" s="561">
        <v>0</v>
      </c>
      <c r="GW199" s="561">
        <v>0</v>
      </c>
      <c r="GX199" s="561">
        <v>109</v>
      </c>
      <c r="GY199" s="561">
        <v>0</v>
      </c>
      <c r="GZ199" s="561">
        <v>0</v>
      </c>
      <c r="HA199" s="561">
        <v>0</v>
      </c>
      <c r="HB199" s="561">
        <v>0</v>
      </c>
      <c r="HC199" s="561">
        <v>0</v>
      </c>
      <c r="HD199" s="561">
        <v>109</v>
      </c>
      <c r="HE199" s="561">
        <v>0</v>
      </c>
      <c r="HF199" s="561">
        <v>2617</v>
      </c>
      <c r="HG199" s="561">
        <v>0</v>
      </c>
      <c r="HH199" s="561">
        <v>0</v>
      </c>
      <c r="HI199" s="561">
        <v>0</v>
      </c>
      <c r="HJ199" s="561">
        <v>0</v>
      </c>
      <c r="HK199" s="561">
        <v>0</v>
      </c>
      <c r="HL199" s="561">
        <v>0</v>
      </c>
      <c r="HM199" s="561">
        <v>0</v>
      </c>
      <c r="HN199" s="561">
        <v>0</v>
      </c>
      <c r="HO199" s="561">
        <v>197</v>
      </c>
      <c r="HP199" s="561">
        <v>0</v>
      </c>
      <c r="HQ199" s="561">
        <v>0</v>
      </c>
      <c r="HR199" s="561">
        <v>0</v>
      </c>
      <c r="HS199" s="561">
        <v>0</v>
      </c>
      <c r="HT199" s="561">
        <v>0</v>
      </c>
      <c r="HU199" s="561">
        <v>0</v>
      </c>
      <c r="HV199" s="561">
        <v>0</v>
      </c>
      <c r="HW199" s="561">
        <v>0</v>
      </c>
      <c r="HX199" s="561">
        <v>0</v>
      </c>
      <c r="HY199" s="561">
        <v>0</v>
      </c>
      <c r="HZ199" s="561">
        <v>0</v>
      </c>
      <c r="IA199" s="561">
        <v>0</v>
      </c>
      <c r="IB199" s="561">
        <v>0</v>
      </c>
      <c r="IC199" s="561">
        <v>0</v>
      </c>
      <c r="ID199" s="561">
        <v>0</v>
      </c>
      <c r="IE199" s="561">
        <v>58</v>
      </c>
      <c r="IF199" s="561">
        <v>0</v>
      </c>
      <c r="IG199" s="561">
        <v>0</v>
      </c>
      <c r="IH199" s="561">
        <v>5352</v>
      </c>
      <c r="II199" s="561">
        <v>5607</v>
      </c>
      <c r="IJ199" s="561">
        <v>123</v>
      </c>
      <c r="IK199" s="561">
        <v>0</v>
      </c>
      <c r="IL199" s="561">
        <v>0</v>
      </c>
      <c r="IM199" s="561">
        <v>0</v>
      </c>
      <c r="IN199" s="561">
        <v>0</v>
      </c>
      <c r="IO199" s="561">
        <v>0</v>
      </c>
      <c r="IP199" s="561">
        <v>0</v>
      </c>
      <c r="IQ199" s="561">
        <v>0</v>
      </c>
      <c r="IR199" s="561">
        <v>0</v>
      </c>
      <c r="IS199" s="561">
        <v>0</v>
      </c>
      <c r="IT199" s="561">
        <v>0</v>
      </c>
      <c r="IU199" s="561">
        <v>0</v>
      </c>
      <c r="IV199" s="561">
        <v>0</v>
      </c>
      <c r="IW199" s="561">
        <v>0</v>
      </c>
      <c r="IX199" s="561">
        <v>2388</v>
      </c>
      <c r="IY199" s="561">
        <v>120</v>
      </c>
      <c r="IZ199" s="561">
        <v>109</v>
      </c>
      <c r="JA199" s="561">
        <v>0</v>
      </c>
      <c r="JB199" s="561">
        <v>0</v>
      </c>
      <c r="JC199" s="561">
        <v>5607</v>
      </c>
      <c r="JD199" s="561">
        <v>0</v>
      </c>
      <c r="JE199" s="561">
        <v>8224</v>
      </c>
      <c r="JF199" s="561">
        <v>0</v>
      </c>
      <c r="JG199" s="561">
        <v>0</v>
      </c>
      <c r="JH199" s="561">
        <v>0</v>
      </c>
      <c r="JI199" s="561">
        <v>0</v>
      </c>
      <c r="JJ199" s="561">
        <v>0</v>
      </c>
      <c r="JK199" s="561">
        <v>0</v>
      </c>
      <c r="JL199" s="561">
        <v>0</v>
      </c>
      <c r="JM199" s="561">
        <v>0</v>
      </c>
      <c r="JN199" s="561">
        <v>0</v>
      </c>
      <c r="JO199" s="561">
        <v>-10966</v>
      </c>
      <c r="JP199" s="561">
        <v>0</v>
      </c>
      <c r="JQ199" s="561">
        <v>0</v>
      </c>
      <c r="JR199" s="561">
        <v>0</v>
      </c>
      <c r="JS199" s="561">
        <v>0</v>
      </c>
      <c r="JT199" s="561">
        <v>-62</v>
      </c>
      <c r="JU199" s="561">
        <v>0</v>
      </c>
      <c r="JV199" s="561">
        <v>-2804</v>
      </c>
      <c r="JW199" s="561">
        <v>0</v>
      </c>
      <c r="JX199" s="561">
        <v>71</v>
      </c>
      <c r="JY199" s="561">
        <v>0</v>
      </c>
      <c r="JZ199" s="561">
        <v>0</v>
      </c>
      <c r="KA199" s="561">
        <v>0</v>
      </c>
      <c r="KB199" s="561">
        <v>3</v>
      </c>
      <c r="KC199" s="561">
        <v>931</v>
      </c>
      <c r="KD199" s="561">
        <v>0</v>
      </c>
      <c r="KE199" s="561">
        <v>1127</v>
      </c>
      <c r="KF199" s="561">
        <v>0</v>
      </c>
      <c r="KG199" s="561">
        <v>-672</v>
      </c>
      <c r="KH199" s="561">
        <v>-487</v>
      </c>
      <c r="KI199" s="561">
        <v>0</v>
      </c>
      <c r="KJ199" s="561">
        <v>0</v>
      </c>
      <c r="KK199" s="561">
        <v>0</v>
      </c>
      <c r="KL199" s="561">
        <v>0</v>
      </c>
      <c r="KM199" s="561">
        <v>0</v>
      </c>
      <c r="KN199" s="561">
        <v>0</v>
      </c>
      <c r="KO199" s="561">
        <v>0</v>
      </c>
      <c r="KP199" s="561">
        <v>0</v>
      </c>
      <c r="KQ199" s="561">
        <v>0</v>
      </c>
      <c r="KR199" s="561">
        <v>-1159</v>
      </c>
      <c r="KS199" s="561">
        <v>0</v>
      </c>
      <c r="KT199" s="561">
        <v>0</v>
      </c>
      <c r="KU199" s="561">
        <v>-1159</v>
      </c>
      <c r="KV199" s="561">
        <v>0</v>
      </c>
      <c r="KW199" s="561">
        <v>0</v>
      </c>
      <c r="KX199" s="561">
        <v>0</v>
      </c>
      <c r="KY199" s="561">
        <v>0</v>
      </c>
      <c r="KZ199" s="561">
        <v>564</v>
      </c>
      <c r="LA199" s="561">
        <v>597</v>
      </c>
      <c r="LB199" s="561">
        <v>0</v>
      </c>
      <c r="LC199" s="561">
        <v>0</v>
      </c>
      <c r="LD199" s="561">
        <v>0</v>
      </c>
      <c r="LE199" s="561">
        <v>0</v>
      </c>
      <c r="LF199" s="561">
        <v>0</v>
      </c>
      <c r="LG199" s="561">
        <v>0</v>
      </c>
      <c r="LH199" s="561">
        <v>0</v>
      </c>
      <c r="LI199" s="561">
        <v>0</v>
      </c>
      <c r="LJ199" s="561">
        <v>0</v>
      </c>
      <c r="LK199" s="561">
        <v>0</v>
      </c>
      <c r="LL199" s="561">
        <v>1775</v>
      </c>
      <c r="LM199" s="561">
        <v>4991</v>
      </c>
      <c r="LN199" s="561">
        <v>0</v>
      </c>
      <c r="LO199" s="561">
        <v>0</v>
      </c>
      <c r="LP199" s="561">
        <v>0</v>
      </c>
      <c r="LQ199" s="561">
        <v>0</v>
      </c>
      <c r="LR199" s="561">
        <v>2339</v>
      </c>
      <c r="LS199" s="561">
        <v>5588</v>
      </c>
      <c r="LT199" s="561">
        <v>0</v>
      </c>
      <c r="LU199" s="561">
        <v>4204</v>
      </c>
      <c r="LV199" s="561">
        <v>1206</v>
      </c>
      <c r="LW199" s="561">
        <v>0</v>
      </c>
      <c r="LX199" s="561">
        <v>0</v>
      </c>
      <c r="LY199" s="561">
        <v>0</v>
      </c>
      <c r="LZ199" s="561">
        <v>5234</v>
      </c>
      <c r="MA199" s="561">
        <v>0</v>
      </c>
      <c r="MB199" s="561">
        <v>0</v>
      </c>
      <c r="MC199" s="561">
        <v>0</v>
      </c>
      <c r="MD199" s="561">
        <v>0</v>
      </c>
      <c r="ME199" s="561">
        <v>0</v>
      </c>
      <c r="MF199" s="561">
        <v>0</v>
      </c>
      <c r="MG199" s="561">
        <v>0</v>
      </c>
      <c r="MH199" s="561">
        <v>0</v>
      </c>
      <c r="MI199" s="561">
        <v>0</v>
      </c>
      <c r="MJ199" s="561">
        <v>0</v>
      </c>
      <c r="MK199" s="561">
        <v>0</v>
      </c>
      <c r="ML199" s="561">
        <v>0</v>
      </c>
      <c r="MM199" s="561">
        <v>2339</v>
      </c>
      <c r="MN199" s="561">
        <v>0</v>
      </c>
      <c r="MO199" s="561">
        <v>0</v>
      </c>
      <c r="MP199" s="561">
        <v>0</v>
      </c>
      <c r="MQ199" s="561">
        <v>0</v>
      </c>
      <c r="MR199" s="561">
        <v>0</v>
      </c>
      <c r="MS199" s="561">
        <v>0</v>
      </c>
      <c r="MT199" s="561">
        <v>0</v>
      </c>
      <c r="MU199" s="561">
        <v>0</v>
      </c>
      <c r="MV199" s="561">
        <v>0</v>
      </c>
      <c r="MW199" s="561">
        <v>2388</v>
      </c>
      <c r="MX199" s="561">
        <v>120</v>
      </c>
      <c r="MY199" s="561">
        <v>109</v>
      </c>
      <c r="MZ199" s="561">
        <v>0</v>
      </c>
      <c r="NA199" s="561">
        <v>0</v>
      </c>
      <c r="NB199" s="561">
        <v>5607</v>
      </c>
      <c r="NC199" s="561">
        <v>0</v>
      </c>
      <c r="ND199" s="561">
        <v>8224</v>
      </c>
      <c r="NE199" s="561">
        <v>0</v>
      </c>
      <c r="NF199" s="561">
        <v>0</v>
      </c>
      <c r="NG199" s="561">
        <v>0</v>
      </c>
      <c r="NH199" s="561">
        <v>0</v>
      </c>
      <c r="NI199" s="561">
        <v>0</v>
      </c>
      <c r="NJ199" s="561">
        <v>0</v>
      </c>
      <c r="NK199" s="561">
        <v>0</v>
      </c>
      <c r="NL199" s="561">
        <v>0</v>
      </c>
      <c r="NM199" s="561">
        <v>0</v>
      </c>
      <c r="NN199" s="561">
        <v>0</v>
      </c>
      <c r="NO199" s="561">
        <v>0</v>
      </c>
      <c r="NP199" s="561">
        <v>0</v>
      </c>
      <c r="NQ199" s="561">
        <v>0</v>
      </c>
      <c r="NR199" s="561">
        <v>0</v>
      </c>
      <c r="NS199" s="561">
        <v>0</v>
      </c>
      <c r="NT199" s="561">
        <v>0</v>
      </c>
      <c r="NU199" s="561">
        <v>0</v>
      </c>
      <c r="NV199" s="561">
        <v>0</v>
      </c>
      <c r="NW199" s="561">
        <v>0</v>
      </c>
      <c r="NX199" s="561">
        <v>0</v>
      </c>
      <c r="NY199" s="561">
        <v>0</v>
      </c>
      <c r="NZ199" s="561">
        <v>0</v>
      </c>
      <c r="OA199" s="561">
        <v>0</v>
      </c>
      <c r="OB199" s="561">
        <v>0</v>
      </c>
      <c r="OC199" s="561">
        <v>0</v>
      </c>
      <c r="OD199" s="561">
        <v>0</v>
      </c>
      <c r="OE199" s="561">
        <v>0</v>
      </c>
      <c r="OF199" s="561">
        <v>0</v>
      </c>
      <c r="OG199" s="561">
        <v>0</v>
      </c>
      <c r="OH199" s="561">
        <v>0</v>
      </c>
      <c r="OI199" s="561">
        <v>0</v>
      </c>
      <c r="OJ199" s="561">
        <v>0</v>
      </c>
      <c r="OK199" s="561">
        <v>0</v>
      </c>
      <c r="OL199" s="561">
        <v>0</v>
      </c>
      <c r="OM199" s="561">
        <v>0</v>
      </c>
      <c r="ON199" s="561">
        <v>0</v>
      </c>
      <c r="OO199" s="561">
        <v>0</v>
      </c>
      <c r="OP199" s="561">
        <v>0</v>
      </c>
      <c r="OQ199" s="561">
        <v>0</v>
      </c>
      <c r="OR199" s="561">
        <v>0</v>
      </c>
      <c r="OS199" s="561">
        <v>0</v>
      </c>
      <c r="OT199" s="561">
        <v>0</v>
      </c>
      <c r="OU199" s="561">
        <v>0</v>
      </c>
      <c r="OV199" s="561">
        <v>0</v>
      </c>
      <c r="OW199" s="561">
        <v>0</v>
      </c>
      <c r="OX199" s="561">
        <v>0</v>
      </c>
      <c r="OY199" s="561">
        <v>0</v>
      </c>
      <c r="OZ199" s="561">
        <v>0</v>
      </c>
      <c r="PA199" s="561">
        <v>0</v>
      </c>
      <c r="PB199" s="561">
        <v>0</v>
      </c>
      <c r="PC199" s="561">
        <v>0</v>
      </c>
      <c r="PD199" s="561">
        <v>0</v>
      </c>
      <c r="PE199" s="561">
        <v>0</v>
      </c>
      <c r="PF199" s="561">
        <v>0</v>
      </c>
      <c r="PG199" s="561">
        <v>0</v>
      </c>
      <c r="PH199" s="561">
        <v>0</v>
      </c>
      <c r="PI199" s="561">
        <v>0</v>
      </c>
      <c r="PJ199" s="561">
        <v>0</v>
      </c>
    </row>
    <row r="200" spans="1:426" ht="14" x14ac:dyDescent="0.3">
      <c r="A200" t="s">
        <v>3040</v>
      </c>
      <c r="B200" t="s">
        <v>3041</v>
      </c>
      <c r="C200" t="s">
        <v>3042</v>
      </c>
      <c r="E200" t="s">
        <v>379</v>
      </c>
      <c r="F200" s="561">
        <v>77652</v>
      </c>
      <c r="G200" s="561">
        <v>426949</v>
      </c>
      <c r="H200" s="561">
        <v>146205</v>
      </c>
      <c r="I200" s="561">
        <v>18508</v>
      </c>
      <c r="J200" s="561">
        <v>235</v>
      </c>
      <c r="K200" s="561">
        <v>68707</v>
      </c>
      <c r="L200" s="561">
        <v>738256</v>
      </c>
      <c r="M200" s="561">
        <v>15902</v>
      </c>
      <c r="N200" s="561">
        <v>1891</v>
      </c>
      <c r="O200" s="561">
        <v>0</v>
      </c>
      <c r="P200" s="561">
        <v>0</v>
      </c>
      <c r="Q200" s="561">
        <v>0</v>
      </c>
      <c r="R200" s="561">
        <v>-676</v>
      </c>
      <c r="S200" s="561">
        <v>1036</v>
      </c>
      <c r="T200" s="561">
        <v>1818</v>
      </c>
      <c r="U200" s="561">
        <v>1489</v>
      </c>
      <c r="V200" s="561">
        <v>21658</v>
      </c>
      <c r="W200" s="561">
        <v>0</v>
      </c>
      <c r="X200" s="561">
        <v>-483</v>
      </c>
      <c r="Y200" s="561">
        <v>407</v>
      </c>
      <c r="Z200" s="561">
        <v>3460</v>
      </c>
      <c r="AA200" s="561">
        <v>-5765</v>
      </c>
      <c r="AB200" s="561">
        <v>-1759</v>
      </c>
      <c r="AC200" s="561">
        <v>0</v>
      </c>
      <c r="AD200" s="561">
        <v>0</v>
      </c>
      <c r="AE200" s="561">
        <v>0</v>
      </c>
      <c r="AF200" s="561">
        <v>0</v>
      </c>
      <c r="AG200" s="561">
        <v>0</v>
      </c>
      <c r="AH200" s="561">
        <v>0</v>
      </c>
      <c r="AI200" s="561">
        <v>0</v>
      </c>
      <c r="AJ200" s="561">
        <v>23076</v>
      </c>
      <c r="AK200" s="561">
        <v>257</v>
      </c>
      <c r="AL200" s="561">
        <v>0</v>
      </c>
      <c r="AM200" s="561">
        <v>0</v>
      </c>
      <c r="AN200" s="561">
        <v>0</v>
      </c>
      <c r="AO200" s="561">
        <v>0</v>
      </c>
      <c r="AP200" s="561">
        <v>0</v>
      </c>
      <c r="AQ200" s="561">
        <v>0</v>
      </c>
      <c r="AR200" s="561">
        <v>0</v>
      </c>
      <c r="AS200" s="561">
        <v>8638</v>
      </c>
      <c r="AT200" s="561">
        <v>357</v>
      </c>
      <c r="AU200" s="561">
        <v>0</v>
      </c>
      <c r="AV200" s="561">
        <v>0</v>
      </c>
      <c r="AW200" s="561">
        <v>0</v>
      </c>
      <c r="AX200" s="561">
        <v>9031</v>
      </c>
      <c r="AY200" s="561">
        <v>142183</v>
      </c>
      <c r="AZ200" s="561">
        <v>871</v>
      </c>
      <c r="BA200" s="561">
        <v>17573</v>
      </c>
      <c r="BB200" s="561">
        <v>2091</v>
      </c>
      <c r="BC200" s="561">
        <v>72950</v>
      </c>
      <c r="BD200" s="561">
        <v>7820</v>
      </c>
      <c r="BE200" s="561">
        <v>4138</v>
      </c>
      <c r="BF200" s="561">
        <v>256657</v>
      </c>
      <c r="BG200" s="561">
        <v>3986</v>
      </c>
      <c r="BH200" s="561">
        <v>24055</v>
      </c>
      <c r="BI200" s="561">
        <v>58893</v>
      </c>
      <c r="BJ200" s="561">
        <v>619</v>
      </c>
      <c r="BK200" s="561">
        <v>458</v>
      </c>
      <c r="BL200" s="561">
        <v>4218</v>
      </c>
      <c r="BM200" s="561">
        <v>32517</v>
      </c>
      <c r="BN200" s="561">
        <v>109117</v>
      </c>
      <c r="BO200" s="561">
        <v>17485</v>
      </c>
      <c r="BP200" s="561">
        <v>27808</v>
      </c>
      <c r="BQ200" s="561">
        <v>9648</v>
      </c>
      <c r="BR200" s="561">
        <v>677</v>
      </c>
      <c r="BS200" s="561">
        <v>140</v>
      </c>
      <c r="BT200" s="561">
        <v>523</v>
      </c>
      <c r="BU200" s="561">
        <v>2016</v>
      </c>
      <c r="BV200" s="561">
        <v>1874</v>
      </c>
      <c r="BW200" s="561">
        <v>34017</v>
      </c>
      <c r="BX200" s="561">
        <v>6953</v>
      </c>
      <c r="BY200" s="561">
        <v>-8285</v>
      </c>
      <c r="BZ200" s="561">
        <v>322733</v>
      </c>
      <c r="CA200" s="561">
        <v>4547</v>
      </c>
      <c r="CB200" s="561">
        <v>3280</v>
      </c>
      <c r="CC200" s="561">
        <v>3911</v>
      </c>
      <c r="CD200" s="561">
        <v>2037</v>
      </c>
      <c r="CE200" s="561">
        <v>987</v>
      </c>
      <c r="CF200" s="561">
        <v>1928</v>
      </c>
      <c r="CG200" s="561">
        <v>53</v>
      </c>
      <c r="CH200" s="561">
        <v>113</v>
      </c>
      <c r="CI200" s="561">
        <v>460</v>
      </c>
      <c r="CJ200" s="561">
        <v>620</v>
      </c>
      <c r="CK200" s="561">
        <v>586</v>
      </c>
      <c r="CL200" s="561">
        <v>78</v>
      </c>
      <c r="CM200" s="561">
        <v>8300</v>
      </c>
      <c r="CN200" s="561">
        <v>6620</v>
      </c>
      <c r="CO200" s="561">
        <v>2934</v>
      </c>
      <c r="CP200" s="561">
        <v>2000</v>
      </c>
      <c r="CQ200" s="561">
        <v>1341</v>
      </c>
      <c r="CR200" s="561">
        <v>1309</v>
      </c>
      <c r="CS200" s="561">
        <v>141</v>
      </c>
      <c r="CT200" s="561">
        <v>3256</v>
      </c>
      <c r="CU200" s="561">
        <v>10676</v>
      </c>
      <c r="CV200" s="561">
        <v>1804</v>
      </c>
      <c r="CW200" s="561">
        <v>0</v>
      </c>
      <c r="CX200" s="561">
        <v>1712</v>
      </c>
      <c r="CY200" s="561">
        <v>7281</v>
      </c>
      <c r="CZ200" s="561">
        <v>61427</v>
      </c>
      <c r="DA200" s="561">
        <v>14</v>
      </c>
      <c r="DB200" s="561">
        <v>0</v>
      </c>
      <c r="DC200" s="561">
        <v>0</v>
      </c>
      <c r="DD200" s="561">
        <v>0</v>
      </c>
      <c r="DE200" s="561">
        <v>0</v>
      </c>
      <c r="DF200" s="561">
        <v>0</v>
      </c>
      <c r="DG200" s="561">
        <v>0</v>
      </c>
      <c r="DH200" s="561">
        <v>2578</v>
      </c>
      <c r="DI200" s="561">
        <v>0</v>
      </c>
      <c r="DJ200" s="561">
        <v>0</v>
      </c>
      <c r="DK200" s="561">
        <v>468</v>
      </c>
      <c r="DL200" s="561">
        <v>0</v>
      </c>
      <c r="DM200" s="561">
        <v>0</v>
      </c>
      <c r="DN200" s="561">
        <v>0</v>
      </c>
      <c r="DO200" s="561">
        <v>0</v>
      </c>
      <c r="DP200" s="561">
        <v>0</v>
      </c>
      <c r="DQ200" s="561">
        <v>0</v>
      </c>
      <c r="DR200" s="561">
        <v>0</v>
      </c>
      <c r="DS200" s="561">
        <v>0</v>
      </c>
      <c r="DT200" s="561">
        <v>7945</v>
      </c>
      <c r="DU200" s="561">
        <v>7945</v>
      </c>
      <c r="DV200" s="561">
        <v>-1833</v>
      </c>
      <c r="DW200" s="561">
        <v>0</v>
      </c>
      <c r="DX200" s="561">
        <v>0</v>
      </c>
      <c r="DY200" s="561">
        <v>2186</v>
      </c>
      <c r="DZ200" s="561">
        <v>-20</v>
      </c>
      <c r="EA200" s="561">
        <v>8192</v>
      </c>
      <c r="EB200" s="561">
        <v>496</v>
      </c>
      <c r="EC200" s="561">
        <v>20012</v>
      </c>
      <c r="ED200" s="561">
        <v>0</v>
      </c>
      <c r="EE200" s="561">
        <v>246158</v>
      </c>
      <c r="EF200" s="561">
        <v>4037</v>
      </c>
      <c r="EG200" s="561">
        <v>11135</v>
      </c>
      <c r="EH200" s="561">
        <v>1669</v>
      </c>
      <c r="EI200" s="561">
        <v>21558</v>
      </c>
      <c r="EJ200" s="561">
        <v>4438</v>
      </c>
      <c r="EK200" s="561">
        <v>0</v>
      </c>
      <c r="EL200" s="561">
        <v>0</v>
      </c>
      <c r="EM200" s="561">
        <v>0</v>
      </c>
      <c r="EN200" s="561">
        <v>86405</v>
      </c>
      <c r="EO200" s="561">
        <v>61360</v>
      </c>
      <c r="EP200" s="561">
        <v>20716</v>
      </c>
      <c r="EQ200" s="561">
        <v>3065</v>
      </c>
      <c r="ER200" s="561">
        <v>219</v>
      </c>
      <c r="ES200" s="561" t="s">
        <v>4565</v>
      </c>
      <c r="ET200" s="561">
        <v>38426</v>
      </c>
      <c r="EU200" s="561">
        <v>4187</v>
      </c>
      <c r="EV200" s="561">
        <v>202</v>
      </c>
      <c r="EW200" s="561">
        <v>34425</v>
      </c>
      <c r="EX200" s="561">
        <v>36146</v>
      </c>
      <c r="EY200" s="561">
        <v>2031</v>
      </c>
      <c r="EZ200" s="561">
        <v>1813</v>
      </c>
      <c r="FA200" s="561">
        <v>17438</v>
      </c>
      <c r="FB200" s="561">
        <v>576</v>
      </c>
      <c r="FC200" s="561">
        <v>3944</v>
      </c>
      <c r="FD200" s="561">
        <v>0</v>
      </c>
      <c r="FE200" s="561">
        <v>8352</v>
      </c>
      <c r="FF200" s="561">
        <v>2074</v>
      </c>
      <c r="FG200" s="561">
        <v>94</v>
      </c>
      <c r="FH200" s="561">
        <v>10</v>
      </c>
      <c r="FI200" s="561">
        <v>1260</v>
      </c>
      <c r="FJ200" s="561">
        <v>15472</v>
      </c>
      <c r="FK200" s="561">
        <v>16388</v>
      </c>
      <c r="FL200" s="561">
        <v>-49</v>
      </c>
      <c r="FM200" s="561">
        <v>910</v>
      </c>
      <c r="FN200" s="561">
        <v>10085</v>
      </c>
      <c r="FO200" s="561">
        <v>59116</v>
      </c>
      <c r="FP200" s="561">
        <v>0</v>
      </c>
      <c r="FQ200" s="561">
        <v>-3612</v>
      </c>
      <c r="FR200" s="561">
        <v>1069</v>
      </c>
      <c r="FS200" s="561">
        <v>0</v>
      </c>
      <c r="FT200" s="561">
        <v>60</v>
      </c>
      <c r="FU200" s="561">
        <v>14232</v>
      </c>
      <c r="FV200" s="561">
        <v>497</v>
      </c>
      <c r="FW200" s="561">
        <v>889</v>
      </c>
      <c r="FX200" s="561">
        <v>0</v>
      </c>
      <c r="FY200" s="561">
        <v>0</v>
      </c>
      <c r="FZ200" s="561">
        <v>43</v>
      </c>
      <c r="GA200" s="561">
        <v>29</v>
      </c>
      <c r="GB200" s="561">
        <v>282</v>
      </c>
      <c r="GC200" s="561">
        <v>916</v>
      </c>
      <c r="GD200" s="561">
        <v>8998</v>
      </c>
      <c r="GE200" s="561">
        <v>0</v>
      </c>
      <c r="GF200" s="561">
        <v>1945</v>
      </c>
      <c r="GG200" s="561">
        <v>758</v>
      </c>
      <c r="GH200" s="561">
        <v>758</v>
      </c>
      <c r="GI200" s="561">
        <v>0</v>
      </c>
      <c r="GJ200" s="561">
        <v>0</v>
      </c>
      <c r="GK200" s="561">
        <v>0</v>
      </c>
      <c r="GL200" s="561">
        <v>5346</v>
      </c>
      <c r="GM200" s="561">
        <v>17354</v>
      </c>
      <c r="GN200" s="561">
        <v>23918</v>
      </c>
      <c r="GO200" s="561">
        <v>0</v>
      </c>
      <c r="GP200" s="561">
        <v>19892</v>
      </c>
      <c r="GQ200" s="561">
        <v>60</v>
      </c>
      <c r="GR200" s="561">
        <v>961</v>
      </c>
      <c r="GS200" s="561">
        <v>94395</v>
      </c>
      <c r="GT200" s="561">
        <v>716</v>
      </c>
      <c r="GU200" s="561">
        <v>543</v>
      </c>
      <c r="GV200" s="561">
        <v>4233</v>
      </c>
      <c r="GW200" s="561">
        <v>65</v>
      </c>
      <c r="GX200" s="561">
        <v>1269</v>
      </c>
      <c r="GY200" s="561">
        <v>162</v>
      </c>
      <c r="GZ200" s="561">
        <v>8558</v>
      </c>
      <c r="HA200" s="561">
        <v>0</v>
      </c>
      <c r="HB200" s="561">
        <v>0</v>
      </c>
      <c r="HC200" s="561">
        <v>4438</v>
      </c>
      <c r="HD200" s="561">
        <v>19268</v>
      </c>
      <c r="HE200" s="561">
        <v>43</v>
      </c>
      <c r="HF200" s="561">
        <v>172779</v>
      </c>
      <c r="HG200" s="561">
        <v>0</v>
      </c>
      <c r="HH200" s="561">
        <v>0</v>
      </c>
      <c r="HI200" s="561">
        <v>0</v>
      </c>
      <c r="HJ200" s="561">
        <v>0</v>
      </c>
      <c r="HK200" s="561">
        <v>0</v>
      </c>
      <c r="HL200" s="561">
        <v>0</v>
      </c>
      <c r="HM200" s="561">
        <v>0</v>
      </c>
      <c r="HN200" s="561">
        <v>0</v>
      </c>
      <c r="HO200" s="561">
        <v>15045</v>
      </c>
      <c r="HP200" s="561">
        <v>1638</v>
      </c>
      <c r="HQ200" s="561">
        <v>0</v>
      </c>
      <c r="HR200" s="561">
        <v>0</v>
      </c>
      <c r="HS200" s="561">
        <v>728</v>
      </c>
      <c r="HT200" s="561">
        <v>-300</v>
      </c>
      <c r="HU200" s="561">
        <v>0</v>
      </c>
      <c r="HV200" s="561">
        <v>-620</v>
      </c>
      <c r="HW200" s="561">
        <v>284</v>
      </c>
      <c r="HX200" s="561">
        <v>3563</v>
      </c>
      <c r="HY200" s="561">
        <v>322</v>
      </c>
      <c r="HZ200" s="561">
        <v>6</v>
      </c>
      <c r="IA200" s="561">
        <v>12597</v>
      </c>
      <c r="IB200" s="561">
        <v>1281</v>
      </c>
      <c r="IC200" s="561">
        <v>1828</v>
      </c>
      <c r="ID200" s="561">
        <v>10</v>
      </c>
      <c r="IE200" s="561">
        <v>25463</v>
      </c>
      <c r="IF200" s="561">
        <v>0</v>
      </c>
      <c r="IG200" s="561">
        <v>0</v>
      </c>
      <c r="IH200" s="561">
        <v>-8111</v>
      </c>
      <c r="II200" s="561">
        <v>53734</v>
      </c>
      <c r="IJ200" s="561">
        <v>2710</v>
      </c>
      <c r="IK200" s="561">
        <v>0</v>
      </c>
      <c r="IL200" s="561">
        <v>54519</v>
      </c>
      <c r="IM200" s="561">
        <v>0</v>
      </c>
      <c r="IN200" s="561">
        <v>85928</v>
      </c>
      <c r="IO200" s="561">
        <v>8420</v>
      </c>
      <c r="IP200" s="561">
        <v>-17795</v>
      </c>
      <c r="IQ200" s="561">
        <v>0</v>
      </c>
      <c r="IR200" s="561">
        <v>738256</v>
      </c>
      <c r="IS200" s="561">
        <v>23076</v>
      </c>
      <c r="IT200" s="561">
        <v>256657</v>
      </c>
      <c r="IU200" s="561">
        <v>322733</v>
      </c>
      <c r="IV200" s="561">
        <v>61427</v>
      </c>
      <c r="IW200" s="561">
        <v>20012</v>
      </c>
      <c r="IX200" s="561">
        <v>59116</v>
      </c>
      <c r="IY200" s="561">
        <v>94395</v>
      </c>
      <c r="IZ200" s="561">
        <v>19268</v>
      </c>
      <c r="JA200" s="561">
        <v>0</v>
      </c>
      <c r="JB200" s="561">
        <v>0</v>
      </c>
      <c r="JC200" s="561">
        <v>53734</v>
      </c>
      <c r="JD200" s="561">
        <v>-17795</v>
      </c>
      <c r="JE200" s="561">
        <v>1630879</v>
      </c>
      <c r="JF200" s="561">
        <v>98982</v>
      </c>
      <c r="JG200" s="561">
        <v>5928</v>
      </c>
      <c r="JH200" s="561">
        <v>64749</v>
      </c>
      <c r="JI200" s="561">
        <v>0</v>
      </c>
      <c r="JJ200" s="561">
        <v>0</v>
      </c>
      <c r="JK200" s="561">
        <v>2573</v>
      </c>
      <c r="JL200" s="561">
        <v>33483</v>
      </c>
      <c r="JM200" s="561">
        <v>0</v>
      </c>
      <c r="JN200" s="561">
        <v>0</v>
      </c>
      <c r="JO200" s="561">
        <v>0</v>
      </c>
      <c r="JP200" s="561">
        <v>-1839</v>
      </c>
      <c r="JQ200" s="561">
        <v>4947</v>
      </c>
      <c r="JR200" s="561">
        <v>-291</v>
      </c>
      <c r="JS200" s="561">
        <v>-6641</v>
      </c>
      <c r="JT200" s="561">
        <v>0</v>
      </c>
      <c r="JU200" s="561">
        <v>0</v>
      </c>
      <c r="JV200" s="561">
        <v>1832770</v>
      </c>
      <c r="JW200" s="561">
        <v>452</v>
      </c>
      <c r="JX200" s="561">
        <v>5</v>
      </c>
      <c r="JY200" s="561">
        <v>0</v>
      </c>
      <c r="JZ200" s="561">
        <v>-500</v>
      </c>
      <c r="KA200" s="561">
        <v>0</v>
      </c>
      <c r="KB200" s="561">
        <v>1614</v>
      </c>
      <c r="KC200" s="561">
        <v>56769</v>
      </c>
      <c r="KD200" s="561">
        <v>1156</v>
      </c>
      <c r="KE200" s="561">
        <v>91047</v>
      </c>
      <c r="KF200" s="561">
        <v>-30214</v>
      </c>
      <c r="KG200" s="561">
        <v>1953099</v>
      </c>
      <c r="KH200" s="561">
        <v>-5812</v>
      </c>
      <c r="KI200" s="561">
        <v>-28403</v>
      </c>
      <c r="KJ200" s="561">
        <v>0</v>
      </c>
      <c r="KK200" s="561">
        <v>0</v>
      </c>
      <c r="KL200" s="561">
        <v>-207070</v>
      </c>
      <c r="KM200" s="561">
        <v>0</v>
      </c>
      <c r="KN200" s="561">
        <v>-531</v>
      </c>
      <c r="KO200" s="561">
        <v>0</v>
      </c>
      <c r="KP200" s="561">
        <v>0</v>
      </c>
      <c r="KQ200" s="561">
        <v>-11220</v>
      </c>
      <c r="KR200" s="561">
        <v>1700063</v>
      </c>
      <c r="KS200" s="561">
        <v>0</v>
      </c>
      <c r="KT200" s="561">
        <v>-964582</v>
      </c>
      <c r="KU200" s="561">
        <v>735481</v>
      </c>
      <c r="KV200" s="561">
        <v>0</v>
      </c>
      <c r="KW200" s="561">
        <v>-7332</v>
      </c>
      <c r="KX200" s="561">
        <v>-8458</v>
      </c>
      <c r="KY200" s="561">
        <v>-2761</v>
      </c>
      <c r="KZ200" s="561">
        <v>-24030</v>
      </c>
      <c r="LA200" s="561">
        <v>0</v>
      </c>
      <c r="LB200" s="561">
        <v>-38893</v>
      </c>
      <c r="LC200" s="561">
        <v>0</v>
      </c>
      <c r="LD200" s="561">
        <v>-234446</v>
      </c>
      <c r="LE200" s="561">
        <v>1930</v>
      </c>
      <c r="LF200" s="561">
        <v>0</v>
      </c>
      <c r="LG200" s="561">
        <v>421491</v>
      </c>
      <c r="LH200" s="561">
        <v>20045</v>
      </c>
      <c r="LI200" s="561">
        <v>-2002</v>
      </c>
      <c r="LJ200" s="561">
        <v>8458</v>
      </c>
      <c r="LK200" s="561">
        <v>2871</v>
      </c>
      <c r="LL200" s="561">
        <v>82363</v>
      </c>
      <c r="LM200" s="561">
        <v>36248</v>
      </c>
      <c r="LN200" s="561">
        <v>12713</v>
      </c>
      <c r="LO200" s="561">
        <v>-13222</v>
      </c>
      <c r="LP200" s="561">
        <v>0</v>
      </c>
      <c r="LQ200" s="561">
        <v>110</v>
      </c>
      <c r="LR200" s="561">
        <v>58333</v>
      </c>
      <c r="LS200" s="561">
        <v>36248</v>
      </c>
      <c r="LT200" s="561">
        <v>0</v>
      </c>
      <c r="LU200" s="561">
        <v>116555</v>
      </c>
      <c r="LV200" s="561">
        <v>0</v>
      </c>
      <c r="LW200" s="561">
        <v>94556</v>
      </c>
      <c r="LX200" s="561">
        <v>-185008</v>
      </c>
      <c r="LY200" s="561">
        <v>55365</v>
      </c>
      <c r="LZ200" s="561">
        <v>76938</v>
      </c>
      <c r="MA200" s="561">
        <v>0</v>
      </c>
      <c r="MB200" s="561">
        <v>0</v>
      </c>
      <c r="MC200" s="561">
        <v>288995</v>
      </c>
      <c r="MD200" s="561">
        <v>287182</v>
      </c>
      <c r="ME200" s="561">
        <v>1813</v>
      </c>
      <c r="MF200" s="561">
        <v>17438</v>
      </c>
      <c r="MG200" s="561">
        <v>19251</v>
      </c>
      <c r="MH200" s="561">
        <v>21213</v>
      </c>
      <c r="MI200" s="561">
        <v>38720</v>
      </c>
      <c r="MJ200" s="561">
        <v>59933</v>
      </c>
      <c r="MK200" s="561">
        <v>73</v>
      </c>
      <c r="ML200" s="561">
        <v>0</v>
      </c>
      <c r="MM200" s="561">
        <v>57316</v>
      </c>
      <c r="MN200" s="561">
        <v>1017</v>
      </c>
      <c r="MO200" s="561">
        <v>0</v>
      </c>
      <c r="MP200" s="561">
        <v>0</v>
      </c>
      <c r="MQ200" s="561">
        <v>738256</v>
      </c>
      <c r="MR200" s="561">
        <v>23076</v>
      </c>
      <c r="MS200" s="561">
        <v>256657</v>
      </c>
      <c r="MT200" s="561">
        <v>322733</v>
      </c>
      <c r="MU200" s="561">
        <v>61427</v>
      </c>
      <c r="MV200" s="561">
        <v>20012</v>
      </c>
      <c r="MW200" s="561">
        <v>59116</v>
      </c>
      <c r="MX200" s="561">
        <v>94395</v>
      </c>
      <c r="MY200" s="561">
        <v>19268</v>
      </c>
      <c r="MZ200" s="561">
        <v>0</v>
      </c>
      <c r="NA200" s="561">
        <v>0</v>
      </c>
      <c r="NB200" s="561">
        <v>53734</v>
      </c>
      <c r="NC200" s="561">
        <v>-17795</v>
      </c>
      <c r="ND200" s="561">
        <v>1630879</v>
      </c>
      <c r="NE200" s="561">
        <v>0</v>
      </c>
      <c r="NF200" s="561">
        <v>0</v>
      </c>
      <c r="NG200" s="561">
        <v>0</v>
      </c>
      <c r="NH200" s="561">
        <v>0</v>
      </c>
      <c r="NI200" s="561">
        <v>0</v>
      </c>
      <c r="NJ200" s="561">
        <v>0</v>
      </c>
      <c r="NK200" s="561">
        <v>0</v>
      </c>
      <c r="NL200" s="561">
        <v>0</v>
      </c>
      <c r="NM200" s="561">
        <v>0</v>
      </c>
      <c r="NN200" s="561">
        <v>0</v>
      </c>
      <c r="NO200" s="561">
        <v>0</v>
      </c>
      <c r="NP200" s="561">
        <v>0</v>
      </c>
      <c r="NQ200" s="561">
        <v>0</v>
      </c>
      <c r="NR200" s="561">
        <v>0</v>
      </c>
      <c r="NS200" s="561">
        <v>0</v>
      </c>
      <c r="NT200" s="561">
        <v>-2321</v>
      </c>
      <c r="NU200" s="561">
        <v>0</v>
      </c>
      <c r="NV200" s="561">
        <v>220</v>
      </c>
      <c r="NW200" s="561">
        <v>-2130</v>
      </c>
      <c r="NX200" s="561">
        <v>291</v>
      </c>
      <c r="NY200" s="561">
        <v>-1839</v>
      </c>
      <c r="NZ200" s="561">
        <v>0</v>
      </c>
      <c r="OA200" s="561">
        <v>0</v>
      </c>
      <c r="OB200" s="561">
        <v>-46</v>
      </c>
      <c r="OC200" s="561">
        <v>0</v>
      </c>
      <c r="OD200" s="561">
        <v>0</v>
      </c>
      <c r="OE200" s="561">
        <v>0</v>
      </c>
      <c r="OF200" s="561">
        <v>0</v>
      </c>
      <c r="OG200" s="561">
        <v>0</v>
      </c>
      <c r="OH200" s="561">
        <v>0</v>
      </c>
      <c r="OI200" s="561">
        <v>0</v>
      </c>
      <c r="OJ200" s="561">
        <v>4225</v>
      </c>
      <c r="OK200" s="561">
        <v>-9402</v>
      </c>
      <c r="OL200" s="561">
        <v>0</v>
      </c>
      <c r="OM200" s="561">
        <v>-2656</v>
      </c>
      <c r="ON200" s="561">
        <v>1816</v>
      </c>
      <c r="OO200" s="561">
        <v>0</v>
      </c>
      <c r="OP200" s="561">
        <v>3946</v>
      </c>
      <c r="OQ200" s="561">
        <v>-117</v>
      </c>
      <c r="OR200" s="561">
        <v>0</v>
      </c>
      <c r="OS200" s="561">
        <v>0</v>
      </c>
      <c r="OT200" s="561">
        <v>0</v>
      </c>
      <c r="OU200" s="561">
        <v>0</v>
      </c>
      <c r="OV200" s="561">
        <v>-656</v>
      </c>
      <c r="OW200" s="561">
        <v>6641</v>
      </c>
      <c r="OX200" s="561">
        <v>4947</v>
      </c>
      <c r="OY200" s="561">
        <v>190</v>
      </c>
      <c r="OZ200" s="561">
        <v>0</v>
      </c>
      <c r="PA200" s="561">
        <v>101</v>
      </c>
      <c r="PB200" s="561">
        <v>0</v>
      </c>
      <c r="PC200" s="561">
        <v>0</v>
      </c>
      <c r="PD200" s="561">
        <v>291</v>
      </c>
      <c r="PE200" s="561">
        <v>4998</v>
      </c>
      <c r="PF200" s="561">
        <v>0</v>
      </c>
      <c r="PG200" s="561">
        <v>1643</v>
      </c>
      <c r="PH200" s="561">
        <v>0</v>
      </c>
      <c r="PI200" s="561">
        <v>0</v>
      </c>
      <c r="PJ200" s="561">
        <v>6641</v>
      </c>
    </row>
    <row r="201" spans="1:426" ht="14" x14ac:dyDescent="0.3">
      <c r="A201" t="s">
        <v>3043</v>
      </c>
      <c r="B201" t="s">
        <v>3044</v>
      </c>
      <c r="C201" t="s">
        <v>4621</v>
      </c>
      <c r="E201" t="s">
        <v>385</v>
      </c>
      <c r="F201" s="561">
        <v>35478.76</v>
      </c>
      <c r="G201" s="561">
        <v>116595.7</v>
      </c>
      <c r="H201" s="561">
        <v>85347.87</v>
      </c>
      <c r="I201" s="561">
        <v>72070.3</v>
      </c>
      <c r="J201" s="561">
        <v>4211.7</v>
      </c>
      <c r="K201" s="561">
        <v>29251</v>
      </c>
      <c r="L201" s="561">
        <v>342955.33</v>
      </c>
      <c r="M201" s="561">
        <v>5945.23</v>
      </c>
      <c r="N201" s="561">
        <v>489</v>
      </c>
      <c r="O201" s="561">
        <v>1183</v>
      </c>
      <c r="P201" s="561">
        <v>2222</v>
      </c>
      <c r="Q201" s="561">
        <v>0</v>
      </c>
      <c r="R201" s="561">
        <v>-9</v>
      </c>
      <c r="S201" s="561">
        <v>366</v>
      </c>
      <c r="T201" s="561">
        <v>0</v>
      </c>
      <c r="U201" s="561">
        <v>143</v>
      </c>
      <c r="V201" s="561">
        <v>3481</v>
      </c>
      <c r="W201" s="561">
        <v>0</v>
      </c>
      <c r="X201" s="561">
        <v>-1033</v>
      </c>
      <c r="Y201" s="561">
        <v>316</v>
      </c>
      <c r="Z201" s="561">
        <v>2948</v>
      </c>
      <c r="AA201" s="561">
        <v>-2219</v>
      </c>
      <c r="AB201" s="561">
        <v>-1573</v>
      </c>
      <c r="AC201" s="561">
        <v>7416</v>
      </c>
      <c r="AD201" s="561">
        <v>390</v>
      </c>
      <c r="AE201" s="561">
        <v>1965</v>
      </c>
      <c r="AF201" s="561">
        <v>0</v>
      </c>
      <c r="AG201" s="561">
        <v>0</v>
      </c>
      <c r="AH201" s="561">
        <v>1715</v>
      </c>
      <c r="AI201" s="561">
        <v>0</v>
      </c>
      <c r="AJ201" s="561">
        <v>17800</v>
      </c>
      <c r="AK201" s="561">
        <v>5</v>
      </c>
      <c r="AL201" s="561">
        <v>0</v>
      </c>
      <c r="AM201" s="561">
        <v>0</v>
      </c>
      <c r="AN201" s="561">
        <v>0</v>
      </c>
      <c r="AO201" s="561">
        <v>0</v>
      </c>
      <c r="AP201" s="561">
        <v>74</v>
      </c>
      <c r="AQ201" s="561">
        <v>0</v>
      </c>
      <c r="AR201" s="561">
        <v>0</v>
      </c>
      <c r="AS201" s="561">
        <v>4808</v>
      </c>
      <c r="AT201" s="561">
        <v>2376</v>
      </c>
      <c r="AU201" s="561">
        <v>0</v>
      </c>
      <c r="AV201" s="561">
        <v>0</v>
      </c>
      <c r="AW201" s="561">
        <v>0</v>
      </c>
      <c r="AX201" s="561">
        <v>5523.29</v>
      </c>
      <c r="AY201" s="561">
        <v>64996.61</v>
      </c>
      <c r="AZ201" s="561">
        <v>18.920000000000002</v>
      </c>
      <c r="BA201" s="561">
        <v>6328.72</v>
      </c>
      <c r="BB201" s="561">
        <v>2771.27</v>
      </c>
      <c r="BC201" s="561">
        <v>22072.639999999999</v>
      </c>
      <c r="BD201" s="561">
        <v>0</v>
      </c>
      <c r="BE201" s="561">
        <v>1964.07</v>
      </c>
      <c r="BF201" s="561">
        <v>103675.52</v>
      </c>
      <c r="BG201" s="561">
        <v>2435</v>
      </c>
      <c r="BH201" s="561">
        <v>14112</v>
      </c>
      <c r="BI201" s="561">
        <v>48587</v>
      </c>
      <c r="BJ201" s="561">
        <v>566</v>
      </c>
      <c r="BK201" s="561">
        <v>613</v>
      </c>
      <c r="BL201" s="561">
        <v>803</v>
      </c>
      <c r="BM201" s="561">
        <v>5744</v>
      </c>
      <c r="BN201" s="561">
        <v>46161</v>
      </c>
      <c r="BO201" s="561">
        <v>7421</v>
      </c>
      <c r="BP201" s="561">
        <v>17755</v>
      </c>
      <c r="BQ201" s="561">
        <v>11044</v>
      </c>
      <c r="BR201" s="561">
        <v>374</v>
      </c>
      <c r="BS201" s="561">
        <v>46</v>
      </c>
      <c r="BT201" s="561">
        <v>2259</v>
      </c>
      <c r="BU201" s="561">
        <v>73</v>
      </c>
      <c r="BV201" s="561">
        <v>1549</v>
      </c>
      <c r="BW201" s="561">
        <v>14678</v>
      </c>
      <c r="BX201" s="561">
        <v>1281</v>
      </c>
      <c r="BY201" s="561">
        <v>14177</v>
      </c>
      <c r="BZ201" s="561">
        <v>187243</v>
      </c>
      <c r="CA201" s="561">
        <v>0</v>
      </c>
      <c r="CB201" s="561">
        <v>3175</v>
      </c>
      <c r="CC201" s="561">
        <v>415</v>
      </c>
      <c r="CD201" s="561">
        <v>777</v>
      </c>
      <c r="CE201" s="561">
        <v>409</v>
      </c>
      <c r="CF201" s="561">
        <v>229</v>
      </c>
      <c r="CG201" s="561">
        <v>78</v>
      </c>
      <c r="CH201" s="561">
        <v>279</v>
      </c>
      <c r="CI201" s="561">
        <v>593</v>
      </c>
      <c r="CJ201" s="561">
        <v>215</v>
      </c>
      <c r="CK201" s="561">
        <v>3612</v>
      </c>
      <c r="CL201" s="561">
        <v>1385</v>
      </c>
      <c r="CM201" s="561">
        <v>4629</v>
      </c>
      <c r="CN201" s="561">
        <v>2945</v>
      </c>
      <c r="CO201" s="561">
        <v>611</v>
      </c>
      <c r="CP201" s="561">
        <v>706</v>
      </c>
      <c r="CQ201" s="561">
        <v>697</v>
      </c>
      <c r="CR201" s="561">
        <v>761</v>
      </c>
      <c r="CS201" s="561">
        <v>203</v>
      </c>
      <c r="CT201" s="561">
        <v>2381</v>
      </c>
      <c r="CU201" s="561">
        <v>8404</v>
      </c>
      <c r="CV201" s="561">
        <v>1380.54</v>
      </c>
      <c r="CW201" s="561">
        <v>48</v>
      </c>
      <c r="CX201" s="561">
        <v>2347</v>
      </c>
      <c r="CY201" s="561">
        <v>852</v>
      </c>
      <c r="CZ201" s="561">
        <v>37131.54</v>
      </c>
      <c r="DA201" s="561">
        <v>38</v>
      </c>
      <c r="DB201" s="561">
        <v>0</v>
      </c>
      <c r="DC201" s="561">
        <v>0</v>
      </c>
      <c r="DD201" s="561">
        <v>0</v>
      </c>
      <c r="DE201" s="561">
        <v>0</v>
      </c>
      <c r="DF201" s="561">
        <v>0</v>
      </c>
      <c r="DG201" s="561">
        <v>0</v>
      </c>
      <c r="DH201" s="561">
        <v>461</v>
      </c>
      <c r="DI201" s="561">
        <v>0</v>
      </c>
      <c r="DJ201" s="561">
        <v>-16</v>
      </c>
      <c r="DK201" s="561">
        <v>242</v>
      </c>
      <c r="DL201" s="561">
        <v>2057</v>
      </c>
      <c r="DM201" s="561">
        <v>0</v>
      </c>
      <c r="DN201" s="561">
        <v>0</v>
      </c>
      <c r="DO201" s="561">
        <v>20057</v>
      </c>
      <c r="DP201" s="561">
        <v>-149</v>
      </c>
      <c r="DQ201" s="561">
        <v>0</v>
      </c>
      <c r="DR201" s="561">
        <v>0</v>
      </c>
      <c r="DS201" s="561">
        <v>3833</v>
      </c>
      <c r="DT201" s="561">
        <v>1954</v>
      </c>
      <c r="DU201" s="561">
        <v>27752</v>
      </c>
      <c r="DV201" s="561">
        <v>627</v>
      </c>
      <c r="DW201" s="561">
        <v>0</v>
      </c>
      <c r="DX201" s="561">
        <v>0</v>
      </c>
      <c r="DY201" s="561">
        <v>796.4</v>
      </c>
      <c r="DZ201" s="561">
        <v>47</v>
      </c>
      <c r="EA201" s="561">
        <v>1296</v>
      </c>
      <c r="EB201" s="561">
        <v>0</v>
      </c>
      <c r="EC201" s="561">
        <v>31205.4</v>
      </c>
      <c r="ED201" s="561">
        <v>3</v>
      </c>
      <c r="EE201" s="561">
        <v>88510</v>
      </c>
      <c r="EF201" s="561">
        <v>350</v>
      </c>
      <c r="EG201" s="561">
        <v>8254</v>
      </c>
      <c r="EH201" s="561">
        <v>1324</v>
      </c>
      <c r="EI201" s="561">
        <v>0</v>
      </c>
      <c r="EJ201" s="561">
        <v>2245</v>
      </c>
      <c r="EK201" s="561">
        <v>0</v>
      </c>
      <c r="EL201" s="561">
        <v>0</v>
      </c>
      <c r="EM201" s="561">
        <v>30</v>
      </c>
      <c r="EN201" s="561">
        <v>37443</v>
      </c>
      <c r="EO201" s="561">
        <v>15659</v>
      </c>
      <c r="EP201" s="561">
        <v>16569</v>
      </c>
      <c r="EQ201" s="561">
        <v>2225</v>
      </c>
      <c r="ER201" s="561">
        <v>12823</v>
      </c>
      <c r="ES201" s="561" t="s">
        <v>4565</v>
      </c>
      <c r="ET201" s="561">
        <v>15598</v>
      </c>
      <c r="EU201" s="561">
        <v>24</v>
      </c>
      <c r="EV201" s="561">
        <v>60</v>
      </c>
      <c r="EW201" s="561">
        <v>0</v>
      </c>
      <c r="EX201" s="561">
        <v>0</v>
      </c>
      <c r="EY201" s="561">
        <v>419</v>
      </c>
      <c r="EZ201" s="561">
        <v>-107</v>
      </c>
      <c r="FA201" s="561">
        <v>22716</v>
      </c>
      <c r="FB201" s="561">
        <v>255</v>
      </c>
      <c r="FC201" s="561">
        <v>459</v>
      </c>
      <c r="FD201" s="561">
        <v>65</v>
      </c>
      <c r="FE201" s="561">
        <v>4664</v>
      </c>
      <c r="FF201" s="561">
        <v>2224</v>
      </c>
      <c r="FG201" s="561">
        <v>5208</v>
      </c>
      <c r="FH201" s="561">
        <v>0</v>
      </c>
      <c r="FI201" s="561">
        <v>799.41</v>
      </c>
      <c r="FJ201" s="561">
        <v>1341</v>
      </c>
      <c r="FK201" s="561">
        <v>6758</v>
      </c>
      <c r="FL201" s="561">
        <v>66</v>
      </c>
      <c r="FM201" s="561">
        <v>248</v>
      </c>
      <c r="FN201" s="561">
        <v>2489</v>
      </c>
      <c r="FO201" s="561">
        <v>24576.41</v>
      </c>
      <c r="FP201" s="561">
        <v>0</v>
      </c>
      <c r="FQ201" s="561">
        <v>-1183</v>
      </c>
      <c r="FR201" s="561">
        <v>921</v>
      </c>
      <c r="FS201" s="561">
        <v>0</v>
      </c>
      <c r="FT201" s="561">
        <v>758</v>
      </c>
      <c r="FU201" s="561">
        <v>639</v>
      </c>
      <c r="FV201" s="561">
        <v>583</v>
      </c>
      <c r="FW201" s="561">
        <v>337</v>
      </c>
      <c r="FX201" s="561">
        <v>0</v>
      </c>
      <c r="FY201" s="561">
        <v>0</v>
      </c>
      <c r="FZ201" s="561">
        <v>247</v>
      </c>
      <c r="GA201" s="561">
        <v>213</v>
      </c>
      <c r="GB201" s="561">
        <v>0</v>
      </c>
      <c r="GC201" s="561">
        <v>256</v>
      </c>
      <c r="GD201" s="561">
        <v>2909</v>
      </c>
      <c r="GE201" s="561">
        <v>102</v>
      </c>
      <c r="GF201" s="561">
        <v>125</v>
      </c>
      <c r="GG201" s="561">
        <v>220</v>
      </c>
      <c r="GH201" s="561">
        <v>0</v>
      </c>
      <c r="GI201" s="561">
        <v>0</v>
      </c>
      <c r="GJ201" s="561">
        <v>0</v>
      </c>
      <c r="GK201" s="561">
        <v>0</v>
      </c>
      <c r="GL201" s="561">
        <v>5376</v>
      </c>
      <c r="GM201" s="561">
        <v>14548</v>
      </c>
      <c r="GN201" s="561">
        <v>12558</v>
      </c>
      <c r="GO201" s="561">
        <v>0</v>
      </c>
      <c r="GP201" s="561">
        <v>403</v>
      </c>
      <c r="GQ201" s="561">
        <v>0</v>
      </c>
      <c r="GR201" s="561">
        <v>0</v>
      </c>
      <c r="GS201" s="561">
        <v>39012</v>
      </c>
      <c r="GT201" s="561">
        <v>93</v>
      </c>
      <c r="GU201" s="561">
        <v>468</v>
      </c>
      <c r="GV201" s="561">
        <v>2870</v>
      </c>
      <c r="GW201" s="561">
        <v>-11</v>
      </c>
      <c r="GX201" s="561">
        <v>43</v>
      </c>
      <c r="GY201" s="561">
        <v>62</v>
      </c>
      <c r="GZ201" s="561">
        <v>7672</v>
      </c>
      <c r="HA201" s="561">
        <v>0</v>
      </c>
      <c r="HB201" s="561">
        <v>0</v>
      </c>
      <c r="HC201" s="561">
        <v>795</v>
      </c>
      <c r="HD201" s="561">
        <v>11899</v>
      </c>
      <c r="HE201" s="561">
        <v>136</v>
      </c>
      <c r="HF201" s="561">
        <v>75487.41</v>
      </c>
      <c r="HG201" s="561">
        <v>229</v>
      </c>
      <c r="HH201" s="561">
        <v>0</v>
      </c>
      <c r="HI201" s="561">
        <v>0</v>
      </c>
      <c r="HJ201" s="561">
        <v>0</v>
      </c>
      <c r="HK201" s="561">
        <v>0</v>
      </c>
      <c r="HL201" s="561">
        <v>0</v>
      </c>
      <c r="HM201" s="561">
        <v>0</v>
      </c>
      <c r="HN201" s="561">
        <v>0</v>
      </c>
      <c r="HO201" s="561">
        <v>3990.46</v>
      </c>
      <c r="HP201" s="561">
        <v>2666</v>
      </c>
      <c r="HQ201" s="561">
        <v>0</v>
      </c>
      <c r="HR201" s="561">
        <v>0</v>
      </c>
      <c r="HS201" s="561">
        <v>1858</v>
      </c>
      <c r="HT201" s="561">
        <v>-463</v>
      </c>
      <c r="HU201" s="561">
        <v>0</v>
      </c>
      <c r="HV201" s="561">
        <v>-3959</v>
      </c>
      <c r="HW201" s="561">
        <v>721</v>
      </c>
      <c r="HX201" s="561">
        <v>87</v>
      </c>
      <c r="HY201" s="561">
        <v>367</v>
      </c>
      <c r="HZ201" s="561">
        <v>-101</v>
      </c>
      <c r="IA201" s="561">
        <v>0</v>
      </c>
      <c r="IB201" s="561">
        <v>0</v>
      </c>
      <c r="IC201" s="561">
        <v>1846</v>
      </c>
      <c r="ID201" s="561">
        <v>0</v>
      </c>
      <c r="IE201" s="561">
        <v>0</v>
      </c>
      <c r="IF201" s="561">
        <v>0</v>
      </c>
      <c r="IG201" s="561">
        <v>0</v>
      </c>
      <c r="IH201" s="561">
        <v>18250</v>
      </c>
      <c r="II201" s="561">
        <v>25262.46</v>
      </c>
      <c r="IJ201" s="561">
        <v>947</v>
      </c>
      <c r="IK201" s="561">
        <v>0</v>
      </c>
      <c r="IL201" s="561">
        <v>36171</v>
      </c>
      <c r="IM201" s="561">
        <v>0</v>
      </c>
      <c r="IN201" s="561">
        <v>0</v>
      </c>
      <c r="IO201" s="561">
        <v>0</v>
      </c>
      <c r="IP201" s="561">
        <v>-7593</v>
      </c>
      <c r="IQ201" s="561">
        <v>100</v>
      </c>
      <c r="IR201" s="561">
        <v>342955.33</v>
      </c>
      <c r="IS201" s="561">
        <v>17800</v>
      </c>
      <c r="IT201" s="561">
        <v>103675.52</v>
      </c>
      <c r="IU201" s="561">
        <v>187243</v>
      </c>
      <c r="IV201" s="561">
        <v>37131.54</v>
      </c>
      <c r="IW201" s="561">
        <v>31205.4</v>
      </c>
      <c r="IX201" s="561">
        <v>24576.41</v>
      </c>
      <c r="IY201" s="561">
        <v>39012</v>
      </c>
      <c r="IZ201" s="561">
        <v>11899</v>
      </c>
      <c r="JA201" s="561">
        <v>0</v>
      </c>
      <c r="JB201" s="561">
        <v>0</v>
      </c>
      <c r="JC201" s="561">
        <v>25262.46</v>
      </c>
      <c r="JD201" s="561">
        <v>-7593</v>
      </c>
      <c r="JE201" s="561">
        <v>813167.66</v>
      </c>
      <c r="JF201" s="561">
        <v>47241.64</v>
      </c>
      <c r="JG201" s="561">
        <v>3892.04</v>
      </c>
      <c r="JH201" s="561">
        <v>24446.47</v>
      </c>
      <c r="JI201" s="561">
        <v>0</v>
      </c>
      <c r="JJ201" s="561">
        <v>0</v>
      </c>
      <c r="JK201" s="561">
        <v>0</v>
      </c>
      <c r="JL201" s="561">
        <v>0</v>
      </c>
      <c r="JM201" s="561">
        <v>0</v>
      </c>
      <c r="JN201" s="561">
        <v>0</v>
      </c>
      <c r="JO201" s="561">
        <v>53</v>
      </c>
      <c r="JP201" s="561">
        <v>0</v>
      </c>
      <c r="JQ201" s="561">
        <v>100</v>
      </c>
      <c r="JR201" s="561">
        <v>0</v>
      </c>
      <c r="JS201" s="561">
        <v>0</v>
      </c>
      <c r="JT201" s="561">
        <v>-3462</v>
      </c>
      <c r="JU201" s="561">
        <v>0</v>
      </c>
      <c r="JV201" s="561">
        <v>885438.81</v>
      </c>
      <c r="JW201" s="561">
        <v>96</v>
      </c>
      <c r="JX201" s="561">
        <v>1671</v>
      </c>
      <c r="JY201" s="561">
        <v>0</v>
      </c>
      <c r="JZ201" s="561">
        <v>0</v>
      </c>
      <c r="KA201" s="561">
        <v>0</v>
      </c>
      <c r="KB201" s="561">
        <v>-751</v>
      </c>
      <c r="KC201" s="561">
        <v>8421.32</v>
      </c>
      <c r="KD201" s="561">
        <v>0</v>
      </c>
      <c r="KE201" s="561">
        <v>7000</v>
      </c>
      <c r="KF201" s="561">
        <v>-10195</v>
      </c>
      <c r="KG201" s="561">
        <v>891681.13</v>
      </c>
      <c r="KH201" s="561">
        <v>-18150</v>
      </c>
      <c r="KI201" s="561">
        <v>0</v>
      </c>
      <c r="KJ201" s="561">
        <v>278.73</v>
      </c>
      <c r="KK201" s="561">
        <v>0</v>
      </c>
      <c r="KL201" s="561">
        <v>-93150.6</v>
      </c>
      <c r="KM201" s="561">
        <v>0</v>
      </c>
      <c r="KN201" s="561">
        <v>0</v>
      </c>
      <c r="KO201" s="561">
        <v>0</v>
      </c>
      <c r="KP201" s="561">
        <v>0</v>
      </c>
      <c r="KQ201" s="561">
        <v>-12571</v>
      </c>
      <c r="KR201" s="561">
        <v>768088.26</v>
      </c>
      <c r="KS201" s="561">
        <v>0</v>
      </c>
      <c r="KT201" s="561">
        <v>-426060.45</v>
      </c>
      <c r="KU201" s="561">
        <v>342027.81</v>
      </c>
      <c r="KV201" s="561">
        <v>0</v>
      </c>
      <c r="KW201" s="561">
        <v>-2714</v>
      </c>
      <c r="KX201" s="561">
        <v>0</v>
      </c>
      <c r="KY201" s="561">
        <v>0</v>
      </c>
      <c r="KZ201" s="561">
        <v>-7114.69</v>
      </c>
      <c r="LA201" s="561">
        <v>0</v>
      </c>
      <c r="LB201" s="561">
        <v>-35626</v>
      </c>
      <c r="LC201" s="561">
        <v>0</v>
      </c>
      <c r="LD201" s="561">
        <v>-147704.29</v>
      </c>
      <c r="LE201" s="561">
        <v>982.4</v>
      </c>
      <c r="LF201" s="561">
        <v>3735.76</v>
      </c>
      <c r="LG201" s="561">
        <v>153587</v>
      </c>
      <c r="LH201" s="561">
        <v>20908</v>
      </c>
      <c r="LI201" s="561">
        <v>-9648</v>
      </c>
      <c r="LJ201" s="561">
        <v>0</v>
      </c>
      <c r="LK201" s="561">
        <v>0</v>
      </c>
      <c r="LL201" s="561">
        <v>271746</v>
      </c>
      <c r="LM201" s="561">
        <v>15000</v>
      </c>
      <c r="LN201" s="561">
        <v>18194</v>
      </c>
      <c r="LO201" s="561">
        <v>-22219</v>
      </c>
      <c r="LP201" s="561">
        <v>0</v>
      </c>
      <c r="LQ201" s="561">
        <v>0</v>
      </c>
      <c r="LR201" s="561">
        <v>264631.31</v>
      </c>
      <c r="LS201" s="561">
        <v>15000</v>
      </c>
      <c r="LT201" s="561">
        <v>0</v>
      </c>
      <c r="LU201" s="561">
        <v>0</v>
      </c>
      <c r="LV201" s="561">
        <v>0</v>
      </c>
      <c r="LW201" s="561">
        <v>0</v>
      </c>
      <c r="LX201" s="561">
        <v>0</v>
      </c>
      <c r="LY201" s="561">
        <v>0</v>
      </c>
      <c r="LZ201" s="561">
        <v>0</v>
      </c>
      <c r="MA201" s="561">
        <v>0</v>
      </c>
      <c r="MB201" s="561">
        <v>0</v>
      </c>
      <c r="MC201" s="561">
        <v>100713</v>
      </c>
      <c r="MD201" s="561">
        <v>100820</v>
      </c>
      <c r="ME201" s="561">
        <v>-107</v>
      </c>
      <c r="MF201" s="561">
        <v>22716</v>
      </c>
      <c r="MG201" s="561">
        <v>22609</v>
      </c>
      <c r="MH201" s="561">
        <v>11780</v>
      </c>
      <c r="MI201" s="561">
        <v>14765</v>
      </c>
      <c r="MJ201" s="561">
        <v>26545</v>
      </c>
      <c r="MK201" s="561">
        <v>0</v>
      </c>
      <c r="ML201" s="561">
        <v>6286</v>
      </c>
      <c r="MM201" s="561">
        <v>53346</v>
      </c>
      <c r="MN201" s="561">
        <v>14382</v>
      </c>
      <c r="MO201" s="561">
        <v>190617.31</v>
      </c>
      <c r="MP201" s="561">
        <v>0</v>
      </c>
      <c r="MQ201" s="561">
        <v>342955.33</v>
      </c>
      <c r="MR201" s="561">
        <v>17800</v>
      </c>
      <c r="MS201" s="561">
        <v>103675.52</v>
      </c>
      <c r="MT201" s="561">
        <v>187243</v>
      </c>
      <c r="MU201" s="561">
        <v>37131.54</v>
      </c>
      <c r="MV201" s="561">
        <v>31205.4</v>
      </c>
      <c r="MW201" s="561">
        <v>24576.41</v>
      </c>
      <c r="MX201" s="561">
        <v>39012</v>
      </c>
      <c r="MY201" s="561">
        <v>11899</v>
      </c>
      <c r="MZ201" s="561">
        <v>0</v>
      </c>
      <c r="NA201" s="561">
        <v>0</v>
      </c>
      <c r="NB201" s="561">
        <v>25262.46</v>
      </c>
      <c r="NC201" s="561">
        <v>-7593</v>
      </c>
      <c r="ND201" s="561">
        <v>813167.66</v>
      </c>
      <c r="NE201" s="561">
        <v>0</v>
      </c>
      <c r="NF201" s="561">
        <v>0</v>
      </c>
      <c r="NG201" s="561">
        <v>0</v>
      </c>
      <c r="NH201" s="561">
        <v>0</v>
      </c>
      <c r="NI201" s="561">
        <v>0</v>
      </c>
      <c r="NJ201" s="561">
        <v>0</v>
      </c>
      <c r="NK201" s="561">
        <v>0</v>
      </c>
      <c r="NL201" s="561">
        <v>0</v>
      </c>
      <c r="NM201" s="561">
        <v>0</v>
      </c>
      <c r="NN201" s="561">
        <v>0</v>
      </c>
      <c r="NO201" s="561">
        <v>0</v>
      </c>
      <c r="NP201" s="561">
        <v>0</v>
      </c>
      <c r="NQ201" s="561">
        <v>0</v>
      </c>
      <c r="NR201" s="561">
        <v>0</v>
      </c>
      <c r="NS201" s="561">
        <v>0</v>
      </c>
      <c r="NT201" s="561">
        <v>0</v>
      </c>
      <c r="NU201" s="561">
        <v>0</v>
      </c>
      <c r="NV201" s="561">
        <v>0</v>
      </c>
      <c r="NW201" s="561">
        <v>0</v>
      </c>
      <c r="NX201" s="561">
        <v>0</v>
      </c>
      <c r="NY201" s="561">
        <v>0</v>
      </c>
      <c r="NZ201" s="561">
        <v>0</v>
      </c>
      <c r="OA201" s="561">
        <v>0</v>
      </c>
      <c r="OB201" s="561">
        <v>0</v>
      </c>
      <c r="OC201" s="561">
        <v>0</v>
      </c>
      <c r="OD201" s="561">
        <v>0</v>
      </c>
      <c r="OE201" s="561">
        <v>0</v>
      </c>
      <c r="OF201" s="561">
        <v>0</v>
      </c>
      <c r="OG201" s="561">
        <v>0</v>
      </c>
      <c r="OH201" s="561">
        <v>0</v>
      </c>
      <c r="OI201" s="561">
        <v>0</v>
      </c>
      <c r="OJ201" s="561">
        <v>0</v>
      </c>
      <c r="OK201" s="561">
        <v>0</v>
      </c>
      <c r="OL201" s="561">
        <v>0</v>
      </c>
      <c r="OM201" s="561">
        <v>0</v>
      </c>
      <c r="ON201" s="561">
        <v>0</v>
      </c>
      <c r="OO201" s="561">
        <v>0</v>
      </c>
      <c r="OP201" s="561">
        <v>100</v>
      </c>
      <c r="OQ201" s="561">
        <v>0</v>
      </c>
      <c r="OR201" s="561">
        <v>0</v>
      </c>
      <c r="OS201" s="561">
        <v>0</v>
      </c>
      <c r="OT201" s="561">
        <v>0</v>
      </c>
      <c r="OU201" s="561">
        <v>0</v>
      </c>
      <c r="OV201" s="561">
        <v>371</v>
      </c>
      <c r="OW201" s="561">
        <v>0</v>
      </c>
      <c r="OX201" s="561">
        <v>100</v>
      </c>
      <c r="OY201" s="561">
        <v>0</v>
      </c>
      <c r="OZ201" s="561">
        <v>0</v>
      </c>
      <c r="PA201" s="561">
        <v>0</v>
      </c>
      <c r="PB201" s="561">
        <v>0</v>
      </c>
      <c r="PC201" s="561">
        <v>0</v>
      </c>
      <c r="PD201" s="561">
        <v>0</v>
      </c>
      <c r="PE201" s="561">
        <v>0</v>
      </c>
      <c r="PF201" s="561">
        <v>0</v>
      </c>
      <c r="PG201" s="561">
        <v>0</v>
      </c>
      <c r="PH201" s="561">
        <v>0</v>
      </c>
      <c r="PI201" s="561">
        <v>0</v>
      </c>
      <c r="PJ201" s="561">
        <v>0</v>
      </c>
    </row>
    <row r="202" spans="1:426" ht="14" x14ac:dyDescent="0.3">
      <c r="A202" t="s">
        <v>3046</v>
      </c>
      <c r="B202" t="s">
        <v>3047</v>
      </c>
      <c r="C202" t="s">
        <v>4622</v>
      </c>
      <c r="E202" t="s">
        <v>2595</v>
      </c>
      <c r="F202" s="561">
        <v>76468</v>
      </c>
      <c r="G202" s="561">
        <v>116930</v>
      </c>
      <c r="H202" s="561">
        <v>17072</v>
      </c>
      <c r="I202" s="561">
        <v>102253</v>
      </c>
      <c r="J202" s="561">
        <v>9579</v>
      </c>
      <c r="K202" s="561">
        <v>37257</v>
      </c>
      <c r="L202" s="561">
        <v>359559</v>
      </c>
      <c r="M202" s="561">
        <v>1273</v>
      </c>
      <c r="N202" s="561">
        <v>5330</v>
      </c>
      <c r="O202" s="561">
        <v>-1052</v>
      </c>
      <c r="P202" s="561">
        <v>920</v>
      </c>
      <c r="Q202" s="561">
        <v>3827</v>
      </c>
      <c r="R202" s="561">
        <v>1095</v>
      </c>
      <c r="S202" s="561">
        <v>2031</v>
      </c>
      <c r="T202" s="561">
        <v>10209</v>
      </c>
      <c r="U202" s="561">
        <v>3118</v>
      </c>
      <c r="V202" s="561">
        <v>5407</v>
      </c>
      <c r="W202" s="561">
        <v>0</v>
      </c>
      <c r="X202" s="561">
        <v>0</v>
      </c>
      <c r="Y202" s="561">
        <v>2462</v>
      </c>
      <c r="Z202" s="561">
        <v>3273</v>
      </c>
      <c r="AA202" s="561">
        <v>191</v>
      </c>
      <c r="AB202" s="561">
        <v>83</v>
      </c>
      <c r="AC202" s="561">
        <v>4463</v>
      </c>
      <c r="AD202" s="561">
        <v>155</v>
      </c>
      <c r="AE202" s="561">
        <v>6423</v>
      </c>
      <c r="AF202" s="561">
        <v>0</v>
      </c>
      <c r="AG202" s="561">
        <v>0</v>
      </c>
      <c r="AH202" s="561">
        <v>793</v>
      </c>
      <c r="AI202" s="561">
        <v>0</v>
      </c>
      <c r="AJ202" s="561">
        <v>48728</v>
      </c>
      <c r="AK202" s="561">
        <v>0</v>
      </c>
      <c r="AL202" s="561">
        <v>0</v>
      </c>
      <c r="AM202" s="561">
        <v>0</v>
      </c>
      <c r="AN202" s="561">
        <v>0</v>
      </c>
      <c r="AO202" s="561">
        <v>0</v>
      </c>
      <c r="AP202" s="561">
        <v>0</v>
      </c>
      <c r="AQ202" s="561">
        <v>0</v>
      </c>
      <c r="AR202" s="561">
        <v>0</v>
      </c>
      <c r="AS202" s="561">
        <v>830</v>
      </c>
      <c r="AT202" s="561">
        <v>312</v>
      </c>
      <c r="AU202" s="561">
        <v>0</v>
      </c>
      <c r="AV202" s="561">
        <v>0</v>
      </c>
      <c r="AW202" s="561">
        <v>0</v>
      </c>
      <c r="AX202" s="561">
        <v>8182</v>
      </c>
      <c r="AY202" s="561">
        <v>67468</v>
      </c>
      <c r="AZ202" s="561">
        <v>13339</v>
      </c>
      <c r="BA202" s="561">
        <v>23056</v>
      </c>
      <c r="BB202" s="561">
        <v>2318</v>
      </c>
      <c r="BC202" s="561">
        <v>4783</v>
      </c>
      <c r="BD202" s="561">
        <v>14038</v>
      </c>
      <c r="BE202" s="561">
        <v>6951</v>
      </c>
      <c r="BF202" s="561">
        <v>140135</v>
      </c>
      <c r="BG202" s="561">
        <v>5248</v>
      </c>
      <c r="BH202" s="561">
        <v>18960</v>
      </c>
      <c r="BI202" s="561">
        <v>55532</v>
      </c>
      <c r="BJ202" s="561">
        <v>388</v>
      </c>
      <c r="BK202" s="561">
        <v>134</v>
      </c>
      <c r="BL202" s="561">
        <v>1021</v>
      </c>
      <c r="BM202" s="561">
        <v>7581</v>
      </c>
      <c r="BN202" s="561">
        <v>67757</v>
      </c>
      <c r="BO202" s="561">
        <v>7260</v>
      </c>
      <c r="BP202" s="561">
        <v>11939</v>
      </c>
      <c r="BQ202" s="561">
        <v>7120</v>
      </c>
      <c r="BR202" s="561">
        <v>169</v>
      </c>
      <c r="BS202" s="561">
        <v>0</v>
      </c>
      <c r="BT202" s="561">
        <v>1813</v>
      </c>
      <c r="BU202" s="561">
        <v>13169</v>
      </c>
      <c r="BV202" s="561">
        <v>3431</v>
      </c>
      <c r="BW202" s="561">
        <v>24002</v>
      </c>
      <c r="BX202" s="561">
        <v>2403</v>
      </c>
      <c r="BY202" s="561">
        <v>21796</v>
      </c>
      <c r="BZ202" s="561">
        <v>244475</v>
      </c>
      <c r="CA202" s="561">
        <v>2682</v>
      </c>
      <c r="CB202" s="561">
        <v>3685</v>
      </c>
      <c r="CC202" s="561">
        <v>592</v>
      </c>
      <c r="CD202" s="561">
        <v>29</v>
      </c>
      <c r="CE202" s="561">
        <v>517</v>
      </c>
      <c r="CF202" s="561">
        <v>699</v>
      </c>
      <c r="CG202" s="561">
        <v>189</v>
      </c>
      <c r="CH202" s="561">
        <v>250</v>
      </c>
      <c r="CI202" s="561">
        <v>172</v>
      </c>
      <c r="CJ202" s="561">
        <v>172</v>
      </c>
      <c r="CK202" s="561">
        <v>1079</v>
      </c>
      <c r="CL202" s="561">
        <v>186</v>
      </c>
      <c r="CM202" s="561">
        <v>2524</v>
      </c>
      <c r="CN202" s="561">
        <v>2667</v>
      </c>
      <c r="CO202" s="561">
        <v>11</v>
      </c>
      <c r="CP202" s="561">
        <v>119</v>
      </c>
      <c r="CQ202" s="561">
        <v>367</v>
      </c>
      <c r="CR202" s="561">
        <v>1251</v>
      </c>
      <c r="CS202" s="561">
        <v>63</v>
      </c>
      <c r="CT202" s="561">
        <v>5759</v>
      </c>
      <c r="CU202" s="561">
        <v>4488</v>
      </c>
      <c r="CV202" s="561">
        <v>985</v>
      </c>
      <c r="CW202" s="561">
        <v>112</v>
      </c>
      <c r="CX202" s="561">
        <v>569</v>
      </c>
      <c r="CY202" s="561">
        <v>6767</v>
      </c>
      <c r="CZ202" s="561">
        <v>33252</v>
      </c>
      <c r="DA202" s="561">
        <v>0</v>
      </c>
      <c r="DB202" s="561">
        <v>856</v>
      </c>
      <c r="DC202" s="561">
        <v>135</v>
      </c>
      <c r="DD202" s="561">
        <v>20</v>
      </c>
      <c r="DE202" s="561">
        <v>0</v>
      </c>
      <c r="DF202" s="561">
        <v>0</v>
      </c>
      <c r="DG202" s="561">
        <v>0</v>
      </c>
      <c r="DH202" s="561">
        <v>0</v>
      </c>
      <c r="DI202" s="561">
        <v>0</v>
      </c>
      <c r="DJ202" s="561">
        <v>0</v>
      </c>
      <c r="DK202" s="561">
        <v>0</v>
      </c>
      <c r="DL202" s="561">
        <v>0</v>
      </c>
      <c r="DM202" s="561">
        <v>0</v>
      </c>
      <c r="DN202" s="561">
        <v>0</v>
      </c>
      <c r="DO202" s="561">
        <v>0</v>
      </c>
      <c r="DP202" s="561">
        <v>0</v>
      </c>
      <c r="DQ202" s="561">
        <v>0</v>
      </c>
      <c r="DR202" s="561">
        <v>0</v>
      </c>
      <c r="DS202" s="561">
        <v>0</v>
      </c>
      <c r="DT202" s="561">
        <v>0</v>
      </c>
      <c r="DU202" s="561">
        <v>0</v>
      </c>
      <c r="DV202" s="561">
        <v>0</v>
      </c>
      <c r="DW202" s="561">
        <v>0</v>
      </c>
      <c r="DX202" s="561">
        <v>0</v>
      </c>
      <c r="DY202" s="561">
        <v>0</v>
      </c>
      <c r="DZ202" s="561">
        <v>73</v>
      </c>
      <c r="EA202" s="561">
        <v>0</v>
      </c>
      <c r="EB202" s="561">
        <v>3266</v>
      </c>
      <c r="EC202" s="561">
        <v>3339</v>
      </c>
      <c r="ED202" s="561">
        <v>1</v>
      </c>
      <c r="EE202" s="561">
        <v>0</v>
      </c>
      <c r="EF202" s="561">
        <v>0</v>
      </c>
      <c r="EG202" s="561">
        <v>0</v>
      </c>
      <c r="EH202" s="561">
        <v>0</v>
      </c>
      <c r="EI202" s="561">
        <v>0</v>
      </c>
      <c r="EJ202" s="561">
        <v>0</v>
      </c>
      <c r="EK202" s="561">
        <v>0</v>
      </c>
      <c r="EL202" s="561">
        <v>0</v>
      </c>
      <c r="EM202" s="561">
        <v>0</v>
      </c>
      <c r="EN202" s="561">
        <v>0</v>
      </c>
      <c r="EO202" s="561">
        <v>0</v>
      </c>
      <c r="EP202" s="561">
        <v>0</v>
      </c>
      <c r="EQ202" s="561">
        <v>0</v>
      </c>
      <c r="ER202" s="561">
        <v>0</v>
      </c>
      <c r="ES202" s="561" t="s">
        <v>4565</v>
      </c>
      <c r="ET202" s="561">
        <v>0</v>
      </c>
      <c r="EU202" s="561">
        <v>0</v>
      </c>
      <c r="EV202" s="561">
        <v>0</v>
      </c>
      <c r="EW202" s="561">
        <v>0</v>
      </c>
      <c r="EX202" s="561">
        <v>0</v>
      </c>
      <c r="EY202" s="561">
        <v>0</v>
      </c>
      <c r="EZ202" s="561">
        <v>0</v>
      </c>
      <c r="FA202" s="561">
        <v>0</v>
      </c>
      <c r="FB202" s="561">
        <v>107</v>
      </c>
      <c r="FC202" s="561">
        <v>0</v>
      </c>
      <c r="FD202" s="561">
        <v>1224</v>
      </c>
      <c r="FE202" s="561">
        <v>1987</v>
      </c>
      <c r="FF202" s="561">
        <v>0</v>
      </c>
      <c r="FG202" s="561">
        <v>0</v>
      </c>
      <c r="FH202" s="561">
        <v>0</v>
      </c>
      <c r="FI202" s="561">
        <v>0</v>
      </c>
      <c r="FJ202" s="561">
        <v>0</v>
      </c>
      <c r="FK202" s="561">
        <v>286</v>
      </c>
      <c r="FL202" s="561">
        <v>0</v>
      </c>
      <c r="FM202" s="561">
        <v>0</v>
      </c>
      <c r="FN202" s="561">
        <v>4740</v>
      </c>
      <c r="FO202" s="561">
        <v>8344</v>
      </c>
      <c r="FP202" s="561">
        <v>19</v>
      </c>
      <c r="FQ202" s="561">
        <v>0</v>
      </c>
      <c r="FR202" s="561">
        <v>2056</v>
      </c>
      <c r="FS202" s="561">
        <v>0</v>
      </c>
      <c r="FT202" s="561">
        <v>0</v>
      </c>
      <c r="FU202" s="561">
        <v>0</v>
      </c>
      <c r="FV202" s="561">
        <v>0</v>
      </c>
      <c r="FW202" s="561">
        <v>0</v>
      </c>
      <c r="FX202" s="561">
        <v>0</v>
      </c>
      <c r="FY202" s="561">
        <v>0</v>
      </c>
      <c r="FZ202" s="561">
        <v>0</v>
      </c>
      <c r="GA202" s="561">
        <v>0</v>
      </c>
      <c r="GB202" s="561">
        <v>0</v>
      </c>
      <c r="GC202" s="561">
        <v>0</v>
      </c>
      <c r="GD202" s="561">
        <v>0</v>
      </c>
      <c r="GE202" s="561">
        <v>0</v>
      </c>
      <c r="GF202" s="561">
        <v>0</v>
      </c>
      <c r="GG202" s="561">
        <v>1417</v>
      </c>
      <c r="GH202" s="561">
        <v>104</v>
      </c>
      <c r="GI202" s="561">
        <v>0</v>
      </c>
      <c r="GJ202" s="561">
        <v>0</v>
      </c>
      <c r="GK202" s="561">
        <v>0</v>
      </c>
      <c r="GL202" s="561">
        <v>0</v>
      </c>
      <c r="GM202" s="561">
        <v>184</v>
      </c>
      <c r="GN202" s="561">
        <v>28405</v>
      </c>
      <c r="GO202" s="561">
        <v>-1648</v>
      </c>
      <c r="GP202" s="561">
        <v>6712</v>
      </c>
      <c r="GQ202" s="561">
        <v>690</v>
      </c>
      <c r="GR202" s="561">
        <v>291</v>
      </c>
      <c r="GS202" s="561">
        <v>38211</v>
      </c>
      <c r="GT202" s="561">
        <v>96</v>
      </c>
      <c r="GU202" s="561">
        <v>0</v>
      </c>
      <c r="GV202" s="561">
        <v>0</v>
      </c>
      <c r="GW202" s="561">
        <v>0</v>
      </c>
      <c r="GX202" s="561">
        <v>0</v>
      </c>
      <c r="GY202" s="561">
        <v>298</v>
      </c>
      <c r="GZ202" s="561">
        <v>92</v>
      </c>
      <c r="HA202" s="561">
        <v>0</v>
      </c>
      <c r="HB202" s="561">
        <v>0</v>
      </c>
      <c r="HC202" s="561">
        <v>2150</v>
      </c>
      <c r="HD202" s="561">
        <v>2540</v>
      </c>
      <c r="HE202" s="561">
        <v>0</v>
      </c>
      <c r="HF202" s="561">
        <v>49095</v>
      </c>
      <c r="HG202" s="561">
        <v>0</v>
      </c>
      <c r="HH202" s="561">
        <v>0</v>
      </c>
      <c r="HI202" s="561">
        <v>0</v>
      </c>
      <c r="HJ202" s="561">
        <v>0</v>
      </c>
      <c r="HK202" s="561">
        <v>0</v>
      </c>
      <c r="HL202" s="561">
        <v>0</v>
      </c>
      <c r="HM202" s="561">
        <v>0</v>
      </c>
      <c r="HN202" s="561">
        <v>0</v>
      </c>
      <c r="HO202" s="561">
        <v>2784</v>
      </c>
      <c r="HP202" s="561">
        <v>0</v>
      </c>
      <c r="HQ202" s="561">
        <v>0</v>
      </c>
      <c r="HR202" s="561">
        <v>0</v>
      </c>
      <c r="HS202" s="561">
        <v>0</v>
      </c>
      <c r="HT202" s="561">
        <v>0</v>
      </c>
      <c r="HU202" s="561">
        <v>0</v>
      </c>
      <c r="HV202" s="561">
        <v>-199</v>
      </c>
      <c r="HW202" s="561">
        <v>0</v>
      </c>
      <c r="HX202" s="561">
        <v>0</v>
      </c>
      <c r="HY202" s="561">
        <v>437</v>
      </c>
      <c r="HZ202" s="561">
        <v>0</v>
      </c>
      <c r="IA202" s="561">
        <v>7222</v>
      </c>
      <c r="IB202" s="561">
        <v>0</v>
      </c>
      <c r="IC202" s="561">
        <v>1721</v>
      </c>
      <c r="ID202" s="561">
        <v>0</v>
      </c>
      <c r="IE202" s="561">
        <v>3155</v>
      </c>
      <c r="IF202" s="561">
        <v>0</v>
      </c>
      <c r="IG202" s="561">
        <v>0</v>
      </c>
      <c r="IH202" s="561">
        <v>0</v>
      </c>
      <c r="II202" s="561">
        <v>15120</v>
      </c>
      <c r="IJ202" s="561">
        <v>2281</v>
      </c>
      <c r="IK202" s="561">
        <v>0</v>
      </c>
      <c r="IL202" s="561">
        <v>52403</v>
      </c>
      <c r="IM202" s="561">
        <v>0</v>
      </c>
      <c r="IN202" s="561">
        <v>0</v>
      </c>
      <c r="IO202" s="561">
        <v>23535</v>
      </c>
      <c r="IP202" s="561">
        <v>-832</v>
      </c>
      <c r="IQ202" s="561">
        <v>0</v>
      </c>
      <c r="IR202" s="561">
        <v>359559</v>
      </c>
      <c r="IS202" s="561">
        <v>48728</v>
      </c>
      <c r="IT202" s="561">
        <v>140135</v>
      </c>
      <c r="IU202" s="561">
        <v>244475</v>
      </c>
      <c r="IV202" s="561">
        <v>33252</v>
      </c>
      <c r="IW202" s="561">
        <v>3339</v>
      </c>
      <c r="IX202" s="561">
        <v>8344</v>
      </c>
      <c r="IY202" s="561">
        <v>38211</v>
      </c>
      <c r="IZ202" s="561">
        <v>2540</v>
      </c>
      <c r="JA202" s="561">
        <v>0</v>
      </c>
      <c r="JB202" s="561">
        <v>0</v>
      </c>
      <c r="JC202" s="561">
        <v>15120</v>
      </c>
      <c r="JD202" s="561">
        <v>-832</v>
      </c>
      <c r="JE202" s="561">
        <v>892871</v>
      </c>
      <c r="JF202" s="561">
        <v>0</v>
      </c>
      <c r="JG202" s="561">
        <v>0</v>
      </c>
      <c r="JH202" s="561">
        <v>0</v>
      </c>
      <c r="JI202" s="561">
        <v>0</v>
      </c>
      <c r="JJ202" s="561">
        <v>0</v>
      </c>
      <c r="JK202" s="561">
        <v>0</v>
      </c>
      <c r="JL202" s="561">
        <v>0</v>
      </c>
      <c r="JM202" s="561">
        <v>0</v>
      </c>
      <c r="JN202" s="561">
        <v>0</v>
      </c>
      <c r="JO202" s="561">
        <v>0</v>
      </c>
      <c r="JP202" s="561">
        <v>0</v>
      </c>
      <c r="JQ202" s="561">
        <v>0</v>
      </c>
      <c r="JR202" s="561">
        <v>0</v>
      </c>
      <c r="JS202" s="561">
        <v>0</v>
      </c>
      <c r="JT202" s="561">
        <v>-1173</v>
      </c>
      <c r="JU202" s="561">
        <v>0</v>
      </c>
      <c r="JV202" s="561">
        <v>891698</v>
      </c>
      <c r="JW202" s="561">
        <v>329</v>
      </c>
      <c r="JX202" s="561">
        <v>29437</v>
      </c>
      <c r="JY202" s="561">
        <v>0</v>
      </c>
      <c r="JZ202" s="561">
        <v>0</v>
      </c>
      <c r="KA202" s="561">
        <v>0</v>
      </c>
      <c r="KB202" s="561">
        <v>0</v>
      </c>
      <c r="KC202" s="561">
        <v>6051</v>
      </c>
      <c r="KD202" s="561">
        <v>416</v>
      </c>
      <c r="KE202" s="561">
        <v>18474</v>
      </c>
      <c r="KF202" s="561">
        <v>0</v>
      </c>
      <c r="KG202" s="561">
        <v>946405</v>
      </c>
      <c r="KH202" s="561">
        <v>-28376</v>
      </c>
      <c r="KI202" s="561">
        <v>0</v>
      </c>
      <c r="KJ202" s="561">
        <v>0</v>
      </c>
      <c r="KK202" s="561">
        <v>0</v>
      </c>
      <c r="KL202" s="561">
        <v>-5291</v>
      </c>
      <c r="KM202" s="561">
        <v>0</v>
      </c>
      <c r="KN202" s="561">
        <v>0</v>
      </c>
      <c r="KO202" s="561">
        <v>0</v>
      </c>
      <c r="KP202" s="561">
        <v>0</v>
      </c>
      <c r="KQ202" s="561">
        <v>-16328</v>
      </c>
      <c r="KR202" s="561">
        <v>896410</v>
      </c>
      <c r="KS202" s="561">
        <v>-1118</v>
      </c>
      <c r="KT202" s="561">
        <v>-413603</v>
      </c>
      <c r="KU202" s="561">
        <v>481689</v>
      </c>
      <c r="KV202" s="561">
        <v>0</v>
      </c>
      <c r="KW202" s="561">
        <v>-4301</v>
      </c>
      <c r="KX202" s="561">
        <v>0</v>
      </c>
      <c r="KY202" s="561">
        <v>-3209</v>
      </c>
      <c r="KZ202" s="561">
        <v>22228</v>
      </c>
      <c r="LA202" s="561">
        <v>4000</v>
      </c>
      <c r="LB202" s="561">
        <v>-29</v>
      </c>
      <c r="LC202" s="561">
        <v>0</v>
      </c>
      <c r="LD202" s="561">
        <v>-100544</v>
      </c>
      <c r="LE202" s="561">
        <v>-1918</v>
      </c>
      <c r="LF202" s="561">
        <v>0</v>
      </c>
      <c r="LG202" s="561">
        <v>397916</v>
      </c>
      <c r="LH202" s="561">
        <v>4956</v>
      </c>
      <c r="LI202" s="561">
        <v>-32021</v>
      </c>
      <c r="LJ202" s="561">
        <v>0</v>
      </c>
      <c r="LK202" s="561">
        <v>9031</v>
      </c>
      <c r="LL202" s="561">
        <v>251830</v>
      </c>
      <c r="LM202" s="561">
        <v>21006</v>
      </c>
      <c r="LN202" s="561">
        <v>655</v>
      </c>
      <c r="LO202" s="561">
        <v>-48349</v>
      </c>
      <c r="LP202" s="561">
        <v>0</v>
      </c>
      <c r="LQ202" s="561">
        <v>5822</v>
      </c>
      <c r="LR202" s="561">
        <v>274058</v>
      </c>
      <c r="LS202" s="561">
        <v>25006</v>
      </c>
      <c r="LT202" s="561">
        <v>0</v>
      </c>
      <c r="LU202" s="561">
        <v>36054</v>
      </c>
      <c r="LV202" s="561">
        <v>5405</v>
      </c>
      <c r="LW202" s="561">
        <v>722</v>
      </c>
      <c r="LX202" s="561">
        <v>-49167</v>
      </c>
      <c r="LY202" s="561">
        <v>15722</v>
      </c>
      <c r="LZ202" s="561">
        <v>8736</v>
      </c>
      <c r="MA202" s="561">
        <v>0</v>
      </c>
      <c r="MB202" s="561">
        <v>0</v>
      </c>
      <c r="MC202" s="561">
        <v>0</v>
      </c>
      <c r="MD202" s="561">
        <v>0</v>
      </c>
      <c r="ME202" s="561">
        <v>0</v>
      </c>
      <c r="MF202" s="561">
        <v>0</v>
      </c>
      <c r="MG202" s="561">
        <v>0</v>
      </c>
      <c r="MH202" s="561">
        <v>0</v>
      </c>
      <c r="MI202" s="561">
        <v>0</v>
      </c>
      <c r="MJ202" s="561">
        <v>0</v>
      </c>
      <c r="MK202" s="561">
        <v>0</v>
      </c>
      <c r="ML202" s="561">
        <v>0</v>
      </c>
      <c r="MM202" s="561">
        <v>165268</v>
      </c>
      <c r="MN202" s="561">
        <v>16683</v>
      </c>
      <c r="MO202" s="561">
        <v>92107</v>
      </c>
      <c r="MP202" s="561">
        <v>0</v>
      </c>
      <c r="MQ202" s="561">
        <v>359559</v>
      </c>
      <c r="MR202" s="561">
        <v>48728</v>
      </c>
      <c r="MS202" s="561">
        <v>140135</v>
      </c>
      <c r="MT202" s="561">
        <v>244475</v>
      </c>
      <c r="MU202" s="561">
        <v>33252</v>
      </c>
      <c r="MV202" s="561">
        <v>3339</v>
      </c>
      <c r="MW202" s="561">
        <v>8344</v>
      </c>
      <c r="MX202" s="561">
        <v>38211</v>
      </c>
      <c r="MY202" s="561">
        <v>2540</v>
      </c>
      <c r="MZ202" s="561">
        <v>0</v>
      </c>
      <c r="NA202" s="561">
        <v>0</v>
      </c>
      <c r="NB202" s="561">
        <v>15120</v>
      </c>
      <c r="NC202" s="561">
        <v>-832</v>
      </c>
      <c r="ND202" s="561">
        <v>892871</v>
      </c>
      <c r="NE202" s="561">
        <v>0</v>
      </c>
      <c r="NF202" s="561">
        <v>0</v>
      </c>
      <c r="NG202" s="561">
        <v>0</v>
      </c>
      <c r="NH202" s="561">
        <v>0</v>
      </c>
      <c r="NI202" s="561">
        <v>0</v>
      </c>
      <c r="NJ202" s="561">
        <v>0</v>
      </c>
      <c r="NK202" s="561">
        <v>0</v>
      </c>
      <c r="NL202" s="561">
        <v>0</v>
      </c>
      <c r="NM202" s="561">
        <v>0</v>
      </c>
      <c r="NN202" s="561">
        <v>0</v>
      </c>
      <c r="NO202" s="561">
        <v>0</v>
      </c>
      <c r="NP202" s="561">
        <v>0</v>
      </c>
      <c r="NQ202" s="561">
        <v>0</v>
      </c>
      <c r="NR202" s="561">
        <v>0</v>
      </c>
      <c r="NS202" s="561">
        <v>0</v>
      </c>
      <c r="NT202" s="561">
        <v>0</v>
      </c>
      <c r="NU202" s="561">
        <v>0</v>
      </c>
      <c r="NV202" s="561">
        <v>0</v>
      </c>
      <c r="NW202" s="561">
        <v>0</v>
      </c>
      <c r="NX202" s="561">
        <v>0</v>
      </c>
      <c r="NY202" s="561">
        <v>0</v>
      </c>
      <c r="NZ202" s="561">
        <v>0</v>
      </c>
      <c r="OA202" s="561">
        <v>0</v>
      </c>
      <c r="OB202" s="561">
        <v>0</v>
      </c>
      <c r="OC202" s="561">
        <v>0</v>
      </c>
      <c r="OD202" s="561">
        <v>0</v>
      </c>
      <c r="OE202" s="561">
        <v>0</v>
      </c>
      <c r="OF202" s="561">
        <v>0</v>
      </c>
      <c r="OG202" s="561">
        <v>0</v>
      </c>
      <c r="OH202" s="561">
        <v>0</v>
      </c>
      <c r="OI202" s="561">
        <v>0</v>
      </c>
      <c r="OJ202" s="561">
        <v>0</v>
      </c>
      <c r="OK202" s="561">
        <v>0</v>
      </c>
      <c r="OL202" s="561">
        <v>0</v>
      </c>
      <c r="OM202" s="561">
        <v>0</v>
      </c>
      <c r="ON202" s="561">
        <v>0</v>
      </c>
      <c r="OO202" s="561">
        <v>0</v>
      </c>
      <c r="OP202" s="561">
        <v>0</v>
      </c>
      <c r="OQ202" s="561">
        <v>0</v>
      </c>
      <c r="OR202" s="561">
        <v>0</v>
      </c>
      <c r="OS202" s="561">
        <v>0</v>
      </c>
      <c r="OT202" s="561">
        <v>0</v>
      </c>
      <c r="OU202" s="561">
        <v>0</v>
      </c>
      <c r="OV202" s="561">
        <v>0</v>
      </c>
      <c r="OW202" s="561">
        <v>0</v>
      </c>
      <c r="OX202" s="561">
        <v>0</v>
      </c>
      <c r="OY202" s="561">
        <v>0</v>
      </c>
      <c r="OZ202" s="561">
        <v>0</v>
      </c>
      <c r="PA202" s="561">
        <v>0</v>
      </c>
      <c r="PB202" s="561">
        <v>0</v>
      </c>
      <c r="PC202" s="561">
        <v>0</v>
      </c>
      <c r="PD202" s="561">
        <v>0</v>
      </c>
      <c r="PE202" s="561">
        <v>0</v>
      </c>
      <c r="PF202" s="561">
        <v>0</v>
      </c>
      <c r="PG202" s="561">
        <v>0</v>
      </c>
      <c r="PH202" s="561">
        <v>0</v>
      </c>
      <c r="PI202" s="561">
        <v>0</v>
      </c>
      <c r="PJ202" s="561">
        <v>0</v>
      </c>
    </row>
    <row r="203" spans="1:426" ht="14" x14ac:dyDescent="0.3">
      <c r="A203" t="s">
        <v>3049</v>
      </c>
      <c r="B203" t="s">
        <v>3050</v>
      </c>
      <c r="C203" t="s">
        <v>4623</v>
      </c>
      <c r="E203" t="s">
        <v>2466</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61">
        <v>0</v>
      </c>
      <c r="U203" s="561">
        <v>0</v>
      </c>
      <c r="V203" s="561">
        <v>0</v>
      </c>
      <c r="W203" s="561">
        <v>0</v>
      </c>
      <c r="X203" s="561">
        <v>0</v>
      </c>
      <c r="Y203" s="561">
        <v>0</v>
      </c>
      <c r="Z203" s="561">
        <v>0</v>
      </c>
      <c r="AA203" s="561">
        <v>0</v>
      </c>
      <c r="AB203" s="561">
        <v>0</v>
      </c>
      <c r="AC203" s="561">
        <v>0</v>
      </c>
      <c r="AD203" s="561">
        <v>0</v>
      </c>
      <c r="AE203" s="561">
        <v>0</v>
      </c>
      <c r="AF203" s="561">
        <v>0</v>
      </c>
      <c r="AG203" s="561">
        <v>0</v>
      </c>
      <c r="AH203" s="561">
        <v>0</v>
      </c>
      <c r="AI203" s="561">
        <v>0</v>
      </c>
      <c r="AJ203" s="561">
        <v>0</v>
      </c>
      <c r="AK203" s="561">
        <v>0</v>
      </c>
      <c r="AL203" s="561">
        <v>0</v>
      </c>
      <c r="AM203" s="561">
        <v>0</v>
      </c>
      <c r="AN203" s="561">
        <v>0</v>
      </c>
      <c r="AO203" s="561">
        <v>0</v>
      </c>
      <c r="AP203" s="561">
        <v>0</v>
      </c>
      <c r="AQ203" s="561">
        <v>0</v>
      </c>
      <c r="AR203" s="561">
        <v>0</v>
      </c>
      <c r="AS203" s="561">
        <v>0</v>
      </c>
      <c r="AT203" s="561">
        <v>0</v>
      </c>
      <c r="AU203" s="561">
        <v>0</v>
      </c>
      <c r="AV203" s="561">
        <v>0</v>
      </c>
      <c r="AW203" s="561">
        <v>0</v>
      </c>
      <c r="AX203" s="561">
        <v>0</v>
      </c>
      <c r="AY203" s="561">
        <v>0</v>
      </c>
      <c r="AZ203" s="561">
        <v>0</v>
      </c>
      <c r="BA203" s="561">
        <v>0</v>
      </c>
      <c r="BB203" s="561">
        <v>0</v>
      </c>
      <c r="BC203" s="561">
        <v>0</v>
      </c>
      <c r="BD203" s="561">
        <v>0</v>
      </c>
      <c r="BE203" s="561">
        <v>0</v>
      </c>
      <c r="BF203" s="561">
        <v>0</v>
      </c>
      <c r="BG203" s="561">
        <v>0</v>
      </c>
      <c r="BH203" s="561">
        <v>0</v>
      </c>
      <c r="BI203" s="561">
        <v>0</v>
      </c>
      <c r="BJ203" s="561">
        <v>0</v>
      </c>
      <c r="BK203" s="561">
        <v>0</v>
      </c>
      <c r="BL203" s="561">
        <v>0</v>
      </c>
      <c r="BM203" s="561">
        <v>0</v>
      </c>
      <c r="BN203" s="561">
        <v>0</v>
      </c>
      <c r="BO203" s="561">
        <v>0</v>
      </c>
      <c r="BP203" s="561">
        <v>0</v>
      </c>
      <c r="BQ203" s="561">
        <v>0</v>
      </c>
      <c r="BR203" s="561">
        <v>0</v>
      </c>
      <c r="BS203" s="561">
        <v>0</v>
      </c>
      <c r="BT203" s="561">
        <v>0</v>
      </c>
      <c r="BU203" s="561">
        <v>0</v>
      </c>
      <c r="BV203" s="561">
        <v>0</v>
      </c>
      <c r="BW203" s="561">
        <v>0</v>
      </c>
      <c r="BX203" s="561">
        <v>0</v>
      </c>
      <c r="BY203" s="561">
        <v>0</v>
      </c>
      <c r="BZ203" s="561">
        <v>0</v>
      </c>
      <c r="CA203" s="561">
        <v>0</v>
      </c>
      <c r="CB203" s="561">
        <v>0</v>
      </c>
      <c r="CC203" s="561">
        <v>0</v>
      </c>
      <c r="CD203" s="561">
        <v>0</v>
      </c>
      <c r="CE203" s="561">
        <v>0</v>
      </c>
      <c r="CF203" s="561">
        <v>0</v>
      </c>
      <c r="CG203" s="561">
        <v>0</v>
      </c>
      <c r="CH203" s="561">
        <v>0</v>
      </c>
      <c r="CI203" s="561">
        <v>0</v>
      </c>
      <c r="CJ203" s="561">
        <v>0</v>
      </c>
      <c r="CK203" s="561">
        <v>0</v>
      </c>
      <c r="CL203" s="561">
        <v>0</v>
      </c>
      <c r="CM203" s="561">
        <v>0</v>
      </c>
      <c r="CN203" s="561">
        <v>0</v>
      </c>
      <c r="CO203" s="561">
        <v>0</v>
      </c>
      <c r="CP203" s="561">
        <v>0</v>
      </c>
      <c r="CQ203" s="561">
        <v>0</v>
      </c>
      <c r="CR203" s="561">
        <v>0</v>
      </c>
      <c r="CS203" s="561">
        <v>0</v>
      </c>
      <c r="CT203" s="561">
        <v>0</v>
      </c>
      <c r="CU203" s="561">
        <v>0</v>
      </c>
      <c r="CV203" s="561">
        <v>0</v>
      </c>
      <c r="CW203" s="561">
        <v>0</v>
      </c>
      <c r="CX203" s="561">
        <v>0</v>
      </c>
      <c r="CY203" s="561">
        <v>0</v>
      </c>
      <c r="CZ203" s="561">
        <v>0</v>
      </c>
      <c r="DA203" s="561">
        <v>0</v>
      </c>
      <c r="DB203" s="561">
        <v>0</v>
      </c>
      <c r="DC203" s="561">
        <v>0</v>
      </c>
      <c r="DD203" s="561">
        <v>0</v>
      </c>
      <c r="DE203" s="561">
        <v>0</v>
      </c>
      <c r="DF203" s="561">
        <v>0</v>
      </c>
      <c r="DG203" s="561">
        <v>0</v>
      </c>
      <c r="DH203" s="561">
        <v>0</v>
      </c>
      <c r="DI203" s="561">
        <v>0</v>
      </c>
      <c r="DJ203" s="561">
        <v>0</v>
      </c>
      <c r="DK203" s="561">
        <v>0</v>
      </c>
      <c r="DL203" s="561">
        <v>0</v>
      </c>
      <c r="DM203" s="561">
        <v>0</v>
      </c>
      <c r="DN203" s="561">
        <v>0</v>
      </c>
      <c r="DO203" s="561">
        <v>0</v>
      </c>
      <c r="DP203" s="561">
        <v>0</v>
      </c>
      <c r="DQ203" s="561">
        <v>0</v>
      </c>
      <c r="DR203" s="561">
        <v>0</v>
      </c>
      <c r="DS203" s="561">
        <v>0</v>
      </c>
      <c r="DT203" s="561">
        <v>0</v>
      </c>
      <c r="DU203" s="561">
        <v>0</v>
      </c>
      <c r="DV203" s="561">
        <v>0</v>
      </c>
      <c r="DW203" s="561">
        <v>0</v>
      </c>
      <c r="DX203" s="561">
        <v>0</v>
      </c>
      <c r="DY203" s="561">
        <v>0</v>
      </c>
      <c r="DZ203" s="561">
        <v>0</v>
      </c>
      <c r="EA203" s="561">
        <v>0</v>
      </c>
      <c r="EB203" s="561">
        <v>0</v>
      </c>
      <c r="EC203" s="561">
        <v>0</v>
      </c>
      <c r="ED203" s="561">
        <v>0</v>
      </c>
      <c r="EE203" s="561">
        <v>0</v>
      </c>
      <c r="EF203" s="561">
        <v>0</v>
      </c>
      <c r="EG203" s="561">
        <v>0</v>
      </c>
      <c r="EH203" s="561">
        <v>0</v>
      </c>
      <c r="EI203" s="561">
        <v>0</v>
      </c>
      <c r="EJ203" s="561">
        <v>0</v>
      </c>
      <c r="EK203" s="561">
        <v>0</v>
      </c>
      <c r="EL203" s="561">
        <v>0</v>
      </c>
      <c r="EM203" s="561">
        <v>0</v>
      </c>
      <c r="EN203" s="561">
        <v>0</v>
      </c>
      <c r="EO203" s="561">
        <v>0</v>
      </c>
      <c r="EP203" s="561">
        <v>0</v>
      </c>
      <c r="EQ203" s="561">
        <v>0</v>
      </c>
      <c r="ER203" s="561">
        <v>0</v>
      </c>
      <c r="ES203" s="561" t="s">
        <v>4565</v>
      </c>
      <c r="ET203" s="561">
        <v>0</v>
      </c>
      <c r="EU203" s="561">
        <v>0</v>
      </c>
      <c r="EV203" s="561">
        <v>0</v>
      </c>
      <c r="EW203" s="561">
        <v>0</v>
      </c>
      <c r="EX203" s="561">
        <v>0</v>
      </c>
      <c r="EY203" s="561">
        <v>0</v>
      </c>
      <c r="EZ203" s="561">
        <v>0</v>
      </c>
      <c r="FA203" s="561">
        <v>0</v>
      </c>
      <c r="FB203" s="561">
        <v>0</v>
      </c>
      <c r="FC203" s="561">
        <v>0</v>
      </c>
      <c r="FD203" s="561">
        <v>0</v>
      </c>
      <c r="FE203" s="561">
        <v>0</v>
      </c>
      <c r="FF203" s="561">
        <v>0</v>
      </c>
      <c r="FG203" s="561">
        <v>0</v>
      </c>
      <c r="FH203" s="561">
        <v>0</v>
      </c>
      <c r="FI203" s="561">
        <v>0</v>
      </c>
      <c r="FJ203" s="561">
        <v>0</v>
      </c>
      <c r="FK203" s="561">
        <v>0</v>
      </c>
      <c r="FL203" s="561">
        <v>0</v>
      </c>
      <c r="FM203" s="561">
        <v>0</v>
      </c>
      <c r="FN203" s="561">
        <v>0</v>
      </c>
      <c r="FO203" s="561">
        <v>0</v>
      </c>
      <c r="FP203" s="561">
        <v>0</v>
      </c>
      <c r="FQ203" s="561">
        <v>0</v>
      </c>
      <c r="FR203" s="561">
        <v>0</v>
      </c>
      <c r="FS203" s="561">
        <v>0</v>
      </c>
      <c r="FT203" s="561">
        <v>0</v>
      </c>
      <c r="FU203" s="561">
        <v>0</v>
      </c>
      <c r="FV203" s="561">
        <v>0</v>
      </c>
      <c r="FW203" s="561">
        <v>0</v>
      </c>
      <c r="FX203" s="561">
        <v>0</v>
      </c>
      <c r="FY203" s="561">
        <v>0</v>
      </c>
      <c r="FZ203" s="561">
        <v>0</v>
      </c>
      <c r="GA203" s="561">
        <v>0</v>
      </c>
      <c r="GB203" s="561">
        <v>0</v>
      </c>
      <c r="GC203" s="561">
        <v>0</v>
      </c>
      <c r="GD203" s="561">
        <v>0</v>
      </c>
      <c r="GE203" s="561">
        <v>0</v>
      </c>
      <c r="GF203" s="561">
        <v>0</v>
      </c>
      <c r="GG203" s="561">
        <v>0</v>
      </c>
      <c r="GH203" s="561">
        <v>0</v>
      </c>
      <c r="GI203" s="561">
        <v>0</v>
      </c>
      <c r="GJ203" s="561">
        <v>0</v>
      </c>
      <c r="GK203" s="561">
        <v>0</v>
      </c>
      <c r="GL203" s="561">
        <v>0</v>
      </c>
      <c r="GM203" s="561">
        <v>0</v>
      </c>
      <c r="GN203" s="561">
        <v>0</v>
      </c>
      <c r="GO203" s="561">
        <v>0</v>
      </c>
      <c r="GP203" s="561">
        <v>0</v>
      </c>
      <c r="GQ203" s="561">
        <v>0</v>
      </c>
      <c r="GR203" s="561">
        <v>0</v>
      </c>
      <c r="GS203" s="561">
        <v>0</v>
      </c>
      <c r="GT203" s="561">
        <v>0</v>
      </c>
      <c r="GU203" s="561">
        <v>0</v>
      </c>
      <c r="GV203" s="561">
        <v>0</v>
      </c>
      <c r="GW203" s="561">
        <v>0</v>
      </c>
      <c r="GX203" s="561">
        <v>0</v>
      </c>
      <c r="GY203" s="561">
        <v>0</v>
      </c>
      <c r="GZ203" s="561">
        <v>0</v>
      </c>
      <c r="HA203" s="561">
        <v>0</v>
      </c>
      <c r="HB203" s="561">
        <v>0</v>
      </c>
      <c r="HC203" s="561">
        <v>0</v>
      </c>
      <c r="HD203" s="561">
        <v>0</v>
      </c>
      <c r="HE203" s="561">
        <v>0</v>
      </c>
      <c r="HF203" s="561">
        <v>0</v>
      </c>
      <c r="HG203" s="561">
        <v>0</v>
      </c>
      <c r="HH203" s="561">
        <v>0</v>
      </c>
      <c r="HI203" s="561">
        <v>0</v>
      </c>
      <c r="HJ203" s="561">
        <v>3278</v>
      </c>
      <c r="HK203" s="561">
        <v>23491</v>
      </c>
      <c r="HL203" s="561">
        <v>547</v>
      </c>
      <c r="HM203" s="561">
        <v>27316</v>
      </c>
      <c r="HN203" s="561">
        <v>0</v>
      </c>
      <c r="HO203" s="561">
        <v>535.84</v>
      </c>
      <c r="HP203" s="561">
        <v>0</v>
      </c>
      <c r="HQ203" s="561">
        <v>0</v>
      </c>
      <c r="HR203" s="561">
        <v>0</v>
      </c>
      <c r="HS203" s="561">
        <v>0</v>
      </c>
      <c r="HT203" s="561">
        <v>0</v>
      </c>
      <c r="HU203" s="561">
        <v>0</v>
      </c>
      <c r="HV203" s="561">
        <v>0</v>
      </c>
      <c r="HW203" s="561">
        <v>0</v>
      </c>
      <c r="HX203" s="561">
        <v>0</v>
      </c>
      <c r="HY203" s="561">
        <v>0</v>
      </c>
      <c r="HZ203" s="561">
        <v>0</v>
      </c>
      <c r="IA203" s="561">
        <v>0</v>
      </c>
      <c r="IB203" s="561">
        <v>0</v>
      </c>
      <c r="IC203" s="561">
        <v>0</v>
      </c>
      <c r="ID203" s="561">
        <v>0</v>
      </c>
      <c r="IE203" s="561">
        <v>0</v>
      </c>
      <c r="IF203" s="561">
        <v>0</v>
      </c>
      <c r="IG203" s="561">
        <v>0</v>
      </c>
      <c r="IH203" s="561">
        <v>20525</v>
      </c>
      <c r="II203" s="561">
        <v>21060.84</v>
      </c>
      <c r="IJ203" s="561">
        <v>632</v>
      </c>
      <c r="IK203" s="561">
        <v>0</v>
      </c>
      <c r="IL203" s="561">
        <v>0</v>
      </c>
      <c r="IM203" s="561">
        <v>0</v>
      </c>
      <c r="IN203" s="561">
        <v>563</v>
      </c>
      <c r="IO203" s="561">
        <v>0</v>
      </c>
      <c r="IP203" s="561">
        <v>0</v>
      </c>
      <c r="IQ203" s="561">
        <v>0</v>
      </c>
      <c r="IR203" s="561">
        <v>0</v>
      </c>
      <c r="IS203" s="561">
        <v>0</v>
      </c>
      <c r="IT203" s="561">
        <v>0</v>
      </c>
      <c r="IU203" s="561">
        <v>0</v>
      </c>
      <c r="IV203" s="561">
        <v>0</v>
      </c>
      <c r="IW203" s="561">
        <v>0</v>
      </c>
      <c r="IX203" s="561">
        <v>0</v>
      </c>
      <c r="IY203" s="561">
        <v>0</v>
      </c>
      <c r="IZ203" s="561">
        <v>0</v>
      </c>
      <c r="JA203" s="561">
        <v>0</v>
      </c>
      <c r="JB203" s="561">
        <v>27316</v>
      </c>
      <c r="JC203" s="561">
        <v>21060.84</v>
      </c>
      <c r="JD203" s="561">
        <v>0</v>
      </c>
      <c r="JE203" s="561">
        <v>48376.84</v>
      </c>
      <c r="JF203" s="561">
        <v>0</v>
      </c>
      <c r="JG203" s="561">
        <v>0</v>
      </c>
      <c r="JH203" s="561">
        <v>0</v>
      </c>
      <c r="JI203" s="561">
        <v>0</v>
      </c>
      <c r="JJ203" s="561">
        <v>0</v>
      </c>
      <c r="JK203" s="561">
        <v>0</v>
      </c>
      <c r="JL203" s="561">
        <v>0</v>
      </c>
      <c r="JM203" s="561">
        <v>0</v>
      </c>
      <c r="JN203" s="561">
        <v>0</v>
      </c>
      <c r="JO203" s="561">
        <v>0</v>
      </c>
      <c r="JP203" s="561">
        <v>0</v>
      </c>
      <c r="JQ203" s="561">
        <v>0</v>
      </c>
      <c r="JR203" s="561">
        <v>0</v>
      </c>
      <c r="JS203" s="561">
        <v>0</v>
      </c>
      <c r="JT203" s="561">
        <v>10.74</v>
      </c>
      <c r="JU203" s="561">
        <v>0</v>
      </c>
      <c r="JV203" s="561">
        <v>48387.58</v>
      </c>
      <c r="JW203" s="561">
        <v>0</v>
      </c>
      <c r="JX203" s="561">
        <v>6047.46</v>
      </c>
      <c r="JY203" s="561">
        <v>0</v>
      </c>
      <c r="JZ203" s="561">
        <v>0</v>
      </c>
      <c r="KA203" s="561">
        <v>0</v>
      </c>
      <c r="KB203" s="561">
        <v>0</v>
      </c>
      <c r="KC203" s="561">
        <v>465</v>
      </c>
      <c r="KD203" s="561">
        <v>-2</v>
      </c>
      <c r="KE203" s="561">
        <v>457</v>
      </c>
      <c r="KF203" s="561">
        <v>0</v>
      </c>
      <c r="KG203" s="561">
        <v>55355.040000000001</v>
      </c>
      <c r="KH203" s="561">
        <v>-924</v>
      </c>
      <c r="KI203" s="561">
        <v>0</v>
      </c>
      <c r="KJ203" s="561">
        <v>0</v>
      </c>
      <c r="KK203" s="561">
        <v>0</v>
      </c>
      <c r="KL203" s="561">
        <v>0</v>
      </c>
      <c r="KM203" s="561">
        <v>0</v>
      </c>
      <c r="KN203" s="561">
        <v>0</v>
      </c>
      <c r="KO203" s="561">
        <v>0</v>
      </c>
      <c r="KP203" s="561">
        <v>0</v>
      </c>
      <c r="KQ203" s="561">
        <v>0</v>
      </c>
      <c r="KR203" s="561">
        <v>54431.040000000001</v>
      </c>
      <c r="KS203" s="561">
        <v>0</v>
      </c>
      <c r="KT203" s="561">
        <v>-3508</v>
      </c>
      <c r="KU203" s="561">
        <v>50923.040000000001</v>
      </c>
      <c r="KV203" s="561">
        <v>0</v>
      </c>
      <c r="KW203" s="561">
        <v>0</v>
      </c>
      <c r="KX203" s="561">
        <v>0</v>
      </c>
      <c r="KY203" s="561">
        <v>0</v>
      </c>
      <c r="KZ203" s="561">
        <v>-673.54</v>
      </c>
      <c r="LA203" s="561">
        <v>-1767</v>
      </c>
      <c r="LB203" s="561">
        <v>-7050</v>
      </c>
      <c r="LC203" s="561">
        <v>0</v>
      </c>
      <c r="LD203" s="561">
        <v>-13183.07</v>
      </c>
      <c r="LE203" s="561">
        <v>-137</v>
      </c>
      <c r="LF203" s="561">
        <v>0</v>
      </c>
      <c r="LG203" s="561">
        <v>28112</v>
      </c>
      <c r="LH203" s="561">
        <v>0</v>
      </c>
      <c r="LI203" s="561">
        <v>0</v>
      </c>
      <c r="LJ203" s="561">
        <v>0</v>
      </c>
      <c r="LK203" s="561">
        <v>0</v>
      </c>
      <c r="LL203" s="561">
        <v>20080</v>
      </c>
      <c r="LM203" s="561">
        <v>2987</v>
      </c>
      <c r="LN203" s="561">
        <v>0</v>
      </c>
      <c r="LO203" s="561">
        <v>0</v>
      </c>
      <c r="LP203" s="561">
        <v>0</v>
      </c>
      <c r="LQ203" s="561">
        <v>0</v>
      </c>
      <c r="LR203" s="561">
        <v>19406.46</v>
      </c>
      <c r="LS203" s="561">
        <v>1220</v>
      </c>
      <c r="LT203" s="561">
        <v>0</v>
      </c>
      <c r="LU203" s="561">
        <v>2630</v>
      </c>
      <c r="LV203" s="561">
        <v>0</v>
      </c>
      <c r="LW203" s="561">
        <v>1243</v>
      </c>
      <c r="LX203" s="561">
        <v>0</v>
      </c>
      <c r="LY203" s="561">
        <v>0</v>
      </c>
      <c r="LZ203" s="561">
        <v>3873</v>
      </c>
      <c r="MA203" s="561">
        <v>0</v>
      </c>
      <c r="MB203" s="561">
        <v>0</v>
      </c>
      <c r="MC203" s="561">
        <v>0</v>
      </c>
      <c r="MD203" s="561">
        <v>0</v>
      </c>
      <c r="ME203" s="561">
        <v>0</v>
      </c>
      <c r="MF203" s="561">
        <v>0</v>
      </c>
      <c r="MG203" s="561">
        <v>0</v>
      </c>
      <c r="MH203" s="561">
        <v>0</v>
      </c>
      <c r="MI203" s="561">
        <v>0</v>
      </c>
      <c r="MJ203" s="561">
        <v>0</v>
      </c>
      <c r="MK203" s="561">
        <v>0</v>
      </c>
      <c r="ML203" s="561">
        <v>0</v>
      </c>
      <c r="MM203" s="561">
        <v>16813.259999999998</v>
      </c>
      <c r="MN203" s="561">
        <v>346.49</v>
      </c>
      <c r="MO203" s="561">
        <v>1966.6</v>
      </c>
      <c r="MP203" s="561">
        <v>280.11</v>
      </c>
      <c r="MQ203" s="561">
        <v>0</v>
      </c>
      <c r="MR203" s="561">
        <v>0</v>
      </c>
      <c r="MS203" s="561">
        <v>0</v>
      </c>
      <c r="MT203" s="561">
        <v>0</v>
      </c>
      <c r="MU203" s="561">
        <v>0</v>
      </c>
      <c r="MV203" s="561">
        <v>0</v>
      </c>
      <c r="MW203" s="561">
        <v>0</v>
      </c>
      <c r="MX203" s="561">
        <v>0</v>
      </c>
      <c r="MY203" s="561">
        <v>0</v>
      </c>
      <c r="MZ203" s="561">
        <v>0</v>
      </c>
      <c r="NA203" s="561">
        <v>27316</v>
      </c>
      <c r="NB203" s="561">
        <v>21060.84</v>
      </c>
      <c r="NC203" s="561">
        <v>0</v>
      </c>
      <c r="ND203" s="561">
        <v>48376.84</v>
      </c>
      <c r="NE203" s="561">
        <v>0</v>
      </c>
      <c r="NF203" s="561">
        <v>0</v>
      </c>
      <c r="NG203" s="561">
        <v>0</v>
      </c>
      <c r="NH203" s="561">
        <v>0</v>
      </c>
      <c r="NI203" s="561">
        <v>0</v>
      </c>
      <c r="NJ203" s="561">
        <v>0</v>
      </c>
      <c r="NK203" s="561">
        <v>0</v>
      </c>
      <c r="NL203" s="561">
        <v>0</v>
      </c>
      <c r="NM203" s="561">
        <v>0</v>
      </c>
      <c r="NN203" s="561">
        <v>0</v>
      </c>
      <c r="NO203" s="561">
        <v>0</v>
      </c>
      <c r="NP203" s="561">
        <v>0</v>
      </c>
      <c r="NQ203" s="561">
        <v>0</v>
      </c>
      <c r="NR203" s="561">
        <v>0</v>
      </c>
      <c r="NS203" s="561">
        <v>0</v>
      </c>
      <c r="NT203" s="561">
        <v>0</v>
      </c>
      <c r="NU203" s="561">
        <v>0</v>
      </c>
      <c r="NV203" s="561">
        <v>0</v>
      </c>
      <c r="NW203" s="561">
        <v>0</v>
      </c>
      <c r="NX203" s="561">
        <v>0</v>
      </c>
      <c r="NY203" s="561">
        <v>0</v>
      </c>
      <c r="NZ203" s="561">
        <v>0</v>
      </c>
      <c r="OA203" s="561">
        <v>0</v>
      </c>
      <c r="OB203" s="561">
        <v>0</v>
      </c>
      <c r="OC203" s="561">
        <v>0</v>
      </c>
      <c r="OD203" s="561">
        <v>0</v>
      </c>
      <c r="OE203" s="561">
        <v>0</v>
      </c>
      <c r="OF203" s="561">
        <v>0</v>
      </c>
      <c r="OG203" s="561">
        <v>0</v>
      </c>
      <c r="OH203" s="561">
        <v>0</v>
      </c>
      <c r="OI203" s="561">
        <v>0</v>
      </c>
      <c r="OJ203" s="561">
        <v>0</v>
      </c>
      <c r="OK203" s="561">
        <v>0</v>
      </c>
      <c r="OL203" s="561">
        <v>0</v>
      </c>
      <c r="OM203" s="561">
        <v>0</v>
      </c>
      <c r="ON203" s="561">
        <v>0</v>
      </c>
      <c r="OO203" s="561">
        <v>0</v>
      </c>
      <c r="OP203" s="561">
        <v>0</v>
      </c>
      <c r="OQ203" s="561">
        <v>0</v>
      </c>
      <c r="OR203" s="561">
        <v>0</v>
      </c>
      <c r="OS203" s="561">
        <v>0</v>
      </c>
      <c r="OT203" s="561">
        <v>0</v>
      </c>
      <c r="OU203" s="561">
        <v>0</v>
      </c>
      <c r="OV203" s="561">
        <v>0</v>
      </c>
      <c r="OW203" s="561">
        <v>0</v>
      </c>
      <c r="OX203" s="561">
        <v>0</v>
      </c>
      <c r="OY203" s="561">
        <v>0</v>
      </c>
      <c r="OZ203" s="561">
        <v>0</v>
      </c>
      <c r="PA203" s="561">
        <v>0</v>
      </c>
      <c r="PB203" s="561">
        <v>0</v>
      </c>
      <c r="PC203" s="561">
        <v>0</v>
      </c>
      <c r="PD203" s="561">
        <v>0</v>
      </c>
      <c r="PE203" s="561">
        <v>0</v>
      </c>
      <c r="PF203" s="561">
        <v>0</v>
      </c>
      <c r="PG203" s="561">
        <v>0</v>
      </c>
      <c r="PH203" s="561">
        <v>0</v>
      </c>
      <c r="PI203" s="561">
        <v>0</v>
      </c>
      <c r="PJ203" s="561">
        <v>0</v>
      </c>
    </row>
    <row r="204" spans="1:426" ht="14" x14ac:dyDescent="0.3">
      <c r="A204" t="s">
        <v>3052</v>
      </c>
      <c r="B204" t="s">
        <v>3053</v>
      </c>
      <c r="C204" t="s">
        <v>3054</v>
      </c>
      <c r="E204" t="s">
        <v>2466</v>
      </c>
      <c r="F204" s="561">
        <v>0</v>
      </c>
      <c r="G204" s="561">
        <v>0</v>
      </c>
      <c r="H204" s="561">
        <v>0</v>
      </c>
      <c r="I204" s="561">
        <v>0</v>
      </c>
      <c r="J204" s="561">
        <v>0</v>
      </c>
      <c r="K204" s="561">
        <v>0</v>
      </c>
      <c r="L204" s="561">
        <v>0</v>
      </c>
      <c r="M204" s="561">
        <v>0</v>
      </c>
      <c r="N204" s="561">
        <v>0</v>
      </c>
      <c r="O204" s="561">
        <v>0</v>
      </c>
      <c r="P204" s="561">
        <v>0</v>
      </c>
      <c r="Q204" s="561">
        <v>0</v>
      </c>
      <c r="R204" s="561">
        <v>0</v>
      </c>
      <c r="S204" s="561">
        <v>0</v>
      </c>
      <c r="T204" s="561">
        <v>0</v>
      </c>
      <c r="U204" s="561">
        <v>0</v>
      </c>
      <c r="V204" s="561">
        <v>0</v>
      </c>
      <c r="W204" s="561">
        <v>0</v>
      </c>
      <c r="X204" s="561">
        <v>0</v>
      </c>
      <c r="Y204" s="561">
        <v>0</v>
      </c>
      <c r="Z204" s="561">
        <v>0</v>
      </c>
      <c r="AA204" s="561">
        <v>0</v>
      </c>
      <c r="AB204" s="561">
        <v>0</v>
      </c>
      <c r="AC204" s="561">
        <v>0</v>
      </c>
      <c r="AD204" s="561">
        <v>0</v>
      </c>
      <c r="AE204" s="561">
        <v>0</v>
      </c>
      <c r="AF204" s="561">
        <v>0</v>
      </c>
      <c r="AG204" s="561">
        <v>0</v>
      </c>
      <c r="AH204" s="561">
        <v>0</v>
      </c>
      <c r="AI204" s="561">
        <v>0</v>
      </c>
      <c r="AJ204" s="561">
        <v>0</v>
      </c>
      <c r="AK204" s="561">
        <v>0</v>
      </c>
      <c r="AL204" s="561">
        <v>0</v>
      </c>
      <c r="AM204" s="561">
        <v>0</v>
      </c>
      <c r="AN204" s="561">
        <v>0</v>
      </c>
      <c r="AO204" s="561">
        <v>0</v>
      </c>
      <c r="AP204" s="561">
        <v>0</v>
      </c>
      <c r="AQ204" s="561">
        <v>0</v>
      </c>
      <c r="AR204" s="561">
        <v>0</v>
      </c>
      <c r="AS204" s="561">
        <v>0</v>
      </c>
      <c r="AT204" s="561">
        <v>0</v>
      </c>
      <c r="AU204" s="561">
        <v>0</v>
      </c>
      <c r="AV204" s="561">
        <v>0</v>
      </c>
      <c r="AW204" s="561">
        <v>0</v>
      </c>
      <c r="AX204" s="561">
        <v>0</v>
      </c>
      <c r="AY204" s="561">
        <v>0</v>
      </c>
      <c r="AZ204" s="561">
        <v>0</v>
      </c>
      <c r="BA204" s="561">
        <v>0</v>
      </c>
      <c r="BB204" s="561">
        <v>0</v>
      </c>
      <c r="BC204" s="561">
        <v>0</v>
      </c>
      <c r="BD204" s="561">
        <v>0</v>
      </c>
      <c r="BE204" s="561">
        <v>0</v>
      </c>
      <c r="BF204" s="561">
        <v>0</v>
      </c>
      <c r="BG204" s="561">
        <v>0</v>
      </c>
      <c r="BH204" s="561">
        <v>0</v>
      </c>
      <c r="BI204" s="561">
        <v>0</v>
      </c>
      <c r="BJ204" s="561">
        <v>0</v>
      </c>
      <c r="BK204" s="561">
        <v>0</v>
      </c>
      <c r="BL204" s="561">
        <v>0</v>
      </c>
      <c r="BM204" s="561">
        <v>0</v>
      </c>
      <c r="BN204" s="561">
        <v>0</v>
      </c>
      <c r="BO204" s="561">
        <v>0</v>
      </c>
      <c r="BP204" s="561">
        <v>0</v>
      </c>
      <c r="BQ204" s="561">
        <v>0</v>
      </c>
      <c r="BR204" s="561">
        <v>0</v>
      </c>
      <c r="BS204" s="561">
        <v>0</v>
      </c>
      <c r="BT204" s="561">
        <v>0</v>
      </c>
      <c r="BU204" s="561">
        <v>0</v>
      </c>
      <c r="BV204" s="561">
        <v>0</v>
      </c>
      <c r="BW204" s="561">
        <v>0</v>
      </c>
      <c r="BX204" s="561">
        <v>0</v>
      </c>
      <c r="BY204" s="561">
        <v>0</v>
      </c>
      <c r="BZ204" s="561">
        <v>0</v>
      </c>
      <c r="CA204" s="561">
        <v>0</v>
      </c>
      <c r="CB204" s="561">
        <v>0</v>
      </c>
      <c r="CC204" s="561">
        <v>0</v>
      </c>
      <c r="CD204" s="561">
        <v>0</v>
      </c>
      <c r="CE204" s="561">
        <v>0</v>
      </c>
      <c r="CF204" s="561">
        <v>0</v>
      </c>
      <c r="CG204" s="561">
        <v>0</v>
      </c>
      <c r="CH204" s="561">
        <v>0</v>
      </c>
      <c r="CI204" s="561">
        <v>0</v>
      </c>
      <c r="CJ204" s="561">
        <v>0</v>
      </c>
      <c r="CK204" s="561">
        <v>0</v>
      </c>
      <c r="CL204" s="561">
        <v>0</v>
      </c>
      <c r="CM204" s="561">
        <v>0</v>
      </c>
      <c r="CN204" s="561">
        <v>0</v>
      </c>
      <c r="CO204" s="561">
        <v>0</v>
      </c>
      <c r="CP204" s="561">
        <v>0</v>
      </c>
      <c r="CQ204" s="561">
        <v>0</v>
      </c>
      <c r="CR204" s="561">
        <v>0</v>
      </c>
      <c r="CS204" s="561">
        <v>0</v>
      </c>
      <c r="CT204" s="561">
        <v>0</v>
      </c>
      <c r="CU204" s="561">
        <v>0</v>
      </c>
      <c r="CV204" s="561">
        <v>0</v>
      </c>
      <c r="CW204" s="561">
        <v>0</v>
      </c>
      <c r="CX204" s="561">
        <v>0</v>
      </c>
      <c r="CY204" s="561">
        <v>0</v>
      </c>
      <c r="CZ204" s="561">
        <v>0</v>
      </c>
      <c r="DA204" s="561">
        <v>0</v>
      </c>
      <c r="DB204" s="561">
        <v>0</v>
      </c>
      <c r="DC204" s="561">
        <v>0</v>
      </c>
      <c r="DD204" s="561">
        <v>0</v>
      </c>
      <c r="DE204" s="561">
        <v>0</v>
      </c>
      <c r="DF204" s="561">
        <v>0</v>
      </c>
      <c r="DG204" s="561">
        <v>0</v>
      </c>
      <c r="DH204" s="561">
        <v>0</v>
      </c>
      <c r="DI204" s="561">
        <v>0</v>
      </c>
      <c r="DJ204" s="561">
        <v>0</v>
      </c>
      <c r="DK204" s="561">
        <v>0</v>
      </c>
      <c r="DL204" s="561">
        <v>0</v>
      </c>
      <c r="DM204" s="561">
        <v>0</v>
      </c>
      <c r="DN204" s="561">
        <v>0</v>
      </c>
      <c r="DO204" s="561">
        <v>0</v>
      </c>
      <c r="DP204" s="561">
        <v>0</v>
      </c>
      <c r="DQ204" s="561">
        <v>0</v>
      </c>
      <c r="DR204" s="561">
        <v>0</v>
      </c>
      <c r="DS204" s="561">
        <v>0</v>
      </c>
      <c r="DT204" s="561">
        <v>0</v>
      </c>
      <c r="DU204" s="561">
        <v>0</v>
      </c>
      <c r="DV204" s="561">
        <v>0</v>
      </c>
      <c r="DW204" s="561">
        <v>0</v>
      </c>
      <c r="DX204" s="561">
        <v>0</v>
      </c>
      <c r="DY204" s="561">
        <v>0</v>
      </c>
      <c r="DZ204" s="561">
        <v>0</v>
      </c>
      <c r="EA204" s="561">
        <v>0</v>
      </c>
      <c r="EB204" s="561">
        <v>0</v>
      </c>
      <c r="EC204" s="561">
        <v>0</v>
      </c>
      <c r="ED204" s="561">
        <v>0</v>
      </c>
      <c r="EE204" s="561">
        <v>0</v>
      </c>
      <c r="EF204" s="561">
        <v>0</v>
      </c>
      <c r="EG204" s="561">
        <v>0</v>
      </c>
      <c r="EH204" s="561">
        <v>0</v>
      </c>
      <c r="EI204" s="561">
        <v>0</v>
      </c>
      <c r="EJ204" s="561">
        <v>0</v>
      </c>
      <c r="EK204" s="561">
        <v>0</v>
      </c>
      <c r="EL204" s="561">
        <v>0</v>
      </c>
      <c r="EM204" s="561">
        <v>0</v>
      </c>
      <c r="EN204" s="561">
        <v>0</v>
      </c>
      <c r="EO204" s="561">
        <v>0</v>
      </c>
      <c r="EP204" s="561">
        <v>0</v>
      </c>
      <c r="EQ204" s="561">
        <v>0</v>
      </c>
      <c r="ER204" s="561">
        <v>0</v>
      </c>
      <c r="ES204" s="561" t="s">
        <v>4565</v>
      </c>
      <c r="ET204" s="561">
        <v>0</v>
      </c>
      <c r="EU204" s="561">
        <v>0</v>
      </c>
      <c r="EV204" s="561">
        <v>0</v>
      </c>
      <c r="EW204" s="561">
        <v>0</v>
      </c>
      <c r="EX204" s="561">
        <v>0</v>
      </c>
      <c r="EY204" s="561">
        <v>0</v>
      </c>
      <c r="EZ204" s="561">
        <v>0</v>
      </c>
      <c r="FA204" s="561">
        <v>0</v>
      </c>
      <c r="FB204" s="561">
        <v>0</v>
      </c>
      <c r="FC204" s="561">
        <v>0</v>
      </c>
      <c r="FD204" s="561">
        <v>0</v>
      </c>
      <c r="FE204" s="561">
        <v>0</v>
      </c>
      <c r="FF204" s="561">
        <v>0</v>
      </c>
      <c r="FG204" s="561">
        <v>0</v>
      </c>
      <c r="FH204" s="561">
        <v>0</v>
      </c>
      <c r="FI204" s="561">
        <v>0</v>
      </c>
      <c r="FJ204" s="561">
        <v>0</v>
      </c>
      <c r="FK204" s="561">
        <v>0</v>
      </c>
      <c r="FL204" s="561">
        <v>0</v>
      </c>
      <c r="FM204" s="561">
        <v>0</v>
      </c>
      <c r="FN204" s="561">
        <v>0</v>
      </c>
      <c r="FO204" s="561">
        <v>0</v>
      </c>
      <c r="FP204" s="561">
        <v>0</v>
      </c>
      <c r="FQ204" s="561">
        <v>0</v>
      </c>
      <c r="FR204" s="561">
        <v>0</v>
      </c>
      <c r="FS204" s="561">
        <v>0</v>
      </c>
      <c r="FT204" s="561">
        <v>0</v>
      </c>
      <c r="FU204" s="561">
        <v>0</v>
      </c>
      <c r="FV204" s="561">
        <v>0</v>
      </c>
      <c r="FW204" s="561">
        <v>0</v>
      </c>
      <c r="FX204" s="561">
        <v>0</v>
      </c>
      <c r="FY204" s="561">
        <v>0</v>
      </c>
      <c r="FZ204" s="561">
        <v>0</v>
      </c>
      <c r="GA204" s="561">
        <v>0</v>
      </c>
      <c r="GB204" s="561">
        <v>0</v>
      </c>
      <c r="GC204" s="561">
        <v>0</v>
      </c>
      <c r="GD204" s="561">
        <v>0</v>
      </c>
      <c r="GE204" s="561">
        <v>0</v>
      </c>
      <c r="GF204" s="561">
        <v>0</v>
      </c>
      <c r="GG204" s="561">
        <v>0</v>
      </c>
      <c r="GH204" s="561">
        <v>0</v>
      </c>
      <c r="GI204" s="561">
        <v>0</v>
      </c>
      <c r="GJ204" s="561">
        <v>0</v>
      </c>
      <c r="GK204" s="561">
        <v>0</v>
      </c>
      <c r="GL204" s="561">
        <v>0</v>
      </c>
      <c r="GM204" s="561">
        <v>0</v>
      </c>
      <c r="GN204" s="561">
        <v>0</v>
      </c>
      <c r="GO204" s="561">
        <v>0</v>
      </c>
      <c r="GP204" s="561">
        <v>0</v>
      </c>
      <c r="GQ204" s="561">
        <v>0</v>
      </c>
      <c r="GR204" s="561">
        <v>0</v>
      </c>
      <c r="GS204" s="561">
        <v>0</v>
      </c>
      <c r="GT204" s="561">
        <v>0</v>
      </c>
      <c r="GU204" s="561">
        <v>0</v>
      </c>
      <c r="GV204" s="561">
        <v>0</v>
      </c>
      <c r="GW204" s="561">
        <v>0</v>
      </c>
      <c r="GX204" s="561">
        <v>0</v>
      </c>
      <c r="GY204" s="561">
        <v>0</v>
      </c>
      <c r="GZ204" s="561">
        <v>0</v>
      </c>
      <c r="HA204" s="561">
        <v>0</v>
      </c>
      <c r="HB204" s="561">
        <v>0</v>
      </c>
      <c r="HC204" s="561">
        <v>0</v>
      </c>
      <c r="HD204" s="561">
        <v>0</v>
      </c>
      <c r="HE204" s="561">
        <v>0</v>
      </c>
      <c r="HF204" s="561">
        <v>0</v>
      </c>
      <c r="HG204" s="561">
        <v>0</v>
      </c>
      <c r="HH204" s="561">
        <v>253032</v>
      </c>
      <c r="HI204" s="561">
        <v>-546</v>
      </c>
      <c r="HJ204" s="561">
        <v>0</v>
      </c>
      <c r="HK204" s="561">
        <v>0</v>
      </c>
      <c r="HL204" s="561">
        <v>0</v>
      </c>
      <c r="HM204" s="561">
        <v>0</v>
      </c>
      <c r="HN204" s="561">
        <v>0</v>
      </c>
      <c r="HO204" s="561">
        <v>1939</v>
      </c>
      <c r="HP204" s="561">
        <v>0</v>
      </c>
      <c r="HQ204" s="561">
        <v>0</v>
      </c>
      <c r="HR204" s="561">
        <v>0</v>
      </c>
      <c r="HS204" s="561">
        <v>0</v>
      </c>
      <c r="HT204" s="561">
        <v>0</v>
      </c>
      <c r="HU204" s="561">
        <v>0</v>
      </c>
      <c r="HV204" s="561">
        <v>0</v>
      </c>
      <c r="HW204" s="561">
        <v>0</v>
      </c>
      <c r="HX204" s="561">
        <v>0</v>
      </c>
      <c r="HY204" s="561">
        <v>0</v>
      </c>
      <c r="HZ204" s="561">
        <v>0</v>
      </c>
      <c r="IA204" s="561">
        <v>0</v>
      </c>
      <c r="IB204" s="561">
        <v>0</v>
      </c>
      <c r="IC204" s="561">
        <v>0</v>
      </c>
      <c r="ID204" s="561">
        <v>0</v>
      </c>
      <c r="IE204" s="561">
        <v>0</v>
      </c>
      <c r="IF204" s="561">
        <v>0</v>
      </c>
      <c r="IG204" s="561">
        <v>0</v>
      </c>
      <c r="IH204" s="561">
        <v>0</v>
      </c>
      <c r="II204" s="561">
        <v>1939</v>
      </c>
      <c r="IJ204" s="561">
        <v>546</v>
      </c>
      <c r="IK204" s="561">
        <v>0</v>
      </c>
      <c r="IL204" s="561">
        <v>0</v>
      </c>
      <c r="IM204" s="561">
        <v>0</v>
      </c>
      <c r="IN204" s="561">
        <v>0</v>
      </c>
      <c r="IO204" s="561">
        <v>0</v>
      </c>
      <c r="IP204" s="561">
        <v>0</v>
      </c>
      <c r="IQ204" s="561">
        <v>0</v>
      </c>
      <c r="IR204" s="561">
        <v>0</v>
      </c>
      <c r="IS204" s="561">
        <v>0</v>
      </c>
      <c r="IT204" s="561">
        <v>0</v>
      </c>
      <c r="IU204" s="561">
        <v>0</v>
      </c>
      <c r="IV204" s="561">
        <v>0</v>
      </c>
      <c r="IW204" s="561">
        <v>0</v>
      </c>
      <c r="IX204" s="561">
        <v>0</v>
      </c>
      <c r="IY204" s="561">
        <v>0</v>
      </c>
      <c r="IZ204" s="561">
        <v>0</v>
      </c>
      <c r="JA204" s="561">
        <v>253032</v>
      </c>
      <c r="JB204" s="561">
        <v>0</v>
      </c>
      <c r="JC204" s="561">
        <v>1939</v>
      </c>
      <c r="JD204" s="561">
        <v>0</v>
      </c>
      <c r="JE204" s="561">
        <v>254971</v>
      </c>
      <c r="JF204" s="561">
        <v>0</v>
      </c>
      <c r="JG204" s="561">
        <v>0</v>
      </c>
      <c r="JH204" s="561">
        <v>0</v>
      </c>
      <c r="JI204" s="561">
        <v>0</v>
      </c>
      <c r="JJ204" s="561">
        <v>0</v>
      </c>
      <c r="JK204" s="561">
        <v>0</v>
      </c>
      <c r="JL204" s="561">
        <v>0</v>
      </c>
      <c r="JM204" s="561">
        <v>0</v>
      </c>
      <c r="JN204" s="561">
        <v>0</v>
      </c>
      <c r="JO204" s="561">
        <v>0</v>
      </c>
      <c r="JP204" s="561">
        <v>0</v>
      </c>
      <c r="JQ204" s="561">
        <v>0</v>
      </c>
      <c r="JR204" s="561">
        <v>0</v>
      </c>
      <c r="JS204" s="561">
        <v>0</v>
      </c>
      <c r="JT204" s="561">
        <v>-84</v>
      </c>
      <c r="JU204" s="561">
        <v>0</v>
      </c>
      <c r="JV204" s="561">
        <v>254887</v>
      </c>
      <c r="JW204" s="561">
        <v>0</v>
      </c>
      <c r="JX204" s="561">
        <v>4499</v>
      </c>
      <c r="JY204" s="561">
        <v>0</v>
      </c>
      <c r="JZ204" s="561">
        <v>0</v>
      </c>
      <c r="KA204" s="561">
        <v>0</v>
      </c>
      <c r="KB204" s="561">
        <v>1</v>
      </c>
      <c r="KC204" s="561">
        <v>5363</v>
      </c>
      <c r="KD204" s="561">
        <v>0</v>
      </c>
      <c r="KE204" s="561">
        <v>866</v>
      </c>
      <c r="KF204" s="561">
        <v>0</v>
      </c>
      <c r="KG204" s="561">
        <v>265616</v>
      </c>
      <c r="KH204" s="561">
        <v>-1453</v>
      </c>
      <c r="KI204" s="561">
        <v>0</v>
      </c>
      <c r="KJ204" s="561">
        <v>0</v>
      </c>
      <c r="KK204" s="561">
        <v>0</v>
      </c>
      <c r="KL204" s="561">
        <v>0</v>
      </c>
      <c r="KM204" s="561">
        <v>0</v>
      </c>
      <c r="KN204" s="561">
        <v>0</v>
      </c>
      <c r="KO204" s="561">
        <v>0</v>
      </c>
      <c r="KP204" s="561">
        <v>0</v>
      </c>
      <c r="KQ204" s="561">
        <v>0</v>
      </c>
      <c r="KR204" s="561">
        <v>264163</v>
      </c>
      <c r="KS204" s="561">
        <v>0</v>
      </c>
      <c r="KT204" s="561">
        <v>-24444</v>
      </c>
      <c r="KU204" s="561">
        <v>239719</v>
      </c>
      <c r="KV204" s="561">
        <v>0</v>
      </c>
      <c r="KW204" s="561">
        <v>0</v>
      </c>
      <c r="KX204" s="561">
        <v>0</v>
      </c>
      <c r="KY204" s="561">
        <v>0</v>
      </c>
      <c r="KZ204" s="561">
        <v>2511</v>
      </c>
      <c r="LA204" s="561">
        <v>860</v>
      </c>
      <c r="LB204" s="561">
        <v>0</v>
      </c>
      <c r="LC204" s="561">
        <v>-144359</v>
      </c>
      <c r="LD204" s="561">
        <v>0</v>
      </c>
      <c r="LE204" s="561">
        <v>-187</v>
      </c>
      <c r="LF204" s="561">
        <v>0</v>
      </c>
      <c r="LG204" s="561">
        <v>98544</v>
      </c>
      <c r="LH204" s="561">
        <v>0</v>
      </c>
      <c r="LI204" s="561">
        <v>0</v>
      </c>
      <c r="LJ204" s="561">
        <v>0</v>
      </c>
      <c r="LK204" s="561">
        <v>0</v>
      </c>
      <c r="LL204" s="561">
        <v>25976</v>
      </c>
      <c r="LM204" s="561">
        <v>5000</v>
      </c>
      <c r="LN204" s="561">
        <v>0</v>
      </c>
      <c r="LO204" s="561">
        <v>0</v>
      </c>
      <c r="LP204" s="561">
        <v>0</v>
      </c>
      <c r="LQ204" s="561">
        <v>0</v>
      </c>
      <c r="LR204" s="561">
        <v>28487</v>
      </c>
      <c r="LS204" s="561">
        <v>5860</v>
      </c>
      <c r="LT204" s="561">
        <v>0</v>
      </c>
      <c r="LU204" s="561">
        <v>0</v>
      </c>
      <c r="LV204" s="561">
        <v>0</v>
      </c>
      <c r="LW204" s="561">
        <v>0</v>
      </c>
      <c r="LX204" s="561">
        <v>0</v>
      </c>
      <c r="LY204" s="561">
        <v>0</v>
      </c>
      <c r="LZ204" s="561">
        <v>0</v>
      </c>
      <c r="MA204" s="561">
        <v>0</v>
      </c>
      <c r="MB204" s="561">
        <v>0</v>
      </c>
      <c r="MC204" s="561">
        <v>0</v>
      </c>
      <c r="MD204" s="561">
        <v>0</v>
      </c>
      <c r="ME204" s="561">
        <v>0</v>
      </c>
      <c r="MF204" s="561">
        <v>0</v>
      </c>
      <c r="MG204" s="561">
        <v>0</v>
      </c>
      <c r="MH204" s="561">
        <v>0</v>
      </c>
      <c r="MI204" s="561">
        <v>0</v>
      </c>
      <c r="MJ204" s="561">
        <v>0</v>
      </c>
      <c r="MK204" s="561">
        <v>0</v>
      </c>
      <c r="ML204" s="561">
        <v>0</v>
      </c>
      <c r="MM204" s="561">
        <v>15155</v>
      </c>
      <c r="MN204" s="561">
        <v>1566</v>
      </c>
      <c r="MO204" s="561">
        <v>11766</v>
      </c>
      <c r="MP204" s="561">
        <v>0</v>
      </c>
      <c r="MQ204" s="561">
        <v>0</v>
      </c>
      <c r="MR204" s="561">
        <v>0</v>
      </c>
      <c r="MS204" s="561">
        <v>0</v>
      </c>
      <c r="MT204" s="561">
        <v>0</v>
      </c>
      <c r="MU204" s="561">
        <v>0</v>
      </c>
      <c r="MV204" s="561">
        <v>0</v>
      </c>
      <c r="MW204" s="561">
        <v>0</v>
      </c>
      <c r="MX204" s="561">
        <v>0</v>
      </c>
      <c r="MY204" s="561">
        <v>0</v>
      </c>
      <c r="MZ204" s="561">
        <v>253032</v>
      </c>
      <c r="NA204" s="561">
        <v>0</v>
      </c>
      <c r="NB204" s="561">
        <v>1939</v>
      </c>
      <c r="NC204" s="561">
        <v>0</v>
      </c>
      <c r="ND204" s="561">
        <v>254971</v>
      </c>
      <c r="NE204" s="561">
        <v>0</v>
      </c>
      <c r="NF204" s="561">
        <v>0</v>
      </c>
      <c r="NG204" s="561">
        <v>0</v>
      </c>
      <c r="NH204" s="561">
        <v>0</v>
      </c>
      <c r="NI204" s="561">
        <v>0</v>
      </c>
      <c r="NJ204" s="561">
        <v>0</v>
      </c>
      <c r="NK204" s="561">
        <v>0</v>
      </c>
      <c r="NL204" s="561">
        <v>0</v>
      </c>
      <c r="NM204" s="561">
        <v>0</v>
      </c>
      <c r="NN204" s="561">
        <v>0</v>
      </c>
      <c r="NO204" s="561">
        <v>0</v>
      </c>
      <c r="NP204" s="561">
        <v>0</v>
      </c>
      <c r="NQ204" s="561">
        <v>0</v>
      </c>
      <c r="NR204" s="561">
        <v>0</v>
      </c>
      <c r="NS204" s="561">
        <v>0</v>
      </c>
      <c r="NT204" s="561">
        <v>0</v>
      </c>
      <c r="NU204" s="561">
        <v>0</v>
      </c>
      <c r="NV204" s="561">
        <v>0</v>
      </c>
      <c r="NW204" s="561">
        <v>0</v>
      </c>
      <c r="NX204" s="561">
        <v>0</v>
      </c>
      <c r="NY204" s="561">
        <v>0</v>
      </c>
      <c r="NZ204" s="561">
        <v>0</v>
      </c>
      <c r="OA204" s="561">
        <v>0</v>
      </c>
      <c r="OB204" s="561">
        <v>0</v>
      </c>
      <c r="OC204" s="561">
        <v>0</v>
      </c>
      <c r="OD204" s="561">
        <v>0</v>
      </c>
      <c r="OE204" s="561">
        <v>0</v>
      </c>
      <c r="OF204" s="561">
        <v>0</v>
      </c>
      <c r="OG204" s="561">
        <v>0</v>
      </c>
      <c r="OH204" s="561">
        <v>0</v>
      </c>
      <c r="OI204" s="561">
        <v>0</v>
      </c>
      <c r="OJ204" s="561">
        <v>0</v>
      </c>
      <c r="OK204" s="561">
        <v>0</v>
      </c>
      <c r="OL204" s="561">
        <v>0</v>
      </c>
      <c r="OM204" s="561">
        <v>0</v>
      </c>
      <c r="ON204" s="561">
        <v>0</v>
      </c>
      <c r="OO204" s="561">
        <v>0</v>
      </c>
      <c r="OP204" s="561">
        <v>0</v>
      </c>
      <c r="OQ204" s="561">
        <v>0</v>
      </c>
      <c r="OR204" s="561">
        <v>0</v>
      </c>
      <c r="OS204" s="561">
        <v>0</v>
      </c>
      <c r="OT204" s="561">
        <v>0</v>
      </c>
      <c r="OU204" s="561">
        <v>0</v>
      </c>
      <c r="OV204" s="561">
        <v>0</v>
      </c>
      <c r="OW204" s="561">
        <v>0</v>
      </c>
      <c r="OX204" s="561">
        <v>0</v>
      </c>
      <c r="OY204" s="561">
        <v>0</v>
      </c>
      <c r="OZ204" s="561">
        <v>0</v>
      </c>
      <c r="PA204" s="561">
        <v>0</v>
      </c>
      <c r="PB204" s="561">
        <v>0</v>
      </c>
      <c r="PC204" s="561">
        <v>0</v>
      </c>
      <c r="PD204" s="561">
        <v>0</v>
      </c>
      <c r="PE204" s="561">
        <v>0</v>
      </c>
      <c r="PF204" s="561">
        <v>0</v>
      </c>
      <c r="PG204" s="561">
        <v>0</v>
      </c>
      <c r="PH204" s="561">
        <v>0</v>
      </c>
      <c r="PI204" s="561">
        <v>0</v>
      </c>
      <c r="PJ204" s="561">
        <v>0</v>
      </c>
    </row>
    <row r="205" spans="1:426" ht="14" x14ac:dyDescent="0.3">
      <c r="A205" t="s">
        <v>3055</v>
      </c>
      <c r="B205" t="s">
        <v>3056</v>
      </c>
      <c r="C205" t="s">
        <v>3057</v>
      </c>
      <c r="E205" t="s">
        <v>384</v>
      </c>
      <c r="F205" s="561">
        <v>0</v>
      </c>
      <c r="G205" s="561">
        <v>0</v>
      </c>
      <c r="H205" s="561">
        <v>0</v>
      </c>
      <c r="I205" s="561">
        <v>0</v>
      </c>
      <c r="J205" s="561">
        <v>0</v>
      </c>
      <c r="K205" s="561">
        <v>0</v>
      </c>
      <c r="L205" s="561">
        <v>0</v>
      </c>
      <c r="M205" s="561">
        <v>0</v>
      </c>
      <c r="N205" s="561">
        <v>0</v>
      </c>
      <c r="O205" s="561">
        <v>0</v>
      </c>
      <c r="P205" s="561">
        <v>0</v>
      </c>
      <c r="Q205" s="561">
        <v>0</v>
      </c>
      <c r="R205" s="561">
        <v>0</v>
      </c>
      <c r="S205" s="561">
        <v>0</v>
      </c>
      <c r="T205" s="561">
        <v>0</v>
      </c>
      <c r="U205" s="561">
        <v>0</v>
      </c>
      <c r="V205" s="561">
        <v>0</v>
      </c>
      <c r="W205" s="561">
        <v>0</v>
      </c>
      <c r="X205" s="561">
        <v>0</v>
      </c>
      <c r="Y205" s="561">
        <v>0</v>
      </c>
      <c r="Z205" s="561">
        <v>-3</v>
      </c>
      <c r="AA205" s="561">
        <v>0</v>
      </c>
      <c r="AB205" s="561">
        <v>-97</v>
      </c>
      <c r="AC205" s="561">
        <v>0</v>
      </c>
      <c r="AD205" s="561">
        <v>0</v>
      </c>
      <c r="AE205" s="561">
        <v>0</v>
      </c>
      <c r="AF205" s="561">
        <v>0</v>
      </c>
      <c r="AG205" s="561">
        <v>0</v>
      </c>
      <c r="AH205" s="561">
        <v>0</v>
      </c>
      <c r="AI205" s="561">
        <v>0</v>
      </c>
      <c r="AJ205" s="561">
        <v>-100</v>
      </c>
      <c r="AK205" s="561">
        <v>0</v>
      </c>
      <c r="AL205" s="561">
        <v>0</v>
      </c>
      <c r="AM205" s="561">
        <v>0</v>
      </c>
      <c r="AN205" s="561">
        <v>0</v>
      </c>
      <c r="AO205" s="561">
        <v>0</v>
      </c>
      <c r="AP205" s="561">
        <v>0</v>
      </c>
      <c r="AQ205" s="561">
        <v>0</v>
      </c>
      <c r="AR205" s="561">
        <v>0</v>
      </c>
      <c r="AS205" s="561">
        <v>0</v>
      </c>
      <c r="AT205" s="561">
        <v>0</v>
      </c>
      <c r="AU205" s="561">
        <v>0</v>
      </c>
      <c r="AV205" s="561">
        <v>0</v>
      </c>
      <c r="AW205" s="561">
        <v>0</v>
      </c>
      <c r="AX205" s="561">
        <v>0</v>
      </c>
      <c r="AY205" s="561">
        <v>0</v>
      </c>
      <c r="AZ205" s="561">
        <v>0</v>
      </c>
      <c r="BA205" s="561">
        <v>0</v>
      </c>
      <c r="BB205" s="561">
        <v>0</v>
      </c>
      <c r="BC205" s="561">
        <v>0</v>
      </c>
      <c r="BD205" s="561">
        <v>0</v>
      </c>
      <c r="BE205" s="561">
        <v>0</v>
      </c>
      <c r="BF205" s="561">
        <v>0</v>
      </c>
      <c r="BG205" s="561">
        <v>0</v>
      </c>
      <c r="BH205" s="561">
        <v>0</v>
      </c>
      <c r="BI205" s="561">
        <v>0</v>
      </c>
      <c r="BJ205" s="561">
        <v>0</v>
      </c>
      <c r="BK205" s="561">
        <v>0</v>
      </c>
      <c r="BL205" s="561">
        <v>0</v>
      </c>
      <c r="BM205" s="561">
        <v>0</v>
      </c>
      <c r="BN205" s="561">
        <v>0</v>
      </c>
      <c r="BO205" s="561">
        <v>0</v>
      </c>
      <c r="BP205" s="561">
        <v>0</v>
      </c>
      <c r="BQ205" s="561">
        <v>0</v>
      </c>
      <c r="BR205" s="561">
        <v>0</v>
      </c>
      <c r="BS205" s="561">
        <v>0</v>
      </c>
      <c r="BT205" s="561">
        <v>0</v>
      </c>
      <c r="BU205" s="561">
        <v>0</v>
      </c>
      <c r="BV205" s="561">
        <v>0</v>
      </c>
      <c r="BW205" s="561">
        <v>0</v>
      </c>
      <c r="BX205" s="561">
        <v>0</v>
      </c>
      <c r="BY205" s="561">
        <v>0</v>
      </c>
      <c r="BZ205" s="561">
        <v>0</v>
      </c>
      <c r="CA205" s="561">
        <v>0</v>
      </c>
      <c r="CB205" s="561">
        <v>0</v>
      </c>
      <c r="CC205" s="561">
        <v>0</v>
      </c>
      <c r="CD205" s="561">
        <v>0</v>
      </c>
      <c r="CE205" s="561">
        <v>0</v>
      </c>
      <c r="CF205" s="561">
        <v>0</v>
      </c>
      <c r="CG205" s="561">
        <v>0</v>
      </c>
      <c r="CH205" s="561">
        <v>0</v>
      </c>
      <c r="CI205" s="561">
        <v>0</v>
      </c>
      <c r="CJ205" s="561">
        <v>0</v>
      </c>
      <c r="CK205" s="561">
        <v>0</v>
      </c>
      <c r="CL205" s="561">
        <v>0</v>
      </c>
      <c r="CM205" s="561">
        <v>0</v>
      </c>
      <c r="CN205" s="561">
        <v>0</v>
      </c>
      <c r="CO205" s="561">
        <v>0</v>
      </c>
      <c r="CP205" s="561">
        <v>0</v>
      </c>
      <c r="CQ205" s="561">
        <v>0</v>
      </c>
      <c r="CR205" s="561">
        <v>0</v>
      </c>
      <c r="CS205" s="561">
        <v>0</v>
      </c>
      <c r="CT205" s="561">
        <v>0</v>
      </c>
      <c r="CU205" s="561">
        <v>0</v>
      </c>
      <c r="CV205" s="561">
        <v>0</v>
      </c>
      <c r="CW205" s="561">
        <v>0</v>
      </c>
      <c r="CX205" s="561">
        <v>0</v>
      </c>
      <c r="CY205" s="561">
        <v>0</v>
      </c>
      <c r="CZ205" s="561">
        <v>0</v>
      </c>
      <c r="DA205" s="561">
        <v>0</v>
      </c>
      <c r="DB205" s="561">
        <v>0</v>
      </c>
      <c r="DC205" s="561">
        <v>0</v>
      </c>
      <c r="DD205" s="561">
        <v>0</v>
      </c>
      <c r="DE205" s="561">
        <v>0</v>
      </c>
      <c r="DF205" s="561">
        <v>0</v>
      </c>
      <c r="DG205" s="561">
        <v>0</v>
      </c>
      <c r="DH205" s="561">
        <v>342</v>
      </c>
      <c r="DI205" s="561">
        <v>0</v>
      </c>
      <c r="DJ205" s="561">
        <v>-144</v>
      </c>
      <c r="DK205" s="561">
        <v>0</v>
      </c>
      <c r="DL205" s="561">
        <v>0</v>
      </c>
      <c r="DM205" s="561">
        <v>13</v>
      </c>
      <c r="DN205" s="561">
        <v>0</v>
      </c>
      <c r="DO205" s="561">
        <v>982</v>
      </c>
      <c r="DP205" s="561">
        <v>0</v>
      </c>
      <c r="DQ205" s="561">
        <v>0</v>
      </c>
      <c r="DR205" s="561">
        <v>0</v>
      </c>
      <c r="DS205" s="561">
        <v>0</v>
      </c>
      <c r="DT205" s="561">
        <v>0</v>
      </c>
      <c r="DU205" s="561">
        <v>995</v>
      </c>
      <c r="DV205" s="561">
        <v>0</v>
      </c>
      <c r="DW205" s="561">
        <v>0</v>
      </c>
      <c r="DX205" s="561">
        <v>0</v>
      </c>
      <c r="DY205" s="561">
        <v>194</v>
      </c>
      <c r="DZ205" s="561">
        <v>0</v>
      </c>
      <c r="EA205" s="561">
        <v>44</v>
      </c>
      <c r="EB205" s="561">
        <v>28</v>
      </c>
      <c r="EC205" s="561">
        <v>1459</v>
      </c>
      <c r="ED205" s="561">
        <v>0</v>
      </c>
      <c r="EE205" s="561">
        <v>18721</v>
      </c>
      <c r="EF205" s="561">
        <v>327</v>
      </c>
      <c r="EG205" s="561">
        <v>1612</v>
      </c>
      <c r="EH205" s="561">
        <v>233</v>
      </c>
      <c r="EI205" s="561">
        <v>0</v>
      </c>
      <c r="EJ205" s="561">
        <v>575</v>
      </c>
      <c r="EK205" s="561">
        <v>0</v>
      </c>
      <c r="EL205" s="561">
        <v>0</v>
      </c>
      <c r="EM205" s="561">
        <v>0</v>
      </c>
      <c r="EN205" s="561">
        <v>6060</v>
      </c>
      <c r="EO205" s="561">
        <v>3909</v>
      </c>
      <c r="EP205" s="561">
        <v>1659</v>
      </c>
      <c r="EQ205" s="561">
        <v>216</v>
      </c>
      <c r="ER205" s="561">
        <v>8518</v>
      </c>
      <c r="ES205" s="561" t="s">
        <v>4565</v>
      </c>
      <c r="ET205" s="561">
        <v>0</v>
      </c>
      <c r="EU205" s="561">
        <v>1693</v>
      </c>
      <c r="EV205" s="561">
        <v>9</v>
      </c>
      <c r="EW205" s="561">
        <v>144</v>
      </c>
      <c r="EX205" s="561">
        <v>117</v>
      </c>
      <c r="EY205" s="561">
        <v>58</v>
      </c>
      <c r="EZ205" s="561">
        <v>-915</v>
      </c>
      <c r="FA205" s="561">
        <v>4485</v>
      </c>
      <c r="FB205" s="561">
        <v>0</v>
      </c>
      <c r="FC205" s="561">
        <v>0</v>
      </c>
      <c r="FD205" s="561">
        <v>0</v>
      </c>
      <c r="FE205" s="561">
        <v>-6</v>
      </c>
      <c r="FF205" s="561">
        <v>0</v>
      </c>
      <c r="FG205" s="561">
        <v>0</v>
      </c>
      <c r="FH205" s="561">
        <v>0</v>
      </c>
      <c r="FI205" s="561">
        <v>0</v>
      </c>
      <c r="FJ205" s="561">
        <v>0</v>
      </c>
      <c r="FK205" s="561">
        <v>1487</v>
      </c>
      <c r="FL205" s="561">
        <v>0</v>
      </c>
      <c r="FM205" s="561">
        <v>500</v>
      </c>
      <c r="FN205" s="561">
        <v>0</v>
      </c>
      <c r="FO205" s="561">
        <v>1981</v>
      </c>
      <c r="FP205" s="561">
        <v>0</v>
      </c>
      <c r="FQ205" s="561">
        <v>98</v>
      </c>
      <c r="FR205" s="561">
        <v>0</v>
      </c>
      <c r="FS205" s="561">
        <v>14</v>
      </c>
      <c r="FT205" s="561">
        <v>-7</v>
      </c>
      <c r="FU205" s="561">
        <v>210</v>
      </c>
      <c r="FV205" s="561">
        <v>0</v>
      </c>
      <c r="FW205" s="561">
        <v>-85</v>
      </c>
      <c r="FX205" s="561">
        <v>-52</v>
      </c>
      <c r="FY205" s="561">
        <v>0</v>
      </c>
      <c r="FZ205" s="561">
        <v>0</v>
      </c>
      <c r="GA205" s="561">
        <v>144</v>
      </c>
      <c r="GB205" s="561">
        <v>76</v>
      </c>
      <c r="GC205" s="561">
        <v>4</v>
      </c>
      <c r="GD205" s="561">
        <v>-18</v>
      </c>
      <c r="GE205" s="561">
        <v>0</v>
      </c>
      <c r="GF205" s="561">
        <v>0</v>
      </c>
      <c r="GG205" s="561">
        <v>113</v>
      </c>
      <c r="GH205" s="561">
        <v>0</v>
      </c>
      <c r="GI205" s="561">
        <v>0</v>
      </c>
      <c r="GJ205" s="561">
        <v>200</v>
      </c>
      <c r="GK205" s="561">
        <v>0</v>
      </c>
      <c r="GL205" s="561">
        <v>742</v>
      </c>
      <c r="GM205" s="561">
        <v>3491.19</v>
      </c>
      <c r="GN205" s="561">
        <v>0</v>
      </c>
      <c r="GO205" s="561">
        <v>-69</v>
      </c>
      <c r="GP205" s="561">
        <v>1419</v>
      </c>
      <c r="GQ205" s="561">
        <v>0</v>
      </c>
      <c r="GR205" s="561">
        <v>0</v>
      </c>
      <c r="GS205" s="561">
        <v>6280.19</v>
      </c>
      <c r="GT205" s="561">
        <v>32</v>
      </c>
      <c r="GU205" s="561">
        <v>186.04</v>
      </c>
      <c r="GV205" s="561">
        <v>238.55</v>
      </c>
      <c r="GW205" s="561">
        <v>0</v>
      </c>
      <c r="GX205" s="561">
        <v>550.65</v>
      </c>
      <c r="GY205" s="561">
        <v>0</v>
      </c>
      <c r="GZ205" s="561">
        <v>1185.71</v>
      </c>
      <c r="HA205" s="561">
        <v>0</v>
      </c>
      <c r="HB205" s="561">
        <v>0</v>
      </c>
      <c r="HC205" s="561">
        <v>0</v>
      </c>
      <c r="HD205" s="561">
        <v>2160.9499999999998</v>
      </c>
      <c r="HE205" s="561">
        <v>0</v>
      </c>
      <c r="HF205" s="561">
        <v>10422.14</v>
      </c>
      <c r="HG205" s="561">
        <v>0</v>
      </c>
      <c r="HH205" s="561">
        <v>0</v>
      </c>
      <c r="HI205" s="561">
        <v>0</v>
      </c>
      <c r="HJ205" s="561">
        <v>0</v>
      </c>
      <c r="HK205" s="561">
        <v>0</v>
      </c>
      <c r="HL205" s="561">
        <v>0</v>
      </c>
      <c r="HM205" s="561">
        <v>0</v>
      </c>
      <c r="HN205" s="561">
        <v>0</v>
      </c>
      <c r="HO205" s="561">
        <v>2689.65</v>
      </c>
      <c r="HP205" s="561">
        <v>-109.29</v>
      </c>
      <c r="HQ205" s="561">
        <v>0</v>
      </c>
      <c r="HR205" s="561">
        <v>0</v>
      </c>
      <c r="HS205" s="561">
        <v>14.2</v>
      </c>
      <c r="HT205" s="561">
        <v>-4.8</v>
      </c>
      <c r="HU205" s="561">
        <v>0</v>
      </c>
      <c r="HV205" s="561">
        <v>0</v>
      </c>
      <c r="HW205" s="561">
        <v>116.91</v>
      </c>
      <c r="HX205" s="561">
        <v>241.91</v>
      </c>
      <c r="HY205" s="561">
        <v>86</v>
      </c>
      <c r="HZ205" s="561">
        <v>35</v>
      </c>
      <c r="IA205" s="561">
        <v>1</v>
      </c>
      <c r="IB205" s="561">
        <v>260</v>
      </c>
      <c r="IC205" s="561">
        <v>0</v>
      </c>
      <c r="ID205" s="561">
        <v>0</v>
      </c>
      <c r="IE205" s="561">
        <v>123.99</v>
      </c>
      <c r="IF205" s="561">
        <v>0</v>
      </c>
      <c r="IG205" s="561">
        <v>-39</v>
      </c>
      <c r="IH205" s="561">
        <v>8384.75</v>
      </c>
      <c r="II205" s="561">
        <v>11800.32</v>
      </c>
      <c r="IJ205" s="561">
        <v>69</v>
      </c>
      <c r="IK205" s="561">
        <v>505</v>
      </c>
      <c r="IL205" s="561">
        <v>0</v>
      </c>
      <c r="IM205" s="561">
        <v>0</v>
      </c>
      <c r="IN205" s="561">
        <v>0</v>
      </c>
      <c r="IO205" s="561">
        <v>0</v>
      </c>
      <c r="IP205" s="561">
        <v>4</v>
      </c>
      <c r="IQ205" s="561">
        <v>0</v>
      </c>
      <c r="IR205" s="561">
        <v>0</v>
      </c>
      <c r="IS205" s="561">
        <v>-100</v>
      </c>
      <c r="IT205" s="561">
        <v>0</v>
      </c>
      <c r="IU205" s="561">
        <v>0</v>
      </c>
      <c r="IV205" s="561">
        <v>0</v>
      </c>
      <c r="IW205" s="561">
        <v>1459</v>
      </c>
      <c r="IX205" s="561">
        <v>1981</v>
      </c>
      <c r="IY205" s="561">
        <v>6280.19</v>
      </c>
      <c r="IZ205" s="561">
        <v>2160.9499999999998</v>
      </c>
      <c r="JA205" s="561">
        <v>0</v>
      </c>
      <c r="JB205" s="561">
        <v>0</v>
      </c>
      <c r="JC205" s="561">
        <v>11800.32</v>
      </c>
      <c r="JD205" s="561">
        <v>4</v>
      </c>
      <c r="JE205" s="561">
        <v>23585.46</v>
      </c>
      <c r="JF205" s="561">
        <v>14628</v>
      </c>
      <c r="JG205" s="561">
        <v>1411</v>
      </c>
      <c r="JH205" s="561">
        <v>5997</v>
      </c>
      <c r="JI205" s="561">
        <v>0</v>
      </c>
      <c r="JJ205" s="561">
        <v>0</v>
      </c>
      <c r="JK205" s="561">
        <v>5264</v>
      </c>
      <c r="JL205" s="561">
        <v>0</v>
      </c>
      <c r="JM205" s="561">
        <v>0</v>
      </c>
      <c r="JN205" s="561">
        <v>0</v>
      </c>
      <c r="JO205" s="561">
        <v>0</v>
      </c>
      <c r="JP205" s="561">
        <v>-589</v>
      </c>
      <c r="JQ205" s="561">
        <v>0</v>
      </c>
      <c r="JR205" s="561">
        <v>0</v>
      </c>
      <c r="JS205" s="561">
        <v>0</v>
      </c>
      <c r="JT205" s="561">
        <v>0</v>
      </c>
      <c r="JU205" s="561">
        <v>0</v>
      </c>
      <c r="JV205" s="561">
        <v>50296.46</v>
      </c>
      <c r="JW205" s="561">
        <v>0</v>
      </c>
      <c r="JX205" s="561">
        <v>0</v>
      </c>
      <c r="JY205" s="561">
        <v>0</v>
      </c>
      <c r="JZ205" s="561">
        <v>0</v>
      </c>
      <c r="KA205" s="561">
        <v>0</v>
      </c>
      <c r="KB205" s="561">
        <v>0</v>
      </c>
      <c r="KC205" s="561">
        <v>1367</v>
      </c>
      <c r="KD205" s="561">
        <v>0</v>
      </c>
      <c r="KE205" s="561">
        <v>1378</v>
      </c>
      <c r="KF205" s="561">
        <v>0</v>
      </c>
      <c r="KG205" s="561">
        <v>53041.46</v>
      </c>
      <c r="KH205" s="561">
        <v>-2485</v>
      </c>
      <c r="KI205" s="561">
        <v>0</v>
      </c>
      <c r="KJ205" s="561">
        <v>0</v>
      </c>
      <c r="KK205" s="561">
        <v>0</v>
      </c>
      <c r="KL205" s="561">
        <v>-20517</v>
      </c>
      <c r="KM205" s="561">
        <v>0</v>
      </c>
      <c r="KN205" s="561">
        <v>-108</v>
      </c>
      <c r="KO205" s="561">
        <v>0</v>
      </c>
      <c r="KP205" s="561">
        <v>0</v>
      </c>
      <c r="KQ205" s="561">
        <v>0</v>
      </c>
      <c r="KR205" s="561">
        <v>29931.46</v>
      </c>
      <c r="KS205" s="561">
        <v>0</v>
      </c>
      <c r="KT205" s="561">
        <v>-4472</v>
      </c>
      <c r="KU205" s="561">
        <v>25459.46</v>
      </c>
      <c r="KV205" s="561">
        <v>0</v>
      </c>
      <c r="KW205" s="561">
        <v>0</v>
      </c>
      <c r="KX205" s="561">
        <v>0</v>
      </c>
      <c r="KY205" s="561">
        <v>0</v>
      </c>
      <c r="KZ205" s="561">
        <v>-1182</v>
      </c>
      <c r="LA205" s="561">
        <v>-881</v>
      </c>
      <c r="LB205" s="561">
        <v>-135</v>
      </c>
      <c r="LC205" s="561">
        <v>0</v>
      </c>
      <c r="LD205" s="561">
        <v>-4393</v>
      </c>
      <c r="LE205" s="561">
        <v>-91</v>
      </c>
      <c r="LF205" s="561">
        <v>-4719</v>
      </c>
      <c r="LG205" s="561">
        <v>14058</v>
      </c>
      <c r="LH205" s="561">
        <v>0</v>
      </c>
      <c r="LI205" s="561">
        <v>0</v>
      </c>
      <c r="LJ205" s="561">
        <v>0</v>
      </c>
      <c r="LK205" s="561">
        <v>0</v>
      </c>
      <c r="LL205" s="561">
        <v>9306</v>
      </c>
      <c r="LM205" s="561">
        <v>3086</v>
      </c>
      <c r="LN205" s="561">
        <v>0</v>
      </c>
      <c r="LO205" s="561">
        <v>0</v>
      </c>
      <c r="LP205" s="561">
        <v>0</v>
      </c>
      <c r="LQ205" s="561">
        <v>0</v>
      </c>
      <c r="LR205" s="561">
        <v>8124</v>
      </c>
      <c r="LS205" s="561">
        <v>2205</v>
      </c>
      <c r="LT205" s="561">
        <v>0</v>
      </c>
      <c r="LU205" s="561">
        <v>4460</v>
      </c>
      <c r="LV205" s="561">
        <v>25</v>
      </c>
      <c r="LW205" s="561">
        <v>0</v>
      </c>
      <c r="LX205" s="561">
        <v>0</v>
      </c>
      <c r="LY205" s="561">
        <v>5865</v>
      </c>
      <c r="LZ205" s="561">
        <v>10350</v>
      </c>
      <c r="MA205" s="561">
        <v>0</v>
      </c>
      <c r="MB205" s="561">
        <v>0</v>
      </c>
      <c r="MC205" s="561">
        <v>21468</v>
      </c>
      <c r="MD205" s="561">
        <v>22383</v>
      </c>
      <c r="ME205" s="561">
        <v>-915</v>
      </c>
      <c r="MF205" s="561">
        <v>4485</v>
      </c>
      <c r="MG205" s="561">
        <v>3570</v>
      </c>
      <c r="MH205" s="561">
        <v>4064</v>
      </c>
      <c r="MI205" s="561">
        <v>4908</v>
      </c>
      <c r="MJ205" s="561">
        <v>8972</v>
      </c>
      <c r="MK205" s="561">
        <v>0</v>
      </c>
      <c r="ML205" s="561">
        <v>5352</v>
      </c>
      <c r="MM205" s="561">
        <v>1893</v>
      </c>
      <c r="MN205" s="561">
        <v>320</v>
      </c>
      <c r="MO205" s="561">
        <v>559</v>
      </c>
      <c r="MP205" s="561">
        <v>0</v>
      </c>
      <c r="MQ205" s="561">
        <v>0</v>
      </c>
      <c r="MR205" s="561">
        <v>-100</v>
      </c>
      <c r="MS205" s="561">
        <v>0</v>
      </c>
      <c r="MT205" s="561">
        <v>0</v>
      </c>
      <c r="MU205" s="561">
        <v>0</v>
      </c>
      <c r="MV205" s="561">
        <v>1459</v>
      </c>
      <c r="MW205" s="561">
        <v>1981</v>
      </c>
      <c r="MX205" s="561">
        <v>6280.19</v>
      </c>
      <c r="MY205" s="561">
        <v>2160.9499999999998</v>
      </c>
      <c r="MZ205" s="561">
        <v>0</v>
      </c>
      <c r="NA205" s="561">
        <v>0</v>
      </c>
      <c r="NB205" s="561">
        <v>11800.32</v>
      </c>
      <c r="NC205" s="561">
        <v>4</v>
      </c>
      <c r="ND205" s="561">
        <v>23585.46</v>
      </c>
      <c r="NE205" s="561">
        <v>0</v>
      </c>
      <c r="NF205" s="561">
        <v>0</v>
      </c>
      <c r="NG205" s="561">
        <v>0</v>
      </c>
      <c r="NH205" s="561">
        <v>0</v>
      </c>
      <c r="NI205" s="561">
        <v>0</v>
      </c>
      <c r="NJ205" s="561">
        <v>0</v>
      </c>
      <c r="NK205" s="561">
        <v>0</v>
      </c>
      <c r="NL205" s="561">
        <v>0</v>
      </c>
      <c r="NM205" s="561">
        <v>0</v>
      </c>
      <c r="NN205" s="561">
        <v>0</v>
      </c>
      <c r="NO205" s="561">
        <v>0</v>
      </c>
      <c r="NP205" s="561">
        <v>0</v>
      </c>
      <c r="NQ205" s="561">
        <v>0</v>
      </c>
      <c r="NR205" s="561">
        <v>0</v>
      </c>
      <c r="NS205" s="561">
        <v>0</v>
      </c>
      <c r="NT205" s="561">
        <v>-566</v>
      </c>
      <c r="NU205" s="561">
        <v>-1268</v>
      </c>
      <c r="NV205" s="561">
        <v>0</v>
      </c>
      <c r="NW205" s="561">
        <v>-589</v>
      </c>
      <c r="NX205" s="561">
        <v>0</v>
      </c>
      <c r="NY205" s="561">
        <v>-589</v>
      </c>
      <c r="NZ205" s="561">
        <v>0</v>
      </c>
      <c r="OA205" s="561">
        <v>0</v>
      </c>
      <c r="OB205" s="561">
        <v>0</v>
      </c>
      <c r="OC205" s="561">
        <v>0</v>
      </c>
      <c r="OD205" s="561">
        <v>0</v>
      </c>
      <c r="OE205" s="561">
        <v>0</v>
      </c>
      <c r="OF205" s="561">
        <v>0</v>
      </c>
      <c r="OG205" s="561">
        <v>0</v>
      </c>
      <c r="OH205" s="561">
        <v>0</v>
      </c>
      <c r="OI205" s="561">
        <v>0</v>
      </c>
      <c r="OJ205" s="561">
        <v>0</v>
      </c>
      <c r="OK205" s="561">
        <v>0</v>
      </c>
      <c r="OL205" s="561">
        <v>0</v>
      </c>
      <c r="OM205" s="561">
        <v>0</v>
      </c>
      <c r="ON205" s="561">
        <v>0</v>
      </c>
      <c r="OO205" s="561">
        <v>0</v>
      </c>
      <c r="OP205" s="561">
        <v>0</v>
      </c>
      <c r="OQ205" s="561">
        <v>0</v>
      </c>
      <c r="OR205" s="561">
        <v>0</v>
      </c>
      <c r="OS205" s="561">
        <v>0</v>
      </c>
      <c r="OT205" s="561">
        <v>0</v>
      </c>
      <c r="OU205" s="561">
        <v>0</v>
      </c>
      <c r="OV205" s="561">
        <v>0</v>
      </c>
      <c r="OW205" s="561">
        <v>0</v>
      </c>
      <c r="OX205" s="561">
        <v>0</v>
      </c>
      <c r="OY205" s="561">
        <v>0</v>
      </c>
      <c r="OZ205" s="561">
        <v>0</v>
      </c>
      <c r="PA205" s="561">
        <v>0</v>
      </c>
      <c r="PB205" s="561">
        <v>0</v>
      </c>
      <c r="PC205" s="561">
        <v>0</v>
      </c>
      <c r="PD205" s="561">
        <v>0</v>
      </c>
      <c r="PE205" s="561">
        <v>0</v>
      </c>
      <c r="PF205" s="561">
        <v>0</v>
      </c>
      <c r="PG205" s="561">
        <v>0</v>
      </c>
      <c r="PH205" s="561">
        <v>0</v>
      </c>
      <c r="PI205" s="561">
        <v>0</v>
      </c>
      <c r="PJ205" s="561">
        <v>0</v>
      </c>
    </row>
    <row r="206" spans="1:426" ht="14" x14ac:dyDescent="0.3">
      <c r="A206" t="s">
        <v>3058</v>
      </c>
      <c r="B206" t="s">
        <v>3059</v>
      </c>
      <c r="C206" t="s">
        <v>3060</v>
      </c>
      <c r="E206" t="s">
        <v>2476</v>
      </c>
      <c r="F206" s="561">
        <v>34002</v>
      </c>
      <c r="G206" s="561">
        <v>127066</v>
      </c>
      <c r="H206" s="561">
        <v>41273</v>
      </c>
      <c r="I206" s="561">
        <v>135321</v>
      </c>
      <c r="J206" s="561">
        <v>3199</v>
      </c>
      <c r="K206" s="561">
        <v>19408</v>
      </c>
      <c r="L206" s="561">
        <v>360269</v>
      </c>
      <c r="M206" s="561">
        <v>8832</v>
      </c>
      <c r="N206" s="561">
        <v>1644</v>
      </c>
      <c r="O206" s="561">
        <v>-1836</v>
      </c>
      <c r="P206" s="561">
        <v>76</v>
      </c>
      <c r="Q206" s="561">
        <v>825</v>
      </c>
      <c r="R206" s="561">
        <v>85</v>
      </c>
      <c r="S206" s="561">
        <v>57</v>
      </c>
      <c r="T206" s="561">
        <v>1114</v>
      </c>
      <c r="U206" s="561">
        <v>328</v>
      </c>
      <c r="V206" s="561">
        <v>-1335</v>
      </c>
      <c r="W206" s="561">
        <v>0</v>
      </c>
      <c r="X206" s="561">
        <v>0</v>
      </c>
      <c r="Y206" s="561">
        <v>543</v>
      </c>
      <c r="Z206" s="561">
        <v>4453</v>
      </c>
      <c r="AA206" s="561">
        <v>-9081</v>
      </c>
      <c r="AB206" s="561">
        <v>-312</v>
      </c>
      <c r="AC206" s="561">
        <v>10555</v>
      </c>
      <c r="AD206" s="561">
        <v>462</v>
      </c>
      <c r="AE206" s="561">
        <v>0</v>
      </c>
      <c r="AF206" s="561">
        <v>0</v>
      </c>
      <c r="AG206" s="561">
        <v>0</v>
      </c>
      <c r="AH206" s="561">
        <v>0</v>
      </c>
      <c r="AI206" s="561">
        <v>0</v>
      </c>
      <c r="AJ206" s="561">
        <v>7578</v>
      </c>
      <c r="AK206" s="561">
        <v>202</v>
      </c>
      <c r="AL206" s="561">
        <v>0</v>
      </c>
      <c r="AM206" s="561">
        <v>0</v>
      </c>
      <c r="AN206" s="561">
        <v>0</v>
      </c>
      <c r="AO206" s="561">
        <v>0</v>
      </c>
      <c r="AP206" s="561">
        <v>0</v>
      </c>
      <c r="AQ206" s="561">
        <v>0</v>
      </c>
      <c r="AR206" s="561">
        <v>0</v>
      </c>
      <c r="AS206" s="561">
        <v>10724</v>
      </c>
      <c r="AT206" s="561">
        <v>0</v>
      </c>
      <c r="AU206" s="561">
        <v>0</v>
      </c>
      <c r="AV206" s="561">
        <v>0</v>
      </c>
      <c r="AW206" s="561">
        <v>0</v>
      </c>
      <c r="AX206" s="561">
        <v>4341</v>
      </c>
      <c r="AY206" s="561">
        <v>74318</v>
      </c>
      <c r="AZ206" s="561">
        <v>1904</v>
      </c>
      <c r="BA206" s="561">
        <v>16301</v>
      </c>
      <c r="BB206" s="561">
        <v>4480</v>
      </c>
      <c r="BC206" s="561">
        <v>14136</v>
      </c>
      <c r="BD206" s="561">
        <v>2847</v>
      </c>
      <c r="BE206" s="561">
        <v>2489</v>
      </c>
      <c r="BF206" s="561">
        <v>120816</v>
      </c>
      <c r="BG206" s="561">
        <v>7538</v>
      </c>
      <c r="BH206" s="561">
        <v>13790.02</v>
      </c>
      <c r="BI206" s="561">
        <v>40433.56</v>
      </c>
      <c r="BJ206" s="561">
        <v>136.88</v>
      </c>
      <c r="BK206" s="561">
        <v>99.35</v>
      </c>
      <c r="BL206" s="561">
        <v>-298.16000000000003</v>
      </c>
      <c r="BM206" s="561">
        <v>2059.2800000000002</v>
      </c>
      <c r="BN206" s="561">
        <v>35483.19</v>
      </c>
      <c r="BO206" s="561">
        <v>2491.73</v>
      </c>
      <c r="BP206" s="561">
        <v>5713.63</v>
      </c>
      <c r="BQ206" s="561">
        <v>3001.18</v>
      </c>
      <c r="BR206" s="561">
        <v>0</v>
      </c>
      <c r="BS206" s="561">
        <v>233.23</v>
      </c>
      <c r="BT206" s="561">
        <v>201.28</v>
      </c>
      <c r="BU206" s="561">
        <v>0</v>
      </c>
      <c r="BV206" s="561">
        <v>651.71</v>
      </c>
      <c r="BW206" s="561">
        <v>8806.82</v>
      </c>
      <c r="BX206" s="561">
        <v>1717.19</v>
      </c>
      <c r="BY206" s="561">
        <v>5617.01</v>
      </c>
      <c r="BZ206" s="561">
        <v>120137.9</v>
      </c>
      <c r="CA206" s="561">
        <v>8009</v>
      </c>
      <c r="CB206" s="561">
        <v>4283.0200000000004</v>
      </c>
      <c r="CC206" s="561">
        <v>2555.29</v>
      </c>
      <c r="CD206" s="561">
        <v>236.15</v>
      </c>
      <c r="CE206" s="561">
        <v>323.89999999999998</v>
      </c>
      <c r="CF206" s="561">
        <v>39.770000000000003</v>
      </c>
      <c r="CG206" s="561">
        <v>94.57</v>
      </c>
      <c r="CH206" s="561">
        <v>0</v>
      </c>
      <c r="CI206" s="561">
        <v>123.87</v>
      </c>
      <c r="CJ206" s="561">
        <v>99.01</v>
      </c>
      <c r="CK206" s="561">
        <v>903.54</v>
      </c>
      <c r="CL206" s="561">
        <v>0</v>
      </c>
      <c r="CM206" s="561">
        <v>3822.85</v>
      </c>
      <c r="CN206" s="561">
        <v>278.27</v>
      </c>
      <c r="CO206" s="561">
        <v>862.13</v>
      </c>
      <c r="CP206" s="561">
        <v>857.37</v>
      </c>
      <c r="CQ206" s="561">
        <v>97.49</v>
      </c>
      <c r="CR206" s="561">
        <v>687.25</v>
      </c>
      <c r="CS206" s="561">
        <v>0</v>
      </c>
      <c r="CT206" s="561">
        <v>712.75</v>
      </c>
      <c r="CU206" s="561">
        <v>7581.87</v>
      </c>
      <c r="CV206" s="561">
        <v>877.7</v>
      </c>
      <c r="CW206" s="561">
        <v>0</v>
      </c>
      <c r="CX206" s="561">
        <v>503.98</v>
      </c>
      <c r="CY206" s="561">
        <v>6278.14</v>
      </c>
      <c r="CZ206" s="561">
        <v>31218.92</v>
      </c>
      <c r="DA206" s="561">
        <v>55</v>
      </c>
      <c r="DB206" s="561">
        <v>0</v>
      </c>
      <c r="DC206" s="561">
        <v>0</v>
      </c>
      <c r="DD206" s="561">
        <v>0</v>
      </c>
      <c r="DE206" s="561">
        <v>0</v>
      </c>
      <c r="DF206" s="561">
        <v>0</v>
      </c>
      <c r="DG206" s="561">
        <v>0</v>
      </c>
      <c r="DH206" s="561">
        <v>939</v>
      </c>
      <c r="DI206" s="561">
        <v>0</v>
      </c>
      <c r="DJ206" s="561">
        <v>3016</v>
      </c>
      <c r="DK206" s="561">
        <v>-485</v>
      </c>
      <c r="DL206" s="561">
        <v>4689</v>
      </c>
      <c r="DM206" s="561">
        <v>8736</v>
      </c>
      <c r="DN206" s="561">
        <v>-23</v>
      </c>
      <c r="DO206" s="561">
        <v>25002</v>
      </c>
      <c r="DP206" s="561">
        <v>-275</v>
      </c>
      <c r="DQ206" s="561">
        <v>0</v>
      </c>
      <c r="DR206" s="561">
        <v>0</v>
      </c>
      <c r="DS206" s="561">
        <v>2969</v>
      </c>
      <c r="DT206" s="561">
        <v>0</v>
      </c>
      <c r="DU206" s="561">
        <v>41098</v>
      </c>
      <c r="DV206" s="561">
        <v>0</v>
      </c>
      <c r="DW206" s="561">
        <v>0</v>
      </c>
      <c r="DX206" s="561">
        <v>0</v>
      </c>
      <c r="DY206" s="561">
        <v>2479</v>
      </c>
      <c r="DZ206" s="561">
        <v>590</v>
      </c>
      <c r="EA206" s="561">
        <v>6640</v>
      </c>
      <c r="EB206" s="561">
        <v>0</v>
      </c>
      <c r="EC206" s="561">
        <v>54277</v>
      </c>
      <c r="ED206" s="561">
        <v>3449</v>
      </c>
      <c r="EE206" s="561">
        <v>87284</v>
      </c>
      <c r="EF206" s="561">
        <v>3598</v>
      </c>
      <c r="EG206" s="561">
        <v>14950</v>
      </c>
      <c r="EH206" s="561">
        <v>8215</v>
      </c>
      <c r="EI206" s="561">
        <v>10353</v>
      </c>
      <c r="EJ206" s="561">
        <v>1708</v>
      </c>
      <c r="EK206" s="561">
        <v>0</v>
      </c>
      <c r="EL206" s="561">
        <v>0</v>
      </c>
      <c r="EM206" s="561">
        <v>0</v>
      </c>
      <c r="EN206" s="561">
        <v>26660</v>
      </c>
      <c r="EO206" s="561">
        <v>50772</v>
      </c>
      <c r="EP206" s="561">
        <v>0</v>
      </c>
      <c r="EQ206" s="561">
        <v>715</v>
      </c>
      <c r="ER206" s="561">
        <v>9879</v>
      </c>
      <c r="ES206" s="561" t="s">
        <v>4565</v>
      </c>
      <c r="ET206" s="561">
        <v>0</v>
      </c>
      <c r="EU206" s="561">
        <v>0</v>
      </c>
      <c r="EV206" s="561">
        <v>56</v>
      </c>
      <c r="EW206" s="561">
        <v>0</v>
      </c>
      <c r="EX206" s="561">
        <v>25455</v>
      </c>
      <c r="EY206" s="561">
        <v>1311</v>
      </c>
      <c r="EZ206" s="561">
        <v>11260</v>
      </c>
      <c r="FA206" s="561">
        <v>7372</v>
      </c>
      <c r="FB206" s="561">
        <v>128</v>
      </c>
      <c r="FC206" s="561">
        <v>336</v>
      </c>
      <c r="FD206" s="561">
        <v>0</v>
      </c>
      <c r="FE206" s="561">
        <v>0</v>
      </c>
      <c r="FF206" s="561">
        <v>309</v>
      </c>
      <c r="FG206" s="561">
        <v>312</v>
      </c>
      <c r="FH206" s="561">
        <v>0</v>
      </c>
      <c r="FI206" s="561">
        <v>419</v>
      </c>
      <c r="FJ206" s="561">
        <v>-745</v>
      </c>
      <c r="FK206" s="561">
        <v>6465</v>
      </c>
      <c r="FL206" s="561">
        <v>63</v>
      </c>
      <c r="FM206" s="561">
        <v>0</v>
      </c>
      <c r="FN206" s="561">
        <v>4290</v>
      </c>
      <c r="FO206" s="561">
        <v>11577</v>
      </c>
      <c r="FP206" s="561">
        <v>312</v>
      </c>
      <c r="FQ206" s="561">
        <v>-143</v>
      </c>
      <c r="FR206" s="561">
        <v>0</v>
      </c>
      <c r="FS206" s="561">
        <v>0</v>
      </c>
      <c r="FT206" s="561">
        <v>758</v>
      </c>
      <c r="FU206" s="561">
        <v>386</v>
      </c>
      <c r="FV206" s="561">
        <v>0</v>
      </c>
      <c r="FW206" s="561">
        <v>0</v>
      </c>
      <c r="FX206" s="561">
        <v>0</v>
      </c>
      <c r="FY206" s="561">
        <v>0</v>
      </c>
      <c r="FZ206" s="561">
        <v>7</v>
      </c>
      <c r="GA206" s="561">
        <v>0</v>
      </c>
      <c r="GB206" s="561">
        <v>236</v>
      </c>
      <c r="GC206" s="561">
        <v>-120</v>
      </c>
      <c r="GD206" s="561">
        <v>3113</v>
      </c>
      <c r="GE206" s="561">
        <v>0</v>
      </c>
      <c r="GF206" s="561">
        <v>661</v>
      </c>
      <c r="GG206" s="561">
        <v>209</v>
      </c>
      <c r="GH206" s="561">
        <v>0</v>
      </c>
      <c r="GI206" s="561">
        <v>0</v>
      </c>
      <c r="GJ206" s="561">
        <v>0</v>
      </c>
      <c r="GK206" s="561">
        <v>0</v>
      </c>
      <c r="GL206" s="561">
        <v>9566</v>
      </c>
      <c r="GM206" s="561">
        <v>3123</v>
      </c>
      <c r="GN206" s="561">
        <v>7421</v>
      </c>
      <c r="GO206" s="561">
        <v>314</v>
      </c>
      <c r="GP206" s="561">
        <v>7791</v>
      </c>
      <c r="GQ206" s="561">
        <v>0</v>
      </c>
      <c r="GR206" s="561">
        <v>0</v>
      </c>
      <c r="GS206" s="561">
        <v>33322</v>
      </c>
      <c r="GT206" s="561">
        <v>6321</v>
      </c>
      <c r="GU206" s="561">
        <v>162</v>
      </c>
      <c r="GV206" s="561">
        <v>603</v>
      </c>
      <c r="GW206" s="561">
        <v>0</v>
      </c>
      <c r="GX206" s="561">
        <v>3298</v>
      </c>
      <c r="GY206" s="561">
        <v>303</v>
      </c>
      <c r="GZ206" s="561">
        <v>1264</v>
      </c>
      <c r="HA206" s="561">
        <v>0</v>
      </c>
      <c r="HB206" s="561">
        <v>4892</v>
      </c>
      <c r="HC206" s="561">
        <v>4181</v>
      </c>
      <c r="HD206" s="561">
        <v>14703</v>
      </c>
      <c r="HE206" s="561">
        <v>1136</v>
      </c>
      <c r="HF206" s="561">
        <v>59602</v>
      </c>
      <c r="HG206" s="561">
        <v>7769</v>
      </c>
      <c r="HH206" s="561">
        <v>0</v>
      </c>
      <c r="HI206" s="561">
        <v>0</v>
      </c>
      <c r="HJ206" s="561">
        <v>0</v>
      </c>
      <c r="HK206" s="561">
        <v>0</v>
      </c>
      <c r="HL206" s="561">
        <v>0</v>
      </c>
      <c r="HM206" s="561">
        <v>0</v>
      </c>
      <c r="HN206" s="561">
        <v>0</v>
      </c>
      <c r="HO206" s="561">
        <v>4247</v>
      </c>
      <c r="HP206" s="561">
        <v>99</v>
      </c>
      <c r="HQ206" s="561">
        <v>0</v>
      </c>
      <c r="HR206" s="561">
        <v>5885</v>
      </c>
      <c r="HS206" s="561">
        <v>2015</v>
      </c>
      <c r="HT206" s="561">
        <v>989</v>
      </c>
      <c r="HU206" s="561">
        <v>0</v>
      </c>
      <c r="HV206" s="561">
        <v>148</v>
      </c>
      <c r="HW206" s="561">
        <v>459</v>
      </c>
      <c r="HX206" s="561">
        <v>2349</v>
      </c>
      <c r="HY206" s="561">
        <v>302</v>
      </c>
      <c r="HZ206" s="561">
        <v>-179</v>
      </c>
      <c r="IA206" s="561">
        <v>0</v>
      </c>
      <c r="IB206" s="561">
        <v>0</v>
      </c>
      <c r="IC206" s="561">
        <v>879</v>
      </c>
      <c r="ID206" s="561">
        <v>0</v>
      </c>
      <c r="IE206" s="561">
        <v>6188</v>
      </c>
      <c r="IF206" s="561">
        <v>0</v>
      </c>
      <c r="IG206" s="561">
        <v>631</v>
      </c>
      <c r="IH206" s="561">
        <v>0</v>
      </c>
      <c r="II206" s="561">
        <v>24012</v>
      </c>
      <c r="IJ206" s="561">
        <v>601</v>
      </c>
      <c r="IK206" s="561">
        <v>0</v>
      </c>
      <c r="IL206" s="561">
        <v>0</v>
      </c>
      <c r="IM206" s="561">
        <v>0</v>
      </c>
      <c r="IN206" s="561">
        <v>0</v>
      </c>
      <c r="IO206" s="561">
        <v>0</v>
      </c>
      <c r="IP206" s="561">
        <v>0</v>
      </c>
      <c r="IQ206" s="561">
        <v>0</v>
      </c>
      <c r="IR206" s="561">
        <v>360269</v>
      </c>
      <c r="IS206" s="561">
        <v>7578</v>
      </c>
      <c r="IT206" s="561">
        <v>120816</v>
      </c>
      <c r="IU206" s="561">
        <v>120137.9</v>
      </c>
      <c r="IV206" s="561">
        <v>31218.92</v>
      </c>
      <c r="IW206" s="561">
        <v>54277</v>
      </c>
      <c r="IX206" s="561">
        <v>11577</v>
      </c>
      <c r="IY206" s="561">
        <v>33322</v>
      </c>
      <c r="IZ206" s="561">
        <v>14703</v>
      </c>
      <c r="JA206" s="561">
        <v>0</v>
      </c>
      <c r="JB206" s="561">
        <v>0</v>
      </c>
      <c r="JC206" s="561">
        <v>24012</v>
      </c>
      <c r="JD206" s="561">
        <v>0</v>
      </c>
      <c r="JE206" s="561">
        <v>777910.82</v>
      </c>
      <c r="JF206" s="561">
        <v>104165</v>
      </c>
      <c r="JG206" s="561">
        <v>23791</v>
      </c>
      <c r="JH206" s="561">
        <v>23988</v>
      </c>
      <c r="JI206" s="561">
        <v>0</v>
      </c>
      <c r="JJ206" s="561">
        <v>0</v>
      </c>
      <c r="JK206" s="561">
        <v>0</v>
      </c>
      <c r="JL206" s="561">
        <v>0</v>
      </c>
      <c r="JM206" s="561">
        <v>0</v>
      </c>
      <c r="JN206" s="561">
        <v>1263</v>
      </c>
      <c r="JO206" s="561">
        <v>234</v>
      </c>
      <c r="JP206" s="561">
        <v>0</v>
      </c>
      <c r="JQ206" s="561">
        <v>0</v>
      </c>
      <c r="JR206" s="561">
        <v>0</v>
      </c>
      <c r="JS206" s="561">
        <v>0</v>
      </c>
      <c r="JT206" s="561">
        <v>-266</v>
      </c>
      <c r="JU206" s="561">
        <v>-2729</v>
      </c>
      <c r="JV206" s="561">
        <v>928356.82</v>
      </c>
      <c r="JW206" s="561">
        <v>215</v>
      </c>
      <c r="JX206" s="561">
        <v>6689</v>
      </c>
      <c r="JY206" s="561">
        <v>0</v>
      </c>
      <c r="JZ206" s="561">
        <v>0</v>
      </c>
      <c r="KA206" s="561">
        <v>0</v>
      </c>
      <c r="KB206" s="561">
        <v>0</v>
      </c>
      <c r="KC206" s="561">
        <v>16073</v>
      </c>
      <c r="KD206" s="561">
        <v>0</v>
      </c>
      <c r="KE206" s="561">
        <v>19798</v>
      </c>
      <c r="KF206" s="561">
        <v>0</v>
      </c>
      <c r="KG206" s="561">
        <v>971131.82</v>
      </c>
      <c r="KH206" s="561">
        <v>-20938</v>
      </c>
      <c r="KI206" s="561">
        <v>0</v>
      </c>
      <c r="KJ206" s="561">
        <v>-10771</v>
      </c>
      <c r="KK206" s="561">
        <v>0</v>
      </c>
      <c r="KL206" s="561">
        <v>-159385</v>
      </c>
      <c r="KM206" s="561">
        <v>0</v>
      </c>
      <c r="KN206" s="561">
        <v>-289</v>
      </c>
      <c r="KO206" s="561">
        <v>0</v>
      </c>
      <c r="KP206" s="561">
        <v>0</v>
      </c>
      <c r="KQ206" s="561">
        <v>-3094</v>
      </c>
      <c r="KR206" s="561">
        <v>776654.82</v>
      </c>
      <c r="KS206" s="561">
        <v>0</v>
      </c>
      <c r="KT206" s="561">
        <v>-549445</v>
      </c>
      <c r="KU206" s="561">
        <v>227209.82</v>
      </c>
      <c r="KV206" s="561">
        <v>0</v>
      </c>
      <c r="KW206" s="561">
        <v>-2689</v>
      </c>
      <c r="KX206" s="561">
        <v>0</v>
      </c>
      <c r="KY206" s="561">
        <v>0</v>
      </c>
      <c r="KZ206" s="561">
        <v>-81</v>
      </c>
      <c r="LA206" s="561">
        <v>10000</v>
      </c>
      <c r="LB206" s="561">
        <v>-34537</v>
      </c>
      <c r="LC206" s="561">
        <v>0</v>
      </c>
      <c r="LD206" s="561">
        <v>-58262</v>
      </c>
      <c r="LE206" s="561">
        <v>0</v>
      </c>
      <c r="LF206" s="561">
        <v>0</v>
      </c>
      <c r="LG206" s="561">
        <v>141641</v>
      </c>
      <c r="LH206" s="561">
        <v>16489</v>
      </c>
      <c r="LI206" s="561">
        <v>-15522</v>
      </c>
      <c r="LJ206" s="561">
        <v>0</v>
      </c>
      <c r="LK206" s="561">
        <v>0</v>
      </c>
      <c r="LL206" s="561">
        <v>200847</v>
      </c>
      <c r="LM206" s="561">
        <v>20000</v>
      </c>
      <c r="LN206" s="561">
        <v>13800</v>
      </c>
      <c r="LO206" s="561">
        <v>-18616</v>
      </c>
      <c r="LP206" s="561">
        <v>0</v>
      </c>
      <c r="LQ206" s="561">
        <v>0</v>
      </c>
      <c r="LR206" s="561">
        <v>200766</v>
      </c>
      <c r="LS206" s="561">
        <v>30000</v>
      </c>
      <c r="LT206" s="561">
        <v>0</v>
      </c>
      <c r="LU206" s="561">
        <v>46349</v>
      </c>
      <c r="LV206" s="561">
        <v>64145</v>
      </c>
      <c r="LW206" s="561">
        <v>1093</v>
      </c>
      <c r="LX206" s="561">
        <v>-42588</v>
      </c>
      <c r="LY206" s="561">
        <v>28194</v>
      </c>
      <c r="LZ206" s="561">
        <v>97193</v>
      </c>
      <c r="MA206" s="561">
        <v>0</v>
      </c>
      <c r="MB206" s="561">
        <v>0</v>
      </c>
      <c r="MC206" s="561">
        <v>126108</v>
      </c>
      <c r="MD206" s="561">
        <v>114848</v>
      </c>
      <c r="ME206" s="561">
        <v>11260</v>
      </c>
      <c r="MF206" s="561">
        <v>7372</v>
      </c>
      <c r="MG206" s="561">
        <v>18632</v>
      </c>
      <c r="MH206" s="561">
        <v>8969</v>
      </c>
      <c r="MI206" s="561">
        <v>12094</v>
      </c>
      <c r="MJ206" s="561">
        <v>21063</v>
      </c>
      <c r="MK206" s="561">
        <v>0</v>
      </c>
      <c r="ML206" s="561">
        <v>0</v>
      </c>
      <c r="MM206" s="561">
        <v>200766</v>
      </c>
      <c r="MN206" s="561">
        <v>0</v>
      </c>
      <c r="MO206" s="561">
        <v>0</v>
      </c>
      <c r="MP206" s="561">
        <v>0</v>
      </c>
      <c r="MQ206" s="561">
        <v>360269</v>
      </c>
      <c r="MR206" s="561">
        <v>7578</v>
      </c>
      <c r="MS206" s="561">
        <v>120816</v>
      </c>
      <c r="MT206" s="561">
        <v>120137.9</v>
      </c>
      <c r="MU206" s="561">
        <v>31218.92</v>
      </c>
      <c r="MV206" s="561">
        <v>54277</v>
      </c>
      <c r="MW206" s="561">
        <v>11577</v>
      </c>
      <c r="MX206" s="561">
        <v>33322</v>
      </c>
      <c r="MY206" s="561">
        <v>14703</v>
      </c>
      <c r="MZ206" s="561">
        <v>0</v>
      </c>
      <c r="NA206" s="561">
        <v>0</v>
      </c>
      <c r="NB206" s="561">
        <v>24012</v>
      </c>
      <c r="NC206" s="561">
        <v>0</v>
      </c>
      <c r="ND206" s="561">
        <v>777910.82</v>
      </c>
      <c r="NE206" s="561">
        <v>0</v>
      </c>
      <c r="NF206" s="561">
        <v>0</v>
      </c>
      <c r="NG206" s="561">
        <v>0</v>
      </c>
      <c r="NH206" s="561">
        <v>0</v>
      </c>
      <c r="NI206" s="561">
        <v>0</v>
      </c>
      <c r="NJ206" s="561">
        <v>0</v>
      </c>
      <c r="NK206" s="561">
        <v>0</v>
      </c>
      <c r="NL206" s="561">
        <v>0</v>
      </c>
      <c r="NM206" s="561">
        <v>0</v>
      </c>
      <c r="NN206" s="561">
        <v>0</v>
      </c>
      <c r="NO206" s="561">
        <v>0</v>
      </c>
      <c r="NP206" s="561">
        <v>0</v>
      </c>
      <c r="NQ206" s="561">
        <v>0</v>
      </c>
      <c r="NR206" s="561">
        <v>0</v>
      </c>
      <c r="NS206" s="561">
        <v>0</v>
      </c>
      <c r="NT206" s="561">
        <v>0</v>
      </c>
      <c r="NU206" s="561">
        <v>0</v>
      </c>
      <c r="NV206" s="561">
        <v>0</v>
      </c>
      <c r="NW206" s="561">
        <v>0</v>
      </c>
      <c r="NX206" s="561">
        <v>0</v>
      </c>
      <c r="NY206" s="561">
        <v>0</v>
      </c>
      <c r="NZ206" s="561">
        <v>0</v>
      </c>
      <c r="OA206" s="561">
        <v>0</v>
      </c>
      <c r="OB206" s="561">
        <v>0</v>
      </c>
      <c r="OC206" s="561">
        <v>0</v>
      </c>
      <c r="OD206" s="561">
        <v>0</v>
      </c>
      <c r="OE206" s="561">
        <v>0</v>
      </c>
      <c r="OF206" s="561">
        <v>0</v>
      </c>
      <c r="OG206" s="561">
        <v>0</v>
      </c>
      <c r="OH206" s="561">
        <v>0</v>
      </c>
      <c r="OI206" s="561">
        <v>0</v>
      </c>
      <c r="OJ206" s="561">
        <v>0</v>
      </c>
      <c r="OK206" s="561">
        <v>0</v>
      </c>
      <c r="OL206" s="561">
        <v>0</v>
      </c>
      <c r="OM206" s="561">
        <v>0</v>
      </c>
      <c r="ON206" s="561">
        <v>0</v>
      </c>
      <c r="OO206" s="561">
        <v>0</v>
      </c>
      <c r="OP206" s="561">
        <v>0</v>
      </c>
      <c r="OQ206" s="561">
        <v>0</v>
      </c>
      <c r="OR206" s="561">
        <v>0</v>
      </c>
      <c r="OS206" s="561">
        <v>0</v>
      </c>
      <c r="OT206" s="561">
        <v>0</v>
      </c>
      <c r="OU206" s="561">
        <v>0</v>
      </c>
      <c r="OV206" s="561">
        <v>0</v>
      </c>
      <c r="OW206" s="561">
        <v>0</v>
      </c>
      <c r="OX206" s="561">
        <v>0</v>
      </c>
      <c r="OY206" s="561">
        <v>0</v>
      </c>
      <c r="OZ206" s="561">
        <v>0</v>
      </c>
      <c r="PA206" s="561">
        <v>0</v>
      </c>
      <c r="PB206" s="561">
        <v>0</v>
      </c>
      <c r="PC206" s="561">
        <v>0</v>
      </c>
      <c r="PD206" s="561">
        <v>0</v>
      </c>
      <c r="PE206" s="561">
        <v>0</v>
      </c>
      <c r="PF206" s="561">
        <v>0</v>
      </c>
      <c r="PG206" s="561">
        <v>0</v>
      </c>
      <c r="PH206" s="561">
        <v>0</v>
      </c>
      <c r="PI206" s="561">
        <v>0</v>
      </c>
      <c r="PJ206" s="561">
        <v>0</v>
      </c>
    </row>
    <row r="207" spans="1:426" ht="14" x14ac:dyDescent="0.3">
      <c r="A207" t="s">
        <v>3061</v>
      </c>
      <c r="B207" t="s">
        <v>3062</v>
      </c>
      <c r="C207" t="s">
        <v>3063</v>
      </c>
      <c r="E207" t="s">
        <v>384</v>
      </c>
      <c r="F207" s="561">
        <v>0</v>
      </c>
      <c r="G207" s="561">
        <v>0</v>
      </c>
      <c r="H207" s="561">
        <v>0</v>
      </c>
      <c r="I207" s="561">
        <v>0</v>
      </c>
      <c r="J207" s="561">
        <v>0</v>
      </c>
      <c r="K207" s="561">
        <v>0</v>
      </c>
      <c r="L207" s="561">
        <v>0</v>
      </c>
      <c r="M207" s="561">
        <v>0</v>
      </c>
      <c r="N207" s="561">
        <v>0</v>
      </c>
      <c r="O207" s="561">
        <v>0</v>
      </c>
      <c r="P207" s="561">
        <v>0</v>
      </c>
      <c r="Q207" s="561">
        <v>0</v>
      </c>
      <c r="R207" s="561">
        <v>0</v>
      </c>
      <c r="S207" s="561">
        <v>0</v>
      </c>
      <c r="T207" s="561">
        <v>49</v>
      </c>
      <c r="U207" s="561">
        <v>0</v>
      </c>
      <c r="V207" s="561">
        <v>61</v>
      </c>
      <c r="W207" s="561">
        <v>0</v>
      </c>
      <c r="X207" s="561">
        <v>0</v>
      </c>
      <c r="Y207" s="561">
        <v>0</v>
      </c>
      <c r="Z207" s="561">
        <v>0</v>
      </c>
      <c r="AA207" s="561">
        <v>0</v>
      </c>
      <c r="AB207" s="561">
        <v>-1282</v>
      </c>
      <c r="AC207" s="561">
        <v>0</v>
      </c>
      <c r="AD207" s="561">
        <v>0</v>
      </c>
      <c r="AE207" s="561">
        <v>0</v>
      </c>
      <c r="AF207" s="561">
        <v>0</v>
      </c>
      <c r="AG207" s="561">
        <v>0</v>
      </c>
      <c r="AH207" s="561">
        <v>73</v>
      </c>
      <c r="AI207" s="561">
        <v>0</v>
      </c>
      <c r="AJ207" s="561">
        <v>-1099</v>
      </c>
      <c r="AK207" s="561">
        <v>15</v>
      </c>
      <c r="AL207" s="561">
        <v>0</v>
      </c>
      <c r="AM207" s="561">
        <v>0</v>
      </c>
      <c r="AN207" s="561">
        <v>0</v>
      </c>
      <c r="AO207" s="561">
        <v>0</v>
      </c>
      <c r="AP207" s="561">
        <v>0</v>
      </c>
      <c r="AQ207" s="561">
        <v>0</v>
      </c>
      <c r="AR207" s="561">
        <v>0</v>
      </c>
      <c r="AS207" s="561">
        <v>0</v>
      </c>
      <c r="AT207" s="561">
        <v>0</v>
      </c>
      <c r="AU207" s="561">
        <v>0</v>
      </c>
      <c r="AV207" s="561">
        <v>0</v>
      </c>
      <c r="AW207" s="561">
        <v>0</v>
      </c>
      <c r="AX207" s="561">
        <v>0</v>
      </c>
      <c r="AY207" s="561">
        <v>0</v>
      </c>
      <c r="AZ207" s="561">
        <v>0</v>
      </c>
      <c r="BA207" s="561">
        <v>0</v>
      </c>
      <c r="BB207" s="561">
        <v>0</v>
      </c>
      <c r="BC207" s="561">
        <v>0</v>
      </c>
      <c r="BD207" s="561">
        <v>0</v>
      </c>
      <c r="BE207" s="561">
        <v>0</v>
      </c>
      <c r="BF207" s="561">
        <v>0</v>
      </c>
      <c r="BG207" s="561">
        <v>0</v>
      </c>
      <c r="BH207" s="561">
        <v>0</v>
      </c>
      <c r="BI207" s="561">
        <v>0</v>
      </c>
      <c r="BJ207" s="561">
        <v>0</v>
      </c>
      <c r="BK207" s="561">
        <v>0</v>
      </c>
      <c r="BL207" s="561">
        <v>0</v>
      </c>
      <c r="BM207" s="561">
        <v>0</v>
      </c>
      <c r="BN207" s="561">
        <v>0</v>
      </c>
      <c r="BO207" s="561">
        <v>0</v>
      </c>
      <c r="BP207" s="561">
        <v>0</v>
      </c>
      <c r="BQ207" s="561">
        <v>0</v>
      </c>
      <c r="BR207" s="561">
        <v>0</v>
      </c>
      <c r="BS207" s="561">
        <v>0</v>
      </c>
      <c r="BT207" s="561">
        <v>0</v>
      </c>
      <c r="BU207" s="561">
        <v>0</v>
      </c>
      <c r="BV207" s="561">
        <v>0</v>
      </c>
      <c r="BW207" s="561">
        <v>0</v>
      </c>
      <c r="BX207" s="561">
        <v>0</v>
      </c>
      <c r="BY207" s="561">
        <v>0</v>
      </c>
      <c r="BZ207" s="561">
        <v>0</v>
      </c>
      <c r="CA207" s="561">
        <v>0</v>
      </c>
      <c r="CB207" s="561">
        <v>0</v>
      </c>
      <c r="CC207" s="561">
        <v>0</v>
      </c>
      <c r="CD207" s="561">
        <v>0</v>
      </c>
      <c r="CE207" s="561">
        <v>0</v>
      </c>
      <c r="CF207" s="561">
        <v>0</v>
      </c>
      <c r="CG207" s="561">
        <v>0</v>
      </c>
      <c r="CH207" s="561">
        <v>0</v>
      </c>
      <c r="CI207" s="561">
        <v>0</v>
      </c>
      <c r="CJ207" s="561">
        <v>0</v>
      </c>
      <c r="CK207" s="561">
        <v>0</v>
      </c>
      <c r="CL207" s="561">
        <v>0</v>
      </c>
      <c r="CM207" s="561">
        <v>0</v>
      </c>
      <c r="CN207" s="561">
        <v>0</v>
      </c>
      <c r="CO207" s="561">
        <v>0</v>
      </c>
      <c r="CP207" s="561">
        <v>0</v>
      </c>
      <c r="CQ207" s="561">
        <v>0</v>
      </c>
      <c r="CR207" s="561">
        <v>0</v>
      </c>
      <c r="CS207" s="561">
        <v>0</v>
      </c>
      <c r="CT207" s="561">
        <v>0</v>
      </c>
      <c r="CU207" s="561">
        <v>0</v>
      </c>
      <c r="CV207" s="561">
        <v>0</v>
      </c>
      <c r="CW207" s="561">
        <v>0</v>
      </c>
      <c r="CX207" s="561">
        <v>0</v>
      </c>
      <c r="CY207" s="561">
        <v>0</v>
      </c>
      <c r="CZ207" s="561">
        <v>0</v>
      </c>
      <c r="DA207" s="561">
        <v>0</v>
      </c>
      <c r="DB207" s="561">
        <v>0</v>
      </c>
      <c r="DC207" s="561">
        <v>0</v>
      </c>
      <c r="DD207" s="561">
        <v>0</v>
      </c>
      <c r="DE207" s="561">
        <v>0</v>
      </c>
      <c r="DF207" s="561">
        <v>0</v>
      </c>
      <c r="DG207" s="561">
        <v>0</v>
      </c>
      <c r="DH207" s="561">
        <v>310</v>
      </c>
      <c r="DI207" s="561">
        <v>0</v>
      </c>
      <c r="DJ207" s="561">
        <v>0</v>
      </c>
      <c r="DK207" s="561">
        <v>0</v>
      </c>
      <c r="DL207" s="561">
        <v>0</v>
      </c>
      <c r="DM207" s="561">
        <v>0</v>
      </c>
      <c r="DN207" s="561">
        <v>15</v>
      </c>
      <c r="DO207" s="561">
        <v>37</v>
      </c>
      <c r="DP207" s="561">
        <v>-30</v>
      </c>
      <c r="DQ207" s="561">
        <v>0</v>
      </c>
      <c r="DR207" s="561">
        <v>0</v>
      </c>
      <c r="DS207" s="561">
        <v>1183</v>
      </c>
      <c r="DT207" s="561">
        <v>0</v>
      </c>
      <c r="DU207" s="561">
        <v>1205</v>
      </c>
      <c r="DV207" s="561">
        <v>73</v>
      </c>
      <c r="DW207" s="561">
        <v>0</v>
      </c>
      <c r="DX207" s="561">
        <v>0</v>
      </c>
      <c r="DY207" s="561">
        <v>372</v>
      </c>
      <c r="DZ207" s="561">
        <v>0</v>
      </c>
      <c r="EA207" s="561">
        <v>0</v>
      </c>
      <c r="EB207" s="561">
        <v>0</v>
      </c>
      <c r="EC207" s="561">
        <v>1960</v>
      </c>
      <c r="ED207" s="561">
        <v>210</v>
      </c>
      <c r="EE207" s="561">
        <v>0</v>
      </c>
      <c r="EF207" s="561">
        <v>0</v>
      </c>
      <c r="EG207" s="561">
        <v>0</v>
      </c>
      <c r="EH207" s="561">
        <v>0</v>
      </c>
      <c r="EI207" s="561">
        <v>0</v>
      </c>
      <c r="EJ207" s="561">
        <v>0</v>
      </c>
      <c r="EK207" s="561">
        <v>0</v>
      </c>
      <c r="EL207" s="561">
        <v>0</v>
      </c>
      <c r="EM207" s="561">
        <v>0</v>
      </c>
      <c r="EN207" s="561">
        <v>0</v>
      </c>
      <c r="EO207" s="561">
        <v>0</v>
      </c>
      <c r="EP207" s="561">
        <v>0</v>
      </c>
      <c r="EQ207" s="561">
        <v>0</v>
      </c>
      <c r="ER207" s="561">
        <v>0</v>
      </c>
      <c r="ES207" s="561" t="s">
        <v>4565</v>
      </c>
      <c r="ET207" s="561">
        <v>0</v>
      </c>
      <c r="EU207" s="561">
        <v>0</v>
      </c>
      <c r="EV207" s="561">
        <v>0</v>
      </c>
      <c r="EW207" s="561">
        <v>0</v>
      </c>
      <c r="EX207" s="561">
        <v>0</v>
      </c>
      <c r="EY207" s="561">
        <v>0</v>
      </c>
      <c r="EZ207" s="561">
        <v>0</v>
      </c>
      <c r="FA207" s="561">
        <v>0</v>
      </c>
      <c r="FB207" s="561">
        <v>0</v>
      </c>
      <c r="FC207" s="561">
        <v>0</v>
      </c>
      <c r="FD207" s="561">
        <v>0</v>
      </c>
      <c r="FE207" s="561">
        <v>22</v>
      </c>
      <c r="FF207" s="561">
        <v>127</v>
      </c>
      <c r="FG207" s="561">
        <v>0</v>
      </c>
      <c r="FH207" s="561">
        <v>0</v>
      </c>
      <c r="FI207" s="561">
        <v>289</v>
      </c>
      <c r="FJ207" s="561">
        <v>277</v>
      </c>
      <c r="FK207" s="561">
        <v>965</v>
      </c>
      <c r="FL207" s="561">
        <v>0</v>
      </c>
      <c r="FM207" s="561">
        <v>150</v>
      </c>
      <c r="FN207" s="561">
        <v>0</v>
      </c>
      <c r="FO207" s="561">
        <v>1830</v>
      </c>
      <c r="FP207" s="561">
        <v>104</v>
      </c>
      <c r="FQ207" s="561">
        <v>0</v>
      </c>
      <c r="FR207" s="561">
        <v>0</v>
      </c>
      <c r="FS207" s="561">
        <v>0</v>
      </c>
      <c r="FT207" s="561">
        <v>340</v>
      </c>
      <c r="FU207" s="561">
        <v>396</v>
      </c>
      <c r="FV207" s="561">
        <v>135</v>
      </c>
      <c r="FW207" s="561">
        <v>0</v>
      </c>
      <c r="FX207" s="561">
        <v>0</v>
      </c>
      <c r="FY207" s="561">
        <v>0</v>
      </c>
      <c r="FZ207" s="561">
        <v>0</v>
      </c>
      <c r="GA207" s="561">
        <v>124</v>
      </c>
      <c r="GB207" s="561">
        <v>0</v>
      </c>
      <c r="GC207" s="561">
        <v>278</v>
      </c>
      <c r="GD207" s="561">
        <v>190</v>
      </c>
      <c r="GE207" s="561">
        <v>0</v>
      </c>
      <c r="GF207" s="561">
        <v>184</v>
      </c>
      <c r="GG207" s="561">
        <v>0</v>
      </c>
      <c r="GH207" s="561">
        <v>0</v>
      </c>
      <c r="GI207" s="561">
        <v>0</v>
      </c>
      <c r="GJ207" s="561">
        <v>0</v>
      </c>
      <c r="GK207" s="561">
        <v>0</v>
      </c>
      <c r="GL207" s="561">
        <v>633</v>
      </c>
      <c r="GM207" s="561">
        <v>955</v>
      </c>
      <c r="GN207" s="561">
        <v>0</v>
      </c>
      <c r="GO207" s="561">
        <v>-147</v>
      </c>
      <c r="GP207" s="561">
        <v>1436</v>
      </c>
      <c r="GQ207" s="561">
        <v>0</v>
      </c>
      <c r="GR207" s="561">
        <v>-46</v>
      </c>
      <c r="GS207" s="561">
        <v>4478</v>
      </c>
      <c r="GT207" s="561">
        <v>617</v>
      </c>
      <c r="GU207" s="561">
        <v>305</v>
      </c>
      <c r="GV207" s="561">
        <v>553</v>
      </c>
      <c r="GW207" s="561">
        <v>15</v>
      </c>
      <c r="GX207" s="561">
        <v>-710</v>
      </c>
      <c r="GY207" s="561">
        <v>0</v>
      </c>
      <c r="GZ207" s="561">
        <v>1420</v>
      </c>
      <c r="HA207" s="561">
        <v>0</v>
      </c>
      <c r="HB207" s="561">
        <v>40</v>
      </c>
      <c r="HC207" s="561">
        <v>133</v>
      </c>
      <c r="HD207" s="561">
        <v>1756</v>
      </c>
      <c r="HE207" s="561">
        <v>499</v>
      </c>
      <c r="HF207" s="561">
        <v>8064</v>
      </c>
      <c r="HG207" s="561">
        <v>1220</v>
      </c>
      <c r="HH207" s="561">
        <v>0</v>
      </c>
      <c r="HI207" s="561">
        <v>0</v>
      </c>
      <c r="HJ207" s="561">
        <v>0</v>
      </c>
      <c r="HK207" s="561">
        <v>0</v>
      </c>
      <c r="HL207" s="561">
        <v>0</v>
      </c>
      <c r="HM207" s="561">
        <v>0</v>
      </c>
      <c r="HN207" s="561">
        <v>0</v>
      </c>
      <c r="HO207" s="561">
        <v>3037</v>
      </c>
      <c r="HP207" s="561">
        <v>559</v>
      </c>
      <c r="HQ207" s="561">
        <v>0</v>
      </c>
      <c r="HR207" s="561">
        <v>0</v>
      </c>
      <c r="HS207" s="561">
        <v>0</v>
      </c>
      <c r="HT207" s="561">
        <v>405</v>
      </c>
      <c r="HU207" s="561">
        <v>0</v>
      </c>
      <c r="HV207" s="561">
        <v>0</v>
      </c>
      <c r="HW207" s="561">
        <v>245</v>
      </c>
      <c r="HX207" s="561">
        <v>116</v>
      </c>
      <c r="HY207" s="561">
        <v>75</v>
      </c>
      <c r="HZ207" s="561">
        <v>8</v>
      </c>
      <c r="IA207" s="561">
        <v>0</v>
      </c>
      <c r="IB207" s="561">
        <v>0</v>
      </c>
      <c r="IC207" s="561">
        <v>0</v>
      </c>
      <c r="ID207" s="561">
        <v>0</v>
      </c>
      <c r="IE207" s="561">
        <v>429</v>
      </c>
      <c r="IF207" s="561">
        <v>0</v>
      </c>
      <c r="IG207" s="561">
        <v>0</v>
      </c>
      <c r="IH207" s="561">
        <v>-426</v>
      </c>
      <c r="II207" s="561">
        <v>4448</v>
      </c>
      <c r="IJ207" s="561">
        <v>71</v>
      </c>
      <c r="IK207" s="561">
        <v>4196</v>
      </c>
      <c r="IL207" s="561">
        <v>4143</v>
      </c>
      <c r="IM207" s="561">
        <v>0</v>
      </c>
      <c r="IN207" s="561">
        <v>102</v>
      </c>
      <c r="IO207" s="561">
        <v>214</v>
      </c>
      <c r="IP207" s="561">
        <v>0</v>
      </c>
      <c r="IQ207" s="561">
        <v>0</v>
      </c>
      <c r="IR207" s="561">
        <v>0</v>
      </c>
      <c r="IS207" s="561">
        <v>-1099</v>
      </c>
      <c r="IT207" s="561">
        <v>0</v>
      </c>
      <c r="IU207" s="561">
        <v>0</v>
      </c>
      <c r="IV207" s="561">
        <v>0</v>
      </c>
      <c r="IW207" s="561">
        <v>1960</v>
      </c>
      <c r="IX207" s="561">
        <v>1830</v>
      </c>
      <c r="IY207" s="561">
        <v>4478</v>
      </c>
      <c r="IZ207" s="561">
        <v>1756</v>
      </c>
      <c r="JA207" s="561">
        <v>0</v>
      </c>
      <c r="JB207" s="561">
        <v>0</v>
      </c>
      <c r="JC207" s="561">
        <v>4448</v>
      </c>
      <c r="JD207" s="561">
        <v>0</v>
      </c>
      <c r="JE207" s="561">
        <v>13373</v>
      </c>
      <c r="JF207" s="561">
        <v>11272</v>
      </c>
      <c r="JG207" s="561">
        <v>343</v>
      </c>
      <c r="JH207" s="561">
        <v>0</v>
      </c>
      <c r="JI207" s="561">
        <v>0</v>
      </c>
      <c r="JJ207" s="561">
        <v>0</v>
      </c>
      <c r="JK207" s="561">
        <v>2359</v>
      </c>
      <c r="JL207" s="561">
        <v>0</v>
      </c>
      <c r="JM207" s="561">
        <v>0</v>
      </c>
      <c r="JN207" s="561">
        <v>0</v>
      </c>
      <c r="JO207" s="561">
        <v>0</v>
      </c>
      <c r="JP207" s="561">
        <v>0</v>
      </c>
      <c r="JQ207" s="561">
        <v>0</v>
      </c>
      <c r="JR207" s="561">
        <v>0</v>
      </c>
      <c r="JS207" s="561">
        <v>0</v>
      </c>
      <c r="JT207" s="561">
        <v>0</v>
      </c>
      <c r="JU207" s="561">
        <v>0</v>
      </c>
      <c r="JV207" s="561">
        <v>27347</v>
      </c>
      <c r="JW207" s="561">
        <v>0</v>
      </c>
      <c r="JX207" s="561">
        <v>5894</v>
      </c>
      <c r="JY207" s="561">
        <v>0</v>
      </c>
      <c r="JZ207" s="561">
        <v>0</v>
      </c>
      <c r="KA207" s="561">
        <v>0</v>
      </c>
      <c r="KB207" s="561">
        <v>134</v>
      </c>
      <c r="KC207" s="561">
        <v>250</v>
      </c>
      <c r="KD207" s="561">
        <v>9</v>
      </c>
      <c r="KE207" s="561">
        <v>24</v>
      </c>
      <c r="KF207" s="561">
        <v>0</v>
      </c>
      <c r="KG207" s="561">
        <v>33658</v>
      </c>
      <c r="KH207" s="561">
        <v>-3004</v>
      </c>
      <c r="KI207" s="561">
        <v>0</v>
      </c>
      <c r="KJ207" s="561">
        <v>0</v>
      </c>
      <c r="KK207" s="561">
        <v>0</v>
      </c>
      <c r="KL207" s="561">
        <v>-11329</v>
      </c>
      <c r="KM207" s="561">
        <v>0</v>
      </c>
      <c r="KN207" s="561">
        <v>-6</v>
      </c>
      <c r="KO207" s="561">
        <v>0</v>
      </c>
      <c r="KP207" s="561">
        <v>0</v>
      </c>
      <c r="KQ207" s="561">
        <v>0</v>
      </c>
      <c r="KR207" s="561">
        <v>19319</v>
      </c>
      <c r="KS207" s="561">
        <v>0</v>
      </c>
      <c r="KT207" s="561">
        <v>-2820</v>
      </c>
      <c r="KU207" s="561">
        <v>16499</v>
      </c>
      <c r="KV207" s="561">
        <v>0</v>
      </c>
      <c r="KW207" s="561">
        <v>0</v>
      </c>
      <c r="KX207" s="561">
        <v>0</v>
      </c>
      <c r="KY207" s="561">
        <v>0</v>
      </c>
      <c r="KZ207" s="561">
        <v>-161</v>
      </c>
      <c r="LA207" s="561">
        <v>-53</v>
      </c>
      <c r="LB207" s="561">
        <v>-113</v>
      </c>
      <c r="LC207" s="561">
        <v>0</v>
      </c>
      <c r="LD207" s="561">
        <v>-5785</v>
      </c>
      <c r="LE207" s="561">
        <v>-99</v>
      </c>
      <c r="LF207" s="561">
        <v>0</v>
      </c>
      <c r="LG207" s="561">
        <v>10288</v>
      </c>
      <c r="LH207" s="561">
        <v>0</v>
      </c>
      <c r="LI207" s="561">
        <v>0</v>
      </c>
      <c r="LJ207" s="561">
        <v>0</v>
      </c>
      <c r="LK207" s="561">
        <v>0</v>
      </c>
      <c r="LL207" s="561">
        <v>18011</v>
      </c>
      <c r="LM207" s="561">
        <v>5800</v>
      </c>
      <c r="LN207" s="561">
        <v>0</v>
      </c>
      <c r="LO207" s="561">
        <v>0</v>
      </c>
      <c r="LP207" s="561">
        <v>0</v>
      </c>
      <c r="LQ207" s="561">
        <v>0</v>
      </c>
      <c r="LR207" s="561">
        <v>17850</v>
      </c>
      <c r="LS207" s="561">
        <v>5747</v>
      </c>
      <c r="LT207" s="561">
        <v>0</v>
      </c>
      <c r="LU207" s="561">
        <v>2539</v>
      </c>
      <c r="LV207" s="561">
        <v>0</v>
      </c>
      <c r="LW207" s="561">
        <v>398</v>
      </c>
      <c r="LX207" s="561">
        <v>-1236</v>
      </c>
      <c r="LY207" s="561">
        <v>2667</v>
      </c>
      <c r="LZ207" s="561">
        <v>4352</v>
      </c>
      <c r="MA207" s="561">
        <v>0</v>
      </c>
      <c r="MB207" s="561">
        <v>0</v>
      </c>
      <c r="MC207" s="561">
        <v>0</v>
      </c>
      <c r="MD207" s="561">
        <v>0</v>
      </c>
      <c r="ME207" s="561">
        <v>0</v>
      </c>
      <c r="MF207" s="561">
        <v>0</v>
      </c>
      <c r="MG207" s="561">
        <v>0</v>
      </c>
      <c r="MH207" s="561">
        <v>2639</v>
      </c>
      <c r="MI207" s="561">
        <v>3575</v>
      </c>
      <c r="MJ207" s="561">
        <v>6214</v>
      </c>
      <c r="MK207" s="561">
        <v>0</v>
      </c>
      <c r="ML207" s="561">
        <v>51</v>
      </c>
      <c r="MM207" s="561">
        <v>15117</v>
      </c>
      <c r="MN207" s="561">
        <v>2682</v>
      </c>
      <c r="MO207" s="561">
        <v>0</v>
      </c>
      <c r="MP207" s="561">
        <v>0</v>
      </c>
      <c r="MQ207" s="561">
        <v>0</v>
      </c>
      <c r="MR207" s="561">
        <v>-1099</v>
      </c>
      <c r="MS207" s="561">
        <v>0</v>
      </c>
      <c r="MT207" s="561">
        <v>0</v>
      </c>
      <c r="MU207" s="561">
        <v>0</v>
      </c>
      <c r="MV207" s="561">
        <v>1960</v>
      </c>
      <c r="MW207" s="561">
        <v>1830</v>
      </c>
      <c r="MX207" s="561">
        <v>4478</v>
      </c>
      <c r="MY207" s="561">
        <v>1756</v>
      </c>
      <c r="MZ207" s="561">
        <v>0</v>
      </c>
      <c r="NA207" s="561">
        <v>0</v>
      </c>
      <c r="NB207" s="561">
        <v>4448</v>
      </c>
      <c r="NC207" s="561">
        <v>0</v>
      </c>
      <c r="ND207" s="561">
        <v>13373</v>
      </c>
      <c r="NE207" s="561">
        <v>0</v>
      </c>
      <c r="NF207" s="561">
        <v>0</v>
      </c>
      <c r="NG207" s="561">
        <v>0</v>
      </c>
      <c r="NH207" s="561">
        <v>0</v>
      </c>
      <c r="NI207" s="561">
        <v>0</v>
      </c>
      <c r="NJ207" s="561">
        <v>0</v>
      </c>
      <c r="NK207" s="561">
        <v>0</v>
      </c>
      <c r="NL207" s="561">
        <v>0</v>
      </c>
      <c r="NM207" s="561">
        <v>0</v>
      </c>
      <c r="NN207" s="561">
        <v>0</v>
      </c>
      <c r="NO207" s="561">
        <v>0</v>
      </c>
      <c r="NP207" s="561">
        <v>0</v>
      </c>
      <c r="NQ207" s="561">
        <v>0</v>
      </c>
      <c r="NR207" s="561">
        <v>0</v>
      </c>
      <c r="NS207" s="561">
        <v>0</v>
      </c>
      <c r="NT207" s="561">
        <v>0</v>
      </c>
      <c r="NU207" s="561">
        <v>0</v>
      </c>
      <c r="NV207" s="561">
        <v>0</v>
      </c>
      <c r="NW207" s="561">
        <v>0</v>
      </c>
      <c r="NX207" s="561">
        <v>0</v>
      </c>
      <c r="NY207" s="561">
        <v>0</v>
      </c>
      <c r="NZ207" s="561">
        <v>0</v>
      </c>
      <c r="OA207" s="561">
        <v>0</v>
      </c>
      <c r="OB207" s="561">
        <v>0</v>
      </c>
      <c r="OC207" s="561">
        <v>0</v>
      </c>
      <c r="OD207" s="561">
        <v>0</v>
      </c>
      <c r="OE207" s="561">
        <v>0</v>
      </c>
      <c r="OF207" s="561">
        <v>0</v>
      </c>
      <c r="OG207" s="561">
        <v>0</v>
      </c>
      <c r="OH207" s="561">
        <v>0</v>
      </c>
      <c r="OI207" s="561">
        <v>0</v>
      </c>
      <c r="OJ207" s="561">
        <v>0</v>
      </c>
      <c r="OK207" s="561">
        <v>0</v>
      </c>
      <c r="OL207" s="561">
        <v>0</v>
      </c>
      <c r="OM207" s="561">
        <v>0</v>
      </c>
      <c r="ON207" s="561">
        <v>0</v>
      </c>
      <c r="OO207" s="561">
        <v>0</v>
      </c>
      <c r="OP207" s="561">
        <v>0</v>
      </c>
      <c r="OQ207" s="561">
        <v>0</v>
      </c>
      <c r="OR207" s="561">
        <v>0</v>
      </c>
      <c r="OS207" s="561">
        <v>0</v>
      </c>
      <c r="OT207" s="561">
        <v>0</v>
      </c>
      <c r="OU207" s="561">
        <v>0</v>
      </c>
      <c r="OV207" s="561">
        <v>0</v>
      </c>
      <c r="OW207" s="561">
        <v>0</v>
      </c>
      <c r="OX207" s="561">
        <v>0</v>
      </c>
      <c r="OY207" s="561">
        <v>0</v>
      </c>
      <c r="OZ207" s="561">
        <v>0</v>
      </c>
      <c r="PA207" s="561">
        <v>0</v>
      </c>
      <c r="PB207" s="561">
        <v>0</v>
      </c>
      <c r="PC207" s="561">
        <v>0</v>
      </c>
      <c r="PD207" s="561">
        <v>0</v>
      </c>
      <c r="PE207" s="561">
        <v>0</v>
      </c>
      <c r="PF207" s="561">
        <v>0</v>
      </c>
      <c r="PG207" s="561">
        <v>0</v>
      </c>
      <c r="PH207" s="561">
        <v>0</v>
      </c>
      <c r="PI207" s="561">
        <v>0</v>
      </c>
      <c r="PJ207" s="561">
        <v>0</v>
      </c>
    </row>
    <row r="208" spans="1:426" ht="14" x14ac:dyDescent="0.3">
      <c r="A208" t="s">
        <v>3064</v>
      </c>
      <c r="B208" t="s">
        <v>3065</v>
      </c>
      <c r="C208" t="s">
        <v>4624</v>
      </c>
      <c r="E208" t="s">
        <v>384</v>
      </c>
      <c r="F208" s="561">
        <v>0</v>
      </c>
      <c r="G208" s="561">
        <v>0</v>
      </c>
      <c r="H208" s="561">
        <v>0</v>
      </c>
      <c r="I208" s="561">
        <v>0</v>
      </c>
      <c r="J208" s="561">
        <v>0</v>
      </c>
      <c r="K208" s="561">
        <v>0</v>
      </c>
      <c r="L208" s="561">
        <v>0</v>
      </c>
      <c r="M208" s="561">
        <v>0</v>
      </c>
      <c r="N208" s="561">
        <v>0</v>
      </c>
      <c r="O208" s="561">
        <v>0</v>
      </c>
      <c r="P208" s="561">
        <v>0</v>
      </c>
      <c r="Q208" s="561">
        <v>0</v>
      </c>
      <c r="R208" s="561">
        <v>0</v>
      </c>
      <c r="S208" s="561">
        <v>0</v>
      </c>
      <c r="T208" s="561">
        <v>92</v>
      </c>
      <c r="U208" s="561">
        <v>0</v>
      </c>
      <c r="V208" s="561">
        <v>14</v>
      </c>
      <c r="W208" s="561">
        <v>0</v>
      </c>
      <c r="X208" s="561">
        <v>0</v>
      </c>
      <c r="Y208" s="561">
        <v>0</v>
      </c>
      <c r="Z208" s="561">
        <v>21</v>
      </c>
      <c r="AA208" s="561">
        <v>-27</v>
      </c>
      <c r="AB208" s="561">
        <v>-4390</v>
      </c>
      <c r="AC208" s="561">
        <v>0</v>
      </c>
      <c r="AD208" s="561">
        <v>0</v>
      </c>
      <c r="AE208" s="561">
        <v>42</v>
      </c>
      <c r="AF208" s="561">
        <v>0</v>
      </c>
      <c r="AG208" s="561">
        <v>0</v>
      </c>
      <c r="AH208" s="561">
        <v>155</v>
      </c>
      <c r="AI208" s="561">
        <v>0</v>
      </c>
      <c r="AJ208" s="561">
        <v>-4093</v>
      </c>
      <c r="AK208" s="561">
        <v>0</v>
      </c>
      <c r="AL208" s="561">
        <v>0</v>
      </c>
      <c r="AM208" s="561">
        <v>0</v>
      </c>
      <c r="AN208" s="561">
        <v>0</v>
      </c>
      <c r="AO208" s="561">
        <v>0</v>
      </c>
      <c r="AP208" s="561">
        <v>0</v>
      </c>
      <c r="AQ208" s="561">
        <v>0</v>
      </c>
      <c r="AR208" s="561">
        <v>0</v>
      </c>
      <c r="AS208" s="561">
        <v>0</v>
      </c>
      <c r="AT208" s="561">
        <v>252</v>
      </c>
      <c r="AU208" s="561">
        <v>0</v>
      </c>
      <c r="AV208" s="561">
        <v>0</v>
      </c>
      <c r="AW208" s="561">
        <v>0</v>
      </c>
      <c r="AX208" s="561">
        <v>0</v>
      </c>
      <c r="AY208" s="561">
        <v>0</v>
      </c>
      <c r="AZ208" s="561">
        <v>0</v>
      </c>
      <c r="BA208" s="561">
        <v>0</v>
      </c>
      <c r="BB208" s="561">
        <v>0</v>
      </c>
      <c r="BC208" s="561">
        <v>0</v>
      </c>
      <c r="BD208" s="561">
        <v>0</v>
      </c>
      <c r="BE208" s="561">
        <v>0</v>
      </c>
      <c r="BF208" s="561">
        <v>0</v>
      </c>
      <c r="BG208" s="561">
        <v>0</v>
      </c>
      <c r="BH208" s="561">
        <v>0</v>
      </c>
      <c r="BI208" s="561">
        <v>0</v>
      </c>
      <c r="BJ208" s="561">
        <v>0</v>
      </c>
      <c r="BK208" s="561">
        <v>0</v>
      </c>
      <c r="BL208" s="561">
        <v>0</v>
      </c>
      <c r="BM208" s="561">
        <v>0</v>
      </c>
      <c r="BN208" s="561">
        <v>0</v>
      </c>
      <c r="BO208" s="561">
        <v>0</v>
      </c>
      <c r="BP208" s="561">
        <v>0</v>
      </c>
      <c r="BQ208" s="561">
        <v>0</v>
      </c>
      <c r="BR208" s="561">
        <v>0</v>
      </c>
      <c r="BS208" s="561">
        <v>0</v>
      </c>
      <c r="BT208" s="561">
        <v>0</v>
      </c>
      <c r="BU208" s="561">
        <v>0</v>
      </c>
      <c r="BV208" s="561">
        <v>0</v>
      </c>
      <c r="BW208" s="561">
        <v>0</v>
      </c>
      <c r="BX208" s="561">
        <v>0</v>
      </c>
      <c r="BY208" s="561">
        <v>0</v>
      </c>
      <c r="BZ208" s="561">
        <v>0</v>
      </c>
      <c r="CA208" s="561">
        <v>0</v>
      </c>
      <c r="CB208" s="561">
        <v>0</v>
      </c>
      <c r="CC208" s="561">
        <v>0</v>
      </c>
      <c r="CD208" s="561">
        <v>0</v>
      </c>
      <c r="CE208" s="561">
        <v>0</v>
      </c>
      <c r="CF208" s="561">
        <v>1</v>
      </c>
      <c r="CG208" s="561">
        <v>0</v>
      </c>
      <c r="CH208" s="561">
        <v>0</v>
      </c>
      <c r="CI208" s="561">
        <v>0</v>
      </c>
      <c r="CJ208" s="561">
        <v>0</v>
      </c>
      <c r="CK208" s="561">
        <v>0</v>
      </c>
      <c r="CL208" s="561">
        <v>0</v>
      </c>
      <c r="CM208" s="561">
        <v>0</v>
      </c>
      <c r="CN208" s="561">
        <v>0</v>
      </c>
      <c r="CO208" s="561">
        <v>0</v>
      </c>
      <c r="CP208" s="561">
        <v>0</v>
      </c>
      <c r="CQ208" s="561">
        <v>0</v>
      </c>
      <c r="CR208" s="561">
        <v>0</v>
      </c>
      <c r="CS208" s="561">
        <v>0</v>
      </c>
      <c r="CT208" s="561">
        <v>0</v>
      </c>
      <c r="CU208" s="561">
        <v>0</v>
      </c>
      <c r="CV208" s="561">
        <v>0</v>
      </c>
      <c r="CW208" s="561">
        <v>0</v>
      </c>
      <c r="CX208" s="561">
        <v>0</v>
      </c>
      <c r="CY208" s="561">
        <v>0</v>
      </c>
      <c r="CZ208" s="561">
        <v>1</v>
      </c>
      <c r="DA208" s="561">
        <v>0</v>
      </c>
      <c r="DB208" s="561">
        <v>0</v>
      </c>
      <c r="DC208" s="561">
        <v>0</v>
      </c>
      <c r="DD208" s="561">
        <v>0</v>
      </c>
      <c r="DE208" s="561">
        <v>0</v>
      </c>
      <c r="DF208" s="561">
        <v>0</v>
      </c>
      <c r="DG208" s="561">
        <v>0</v>
      </c>
      <c r="DH208" s="561">
        <v>0</v>
      </c>
      <c r="DI208" s="561">
        <v>0</v>
      </c>
      <c r="DJ208" s="561">
        <v>112</v>
      </c>
      <c r="DK208" s="561">
        <v>-14</v>
      </c>
      <c r="DL208" s="561">
        <v>34</v>
      </c>
      <c r="DM208" s="561">
        <v>0</v>
      </c>
      <c r="DN208" s="561">
        <v>852</v>
      </c>
      <c r="DO208" s="561">
        <v>241</v>
      </c>
      <c r="DP208" s="561">
        <v>14</v>
      </c>
      <c r="DQ208" s="561">
        <v>0</v>
      </c>
      <c r="DR208" s="561">
        <v>0</v>
      </c>
      <c r="DS208" s="561">
        <v>502</v>
      </c>
      <c r="DT208" s="561">
        <v>774</v>
      </c>
      <c r="DU208" s="561">
        <v>2417</v>
      </c>
      <c r="DV208" s="561">
        <v>4</v>
      </c>
      <c r="DW208" s="561">
        <v>0</v>
      </c>
      <c r="DX208" s="561">
        <v>7</v>
      </c>
      <c r="DY208" s="561">
        <v>1051</v>
      </c>
      <c r="DZ208" s="561">
        <v>0</v>
      </c>
      <c r="EA208" s="561">
        <v>231</v>
      </c>
      <c r="EB208" s="561">
        <v>735</v>
      </c>
      <c r="EC208" s="561">
        <v>4543</v>
      </c>
      <c r="ED208" s="561">
        <v>37</v>
      </c>
      <c r="EE208" s="561">
        <v>34953.78</v>
      </c>
      <c r="EF208" s="561">
        <v>471.68</v>
      </c>
      <c r="EG208" s="561">
        <v>699.01</v>
      </c>
      <c r="EH208" s="561">
        <v>1269.51</v>
      </c>
      <c r="EI208" s="561">
        <v>0</v>
      </c>
      <c r="EJ208" s="561">
        <v>675.28</v>
      </c>
      <c r="EK208" s="561">
        <v>0</v>
      </c>
      <c r="EL208" s="561">
        <v>0</v>
      </c>
      <c r="EM208" s="561">
        <v>0</v>
      </c>
      <c r="EN208" s="561">
        <v>10895.15</v>
      </c>
      <c r="EO208" s="561">
        <v>7800.22</v>
      </c>
      <c r="EP208" s="561">
        <v>2007.97</v>
      </c>
      <c r="EQ208" s="561">
        <v>1238.3699999999999</v>
      </c>
      <c r="ER208" s="561">
        <v>2244.5700000000002</v>
      </c>
      <c r="ES208" s="561" t="s">
        <v>4565</v>
      </c>
      <c r="ET208" s="561">
        <v>0</v>
      </c>
      <c r="EU208" s="561">
        <v>0</v>
      </c>
      <c r="EV208" s="561">
        <v>9.31</v>
      </c>
      <c r="EW208" s="561">
        <v>0</v>
      </c>
      <c r="EX208" s="561">
        <v>12264.43</v>
      </c>
      <c r="EY208" s="561">
        <v>488.5</v>
      </c>
      <c r="EZ208" s="561">
        <v>1120.74</v>
      </c>
      <c r="FA208" s="561">
        <v>7790</v>
      </c>
      <c r="FB208" s="561">
        <v>0</v>
      </c>
      <c r="FC208" s="561">
        <v>8</v>
      </c>
      <c r="FD208" s="561">
        <v>159</v>
      </c>
      <c r="FE208" s="561">
        <v>0</v>
      </c>
      <c r="FF208" s="561">
        <v>499</v>
      </c>
      <c r="FG208" s="561">
        <v>197</v>
      </c>
      <c r="FH208" s="561">
        <v>0</v>
      </c>
      <c r="FI208" s="561">
        <v>58</v>
      </c>
      <c r="FJ208" s="561">
        <v>1029</v>
      </c>
      <c r="FK208" s="561">
        <v>1156</v>
      </c>
      <c r="FL208" s="561">
        <v>60</v>
      </c>
      <c r="FM208" s="561">
        <v>238</v>
      </c>
      <c r="FN208" s="561">
        <v>0</v>
      </c>
      <c r="FO208" s="561">
        <v>3404</v>
      </c>
      <c r="FP208" s="561">
        <v>15</v>
      </c>
      <c r="FQ208" s="561">
        <v>-164</v>
      </c>
      <c r="FR208" s="561">
        <v>0</v>
      </c>
      <c r="FS208" s="561">
        <v>0</v>
      </c>
      <c r="FT208" s="561">
        <v>295</v>
      </c>
      <c r="FU208" s="561">
        <v>681</v>
      </c>
      <c r="FV208" s="561">
        <v>0</v>
      </c>
      <c r="FW208" s="561">
        <v>93</v>
      </c>
      <c r="FX208" s="561">
        <v>0</v>
      </c>
      <c r="FY208" s="561">
        <v>0</v>
      </c>
      <c r="FZ208" s="561">
        <v>0</v>
      </c>
      <c r="GA208" s="561">
        <v>232</v>
      </c>
      <c r="GB208" s="561">
        <v>0</v>
      </c>
      <c r="GC208" s="561">
        <v>81</v>
      </c>
      <c r="GD208" s="561">
        <v>0</v>
      </c>
      <c r="GE208" s="561">
        <v>0</v>
      </c>
      <c r="GF208" s="561">
        <v>332</v>
      </c>
      <c r="GG208" s="561">
        <v>0</v>
      </c>
      <c r="GH208" s="561">
        <v>0</v>
      </c>
      <c r="GI208" s="561">
        <v>1266</v>
      </c>
      <c r="GJ208" s="561">
        <v>0</v>
      </c>
      <c r="GK208" s="561">
        <v>0</v>
      </c>
      <c r="GL208" s="561">
        <v>2302</v>
      </c>
      <c r="GM208" s="561">
        <v>2020</v>
      </c>
      <c r="GN208" s="561">
        <v>0</v>
      </c>
      <c r="GO208" s="561">
        <v>0</v>
      </c>
      <c r="GP208" s="561">
        <v>1237</v>
      </c>
      <c r="GQ208" s="561">
        <v>0</v>
      </c>
      <c r="GR208" s="561">
        <v>0</v>
      </c>
      <c r="GS208" s="561">
        <v>8375</v>
      </c>
      <c r="GT208" s="561">
        <v>13</v>
      </c>
      <c r="GU208" s="561">
        <v>105</v>
      </c>
      <c r="GV208" s="561">
        <v>630</v>
      </c>
      <c r="GW208" s="561">
        <v>0</v>
      </c>
      <c r="GX208" s="561">
        <v>1086</v>
      </c>
      <c r="GY208" s="561">
        <v>0</v>
      </c>
      <c r="GZ208" s="561">
        <v>888</v>
      </c>
      <c r="HA208" s="561">
        <v>0</v>
      </c>
      <c r="HB208" s="561">
        <v>105</v>
      </c>
      <c r="HC208" s="561">
        <v>486</v>
      </c>
      <c r="HD208" s="561">
        <v>3300</v>
      </c>
      <c r="HE208" s="561">
        <v>2</v>
      </c>
      <c r="HF208" s="561">
        <v>15079</v>
      </c>
      <c r="HG208" s="561">
        <v>30</v>
      </c>
      <c r="HH208" s="561">
        <v>0</v>
      </c>
      <c r="HI208" s="561">
        <v>0</v>
      </c>
      <c r="HJ208" s="561">
        <v>0</v>
      </c>
      <c r="HK208" s="561">
        <v>0</v>
      </c>
      <c r="HL208" s="561">
        <v>0</v>
      </c>
      <c r="HM208" s="561">
        <v>0</v>
      </c>
      <c r="HN208" s="561">
        <v>0</v>
      </c>
      <c r="HO208" s="561">
        <v>1592</v>
      </c>
      <c r="HP208" s="561">
        <v>965</v>
      </c>
      <c r="HQ208" s="561">
        <v>0</v>
      </c>
      <c r="HR208" s="561">
        <v>0</v>
      </c>
      <c r="HS208" s="561">
        <v>383</v>
      </c>
      <c r="HT208" s="561">
        <v>-13</v>
      </c>
      <c r="HU208" s="561">
        <v>0</v>
      </c>
      <c r="HV208" s="561">
        <v>0</v>
      </c>
      <c r="HW208" s="561">
        <v>218</v>
      </c>
      <c r="HX208" s="561">
        <v>533</v>
      </c>
      <c r="HY208" s="561">
        <v>28</v>
      </c>
      <c r="HZ208" s="561">
        <v>-36</v>
      </c>
      <c r="IA208" s="561">
        <v>0</v>
      </c>
      <c r="IB208" s="561">
        <v>1368</v>
      </c>
      <c r="IC208" s="561">
        <v>0</v>
      </c>
      <c r="ID208" s="561">
        <v>0</v>
      </c>
      <c r="IE208" s="561">
        <v>581</v>
      </c>
      <c r="IF208" s="561">
        <v>0</v>
      </c>
      <c r="IG208" s="561">
        <v>0</v>
      </c>
      <c r="IH208" s="561">
        <v>27</v>
      </c>
      <c r="II208" s="561">
        <v>5646</v>
      </c>
      <c r="IJ208" s="561">
        <v>599</v>
      </c>
      <c r="IK208" s="561">
        <v>5676</v>
      </c>
      <c r="IL208" s="561">
        <v>12355</v>
      </c>
      <c r="IM208" s="561">
        <v>0</v>
      </c>
      <c r="IN208" s="561">
        <v>5286</v>
      </c>
      <c r="IO208" s="561">
        <v>0</v>
      </c>
      <c r="IP208" s="561">
        <v>-386</v>
      </c>
      <c r="IQ208" s="561">
        <v>0</v>
      </c>
      <c r="IR208" s="561">
        <v>0</v>
      </c>
      <c r="IS208" s="561">
        <v>-4093</v>
      </c>
      <c r="IT208" s="561">
        <v>0</v>
      </c>
      <c r="IU208" s="561">
        <v>0</v>
      </c>
      <c r="IV208" s="561">
        <v>1</v>
      </c>
      <c r="IW208" s="561">
        <v>4543</v>
      </c>
      <c r="IX208" s="561">
        <v>3404</v>
      </c>
      <c r="IY208" s="561">
        <v>8375</v>
      </c>
      <c r="IZ208" s="561">
        <v>3300</v>
      </c>
      <c r="JA208" s="561">
        <v>0</v>
      </c>
      <c r="JB208" s="561">
        <v>0</v>
      </c>
      <c r="JC208" s="561">
        <v>5646</v>
      </c>
      <c r="JD208" s="561">
        <v>-386</v>
      </c>
      <c r="JE208" s="561">
        <v>20790</v>
      </c>
      <c r="JF208" s="561">
        <v>13331</v>
      </c>
      <c r="JG208" s="561">
        <v>516</v>
      </c>
      <c r="JH208" s="561">
        <v>9933</v>
      </c>
      <c r="JI208" s="561">
        <v>0</v>
      </c>
      <c r="JJ208" s="561">
        <v>0</v>
      </c>
      <c r="JK208" s="561">
        <v>0</v>
      </c>
      <c r="JL208" s="561">
        <v>0</v>
      </c>
      <c r="JM208" s="561">
        <v>0</v>
      </c>
      <c r="JN208" s="561">
        <v>0</v>
      </c>
      <c r="JO208" s="561">
        <v>0</v>
      </c>
      <c r="JP208" s="561">
        <v>0</v>
      </c>
      <c r="JQ208" s="561">
        <v>0</v>
      </c>
      <c r="JR208" s="561">
        <v>0</v>
      </c>
      <c r="JS208" s="561">
        <v>0</v>
      </c>
      <c r="JT208" s="561">
        <v>0</v>
      </c>
      <c r="JU208" s="561">
        <v>0</v>
      </c>
      <c r="JV208" s="561">
        <v>44570</v>
      </c>
      <c r="JW208" s="561">
        <v>0</v>
      </c>
      <c r="JX208" s="561">
        <v>4101</v>
      </c>
      <c r="JY208" s="561">
        <v>0</v>
      </c>
      <c r="JZ208" s="561">
        <v>0</v>
      </c>
      <c r="KA208" s="561">
        <v>0</v>
      </c>
      <c r="KB208" s="561">
        <v>253</v>
      </c>
      <c r="KC208" s="561">
        <v>970</v>
      </c>
      <c r="KD208" s="561">
        <v>63</v>
      </c>
      <c r="KE208" s="561">
        <v>3502</v>
      </c>
      <c r="KF208" s="561">
        <v>-2239</v>
      </c>
      <c r="KG208" s="561">
        <v>51220</v>
      </c>
      <c r="KH208" s="561">
        <v>-2321</v>
      </c>
      <c r="KI208" s="561">
        <v>0</v>
      </c>
      <c r="KJ208" s="561">
        <v>0</v>
      </c>
      <c r="KK208" s="561">
        <v>0</v>
      </c>
      <c r="KL208" s="561">
        <v>-23797</v>
      </c>
      <c r="KM208" s="561">
        <v>0</v>
      </c>
      <c r="KN208" s="561">
        <v>-19</v>
      </c>
      <c r="KO208" s="561">
        <v>0</v>
      </c>
      <c r="KP208" s="561">
        <v>0</v>
      </c>
      <c r="KQ208" s="561">
        <v>0</v>
      </c>
      <c r="KR208" s="561">
        <v>25083</v>
      </c>
      <c r="KS208" s="561">
        <v>0</v>
      </c>
      <c r="KT208" s="561">
        <v>-10452</v>
      </c>
      <c r="KU208" s="561">
        <v>14631</v>
      </c>
      <c r="KV208" s="561">
        <v>0</v>
      </c>
      <c r="KW208" s="561">
        <v>0</v>
      </c>
      <c r="KX208" s="561">
        <v>0</v>
      </c>
      <c r="KY208" s="561">
        <v>0</v>
      </c>
      <c r="KZ208" s="561">
        <v>632</v>
      </c>
      <c r="LA208" s="561">
        <v>147</v>
      </c>
      <c r="LB208" s="561">
        <v>-187</v>
      </c>
      <c r="LC208" s="561">
        <v>0</v>
      </c>
      <c r="LD208" s="561">
        <v>-7421</v>
      </c>
      <c r="LE208" s="561">
        <v>104</v>
      </c>
      <c r="LF208" s="561">
        <v>0</v>
      </c>
      <c r="LG208" s="561">
        <v>7906</v>
      </c>
      <c r="LH208" s="561">
        <v>0</v>
      </c>
      <c r="LI208" s="561">
        <v>0</v>
      </c>
      <c r="LJ208" s="561">
        <v>0</v>
      </c>
      <c r="LK208" s="561">
        <v>0</v>
      </c>
      <c r="LL208" s="561">
        <v>9279</v>
      </c>
      <c r="LM208" s="561">
        <v>2245</v>
      </c>
      <c r="LN208" s="561">
        <v>0</v>
      </c>
      <c r="LO208" s="561">
        <v>0</v>
      </c>
      <c r="LP208" s="561">
        <v>0</v>
      </c>
      <c r="LQ208" s="561">
        <v>0</v>
      </c>
      <c r="LR208" s="561">
        <v>9911</v>
      </c>
      <c r="LS208" s="561">
        <v>2392</v>
      </c>
      <c r="LT208" s="561">
        <v>0</v>
      </c>
      <c r="LU208" s="561">
        <v>2586</v>
      </c>
      <c r="LV208" s="561">
        <v>0</v>
      </c>
      <c r="LW208" s="561">
        <v>263</v>
      </c>
      <c r="LX208" s="561">
        <v>-12601</v>
      </c>
      <c r="LY208" s="561">
        <v>0</v>
      </c>
      <c r="LZ208" s="561">
        <v>-9752</v>
      </c>
      <c r="MA208" s="561">
        <v>0</v>
      </c>
      <c r="MB208" s="561">
        <v>0</v>
      </c>
      <c r="MC208" s="561">
        <v>38069.26</v>
      </c>
      <c r="MD208" s="561">
        <v>36948.519999999997</v>
      </c>
      <c r="ME208" s="561">
        <v>1120.74</v>
      </c>
      <c r="MF208" s="561">
        <v>7790</v>
      </c>
      <c r="MG208" s="561">
        <v>8910.74</v>
      </c>
      <c r="MH208" s="561">
        <v>2783</v>
      </c>
      <c r="MI208" s="561">
        <v>6092</v>
      </c>
      <c r="MJ208" s="561">
        <v>8875</v>
      </c>
      <c r="MK208" s="561">
        <v>0</v>
      </c>
      <c r="ML208" s="561">
        <v>192</v>
      </c>
      <c r="MM208" s="561">
        <v>5163</v>
      </c>
      <c r="MN208" s="561">
        <v>1299</v>
      </c>
      <c r="MO208" s="561">
        <v>3257</v>
      </c>
      <c r="MP208" s="561">
        <v>0</v>
      </c>
      <c r="MQ208" s="561">
        <v>0</v>
      </c>
      <c r="MR208" s="561">
        <v>-4093</v>
      </c>
      <c r="MS208" s="561">
        <v>0</v>
      </c>
      <c r="MT208" s="561">
        <v>0</v>
      </c>
      <c r="MU208" s="561">
        <v>1</v>
      </c>
      <c r="MV208" s="561">
        <v>4543</v>
      </c>
      <c r="MW208" s="561">
        <v>3404</v>
      </c>
      <c r="MX208" s="561">
        <v>8375</v>
      </c>
      <c r="MY208" s="561">
        <v>3300</v>
      </c>
      <c r="MZ208" s="561">
        <v>0</v>
      </c>
      <c r="NA208" s="561">
        <v>0</v>
      </c>
      <c r="NB208" s="561">
        <v>5646</v>
      </c>
      <c r="NC208" s="561">
        <v>-386</v>
      </c>
      <c r="ND208" s="561">
        <v>20790</v>
      </c>
      <c r="NE208" s="561">
        <v>0</v>
      </c>
      <c r="NF208" s="561">
        <v>0</v>
      </c>
      <c r="NG208" s="561">
        <v>0</v>
      </c>
      <c r="NH208" s="561">
        <v>0</v>
      </c>
      <c r="NI208" s="561">
        <v>0</v>
      </c>
      <c r="NJ208" s="561">
        <v>0</v>
      </c>
      <c r="NK208" s="561">
        <v>0</v>
      </c>
      <c r="NL208" s="561">
        <v>0</v>
      </c>
      <c r="NM208" s="561">
        <v>0</v>
      </c>
      <c r="NN208" s="561">
        <v>0</v>
      </c>
      <c r="NO208" s="561">
        <v>0</v>
      </c>
      <c r="NP208" s="561">
        <v>0</v>
      </c>
      <c r="NQ208" s="561">
        <v>0</v>
      </c>
      <c r="NR208" s="561">
        <v>0</v>
      </c>
      <c r="NS208" s="561">
        <v>0</v>
      </c>
      <c r="NT208" s="561">
        <v>0</v>
      </c>
      <c r="NU208" s="561">
        <v>0</v>
      </c>
      <c r="NV208" s="561">
        <v>0</v>
      </c>
      <c r="NW208" s="561">
        <v>0</v>
      </c>
      <c r="NX208" s="561">
        <v>0</v>
      </c>
      <c r="NY208" s="561">
        <v>0</v>
      </c>
      <c r="NZ208" s="561">
        <v>0</v>
      </c>
      <c r="OA208" s="561">
        <v>0</v>
      </c>
      <c r="OB208" s="561">
        <v>0</v>
      </c>
      <c r="OC208" s="561">
        <v>0</v>
      </c>
      <c r="OD208" s="561">
        <v>0</v>
      </c>
      <c r="OE208" s="561">
        <v>0</v>
      </c>
      <c r="OF208" s="561">
        <v>0</v>
      </c>
      <c r="OG208" s="561">
        <v>0</v>
      </c>
      <c r="OH208" s="561">
        <v>0</v>
      </c>
      <c r="OI208" s="561">
        <v>0</v>
      </c>
      <c r="OJ208" s="561">
        <v>0</v>
      </c>
      <c r="OK208" s="561">
        <v>0</v>
      </c>
      <c r="OL208" s="561">
        <v>0</v>
      </c>
      <c r="OM208" s="561">
        <v>0</v>
      </c>
      <c r="ON208" s="561">
        <v>0</v>
      </c>
      <c r="OO208" s="561">
        <v>0</v>
      </c>
      <c r="OP208" s="561">
        <v>0</v>
      </c>
      <c r="OQ208" s="561">
        <v>0</v>
      </c>
      <c r="OR208" s="561">
        <v>0</v>
      </c>
      <c r="OS208" s="561">
        <v>0</v>
      </c>
      <c r="OT208" s="561">
        <v>0</v>
      </c>
      <c r="OU208" s="561">
        <v>0</v>
      </c>
      <c r="OV208" s="561">
        <v>0</v>
      </c>
      <c r="OW208" s="561">
        <v>0</v>
      </c>
      <c r="OX208" s="561">
        <v>0</v>
      </c>
      <c r="OY208" s="561">
        <v>0</v>
      </c>
      <c r="OZ208" s="561">
        <v>0</v>
      </c>
      <c r="PA208" s="561">
        <v>0</v>
      </c>
      <c r="PB208" s="561">
        <v>0</v>
      </c>
      <c r="PC208" s="561">
        <v>0</v>
      </c>
      <c r="PD208" s="561">
        <v>0</v>
      </c>
      <c r="PE208" s="561">
        <v>0</v>
      </c>
      <c r="PF208" s="561">
        <v>0</v>
      </c>
      <c r="PG208" s="561">
        <v>0</v>
      </c>
      <c r="PH208" s="561">
        <v>0</v>
      </c>
      <c r="PI208" s="561">
        <v>0</v>
      </c>
      <c r="PJ208" s="561">
        <v>0</v>
      </c>
    </row>
    <row r="209" spans="1:426" ht="14" x14ac:dyDescent="0.3">
      <c r="A209" t="s">
        <v>3067</v>
      </c>
      <c r="B209" t="s">
        <v>3068</v>
      </c>
      <c r="C209" t="s">
        <v>4625</v>
      </c>
      <c r="E209" t="s">
        <v>2595</v>
      </c>
      <c r="F209" s="561">
        <v>76868</v>
      </c>
      <c r="G209" s="561">
        <v>207112</v>
      </c>
      <c r="H209" s="561">
        <v>33393</v>
      </c>
      <c r="I209" s="561">
        <v>81037</v>
      </c>
      <c r="J209" s="561">
        <v>5831</v>
      </c>
      <c r="K209" s="561">
        <v>83112</v>
      </c>
      <c r="L209" s="561">
        <v>487353</v>
      </c>
      <c r="M209" s="561">
        <v>2214</v>
      </c>
      <c r="N209" s="561">
        <v>1887</v>
      </c>
      <c r="O209" s="561">
        <v>0</v>
      </c>
      <c r="P209" s="561">
        <v>0</v>
      </c>
      <c r="Q209" s="561">
        <v>16049</v>
      </c>
      <c r="R209" s="561">
        <v>1552</v>
      </c>
      <c r="S209" s="561">
        <v>0</v>
      </c>
      <c r="T209" s="561">
        <v>11363</v>
      </c>
      <c r="U209" s="561">
        <v>4323</v>
      </c>
      <c r="V209" s="561">
        <v>6317</v>
      </c>
      <c r="W209" s="561">
        <v>0</v>
      </c>
      <c r="X209" s="561">
        <v>0</v>
      </c>
      <c r="Y209" s="561">
        <v>2917</v>
      </c>
      <c r="Z209" s="561">
        <v>0</v>
      </c>
      <c r="AA209" s="561">
        <v>1253</v>
      </c>
      <c r="AB209" s="561">
        <v>0</v>
      </c>
      <c r="AC209" s="561">
        <v>6390</v>
      </c>
      <c r="AD209" s="561">
        <v>0</v>
      </c>
      <c r="AE209" s="561">
        <v>4913</v>
      </c>
      <c r="AF209" s="561">
        <v>1</v>
      </c>
      <c r="AG209" s="561">
        <v>0</v>
      </c>
      <c r="AH209" s="561">
        <v>9769</v>
      </c>
      <c r="AI209" s="561">
        <v>0</v>
      </c>
      <c r="AJ209" s="561">
        <v>66734</v>
      </c>
      <c r="AK209" s="561">
        <v>46</v>
      </c>
      <c r="AL209" s="561">
        <v>0</v>
      </c>
      <c r="AM209" s="561">
        <v>0</v>
      </c>
      <c r="AN209" s="561">
        <v>0</v>
      </c>
      <c r="AO209" s="561">
        <v>0</v>
      </c>
      <c r="AP209" s="561">
        <v>0</v>
      </c>
      <c r="AQ209" s="561">
        <v>0</v>
      </c>
      <c r="AR209" s="561">
        <v>0</v>
      </c>
      <c r="AS209" s="561">
        <v>1419</v>
      </c>
      <c r="AT209" s="561">
        <v>0</v>
      </c>
      <c r="AU209" s="561">
        <v>0</v>
      </c>
      <c r="AV209" s="561">
        <v>0</v>
      </c>
      <c r="AW209" s="561">
        <v>0</v>
      </c>
      <c r="AX209" s="561">
        <v>2962</v>
      </c>
      <c r="AY209" s="561">
        <v>66124</v>
      </c>
      <c r="AZ209" s="561">
        <v>2376</v>
      </c>
      <c r="BA209" s="561">
        <v>21686</v>
      </c>
      <c r="BB209" s="561">
        <v>2786</v>
      </c>
      <c r="BC209" s="561">
        <v>40103</v>
      </c>
      <c r="BD209" s="561">
        <v>0</v>
      </c>
      <c r="BE209" s="561">
        <v>11037</v>
      </c>
      <c r="BF209" s="561">
        <v>147074</v>
      </c>
      <c r="BG209" s="561">
        <v>4134</v>
      </c>
      <c r="BH209" s="561">
        <v>20378</v>
      </c>
      <c r="BI209" s="561">
        <v>107427</v>
      </c>
      <c r="BJ209" s="561">
        <v>502</v>
      </c>
      <c r="BK209" s="561">
        <v>284</v>
      </c>
      <c r="BL209" s="561">
        <v>582</v>
      </c>
      <c r="BM209" s="561">
        <v>6314</v>
      </c>
      <c r="BN209" s="561">
        <v>81099</v>
      </c>
      <c r="BO209" s="561">
        <v>8601</v>
      </c>
      <c r="BP209" s="561">
        <v>14971</v>
      </c>
      <c r="BQ209" s="561">
        <v>13072</v>
      </c>
      <c r="BR209" s="561">
        <v>0</v>
      </c>
      <c r="BS209" s="561">
        <v>0</v>
      </c>
      <c r="BT209" s="561">
        <v>0</v>
      </c>
      <c r="BU209" s="561">
        <v>2415</v>
      </c>
      <c r="BV209" s="561">
        <v>4249</v>
      </c>
      <c r="BW209" s="561">
        <v>38187</v>
      </c>
      <c r="BX209" s="561">
        <v>828</v>
      </c>
      <c r="BY209" s="561">
        <v>-4897</v>
      </c>
      <c r="BZ209" s="561">
        <v>294012</v>
      </c>
      <c r="CA209" s="561">
        <v>2456</v>
      </c>
      <c r="CB209" s="561">
        <v>6139</v>
      </c>
      <c r="CC209" s="561">
        <v>775</v>
      </c>
      <c r="CD209" s="561">
        <v>0</v>
      </c>
      <c r="CE209" s="561">
        <v>855</v>
      </c>
      <c r="CF209" s="561">
        <v>505</v>
      </c>
      <c r="CG209" s="561">
        <v>70</v>
      </c>
      <c r="CH209" s="561">
        <v>594</v>
      </c>
      <c r="CI209" s="561">
        <v>907</v>
      </c>
      <c r="CJ209" s="561">
        <v>309</v>
      </c>
      <c r="CK209" s="561">
        <v>823</v>
      </c>
      <c r="CL209" s="561">
        <v>0</v>
      </c>
      <c r="CM209" s="561">
        <v>4647</v>
      </c>
      <c r="CN209" s="561">
        <v>3154</v>
      </c>
      <c r="CO209" s="561">
        <v>0</v>
      </c>
      <c r="CP209" s="561">
        <v>0</v>
      </c>
      <c r="CQ209" s="561">
        <v>447</v>
      </c>
      <c r="CR209" s="561">
        <v>548</v>
      </c>
      <c r="CS209" s="561">
        <v>18</v>
      </c>
      <c r="CT209" s="561">
        <v>1788</v>
      </c>
      <c r="CU209" s="561">
        <v>9425</v>
      </c>
      <c r="CV209" s="561">
        <v>35</v>
      </c>
      <c r="CW209" s="561">
        <v>0</v>
      </c>
      <c r="CX209" s="561">
        <v>-5</v>
      </c>
      <c r="CY209" s="561">
        <v>7528</v>
      </c>
      <c r="CZ209" s="561">
        <v>38562</v>
      </c>
      <c r="DA209" s="561">
        <v>0</v>
      </c>
      <c r="DB209" s="561">
        <v>0</v>
      </c>
      <c r="DC209" s="561">
        <v>0</v>
      </c>
      <c r="DD209" s="561">
        <v>0</v>
      </c>
      <c r="DE209" s="561">
        <v>0</v>
      </c>
      <c r="DF209" s="561">
        <v>0</v>
      </c>
      <c r="DG209" s="561">
        <v>0</v>
      </c>
      <c r="DH209" s="561">
        <v>0</v>
      </c>
      <c r="DI209" s="561">
        <v>0</v>
      </c>
      <c r="DJ209" s="561">
        <v>0</v>
      </c>
      <c r="DK209" s="561">
        <v>0</v>
      </c>
      <c r="DL209" s="561">
        <v>0</v>
      </c>
      <c r="DM209" s="561">
        <v>0</v>
      </c>
      <c r="DN209" s="561">
        <v>0</v>
      </c>
      <c r="DO209" s="561">
        <v>0</v>
      </c>
      <c r="DP209" s="561">
        <v>0</v>
      </c>
      <c r="DQ209" s="561">
        <v>0</v>
      </c>
      <c r="DR209" s="561">
        <v>0</v>
      </c>
      <c r="DS209" s="561">
        <v>0</v>
      </c>
      <c r="DT209" s="561">
        <v>0</v>
      </c>
      <c r="DU209" s="561">
        <v>0</v>
      </c>
      <c r="DV209" s="561">
        <v>0</v>
      </c>
      <c r="DW209" s="561">
        <v>0</v>
      </c>
      <c r="DX209" s="561">
        <v>0</v>
      </c>
      <c r="DY209" s="561">
        <v>0</v>
      </c>
      <c r="DZ209" s="561">
        <v>247</v>
      </c>
      <c r="EA209" s="561">
        <v>5072</v>
      </c>
      <c r="EB209" s="561">
        <v>0</v>
      </c>
      <c r="EC209" s="561">
        <v>5319</v>
      </c>
      <c r="ED209" s="561">
        <v>0</v>
      </c>
      <c r="EE209" s="561">
        <v>0</v>
      </c>
      <c r="EF209" s="561">
        <v>0</v>
      </c>
      <c r="EG209" s="561">
        <v>0</v>
      </c>
      <c r="EH209" s="561">
        <v>0</v>
      </c>
      <c r="EI209" s="561">
        <v>0</v>
      </c>
      <c r="EJ209" s="561">
        <v>0</v>
      </c>
      <c r="EK209" s="561">
        <v>0</v>
      </c>
      <c r="EL209" s="561">
        <v>0</v>
      </c>
      <c r="EM209" s="561">
        <v>0</v>
      </c>
      <c r="EN209" s="561">
        <v>0</v>
      </c>
      <c r="EO209" s="561">
        <v>0</v>
      </c>
      <c r="EP209" s="561">
        <v>0</v>
      </c>
      <c r="EQ209" s="561">
        <v>0</v>
      </c>
      <c r="ER209" s="561">
        <v>0</v>
      </c>
      <c r="ES209" s="561" t="s">
        <v>4565</v>
      </c>
      <c r="ET209" s="561">
        <v>0</v>
      </c>
      <c r="EU209" s="561">
        <v>0</v>
      </c>
      <c r="EV209" s="561">
        <v>0</v>
      </c>
      <c r="EW209" s="561">
        <v>0</v>
      </c>
      <c r="EX209" s="561">
        <v>0</v>
      </c>
      <c r="EY209" s="561">
        <v>0</v>
      </c>
      <c r="EZ209" s="561">
        <v>0</v>
      </c>
      <c r="FA209" s="561">
        <v>0</v>
      </c>
      <c r="FB209" s="561">
        <v>1085</v>
      </c>
      <c r="FC209" s="561">
        <v>0</v>
      </c>
      <c r="FD209" s="561">
        <v>1765</v>
      </c>
      <c r="FE209" s="561">
        <v>1287</v>
      </c>
      <c r="FF209" s="561">
        <v>0</v>
      </c>
      <c r="FG209" s="561">
        <v>0</v>
      </c>
      <c r="FH209" s="561">
        <v>0</v>
      </c>
      <c r="FI209" s="561">
        <v>0</v>
      </c>
      <c r="FJ209" s="561">
        <v>89</v>
      </c>
      <c r="FK209" s="561">
        <v>42</v>
      </c>
      <c r="FL209" s="561">
        <v>0</v>
      </c>
      <c r="FM209" s="561">
        <v>707</v>
      </c>
      <c r="FN209" s="561">
        <v>6313</v>
      </c>
      <c r="FO209" s="561">
        <v>11288</v>
      </c>
      <c r="FP209" s="561">
        <v>0</v>
      </c>
      <c r="FQ209" s="561">
        <v>0</v>
      </c>
      <c r="FR209" s="561">
        <v>2287</v>
      </c>
      <c r="FS209" s="561">
        <v>0</v>
      </c>
      <c r="FT209" s="561">
        <v>0</v>
      </c>
      <c r="FU209" s="561">
        <v>0</v>
      </c>
      <c r="FV209" s="561">
        <v>0</v>
      </c>
      <c r="FW209" s="561">
        <v>0</v>
      </c>
      <c r="FX209" s="561">
        <v>0</v>
      </c>
      <c r="FY209" s="561">
        <v>0</v>
      </c>
      <c r="FZ209" s="561">
        <v>0</v>
      </c>
      <c r="GA209" s="561">
        <v>0</v>
      </c>
      <c r="GB209" s="561">
        <v>0</v>
      </c>
      <c r="GC209" s="561">
        <v>-204</v>
      </c>
      <c r="GD209" s="561">
        <v>3236</v>
      </c>
      <c r="GE209" s="561">
        <v>0</v>
      </c>
      <c r="GF209" s="561">
        <v>0</v>
      </c>
      <c r="GG209" s="561">
        <v>3092</v>
      </c>
      <c r="GH209" s="561">
        <v>350</v>
      </c>
      <c r="GI209" s="561">
        <v>0</v>
      </c>
      <c r="GJ209" s="561">
        <v>0</v>
      </c>
      <c r="GK209" s="561">
        <v>0</v>
      </c>
      <c r="GL209" s="561">
        <v>0</v>
      </c>
      <c r="GM209" s="561">
        <v>0</v>
      </c>
      <c r="GN209" s="561">
        <v>20819</v>
      </c>
      <c r="GO209" s="561">
        <v>0</v>
      </c>
      <c r="GP209" s="561">
        <v>3659</v>
      </c>
      <c r="GQ209" s="561">
        <v>0</v>
      </c>
      <c r="GR209" s="561">
        <v>0</v>
      </c>
      <c r="GS209" s="561">
        <v>33239</v>
      </c>
      <c r="GT209" s="561">
        <v>122</v>
      </c>
      <c r="GU209" s="561">
        <v>0</v>
      </c>
      <c r="GV209" s="561">
        <v>1878</v>
      </c>
      <c r="GW209" s="561">
        <v>0</v>
      </c>
      <c r="GX209" s="561">
        <v>363</v>
      </c>
      <c r="GY209" s="561">
        <v>1750</v>
      </c>
      <c r="GZ209" s="561">
        <v>2167</v>
      </c>
      <c r="HA209" s="561">
        <v>25</v>
      </c>
      <c r="HB209" s="561">
        <v>1589</v>
      </c>
      <c r="HC209" s="561">
        <v>1115</v>
      </c>
      <c r="HD209" s="561">
        <v>8887</v>
      </c>
      <c r="HE209" s="561">
        <v>102</v>
      </c>
      <c r="HF209" s="561">
        <v>53414</v>
      </c>
      <c r="HG209" s="561">
        <v>0</v>
      </c>
      <c r="HH209" s="561">
        <v>0</v>
      </c>
      <c r="HI209" s="561">
        <v>0</v>
      </c>
      <c r="HJ209" s="561">
        <v>3079</v>
      </c>
      <c r="HK209" s="561">
        <v>32664</v>
      </c>
      <c r="HL209" s="561">
        <v>0</v>
      </c>
      <c r="HM209" s="561">
        <v>35743</v>
      </c>
      <c r="HN209" s="561">
        <v>0</v>
      </c>
      <c r="HO209" s="561">
        <v>3758</v>
      </c>
      <c r="HP209" s="561">
        <v>0</v>
      </c>
      <c r="HQ209" s="561">
        <v>0</v>
      </c>
      <c r="HR209" s="561">
        <v>0</v>
      </c>
      <c r="HS209" s="561">
        <v>55</v>
      </c>
      <c r="HT209" s="561">
        <v>0</v>
      </c>
      <c r="HU209" s="561">
        <v>0</v>
      </c>
      <c r="HV209" s="561">
        <v>1798</v>
      </c>
      <c r="HW209" s="561">
        <v>0</v>
      </c>
      <c r="HX209" s="561">
        <v>43</v>
      </c>
      <c r="HY209" s="561">
        <v>673</v>
      </c>
      <c r="HZ209" s="561">
        <v>0</v>
      </c>
      <c r="IA209" s="561">
        <v>0</v>
      </c>
      <c r="IB209" s="561">
        <v>0</v>
      </c>
      <c r="IC209" s="561">
        <v>3051</v>
      </c>
      <c r="ID209" s="561">
        <v>0</v>
      </c>
      <c r="IE209" s="561">
        <v>0</v>
      </c>
      <c r="IF209" s="561">
        <v>0</v>
      </c>
      <c r="IG209" s="561">
        <v>31</v>
      </c>
      <c r="IH209" s="561">
        <v>0</v>
      </c>
      <c r="II209" s="561">
        <v>9409</v>
      </c>
      <c r="IJ209" s="561">
        <v>0</v>
      </c>
      <c r="IK209" s="561">
        <v>0</v>
      </c>
      <c r="IL209" s="561">
        <v>0</v>
      </c>
      <c r="IM209" s="561">
        <v>0</v>
      </c>
      <c r="IN209" s="561">
        <v>0</v>
      </c>
      <c r="IO209" s="561">
        <v>0</v>
      </c>
      <c r="IP209" s="561">
        <v>0</v>
      </c>
      <c r="IQ209" s="561">
        <v>0</v>
      </c>
      <c r="IR209" s="561">
        <v>487353</v>
      </c>
      <c r="IS209" s="561">
        <v>66734</v>
      </c>
      <c r="IT209" s="561">
        <v>147074</v>
      </c>
      <c r="IU209" s="561">
        <v>294012</v>
      </c>
      <c r="IV209" s="561">
        <v>38562</v>
      </c>
      <c r="IW209" s="561">
        <v>5319</v>
      </c>
      <c r="IX209" s="561">
        <v>11288</v>
      </c>
      <c r="IY209" s="561">
        <v>33239</v>
      </c>
      <c r="IZ209" s="561">
        <v>8887</v>
      </c>
      <c r="JA209" s="561">
        <v>0</v>
      </c>
      <c r="JB209" s="561">
        <v>35743</v>
      </c>
      <c r="JC209" s="561">
        <v>9409</v>
      </c>
      <c r="JD209" s="561">
        <v>0</v>
      </c>
      <c r="JE209" s="561">
        <v>1137620</v>
      </c>
      <c r="JF209" s="561">
        <v>0</v>
      </c>
      <c r="JG209" s="561">
        <v>0</v>
      </c>
      <c r="JH209" s="561">
        <v>0</v>
      </c>
      <c r="JI209" s="561">
        <v>0</v>
      </c>
      <c r="JJ209" s="561">
        <v>0</v>
      </c>
      <c r="JK209" s="561">
        <v>0</v>
      </c>
      <c r="JL209" s="561">
        <v>0</v>
      </c>
      <c r="JM209" s="561">
        <v>0</v>
      </c>
      <c r="JN209" s="561">
        <v>0</v>
      </c>
      <c r="JO209" s="561">
        <v>562</v>
      </c>
      <c r="JP209" s="561">
        <v>-1655</v>
      </c>
      <c r="JQ209" s="561">
        <v>174</v>
      </c>
      <c r="JR209" s="561">
        <v>0</v>
      </c>
      <c r="JS209" s="561">
        <v>0</v>
      </c>
      <c r="JT209" s="561">
        <v>97</v>
      </c>
      <c r="JU209" s="561">
        <v>0</v>
      </c>
      <c r="JV209" s="561">
        <v>1136798</v>
      </c>
      <c r="JW209" s="561">
        <v>687</v>
      </c>
      <c r="JX209" s="561">
        <v>47814</v>
      </c>
      <c r="JY209" s="561">
        <v>0</v>
      </c>
      <c r="JZ209" s="561">
        <v>0</v>
      </c>
      <c r="KA209" s="561">
        <v>0</v>
      </c>
      <c r="KB209" s="561">
        <v>0</v>
      </c>
      <c r="KC209" s="561">
        <v>29472</v>
      </c>
      <c r="KD209" s="561">
        <v>0</v>
      </c>
      <c r="KE209" s="561">
        <v>23240</v>
      </c>
      <c r="KF209" s="561">
        <v>0</v>
      </c>
      <c r="KG209" s="561">
        <v>1238011</v>
      </c>
      <c r="KH209" s="561">
        <v>-14138</v>
      </c>
      <c r="KI209" s="561">
        <v>0</v>
      </c>
      <c r="KJ209" s="561">
        <v>-38</v>
      </c>
      <c r="KK209" s="561">
        <v>0</v>
      </c>
      <c r="KL209" s="561">
        <v>-7053</v>
      </c>
      <c r="KM209" s="561">
        <v>0</v>
      </c>
      <c r="KN209" s="561">
        <v>-418</v>
      </c>
      <c r="KO209" s="561">
        <v>0</v>
      </c>
      <c r="KP209" s="561">
        <v>0</v>
      </c>
      <c r="KQ209" s="561">
        <v>0</v>
      </c>
      <c r="KR209" s="561">
        <v>1216364</v>
      </c>
      <c r="KS209" s="561">
        <v>0</v>
      </c>
      <c r="KT209" s="561">
        <v>-602895</v>
      </c>
      <c r="KU209" s="561">
        <v>613469</v>
      </c>
      <c r="KV209" s="561">
        <v>0</v>
      </c>
      <c r="KW209" s="561">
        <v>-1352.72</v>
      </c>
      <c r="KX209" s="561">
        <v>-14780.04</v>
      </c>
      <c r="KY209" s="561">
        <v>-1456.21</v>
      </c>
      <c r="KZ209" s="561">
        <v>-35670</v>
      </c>
      <c r="LA209" s="561">
        <v>7800</v>
      </c>
      <c r="LB209" s="561">
        <v>-26413.61</v>
      </c>
      <c r="LC209" s="561">
        <v>0</v>
      </c>
      <c r="LD209" s="561">
        <v>-155333</v>
      </c>
      <c r="LE209" s="561">
        <v>0</v>
      </c>
      <c r="LF209" s="561">
        <v>0</v>
      </c>
      <c r="LG209" s="561">
        <v>386263</v>
      </c>
      <c r="LH209" s="561">
        <v>13049</v>
      </c>
      <c r="LI209" s="561">
        <v>0</v>
      </c>
      <c r="LJ209" s="561">
        <v>16280</v>
      </c>
      <c r="LK209" s="561">
        <v>14193</v>
      </c>
      <c r="LL209" s="561">
        <v>182213</v>
      </c>
      <c r="LM209" s="561">
        <v>16400</v>
      </c>
      <c r="LN209" s="561">
        <v>11696.28</v>
      </c>
      <c r="LO209" s="561">
        <v>0</v>
      </c>
      <c r="LP209" s="561">
        <v>1499.96</v>
      </c>
      <c r="LQ209" s="561">
        <v>12736.79</v>
      </c>
      <c r="LR209" s="561">
        <v>146543</v>
      </c>
      <c r="LS209" s="561">
        <v>24200</v>
      </c>
      <c r="LT209" s="561">
        <v>0</v>
      </c>
      <c r="LU209" s="561">
        <v>113134</v>
      </c>
      <c r="LV209" s="561">
        <v>0</v>
      </c>
      <c r="LW209" s="561">
        <v>0</v>
      </c>
      <c r="LX209" s="561">
        <v>-113219</v>
      </c>
      <c r="LY209" s="561">
        <v>26114</v>
      </c>
      <c r="LZ209" s="561">
        <v>30584</v>
      </c>
      <c r="MA209" s="561">
        <v>0</v>
      </c>
      <c r="MB209" s="561">
        <v>0</v>
      </c>
      <c r="MC209" s="561">
        <v>0</v>
      </c>
      <c r="MD209" s="561">
        <v>0</v>
      </c>
      <c r="ME209" s="561">
        <v>0</v>
      </c>
      <c r="MF209" s="561">
        <v>0</v>
      </c>
      <c r="MG209" s="561">
        <v>0</v>
      </c>
      <c r="MH209" s="561">
        <v>0</v>
      </c>
      <c r="MI209" s="561">
        <v>0</v>
      </c>
      <c r="MJ209" s="561">
        <v>0</v>
      </c>
      <c r="MK209" s="561">
        <v>0</v>
      </c>
      <c r="ML209" s="561">
        <v>1534</v>
      </c>
      <c r="MM209" s="561">
        <v>97776</v>
      </c>
      <c r="MN209" s="561">
        <v>311</v>
      </c>
      <c r="MO209" s="561">
        <v>46922</v>
      </c>
      <c r="MP209" s="561">
        <v>0</v>
      </c>
      <c r="MQ209" s="561">
        <v>487353</v>
      </c>
      <c r="MR209" s="561">
        <v>66734</v>
      </c>
      <c r="MS209" s="561">
        <v>147074</v>
      </c>
      <c r="MT209" s="561">
        <v>294012</v>
      </c>
      <c r="MU209" s="561">
        <v>38562</v>
      </c>
      <c r="MV209" s="561">
        <v>5319</v>
      </c>
      <c r="MW209" s="561">
        <v>11288</v>
      </c>
      <c r="MX209" s="561">
        <v>33239</v>
      </c>
      <c r="MY209" s="561">
        <v>8887</v>
      </c>
      <c r="MZ209" s="561">
        <v>0</v>
      </c>
      <c r="NA209" s="561">
        <v>35743</v>
      </c>
      <c r="NB209" s="561">
        <v>9409</v>
      </c>
      <c r="NC209" s="561">
        <v>0</v>
      </c>
      <c r="ND209" s="561">
        <v>1137620</v>
      </c>
      <c r="NE209" s="561">
        <v>0</v>
      </c>
      <c r="NF209" s="561">
        <v>0</v>
      </c>
      <c r="NG209" s="561">
        <v>0</v>
      </c>
      <c r="NH209" s="561">
        <v>0</v>
      </c>
      <c r="NI209" s="561">
        <v>0</v>
      </c>
      <c r="NJ209" s="561">
        <v>0</v>
      </c>
      <c r="NK209" s="561">
        <v>0</v>
      </c>
      <c r="NL209" s="561">
        <v>0</v>
      </c>
      <c r="NM209" s="561">
        <v>0</v>
      </c>
      <c r="NN209" s="561">
        <v>0</v>
      </c>
      <c r="NO209" s="561">
        <v>0</v>
      </c>
      <c r="NP209" s="561">
        <v>0</v>
      </c>
      <c r="NQ209" s="561">
        <v>0</v>
      </c>
      <c r="NR209" s="561">
        <v>0</v>
      </c>
      <c r="NS209" s="561">
        <v>0</v>
      </c>
      <c r="NT209" s="561">
        <v>0</v>
      </c>
      <c r="NU209" s="561">
        <v>-1761</v>
      </c>
      <c r="NV209" s="561">
        <v>0</v>
      </c>
      <c r="NW209" s="561">
        <v>-1655</v>
      </c>
      <c r="NX209" s="561">
        <v>0</v>
      </c>
      <c r="NY209" s="561">
        <v>-1655</v>
      </c>
      <c r="NZ209" s="561">
        <v>0</v>
      </c>
      <c r="OA209" s="561">
        <v>0</v>
      </c>
      <c r="OB209" s="561">
        <v>0</v>
      </c>
      <c r="OC209" s="561">
        <v>0</v>
      </c>
      <c r="OD209" s="561">
        <v>0</v>
      </c>
      <c r="OE209" s="561">
        <v>0</v>
      </c>
      <c r="OF209" s="561">
        <v>0</v>
      </c>
      <c r="OG209" s="561">
        <v>0</v>
      </c>
      <c r="OH209" s="561">
        <v>0</v>
      </c>
      <c r="OI209" s="561">
        <v>174</v>
      </c>
      <c r="OJ209" s="561">
        <v>0</v>
      </c>
      <c r="OK209" s="561">
        <v>0</v>
      </c>
      <c r="OL209" s="561">
        <v>0</v>
      </c>
      <c r="OM209" s="561">
        <v>0</v>
      </c>
      <c r="ON209" s="561">
        <v>0</v>
      </c>
      <c r="OO209" s="561">
        <v>0</v>
      </c>
      <c r="OP209" s="561">
        <v>0</v>
      </c>
      <c r="OQ209" s="561">
        <v>0</v>
      </c>
      <c r="OR209" s="561">
        <v>0</v>
      </c>
      <c r="OS209" s="561">
        <v>0</v>
      </c>
      <c r="OT209" s="561">
        <v>0</v>
      </c>
      <c r="OU209" s="561">
        <v>0</v>
      </c>
      <c r="OV209" s="561">
        <v>518</v>
      </c>
      <c r="OW209" s="561">
        <v>0</v>
      </c>
      <c r="OX209" s="561">
        <v>174</v>
      </c>
      <c r="OY209" s="561">
        <v>0</v>
      </c>
      <c r="OZ209" s="561">
        <v>0</v>
      </c>
      <c r="PA209" s="561">
        <v>0</v>
      </c>
      <c r="PB209" s="561">
        <v>0</v>
      </c>
      <c r="PC209" s="561">
        <v>0</v>
      </c>
      <c r="PD209" s="561">
        <v>0</v>
      </c>
      <c r="PE209" s="561">
        <v>0</v>
      </c>
      <c r="PF209" s="561">
        <v>0</v>
      </c>
      <c r="PG209" s="561">
        <v>0</v>
      </c>
      <c r="PH209" s="561">
        <v>0</v>
      </c>
      <c r="PI209" s="561">
        <v>0</v>
      </c>
      <c r="PJ209" s="561">
        <v>0</v>
      </c>
    </row>
    <row r="210" spans="1:426" ht="14" x14ac:dyDescent="0.3">
      <c r="A210" t="s">
        <v>3070</v>
      </c>
      <c r="B210" t="s">
        <v>3071</v>
      </c>
      <c r="C210" t="s">
        <v>3072</v>
      </c>
      <c r="E210" t="s">
        <v>2466</v>
      </c>
      <c r="F210" s="561">
        <v>0</v>
      </c>
      <c r="G210" s="561">
        <v>0</v>
      </c>
      <c r="H210" s="561">
        <v>0</v>
      </c>
      <c r="I210" s="561">
        <v>0</v>
      </c>
      <c r="J210" s="561">
        <v>0</v>
      </c>
      <c r="K210" s="561">
        <v>0</v>
      </c>
      <c r="L210" s="561">
        <v>0</v>
      </c>
      <c r="M210" s="561">
        <v>0</v>
      </c>
      <c r="N210" s="561">
        <v>0</v>
      </c>
      <c r="O210" s="561">
        <v>0</v>
      </c>
      <c r="P210" s="561">
        <v>0</v>
      </c>
      <c r="Q210" s="561">
        <v>0</v>
      </c>
      <c r="R210" s="561">
        <v>0</v>
      </c>
      <c r="S210" s="561">
        <v>0</v>
      </c>
      <c r="T210" s="561">
        <v>0</v>
      </c>
      <c r="U210" s="561">
        <v>0</v>
      </c>
      <c r="V210" s="561">
        <v>0</v>
      </c>
      <c r="W210" s="561">
        <v>0</v>
      </c>
      <c r="X210" s="561">
        <v>0</v>
      </c>
      <c r="Y210" s="561">
        <v>0</v>
      </c>
      <c r="Z210" s="561">
        <v>0</v>
      </c>
      <c r="AA210" s="561">
        <v>0</v>
      </c>
      <c r="AB210" s="561">
        <v>0</v>
      </c>
      <c r="AC210" s="561">
        <v>0</v>
      </c>
      <c r="AD210" s="561">
        <v>0</v>
      </c>
      <c r="AE210" s="561">
        <v>0</v>
      </c>
      <c r="AF210" s="561">
        <v>0</v>
      </c>
      <c r="AG210" s="561">
        <v>0</v>
      </c>
      <c r="AH210" s="561">
        <v>0</v>
      </c>
      <c r="AI210" s="561">
        <v>0</v>
      </c>
      <c r="AJ210" s="561">
        <v>0</v>
      </c>
      <c r="AK210" s="561">
        <v>0</v>
      </c>
      <c r="AL210" s="561">
        <v>0</v>
      </c>
      <c r="AM210" s="561">
        <v>0</v>
      </c>
      <c r="AN210" s="561">
        <v>0</v>
      </c>
      <c r="AO210" s="561">
        <v>0</v>
      </c>
      <c r="AP210" s="561">
        <v>0</v>
      </c>
      <c r="AQ210" s="561">
        <v>0</v>
      </c>
      <c r="AR210" s="561">
        <v>0</v>
      </c>
      <c r="AS210" s="561">
        <v>0</v>
      </c>
      <c r="AT210" s="561">
        <v>0</v>
      </c>
      <c r="AU210" s="561">
        <v>0</v>
      </c>
      <c r="AV210" s="561">
        <v>0</v>
      </c>
      <c r="AW210" s="561">
        <v>0</v>
      </c>
      <c r="AX210" s="561">
        <v>0</v>
      </c>
      <c r="AY210" s="561">
        <v>0</v>
      </c>
      <c r="AZ210" s="561">
        <v>0</v>
      </c>
      <c r="BA210" s="561">
        <v>0</v>
      </c>
      <c r="BB210" s="561">
        <v>0</v>
      </c>
      <c r="BC210" s="561">
        <v>0</v>
      </c>
      <c r="BD210" s="561">
        <v>0</v>
      </c>
      <c r="BE210" s="561">
        <v>0</v>
      </c>
      <c r="BF210" s="561">
        <v>0</v>
      </c>
      <c r="BG210" s="561">
        <v>0</v>
      </c>
      <c r="BH210" s="561">
        <v>0</v>
      </c>
      <c r="BI210" s="561">
        <v>0</v>
      </c>
      <c r="BJ210" s="561">
        <v>0</v>
      </c>
      <c r="BK210" s="561">
        <v>0</v>
      </c>
      <c r="BL210" s="561">
        <v>0</v>
      </c>
      <c r="BM210" s="561">
        <v>0</v>
      </c>
      <c r="BN210" s="561">
        <v>0</v>
      </c>
      <c r="BO210" s="561">
        <v>0</v>
      </c>
      <c r="BP210" s="561">
        <v>0</v>
      </c>
      <c r="BQ210" s="561">
        <v>0</v>
      </c>
      <c r="BR210" s="561">
        <v>0</v>
      </c>
      <c r="BS210" s="561">
        <v>0</v>
      </c>
      <c r="BT210" s="561">
        <v>0</v>
      </c>
      <c r="BU210" s="561">
        <v>0</v>
      </c>
      <c r="BV210" s="561">
        <v>0</v>
      </c>
      <c r="BW210" s="561">
        <v>0</v>
      </c>
      <c r="BX210" s="561">
        <v>0</v>
      </c>
      <c r="BY210" s="561">
        <v>0</v>
      </c>
      <c r="BZ210" s="561">
        <v>0</v>
      </c>
      <c r="CA210" s="561">
        <v>0</v>
      </c>
      <c r="CB210" s="561">
        <v>0</v>
      </c>
      <c r="CC210" s="561">
        <v>0</v>
      </c>
      <c r="CD210" s="561">
        <v>0</v>
      </c>
      <c r="CE210" s="561">
        <v>0</v>
      </c>
      <c r="CF210" s="561">
        <v>0</v>
      </c>
      <c r="CG210" s="561">
        <v>0</v>
      </c>
      <c r="CH210" s="561">
        <v>0</v>
      </c>
      <c r="CI210" s="561">
        <v>0</v>
      </c>
      <c r="CJ210" s="561">
        <v>0</v>
      </c>
      <c r="CK210" s="561">
        <v>0</v>
      </c>
      <c r="CL210" s="561">
        <v>0</v>
      </c>
      <c r="CM210" s="561">
        <v>0</v>
      </c>
      <c r="CN210" s="561">
        <v>0</v>
      </c>
      <c r="CO210" s="561">
        <v>0</v>
      </c>
      <c r="CP210" s="561">
        <v>0</v>
      </c>
      <c r="CQ210" s="561">
        <v>0</v>
      </c>
      <c r="CR210" s="561">
        <v>0</v>
      </c>
      <c r="CS210" s="561">
        <v>0</v>
      </c>
      <c r="CT210" s="561">
        <v>0</v>
      </c>
      <c r="CU210" s="561">
        <v>0</v>
      </c>
      <c r="CV210" s="561">
        <v>0</v>
      </c>
      <c r="CW210" s="561">
        <v>0</v>
      </c>
      <c r="CX210" s="561">
        <v>0</v>
      </c>
      <c r="CY210" s="561">
        <v>0</v>
      </c>
      <c r="CZ210" s="561">
        <v>0</v>
      </c>
      <c r="DA210" s="561">
        <v>0</v>
      </c>
      <c r="DB210" s="561">
        <v>0</v>
      </c>
      <c r="DC210" s="561">
        <v>0</v>
      </c>
      <c r="DD210" s="561">
        <v>0</v>
      </c>
      <c r="DE210" s="561">
        <v>0</v>
      </c>
      <c r="DF210" s="561">
        <v>0</v>
      </c>
      <c r="DG210" s="561">
        <v>0</v>
      </c>
      <c r="DH210" s="561">
        <v>0</v>
      </c>
      <c r="DI210" s="561">
        <v>0</v>
      </c>
      <c r="DJ210" s="561">
        <v>0</v>
      </c>
      <c r="DK210" s="561">
        <v>0</v>
      </c>
      <c r="DL210" s="561">
        <v>0</v>
      </c>
      <c r="DM210" s="561">
        <v>0</v>
      </c>
      <c r="DN210" s="561">
        <v>0</v>
      </c>
      <c r="DO210" s="561">
        <v>0</v>
      </c>
      <c r="DP210" s="561">
        <v>0</v>
      </c>
      <c r="DQ210" s="561">
        <v>0</v>
      </c>
      <c r="DR210" s="561">
        <v>0</v>
      </c>
      <c r="DS210" s="561">
        <v>0</v>
      </c>
      <c r="DT210" s="561">
        <v>0</v>
      </c>
      <c r="DU210" s="561">
        <v>0</v>
      </c>
      <c r="DV210" s="561">
        <v>0</v>
      </c>
      <c r="DW210" s="561">
        <v>0</v>
      </c>
      <c r="DX210" s="561">
        <v>0</v>
      </c>
      <c r="DY210" s="561">
        <v>0</v>
      </c>
      <c r="DZ210" s="561">
        <v>0</v>
      </c>
      <c r="EA210" s="561">
        <v>0</v>
      </c>
      <c r="EB210" s="561">
        <v>0</v>
      </c>
      <c r="EC210" s="561">
        <v>0</v>
      </c>
      <c r="ED210" s="561">
        <v>0</v>
      </c>
      <c r="EE210" s="561">
        <v>0</v>
      </c>
      <c r="EF210" s="561">
        <v>0</v>
      </c>
      <c r="EG210" s="561">
        <v>0</v>
      </c>
      <c r="EH210" s="561">
        <v>0</v>
      </c>
      <c r="EI210" s="561">
        <v>0</v>
      </c>
      <c r="EJ210" s="561">
        <v>0</v>
      </c>
      <c r="EK210" s="561">
        <v>0</v>
      </c>
      <c r="EL210" s="561">
        <v>0</v>
      </c>
      <c r="EM210" s="561">
        <v>0</v>
      </c>
      <c r="EN210" s="561">
        <v>0</v>
      </c>
      <c r="EO210" s="561">
        <v>0</v>
      </c>
      <c r="EP210" s="561">
        <v>0</v>
      </c>
      <c r="EQ210" s="561">
        <v>0</v>
      </c>
      <c r="ER210" s="561">
        <v>0</v>
      </c>
      <c r="ES210" s="561" t="s">
        <v>4565</v>
      </c>
      <c r="ET210" s="561">
        <v>0</v>
      </c>
      <c r="EU210" s="561">
        <v>0</v>
      </c>
      <c r="EV210" s="561">
        <v>0</v>
      </c>
      <c r="EW210" s="561">
        <v>0</v>
      </c>
      <c r="EX210" s="561">
        <v>0</v>
      </c>
      <c r="EY210" s="561">
        <v>0</v>
      </c>
      <c r="EZ210" s="561">
        <v>0</v>
      </c>
      <c r="FA210" s="561">
        <v>0</v>
      </c>
      <c r="FB210" s="561">
        <v>0</v>
      </c>
      <c r="FC210" s="561">
        <v>0</v>
      </c>
      <c r="FD210" s="561">
        <v>0</v>
      </c>
      <c r="FE210" s="561">
        <v>0</v>
      </c>
      <c r="FF210" s="561">
        <v>0</v>
      </c>
      <c r="FG210" s="561">
        <v>0</v>
      </c>
      <c r="FH210" s="561">
        <v>0</v>
      </c>
      <c r="FI210" s="561">
        <v>0</v>
      </c>
      <c r="FJ210" s="561">
        <v>0</v>
      </c>
      <c r="FK210" s="561">
        <v>0</v>
      </c>
      <c r="FL210" s="561">
        <v>0</v>
      </c>
      <c r="FM210" s="561">
        <v>0</v>
      </c>
      <c r="FN210" s="561">
        <v>0</v>
      </c>
      <c r="FO210" s="561">
        <v>0</v>
      </c>
      <c r="FP210" s="561">
        <v>0</v>
      </c>
      <c r="FQ210" s="561">
        <v>0</v>
      </c>
      <c r="FR210" s="561">
        <v>0</v>
      </c>
      <c r="FS210" s="561">
        <v>0</v>
      </c>
      <c r="FT210" s="561">
        <v>0</v>
      </c>
      <c r="FU210" s="561">
        <v>0</v>
      </c>
      <c r="FV210" s="561">
        <v>0</v>
      </c>
      <c r="FW210" s="561">
        <v>0</v>
      </c>
      <c r="FX210" s="561">
        <v>0</v>
      </c>
      <c r="FY210" s="561">
        <v>0</v>
      </c>
      <c r="FZ210" s="561">
        <v>0</v>
      </c>
      <c r="GA210" s="561">
        <v>0</v>
      </c>
      <c r="GB210" s="561">
        <v>0</v>
      </c>
      <c r="GC210" s="561">
        <v>0</v>
      </c>
      <c r="GD210" s="561">
        <v>0</v>
      </c>
      <c r="GE210" s="561">
        <v>0</v>
      </c>
      <c r="GF210" s="561">
        <v>0</v>
      </c>
      <c r="GG210" s="561">
        <v>0</v>
      </c>
      <c r="GH210" s="561">
        <v>0</v>
      </c>
      <c r="GI210" s="561">
        <v>0</v>
      </c>
      <c r="GJ210" s="561">
        <v>0</v>
      </c>
      <c r="GK210" s="561">
        <v>0</v>
      </c>
      <c r="GL210" s="561">
        <v>0</v>
      </c>
      <c r="GM210" s="561">
        <v>0</v>
      </c>
      <c r="GN210" s="561">
        <v>0</v>
      </c>
      <c r="GO210" s="561">
        <v>0</v>
      </c>
      <c r="GP210" s="561">
        <v>0</v>
      </c>
      <c r="GQ210" s="561">
        <v>0</v>
      </c>
      <c r="GR210" s="561">
        <v>0</v>
      </c>
      <c r="GS210" s="561">
        <v>0</v>
      </c>
      <c r="GT210" s="561">
        <v>0</v>
      </c>
      <c r="GU210" s="561">
        <v>0</v>
      </c>
      <c r="GV210" s="561">
        <v>0</v>
      </c>
      <c r="GW210" s="561">
        <v>0</v>
      </c>
      <c r="GX210" s="561">
        <v>0</v>
      </c>
      <c r="GY210" s="561">
        <v>0</v>
      </c>
      <c r="GZ210" s="561">
        <v>0</v>
      </c>
      <c r="HA210" s="561">
        <v>0</v>
      </c>
      <c r="HB210" s="561">
        <v>0</v>
      </c>
      <c r="HC210" s="561">
        <v>0</v>
      </c>
      <c r="HD210" s="561">
        <v>0</v>
      </c>
      <c r="HE210" s="561">
        <v>0</v>
      </c>
      <c r="HF210" s="561">
        <v>0</v>
      </c>
      <c r="HG210" s="561">
        <v>0</v>
      </c>
      <c r="HH210" s="561">
        <v>168316.94</v>
      </c>
      <c r="HI210" s="561">
        <v>0</v>
      </c>
      <c r="HJ210" s="561">
        <v>0</v>
      </c>
      <c r="HK210" s="561">
        <v>0</v>
      </c>
      <c r="HL210" s="561">
        <v>0</v>
      </c>
      <c r="HM210" s="561">
        <v>0</v>
      </c>
      <c r="HN210" s="561">
        <v>0</v>
      </c>
      <c r="HO210" s="561">
        <v>0</v>
      </c>
      <c r="HP210" s="561">
        <v>0</v>
      </c>
      <c r="HQ210" s="561">
        <v>0</v>
      </c>
      <c r="HR210" s="561">
        <v>0</v>
      </c>
      <c r="HS210" s="561">
        <v>0</v>
      </c>
      <c r="HT210" s="561">
        <v>0</v>
      </c>
      <c r="HU210" s="561">
        <v>0</v>
      </c>
      <c r="HV210" s="561">
        <v>0</v>
      </c>
      <c r="HW210" s="561">
        <v>0</v>
      </c>
      <c r="HX210" s="561">
        <v>0</v>
      </c>
      <c r="HY210" s="561">
        <v>0</v>
      </c>
      <c r="HZ210" s="561">
        <v>0</v>
      </c>
      <c r="IA210" s="561">
        <v>0</v>
      </c>
      <c r="IB210" s="561">
        <v>0</v>
      </c>
      <c r="IC210" s="561">
        <v>0</v>
      </c>
      <c r="ID210" s="561">
        <v>0</v>
      </c>
      <c r="IE210" s="561">
        <v>0</v>
      </c>
      <c r="IF210" s="561">
        <v>0</v>
      </c>
      <c r="IG210" s="561">
        <v>0</v>
      </c>
      <c r="IH210" s="561">
        <v>0</v>
      </c>
      <c r="II210" s="561">
        <v>0</v>
      </c>
      <c r="IJ210" s="561">
        <v>0</v>
      </c>
      <c r="IK210" s="561">
        <v>0</v>
      </c>
      <c r="IL210" s="561">
        <v>0</v>
      </c>
      <c r="IM210" s="561">
        <v>0</v>
      </c>
      <c r="IN210" s="561">
        <v>0</v>
      </c>
      <c r="IO210" s="561">
        <v>0</v>
      </c>
      <c r="IP210" s="561">
        <v>0</v>
      </c>
      <c r="IQ210" s="561">
        <v>0</v>
      </c>
      <c r="IR210" s="561">
        <v>0</v>
      </c>
      <c r="IS210" s="561">
        <v>0</v>
      </c>
      <c r="IT210" s="561">
        <v>0</v>
      </c>
      <c r="IU210" s="561">
        <v>0</v>
      </c>
      <c r="IV210" s="561">
        <v>0</v>
      </c>
      <c r="IW210" s="561">
        <v>0</v>
      </c>
      <c r="IX210" s="561">
        <v>0</v>
      </c>
      <c r="IY210" s="561">
        <v>0</v>
      </c>
      <c r="IZ210" s="561">
        <v>0</v>
      </c>
      <c r="JA210" s="561">
        <v>168316.94</v>
      </c>
      <c r="JB210" s="561">
        <v>0</v>
      </c>
      <c r="JC210" s="561">
        <v>0</v>
      </c>
      <c r="JD210" s="561">
        <v>0</v>
      </c>
      <c r="JE210" s="561">
        <v>168316.94</v>
      </c>
      <c r="JF210" s="561">
        <v>0</v>
      </c>
      <c r="JG210" s="561">
        <v>0</v>
      </c>
      <c r="JH210" s="561">
        <v>0</v>
      </c>
      <c r="JI210" s="561">
        <v>0</v>
      </c>
      <c r="JJ210" s="561">
        <v>0</v>
      </c>
      <c r="JK210" s="561">
        <v>0</v>
      </c>
      <c r="JL210" s="561">
        <v>0</v>
      </c>
      <c r="JM210" s="561">
        <v>0</v>
      </c>
      <c r="JN210" s="561">
        <v>0</v>
      </c>
      <c r="JO210" s="561">
        <v>1369.75</v>
      </c>
      <c r="JP210" s="561">
        <v>0</v>
      </c>
      <c r="JQ210" s="561">
        <v>0</v>
      </c>
      <c r="JR210" s="561">
        <v>0</v>
      </c>
      <c r="JS210" s="561">
        <v>0</v>
      </c>
      <c r="JT210" s="561">
        <v>-529.61</v>
      </c>
      <c r="JU210" s="561">
        <v>0</v>
      </c>
      <c r="JV210" s="561">
        <v>169157.08</v>
      </c>
      <c r="JW210" s="561">
        <v>0</v>
      </c>
      <c r="JX210" s="561">
        <v>0</v>
      </c>
      <c r="JY210" s="561">
        <v>0</v>
      </c>
      <c r="JZ210" s="561">
        <v>0</v>
      </c>
      <c r="KA210" s="561">
        <v>0</v>
      </c>
      <c r="KB210" s="561">
        <v>0</v>
      </c>
      <c r="KC210" s="561">
        <v>4000.12</v>
      </c>
      <c r="KD210" s="561">
        <v>0</v>
      </c>
      <c r="KE210" s="561">
        <v>777.85</v>
      </c>
      <c r="KF210" s="561">
        <v>0</v>
      </c>
      <c r="KG210" s="561">
        <v>173935.05</v>
      </c>
      <c r="KH210" s="561">
        <v>-1499.13</v>
      </c>
      <c r="KI210" s="561">
        <v>0</v>
      </c>
      <c r="KJ210" s="561">
        <v>0</v>
      </c>
      <c r="KK210" s="561">
        <v>0</v>
      </c>
      <c r="KL210" s="561">
        <v>0</v>
      </c>
      <c r="KM210" s="561">
        <v>0</v>
      </c>
      <c r="KN210" s="561">
        <v>0</v>
      </c>
      <c r="KO210" s="561">
        <v>0</v>
      </c>
      <c r="KP210" s="561">
        <v>0</v>
      </c>
      <c r="KQ210" s="561">
        <v>0</v>
      </c>
      <c r="KR210" s="561">
        <v>172435.92</v>
      </c>
      <c r="KS210" s="561">
        <v>0</v>
      </c>
      <c r="KT210" s="561">
        <v>-13629</v>
      </c>
      <c r="KU210" s="561">
        <v>158806.92000000001</v>
      </c>
      <c r="KV210" s="561">
        <v>0</v>
      </c>
      <c r="KW210" s="561">
        <v>0</v>
      </c>
      <c r="KX210" s="561">
        <v>0</v>
      </c>
      <c r="KY210" s="561">
        <v>0</v>
      </c>
      <c r="KZ210" s="561">
        <v>-1299</v>
      </c>
      <c r="LA210" s="561">
        <v>0</v>
      </c>
      <c r="LB210" s="561">
        <v>0</v>
      </c>
      <c r="LC210" s="561">
        <v>-82687.8</v>
      </c>
      <c r="LD210" s="561">
        <v>0</v>
      </c>
      <c r="LE210" s="561">
        <v>-390</v>
      </c>
      <c r="LF210" s="561">
        <v>0</v>
      </c>
      <c r="LG210" s="561">
        <v>74430</v>
      </c>
      <c r="LH210" s="561">
        <v>0</v>
      </c>
      <c r="LI210" s="561">
        <v>0</v>
      </c>
      <c r="LJ210" s="561">
        <v>0</v>
      </c>
      <c r="LK210" s="561">
        <v>0</v>
      </c>
      <c r="LL210" s="561">
        <v>33126</v>
      </c>
      <c r="LM210" s="561">
        <v>7872</v>
      </c>
      <c r="LN210" s="561">
        <v>0</v>
      </c>
      <c r="LO210" s="561">
        <v>0</v>
      </c>
      <c r="LP210" s="561">
        <v>0</v>
      </c>
      <c r="LQ210" s="561">
        <v>0</v>
      </c>
      <c r="LR210" s="561">
        <v>31827</v>
      </c>
      <c r="LS210" s="561">
        <v>7872</v>
      </c>
      <c r="LT210" s="561">
        <v>0</v>
      </c>
      <c r="LU210" s="561">
        <v>5654.03</v>
      </c>
      <c r="LV210" s="561">
        <v>0</v>
      </c>
      <c r="LW210" s="561">
        <v>1158</v>
      </c>
      <c r="LX210" s="561">
        <v>0</v>
      </c>
      <c r="LY210" s="561">
        <v>0</v>
      </c>
      <c r="LZ210" s="561">
        <v>6812.03</v>
      </c>
      <c r="MA210" s="561">
        <v>0</v>
      </c>
      <c r="MB210" s="561">
        <v>0</v>
      </c>
      <c r="MC210" s="561">
        <v>0</v>
      </c>
      <c r="MD210" s="561">
        <v>0</v>
      </c>
      <c r="ME210" s="561">
        <v>0</v>
      </c>
      <c r="MF210" s="561">
        <v>0</v>
      </c>
      <c r="MG210" s="561">
        <v>0</v>
      </c>
      <c r="MH210" s="561">
        <v>0</v>
      </c>
      <c r="MI210" s="561">
        <v>0</v>
      </c>
      <c r="MJ210" s="561">
        <v>0</v>
      </c>
      <c r="MK210" s="561">
        <v>0</v>
      </c>
      <c r="ML210" s="561">
        <v>43</v>
      </c>
      <c r="MM210" s="561">
        <v>0</v>
      </c>
      <c r="MN210" s="561">
        <v>16916</v>
      </c>
      <c r="MO210" s="561">
        <v>14868</v>
      </c>
      <c r="MP210" s="561">
        <v>0</v>
      </c>
      <c r="MQ210" s="561">
        <v>0</v>
      </c>
      <c r="MR210" s="561">
        <v>0</v>
      </c>
      <c r="MS210" s="561">
        <v>0</v>
      </c>
      <c r="MT210" s="561">
        <v>0</v>
      </c>
      <c r="MU210" s="561">
        <v>0</v>
      </c>
      <c r="MV210" s="561">
        <v>0</v>
      </c>
      <c r="MW210" s="561">
        <v>0</v>
      </c>
      <c r="MX210" s="561">
        <v>0</v>
      </c>
      <c r="MY210" s="561">
        <v>0</v>
      </c>
      <c r="MZ210" s="561">
        <v>168316.94</v>
      </c>
      <c r="NA210" s="561">
        <v>0</v>
      </c>
      <c r="NB210" s="561">
        <v>0</v>
      </c>
      <c r="NC210" s="561">
        <v>0</v>
      </c>
      <c r="ND210" s="561">
        <v>168316.94</v>
      </c>
      <c r="NE210" s="561">
        <v>0</v>
      </c>
      <c r="NF210" s="561">
        <v>0</v>
      </c>
      <c r="NG210" s="561">
        <v>0</v>
      </c>
      <c r="NH210" s="561">
        <v>0</v>
      </c>
      <c r="NI210" s="561">
        <v>0</v>
      </c>
      <c r="NJ210" s="561">
        <v>0</v>
      </c>
      <c r="NK210" s="561">
        <v>0</v>
      </c>
      <c r="NL210" s="561">
        <v>0</v>
      </c>
      <c r="NM210" s="561">
        <v>0</v>
      </c>
      <c r="NN210" s="561">
        <v>0</v>
      </c>
      <c r="NO210" s="561">
        <v>0</v>
      </c>
      <c r="NP210" s="561">
        <v>0</v>
      </c>
      <c r="NQ210" s="561">
        <v>0</v>
      </c>
      <c r="NR210" s="561">
        <v>0</v>
      </c>
      <c r="NS210" s="561">
        <v>0</v>
      </c>
      <c r="NT210" s="561">
        <v>0</v>
      </c>
      <c r="NU210" s="561">
        <v>0</v>
      </c>
      <c r="NV210" s="561">
        <v>0</v>
      </c>
      <c r="NW210" s="561">
        <v>0</v>
      </c>
      <c r="NX210" s="561">
        <v>0</v>
      </c>
      <c r="NY210" s="561">
        <v>0</v>
      </c>
      <c r="NZ210" s="561">
        <v>0</v>
      </c>
      <c r="OA210" s="561">
        <v>0</v>
      </c>
      <c r="OB210" s="561">
        <v>0</v>
      </c>
      <c r="OC210" s="561">
        <v>0</v>
      </c>
      <c r="OD210" s="561">
        <v>0</v>
      </c>
      <c r="OE210" s="561">
        <v>0</v>
      </c>
      <c r="OF210" s="561">
        <v>0</v>
      </c>
      <c r="OG210" s="561">
        <v>0</v>
      </c>
      <c r="OH210" s="561">
        <v>0</v>
      </c>
      <c r="OI210" s="561">
        <v>0</v>
      </c>
      <c r="OJ210" s="561">
        <v>0</v>
      </c>
      <c r="OK210" s="561">
        <v>0</v>
      </c>
      <c r="OL210" s="561">
        <v>0</v>
      </c>
      <c r="OM210" s="561">
        <v>0</v>
      </c>
      <c r="ON210" s="561">
        <v>0</v>
      </c>
      <c r="OO210" s="561">
        <v>0</v>
      </c>
      <c r="OP210" s="561">
        <v>0</v>
      </c>
      <c r="OQ210" s="561">
        <v>0</v>
      </c>
      <c r="OR210" s="561">
        <v>0</v>
      </c>
      <c r="OS210" s="561">
        <v>0</v>
      </c>
      <c r="OT210" s="561">
        <v>0</v>
      </c>
      <c r="OU210" s="561">
        <v>0</v>
      </c>
      <c r="OV210" s="561">
        <v>0</v>
      </c>
      <c r="OW210" s="561">
        <v>0</v>
      </c>
      <c r="OX210" s="561">
        <v>0</v>
      </c>
      <c r="OY210" s="561">
        <v>0</v>
      </c>
      <c r="OZ210" s="561">
        <v>0</v>
      </c>
      <c r="PA210" s="561">
        <v>0</v>
      </c>
      <c r="PB210" s="561">
        <v>0</v>
      </c>
      <c r="PC210" s="561">
        <v>0</v>
      </c>
      <c r="PD210" s="561">
        <v>0</v>
      </c>
      <c r="PE210" s="561">
        <v>0</v>
      </c>
      <c r="PF210" s="561">
        <v>0</v>
      </c>
      <c r="PG210" s="561">
        <v>0</v>
      </c>
      <c r="PH210" s="561">
        <v>0</v>
      </c>
      <c r="PI210" s="561">
        <v>0</v>
      </c>
      <c r="PJ210" s="561">
        <v>0</v>
      </c>
    </row>
    <row r="211" spans="1:426" ht="14" x14ac:dyDescent="0.3">
      <c r="A211" t="s">
        <v>3073</v>
      </c>
      <c r="B211" t="s">
        <v>3074</v>
      </c>
      <c r="C211" t="s">
        <v>3075</v>
      </c>
      <c r="E211" t="s">
        <v>379</v>
      </c>
      <c r="F211" s="561">
        <v>53194</v>
      </c>
      <c r="G211" s="561">
        <v>254881</v>
      </c>
      <c r="H211" s="561">
        <v>108438</v>
      </c>
      <c r="I211" s="561">
        <v>72344</v>
      </c>
      <c r="J211" s="561">
        <v>12707</v>
      </c>
      <c r="K211" s="561">
        <v>43064</v>
      </c>
      <c r="L211" s="561">
        <v>544628</v>
      </c>
      <c r="M211" s="561">
        <v>165</v>
      </c>
      <c r="N211" s="561">
        <v>872</v>
      </c>
      <c r="O211" s="561">
        <v>0</v>
      </c>
      <c r="P211" s="561">
        <v>401</v>
      </c>
      <c r="Q211" s="561">
        <v>2688</v>
      </c>
      <c r="R211" s="561">
        <v>0</v>
      </c>
      <c r="S211" s="561">
        <v>610</v>
      </c>
      <c r="T211" s="561">
        <v>4076</v>
      </c>
      <c r="U211" s="561">
        <v>607</v>
      </c>
      <c r="V211" s="561">
        <v>5805</v>
      </c>
      <c r="W211" s="561">
        <v>0</v>
      </c>
      <c r="X211" s="561">
        <v>-1021</v>
      </c>
      <c r="Y211" s="561">
        <v>446</v>
      </c>
      <c r="Z211" s="561">
        <v>1670</v>
      </c>
      <c r="AA211" s="561">
        <v>-2956</v>
      </c>
      <c r="AB211" s="561">
        <v>-2494</v>
      </c>
      <c r="AC211" s="561">
        <v>0</v>
      </c>
      <c r="AD211" s="561">
        <v>0</v>
      </c>
      <c r="AE211" s="561">
        <v>0</v>
      </c>
      <c r="AF211" s="561">
        <v>0</v>
      </c>
      <c r="AG211" s="561">
        <v>0</v>
      </c>
      <c r="AH211" s="561">
        <v>0</v>
      </c>
      <c r="AI211" s="561">
        <v>481</v>
      </c>
      <c r="AJ211" s="561">
        <v>11185</v>
      </c>
      <c r="AK211" s="561">
        <v>0</v>
      </c>
      <c r="AL211" s="561">
        <v>0</v>
      </c>
      <c r="AM211" s="561">
        <v>0</v>
      </c>
      <c r="AN211" s="561">
        <v>0</v>
      </c>
      <c r="AO211" s="561">
        <v>0</v>
      </c>
      <c r="AP211" s="561">
        <v>0</v>
      </c>
      <c r="AQ211" s="561">
        <v>0</v>
      </c>
      <c r="AR211" s="561">
        <v>0</v>
      </c>
      <c r="AS211" s="561">
        <v>4480</v>
      </c>
      <c r="AT211" s="561">
        <v>4129</v>
      </c>
      <c r="AU211" s="561">
        <v>0</v>
      </c>
      <c r="AV211" s="561">
        <v>0</v>
      </c>
      <c r="AW211" s="561">
        <v>0</v>
      </c>
      <c r="AX211" s="561">
        <v>4252</v>
      </c>
      <c r="AY211" s="561">
        <v>109807</v>
      </c>
      <c r="AZ211" s="561">
        <v>21418</v>
      </c>
      <c r="BA211" s="561">
        <v>17708</v>
      </c>
      <c r="BB211" s="561">
        <v>3790</v>
      </c>
      <c r="BC211" s="561">
        <v>35490</v>
      </c>
      <c r="BD211" s="561">
        <v>1981</v>
      </c>
      <c r="BE211" s="561">
        <v>1880</v>
      </c>
      <c r="BF211" s="561">
        <v>196326</v>
      </c>
      <c r="BG211" s="561">
        <v>18839</v>
      </c>
      <c r="BH211" s="561">
        <v>39834</v>
      </c>
      <c r="BI211" s="561">
        <v>58969</v>
      </c>
      <c r="BJ211" s="561">
        <v>2037</v>
      </c>
      <c r="BK211" s="561">
        <v>536</v>
      </c>
      <c r="BL211" s="561">
        <v>1165</v>
      </c>
      <c r="BM211" s="561">
        <v>14886</v>
      </c>
      <c r="BN211" s="561">
        <v>71652</v>
      </c>
      <c r="BO211" s="561">
        <v>7315</v>
      </c>
      <c r="BP211" s="561">
        <v>32208</v>
      </c>
      <c r="BQ211" s="561">
        <v>9361</v>
      </c>
      <c r="BR211" s="561">
        <v>518</v>
      </c>
      <c r="BS211" s="561">
        <v>237</v>
      </c>
      <c r="BT211" s="561">
        <v>0</v>
      </c>
      <c r="BU211" s="561">
        <v>330</v>
      </c>
      <c r="BV211" s="561">
        <v>4625</v>
      </c>
      <c r="BW211" s="561">
        <v>19895</v>
      </c>
      <c r="BX211" s="561">
        <v>4674</v>
      </c>
      <c r="BY211" s="561">
        <v>12974</v>
      </c>
      <c r="BZ211" s="561">
        <v>281216</v>
      </c>
      <c r="CA211" s="561">
        <v>5968</v>
      </c>
      <c r="CB211" s="561">
        <v>3204</v>
      </c>
      <c r="CC211" s="561">
        <v>3315</v>
      </c>
      <c r="CD211" s="561">
        <v>1073</v>
      </c>
      <c r="CE211" s="561">
        <v>3</v>
      </c>
      <c r="CF211" s="561">
        <v>389</v>
      </c>
      <c r="CG211" s="561">
        <v>18</v>
      </c>
      <c r="CH211" s="561">
        <v>347</v>
      </c>
      <c r="CI211" s="561">
        <v>505</v>
      </c>
      <c r="CJ211" s="561">
        <v>330</v>
      </c>
      <c r="CK211" s="561">
        <v>-99</v>
      </c>
      <c r="CL211" s="561">
        <v>122</v>
      </c>
      <c r="CM211" s="561">
        <v>16911</v>
      </c>
      <c r="CN211" s="561">
        <v>2417</v>
      </c>
      <c r="CO211" s="561">
        <v>1</v>
      </c>
      <c r="CP211" s="561">
        <v>70</v>
      </c>
      <c r="CQ211" s="561">
        <v>1108</v>
      </c>
      <c r="CR211" s="561">
        <v>1473</v>
      </c>
      <c r="CS211" s="561">
        <v>278</v>
      </c>
      <c r="CT211" s="561">
        <v>2957</v>
      </c>
      <c r="CU211" s="561">
        <v>11097</v>
      </c>
      <c r="CV211" s="561">
        <v>715</v>
      </c>
      <c r="CW211" s="561">
        <v>12</v>
      </c>
      <c r="CX211" s="561">
        <v>665</v>
      </c>
      <c r="CY211" s="561">
        <v>8810</v>
      </c>
      <c r="CZ211" s="561">
        <v>55721</v>
      </c>
      <c r="DA211" s="561">
        <v>0</v>
      </c>
      <c r="DB211" s="561">
        <v>181</v>
      </c>
      <c r="DC211" s="561">
        <v>0</v>
      </c>
      <c r="DD211" s="561">
        <v>863</v>
      </c>
      <c r="DE211" s="561">
        <v>0</v>
      </c>
      <c r="DF211" s="561">
        <v>0</v>
      </c>
      <c r="DG211" s="561">
        <v>0</v>
      </c>
      <c r="DH211" s="561">
        <v>1205</v>
      </c>
      <c r="DI211" s="561">
        <v>40</v>
      </c>
      <c r="DJ211" s="561">
        <v>0</v>
      </c>
      <c r="DK211" s="561">
        <v>498</v>
      </c>
      <c r="DL211" s="561">
        <v>0</v>
      </c>
      <c r="DM211" s="561">
        <v>4516</v>
      </c>
      <c r="DN211" s="561">
        <v>37</v>
      </c>
      <c r="DO211" s="561">
        <v>30361</v>
      </c>
      <c r="DP211" s="561">
        <v>0</v>
      </c>
      <c r="DQ211" s="561">
        <v>0</v>
      </c>
      <c r="DR211" s="561">
        <v>0</v>
      </c>
      <c r="DS211" s="561">
        <v>850</v>
      </c>
      <c r="DT211" s="561">
        <v>0</v>
      </c>
      <c r="DU211" s="561">
        <v>35764</v>
      </c>
      <c r="DV211" s="561">
        <v>521</v>
      </c>
      <c r="DW211" s="561">
        <v>0</v>
      </c>
      <c r="DX211" s="561">
        <v>0</v>
      </c>
      <c r="DY211" s="561">
        <v>0</v>
      </c>
      <c r="DZ211" s="561">
        <v>97</v>
      </c>
      <c r="EA211" s="561">
        <v>12428</v>
      </c>
      <c r="EB211" s="561">
        <v>1097</v>
      </c>
      <c r="EC211" s="561">
        <v>51650</v>
      </c>
      <c r="ED211" s="561">
        <v>1248</v>
      </c>
      <c r="EE211" s="561">
        <v>0</v>
      </c>
      <c r="EF211" s="561">
        <v>0</v>
      </c>
      <c r="EG211" s="561">
        <v>0</v>
      </c>
      <c r="EH211" s="561">
        <v>0</v>
      </c>
      <c r="EI211" s="561">
        <v>0</v>
      </c>
      <c r="EJ211" s="561">
        <v>0</v>
      </c>
      <c r="EK211" s="561">
        <v>0</v>
      </c>
      <c r="EL211" s="561">
        <v>0</v>
      </c>
      <c r="EM211" s="561">
        <v>0</v>
      </c>
      <c r="EN211" s="561">
        <v>0</v>
      </c>
      <c r="EO211" s="561">
        <v>0</v>
      </c>
      <c r="EP211" s="561">
        <v>0</v>
      </c>
      <c r="EQ211" s="561">
        <v>0</v>
      </c>
      <c r="ER211" s="561">
        <v>0</v>
      </c>
      <c r="ES211" s="561" t="s">
        <v>4565</v>
      </c>
      <c r="ET211" s="561">
        <v>0</v>
      </c>
      <c r="EU211" s="561">
        <v>0</v>
      </c>
      <c r="EV211" s="561">
        <v>0</v>
      </c>
      <c r="EW211" s="561">
        <v>0</v>
      </c>
      <c r="EX211" s="561">
        <v>0</v>
      </c>
      <c r="EY211" s="561">
        <v>0</v>
      </c>
      <c r="EZ211" s="561">
        <v>0</v>
      </c>
      <c r="FA211" s="561">
        <v>0</v>
      </c>
      <c r="FB211" s="561">
        <v>539</v>
      </c>
      <c r="FC211" s="561">
        <v>3904</v>
      </c>
      <c r="FD211" s="561">
        <v>3792</v>
      </c>
      <c r="FE211" s="561">
        <v>0</v>
      </c>
      <c r="FF211" s="561">
        <v>338</v>
      </c>
      <c r="FG211" s="561">
        <v>0</v>
      </c>
      <c r="FH211" s="561">
        <v>0</v>
      </c>
      <c r="FI211" s="561">
        <v>1253</v>
      </c>
      <c r="FJ211" s="561">
        <v>13176</v>
      </c>
      <c r="FK211" s="561">
        <v>2232</v>
      </c>
      <c r="FL211" s="561">
        <v>-26</v>
      </c>
      <c r="FM211" s="561">
        <v>459</v>
      </c>
      <c r="FN211" s="561">
        <v>8967</v>
      </c>
      <c r="FO211" s="561">
        <v>34634</v>
      </c>
      <c r="FP211" s="561">
        <v>10</v>
      </c>
      <c r="FQ211" s="561">
        <v>614</v>
      </c>
      <c r="FR211" s="561">
        <v>57</v>
      </c>
      <c r="FS211" s="561">
        <v>0</v>
      </c>
      <c r="FT211" s="561">
        <v>322</v>
      </c>
      <c r="FU211" s="561">
        <v>1574</v>
      </c>
      <c r="FV211" s="561">
        <v>-25</v>
      </c>
      <c r="FW211" s="561">
        <v>0</v>
      </c>
      <c r="FX211" s="561">
        <v>465</v>
      </c>
      <c r="FY211" s="561">
        <v>0</v>
      </c>
      <c r="FZ211" s="561">
        <v>232</v>
      </c>
      <c r="GA211" s="561">
        <v>0</v>
      </c>
      <c r="GB211" s="561">
        <v>435</v>
      </c>
      <c r="GC211" s="561">
        <v>715</v>
      </c>
      <c r="GD211" s="561">
        <v>3689</v>
      </c>
      <c r="GE211" s="561">
        <v>371</v>
      </c>
      <c r="GF211" s="561">
        <v>365</v>
      </c>
      <c r="GG211" s="561">
        <v>0</v>
      </c>
      <c r="GH211" s="561">
        <v>0</v>
      </c>
      <c r="GI211" s="561">
        <v>0</v>
      </c>
      <c r="GJ211" s="561">
        <v>0</v>
      </c>
      <c r="GK211" s="561">
        <v>0</v>
      </c>
      <c r="GL211" s="561">
        <v>16502</v>
      </c>
      <c r="GM211" s="561">
        <v>14052</v>
      </c>
      <c r="GN211" s="561">
        <v>0</v>
      </c>
      <c r="GO211" s="561">
        <v>0</v>
      </c>
      <c r="GP211" s="561">
        <v>-315</v>
      </c>
      <c r="GQ211" s="561">
        <v>275</v>
      </c>
      <c r="GR211" s="561">
        <v>0</v>
      </c>
      <c r="GS211" s="561">
        <v>39328</v>
      </c>
      <c r="GT211" s="561">
        <v>0</v>
      </c>
      <c r="GU211" s="561">
        <v>614</v>
      </c>
      <c r="GV211" s="561">
        <v>1468</v>
      </c>
      <c r="GW211" s="561">
        <v>441</v>
      </c>
      <c r="GX211" s="561">
        <v>1134</v>
      </c>
      <c r="GY211" s="561">
        <v>273</v>
      </c>
      <c r="GZ211" s="561">
        <v>11008</v>
      </c>
      <c r="HA211" s="561">
        <v>0</v>
      </c>
      <c r="HB211" s="561">
        <v>351</v>
      </c>
      <c r="HC211" s="561">
        <v>4437</v>
      </c>
      <c r="HD211" s="561">
        <v>19726</v>
      </c>
      <c r="HE211" s="561">
        <v>1841</v>
      </c>
      <c r="HF211" s="561">
        <v>93688</v>
      </c>
      <c r="HG211" s="561">
        <v>1827</v>
      </c>
      <c r="HH211" s="561">
        <v>0</v>
      </c>
      <c r="HI211" s="561">
        <v>0</v>
      </c>
      <c r="HJ211" s="561">
        <v>0</v>
      </c>
      <c r="HK211" s="561">
        <v>0</v>
      </c>
      <c r="HL211" s="561">
        <v>0</v>
      </c>
      <c r="HM211" s="561">
        <v>0</v>
      </c>
      <c r="HN211" s="561">
        <v>0</v>
      </c>
      <c r="HO211" s="561">
        <v>13378</v>
      </c>
      <c r="HP211" s="561">
        <v>1753</v>
      </c>
      <c r="HQ211" s="561">
        <v>0</v>
      </c>
      <c r="HR211" s="561">
        <v>1158</v>
      </c>
      <c r="HS211" s="561">
        <v>5805</v>
      </c>
      <c r="HT211" s="561">
        <v>-422</v>
      </c>
      <c r="HU211" s="561">
        <v>0</v>
      </c>
      <c r="HV211" s="561">
        <v>-16</v>
      </c>
      <c r="HW211" s="561">
        <v>823</v>
      </c>
      <c r="HX211" s="561">
        <v>-149</v>
      </c>
      <c r="HY211" s="561">
        <v>449</v>
      </c>
      <c r="HZ211" s="561">
        <v>-39</v>
      </c>
      <c r="IA211" s="561">
        <v>1260</v>
      </c>
      <c r="IB211" s="561">
        <v>0</v>
      </c>
      <c r="IC211" s="561">
        <v>1383</v>
      </c>
      <c r="ID211" s="561">
        <v>-15</v>
      </c>
      <c r="IE211" s="561">
        <v>-3332</v>
      </c>
      <c r="IF211" s="561">
        <v>0</v>
      </c>
      <c r="IG211" s="561">
        <v>118</v>
      </c>
      <c r="IH211" s="561">
        <v>-277</v>
      </c>
      <c r="II211" s="561">
        <v>21877</v>
      </c>
      <c r="IJ211" s="561">
        <v>3866</v>
      </c>
      <c r="IK211" s="561">
        <v>4449</v>
      </c>
      <c r="IL211" s="561">
        <v>54125</v>
      </c>
      <c r="IM211" s="561">
        <v>0</v>
      </c>
      <c r="IN211" s="561">
        <v>863</v>
      </c>
      <c r="IO211" s="561">
        <v>58</v>
      </c>
      <c r="IP211" s="561">
        <v>210</v>
      </c>
      <c r="IQ211" s="561">
        <v>0</v>
      </c>
      <c r="IR211" s="561">
        <v>544628</v>
      </c>
      <c r="IS211" s="561">
        <v>11185</v>
      </c>
      <c r="IT211" s="561">
        <v>196326</v>
      </c>
      <c r="IU211" s="561">
        <v>281216</v>
      </c>
      <c r="IV211" s="561">
        <v>55721</v>
      </c>
      <c r="IW211" s="561">
        <v>51650</v>
      </c>
      <c r="IX211" s="561">
        <v>34634</v>
      </c>
      <c r="IY211" s="561">
        <v>39328</v>
      </c>
      <c r="IZ211" s="561">
        <v>19726</v>
      </c>
      <c r="JA211" s="561">
        <v>0</v>
      </c>
      <c r="JB211" s="561">
        <v>0</v>
      </c>
      <c r="JC211" s="561">
        <v>21877</v>
      </c>
      <c r="JD211" s="561">
        <v>210</v>
      </c>
      <c r="JE211" s="561">
        <v>1256501</v>
      </c>
      <c r="JF211" s="561">
        <v>183882</v>
      </c>
      <c r="JG211" s="561">
        <v>3653</v>
      </c>
      <c r="JH211" s="561">
        <v>0</v>
      </c>
      <c r="JI211" s="561">
        <v>0</v>
      </c>
      <c r="JJ211" s="561">
        <v>0</v>
      </c>
      <c r="JK211" s="561">
        <v>0</v>
      </c>
      <c r="JL211" s="561">
        <v>36276</v>
      </c>
      <c r="JM211" s="561">
        <v>28239</v>
      </c>
      <c r="JN211" s="561">
        <v>0</v>
      </c>
      <c r="JO211" s="561">
        <v>1036</v>
      </c>
      <c r="JP211" s="561">
        <v>-164</v>
      </c>
      <c r="JQ211" s="561">
        <v>-1175</v>
      </c>
      <c r="JR211" s="561">
        <v>-80</v>
      </c>
      <c r="JS211" s="561">
        <v>-97</v>
      </c>
      <c r="JT211" s="561">
        <v>0</v>
      </c>
      <c r="JU211" s="561">
        <v>0</v>
      </c>
      <c r="JV211" s="561">
        <v>1508071</v>
      </c>
      <c r="JW211" s="561">
        <v>229</v>
      </c>
      <c r="JX211" s="561">
        <v>0</v>
      </c>
      <c r="JY211" s="561">
        <v>0</v>
      </c>
      <c r="JZ211" s="561">
        <v>-5915</v>
      </c>
      <c r="KA211" s="561">
        <v>0</v>
      </c>
      <c r="KB211" s="561">
        <v>-291</v>
      </c>
      <c r="KC211" s="561">
        <v>23179</v>
      </c>
      <c r="KD211" s="561">
        <v>0</v>
      </c>
      <c r="KE211" s="561">
        <v>39113</v>
      </c>
      <c r="KF211" s="561">
        <v>0</v>
      </c>
      <c r="KG211" s="561">
        <v>1564386</v>
      </c>
      <c r="KH211" s="561">
        <v>-10963</v>
      </c>
      <c r="KI211" s="561">
        <v>0</v>
      </c>
      <c r="KJ211" s="561">
        <v>0</v>
      </c>
      <c r="KK211" s="561">
        <v>0</v>
      </c>
      <c r="KL211" s="561">
        <v>-208303</v>
      </c>
      <c r="KM211" s="561">
        <v>0</v>
      </c>
      <c r="KN211" s="561">
        <v>0</v>
      </c>
      <c r="KO211" s="561">
        <v>0</v>
      </c>
      <c r="KP211" s="561">
        <v>0</v>
      </c>
      <c r="KQ211" s="561">
        <v>0</v>
      </c>
      <c r="KR211" s="561">
        <v>1345120</v>
      </c>
      <c r="KS211" s="561">
        <v>-140</v>
      </c>
      <c r="KT211" s="561">
        <v>-713720</v>
      </c>
      <c r="KU211" s="561">
        <v>631260</v>
      </c>
      <c r="KV211" s="561">
        <v>0</v>
      </c>
      <c r="KW211" s="561">
        <v>3324</v>
      </c>
      <c r="KX211" s="561">
        <v>-3481</v>
      </c>
      <c r="KY211" s="561">
        <v>758</v>
      </c>
      <c r="KZ211" s="561">
        <v>-8523</v>
      </c>
      <c r="LA211" s="561">
        <v>-11744</v>
      </c>
      <c r="LB211" s="561">
        <v>0</v>
      </c>
      <c r="LC211" s="561">
        <v>0</v>
      </c>
      <c r="LD211" s="561">
        <v>-357806</v>
      </c>
      <c r="LE211" s="561">
        <v>4631</v>
      </c>
      <c r="LF211" s="561">
        <v>-23316</v>
      </c>
      <c r="LG211" s="561">
        <v>235103</v>
      </c>
      <c r="LH211" s="561">
        <v>11763</v>
      </c>
      <c r="LI211" s="561">
        <v>0</v>
      </c>
      <c r="LJ211" s="561">
        <v>5675</v>
      </c>
      <c r="LK211" s="561">
        <v>5303</v>
      </c>
      <c r="LL211" s="561">
        <v>71698</v>
      </c>
      <c r="LM211" s="561">
        <v>28547</v>
      </c>
      <c r="LN211" s="561">
        <v>15087</v>
      </c>
      <c r="LO211" s="561">
        <v>0</v>
      </c>
      <c r="LP211" s="561">
        <v>2194</v>
      </c>
      <c r="LQ211" s="561">
        <v>6061</v>
      </c>
      <c r="LR211" s="561">
        <v>63175</v>
      </c>
      <c r="LS211" s="561">
        <v>16803</v>
      </c>
      <c r="LT211" s="561">
        <v>0</v>
      </c>
      <c r="LU211" s="561">
        <v>67123</v>
      </c>
      <c r="LV211" s="561">
        <v>0</v>
      </c>
      <c r="LW211" s="561">
        <v>1022</v>
      </c>
      <c r="LX211" s="561">
        <v>-14789</v>
      </c>
      <c r="LY211" s="561">
        <v>28373</v>
      </c>
      <c r="LZ211" s="561">
        <v>75602</v>
      </c>
      <c r="MA211" s="561">
        <v>0</v>
      </c>
      <c r="MB211" s="561">
        <v>0</v>
      </c>
      <c r="MC211" s="561">
        <v>0</v>
      </c>
      <c r="MD211" s="561">
        <v>0</v>
      </c>
      <c r="ME211" s="561">
        <v>0</v>
      </c>
      <c r="MF211" s="561">
        <v>0</v>
      </c>
      <c r="MG211" s="561">
        <v>0</v>
      </c>
      <c r="MH211" s="561">
        <v>27924</v>
      </c>
      <c r="MI211" s="561">
        <v>44445</v>
      </c>
      <c r="MJ211" s="561">
        <v>72369</v>
      </c>
      <c r="MK211" s="561">
        <v>0</v>
      </c>
      <c r="ML211" s="561">
        <v>0</v>
      </c>
      <c r="MM211" s="561">
        <v>47126</v>
      </c>
      <c r="MN211" s="561">
        <v>16049</v>
      </c>
      <c r="MO211" s="561">
        <v>0</v>
      </c>
      <c r="MP211" s="561">
        <v>0</v>
      </c>
      <c r="MQ211" s="561">
        <v>544628</v>
      </c>
      <c r="MR211" s="561">
        <v>11185</v>
      </c>
      <c r="MS211" s="561">
        <v>196326</v>
      </c>
      <c r="MT211" s="561">
        <v>281216</v>
      </c>
      <c r="MU211" s="561">
        <v>55721</v>
      </c>
      <c r="MV211" s="561">
        <v>51650</v>
      </c>
      <c r="MW211" s="561">
        <v>34634</v>
      </c>
      <c r="MX211" s="561">
        <v>39328</v>
      </c>
      <c r="MY211" s="561">
        <v>19726</v>
      </c>
      <c r="MZ211" s="561">
        <v>0</v>
      </c>
      <c r="NA211" s="561">
        <v>0</v>
      </c>
      <c r="NB211" s="561">
        <v>21877</v>
      </c>
      <c r="NC211" s="561">
        <v>210</v>
      </c>
      <c r="ND211" s="561">
        <v>1256501</v>
      </c>
      <c r="NE211" s="561">
        <v>0</v>
      </c>
      <c r="NF211" s="561">
        <v>0</v>
      </c>
      <c r="NG211" s="561">
        <v>0</v>
      </c>
      <c r="NH211" s="561">
        <v>0</v>
      </c>
      <c r="NI211" s="561">
        <v>0</v>
      </c>
      <c r="NJ211" s="561">
        <v>0</v>
      </c>
      <c r="NK211" s="561">
        <v>0</v>
      </c>
      <c r="NL211" s="561">
        <v>0</v>
      </c>
      <c r="NM211" s="561">
        <v>0</v>
      </c>
      <c r="NN211" s="561">
        <v>0</v>
      </c>
      <c r="NO211" s="561">
        <v>0</v>
      </c>
      <c r="NP211" s="561">
        <v>0</v>
      </c>
      <c r="NQ211" s="561">
        <v>0</v>
      </c>
      <c r="NR211" s="561">
        <v>33</v>
      </c>
      <c r="NS211" s="561">
        <v>-578</v>
      </c>
      <c r="NT211" s="561">
        <v>-595</v>
      </c>
      <c r="NU211" s="561">
        <v>-613</v>
      </c>
      <c r="NV211" s="561">
        <v>0</v>
      </c>
      <c r="NW211" s="561">
        <v>-244</v>
      </c>
      <c r="NX211" s="561">
        <v>80</v>
      </c>
      <c r="NY211" s="561">
        <v>-164</v>
      </c>
      <c r="NZ211" s="561">
        <v>0</v>
      </c>
      <c r="OA211" s="561">
        <v>0</v>
      </c>
      <c r="OB211" s="561">
        <v>0</v>
      </c>
      <c r="OC211" s="561">
        <v>0</v>
      </c>
      <c r="OD211" s="561">
        <v>0</v>
      </c>
      <c r="OE211" s="561">
        <v>0</v>
      </c>
      <c r="OF211" s="561">
        <v>92</v>
      </c>
      <c r="OG211" s="561">
        <v>0</v>
      </c>
      <c r="OH211" s="561">
        <v>0</v>
      </c>
      <c r="OI211" s="561">
        <v>0</v>
      </c>
      <c r="OJ211" s="561">
        <v>-466</v>
      </c>
      <c r="OK211" s="561">
        <v>-26</v>
      </c>
      <c r="OL211" s="561">
        <v>0</v>
      </c>
      <c r="OM211" s="561">
        <v>0</v>
      </c>
      <c r="ON211" s="561">
        <v>0</v>
      </c>
      <c r="OO211" s="561">
        <v>-17</v>
      </c>
      <c r="OP211" s="561">
        <v>0</v>
      </c>
      <c r="OQ211" s="561">
        <v>-188</v>
      </c>
      <c r="OR211" s="561">
        <v>-256</v>
      </c>
      <c r="OS211" s="561">
        <v>-281</v>
      </c>
      <c r="OT211" s="561">
        <v>0</v>
      </c>
      <c r="OU211" s="561">
        <v>348</v>
      </c>
      <c r="OV211" s="561">
        <v>1786</v>
      </c>
      <c r="OW211" s="561">
        <v>97</v>
      </c>
      <c r="OX211" s="561">
        <v>-1175</v>
      </c>
      <c r="OY211" s="561">
        <v>80</v>
      </c>
      <c r="OZ211" s="561">
        <v>0</v>
      </c>
      <c r="PA211" s="561">
        <v>0</v>
      </c>
      <c r="PB211" s="561">
        <v>0</v>
      </c>
      <c r="PC211" s="561">
        <v>0</v>
      </c>
      <c r="PD211" s="561">
        <v>80</v>
      </c>
      <c r="PE211" s="561">
        <v>97</v>
      </c>
      <c r="PF211" s="561">
        <v>0</v>
      </c>
      <c r="PG211" s="561">
        <v>0</v>
      </c>
      <c r="PH211" s="561">
        <v>0</v>
      </c>
      <c r="PI211" s="561">
        <v>0</v>
      </c>
      <c r="PJ211" s="561">
        <v>97</v>
      </c>
    </row>
    <row r="212" spans="1:426" ht="14" x14ac:dyDescent="0.3">
      <c r="A212" t="s">
        <v>3079</v>
      </c>
      <c r="B212" t="s">
        <v>3080</v>
      </c>
      <c r="C212" t="s">
        <v>4626</v>
      </c>
      <c r="E212" t="s">
        <v>385</v>
      </c>
      <c r="F212" s="561">
        <v>24477</v>
      </c>
      <c r="G212" s="561">
        <v>110846</v>
      </c>
      <c r="H212" s="561">
        <v>21333</v>
      </c>
      <c r="I212" s="561">
        <v>31214</v>
      </c>
      <c r="J212" s="561">
        <v>2655</v>
      </c>
      <c r="K212" s="561">
        <v>21241</v>
      </c>
      <c r="L212" s="561">
        <v>211766</v>
      </c>
      <c r="M212" s="561">
        <v>3881</v>
      </c>
      <c r="N212" s="561">
        <v>327</v>
      </c>
      <c r="O212" s="561">
        <v>26</v>
      </c>
      <c r="P212" s="561">
        <v>276</v>
      </c>
      <c r="Q212" s="561">
        <v>127</v>
      </c>
      <c r="R212" s="561">
        <v>136</v>
      </c>
      <c r="S212" s="561">
        <v>302</v>
      </c>
      <c r="T212" s="561">
        <v>3255</v>
      </c>
      <c r="U212" s="561">
        <v>444</v>
      </c>
      <c r="V212" s="561">
        <v>1490</v>
      </c>
      <c r="W212" s="561">
        <v>0</v>
      </c>
      <c r="X212" s="561">
        <v>-117</v>
      </c>
      <c r="Y212" s="561">
        <v>713</v>
      </c>
      <c r="Z212" s="561">
        <v>48</v>
      </c>
      <c r="AA212" s="561">
        <v>-1889</v>
      </c>
      <c r="AB212" s="561">
        <v>694</v>
      </c>
      <c r="AC212" s="561">
        <v>2388</v>
      </c>
      <c r="AD212" s="561">
        <v>0</v>
      </c>
      <c r="AE212" s="561">
        <v>0</v>
      </c>
      <c r="AF212" s="561">
        <v>0</v>
      </c>
      <c r="AG212" s="561">
        <v>0</v>
      </c>
      <c r="AH212" s="561">
        <v>6197</v>
      </c>
      <c r="AI212" s="561">
        <v>0</v>
      </c>
      <c r="AJ212" s="561">
        <v>14417</v>
      </c>
      <c r="AK212" s="561">
        <v>57</v>
      </c>
      <c r="AL212" s="561">
        <v>0</v>
      </c>
      <c r="AM212" s="561">
        <v>0</v>
      </c>
      <c r="AN212" s="561">
        <v>0</v>
      </c>
      <c r="AO212" s="561">
        <v>0</v>
      </c>
      <c r="AP212" s="561">
        <v>0</v>
      </c>
      <c r="AQ212" s="561">
        <v>0</v>
      </c>
      <c r="AR212" s="561">
        <v>0</v>
      </c>
      <c r="AS212" s="561">
        <v>1899</v>
      </c>
      <c r="AT212" s="561">
        <v>971</v>
      </c>
      <c r="AU212" s="561">
        <v>0</v>
      </c>
      <c r="AV212" s="561">
        <v>0</v>
      </c>
      <c r="AW212" s="561">
        <v>0</v>
      </c>
      <c r="AX212" s="561">
        <v>2275</v>
      </c>
      <c r="AY212" s="561">
        <v>34702</v>
      </c>
      <c r="AZ212" s="561">
        <v>1721</v>
      </c>
      <c r="BA212" s="561">
        <v>6582</v>
      </c>
      <c r="BB212" s="561">
        <v>3233</v>
      </c>
      <c r="BC212" s="561">
        <v>21417</v>
      </c>
      <c r="BD212" s="561">
        <v>0</v>
      </c>
      <c r="BE212" s="561">
        <v>345</v>
      </c>
      <c r="BF212" s="561">
        <v>70275</v>
      </c>
      <c r="BG212" s="561">
        <v>5549</v>
      </c>
      <c r="BH212" s="561">
        <v>10173</v>
      </c>
      <c r="BI212" s="561">
        <v>14465</v>
      </c>
      <c r="BJ212" s="561">
        <v>135</v>
      </c>
      <c r="BK212" s="561">
        <v>47</v>
      </c>
      <c r="BL212" s="561">
        <v>851</v>
      </c>
      <c r="BM212" s="561">
        <v>10168</v>
      </c>
      <c r="BN212" s="561">
        <v>25361</v>
      </c>
      <c r="BO212" s="561">
        <v>462</v>
      </c>
      <c r="BP212" s="561">
        <v>7818</v>
      </c>
      <c r="BQ212" s="561">
        <v>3246</v>
      </c>
      <c r="BR212" s="561">
        <v>-15</v>
      </c>
      <c r="BS212" s="561">
        <v>0</v>
      </c>
      <c r="BT212" s="561">
        <v>0</v>
      </c>
      <c r="BU212" s="561">
        <v>1662</v>
      </c>
      <c r="BV212" s="561">
        <v>31</v>
      </c>
      <c r="BW212" s="561">
        <v>10722</v>
      </c>
      <c r="BX212" s="561">
        <v>269</v>
      </c>
      <c r="BY212" s="561">
        <v>1964</v>
      </c>
      <c r="BZ212" s="561">
        <v>87359</v>
      </c>
      <c r="CA212" s="561">
        <v>3946</v>
      </c>
      <c r="CB212" s="561">
        <v>1097</v>
      </c>
      <c r="CC212" s="561">
        <v>1066</v>
      </c>
      <c r="CD212" s="561">
        <v>567</v>
      </c>
      <c r="CE212" s="561">
        <v>127</v>
      </c>
      <c r="CF212" s="561">
        <v>47</v>
      </c>
      <c r="CG212" s="561">
        <v>27</v>
      </c>
      <c r="CH212" s="561">
        <v>44</v>
      </c>
      <c r="CI212" s="561">
        <v>429</v>
      </c>
      <c r="CJ212" s="561">
        <v>200</v>
      </c>
      <c r="CK212" s="561">
        <v>317</v>
      </c>
      <c r="CL212" s="561">
        <v>274</v>
      </c>
      <c r="CM212" s="561">
        <v>3026</v>
      </c>
      <c r="CN212" s="561">
        <v>1428</v>
      </c>
      <c r="CO212" s="561">
        <v>759</v>
      </c>
      <c r="CP212" s="561">
        <v>499</v>
      </c>
      <c r="CQ212" s="561">
        <v>457</v>
      </c>
      <c r="CR212" s="561">
        <v>868</v>
      </c>
      <c r="CS212" s="561">
        <v>88</v>
      </c>
      <c r="CT212" s="561">
        <v>914</v>
      </c>
      <c r="CU212" s="561">
        <v>5142</v>
      </c>
      <c r="CV212" s="561">
        <v>2121</v>
      </c>
      <c r="CW212" s="561">
        <v>0</v>
      </c>
      <c r="CX212" s="561">
        <v>492</v>
      </c>
      <c r="CY212" s="561">
        <v>1748</v>
      </c>
      <c r="CZ212" s="561">
        <v>21737</v>
      </c>
      <c r="DA212" s="561">
        <v>290</v>
      </c>
      <c r="DB212" s="561">
        <v>0</v>
      </c>
      <c r="DC212" s="561">
        <v>0</v>
      </c>
      <c r="DD212" s="561">
        <v>0</v>
      </c>
      <c r="DE212" s="561">
        <v>0</v>
      </c>
      <c r="DF212" s="561">
        <v>0</v>
      </c>
      <c r="DG212" s="561">
        <v>0</v>
      </c>
      <c r="DH212" s="561">
        <v>28</v>
      </c>
      <c r="DI212" s="561">
        <v>82</v>
      </c>
      <c r="DJ212" s="561">
        <v>76</v>
      </c>
      <c r="DK212" s="561">
        <v>277</v>
      </c>
      <c r="DL212" s="561">
        <v>1674</v>
      </c>
      <c r="DM212" s="561">
        <v>1453</v>
      </c>
      <c r="DN212" s="561">
        <v>84</v>
      </c>
      <c r="DO212" s="561">
        <v>1960</v>
      </c>
      <c r="DP212" s="561">
        <v>-1281</v>
      </c>
      <c r="DQ212" s="561">
        <v>4138</v>
      </c>
      <c r="DR212" s="561">
        <v>2670</v>
      </c>
      <c r="DS212" s="561">
        <v>1241</v>
      </c>
      <c r="DT212" s="561">
        <v>1985</v>
      </c>
      <c r="DU212" s="561">
        <v>13924</v>
      </c>
      <c r="DV212" s="561">
        <v>161</v>
      </c>
      <c r="DW212" s="561">
        <v>144</v>
      </c>
      <c r="DX212" s="561">
        <v>0</v>
      </c>
      <c r="DY212" s="561">
        <v>-337</v>
      </c>
      <c r="DZ212" s="561">
        <v>221</v>
      </c>
      <c r="EA212" s="561">
        <v>1378</v>
      </c>
      <c r="EB212" s="561">
        <v>0</v>
      </c>
      <c r="EC212" s="561">
        <v>15954</v>
      </c>
      <c r="ED212" s="561">
        <v>573</v>
      </c>
      <c r="EE212" s="561">
        <v>39912</v>
      </c>
      <c r="EF212" s="561">
        <v>965</v>
      </c>
      <c r="EG212" s="561">
        <v>6689</v>
      </c>
      <c r="EH212" s="561">
        <v>415</v>
      </c>
      <c r="EI212" s="561">
        <v>13</v>
      </c>
      <c r="EJ212" s="561">
        <v>1798</v>
      </c>
      <c r="EK212" s="561">
        <v>0</v>
      </c>
      <c r="EL212" s="561">
        <v>10782</v>
      </c>
      <c r="EM212" s="561">
        <v>0</v>
      </c>
      <c r="EN212" s="561">
        <v>15243</v>
      </c>
      <c r="EO212" s="561">
        <v>9315</v>
      </c>
      <c r="EP212" s="561">
        <v>4786</v>
      </c>
      <c r="EQ212" s="561">
        <v>121</v>
      </c>
      <c r="ER212" s="561">
        <v>5427</v>
      </c>
      <c r="ES212" s="561" t="s">
        <v>4565</v>
      </c>
      <c r="ET212" s="561">
        <v>10782</v>
      </c>
      <c r="EU212" s="561">
        <v>1287</v>
      </c>
      <c r="EV212" s="561">
        <v>0</v>
      </c>
      <c r="EW212" s="561">
        <v>0</v>
      </c>
      <c r="EX212" s="561">
        <v>10782</v>
      </c>
      <c r="EY212" s="561">
        <v>254</v>
      </c>
      <c r="EZ212" s="561">
        <v>2577</v>
      </c>
      <c r="FA212" s="561">
        <v>12082</v>
      </c>
      <c r="FB212" s="561">
        <v>0</v>
      </c>
      <c r="FC212" s="561">
        <v>0</v>
      </c>
      <c r="FD212" s="561">
        <v>12</v>
      </c>
      <c r="FE212" s="561">
        <v>654</v>
      </c>
      <c r="FF212" s="561">
        <v>-29</v>
      </c>
      <c r="FG212" s="561">
        <v>344</v>
      </c>
      <c r="FH212" s="561">
        <v>0</v>
      </c>
      <c r="FI212" s="561">
        <v>26</v>
      </c>
      <c r="FJ212" s="561">
        <v>1690</v>
      </c>
      <c r="FK212" s="561">
        <v>2064</v>
      </c>
      <c r="FL212" s="561">
        <v>70</v>
      </c>
      <c r="FM212" s="561">
        <v>0</v>
      </c>
      <c r="FN212" s="561">
        <v>842</v>
      </c>
      <c r="FO212" s="561">
        <v>5673</v>
      </c>
      <c r="FP212" s="561">
        <v>0</v>
      </c>
      <c r="FQ212" s="561">
        <v>-781</v>
      </c>
      <c r="FR212" s="561">
        <v>328</v>
      </c>
      <c r="FS212" s="561">
        <v>0</v>
      </c>
      <c r="FT212" s="561">
        <v>301</v>
      </c>
      <c r="FU212" s="561">
        <v>1010</v>
      </c>
      <c r="FV212" s="561">
        <v>439</v>
      </c>
      <c r="FW212" s="561">
        <v>224</v>
      </c>
      <c r="FX212" s="561">
        <v>0</v>
      </c>
      <c r="FY212" s="561">
        <v>0</v>
      </c>
      <c r="FZ212" s="561">
        <v>317</v>
      </c>
      <c r="GA212" s="561">
        <v>0</v>
      </c>
      <c r="GB212" s="561">
        <v>42</v>
      </c>
      <c r="GC212" s="561">
        <v>-137</v>
      </c>
      <c r="GD212" s="561">
        <v>0</v>
      </c>
      <c r="GE212" s="561">
        <v>638</v>
      </c>
      <c r="GF212" s="561">
        <v>515</v>
      </c>
      <c r="GG212" s="561">
        <v>231</v>
      </c>
      <c r="GH212" s="561">
        <v>0</v>
      </c>
      <c r="GI212" s="561">
        <v>0</v>
      </c>
      <c r="GJ212" s="561">
        <v>0</v>
      </c>
      <c r="GK212" s="561">
        <v>0</v>
      </c>
      <c r="GL212" s="561">
        <v>3744</v>
      </c>
      <c r="GM212" s="561">
        <v>3113</v>
      </c>
      <c r="GN212" s="561">
        <v>12414</v>
      </c>
      <c r="GO212" s="561">
        <v>-366</v>
      </c>
      <c r="GP212" s="561">
        <v>1891</v>
      </c>
      <c r="GQ212" s="561">
        <v>604</v>
      </c>
      <c r="GR212" s="561">
        <v>0</v>
      </c>
      <c r="GS212" s="561">
        <v>24527</v>
      </c>
      <c r="GT212" s="561">
        <v>957</v>
      </c>
      <c r="GU212" s="561">
        <v>293</v>
      </c>
      <c r="GV212" s="561">
        <v>349</v>
      </c>
      <c r="GW212" s="561">
        <v>0</v>
      </c>
      <c r="GX212" s="561">
        <v>595</v>
      </c>
      <c r="GY212" s="561">
        <v>256</v>
      </c>
      <c r="GZ212" s="561">
        <v>2006</v>
      </c>
      <c r="HA212" s="561">
        <v>0</v>
      </c>
      <c r="HB212" s="561">
        <v>510</v>
      </c>
      <c r="HC212" s="561">
        <v>1563</v>
      </c>
      <c r="HD212" s="561">
        <v>5572</v>
      </c>
      <c r="HE212" s="561">
        <v>283</v>
      </c>
      <c r="HF212" s="561">
        <v>35772</v>
      </c>
      <c r="HG212" s="561">
        <v>1240</v>
      </c>
      <c r="HH212" s="561">
        <v>0</v>
      </c>
      <c r="HI212" s="561">
        <v>0</v>
      </c>
      <c r="HJ212" s="561">
        <v>0</v>
      </c>
      <c r="HK212" s="561">
        <v>0</v>
      </c>
      <c r="HL212" s="561">
        <v>0</v>
      </c>
      <c r="HM212" s="561">
        <v>0</v>
      </c>
      <c r="HN212" s="561">
        <v>0</v>
      </c>
      <c r="HO212" s="561">
        <v>3538</v>
      </c>
      <c r="HP212" s="561">
        <v>2022</v>
      </c>
      <c r="HQ212" s="561">
        <v>0</v>
      </c>
      <c r="HR212" s="561">
        <v>400</v>
      </c>
      <c r="HS212" s="561">
        <v>-158</v>
      </c>
      <c r="HT212" s="561">
        <v>14</v>
      </c>
      <c r="HU212" s="561">
        <v>0</v>
      </c>
      <c r="HV212" s="561">
        <v>-8</v>
      </c>
      <c r="HW212" s="561">
        <v>442</v>
      </c>
      <c r="HX212" s="561">
        <v>803</v>
      </c>
      <c r="HY212" s="561">
        <v>199</v>
      </c>
      <c r="HZ212" s="561">
        <v>-72</v>
      </c>
      <c r="IA212" s="561">
        <v>3891</v>
      </c>
      <c r="IB212" s="561">
        <v>0</v>
      </c>
      <c r="IC212" s="561">
        <v>409</v>
      </c>
      <c r="ID212" s="561">
        <v>0</v>
      </c>
      <c r="IE212" s="561">
        <v>3568</v>
      </c>
      <c r="IF212" s="561">
        <v>0</v>
      </c>
      <c r="IG212" s="561">
        <v>0</v>
      </c>
      <c r="IH212" s="561">
        <v>1409</v>
      </c>
      <c r="II212" s="561">
        <v>16457</v>
      </c>
      <c r="IJ212" s="561">
        <v>845</v>
      </c>
      <c r="IK212" s="561">
        <v>2321</v>
      </c>
      <c r="IL212" s="561">
        <v>15941</v>
      </c>
      <c r="IM212" s="561">
        <v>0</v>
      </c>
      <c r="IN212" s="561">
        <v>376</v>
      </c>
      <c r="IO212" s="561">
        <v>0</v>
      </c>
      <c r="IP212" s="561">
        <v>1020</v>
      </c>
      <c r="IQ212" s="561">
        <v>93</v>
      </c>
      <c r="IR212" s="561">
        <v>211766</v>
      </c>
      <c r="IS212" s="561">
        <v>14417</v>
      </c>
      <c r="IT212" s="561">
        <v>70275</v>
      </c>
      <c r="IU212" s="561">
        <v>87359</v>
      </c>
      <c r="IV212" s="561">
        <v>21737</v>
      </c>
      <c r="IW212" s="561">
        <v>15954</v>
      </c>
      <c r="IX212" s="561">
        <v>5673</v>
      </c>
      <c r="IY212" s="561">
        <v>24527</v>
      </c>
      <c r="IZ212" s="561">
        <v>5572</v>
      </c>
      <c r="JA212" s="561">
        <v>0</v>
      </c>
      <c r="JB212" s="561">
        <v>0</v>
      </c>
      <c r="JC212" s="561">
        <v>16457</v>
      </c>
      <c r="JD212" s="561">
        <v>1020</v>
      </c>
      <c r="JE212" s="561">
        <v>474757</v>
      </c>
      <c r="JF212" s="561">
        <v>32272</v>
      </c>
      <c r="JG212" s="561">
        <v>12052</v>
      </c>
      <c r="JH212" s="561">
        <v>13227</v>
      </c>
      <c r="JI212" s="561">
        <v>0</v>
      </c>
      <c r="JJ212" s="561">
        <v>0</v>
      </c>
      <c r="JK212" s="561">
        <v>0</v>
      </c>
      <c r="JL212" s="561">
        <v>0</v>
      </c>
      <c r="JM212" s="561">
        <v>0</v>
      </c>
      <c r="JN212" s="561">
        <v>0</v>
      </c>
      <c r="JO212" s="561">
        <v>0</v>
      </c>
      <c r="JP212" s="561">
        <v>-4197</v>
      </c>
      <c r="JQ212" s="561">
        <v>4847</v>
      </c>
      <c r="JR212" s="561">
        <v>-467</v>
      </c>
      <c r="JS212" s="561">
        <v>-2569</v>
      </c>
      <c r="JT212" s="561">
        <v>-41</v>
      </c>
      <c r="JU212" s="561">
        <v>0</v>
      </c>
      <c r="JV212" s="561">
        <v>529881</v>
      </c>
      <c r="JW212" s="561">
        <v>134</v>
      </c>
      <c r="JX212" s="561">
        <v>5418</v>
      </c>
      <c r="JY212" s="561">
        <v>0</v>
      </c>
      <c r="JZ212" s="561">
        <v>0</v>
      </c>
      <c r="KA212" s="561">
        <v>0</v>
      </c>
      <c r="KB212" s="561">
        <v>1740</v>
      </c>
      <c r="KC212" s="561">
        <v>10997</v>
      </c>
      <c r="KD212" s="561">
        <v>498</v>
      </c>
      <c r="KE212" s="561">
        <v>25024</v>
      </c>
      <c r="KF212" s="561">
        <v>-819</v>
      </c>
      <c r="KG212" s="561">
        <v>572873</v>
      </c>
      <c r="KH212" s="561">
        <v>-64418</v>
      </c>
      <c r="KI212" s="561">
        <v>0</v>
      </c>
      <c r="KJ212" s="561">
        <v>252</v>
      </c>
      <c r="KK212" s="561">
        <v>0</v>
      </c>
      <c r="KL212" s="561">
        <v>-65401</v>
      </c>
      <c r="KM212" s="561">
        <v>0</v>
      </c>
      <c r="KN212" s="561">
        <v>0</v>
      </c>
      <c r="KO212" s="561">
        <v>0</v>
      </c>
      <c r="KP212" s="561">
        <v>0</v>
      </c>
      <c r="KQ212" s="561">
        <v>0</v>
      </c>
      <c r="KR212" s="561">
        <v>443306</v>
      </c>
      <c r="KS212" s="561">
        <v>0</v>
      </c>
      <c r="KT212" s="561">
        <v>-268591</v>
      </c>
      <c r="KU212" s="561">
        <v>174715</v>
      </c>
      <c r="KV212" s="561">
        <v>0</v>
      </c>
      <c r="KW212" s="561">
        <v>-719</v>
      </c>
      <c r="KX212" s="561">
        <v>67</v>
      </c>
      <c r="KY212" s="561">
        <v>44</v>
      </c>
      <c r="KZ212" s="561">
        <v>-5086</v>
      </c>
      <c r="LA212" s="561">
        <v>32</v>
      </c>
      <c r="LB212" s="561">
        <v>-13488</v>
      </c>
      <c r="LC212" s="561">
        <v>0</v>
      </c>
      <c r="LD212" s="561">
        <v>-56665</v>
      </c>
      <c r="LE212" s="561">
        <v>4519</v>
      </c>
      <c r="LF212" s="561">
        <v>-405</v>
      </c>
      <c r="LG212" s="561">
        <v>103014</v>
      </c>
      <c r="LH212" s="561">
        <v>15643</v>
      </c>
      <c r="LI212" s="561">
        <v>0</v>
      </c>
      <c r="LJ212" s="561">
        <v>5137</v>
      </c>
      <c r="LK212" s="561">
        <v>1585</v>
      </c>
      <c r="LL212" s="561">
        <v>92225</v>
      </c>
      <c r="LM212" s="561">
        <v>17190</v>
      </c>
      <c r="LN212" s="561">
        <v>14924</v>
      </c>
      <c r="LO212" s="561">
        <v>0</v>
      </c>
      <c r="LP212" s="561">
        <v>5204</v>
      </c>
      <c r="LQ212" s="561">
        <v>1629</v>
      </c>
      <c r="LR212" s="561">
        <v>87139</v>
      </c>
      <c r="LS212" s="561">
        <v>17222</v>
      </c>
      <c r="LT212" s="561">
        <v>0</v>
      </c>
      <c r="LU212" s="561">
        <v>25229</v>
      </c>
      <c r="LV212" s="561">
        <v>2396</v>
      </c>
      <c r="LW212" s="561">
        <v>4439</v>
      </c>
      <c r="LX212" s="561">
        <v>-23268</v>
      </c>
      <c r="LY212" s="561">
        <v>3074</v>
      </c>
      <c r="LZ212" s="561">
        <v>21152</v>
      </c>
      <c r="MA212" s="561">
        <v>0</v>
      </c>
      <c r="MB212" s="561">
        <v>0</v>
      </c>
      <c r="MC212" s="561">
        <v>60574</v>
      </c>
      <c r="MD212" s="561">
        <v>57997</v>
      </c>
      <c r="ME212" s="561">
        <v>2577</v>
      </c>
      <c r="MF212" s="561">
        <v>12082</v>
      </c>
      <c r="MG212" s="561">
        <v>14659</v>
      </c>
      <c r="MH212" s="561">
        <v>5371</v>
      </c>
      <c r="MI212" s="561">
        <v>7086</v>
      </c>
      <c r="MJ212" s="561">
        <v>12457</v>
      </c>
      <c r="MK212" s="561">
        <v>0</v>
      </c>
      <c r="ML212" s="561">
        <v>0</v>
      </c>
      <c r="MM212" s="561">
        <v>19133</v>
      </c>
      <c r="MN212" s="561">
        <v>42058</v>
      </c>
      <c r="MO212" s="561">
        <v>25948</v>
      </c>
      <c r="MP212" s="561">
        <v>0</v>
      </c>
      <c r="MQ212" s="561">
        <v>211766</v>
      </c>
      <c r="MR212" s="561">
        <v>14417</v>
      </c>
      <c r="MS212" s="561">
        <v>70275</v>
      </c>
      <c r="MT212" s="561">
        <v>87359</v>
      </c>
      <c r="MU212" s="561">
        <v>21737</v>
      </c>
      <c r="MV212" s="561">
        <v>15954</v>
      </c>
      <c r="MW212" s="561">
        <v>5673</v>
      </c>
      <c r="MX212" s="561">
        <v>24527</v>
      </c>
      <c r="MY212" s="561">
        <v>5572</v>
      </c>
      <c r="MZ212" s="561">
        <v>0</v>
      </c>
      <c r="NA212" s="561">
        <v>0</v>
      </c>
      <c r="NB212" s="561">
        <v>16457</v>
      </c>
      <c r="NC212" s="561">
        <v>1020</v>
      </c>
      <c r="ND212" s="561">
        <v>474757</v>
      </c>
      <c r="NE212" s="561">
        <v>0</v>
      </c>
      <c r="NF212" s="561">
        <v>0</v>
      </c>
      <c r="NG212" s="561">
        <v>0</v>
      </c>
      <c r="NH212" s="561">
        <v>0</v>
      </c>
      <c r="NI212" s="561">
        <v>0</v>
      </c>
      <c r="NJ212" s="561">
        <v>0</v>
      </c>
      <c r="NK212" s="561">
        <v>0</v>
      </c>
      <c r="NL212" s="561">
        <v>0</v>
      </c>
      <c r="NM212" s="561">
        <v>0</v>
      </c>
      <c r="NN212" s="561">
        <v>0</v>
      </c>
      <c r="NO212" s="561">
        <v>0</v>
      </c>
      <c r="NP212" s="561">
        <v>0</v>
      </c>
      <c r="NQ212" s="561">
        <v>0</v>
      </c>
      <c r="NR212" s="561">
        <v>0</v>
      </c>
      <c r="NS212" s="561">
        <v>-3595</v>
      </c>
      <c r="NT212" s="561">
        <v>-1141</v>
      </c>
      <c r="NU212" s="561">
        <v>0</v>
      </c>
      <c r="NV212" s="561">
        <v>300</v>
      </c>
      <c r="NW212" s="561">
        <v>-4664</v>
      </c>
      <c r="NX212" s="561">
        <v>467</v>
      </c>
      <c r="NY212" s="561">
        <v>-4197</v>
      </c>
      <c r="NZ212" s="561">
        <v>0</v>
      </c>
      <c r="OA212" s="561">
        <v>38</v>
      </c>
      <c r="OB212" s="561">
        <v>342</v>
      </c>
      <c r="OC212" s="561">
        <v>0</v>
      </c>
      <c r="OD212" s="561">
        <v>0</v>
      </c>
      <c r="OE212" s="561">
        <v>0</v>
      </c>
      <c r="OF212" s="561">
        <v>0</v>
      </c>
      <c r="OG212" s="561">
        <v>0</v>
      </c>
      <c r="OH212" s="561">
        <v>-23</v>
      </c>
      <c r="OI212" s="561">
        <v>52</v>
      </c>
      <c r="OJ212" s="561">
        <v>-37</v>
      </c>
      <c r="OK212" s="561">
        <v>-260</v>
      </c>
      <c r="OL212" s="561">
        <v>-29</v>
      </c>
      <c r="OM212" s="561">
        <v>741</v>
      </c>
      <c r="ON212" s="561">
        <v>-343</v>
      </c>
      <c r="OO212" s="561">
        <v>0</v>
      </c>
      <c r="OP212" s="561">
        <v>0</v>
      </c>
      <c r="OQ212" s="561">
        <v>0</v>
      </c>
      <c r="OR212" s="561">
        <v>-874</v>
      </c>
      <c r="OS212" s="561">
        <v>2006</v>
      </c>
      <c r="OT212" s="561">
        <v>123</v>
      </c>
      <c r="OU212" s="561">
        <v>58</v>
      </c>
      <c r="OV212" s="561">
        <v>0</v>
      </c>
      <c r="OW212" s="561">
        <v>2569</v>
      </c>
      <c r="OX212" s="561">
        <v>4847</v>
      </c>
      <c r="OY212" s="561">
        <v>467</v>
      </c>
      <c r="OZ212" s="561">
        <v>0</v>
      </c>
      <c r="PA212" s="561">
        <v>0</v>
      </c>
      <c r="PB212" s="561">
        <v>0</v>
      </c>
      <c r="PC212" s="561">
        <v>0</v>
      </c>
      <c r="PD212" s="561">
        <v>467</v>
      </c>
      <c r="PE212" s="561">
        <v>2569</v>
      </c>
      <c r="PF212" s="561">
        <v>0</v>
      </c>
      <c r="PG212" s="561">
        <v>0</v>
      </c>
      <c r="PH212" s="561">
        <v>0</v>
      </c>
      <c r="PI212" s="561">
        <v>0</v>
      </c>
      <c r="PJ212" s="561">
        <v>2569</v>
      </c>
    </row>
    <row r="213" spans="1:426" ht="14" x14ac:dyDescent="0.3">
      <c r="A213" t="s">
        <v>3082</v>
      </c>
      <c r="B213" t="s">
        <v>3083</v>
      </c>
      <c r="C213" t="s">
        <v>3084</v>
      </c>
      <c r="E213" t="s">
        <v>384</v>
      </c>
      <c r="F213" s="561">
        <v>0</v>
      </c>
      <c r="G213" s="561">
        <v>0</v>
      </c>
      <c r="H213" s="561">
        <v>0</v>
      </c>
      <c r="I213" s="561">
        <v>0</v>
      </c>
      <c r="J213" s="561">
        <v>0</v>
      </c>
      <c r="K213" s="561">
        <v>0</v>
      </c>
      <c r="L213" s="561">
        <v>0</v>
      </c>
      <c r="M213" s="561">
        <v>0</v>
      </c>
      <c r="N213" s="561">
        <v>0</v>
      </c>
      <c r="O213" s="561">
        <v>0</v>
      </c>
      <c r="P213" s="561">
        <v>0</v>
      </c>
      <c r="Q213" s="561">
        <v>0</v>
      </c>
      <c r="R213" s="561">
        <v>0</v>
      </c>
      <c r="S213" s="561">
        <v>0</v>
      </c>
      <c r="T213" s="561">
        <v>107</v>
      </c>
      <c r="U213" s="561">
        <v>0</v>
      </c>
      <c r="V213" s="561">
        <v>0</v>
      </c>
      <c r="W213" s="561">
        <v>0</v>
      </c>
      <c r="X213" s="561">
        <v>0</v>
      </c>
      <c r="Y213" s="561">
        <v>0</v>
      </c>
      <c r="Z213" s="561">
        <v>0</v>
      </c>
      <c r="AA213" s="561">
        <v>-71</v>
      </c>
      <c r="AB213" s="561">
        <v>-1372</v>
      </c>
      <c r="AC213" s="561">
        <v>0</v>
      </c>
      <c r="AD213" s="561">
        <v>0</v>
      </c>
      <c r="AE213" s="561">
        <v>0</v>
      </c>
      <c r="AF213" s="561">
        <v>0</v>
      </c>
      <c r="AG213" s="561">
        <v>0</v>
      </c>
      <c r="AH213" s="561">
        <v>6</v>
      </c>
      <c r="AI213" s="561">
        <v>0</v>
      </c>
      <c r="AJ213" s="561">
        <v>-1330</v>
      </c>
      <c r="AK213" s="561">
        <v>0</v>
      </c>
      <c r="AL213" s="561">
        <v>0</v>
      </c>
      <c r="AM213" s="561">
        <v>0</v>
      </c>
      <c r="AN213" s="561">
        <v>0</v>
      </c>
      <c r="AO213" s="561">
        <v>0</v>
      </c>
      <c r="AP213" s="561">
        <v>0</v>
      </c>
      <c r="AQ213" s="561">
        <v>0</v>
      </c>
      <c r="AR213" s="561">
        <v>0</v>
      </c>
      <c r="AS213" s="561">
        <v>650</v>
      </c>
      <c r="AT213" s="561">
        <v>484</v>
      </c>
      <c r="AU213" s="561">
        <v>0</v>
      </c>
      <c r="AV213" s="561">
        <v>0</v>
      </c>
      <c r="AW213" s="561">
        <v>0</v>
      </c>
      <c r="AX213" s="561">
        <v>0</v>
      </c>
      <c r="AY213" s="561">
        <v>0</v>
      </c>
      <c r="AZ213" s="561">
        <v>0</v>
      </c>
      <c r="BA213" s="561">
        <v>0</v>
      </c>
      <c r="BB213" s="561">
        <v>0</v>
      </c>
      <c r="BC213" s="561">
        <v>0</v>
      </c>
      <c r="BD213" s="561">
        <v>0</v>
      </c>
      <c r="BE213" s="561">
        <v>0</v>
      </c>
      <c r="BF213" s="561">
        <v>0</v>
      </c>
      <c r="BG213" s="561">
        <v>0</v>
      </c>
      <c r="BH213" s="561">
        <v>0</v>
      </c>
      <c r="BI213" s="561">
        <v>0</v>
      </c>
      <c r="BJ213" s="561">
        <v>0</v>
      </c>
      <c r="BK213" s="561">
        <v>0</v>
      </c>
      <c r="BL213" s="561">
        <v>0</v>
      </c>
      <c r="BM213" s="561">
        <v>0</v>
      </c>
      <c r="BN213" s="561">
        <v>0</v>
      </c>
      <c r="BO213" s="561">
        <v>0</v>
      </c>
      <c r="BP213" s="561">
        <v>0</v>
      </c>
      <c r="BQ213" s="561">
        <v>0</v>
      </c>
      <c r="BR213" s="561">
        <v>0</v>
      </c>
      <c r="BS213" s="561">
        <v>0</v>
      </c>
      <c r="BT213" s="561">
        <v>0</v>
      </c>
      <c r="BU213" s="561">
        <v>0</v>
      </c>
      <c r="BV213" s="561">
        <v>0</v>
      </c>
      <c r="BW213" s="561">
        <v>0</v>
      </c>
      <c r="BX213" s="561">
        <v>0</v>
      </c>
      <c r="BY213" s="561">
        <v>0</v>
      </c>
      <c r="BZ213" s="561">
        <v>0</v>
      </c>
      <c r="CA213" s="561">
        <v>0</v>
      </c>
      <c r="CB213" s="561">
        <v>0</v>
      </c>
      <c r="CC213" s="561">
        <v>0</v>
      </c>
      <c r="CD213" s="561">
        <v>0</v>
      </c>
      <c r="CE213" s="561">
        <v>0</v>
      </c>
      <c r="CF213" s="561">
        <v>0</v>
      </c>
      <c r="CG213" s="561">
        <v>0</v>
      </c>
      <c r="CH213" s="561">
        <v>0</v>
      </c>
      <c r="CI213" s="561">
        <v>331</v>
      </c>
      <c r="CJ213" s="561">
        <v>0</v>
      </c>
      <c r="CK213" s="561">
        <v>0</v>
      </c>
      <c r="CL213" s="561">
        <v>0</v>
      </c>
      <c r="CM213" s="561">
        <v>0</v>
      </c>
      <c r="CN213" s="561">
        <v>0</v>
      </c>
      <c r="CO213" s="561">
        <v>0</v>
      </c>
      <c r="CP213" s="561">
        <v>0</v>
      </c>
      <c r="CQ213" s="561">
        <v>0</v>
      </c>
      <c r="CR213" s="561">
        <v>3</v>
      </c>
      <c r="CS213" s="561">
        <v>0</v>
      </c>
      <c r="CT213" s="561">
        <v>0</v>
      </c>
      <c r="CU213" s="561">
        <v>0</v>
      </c>
      <c r="CV213" s="561">
        <v>0</v>
      </c>
      <c r="CW213" s="561">
        <v>0</v>
      </c>
      <c r="CX213" s="561">
        <v>0</v>
      </c>
      <c r="CY213" s="561">
        <v>0</v>
      </c>
      <c r="CZ213" s="561">
        <v>334</v>
      </c>
      <c r="DA213" s="561">
        <v>0</v>
      </c>
      <c r="DB213" s="561">
        <v>0</v>
      </c>
      <c r="DC213" s="561">
        <v>0</v>
      </c>
      <c r="DD213" s="561">
        <v>0</v>
      </c>
      <c r="DE213" s="561">
        <v>0</v>
      </c>
      <c r="DF213" s="561">
        <v>0</v>
      </c>
      <c r="DG213" s="561">
        <v>0</v>
      </c>
      <c r="DH213" s="561">
        <v>778</v>
      </c>
      <c r="DI213" s="561">
        <v>0</v>
      </c>
      <c r="DJ213" s="561">
        <v>167</v>
      </c>
      <c r="DK213" s="561">
        <v>53</v>
      </c>
      <c r="DL213" s="561">
        <v>2023</v>
      </c>
      <c r="DM213" s="561">
        <v>80</v>
      </c>
      <c r="DN213" s="561">
        <v>0</v>
      </c>
      <c r="DO213" s="561">
        <v>0</v>
      </c>
      <c r="DP213" s="561">
        <v>391</v>
      </c>
      <c r="DQ213" s="561">
        <v>0</v>
      </c>
      <c r="DR213" s="561">
        <v>0</v>
      </c>
      <c r="DS213" s="561">
        <v>0</v>
      </c>
      <c r="DT213" s="561">
        <v>1278</v>
      </c>
      <c r="DU213" s="561">
        <v>3772</v>
      </c>
      <c r="DV213" s="561">
        <v>251</v>
      </c>
      <c r="DW213" s="561">
        <v>0</v>
      </c>
      <c r="DX213" s="561">
        <v>0</v>
      </c>
      <c r="DY213" s="561">
        <v>753</v>
      </c>
      <c r="DZ213" s="561">
        <v>-26</v>
      </c>
      <c r="EA213" s="561">
        <v>0</v>
      </c>
      <c r="EB213" s="561">
        <v>0</v>
      </c>
      <c r="EC213" s="561">
        <v>5748</v>
      </c>
      <c r="ED213" s="561">
        <v>0</v>
      </c>
      <c r="EE213" s="561">
        <v>0</v>
      </c>
      <c r="EF213" s="561">
        <v>0</v>
      </c>
      <c r="EG213" s="561">
        <v>0</v>
      </c>
      <c r="EH213" s="561">
        <v>0</v>
      </c>
      <c r="EI213" s="561">
        <v>0</v>
      </c>
      <c r="EJ213" s="561">
        <v>0</v>
      </c>
      <c r="EK213" s="561">
        <v>0</v>
      </c>
      <c r="EL213" s="561">
        <v>0</v>
      </c>
      <c r="EM213" s="561">
        <v>0</v>
      </c>
      <c r="EN213" s="561">
        <v>0</v>
      </c>
      <c r="EO213" s="561">
        <v>0</v>
      </c>
      <c r="EP213" s="561">
        <v>0</v>
      </c>
      <c r="EQ213" s="561">
        <v>0</v>
      </c>
      <c r="ER213" s="561">
        <v>0</v>
      </c>
      <c r="ES213" s="561" t="s">
        <v>4565</v>
      </c>
      <c r="ET213" s="561">
        <v>0</v>
      </c>
      <c r="EU213" s="561">
        <v>0</v>
      </c>
      <c r="EV213" s="561">
        <v>0</v>
      </c>
      <c r="EW213" s="561">
        <v>0</v>
      </c>
      <c r="EX213" s="561">
        <v>0</v>
      </c>
      <c r="EY213" s="561">
        <v>0</v>
      </c>
      <c r="EZ213" s="561">
        <v>0</v>
      </c>
      <c r="FA213" s="561">
        <v>0</v>
      </c>
      <c r="FB213" s="561">
        <v>0</v>
      </c>
      <c r="FC213" s="561">
        <v>149</v>
      </c>
      <c r="FD213" s="561">
        <v>0</v>
      </c>
      <c r="FE213" s="561">
        <v>338</v>
      </c>
      <c r="FF213" s="561">
        <v>451</v>
      </c>
      <c r="FG213" s="561">
        <v>-13</v>
      </c>
      <c r="FH213" s="561">
        <v>0</v>
      </c>
      <c r="FI213" s="561">
        <v>0</v>
      </c>
      <c r="FJ213" s="561">
        <v>111</v>
      </c>
      <c r="FK213" s="561">
        <v>2268</v>
      </c>
      <c r="FL213" s="561">
        <v>28</v>
      </c>
      <c r="FM213" s="561">
        <v>121</v>
      </c>
      <c r="FN213" s="561">
        <v>0</v>
      </c>
      <c r="FO213" s="561">
        <v>3453</v>
      </c>
      <c r="FP213" s="561">
        <v>0</v>
      </c>
      <c r="FQ213" s="561">
        <v>-374</v>
      </c>
      <c r="FR213" s="561">
        <v>0</v>
      </c>
      <c r="FS213" s="561">
        <v>0</v>
      </c>
      <c r="FT213" s="561">
        <v>237</v>
      </c>
      <c r="FU213" s="561">
        <v>414</v>
      </c>
      <c r="FV213" s="561">
        <v>0</v>
      </c>
      <c r="FW213" s="561">
        <v>21</v>
      </c>
      <c r="FX213" s="561">
        <v>0</v>
      </c>
      <c r="FY213" s="561">
        <v>0</v>
      </c>
      <c r="FZ213" s="561">
        <v>14</v>
      </c>
      <c r="GA213" s="561">
        <v>344</v>
      </c>
      <c r="GB213" s="561">
        <v>207</v>
      </c>
      <c r="GC213" s="561">
        <v>-16</v>
      </c>
      <c r="GD213" s="561">
        <v>499</v>
      </c>
      <c r="GE213" s="561">
        <v>0</v>
      </c>
      <c r="GF213" s="561">
        <v>62</v>
      </c>
      <c r="GG213" s="561">
        <v>0</v>
      </c>
      <c r="GH213" s="561">
        <v>29</v>
      </c>
      <c r="GI213" s="561">
        <v>139</v>
      </c>
      <c r="GJ213" s="561">
        <v>0</v>
      </c>
      <c r="GK213" s="561">
        <v>0</v>
      </c>
      <c r="GL213" s="561">
        <v>1690</v>
      </c>
      <c r="GM213" s="561">
        <v>2501</v>
      </c>
      <c r="GN213" s="561">
        <v>0</v>
      </c>
      <c r="GO213" s="561">
        <v>88</v>
      </c>
      <c r="GP213" s="561">
        <v>1752</v>
      </c>
      <c r="GQ213" s="561">
        <v>0</v>
      </c>
      <c r="GR213" s="561">
        <v>0</v>
      </c>
      <c r="GS213" s="561">
        <v>7607</v>
      </c>
      <c r="GT213" s="561">
        <v>0</v>
      </c>
      <c r="GU213" s="561">
        <v>242</v>
      </c>
      <c r="GV213" s="561">
        <v>1925</v>
      </c>
      <c r="GW213" s="561">
        <v>119</v>
      </c>
      <c r="GX213" s="561">
        <v>671</v>
      </c>
      <c r="GY213" s="561">
        <v>0</v>
      </c>
      <c r="GZ213" s="561">
        <v>246</v>
      </c>
      <c r="HA213" s="561">
        <v>0</v>
      </c>
      <c r="HB213" s="561">
        <v>-419</v>
      </c>
      <c r="HC213" s="561">
        <v>415</v>
      </c>
      <c r="HD213" s="561">
        <v>3199</v>
      </c>
      <c r="HE213" s="561">
        <v>0</v>
      </c>
      <c r="HF213" s="561">
        <v>14259</v>
      </c>
      <c r="HG213" s="561">
        <v>0</v>
      </c>
      <c r="HH213" s="561">
        <v>0</v>
      </c>
      <c r="HI213" s="561">
        <v>0</v>
      </c>
      <c r="HJ213" s="561">
        <v>0</v>
      </c>
      <c r="HK213" s="561">
        <v>0</v>
      </c>
      <c r="HL213" s="561">
        <v>0</v>
      </c>
      <c r="HM213" s="561">
        <v>0</v>
      </c>
      <c r="HN213" s="561">
        <v>0</v>
      </c>
      <c r="HO213" s="561">
        <v>3546</v>
      </c>
      <c r="HP213" s="561">
        <v>1495</v>
      </c>
      <c r="HQ213" s="561">
        <v>0</v>
      </c>
      <c r="HR213" s="561">
        <v>0</v>
      </c>
      <c r="HS213" s="561">
        <v>571</v>
      </c>
      <c r="HT213" s="561">
        <v>215</v>
      </c>
      <c r="HU213" s="561">
        <v>-1</v>
      </c>
      <c r="HV213" s="561">
        <v>0</v>
      </c>
      <c r="HW213" s="561">
        <v>321</v>
      </c>
      <c r="HX213" s="561">
        <v>1003</v>
      </c>
      <c r="HY213" s="561">
        <v>135</v>
      </c>
      <c r="HZ213" s="561">
        <v>-59</v>
      </c>
      <c r="IA213" s="561">
        <v>0</v>
      </c>
      <c r="IB213" s="561">
        <v>315</v>
      </c>
      <c r="IC213" s="561">
        <v>0</v>
      </c>
      <c r="ID213" s="561">
        <v>0</v>
      </c>
      <c r="IE213" s="561">
        <v>109</v>
      </c>
      <c r="IF213" s="561">
        <v>72</v>
      </c>
      <c r="IG213" s="561">
        <v>0</v>
      </c>
      <c r="IH213" s="561">
        <v>524</v>
      </c>
      <c r="II213" s="561">
        <v>8246</v>
      </c>
      <c r="IJ213" s="561">
        <v>0</v>
      </c>
      <c r="IK213" s="561">
        <v>5323</v>
      </c>
      <c r="IL213" s="561">
        <v>4341</v>
      </c>
      <c r="IM213" s="561">
        <v>0</v>
      </c>
      <c r="IN213" s="561">
        <v>0</v>
      </c>
      <c r="IO213" s="561">
        <v>2558</v>
      </c>
      <c r="IP213" s="561">
        <v>982</v>
      </c>
      <c r="IQ213" s="561">
        <v>0</v>
      </c>
      <c r="IR213" s="561">
        <v>0</v>
      </c>
      <c r="IS213" s="561">
        <v>-1330</v>
      </c>
      <c r="IT213" s="561">
        <v>0</v>
      </c>
      <c r="IU213" s="561">
        <v>0</v>
      </c>
      <c r="IV213" s="561">
        <v>334</v>
      </c>
      <c r="IW213" s="561">
        <v>5748</v>
      </c>
      <c r="IX213" s="561">
        <v>3453</v>
      </c>
      <c r="IY213" s="561">
        <v>7607</v>
      </c>
      <c r="IZ213" s="561">
        <v>3199</v>
      </c>
      <c r="JA213" s="561">
        <v>0</v>
      </c>
      <c r="JB213" s="561">
        <v>0</v>
      </c>
      <c r="JC213" s="561">
        <v>8246</v>
      </c>
      <c r="JD213" s="561">
        <v>982</v>
      </c>
      <c r="JE213" s="561">
        <v>28239</v>
      </c>
      <c r="JF213" s="561">
        <v>26187</v>
      </c>
      <c r="JG213" s="561">
        <v>1818</v>
      </c>
      <c r="JH213" s="561">
        <v>0</v>
      </c>
      <c r="JI213" s="561">
        <v>0</v>
      </c>
      <c r="JJ213" s="561">
        <v>0</v>
      </c>
      <c r="JK213" s="561">
        <v>2942</v>
      </c>
      <c r="JL213" s="561">
        <v>0</v>
      </c>
      <c r="JM213" s="561">
        <v>0</v>
      </c>
      <c r="JN213" s="561">
        <v>0</v>
      </c>
      <c r="JO213" s="561">
        <v>84</v>
      </c>
      <c r="JP213" s="561">
        <v>-3026</v>
      </c>
      <c r="JQ213" s="561">
        <v>31</v>
      </c>
      <c r="JR213" s="561">
        <v>1378</v>
      </c>
      <c r="JS213" s="561">
        <v>-19</v>
      </c>
      <c r="JT213" s="561">
        <v>0</v>
      </c>
      <c r="JU213" s="561">
        <v>0</v>
      </c>
      <c r="JV213" s="561">
        <v>57634</v>
      </c>
      <c r="JW213" s="561">
        <v>0</v>
      </c>
      <c r="JX213" s="561">
        <v>1768</v>
      </c>
      <c r="JY213" s="561">
        <v>0</v>
      </c>
      <c r="JZ213" s="561">
        <v>0</v>
      </c>
      <c r="KA213" s="561">
        <v>0</v>
      </c>
      <c r="KB213" s="561">
        <v>838</v>
      </c>
      <c r="KC213" s="561">
        <v>2132</v>
      </c>
      <c r="KD213" s="561">
        <v>0</v>
      </c>
      <c r="KE213" s="561">
        <v>1477</v>
      </c>
      <c r="KF213" s="561">
        <v>0</v>
      </c>
      <c r="KG213" s="561">
        <v>63849</v>
      </c>
      <c r="KH213" s="561">
        <v>-1857</v>
      </c>
      <c r="KI213" s="561">
        <v>0</v>
      </c>
      <c r="KJ213" s="561">
        <v>0</v>
      </c>
      <c r="KK213" s="561">
        <v>0</v>
      </c>
      <c r="KL213" s="561">
        <v>-28058</v>
      </c>
      <c r="KM213" s="561">
        <v>0</v>
      </c>
      <c r="KN213" s="561">
        <v>-147</v>
      </c>
      <c r="KO213" s="561">
        <v>0</v>
      </c>
      <c r="KP213" s="561">
        <v>0</v>
      </c>
      <c r="KQ213" s="561">
        <v>0</v>
      </c>
      <c r="KR213" s="561">
        <v>33787</v>
      </c>
      <c r="KS213" s="561">
        <v>0</v>
      </c>
      <c r="KT213" s="561">
        <v>-10755</v>
      </c>
      <c r="KU213" s="561">
        <v>23032</v>
      </c>
      <c r="KV213" s="561">
        <v>0</v>
      </c>
      <c r="KW213" s="561">
        <v>0</v>
      </c>
      <c r="KX213" s="561">
        <v>0</v>
      </c>
      <c r="KY213" s="561">
        <v>0</v>
      </c>
      <c r="KZ213" s="561">
        <v>7267</v>
      </c>
      <c r="LA213" s="561">
        <v>1036</v>
      </c>
      <c r="LB213" s="561">
        <v>-243</v>
      </c>
      <c r="LC213" s="561">
        <v>0</v>
      </c>
      <c r="LD213" s="561">
        <v>-8454</v>
      </c>
      <c r="LE213" s="561">
        <v>302</v>
      </c>
      <c r="LF213" s="561">
        <v>0</v>
      </c>
      <c r="LG213" s="561">
        <v>22940</v>
      </c>
      <c r="LH213" s="561">
        <v>0</v>
      </c>
      <c r="LI213" s="561">
        <v>0</v>
      </c>
      <c r="LJ213" s="561">
        <v>0</v>
      </c>
      <c r="LK213" s="561">
        <v>0</v>
      </c>
      <c r="LL213" s="561">
        <v>21522</v>
      </c>
      <c r="LM213" s="561">
        <v>15603</v>
      </c>
      <c r="LN213" s="561">
        <v>0</v>
      </c>
      <c r="LO213" s="561">
        <v>0</v>
      </c>
      <c r="LP213" s="561">
        <v>0</v>
      </c>
      <c r="LQ213" s="561">
        <v>0</v>
      </c>
      <c r="LR213" s="561">
        <v>28789</v>
      </c>
      <c r="LS213" s="561">
        <v>16639</v>
      </c>
      <c r="LT213" s="561">
        <v>0</v>
      </c>
      <c r="LU213" s="561">
        <v>6708</v>
      </c>
      <c r="LV213" s="561">
        <v>0</v>
      </c>
      <c r="LW213" s="561">
        <v>-18857</v>
      </c>
      <c r="LX213" s="561">
        <v>-11860</v>
      </c>
      <c r="LY213" s="561">
        <v>2319</v>
      </c>
      <c r="LZ213" s="561">
        <v>-21690</v>
      </c>
      <c r="MA213" s="561">
        <v>0</v>
      </c>
      <c r="MB213" s="561">
        <v>0</v>
      </c>
      <c r="MC213" s="561">
        <v>0</v>
      </c>
      <c r="MD213" s="561">
        <v>0</v>
      </c>
      <c r="ME213" s="561">
        <v>0</v>
      </c>
      <c r="MF213" s="561">
        <v>0</v>
      </c>
      <c r="MG213" s="561">
        <v>0</v>
      </c>
      <c r="MH213" s="561">
        <v>4163</v>
      </c>
      <c r="MI213" s="561">
        <v>6878</v>
      </c>
      <c r="MJ213" s="561">
        <v>11041</v>
      </c>
      <c r="MK213" s="561">
        <v>0</v>
      </c>
      <c r="ML213" s="561">
        <v>0</v>
      </c>
      <c r="MM213" s="561">
        <v>18523</v>
      </c>
      <c r="MN213" s="561">
        <v>5521</v>
      </c>
      <c r="MO213" s="561">
        <v>4745</v>
      </c>
      <c r="MP213" s="561">
        <v>0</v>
      </c>
      <c r="MQ213" s="561">
        <v>0</v>
      </c>
      <c r="MR213" s="561">
        <v>-1330</v>
      </c>
      <c r="MS213" s="561">
        <v>0</v>
      </c>
      <c r="MT213" s="561">
        <v>0</v>
      </c>
      <c r="MU213" s="561">
        <v>334</v>
      </c>
      <c r="MV213" s="561">
        <v>5748</v>
      </c>
      <c r="MW213" s="561">
        <v>3453</v>
      </c>
      <c r="MX213" s="561">
        <v>7607</v>
      </c>
      <c r="MY213" s="561">
        <v>3199</v>
      </c>
      <c r="MZ213" s="561">
        <v>0</v>
      </c>
      <c r="NA213" s="561">
        <v>0</v>
      </c>
      <c r="NB213" s="561">
        <v>8246</v>
      </c>
      <c r="NC213" s="561">
        <v>982</v>
      </c>
      <c r="ND213" s="561">
        <v>28239</v>
      </c>
      <c r="NE213" s="561">
        <v>0</v>
      </c>
      <c r="NF213" s="561">
        <v>0</v>
      </c>
      <c r="NG213" s="561">
        <v>0</v>
      </c>
      <c r="NH213" s="561">
        <v>0</v>
      </c>
      <c r="NI213" s="561">
        <v>0</v>
      </c>
      <c r="NJ213" s="561">
        <v>0</v>
      </c>
      <c r="NK213" s="561">
        <v>0</v>
      </c>
      <c r="NL213" s="561">
        <v>0</v>
      </c>
      <c r="NM213" s="561">
        <v>0</v>
      </c>
      <c r="NN213" s="561">
        <v>0</v>
      </c>
      <c r="NO213" s="561">
        <v>0</v>
      </c>
      <c r="NP213" s="561">
        <v>0</v>
      </c>
      <c r="NQ213" s="561">
        <v>0</v>
      </c>
      <c r="NR213" s="561">
        <v>7</v>
      </c>
      <c r="NS213" s="561">
        <v>0</v>
      </c>
      <c r="NT213" s="561">
        <v>-824</v>
      </c>
      <c r="NU213" s="561">
        <v>-3512</v>
      </c>
      <c r="NV213" s="561">
        <v>0</v>
      </c>
      <c r="NW213" s="561">
        <v>-1648</v>
      </c>
      <c r="NX213" s="561">
        <v>-1378</v>
      </c>
      <c r="NY213" s="561">
        <v>-3026</v>
      </c>
      <c r="NZ213" s="561">
        <v>0</v>
      </c>
      <c r="OA213" s="561">
        <v>0</v>
      </c>
      <c r="OB213" s="561">
        <v>0</v>
      </c>
      <c r="OC213" s="561">
        <v>0</v>
      </c>
      <c r="OD213" s="561">
        <v>0</v>
      </c>
      <c r="OE213" s="561">
        <v>0</v>
      </c>
      <c r="OF213" s="561">
        <v>0</v>
      </c>
      <c r="OG213" s="561">
        <v>0</v>
      </c>
      <c r="OH213" s="561">
        <v>0</v>
      </c>
      <c r="OI213" s="561">
        <v>0</v>
      </c>
      <c r="OJ213" s="561">
        <v>0</v>
      </c>
      <c r="OK213" s="561">
        <v>0</v>
      </c>
      <c r="OL213" s="561">
        <v>0</v>
      </c>
      <c r="OM213" s="561">
        <v>0</v>
      </c>
      <c r="ON213" s="561">
        <v>0</v>
      </c>
      <c r="OO213" s="561">
        <v>0</v>
      </c>
      <c r="OP213" s="561">
        <v>0</v>
      </c>
      <c r="OQ213" s="561">
        <v>0</v>
      </c>
      <c r="OR213" s="561">
        <v>0</v>
      </c>
      <c r="OS213" s="561">
        <v>0</v>
      </c>
      <c r="OT213" s="561">
        <v>0</v>
      </c>
      <c r="OU213" s="561">
        <v>0</v>
      </c>
      <c r="OV213" s="561">
        <v>32</v>
      </c>
      <c r="OW213" s="561">
        <v>19</v>
      </c>
      <c r="OX213" s="561">
        <v>31</v>
      </c>
      <c r="OY213" s="561">
        <v>27</v>
      </c>
      <c r="OZ213" s="561">
        <v>0</v>
      </c>
      <c r="PA213" s="561">
        <v>0</v>
      </c>
      <c r="PB213" s="561">
        <v>-1414</v>
      </c>
      <c r="PC213" s="561">
        <v>9</v>
      </c>
      <c r="PD213" s="561">
        <v>-1378</v>
      </c>
      <c r="PE213" s="561">
        <v>19</v>
      </c>
      <c r="PF213" s="561">
        <v>0</v>
      </c>
      <c r="PG213" s="561">
        <v>0</v>
      </c>
      <c r="PH213" s="561">
        <v>0</v>
      </c>
      <c r="PI213" s="561">
        <v>0</v>
      </c>
      <c r="PJ213" s="561">
        <v>19</v>
      </c>
    </row>
    <row r="214" spans="1:426" ht="14" x14ac:dyDescent="0.3">
      <c r="A214" t="s">
        <v>3085</v>
      </c>
      <c r="B214" t="s">
        <v>3086</v>
      </c>
      <c r="C214" t="s">
        <v>4627</v>
      </c>
      <c r="E214" t="s">
        <v>384</v>
      </c>
      <c r="F214" s="561">
        <v>0</v>
      </c>
      <c r="G214" s="561">
        <v>0</v>
      </c>
      <c r="H214" s="561">
        <v>0</v>
      </c>
      <c r="I214" s="561">
        <v>0</v>
      </c>
      <c r="J214" s="561">
        <v>0</v>
      </c>
      <c r="K214" s="561">
        <v>0</v>
      </c>
      <c r="L214" s="561">
        <v>0</v>
      </c>
      <c r="M214" s="561">
        <v>0</v>
      </c>
      <c r="N214" s="561">
        <v>12</v>
      </c>
      <c r="O214" s="561">
        <v>0</v>
      </c>
      <c r="P214" s="561">
        <v>0</v>
      </c>
      <c r="Q214" s="561">
        <v>0</v>
      </c>
      <c r="R214" s="561">
        <v>0</v>
      </c>
      <c r="S214" s="561">
        <v>0</v>
      </c>
      <c r="T214" s="561">
        <v>0</v>
      </c>
      <c r="U214" s="561">
        <v>0</v>
      </c>
      <c r="V214" s="561">
        <v>0</v>
      </c>
      <c r="W214" s="561">
        <v>0</v>
      </c>
      <c r="X214" s="561">
        <v>0</v>
      </c>
      <c r="Y214" s="561">
        <v>0</v>
      </c>
      <c r="Z214" s="561">
        <v>0</v>
      </c>
      <c r="AA214" s="561">
        <v>5</v>
      </c>
      <c r="AB214" s="561">
        <v>-940</v>
      </c>
      <c r="AC214" s="561">
        <v>0</v>
      </c>
      <c r="AD214" s="561">
        <v>0</v>
      </c>
      <c r="AE214" s="561">
        <v>0</v>
      </c>
      <c r="AF214" s="561">
        <v>0</v>
      </c>
      <c r="AG214" s="561">
        <v>0</v>
      </c>
      <c r="AH214" s="561">
        <v>0</v>
      </c>
      <c r="AI214" s="561">
        <v>0</v>
      </c>
      <c r="AJ214" s="561">
        <v>-923</v>
      </c>
      <c r="AK214" s="561">
        <v>0</v>
      </c>
      <c r="AL214" s="561">
        <v>0</v>
      </c>
      <c r="AM214" s="561">
        <v>0</v>
      </c>
      <c r="AN214" s="561">
        <v>0</v>
      </c>
      <c r="AO214" s="561">
        <v>0</v>
      </c>
      <c r="AP214" s="561">
        <v>0</v>
      </c>
      <c r="AQ214" s="561">
        <v>0</v>
      </c>
      <c r="AR214" s="561">
        <v>0</v>
      </c>
      <c r="AS214" s="561">
        <v>0</v>
      </c>
      <c r="AT214" s="561">
        <v>0</v>
      </c>
      <c r="AU214" s="561">
        <v>0</v>
      </c>
      <c r="AV214" s="561">
        <v>0</v>
      </c>
      <c r="AW214" s="561">
        <v>0</v>
      </c>
      <c r="AX214" s="561">
        <v>0</v>
      </c>
      <c r="AY214" s="561">
        <v>0</v>
      </c>
      <c r="AZ214" s="561">
        <v>0</v>
      </c>
      <c r="BA214" s="561">
        <v>0</v>
      </c>
      <c r="BB214" s="561">
        <v>0</v>
      </c>
      <c r="BC214" s="561">
        <v>0</v>
      </c>
      <c r="BD214" s="561">
        <v>0</v>
      </c>
      <c r="BE214" s="561">
        <v>0</v>
      </c>
      <c r="BF214" s="561">
        <v>0</v>
      </c>
      <c r="BG214" s="561">
        <v>0</v>
      </c>
      <c r="BH214" s="561">
        <v>0</v>
      </c>
      <c r="BI214" s="561">
        <v>0</v>
      </c>
      <c r="BJ214" s="561">
        <v>0</v>
      </c>
      <c r="BK214" s="561">
        <v>0</v>
      </c>
      <c r="BL214" s="561">
        <v>0</v>
      </c>
      <c r="BM214" s="561">
        <v>0</v>
      </c>
      <c r="BN214" s="561">
        <v>0</v>
      </c>
      <c r="BO214" s="561">
        <v>0</v>
      </c>
      <c r="BP214" s="561">
        <v>0</v>
      </c>
      <c r="BQ214" s="561">
        <v>0</v>
      </c>
      <c r="BR214" s="561">
        <v>0</v>
      </c>
      <c r="BS214" s="561">
        <v>0</v>
      </c>
      <c r="BT214" s="561">
        <v>0</v>
      </c>
      <c r="BU214" s="561">
        <v>0</v>
      </c>
      <c r="BV214" s="561">
        <v>0</v>
      </c>
      <c r="BW214" s="561">
        <v>0</v>
      </c>
      <c r="BX214" s="561">
        <v>0</v>
      </c>
      <c r="BY214" s="561">
        <v>0</v>
      </c>
      <c r="BZ214" s="561">
        <v>0</v>
      </c>
      <c r="CA214" s="561">
        <v>0</v>
      </c>
      <c r="CB214" s="561">
        <v>0</v>
      </c>
      <c r="CC214" s="561">
        <v>0</v>
      </c>
      <c r="CD214" s="561">
        <v>0</v>
      </c>
      <c r="CE214" s="561">
        <v>0</v>
      </c>
      <c r="CF214" s="561">
        <v>0</v>
      </c>
      <c r="CG214" s="561">
        <v>0</v>
      </c>
      <c r="CH214" s="561">
        <v>0</v>
      </c>
      <c r="CI214" s="561">
        <v>0</v>
      </c>
      <c r="CJ214" s="561">
        <v>0</v>
      </c>
      <c r="CK214" s="561">
        <v>0</v>
      </c>
      <c r="CL214" s="561">
        <v>0</v>
      </c>
      <c r="CM214" s="561">
        <v>0</v>
      </c>
      <c r="CN214" s="561">
        <v>0</v>
      </c>
      <c r="CO214" s="561">
        <v>0</v>
      </c>
      <c r="CP214" s="561">
        <v>0</v>
      </c>
      <c r="CQ214" s="561">
        <v>0</v>
      </c>
      <c r="CR214" s="561">
        <v>0</v>
      </c>
      <c r="CS214" s="561">
        <v>0</v>
      </c>
      <c r="CT214" s="561">
        <v>0</v>
      </c>
      <c r="CU214" s="561">
        <v>0</v>
      </c>
      <c r="CV214" s="561">
        <v>0</v>
      </c>
      <c r="CW214" s="561">
        <v>0</v>
      </c>
      <c r="CX214" s="561">
        <v>0</v>
      </c>
      <c r="CY214" s="561">
        <v>0</v>
      </c>
      <c r="CZ214" s="561">
        <v>0</v>
      </c>
      <c r="DA214" s="561">
        <v>0</v>
      </c>
      <c r="DB214" s="561">
        <v>0</v>
      </c>
      <c r="DC214" s="561">
        <v>0</v>
      </c>
      <c r="DD214" s="561">
        <v>0</v>
      </c>
      <c r="DE214" s="561">
        <v>0</v>
      </c>
      <c r="DF214" s="561">
        <v>0</v>
      </c>
      <c r="DG214" s="561">
        <v>0</v>
      </c>
      <c r="DH214" s="561">
        <v>0</v>
      </c>
      <c r="DI214" s="561">
        <v>0</v>
      </c>
      <c r="DJ214" s="561">
        <v>220</v>
      </c>
      <c r="DK214" s="561">
        <v>0</v>
      </c>
      <c r="DL214" s="561">
        <v>0</v>
      </c>
      <c r="DM214" s="561">
        <v>0</v>
      </c>
      <c r="DN214" s="561">
        <v>906</v>
      </c>
      <c r="DO214" s="561">
        <v>-123</v>
      </c>
      <c r="DP214" s="561">
        <v>0</v>
      </c>
      <c r="DQ214" s="561">
        <v>0</v>
      </c>
      <c r="DR214" s="561">
        <v>27</v>
      </c>
      <c r="DS214" s="561">
        <v>0</v>
      </c>
      <c r="DT214" s="561">
        <v>0</v>
      </c>
      <c r="DU214" s="561">
        <v>810</v>
      </c>
      <c r="DV214" s="561">
        <v>18</v>
      </c>
      <c r="DW214" s="561">
        <v>0</v>
      </c>
      <c r="DX214" s="561">
        <v>0</v>
      </c>
      <c r="DY214" s="561">
        <v>606</v>
      </c>
      <c r="DZ214" s="561">
        <v>0</v>
      </c>
      <c r="EA214" s="561">
        <v>0</v>
      </c>
      <c r="EB214" s="561">
        <v>0</v>
      </c>
      <c r="EC214" s="561">
        <v>1654</v>
      </c>
      <c r="ED214" s="561">
        <v>5</v>
      </c>
      <c r="EE214" s="561">
        <v>0</v>
      </c>
      <c r="EF214" s="561">
        <v>0</v>
      </c>
      <c r="EG214" s="561">
        <v>0</v>
      </c>
      <c r="EH214" s="561">
        <v>0</v>
      </c>
      <c r="EI214" s="561">
        <v>0</v>
      </c>
      <c r="EJ214" s="561">
        <v>0</v>
      </c>
      <c r="EK214" s="561">
        <v>0</v>
      </c>
      <c r="EL214" s="561">
        <v>0</v>
      </c>
      <c r="EM214" s="561">
        <v>0</v>
      </c>
      <c r="EN214" s="561">
        <v>0</v>
      </c>
      <c r="EO214" s="561">
        <v>0</v>
      </c>
      <c r="EP214" s="561">
        <v>0</v>
      </c>
      <c r="EQ214" s="561">
        <v>0</v>
      </c>
      <c r="ER214" s="561">
        <v>0</v>
      </c>
      <c r="ES214" s="561" t="s">
        <v>4565</v>
      </c>
      <c r="ET214" s="561">
        <v>0</v>
      </c>
      <c r="EU214" s="561">
        <v>0</v>
      </c>
      <c r="EV214" s="561">
        <v>0</v>
      </c>
      <c r="EW214" s="561">
        <v>0</v>
      </c>
      <c r="EX214" s="561">
        <v>0</v>
      </c>
      <c r="EY214" s="561">
        <v>0</v>
      </c>
      <c r="EZ214" s="561">
        <v>0</v>
      </c>
      <c r="FA214" s="561">
        <v>0</v>
      </c>
      <c r="FB214" s="561">
        <v>0</v>
      </c>
      <c r="FC214" s="561">
        <v>214</v>
      </c>
      <c r="FD214" s="561">
        <v>0</v>
      </c>
      <c r="FE214" s="561">
        <v>22</v>
      </c>
      <c r="FF214" s="561">
        <v>0</v>
      </c>
      <c r="FG214" s="561">
        <v>119</v>
      </c>
      <c r="FH214" s="561">
        <v>27</v>
      </c>
      <c r="FI214" s="561">
        <v>107</v>
      </c>
      <c r="FJ214" s="561">
        <v>253</v>
      </c>
      <c r="FK214" s="561">
        <v>828</v>
      </c>
      <c r="FL214" s="561">
        <v>0</v>
      </c>
      <c r="FM214" s="561">
        <v>86</v>
      </c>
      <c r="FN214" s="561">
        <v>0</v>
      </c>
      <c r="FO214" s="561">
        <v>1656</v>
      </c>
      <c r="FP214" s="561">
        <v>48</v>
      </c>
      <c r="FQ214" s="561">
        <v>235</v>
      </c>
      <c r="FR214" s="561">
        <v>89</v>
      </c>
      <c r="FS214" s="561">
        <v>0</v>
      </c>
      <c r="FT214" s="561">
        <v>277</v>
      </c>
      <c r="FU214" s="561">
        <v>571</v>
      </c>
      <c r="FV214" s="561">
        <v>0</v>
      </c>
      <c r="FW214" s="561">
        <v>0</v>
      </c>
      <c r="FX214" s="561">
        <v>0</v>
      </c>
      <c r="FY214" s="561">
        <v>0</v>
      </c>
      <c r="FZ214" s="561">
        <v>68</v>
      </c>
      <c r="GA214" s="561">
        <v>167</v>
      </c>
      <c r="GB214" s="561">
        <v>56</v>
      </c>
      <c r="GC214" s="561">
        <v>20</v>
      </c>
      <c r="GD214" s="561">
        <v>149</v>
      </c>
      <c r="GE214" s="561">
        <v>0</v>
      </c>
      <c r="GF214" s="561">
        <v>0</v>
      </c>
      <c r="GG214" s="561">
        <v>0</v>
      </c>
      <c r="GH214" s="561">
        <v>0</v>
      </c>
      <c r="GI214" s="561">
        <v>0</v>
      </c>
      <c r="GJ214" s="561">
        <v>0</v>
      </c>
      <c r="GK214" s="561">
        <v>0</v>
      </c>
      <c r="GL214" s="561">
        <v>847</v>
      </c>
      <c r="GM214" s="561">
        <v>1257</v>
      </c>
      <c r="GN214" s="561">
        <v>0</v>
      </c>
      <c r="GO214" s="561">
        <v>0</v>
      </c>
      <c r="GP214" s="561">
        <v>459</v>
      </c>
      <c r="GQ214" s="561">
        <v>0</v>
      </c>
      <c r="GR214" s="561">
        <v>0</v>
      </c>
      <c r="GS214" s="561">
        <v>4195</v>
      </c>
      <c r="GT214" s="561">
        <v>13</v>
      </c>
      <c r="GU214" s="561">
        <v>163</v>
      </c>
      <c r="GV214" s="561">
        <v>771</v>
      </c>
      <c r="GW214" s="561">
        <v>0</v>
      </c>
      <c r="GX214" s="561">
        <v>671</v>
      </c>
      <c r="GY214" s="561">
        <v>43</v>
      </c>
      <c r="GZ214" s="561">
        <v>189</v>
      </c>
      <c r="HA214" s="561">
        <v>0</v>
      </c>
      <c r="HB214" s="561">
        <v>0</v>
      </c>
      <c r="HC214" s="561">
        <v>0</v>
      </c>
      <c r="HD214" s="561">
        <v>1837</v>
      </c>
      <c r="HE214" s="561">
        <v>541</v>
      </c>
      <c r="HF214" s="561">
        <v>7688</v>
      </c>
      <c r="HG214" s="561">
        <v>0</v>
      </c>
      <c r="HH214" s="561">
        <v>0</v>
      </c>
      <c r="HI214" s="561">
        <v>0</v>
      </c>
      <c r="HJ214" s="561">
        <v>0</v>
      </c>
      <c r="HK214" s="561">
        <v>0</v>
      </c>
      <c r="HL214" s="561">
        <v>0</v>
      </c>
      <c r="HM214" s="561">
        <v>0</v>
      </c>
      <c r="HN214" s="561">
        <v>0</v>
      </c>
      <c r="HO214" s="561">
        <v>3006</v>
      </c>
      <c r="HP214" s="561">
        <v>707</v>
      </c>
      <c r="HQ214" s="561">
        <v>0</v>
      </c>
      <c r="HR214" s="561">
        <v>0</v>
      </c>
      <c r="HS214" s="561">
        <v>458</v>
      </c>
      <c r="HT214" s="561">
        <v>157</v>
      </c>
      <c r="HU214" s="561">
        <v>0</v>
      </c>
      <c r="HV214" s="561">
        <v>0</v>
      </c>
      <c r="HW214" s="561">
        <v>170</v>
      </c>
      <c r="HX214" s="561">
        <v>265</v>
      </c>
      <c r="HY214" s="561">
        <v>-105</v>
      </c>
      <c r="HZ214" s="561">
        <v>90</v>
      </c>
      <c r="IA214" s="561">
        <v>0</v>
      </c>
      <c r="IB214" s="561">
        <v>0</v>
      </c>
      <c r="IC214" s="561">
        <v>0</v>
      </c>
      <c r="ID214" s="561">
        <v>0</v>
      </c>
      <c r="IE214" s="561">
        <v>0</v>
      </c>
      <c r="IF214" s="561">
        <v>0</v>
      </c>
      <c r="IG214" s="561">
        <v>0</v>
      </c>
      <c r="IH214" s="561">
        <v>25</v>
      </c>
      <c r="II214" s="561">
        <v>4773</v>
      </c>
      <c r="IJ214" s="561">
        <v>373</v>
      </c>
      <c r="IK214" s="561">
        <v>0</v>
      </c>
      <c r="IL214" s="561">
        <v>0</v>
      </c>
      <c r="IM214" s="561">
        <v>0</v>
      </c>
      <c r="IN214" s="561">
        <v>0</v>
      </c>
      <c r="IO214" s="561">
        <v>0</v>
      </c>
      <c r="IP214" s="561">
        <v>18</v>
      </c>
      <c r="IQ214" s="561">
        <v>0</v>
      </c>
      <c r="IR214" s="561">
        <v>0</v>
      </c>
      <c r="IS214" s="561">
        <v>-923</v>
      </c>
      <c r="IT214" s="561">
        <v>0</v>
      </c>
      <c r="IU214" s="561">
        <v>0</v>
      </c>
      <c r="IV214" s="561">
        <v>0</v>
      </c>
      <c r="IW214" s="561">
        <v>1654</v>
      </c>
      <c r="IX214" s="561">
        <v>1656</v>
      </c>
      <c r="IY214" s="561">
        <v>4195</v>
      </c>
      <c r="IZ214" s="561">
        <v>1837</v>
      </c>
      <c r="JA214" s="561">
        <v>0</v>
      </c>
      <c r="JB214" s="561">
        <v>0</v>
      </c>
      <c r="JC214" s="561">
        <v>4773</v>
      </c>
      <c r="JD214" s="561">
        <v>18</v>
      </c>
      <c r="JE214" s="561">
        <v>13210</v>
      </c>
      <c r="JF214" s="561">
        <v>9052</v>
      </c>
      <c r="JG214" s="561">
        <v>0</v>
      </c>
      <c r="JH214" s="561">
        <v>0</v>
      </c>
      <c r="JI214" s="561">
        <v>0</v>
      </c>
      <c r="JJ214" s="561">
        <v>0</v>
      </c>
      <c r="JK214" s="561">
        <v>1792</v>
      </c>
      <c r="JL214" s="561">
        <v>0</v>
      </c>
      <c r="JM214" s="561">
        <v>0</v>
      </c>
      <c r="JN214" s="561">
        <v>0</v>
      </c>
      <c r="JO214" s="561">
        <v>0</v>
      </c>
      <c r="JP214" s="561">
        <v>17</v>
      </c>
      <c r="JQ214" s="561">
        <v>0</v>
      </c>
      <c r="JR214" s="561">
        <v>0</v>
      </c>
      <c r="JS214" s="561">
        <v>0</v>
      </c>
      <c r="JT214" s="561">
        <v>0</v>
      </c>
      <c r="JU214" s="561">
        <v>0</v>
      </c>
      <c r="JV214" s="561">
        <v>24071</v>
      </c>
      <c r="JW214" s="561">
        <v>0</v>
      </c>
      <c r="JX214" s="561">
        <v>14</v>
      </c>
      <c r="JY214" s="561">
        <v>0</v>
      </c>
      <c r="JZ214" s="561">
        <v>0</v>
      </c>
      <c r="KA214" s="561">
        <v>0</v>
      </c>
      <c r="KB214" s="561">
        <v>0</v>
      </c>
      <c r="KC214" s="561">
        <v>0</v>
      </c>
      <c r="KD214" s="561">
        <v>0</v>
      </c>
      <c r="KE214" s="561">
        <v>0</v>
      </c>
      <c r="KF214" s="561">
        <v>0</v>
      </c>
      <c r="KG214" s="561">
        <v>24085</v>
      </c>
      <c r="KH214" s="561">
        <v>-1485</v>
      </c>
      <c r="KI214" s="561">
        <v>0</v>
      </c>
      <c r="KJ214" s="561">
        <v>0</v>
      </c>
      <c r="KK214" s="561">
        <v>0</v>
      </c>
      <c r="KL214" s="561">
        <v>-9084</v>
      </c>
      <c r="KM214" s="561">
        <v>0</v>
      </c>
      <c r="KN214" s="561">
        <v>0</v>
      </c>
      <c r="KO214" s="561">
        <v>0</v>
      </c>
      <c r="KP214" s="561">
        <v>0</v>
      </c>
      <c r="KQ214" s="561">
        <v>0</v>
      </c>
      <c r="KR214" s="561">
        <v>13516</v>
      </c>
      <c r="KS214" s="561">
        <v>0</v>
      </c>
      <c r="KT214" s="561">
        <v>-1564</v>
      </c>
      <c r="KU214" s="561">
        <v>11952</v>
      </c>
      <c r="KV214" s="561">
        <v>0</v>
      </c>
      <c r="KW214" s="561">
        <v>0</v>
      </c>
      <c r="KX214" s="561">
        <v>0</v>
      </c>
      <c r="KY214" s="561">
        <v>0</v>
      </c>
      <c r="KZ214" s="561">
        <v>1637</v>
      </c>
      <c r="LA214" s="561">
        <v>1376</v>
      </c>
      <c r="LB214" s="561">
        <v>-86</v>
      </c>
      <c r="LC214" s="561">
        <v>0</v>
      </c>
      <c r="LD214" s="561">
        <v>-7199</v>
      </c>
      <c r="LE214" s="561">
        <v>59</v>
      </c>
      <c r="LF214" s="561">
        <v>0</v>
      </c>
      <c r="LG214" s="561">
        <v>7739</v>
      </c>
      <c r="LH214" s="561">
        <v>0</v>
      </c>
      <c r="LI214" s="561">
        <v>0</v>
      </c>
      <c r="LJ214" s="561">
        <v>0</v>
      </c>
      <c r="LK214" s="561">
        <v>0</v>
      </c>
      <c r="LL214" s="561">
        <v>4933</v>
      </c>
      <c r="LM214" s="561">
        <v>7260</v>
      </c>
      <c r="LN214" s="561">
        <v>0</v>
      </c>
      <c r="LO214" s="561">
        <v>0</v>
      </c>
      <c r="LP214" s="561">
        <v>0</v>
      </c>
      <c r="LQ214" s="561">
        <v>0</v>
      </c>
      <c r="LR214" s="561">
        <v>6570</v>
      </c>
      <c r="LS214" s="561">
        <v>8636</v>
      </c>
      <c r="LT214" s="561">
        <v>0</v>
      </c>
      <c r="LU214" s="561">
        <v>0</v>
      </c>
      <c r="LV214" s="561">
        <v>0</v>
      </c>
      <c r="LW214" s="561">
        <v>0</v>
      </c>
      <c r="LX214" s="561">
        <v>0</v>
      </c>
      <c r="LY214" s="561">
        <v>0</v>
      </c>
      <c r="LZ214" s="561">
        <v>0</v>
      </c>
      <c r="MA214" s="561">
        <v>0</v>
      </c>
      <c r="MB214" s="561">
        <v>0</v>
      </c>
      <c r="MC214" s="561">
        <v>0</v>
      </c>
      <c r="MD214" s="561">
        <v>0</v>
      </c>
      <c r="ME214" s="561">
        <v>0</v>
      </c>
      <c r="MF214" s="561">
        <v>0</v>
      </c>
      <c r="MG214" s="561">
        <v>0</v>
      </c>
      <c r="MH214" s="561" t="s">
        <v>4566</v>
      </c>
      <c r="MI214" s="561" t="s">
        <v>4566</v>
      </c>
      <c r="MJ214" s="561" t="s">
        <v>4566</v>
      </c>
      <c r="MK214" s="561">
        <v>0</v>
      </c>
      <c r="ML214" s="561">
        <v>0</v>
      </c>
      <c r="MM214" s="561">
        <v>6570</v>
      </c>
      <c r="MN214" s="561">
        <v>0</v>
      </c>
      <c r="MO214" s="561">
        <v>0</v>
      </c>
      <c r="MP214" s="561">
        <v>0</v>
      </c>
      <c r="MQ214" s="561">
        <v>0</v>
      </c>
      <c r="MR214" s="561">
        <v>-923</v>
      </c>
      <c r="MS214" s="561">
        <v>0</v>
      </c>
      <c r="MT214" s="561">
        <v>0</v>
      </c>
      <c r="MU214" s="561">
        <v>0</v>
      </c>
      <c r="MV214" s="561">
        <v>1654</v>
      </c>
      <c r="MW214" s="561">
        <v>1656</v>
      </c>
      <c r="MX214" s="561">
        <v>4195</v>
      </c>
      <c r="MY214" s="561">
        <v>1837</v>
      </c>
      <c r="MZ214" s="561">
        <v>0</v>
      </c>
      <c r="NA214" s="561">
        <v>0</v>
      </c>
      <c r="NB214" s="561">
        <v>4773</v>
      </c>
      <c r="NC214" s="561">
        <v>18</v>
      </c>
      <c r="ND214" s="561">
        <v>13210</v>
      </c>
      <c r="NE214" s="561">
        <v>0</v>
      </c>
      <c r="NF214" s="561">
        <v>0</v>
      </c>
      <c r="NG214" s="561">
        <v>0</v>
      </c>
      <c r="NH214" s="561">
        <v>0</v>
      </c>
      <c r="NI214" s="561">
        <v>0</v>
      </c>
      <c r="NJ214" s="561">
        <v>0</v>
      </c>
      <c r="NK214" s="561">
        <v>0</v>
      </c>
      <c r="NL214" s="561">
        <v>0</v>
      </c>
      <c r="NM214" s="561">
        <v>0</v>
      </c>
      <c r="NN214" s="561">
        <v>0</v>
      </c>
      <c r="NO214" s="561">
        <v>0</v>
      </c>
      <c r="NP214" s="561">
        <v>0</v>
      </c>
      <c r="NQ214" s="561">
        <v>0</v>
      </c>
      <c r="NR214" s="561">
        <v>0</v>
      </c>
      <c r="NS214" s="561">
        <v>0</v>
      </c>
      <c r="NT214" s="561">
        <v>17</v>
      </c>
      <c r="NU214" s="561">
        <v>-992</v>
      </c>
      <c r="NV214" s="561">
        <v>0</v>
      </c>
      <c r="NW214" s="561">
        <v>17</v>
      </c>
      <c r="NX214" s="561">
        <v>0</v>
      </c>
      <c r="NY214" s="561">
        <v>17</v>
      </c>
      <c r="NZ214" s="561">
        <v>0</v>
      </c>
      <c r="OA214" s="561">
        <v>0</v>
      </c>
      <c r="OB214" s="561">
        <v>0</v>
      </c>
      <c r="OC214" s="561">
        <v>0</v>
      </c>
      <c r="OD214" s="561">
        <v>0</v>
      </c>
      <c r="OE214" s="561">
        <v>0</v>
      </c>
      <c r="OF214" s="561">
        <v>0</v>
      </c>
      <c r="OG214" s="561">
        <v>0</v>
      </c>
      <c r="OH214" s="561">
        <v>0</v>
      </c>
      <c r="OI214" s="561">
        <v>0</v>
      </c>
      <c r="OJ214" s="561">
        <v>0</v>
      </c>
      <c r="OK214" s="561">
        <v>0</v>
      </c>
      <c r="OL214" s="561">
        <v>0</v>
      </c>
      <c r="OM214" s="561">
        <v>0</v>
      </c>
      <c r="ON214" s="561">
        <v>0</v>
      </c>
      <c r="OO214" s="561">
        <v>0</v>
      </c>
      <c r="OP214" s="561">
        <v>0</v>
      </c>
      <c r="OQ214" s="561">
        <v>0</v>
      </c>
      <c r="OR214" s="561">
        <v>0</v>
      </c>
      <c r="OS214" s="561">
        <v>0</v>
      </c>
      <c r="OT214" s="561">
        <v>0</v>
      </c>
      <c r="OU214" s="561">
        <v>0</v>
      </c>
      <c r="OV214" s="561">
        <v>11</v>
      </c>
      <c r="OW214" s="561">
        <v>0</v>
      </c>
      <c r="OX214" s="561">
        <v>0</v>
      </c>
      <c r="OY214" s="561">
        <v>0</v>
      </c>
      <c r="OZ214" s="561">
        <v>0</v>
      </c>
      <c r="PA214" s="561">
        <v>0</v>
      </c>
      <c r="PB214" s="561">
        <v>0</v>
      </c>
      <c r="PC214" s="561">
        <v>0</v>
      </c>
      <c r="PD214" s="561">
        <v>0</v>
      </c>
      <c r="PE214" s="561">
        <v>0</v>
      </c>
      <c r="PF214" s="561">
        <v>0</v>
      </c>
      <c r="PG214" s="561">
        <v>0</v>
      </c>
      <c r="PH214" s="561">
        <v>0</v>
      </c>
      <c r="PI214" s="561">
        <v>0</v>
      </c>
      <c r="PJ214" s="561">
        <v>0</v>
      </c>
    </row>
    <row r="215" spans="1:426" ht="14" x14ac:dyDescent="0.3">
      <c r="A215" t="s">
        <v>3088</v>
      </c>
      <c r="B215" t="s">
        <v>3089</v>
      </c>
      <c r="C215" t="s">
        <v>3090</v>
      </c>
      <c r="E215" t="s">
        <v>384</v>
      </c>
      <c r="F215" s="561">
        <v>0</v>
      </c>
      <c r="G215" s="561">
        <v>0</v>
      </c>
      <c r="H215" s="561">
        <v>0</v>
      </c>
      <c r="I215" s="561">
        <v>0</v>
      </c>
      <c r="J215" s="561">
        <v>0</v>
      </c>
      <c r="K215" s="561">
        <v>0</v>
      </c>
      <c r="L215" s="561">
        <v>0</v>
      </c>
      <c r="M215" s="561">
        <v>0</v>
      </c>
      <c r="N215" s="561">
        <v>0</v>
      </c>
      <c r="O215" s="561">
        <v>0</v>
      </c>
      <c r="P215" s="561">
        <v>0</v>
      </c>
      <c r="Q215" s="561">
        <v>0</v>
      </c>
      <c r="R215" s="561">
        <v>0</v>
      </c>
      <c r="S215" s="561">
        <v>0</v>
      </c>
      <c r="T215" s="561">
        <v>0</v>
      </c>
      <c r="U215" s="561">
        <v>0</v>
      </c>
      <c r="V215" s="561">
        <v>0</v>
      </c>
      <c r="W215" s="561">
        <v>0</v>
      </c>
      <c r="X215" s="561">
        <v>0</v>
      </c>
      <c r="Y215" s="561">
        <v>0</v>
      </c>
      <c r="Z215" s="561">
        <v>0</v>
      </c>
      <c r="AA215" s="561">
        <v>-66</v>
      </c>
      <c r="AB215" s="561">
        <v>-201</v>
      </c>
      <c r="AC215" s="561">
        <v>24</v>
      </c>
      <c r="AD215" s="561">
        <v>3</v>
      </c>
      <c r="AE215" s="561">
        <v>0</v>
      </c>
      <c r="AF215" s="561">
        <v>0</v>
      </c>
      <c r="AG215" s="561">
        <v>0</v>
      </c>
      <c r="AH215" s="561">
        <v>0</v>
      </c>
      <c r="AI215" s="561">
        <v>0</v>
      </c>
      <c r="AJ215" s="561">
        <v>-240</v>
      </c>
      <c r="AK215" s="561">
        <v>0</v>
      </c>
      <c r="AL215" s="561">
        <v>0</v>
      </c>
      <c r="AM215" s="561">
        <v>0</v>
      </c>
      <c r="AN215" s="561">
        <v>0</v>
      </c>
      <c r="AO215" s="561">
        <v>0</v>
      </c>
      <c r="AP215" s="561">
        <v>0</v>
      </c>
      <c r="AQ215" s="561">
        <v>0</v>
      </c>
      <c r="AR215" s="561">
        <v>0</v>
      </c>
      <c r="AS215" s="561">
        <v>66</v>
      </c>
      <c r="AT215" s="561">
        <v>0</v>
      </c>
      <c r="AU215" s="561">
        <v>0</v>
      </c>
      <c r="AV215" s="561">
        <v>0</v>
      </c>
      <c r="AW215" s="561">
        <v>0</v>
      </c>
      <c r="AX215" s="561">
        <v>0</v>
      </c>
      <c r="AY215" s="561">
        <v>0</v>
      </c>
      <c r="AZ215" s="561">
        <v>0</v>
      </c>
      <c r="BA215" s="561">
        <v>0</v>
      </c>
      <c r="BB215" s="561">
        <v>0</v>
      </c>
      <c r="BC215" s="561">
        <v>0</v>
      </c>
      <c r="BD215" s="561">
        <v>0</v>
      </c>
      <c r="BE215" s="561">
        <v>0</v>
      </c>
      <c r="BF215" s="561">
        <v>0</v>
      </c>
      <c r="BG215" s="561">
        <v>0</v>
      </c>
      <c r="BH215" s="561">
        <v>0</v>
      </c>
      <c r="BI215" s="561">
        <v>0</v>
      </c>
      <c r="BJ215" s="561">
        <v>0</v>
      </c>
      <c r="BK215" s="561">
        <v>0</v>
      </c>
      <c r="BL215" s="561">
        <v>0</v>
      </c>
      <c r="BM215" s="561">
        <v>0</v>
      </c>
      <c r="BN215" s="561">
        <v>0</v>
      </c>
      <c r="BO215" s="561">
        <v>0</v>
      </c>
      <c r="BP215" s="561">
        <v>0</v>
      </c>
      <c r="BQ215" s="561">
        <v>0</v>
      </c>
      <c r="BR215" s="561">
        <v>0</v>
      </c>
      <c r="BS215" s="561">
        <v>0</v>
      </c>
      <c r="BT215" s="561">
        <v>0</v>
      </c>
      <c r="BU215" s="561">
        <v>0</v>
      </c>
      <c r="BV215" s="561">
        <v>0</v>
      </c>
      <c r="BW215" s="561">
        <v>0</v>
      </c>
      <c r="BX215" s="561">
        <v>0</v>
      </c>
      <c r="BY215" s="561">
        <v>0</v>
      </c>
      <c r="BZ215" s="561">
        <v>0</v>
      </c>
      <c r="CA215" s="561">
        <v>0</v>
      </c>
      <c r="CB215" s="561">
        <v>0</v>
      </c>
      <c r="CC215" s="561">
        <v>0</v>
      </c>
      <c r="CD215" s="561">
        <v>0</v>
      </c>
      <c r="CE215" s="561">
        <v>0</v>
      </c>
      <c r="CF215" s="561">
        <v>0</v>
      </c>
      <c r="CG215" s="561">
        <v>0</v>
      </c>
      <c r="CH215" s="561">
        <v>0</v>
      </c>
      <c r="CI215" s="561">
        <v>0</v>
      </c>
      <c r="CJ215" s="561">
        <v>0</v>
      </c>
      <c r="CK215" s="561">
        <v>0</v>
      </c>
      <c r="CL215" s="561">
        <v>0</v>
      </c>
      <c r="CM215" s="561">
        <v>0</v>
      </c>
      <c r="CN215" s="561">
        <v>0</v>
      </c>
      <c r="CO215" s="561">
        <v>0</v>
      </c>
      <c r="CP215" s="561">
        <v>0</v>
      </c>
      <c r="CQ215" s="561">
        <v>0</v>
      </c>
      <c r="CR215" s="561">
        <v>0</v>
      </c>
      <c r="CS215" s="561">
        <v>0</v>
      </c>
      <c r="CT215" s="561">
        <v>0</v>
      </c>
      <c r="CU215" s="561">
        <v>0</v>
      </c>
      <c r="CV215" s="561">
        <v>0</v>
      </c>
      <c r="CW215" s="561">
        <v>0</v>
      </c>
      <c r="CX215" s="561">
        <v>0</v>
      </c>
      <c r="CY215" s="561">
        <v>0</v>
      </c>
      <c r="CZ215" s="561">
        <v>0</v>
      </c>
      <c r="DA215" s="561">
        <v>0</v>
      </c>
      <c r="DB215" s="561">
        <v>0</v>
      </c>
      <c r="DC215" s="561">
        <v>0</v>
      </c>
      <c r="DD215" s="561">
        <v>0</v>
      </c>
      <c r="DE215" s="561">
        <v>0</v>
      </c>
      <c r="DF215" s="561">
        <v>0</v>
      </c>
      <c r="DG215" s="561">
        <v>0</v>
      </c>
      <c r="DH215" s="561">
        <v>16</v>
      </c>
      <c r="DI215" s="561">
        <v>0</v>
      </c>
      <c r="DJ215" s="561">
        <v>0</v>
      </c>
      <c r="DK215" s="561">
        <v>0</v>
      </c>
      <c r="DL215" s="561">
        <v>0</v>
      </c>
      <c r="DM215" s="561">
        <v>0</v>
      </c>
      <c r="DN215" s="561">
        <v>0</v>
      </c>
      <c r="DO215" s="561">
        <v>198</v>
      </c>
      <c r="DP215" s="561">
        <v>1</v>
      </c>
      <c r="DQ215" s="561">
        <v>0</v>
      </c>
      <c r="DR215" s="561">
        <v>0</v>
      </c>
      <c r="DS215" s="561">
        <v>503</v>
      </c>
      <c r="DT215" s="561">
        <v>0</v>
      </c>
      <c r="DU215" s="561">
        <v>702</v>
      </c>
      <c r="DV215" s="561">
        <v>0</v>
      </c>
      <c r="DW215" s="561">
        <v>0</v>
      </c>
      <c r="DX215" s="561">
        <v>0</v>
      </c>
      <c r="DY215" s="561">
        <v>-164</v>
      </c>
      <c r="DZ215" s="561">
        <v>0</v>
      </c>
      <c r="EA215" s="561">
        <v>0</v>
      </c>
      <c r="EB215" s="561">
        <v>0</v>
      </c>
      <c r="EC215" s="561">
        <v>554</v>
      </c>
      <c r="ED215" s="561">
        <v>0</v>
      </c>
      <c r="EE215" s="561">
        <v>0</v>
      </c>
      <c r="EF215" s="561">
        <v>0</v>
      </c>
      <c r="EG215" s="561">
        <v>0</v>
      </c>
      <c r="EH215" s="561">
        <v>0</v>
      </c>
      <c r="EI215" s="561">
        <v>0</v>
      </c>
      <c r="EJ215" s="561">
        <v>0</v>
      </c>
      <c r="EK215" s="561">
        <v>0</v>
      </c>
      <c r="EL215" s="561">
        <v>0</v>
      </c>
      <c r="EM215" s="561">
        <v>0</v>
      </c>
      <c r="EN215" s="561">
        <v>0</v>
      </c>
      <c r="EO215" s="561">
        <v>0</v>
      </c>
      <c r="EP215" s="561">
        <v>0</v>
      </c>
      <c r="EQ215" s="561">
        <v>0</v>
      </c>
      <c r="ER215" s="561">
        <v>0</v>
      </c>
      <c r="ES215" s="561" t="s">
        <v>4565</v>
      </c>
      <c r="ET215" s="561">
        <v>0</v>
      </c>
      <c r="EU215" s="561">
        <v>0</v>
      </c>
      <c r="EV215" s="561">
        <v>0</v>
      </c>
      <c r="EW215" s="561">
        <v>0</v>
      </c>
      <c r="EX215" s="561">
        <v>0</v>
      </c>
      <c r="EY215" s="561">
        <v>0</v>
      </c>
      <c r="EZ215" s="561">
        <v>0</v>
      </c>
      <c r="FA215" s="561">
        <v>0</v>
      </c>
      <c r="FB215" s="561">
        <v>0</v>
      </c>
      <c r="FC215" s="561">
        <v>0</v>
      </c>
      <c r="FD215" s="561">
        <v>0</v>
      </c>
      <c r="FE215" s="561">
        <v>0</v>
      </c>
      <c r="FF215" s="561">
        <v>51</v>
      </c>
      <c r="FG215" s="561">
        <v>0</v>
      </c>
      <c r="FH215" s="561">
        <v>0</v>
      </c>
      <c r="FI215" s="561">
        <v>686</v>
      </c>
      <c r="FJ215" s="561">
        <v>-166</v>
      </c>
      <c r="FK215" s="561">
        <v>292</v>
      </c>
      <c r="FL215" s="561">
        <v>0</v>
      </c>
      <c r="FM215" s="561">
        <v>115</v>
      </c>
      <c r="FN215" s="561">
        <v>0</v>
      </c>
      <c r="FO215" s="561">
        <v>978</v>
      </c>
      <c r="FP215" s="561">
        <v>0</v>
      </c>
      <c r="FQ215" s="561">
        <v>0</v>
      </c>
      <c r="FR215" s="561">
        <v>0</v>
      </c>
      <c r="FS215" s="561">
        <v>3</v>
      </c>
      <c r="FT215" s="561">
        <v>125</v>
      </c>
      <c r="FU215" s="561">
        <v>164</v>
      </c>
      <c r="FV215" s="561">
        <v>0</v>
      </c>
      <c r="FW215" s="561">
        <v>28</v>
      </c>
      <c r="FX215" s="561">
        <v>0</v>
      </c>
      <c r="FY215" s="561">
        <v>0</v>
      </c>
      <c r="FZ215" s="561">
        <v>6</v>
      </c>
      <c r="GA215" s="561">
        <v>155</v>
      </c>
      <c r="GB215" s="561">
        <v>66</v>
      </c>
      <c r="GC215" s="561">
        <v>-33</v>
      </c>
      <c r="GD215" s="561">
        <v>0</v>
      </c>
      <c r="GE215" s="561">
        <v>127</v>
      </c>
      <c r="GF215" s="561">
        <v>0</v>
      </c>
      <c r="GG215" s="561">
        <v>40</v>
      </c>
      <c r="GH215" s="561">
        <v>0</v>
      </c>
      <c r="GI215" s="561">
        <v>0</v>
      </c>
      <c r="GJ215" s="561">
        <v>0</v>
      </c>
      <c r="GK215" s="561">
        <v>0</v>
      </c>
      <c r="GL215" s="561">
        <v>429</v>
      </c>
      <c r="GM215" s="561">
        <v>1640</v>
      </c>
      <c r="GN215" s="561">
        <v>0</v>
      </c>
      <c r="GO215" s="561">
        <v>-247</v>
      </c>
      <c r="GP215" s="561">
        <v>963</v>
      </c>
      <c r="GQ215" s="561">
        <v>0</v>
      </c>
      <c r="GR215" s="561">
        <v>66</v>
      </c>
      <c r="GS215" s="561">
        <v>3532</v>
      </c>
      <c r="GT215" s="561">
        <v>266</v>
      </c>
      <c r="GU215" s="561">
        <v>-48</v>
      </c>
      <c r="GV215" s="561">
        <v>-310</v>
      </c>
      <c r="GW215" s="561">
        <v>684</v>
      </c>
      <c r="GX215" s="561">
        <v>-970</v>
      </c>
      <c r="GY215" s="561">
        <v>0</v>
      </c>
      <c r="GZ215" s="561">
        <v>2463</v>
      </c>
      <c r="HA215" s="561">
        <v>0</v>
      </c>
      <c r="HB215" s="561">
        <v>0</v>
      </c>
      <c r="HC215" s="561">
        <v>0</v>
      </c>
      <c r="HD215" s="561">
        <v>1819</v>
      </c>
      <c r="HE215" s="561">
        <v>609</v>
      </c>
      <c r="HF215" s="561">
        <v>6329</v>
      </c>
      <c r="HG215" s="561">
        <v>0</v>
      </c>
      <c r="HH215" s="561">
        <v>0</v>
      </c>
      <c r="HI215" s="561">
        <v>0</v>
      </c>
      <c r="HJ215" s="561">
        <v>0</v>
      </c>
      <c r="HK215" s="561">
        <v>0</v>
      </c>
      <c r="HL215" s="561">
        <v>0</v>
      </c>
      <c r="HM215" s="561">
        <v>0</v>
      </c>
      <c r="HN215" s="561">
        <v>0</v>
      </c>
      <c r="HO215" s="561">
        <v>3889</v>
      </c>
      <c r="HP215" s="561">
        <v>113</v>
      </c>
      <c r="HQ215" s="561">
        <v>0</v>
      </c>
      <c r="HR215" s="561">
        <v>0</v>
      </c>
      <c r="HS215" s="561">
        <v>0</v>
      </c>
      <c r="HT215" s="561">
        <v>-10</v>
      </c>
      <c r="HU215" s="561">
        <v>0</v>
      </c>
      <c r="HV215" s="561">
        <v>0</v>
      </c>
      <c r="HW215" s="561">
        <v>211</v>
      </c>
      <c r="HX215" s="561">
        <v>577</v>
      </c>
      <c r="HY215" s="561">
        <v>25</v>
      </c>
      <c r="HZ215" s="561">
        <v>59</v>
      </c>
      <c r="IA215" s="561">
        <v>0</v>
      </c>
      <c r="IB215" s="561">
        <v>0</v>
      </c>
      <c r="IC215" s="561">
        <v>0</v>
      </c>
      <c r="ID215" s="561">
        <v>0</v>
      </c>
      <c r="IE215" s="561">
        <v>0</v>
      </c>
      <c r="IF215" s="561">
        <v>0</v>
      </c>
      <c r="IG215" s="561">
        <v>0</v>
      </c>
      <c r="IH215" s="561">
        <v>0</v>
      </c>
      <c r="II215" s="561">
        <v>4864</v>
      </c>
      <c r="IJ215" s="561">
        <v>0</v>
      </c>
      <c r="IK215" s="561">
        <v>0</v>
      </c>
      <c r="IL215" s="561">
        <v>0</v>
      </c>
      <c r="IM215" s="561">
        <v>0</v>
      </c>
      <c r="IN215" s="561">
        <v>0</v>
      </c>
      <c r="IO215" s="561">
        <v>0</v>
      </c>
      <c r="IP215" s="561">
        <v>30</v>
      </c>
      <c r="IQ215" s="561">
        <v>0</v>
      </c>
      <c r="IR215" s="561">
        <v>0</v>
      </c>
      <c r="IS215" s="561">
        <v>-240</v>
      </c>
      <c r="IT215" s="561">
        <v>0</v>
      </c>
      <c r="IU215" s="561">
        <v>0</v>
      </c>
      <c r="IV215" s="561">
        <v>0</v>
      </c>
      <c r="IW215" s="561">
        <v>554</v>
      </c>
      <c r="IX215" s="561">
        <v>978</v>
      </c>
      <c r="IY215" s="561">
        <v>3532</v>
      </c>
      <c r="IZ215" s="561">
        <v>1819</v>
      </c>
      <c r="JA215" s="561">
        <v>0</v>
      </c>
      <c r="JB215" s="561">
        <v>0</v>
      </c>
      <c r="JC215" s="561">
        <v>4864</v>
      </c>
      <c r="JD215" s="561">
        <v>30</v>
      </c>
      <c r="JE215" s="561">
        <v>11537</v>
      </c>
      <c r="JF215" s="561">
        <v>11416</v>
      </c>
      <c r="JG215" s="561">
        <v>0</v>
      </c>
      <c r="JH215" s="561">
        <v>0</v>
      </c>
      <c r="JI215" s="561">
        <v>0</v>
      </c>
      <c r="JJ215" s="561">
        <v>0</v>
      </c>
      <c r="JK215" s="561">
        <v>2792</v>
      </c>
      <c r="JL215" s="561">
        <v>0</v>
      </c>
      <c r="JM215" s="561">
        <v>0</v>
      </c>
      <c r="JN215" s="561">
        <v>0</v>
      </c>
      <c r="JO215" s="561">
        <v>0</v>
      </c>
      <c r="JP215" s="561">
        <v>0</v>
      </c>
      <c r="JQ215" s="561">
        <v>0</v>
      </c>
      <c r="JR215" s="561">
        <v>0</v>
      </c>
      <c r="JS215" s="561">
        <v>0</v>
      </c>
      <c r="JT215" s="561">
        <v>0</v>
      </c>
      <c r="JU215" s="561">
        <v>0</v>
      </c>
      <c r="JV215" s="561">
        <v>25745</v>
      </c>
      <c r="JW215" s="561">
        <v>0</v>
      </c>
      <c r="JX215" s="561">
        <v>0</v>
      </c>
      <c r="JY215" s="561">
        <v>0</v>
      </c>
      <c r="JZ215" s="561">
        <v>0</v>
      </c>
      <c r="KA215" s="561">
        <v>0</v>
      </c>
      <c r="KB215" s="561">
        <v>0</v>
      </c>
      <c r="KC215" s="561">
        <v>0</v>
      </c>
      <c r="KD215" s="561">
        <v>0</v>
      </c>
      <c r="KE215" s="561">
        <v>0</v>
      </c>
      <c r="KF215" s="561">
        <v>0</v>
      </c>
      <c r="KG215" s="561">
        <v>25745</v>
      </c>
      <c r="KH215" s="561">
        <v>-2144</v>
      </c>
      <c r="KI215" s="561">
        <v>0</v>
      </c>
      <c r="KJ215" s="561">
        <v>0</v>
      </c>
      <c r="KK215" s="561">
        <v>0</v>
      </c>
      <c r="KL215" s="561">
        <v>-11377</v>
      </c>
      <c r="KM215" s="561">
        <v>0</v>
      </c>
      <c r="KN215" s="561">
        <v>-969</v>
      </c>
      <c r="KO215" s="561">
        <v>0</v>
      </c>
      <c r="KP215" s="561">
        <v>0</v>
      </c>
      <c r="KQ215" s="561">
        <v>0</v>
      </c>
      <c r="KR215" s="561">
        <v>11255</v>
      </c>
      <c r="KS215" s="561">
        <v>0</v>
      </c>
      <c r="KT215" s="561">
        <v>-5526</v>
      </c>
      <c r="KU215" s="561">
        <v>5729</v>
      </c>
      <c r="KV215" s="561">
        <v>0</v>
      </c>
      <c r="KW215" s="561">
        <v>0</v>
      </c>
      <c r="KX215" s="561">
        <v>0</v>
      </c>
      <c r="KY215" s="561">
        <v>0</v>
      </c>
      <c r="KZ215" s="561">
        <v>5528</v>
      </c>
      <c r="LA215" s="561">
        <v>320</v>
      </c>
      <c r="LB215" s="561">
        <v>-109</v>
      </c>
      <c r="LC215" s="561">
        <v>0</v>
      </c>
      <c r="LD215" s="561">
        <v>-3605</v>
      </c>
      <c r="LE215" s="561">
        <v>-1</v>
      </c>
      <c r="LF215" s="561">
        <v>964</v>
      </c>
      <c r="LG215" s="561">
        <v>8826</v>
      </c>
      <c r="LH215" s="561">
        <v>0</v>
      </c>
      <c r="LI215" s="561">
        <v>0</v>
      </c>
      <c r="LJ215" s="561">
        <v>0</v>
      </c>
      <c r="LK215" s="561">
        <v>0</v>
      </c>
      <c r="LL215" s="561">
        <v>26858</v>
      </c>
      <c r="LM215" s="561">
        <v>6318</v>
      </c>
      <c r="LN215" s="561">
        <v>0</v>
      </c>
      <c r="LO215" s="561">
        <v>0</v>
      </c>
      <c r="LP215" s="561">
        <v>0</v>
      </c>
      <c r="LQ215" s="561">
        <v>0</v>
      </c>
      <c r="LR215" s="561">
        <v>32386</v>
      </c>
      <c r="LS215" s="561">
        <v>6638</v>
      </c>
      <c r="LT215" s="561">
        <v>0</v>
      </c>
      <c r="LU215" s="561">
        <v>1656</v>
      </c>
      <c r="LV215" s="561">
        <v>0</v>
      </c>
      <c r="LW215" s="561">
        <v>0</v>
      </c>
      <c r="LX215" s="561">
        <v>-4659</v>
      </c>
      <c r="LY215" s="561">
        <v>2527</v>
      </c>
      <c r="LZ215" s="561">
        <v>-834</v>
      </c>
      <c r="MA215" s="561">
        <v>0</v>
      </c>
      <c r="MB215" s="561">
        <v>0</v>
      </c>
      <c r="MC215" s="561">
        <v>0</v>
      </c>
      <c r="MD215" s="561">
        <v>0</v>
      </c>
      <c r="ME215" s="561">
        <v>0</v>
      </c>
      <c r="MF215" s="561">
        <v>0</v>
      </c>
      <c r="MG215" s="561">
        <v>0</v>
      </c>
      <c r="MH215" s="561">
        <v>2360</v>
      </c>
      <c r="MI215" s="561">
        <v>2507</v>
      </c>
      <c r="MJ215" s="561">
        <v>4867</v>
      </c>
      <c r="MK215" s="561">
        <v>0</v>
      </c>
      <c r="ML215" s="561">
        <v>0</v>
      </c>
      <c r="MM215" s="561">
        <v>32386</v>
      </c>
      <c r="MN215" s="561">
        <v>0</v>
      </c>
      <c r="MO215" s="561">
        <v>0</v>
      </c>
      <c r="MP215" s="561">
        <v>0</v>
      </c>
      <c r="MQ215" s="561">
        <v>0</v>
      </c>
      <c r="MR215" s="561">
        <v>-240</v>
      </c>
      <c r="MS215" s="561">
        <v>0</v>
      </c>
      <c r="MT215" s="561">
        <v>0</v>
      </c>
      <c r="MU215" s="561">
        <v>0</v>
      </c>
      <c r="MV215" s="561">
        <v>554</v>
      </c>
      <c r="MW215" s="561">
        <v>978</v>
      </c>
      <c r="MX215" s="561">
        <v>3532</v>
      </c>
      <c r="MY215" s="561">
        <v>1819</v>
      </c>
      <c r="MZ215" s="561">
        <v>0</v>
      </c>
      <c r="NA215" s="561">
        <v>0</v>
      </c>
      <c r="NB215" s="561">
        <v>4864</v>
      </c>
      <c r="NC215" s="561">
        <v>30</v>
      </c>
      <c r="ND215" s="561">
        <v>11537</v>
      </c>
      <c r="NE215" s="561">
        <v>0</v>
      </c>
      <c r="NF215" s="561">
        <v>0</v>
      </c>
      <c r="NG215" s="561">
        <v>0</v>
      </c>
      <c r="NH215" s="561">
        <v>0</v>
      </c>
      <c r="NI215" s="561">
        <v>0</v>
      </c>
      <c r="NJ215" s="561">
        <v>0</v>
      </c>
      <c r="NK215" s="561">
        <v>0</v>
      </c>
      <c r="NL215" s="561">
        <v>0</v>
      </c>
      <c r="NM215" s="561">
        <v>0</v>
      </c>
      <c r="NN215" s="561">
        <v>0</v>
      </c>
      <c r="NO215" s="561">
        <v>0</v>
      </c>
      <c r="NP215" s="561">
        <v>0</v>
      </c>
      <c r="NQ215" s="561">
        <v>0</v>
      </c>
      <c r="NR215" s="561">
        <v>0</v>
      </c>
      <c r="NS215" s="561">
        <v>0</v>
      </c>
      <c r="NT215" s="561">
        <v>0</v>
      </c>
      <c r="NU215" s="561">
        <v>0</v>
      </c>
      <c r="NV215" s="561">
        <v>0</v>
      </c>
      <c r="NW215" s="561">
        <v>0</v>
      </c>
      <c r="NX215" s="561">
        <v>0</v>
      </c>
      <c r="NY215" s="561">
        <v>0</v>
      </c>
      <c r="NZ215" s="561">
        <v>0</v>
      </c>
      <c r="OA215" s="561">
        <v>0</v>
      </c>
      <c r="OB215" s="561">
        <v>0</v>
      </c>
      <c r="OC215" s="561">
        <v>0</v>
      </c>
      <c r="OD215" s="561">
        <v>0</v>
      </c>
      <c r="OE215" s="561">
        <v>0</v>
      </c>
      <c r="OF215" s="561">
        <v>0</v>
      </c>
      <c r="OG215" s="561">
        <v>0</v>
      </c>
      <c r="OH215" s="561">
        <v>0</v>
      </c>
      <c r="OI215" s="561">
        <v>0</v>
      </c>
      <c r="OJ215" s="561">
        <v>0</v>
      </c>
      <c r="OK215" s="561">
        <v>0</v>
      </c>
      <c r="OL215" s="561">
        <v>0</v>
      </c>
      <c r="OM215" s="561">
        <v>0</v>
      </c>
      <c r="ON215" s="561">
        <v>0</v>
      </c>
      <c r="OO215" s="561">
        <v>0</v>
      </c>
      <c r="OP215" s="561">
        <v>0</v>
      </c>
      <c r="OQ215" s="561">
        <v>0</v>
      </c>
      <c r="OR215" s="561">
        <v>0</v>
      </c>
      <c r="OS215" s="561">
        <v>0</v>
      </c>
      <c r="OT215" s="561">
        <v>0</v>
      </c>
      <c r="OU215" s="561">
        <v>0</v>
      </c>
      <c r="OV215" s="561">
        <v>0</v>
      </c>
      <c r="OW215" s="561">
        <v>0</v>
      </c>
      <c r="OX215" s="561">
        <v>0</v>
      </c>
      <c r="OY215" s="561">
        <v>0</v>
      </c>
      <c r="OZ215" s="561">
        <v>0</v>
      </c>
      <c r="PA215" s="561">
        <v>0</v>
      </c>
      <c r="PB215" s="561">
        <v>0</v>
      </c>
      <c r="PC215" s="561">
        <v>0</v>
      </c>
      <c r="PD215" s="561">
        <v>0</v>
      </c>
      <c r="PE215" s="561">
        <v>0</v>
      </c>
      <c r="PF215" s="561">
        <v>0</v>
      </c>
      <c r="PG215" s="561">
        <v>0</v>
      </c>
      <c r="PH215" s="561">
        <v>0</v>
      </c>
      <c r="PI215" s="561">
        <v>0</v>
      </c>
      <c r="PJ215" s="561">
        <v>0</v>
      </c>
    </row>
    <row r="216" spans="1:426" ht="14" x14ac:dyDescent="0.3">
      <c r="A216" t="s">
        <v>3091</v>
      </c>
      <c r="B216" t="s">
        <v>3092</v>
      </c>
      <c r="C216" t="s">
        <v>3093</v>
      </c>
      <c r="E216" t="s">
        <v>379</v>
      </c>
      <c r="F216" s="561">
        <v>60477</v>
      </c>
      <c r="G216" s="561">
        <v>204426</v>
      </c>
      <c r="H216" s="561">
        <v>63488</v>
      </c>
      <c r="I216" s="561">
        <v>92722</v>
      </c>
      <c r="J216" s="561">
        <v>21240</v>
      </c>
      <c r="K216" s="561">
        <v>52906</v>
      </c>
      <c r="L216" s="561">
        <v>495259</v>
      </c>
      <c r="M216" s="561">
        <v>268</v>
      </c>
      <c r="N216" s="561">
        <v>2607</v>
      </c>
      <c r="O216" s="561">
        <v>400</v>
      </c>
      <c r="P216" s="561">
        <v>-283</v>
      </c>
      <c r="Q216" s="561">
        <v>-1137</v>
      </c>
      <c r="R216" s="561">
        <v>321</v>
      </c>
      <c r="S216" s="561">
        <v>1460</v>
      </c>
      <c r="T216" s="561">
        <v>5841</v>
      </c>
      <c r="U216" s="561">
        <v>984</v>
      </c>
      <c r="V216" s="561">
        <v>7023</v>
      </c>
      <c r="W216" s="561">
        <v>0</v>
      </c>
      <c r="X216" s="561">
        <v>-4707</v>
      </c>
      <c r="Y216" s="561">
        <v>984</v>
      </c>
      <c r="Z216" s="561">
        <v>624</v>
      </c>
      <c r="AA216" s="561">
        <v>-11638</v>
      </c>
      <c r="AB216" s="561">
        <v>-7842</v>
      </c>
      <c r="AC216" s="561">
        <v>0</v>
      </c>
      <c r="AD216" s="561">
        <v>1048</v>
      </c>
      <c r="AE216" s="561">
        <v>0</v>
      </c>
      <c r="AF216" s="561">
        <v>0</v>
      </c>
      <c r="AG216" s="561">
        <v>0</v>
      </c>
      <c r="AH216" s="561">
        <v>0</v>
      </c>
      <c r="AI216" s="561">
        <v>0</v>
      </c>
      <c r="AJ216" s="561">
        <v>-4315</v>
      </c>
      <c r="AK216" s="561">
        <v>542</v>
      </c>
      <c r="AL216" s="561">
        <v>0</v>
      </c>
      <c r="AM216" s="561">
        <v>0</v>
      </c>
      <c r="AN216" s="561">
        <v>3</v>
      </c>
      <c r="AO216" s="561">
        <v>13</v>
      </c>
      <c r="AP216" s="561">
        <v>763</v>
      </c>
      <c r="AQ216" s="561">
        <v>987</v>
      </c>
      <c r="AR216" s="561">
        <v>3949</v>
      </c>
      <c r="AS216" s="561">
        <v>14750</v>
      </c>
      <c r="AT216" s="561">
        <v>9426</v>
      </c>
      <c r="AU216" s="561">
        <v>0</v>
      </c>
      <c r="AV216" s="561">
        <v>0</v>
      </c>
      <c r="AW216" s="561">
        <v>0</v>
      </c>
      <c r="AX216" s="561">
        <v>8543</v>
      </c>
      <c r="AY216" s="561">
        <v>118111</v>
      </c>
      <c r="AZ216" s="561">
        <v>0</v>
      </c>
      <c r="BA216" s="561">
        <v>19241</v>
      </c>
      <c r="BB216" s="561">
        <v>6395</v>
      </c>
      <c r="BC216" s="561">
        <v>43729</v>
      </c>
      <c r="BD216" s="561">
        <v>16</v>
      </c>
      <c r="BE216" s="561">
        <v>5026</v>
      </c>
      <c r="BF216" s="561">
        <v>201061</v>
      </c>
      <c r="BG216" s="561">
        <v>3738</v>
      </c>
      <c r="BH216" s="561">
        <v>22817</v>
      </c>
      <c r="BI216" s="561">
        <v>59000</v>
      </c>
      <c r="BJ216" s="561">
        <v>95</v>
      </c>
      <c r="BK216" s="561">
        <v>93</v>
      </c>
      <c r="BL216" s="561">
        <v>2280</v>
      </c>
      <c r="BM216" s="561">
        <v>2964</v>
      </c>
      <c r="BN216" s="561">
        <v>91627</v>
      </c>
      <c r="BO216" s="561">
        <v>7433</v>
      </c>
      <c r="BP216" s="561">
        <v>31344</v>
      </c>
      <c r="BQ216" s="561">
        <v>9231</v>
      </c>
      <c r="BR216" s="561">
        <v>379</v>
      </c>
      <c r="BS216" s="561">
        <v>4678</v>
      </c>
      <c r="BT216" s="561">
        <v>730</v>
      </c>
      <c r="BU216" s="561">
        <v>1750</v>
      </c>
      <c r="BV216" s="561">
        <v>4733</v>
      </c>
      <c r="BW216" s="561">
        <v>34079</v>
      </c>
      <c r="BX216" s="561">
        <v>1894</v>
      </c>
      <c r="BY216" s="561">
        <v>12872</v>
      </c>
      <c r="BZ216" s="561">
        <v>287999</v>
      </c>
      <c r="CA216" s="561">
        <v>12029</v>
      </c>
      <c r="CB216" s="561">
        <v>3840</v>
      </c>
      <c r="CC216" s="561">
        <v>3548</v>
      </c>
      <c r="CD216" s="561">
        <v>1758</v>
      </c>
      <c r="CE216" s="561">
        <v>467</v>
      </c>
      <c r="CF216" s="561">
        <v>373</v>
      </c>
      <c r="CG216" s="561">
        <v>793</v>
      </c>
      <c r="CH216" s="561">
        <v>175</v>
      </c>
      <c r="CI216" s="561">
        <v>649</v>
      </c>
      <c r="CJ216" s="561">
        <v>0</v>
      </c>
      <c r="CK216" s="561">
        <v>953</v>
      </c>
      <c r="CL216" s="561">
        <v>513</v>
      </c>
      <c r="CM216" s="561">
        <v>7815</v>
      </c>
      <c r="CN216" s="561">
        <v>7161</v>
      </c>
      <c r="CO216" s="561">
        <v>80</v>
      </c>
      <c r="CP216" s="561">
        <v>70</v>
      </c>
      <c r="CQ216" s="561">
        <v>659</v>
      </c>
      <c r="CR216" s="561">
        <v>1483</v>
      </c>
      <c r="CS216" s="561">
        <v>0</v>
      </c>
      <c r="CT216" s="561">
        <v>4397</v>
      </c>
      <c r="CU216" s="561">
        <v>9792</v>
      </c>
      <c r="CV216" s="561">
        <v>2448</v>
      </c>
      <c r="CW216" s="561">
        <v>0</v>
      </c>
      <c r="CX216" s="561">
        <v>74</v>
      </c>
      <c r="CY216" s="561">
        <v>8765</v>
      </c>
      <c r="CZ216" s="561">
        <v>55813</v>
      </c>
      <c r="DA216" s="561">
        <v>111</v>
      </c>
      <c r="DB216" s="561">
        <v>729</v>
      </c>
      <c r="DC216" s="561">
        <v>0</v>
      </c>
      <c r="DD216" s="561">
        <v>439</v>
      </c>
      <c r="DE216" s="561">
        <v>0</v>
      </c>
      <c r="DF216" s="561">
        <v>0</v>
      </c>
      <c r="DG216" s="561">
        <v>789</v>
      </c>
      <c r="DH216" s="561">
        <v>2603</v>
      </c>
      <c r="DI216" s="561">
        <v>0</v>
      </c>
      <c r="DJ216" s="561">
        <v>0</v>
      </c>
      <c r="DK216" s="561">
        <v>492</v>
      </c>
      <c r="DL216" s="561">
        <v>775</v>
      </c>
      <c r="DM216" s="561">
        <v>16095</v>
      </c>
      <c r="DN216" s="561">
        <v>3382</v>
      </c>
      <c r="DO216" s="561">
        <v>1523</v>
      </c>
      <c r="DP216" s="561">
        <v>4350</v>
      </c>
      <c r="DQ216" s="561">
        <v>0</v>
      </c>
      <c r="DR216" s="561">
        <v>0</v>
      </c>
      <c r="DS216" s="561">
        <v>29624</v>
      </c>
      <c r="DT216" s="561">
        <v>3173</v>
      </c>
      <c r="DU216" s="561">
        <v>58922</v>
      </c>
      <c r="DV216" s="561">
        <v>2595</v>
      </c>
      <c r="DW216" s="561">
        <v>0</v>
      </c>
      <c r="DX216" s="561">
        <v>29</v>
      </c>
      <c r="DY216" s="561">
        <v>8301</v>
      </c>
      <c r="DZ216" s="561">
        <v>0</v>
      </c>
      <c r="EA216" s="561">
        <v>3420</v>
      </c>
      <c r="EB216" s="561">
        <v>0</v>
      </c>
      <c r="EC216" s="561">
        <v>76362</v>
      </c>
      <c r="ED216" s="561">
        <v>1110</v>
      </c>
      <c r="EE216" s="561">
        <v>73733</v>
      </c>
      <c r="EF216" s="561">
        <v>357</v>
      </c>
      <c r="EG216" s="561">
        <v>1594</v>
      </c>
      <c r="EH216" s="561">
        <v>271</v>
      </c>
      <c r="EI216" s="561">
        <v>23374</v>
      </c>
      <c r="EJ216" s="561">
        <v>0</v>
      </c>
      <c r="EK216" s="561">
        <v>1115</v>
      </c>
      <c r="EL216" s="561">
        <v>0</v>
      </c>
      <c r="EM216" s="561">
        <v>0</v>
      </c>
      <c r="EN216" s="561">
        <v>51708</v>
      </c>
      <c r="EO216" s="561">
        <v>24274</v>
      </c>
      <c r="EP216" s="561">
        <v>0</v>
      </c>
      <c r="EQ216" s="561">
        <v>299</v>
      </c>
      <c r="ER216" s="561">
        <v>0</v>
      </c>
      <c r="ES216" s="561" t="s">
        <v>4565</v>
      </c>
      <c r="ET216" s="561">
        <v>7696</v>
      </c>
      <c r="EU216" s="561">
        <v>11793</v>
      </c>
      <c r="EV216" s="561">
        <v>12</v>
      </c>
      <c r="EW216" s="561">
        <v>2695</v>
      </c>
      <c r="EX216" s="561">
        <v>20132</v>
      </c>
      <c r="EY216" s="561">
        <v>558</v>
      </c>
      <c r="EZ216" s="561">
        <v>-18723</v>
      </c>
      <c r="FA216" s="561">
        <v>87263</v>
      </c>
      <c r="FB216" s="561">
        <v>-84</v>
      </c>
      <c r="FC216" s="561">
        <v>4814</v>
      </c>
      <c r="FD216" s="561">
        <v>391</v>
      </c>
      <c r="FE216" s="561">
        <v>6795</v>
      </c>
      <c r="FF216" s="561">
        <v>5104</v>
      </c>
      <c r="FG216" s="561">
        <v>0</v>
      </c>
      <c r="FH216" s="561">
        <v>0</v>
      </c>
      <c r="FI216" s="561">
        <v>452</v>
      </c>
      <c r="FJ216" s="561">
        <v>5303</v>
      </c>
      <c r="FK216" s="561">
        <v>4218</v>
      </c>
      <c r="FL216" s="561">
        <v>-39</v>
      </c>
      <c r="FM216" s="561">
        <v>210</v>
      </c>
      <c r="FN216" s="561">
        <v>11016</v>
      </c>
      <c r="FO216" s="561">
        <v>38180</v>
      </c>
      <c r="FP216" s="561">
        <v>281</v>
      </c>
      <c r="FQ216" s="561">
        <v>-436</v>
      </c>
      <c r="FR216" s="561">
        <v>1205</v>
      </c>
      <c r="FS216" s="561">
        <v>0</v>
      </c>
      <c r="FT216" s="561">
        <v>901</v>
      </c>
      <c r="FU216" s="561">
        <v>2651</v>
      </c>
      <c r="FV216" s="561">
        <v>755</v>
      </c>
      <c r="FW216" s="561">
        <v>901</v>
      </c>
      <c r="FX216" s="561">
        <v>0</v>
      </c>
      <c r="FY216" s="561">
        <v>96</v>
      </c>
      <c r="FZ216" s="561">
        <v>274</v>
      </c>
      <c r="GA216" s="561">
        <v>0</v>
      </c>
      <c r="GB216" s="561">
        <v>42</v>
      </c>
      <c r="GC216" s="561">
        <v>2964</v>
      </c>
      <c r="GD216" s="561">
        <v>3569</v>
      </c>
      <c r="GE216" s="561">
        <v>428</v>
      </c>
      <c r="GF216" s="561">
        <v>897</v>
      </c>
      <c r="GG216" s="561">
        <v>221</v>
      </c>
      <c r="GH216" s="561">
        <v>0</v>
      </c>
      <c r="GI216" s="561">
        <v>0</v>
      </c>
      <c r="GJ216" s="561">
        <v>0</v>
      </c>
      <c r="GK216" s="561">
        <v>0</v>
      </c>
      <c r="GL216" s="561">
        <v>10152</v>
      </c>
      <c r="GM216" s="561">
        <v>7641</v>
      </c>
      <c r="GN216" s="561">
        <v>4586</v>
      </c>
      <c r="GO216" s="561">
        <v>181</v>
      </c>
      <c r="GP216" s="561">
        <v>11550</v>
      </c>
      <c r="GQ216" s="561">
        <v>0</v>
      </c>
      <c r="GR216" s="561">
        <v>81</v>
      </c>
      <c r="GS216" s="561">
        <v>48659</v>
      </c>
      <c r="GT216" s="561">
        <v>377</v>
      </c>
      <c r="GU216" s="561">
        <v>455</v>
      </c>
      <c r="GV216" s="561">
        <v>181</v>
      </c>
      <c r="GW216" s="561">
        <v>0</v>
      </c>
      <c r="GX216" s="561">
        <v>425</v>
      </c>
      <c r="GY216" s="561">
        <v>542</v>
      </c>
      <c r="GZ216" s="561">
        <v>17935</v>
      </c>
      <c r="HA216" s="561">
        <v>1385</v>
      </c>
      <c r="HB216" s="561">
        <v>-1</v>
      </c>
      <c r="HC216" s="561">
        <v>6601</v>
      </c>
      <c r="HD216" s="561">
        <v>27523</v>
      </c>
      <c r="HE216" s="561">
        <v>75</v>
      </c>
      <c r="HF216" s="561">
        <v>114362</v>
      </c>
      <c r="HG216" s="561">
        <v>734</v>
      </c>
      <c r="HH216" s="561">
        <v>0</v>
      </c>
      <c r="HI216" s="561">
        <v>0</v>
      </c>
      <c r="HJ216" s="561">
        <v>0</v>
      </c>
      <c r="HK216" s="561">
        <v>0</v>
      </c>
      <c r="HL216" s="561">
        <v>0</v>
      </c>
      <c r="HM216" s="561">
        <v>0</v>
      </c>
      <c r="HN216" s="561">
        <v>0</v>
      </c>
      <c r="HO216" s="561">
        <v>7598</v>
      </c>
      <c r="HP216" s="561">
        <v>3309</v>
      </c>
      <c r="HQ216" s="561">
        <v>0</v>
      </c>
      <c r="HR216" s="561">
        <v>0</v>
      </c>
      <c r="HS216" s="561">
        <v>1252</v>
      </c>
      <c r="HT216" s="561">
        <v>478</v>
      </c>
      <c r="HU216" s="561">
        <v>-44</v>
      </c>
      <c r="HV216" s="561">
        <v>-416</v>
      </c>
      <c r="HW216" s="561">
        <v>1522</v>
      </c>
      <c r="HX216" s="561">
        <v>2267</v>
      </c>
      <c r="HY216" s="561">
        <v>111</v>
      </c>
      <c r="HZ216" s="561">
        <v>-26</v>
      </c>
      <c r="IA216" s="561">
        <v>14865</v>
      </c>
      <c r="IB216" s="561">
        <v>0</v>
      </c>
      <c r="IC216" s="561">
        <v>3167</v>
      </c>
      <c r="ID216" s="561">
        <v>37</v>
      </c>
      <c r="IE216" s="561">
        <v>4023</v>
      </c>
      <c r="IF216" s="561">
        <v>0</v>
      </c>
      <c r="IG216" s="561">
        <v>2</v>
      </c>
      <c r="IH216" s="561">
        <v>223</v>
      </c>
      <c r="II216" s="561">
        <v>38368</v>
      </c>
      <c r="IJ216" s="561">
        <v>5925</v>
      </c>
      <c r="IK216" s="561">
        <v>0</v>
      </c>
      <c r="IL216" s="561">
        <v>90226</v>
      </c>
      <c r="IM216" s="561">
        <v>0</v>
      </c>
      <c r="IN216" s="561">
        <v>11487</v>
      </c>
      <c r="IO216" s="561">
        <v>41185</v>
      </c>
      <c r="IP216" s="561">
        <v>0</v>
      </c>
      <c r="IQ216" s="561">
        <v>0</v>
      </c>
      <c r="IR216" s="561">
        <v>495259</v>
      </c>
      <c r="IS216" s="561">
        <v>-4315</v>
      </c>
      <c r="IT216" s="561">
        <v>201061</v>
      </c>
      <c r="IU216" s="561">
        <v>287999</v>
      </c>
      <c r="IV216" s="561">
        <v>55813</v>
      </c>
      <c r="IW216" s="561">
        <v>76362</v>
      </c>
      <c r="IX216" s="561">
        <v>38180</v>
      </c>
      <c r="IY216" s="561">
        <v>48659</v>
      </c>
      <c r="IZ216" s="561">
        <v>27523</v>
      </c>
      <c r="JA216" s="561">
        <v>0</v>
      </c>
      <c r="JB216" s="561">
        <v>0</v>
      </c>
      <c r="JC216" s="561">
        <v>38368</v>
      </c>
      <c r="JD216" s="561">
        <v>0</v>
      </c>
      <c r="JE216" s="561">
        <v>1264909</v>
      </c>
      <c r="JF216" s="561">
        <v>122277</v>
      </c>
      <c r="JG216" s="561">
        <v>12235</v>
      </c>
      <c r="JH216" s="561">
        <v>26489</v>
      </c>
      <c r="JI216" s="561">
        <v>0</v>
      </c>
      <c r="JJ216" s="561">
        <v>0</v>
      </c>
      <c r="JK216" s="561">
        <v>0</v>
      </c>
      <c r="JL216" s="561">
        <v>40289</v>
      </c>
      <c r="JM216" s="561">
        <v>22705</v>
      </c>
      <c r="JN216" s="561">
        <v>0</v>
      </c>
      <c r="JO216" s="561">
        <v>1896</v>
      </c>
      <c r="JP216" s="561">
        <v>0</v>
      </c>
      <c r="JQ216" s="561">
        <v>0</v>
      </c>
      <c r="JR216" s="561">
        <v>-170</v>
      </c>
      <c r="JS216" s="561">
        <v>0</v>
      </c>
      <c r="JT216" s="561">
        <v>481</v>
      </c>
      <c r="JU216" s="561">
        <v>0</v>
      </c>
      <c r="JV216" s="561">
        <v>1491111</v>
      </c>
      <c r="JW216" s="561">
        <v>269</v>
      </c>
      <c r="JX216" s="561">
        <v>3509</v>
      </c>
      <c r="JY216" s="561">
        <v>0</v>
      </c>
      <c r="JZ216" s="561">
        <v>0</v>
      </c>
      <c r="KA216" s="561">
        <v>0</v>
      </c>
      <c r="KB216" s="561">
        <v>8876</v>
      </c>
      <c r="KC216" s="561">
        <v>44377</v>
      </c>
      <c r="KD216" s="561">
        <v>0</v>
      </c>
      <c r="KE216" s="561">
        <v>56874</v>
      </c>
      <c r="KF216" s="561">
        <v>-1580</v>
      </c>
      <c r="KG216" s="561">
        <v>1603436</v>
      </c>
      <c r="KH216" s="561">
        <v>-79378</v>
      </c>
      <c r="KI216" s="561">
        <v>4472</v>
      </c>
      <c r="KJ216" s="561">
        <v>410</v>
      </c>
      <c r="KK216" s="561">
        <v>0</v>
      </c>
      <c r="KL216" s="561">
        <v>-179277</v>
      </c>
      <c r="KM216" s="561">
        <v>0</v>
      </c>
      <c r="KN216" s="561">
        <v>0</v>
      </c>
      <c r="KO216" s="561">
        <v>331</v>
      </c>
      <c r="KP216" s="561">
        <v>0</v>
      </c>
      <c r="KQ216" s="561">
        <v>-22320</v>
      </c>
      <c r="KR216" s="561">
        <v>1327674</v>
      </c>
      <c r="KS216" s="561">
        <v>0</v>
      </c>
      <c r="KT216" s="561">
        <v>-629145</v>
      </c>
      <c r="KU216" s="561">
        <v>698529</v>
      </c>
      <c r="KV216" s="561">
        <v>0</v>
      </c>
      <c r="KW216" s="561">
        <v>925</v>
      </c>
      <c r="KX216" s="561">
        <v>0</v>
      </c>
      <c r="KY216" s="561">
        <v>-528</v>
      </c>
      <c r="KZ216" s="561">
        <v>-21724</v>
      </c>
      <c r="LA216" s="561">
        <v>-10538</v>
      </c>
      <c r="LB216" s="561">
        <v>0</v>
      </c>
      <c r="LC216" s="561">
        <v>0</v>
      </c>
      <c r="LD216" s="561">
        <v>-435631</v>
      </c>
      <c r="LE216" s="561">
        <v>-1774</v>
      </c>
      <c r="LF216" s="561">
        <v>0</v>
      </c>
      <c r="LG216" s="561">
        <v>229259</v>
      </c>
      <c r="LH216" s="561">
        <v>15240</v>
      </c>
      <c r="LI216" s="561">
        <v>-7803</v>
      </c>
      <c r="LJ216" s="561">
        <v>0</v>
      </c>
      <c r="LK216" s="561">
        <v>528</v>
      </c>
      <c r="LL216" s="561">
        <v>316609</v>
      </c>
      <c r="LM216" s="561">
        <v>19870</v>
      </c>
      <c r="LN216" s="561">
        <v>16165</v>
      </c>
      <c r="LO216" s="561">
        <v>-30123</v>
      </c>
      <c r="LP216" s="561">
        <v>0</v>
      </c>
      <c r="LQ216" s="561">
        <v>0</v>
      </c>
      <c r="LR216" s="561">
        <v>294885</v>
      </c>
      <c r="LS216" s="561">
        <v>9332</v>
      </c>
      <c r="LT216" s="561">
        <v>0</v>
      </c>
      <c r="LU216" s="561">
        <v>91069</v>
      </c>
      <c r="LV216" s="561">
        <v>163</v>
      </c>
      <c r="LW216" s="561">
        <v>22620</v>
      </c>
      <c r="LX216" s="561">
        <v>-95213</v>
      </c>
      <c r="LY216" s="561">
        <v>39985</v>
      </c>
      <c r="LZ216" s="561">
        <v>52741</v>
      </c>
      <c r="MA216" s="561">
        <v>0</v>
      </c>
      <c r="MB216" s="561">
        <v>0</v>
      </c>
      <c r="MC216" s="561">
        <v>100444</v>
      </c>
      <c r="MD216" s="561">
        <v>119167</v>
      </c>
      <c r="ME216" s="561">
        <v>-18723</v>
      </c>
      <c r="MF216" s="561">
        <v>87263</v>
      </c>
      <c r="MG216" s="561">
        <v>68540</v>
      </c>
      <c r="MH216" s="561">
        <v>16858</v>
      </c>
      <c r="MI216" s="561">
        <v>29874</v>
      </c>
      <c r="MJ216" s="561">
        <v>46732</v>
      </c>
      <c r="MK216" s="561">
        <v>0</v>
      </c>
      <c r="ML216" s="561">
        <v>11207</v>
      </c>
      <c r="MM216" s="561">
        <v>153631</v>
      </c>
      <c r="MN216" s="561">
        <v>44781</v>
      </c>
      <c r="MO216" s="561">
        <v>73783</v>
      </c>
      <c r="MP216" s="561">
        <v>11483</v>
      </c>
      <c r="MQ216" s="561">
        <v>495259</v>
      </c>
      <c r="MR216" s="561">
        <v>-4315</v>
      </c>
      <c r="MS216" s="561">
        <v>201061</v>
      </c>
      <c r="MT216" s="561">
        <v>287999</v>
      </c>
      <c r="MU216" s="561">
        <v>55813</v>
      </c>
      <c r="MV216" s="561">
        <v>76362</v>
      </c>
      <c r="MW216" s="561">
        <v>38180</v>
      </c>
      <c r="MX216" s="561">
        <v>48659</v>
      </c>
      <c r="MY216" s="561">
        <v>27523</v>
      </c>
      <c r="MZ216" s="561">
        <v>0</v>
      </c>
      <c r="NA216" s="561">
        <v>0</v>
      </c>
      <c r="NB216" s="561">
        <v>38368</v>
      </c>
      <c r="NC216" s="561">
        <v>0</v>
      </c>
      <c r="ND216" s="561">
        <v>1264909</v>
      </c>
      <c r="NE216" s="561">
        <v>0</v>
      </c>
      <c r="NF216" s="561">
        <v>0</v>
      </c>
      <c r="NG216" s="561">
        <v>0</v>
      </c>
      <c r="NH216" s="561">
        <v>0</v>
      </c>
      <c r="NI216" s="561">
        <v>0</v>
      </c>
      <c r="NJ216" s="561">
        <v>0</v>
      </c>
      <c r="NK216" s="561">
        <v>0</v>
      </c>
      <c r="NL216" s="561">
        <v>0</v>
      </c>
      <c r="NM216" s="561">
        <v>0</v>
      </c>
      <c r="NN216" s="561">
        <v>0</v>
      </c>
      <c r="NO216" s="561">
        <v>0</v>
      </c>
      <c r="NP216" s="561">
        <v>0</v>
      </c>
      <c r="NQ216" s="561">
        <v>0</v>
      </c>
      <c r="NR216" s="561">
        <v>0</v>
      </c>
      <c r="NS216" s="561">
        <v>0</v>
      </c>
      <c r="NT216" s="561">
        <v>0</v>
      </c>
      <c r="NU216" s="561">
        <v>0</v>
      </c>
      <c r="NV216" s="561">
        <v>-170</v>
      </c>
      <c r="NW216" s="561">
        <v>-170</v>
      </c>
      <c r="NX216" s="561">
        <v>170</v>
      </c>
      <c r="NY216" s="561">
        <v>0</v>
      </c>
      <c r="NZ216" s="561">
        <v>0</v>
      </c>
      <c r="OA216" s="561">
        <v>0</v>
      </c>
      <c r="OB216" s="561">
        <v>0</v>
      </c>
      <c r="OC216" s="561">
        <v>0</v>
      </c>
      <c r="OD216" s="561">
        <v>0</v>
      </c>
      <c r="OE216" s="561">
        <v>0</v>
      </c>
      <c r="OF216" s="561">
        <v>0</v>
      </c>
      <c r="OG216" s="561">
        <v>0</v>
      </c>
      <c r="OH216" s="561">
        <v>0</v>
      </c>
      <c r="OI216" s="561">
        <v>0</v>
      </c>
      <c r="OJ216" s="561">
        <v>0</v>
      </c>
      <c r="OK216" s="561">
        <v>0</v>
      </c>
      <c r="OL216" s="561">
        <v>0</v>
      </c>
      <c r="OM216" s="561">
        <v>0</v>
      </c>
      <c r="ON216" s="561">
        <v>0</v>
      </c>
      <c r="OO216" s="561">
        <v>0</v>
      </c>
      <c r="OP216" s="561">
        <v>0</v>
      </c>
      <c r="OQ216" s="561">
        <v>0</v>
      </c>
      <c r="OR216" s="561">
        <v>0</v>
      </c>
      <c r="OS216" s="561">
        <v>0</v>
      </c>
      <c r="OT216" s="561">
        <v>0</v>
      </c>
      <c r="OU216" s="561">
        <v>0</v>
      </c>
      <c r="OV216" s="561">
        <v>0</v>
      </c>
      <c r="OW216" s="561">
        <v>0</v>
      </c>
      <c r="OX216" s="561">
        <v>0</v>
      </c>
      <c r="OY216" s="561">
        <v>170</v>
      </c>
      <c r="OZ216" s="561">
        <v>0</v>
      </c>
      <c r="PA216" s="561">
        <v>0</v>
      </c>
      <c r="PB216" s="561">
        <v>0</v>
      </c>
      <c r="PC216" s="561">
        <v>0</v>
      </c>
      <c r="PD216" s="561">
        <v>170</v>
      </c>
      <c r="PE216" s="561">
        <v>0</v>
      </c>
      <c r="PF216" s="561">
        <v>0</v>
      </c>
      <c r="PG216" s="561">
        <v>0</v>
      </c>
      <c r="PH216" s="561">
        <v>0</v>
      </c>
      <c r="PI216" s="561">
        <v>0</v>
      </c>
      <c r="PJ216" s="561">
        <v>0</v>
      </c>
    </row>
    <row r="217" spans="1:426" ht="14" x14ac:dyDescent="0.3">
      <c r="A217" t="s">
        <v>3094</v>
      </c>
      <c r="B217" t="s">
        <v>3095</v>
      </c>
      <c r="C217" t="s">
        <v>3096</v>
      </c>
      <c r="E217" t="s">
        <v>384</v>
      </c>
      <c r="F217" s="561">
        <v>0</v>
      </c>
      <c r="G217" s="561">
        <v>0</v>
      </c>
      <c r="H217" s="561">
        <v>0</v>
      </c>
      <c r="I217" s="561">
        <v>0</v>
      </c>
      <c r="J217" s="561">
        <v>0</v>
      </c>
      <c r="K217" s="561">
        <v>0</v>
      </c>
      <c r="L217" s="561">
        <v>0</v>
      </c>
      <c r="M217" s="561">
        <v>0</v>
      </c>
      <c r="N217" s="561">
        <v>0</v>
      </c>
      <c r="O217" s="561">
        <v>0</v>
      </c>
      <c r="P217" s="561">
        <v>0</v>
      </c>
      <c r="Q217" s="561">
        <v>0</v>
      </c>
      <c r="R217" s="561">
        <v>0</v>
      </c>
      <c r="S217" s="561">
        <v>0</v>
      </c>
      <c r="T217" s="561">
        <v>0</v>
      </c>
      <c r="U217" s="561">
        <v>0</v>
      </c>
      <c r="V217" s="561">
        <v>0</v>
      </c>
      <c r="W217" s="561">
        <v>0</v>
      </c>
      <c r="X217" s="561">
        <v>0</v>
      </c>
      <c r="Y217" s="561">
        <v>0</v>
      </c>
      <c r="Z217" s="561">
        <v>25</v>
      </c>
      <c r="AA217" s="561">
        <v>0</v>
      </c>
      <c r="AB217" s="561">
        <v>90</v>
      </c>
      <c r="AC217" s="561">
        <v>0</v>
      </c>
      <c r="AD217" s="561">
        <v>0</v>
      </c>
      <c r="AE217" s="561">
        <v>0</v>
      </c>
      <c r="AF217" s="561">
        <v>0</v>
      </c>
      <c r="AG217" s="561">
        <v>0</v>
      </c>
      <c r="AH217" s="561">
        <v>190</v>
      </c>
      <c r="AI217" s="561">
        <v>0</v>
      </c>
      <c r="AJ217" s="561">
        <v>305</v>
      </c>
      <c r="AK217" s="561">
        <v>0</v>
      </c>
      <c r="AL217" s="561">
        <v>0</v>
      </c>
      <c r="AM217" s="561">
        <v>0</v>
      </c>
      <c r="AN217" s="561">
        <v>0</v>
      </c>
      <c r="AO217" s="561">
        <v>0</v>
      </c>
      <c r="AP217" s="561">
        <v>0</v>
      </c>
      <c r="AQ217" s="561">
        <v>0</v>
      </c>
      <c r="AR217" s="561">
        <v>0</v>
      </c>
      <c r="AS217" s="561">
        <v>0</v>
      </c>
      <c r="AT217" s="561">
        <v>0</v>
      </c>
      <c r="AU217" s="561">
        <v>0</v>
      </c>
      <c r="AV217" s="561">
        <v>0</v>
      </c>
      <c r="AW217" s="561">
        <v>0</v>
      </c>
      <c r="AX217" s="561">
        <v>0</v>
      </c>
      <c r="AY217" s="561">
        <v>0</v>
      </c>
      <c r="AZ217" s="561">
        <v>0</v>
      </c>
      <c r="BA217" s="561">
        <v>0</v>
      </c>
      <c r="BB217" s="561">
        <v>0</v>
      </c>
      <c r="BC217" s="561">
        <v>0</v>
      </c>
      <c r="BD217" s="561">
        <v>0</v>
      </c>
      <c r="BE217" s="561">
        <v>0</v>
      </c>
      <c r="BF217" s="561">
        <v>0</v>
      </c>
      <c r="BG217" s="561">
        <v>0</v>
      </c>
      <c r="BH217" s="561">
        <v>0</v>
      </c>
      <c r="BI217" s="561">
        <v>0</v>
      </c>
      <c r="BJ217" s="561">
        <v>0</v>
      </c>
      <c r="BK217" s="561">
        <v>0</v>
      </c>
      <c r="BL217" s="561">
        <v>0</v>
      </c>
      <c r="BM217" s="561">
        <v>0</v>
      </c>
      <c r="BN217" s="561">
        <v>0</v>
      </c>
      <c r="BO217" s="561">
        <v>0</v>
      </c>
      <c r="BP217" s="561">
        <v>0</v>
      </c>
      <c r="BQ217" s="561">
        <v>0</v>
      </c>
      <c r="BR217" s="561">
        <v>0</v>
      </c>
      <c r="BS217" s="561">
        <v>0</v>
      </c>
      <c r="BT217" s="561">
        <v>0</v>
      </c>
      <c r="BU217" s="561">
        <v>0</v>
      </c>
      <c r="BV217" s="561">
        <v>0</v>
      </c>
      <c r="BW217" s="561">
        <v>0</v>
      </c>
      <c r="BX217" s="561">
        <v>0</v>
      </c>
      <c r="BY217" s="561">
        <v>0</v>
      </c>
      <c r="BZ217" s="561">
        <v>0</v>
      </c>
      <c r="CA217" s="561">
        <v>0</v>
      </c>
      <c r="CB217" s="561">
        <v>0</v>
      </c>
      <c r="CC217" s="561">
        <v>0</v>
      </c>
      <c r="CD217" s="561">
        <v>0</v>
      </c>
      <c r="CE217" s="561">
        <v>0</v>
      </c>
      <c r="CF217" s="561">
        <v>0</v>
      </c>
      <c r="CG217" s="561">
        <v>0</v>
      </c>
      <c r="CH217" s="561">
        <v>0</v>
      </c>
      <c r="CI217" s="561">
        <v>0</v>
      </c>
      <c r="CJ217" s="561">
        <v>0</v>
      </c>
      <c r="CK217" s="561">
        <v>0</v>
      </c>
      <c r="CL217" s="561">
        <v>0</v>
      </c>
      <c r="CM217" s="561">
        <v>0</v>
      </c>
      <c r="CN217" s="561">
        <v>0</v>
      </c>
      <c r="CO217" s="561">
        <v>0</v>
      </c>
      <c r="CP217" s="561">
        <v>0</v>
      </c>
      <c r="CQ217" s="561">
        <v>0</v>
      </c>
      <c r="CR217" s="561">
        <v>0</v>
      </c>
      <c r="CS217" s="561">
        <v>0</v>
      </c>
      <c r="CT217" s="561">
        <v>0</v>
      </c>
      <c r="CU217" s="561">
        <v>0</v>
      </c>
      <c r="CV217" s="561">
        <v>0</v>
      </c>
      <c r="CW217" s="561">
        <v>0</v>
      </c>
      <c r="CX217" s="561">
        <v>0</v>
      </c>
      <c r="CY217" s="561">
        <v>0</v>
      </c>
      <c r="CZ217" s="561">
        <v>0</v>
      </c>
      <c r="DA217" s="561">
        <v>0</v>
      </c>
      <c r="DB217" s="561">
        <v>0</v>
      </c>
      <c r="DC217" s="561">
        <v>0</v>
      </c>
      <c r="DD217" s="561">
        <v>0</v>
      </c>
      <c r="DE217" s="561">
        <v>0</v>
      </c>
      <c r="DF217" s="561">
        <v>0</v>
      </c>
      <c r="DG217" s="561">
        <v>0</v>
      </c>
      <c r="DH217" s="561">
        <v>169</v>
      </c>
      <c r="DI217" s="561">
        <v>6</v>
      </c>
      <c r="DJ217" s="561">
        <v>0</v>
      </c>
      <c r="DK217" s="561">
        <v>0</v>
      </c>
      <c r="DL217" s="561">
        <v>0</v>
      </c>
      <c r="DM217" s="561">
        <v>0</v>
      </c>
      <c r="DN217" s="561">
        <v>0</v>
      </c>
      <c r="DO217" s="561">
        <v>0</v>
      </c>
      <c r="DP217" s="561">
        <v>0</v>
      </c>
      <c r="DQ217" s="561">
        <v>0</v>
      </c>
      <c r="DR217" s="561">
        <v>0</v>
      </c>
      <c r="DS217" s="561">
        <v>0</v>
      </c>
      <c r="DT217" s="561">
        <v>0</v>
      </c>
      <c r="DU217" s="561">
        <v>0</v>
      </c>
      <c r="DV217" s="561">
        <v>0</v>
      </c>
      <c r="DW217" s="561">
        <v>0</v>
      </c>
      <c r="DX217" s="561">
        <v>0</v>
      </c>
      <c r="DY217" s="561">
        <v>757</v>
      </c>
      <c r="DZ217" s="561">
        <v>0</v>
      </c>
      <c r="EA217" s="561">
        <v>0</v>
      </c>
      <c r="EB217" s="561">
        <v>0</v>
      </c>
      <c r="EC217" s="561">
        <v>932</v>
      </c>
      <c r="ED217" s="561">
        <v>0</v>
      </c>
      <c r="EE217" s="561">
        <v>29701</v>
      </c>
      <c r="EF217" s="561">
        <v>503</v>
      </c>
      <c r="EG217" s="561">
        <v>218</v>
      </c>
      <c r="EH217" s="561">
        <v>242</v>
      </c>
      <c r="EI217" s="561">
        <v>0</v>
      </c>
      <c r="EJ217" s="561">
        <v>704</v>
      </c>
      <c r="EK217" s="561">
        <v>0</v>
      </c>
      <c r="EL217" s="561">
        <v>0</v>
      </c>
      <c r="EM217" s="561">
        <v>0</v>
      </c>
      <c r="EN217" s="561">
        <v>9825</v>
      </c>
      <c r="EO217" s="561">
        <v>2449</v>
      </c>
      <c r="EP217" s="561">
        <v>2590</v>
      </c>
      <c r="EQ217" s="561">
        <v>215</v>
      </c>
      <c r="ER217" s="561">
        <v>2015</v>
      </c>
      <c r="ES217" s="561" t="s">
        <v>4565</v>
      </c>
      <c r="ET217" s="561">
        <v>9700</v>
      </c>
      <c r="EU217" s="561">
        <v>0</v>
      </c>
      <c r="EV217" s="561">
        <v>37</v>
      </c>
      <c r="EW217" s="561">
        <v>2607</v>
      </c>
      <c r="EX217" s="561">
        <v>16158</v>
      </c>
      <c r="EY217" s="561">
        <v>161</v>
      </c>
      <c r="EZ217" s="561">
        <v>-14389</v>
      </c>
      <c r="FA217" s="561">
        <v>25144</v>
      </c>
      <c r="FB217" s="561">
        <v>0</v>
      </c>
      <c r="FC217" s="561">
        <v>0</v>
      </c>
      <c r="FD217" s="561">
        <v>0</v>
      </c>
      <c r="FE217" s="561">
        <v>387</v>
      </c>
      <c r="FF217" s="561">
        <v>726</v>
      </c>
      <c r="FG217" s="561">
        <v>-3</v>
      </c>
      <c r="FH217" s="561">
        <v>0</v>
      </c>
      <c r="FI217" s="561">
        <v>0</v>
      </c>
      <c r="FJ217" s="561">
        <v>498</v>
      </c>
      <c r="FK217" s="561">
        <v>1833</v>
      </c>
      <c r="FL217" s="561">
        <v>2</v>
      </c>
      <c r="FM217" s="561">
        <v>0</v>
      </c>
      <c r="FN217" s="561">
        <v>0</v>
      </c>
      <c r="FO217" s="561">
        <v>3443</v>
      </c>
      <c r="FP217" s="561">
        <v>0</v>
      </c>
      <c r="FQ217" s="561">
        <v>-269</v>
      </c>
      <c r="FR217" s="561">
        <v>0</v>
      </c>
      <c r="FS217" s="561">
        <v>0</v>
      </c>
      <c r="FT217" s="561">
        <v>665</v>
      </c>
      <c r="FU217" s="561">
        <v>465</v>
      </c>
      <c r="FV217" s="561">
        <v>0</v>
      </c>
      <c r="FW217" s="561">
        <v>0</v>
      </c>
      <c r="FX217" s="561">
        <v>0</v>
      </c>
      <c r="FY217" s="561">
        <v>0</v>
      </c>
      <c r="FZ217" s="561">
        <v>0</v>
      </c>
      <c r="GA217" s="561">
        <v>137</v>
      </c>
      <c r="GB217" s="561">
        <v>44</v>
      </c>
      <c r="GC217" s="561">
        <v>183</v>
      </c>
      <c r="GD217" s="561">
        <v>886</v>
      </c>
      <c r="GE217" s="561">
        <v>0</v>
      </c>
      <c r="GF217" s="561">
        <v>502</v>
      </c>
      <c r="GG217" s="561">
        <v>0</v>
      </c>
      <c r="GH217" s="561">
        <v>11</v>
      </c>
      <c r="GI217" s="561">
        <v>0</v>
      </c>
      <c r="GJ217" s="561">
        <v>0</v>
      </c>
      <c r="GK217" s="561">
        <v>0</v>
      </c>
      <c r="GL217" s="561">
        <v>2896</v>
      </c>
      <c r="GM217" s="561">
        <v>3383</v>
      </c>
      <c r="GN217" s="561">
        <v>39</v>
      </c>
      <c r="GO217" s="561">
        <v>0</v>
      </c>
      <c r="GP217" s="561">
        <v>0</v>
      </c>
      <c r="GQ217" s="561">
        <v>0</v>
      </c>
      <c r="GR217" s="561">
        <v>0</v>
      </c>
      <c r="GS217" s="561">
        <v>8942</v>
      </c>
      <c r="GT217" s="561">
        <v>0</v>
      </c>
      <c r="GU217" s="561">
        <v>47</v>
      </c>
      <c r="GV217" s="561">
        <v>-45</v>
      </c>
      <c r="GW217" s="561">
        <v>0</v>
      </c>
      <c r="GX217" s="561">
        <v>266</v>
      </c>
      <c r="GY217" s="561">
        <v>0</v>
      </c>
      <c r="GZ217" s="561">
        <v>873</v>
      </c>
      <c r="HA217" s="561">
        <v>0</v>
      </c>
      <c r="HB217" s="561">
        <v>-2015</v>
      </c>
      <c r="HC217" s="561">
        <v>0</v>
      </c>
      <c r="HD217" s="561">
        <v>-874</v>
      </c>
      <c r="HE217" s="561">
        <v>0</v>
      </c>
      <c r="HF217" s="561">
        <v>11511</v>
      </c>
      <c r="HG217" s="561">
        <v>0</v>
      </c>
      <c r="HH217" s="561">
        <v>0</v>
      </c>
      <c r="HI217" s="561">
        <v>0</v>
      </c>
      <c r="HJ217" s="561">
        <v>0</v>
      </c>
      <c r="HK217" s="561">
        <v>0</v>
      </c>
      <c r="HL217" s="561">
        <v>0</v>
      </c>
      <c r="HM217" s="561">
        <v>0</v>
      </c>
      <c r="HN217" s="561">
        <v>0</v>
      </c>
      <c r="HO217" s="561">
        <v>1390</v>
      </c>
      <c r="HP217" s="561">
        <v>543</v>
      </c>
      <c r="HQ217" s="561">
        <v>0</v>
      </c>
      <c r="HR217" s="561">
        <v>38</v>
      </c>
      <c r="HS217" s="561">
        <v>266</v>
      </c>
      <c r="HT217" s="561">
        <v>308</v>
      </c>
      <c r="HU217" s="561">
        <v>13</v>
      </c>
      <c r="HV217" s="561">
        <v>0</v>
      </c>
      <c r="HW217" s="561">
        <v>357</v>
      </c>
      <c r="HX217" s="561">
        <v>8</v>
      </c>
      <c r="HY217" s="561">
        <v>28</v>
      </c>
      <c r="HZ217" s="561">
        <v>10</v>
      </c>
      <c r="IA217" s="561">
        <v>0</v>
      </c>
      <c r="IB217" s="561">
        <v>38</v>
      </c>
      <c r="IC217" s="561">
        <v>0</v>
      </c>
      <c r="ID217" s="561">
        <v>0</v>
      </c>
      <c r="IE217" s="561">
        <v>250</v>
      </c>
      <c r="IF217" s="561">
        <v>0</v>
      </c>
      <c r="IG217" s="561">
        <v>0</v>
      </c>
      <c r="IH217" s="561">
        <v>-2660</v>
      </c>
      <c r="II217" s="561">
        <v>589</v>
      </c>
      <c r="IJ217" s="561">
        <v>0</v>
      </c>
      <c r="IK217" s="561">
        <v>0</v>
      </c>
      <c r="IL217" s="561">
        <v>0</v>
      </c>
      <c r="IM217" s="561">
        <v>0</v>
      </c>
      <c r="IN217" s="561">
        <v>2660</v>
      </c>
      <c r="IO217" s="561">
        <v>0</v>
      </c>
      <c r="IP217" s="561">
        <v>0</v>
      </c>
      <c r="IQ217" s="561">
        <v>0</v>
      </c>
      <c r="IR217" s="561">
        <v>0</v>
      </c>
      <c r="IS217" s="561">
        <v>305</v>
      </c>
      <c r="IT217" s="561">
        <v>0</v>
      </c>
      <c r="IU217" s="561">
        <v>0</v>
      </c>
      <c r="IV217" s="561">
        <v>0</v>
      </c>
      <c r="IW217" s="561">
        <v>932</v>
      </c>
      <c r="IX217" s="561">
        <v>3443</v>
      </c>
      <c r="IY217" s="561">
        <v>8942</v>
      </c>
      <c r="IZ217" s="561">
        <v>-874</v>
      </c>
      <c r="JA217" s="561">
        <v>0</v>
      </c>
      <c r="JB217" s="561">
        <v>0</v>
      </c>
      <c r="JC217" s="561">
        <v>589</v>
      </c>
      <c r="JD217" s="561">
        <v>0</v>
      </c>
      <c r="JE217" s="561">
        <v>13337</v>
      </c>
      <c r="JF217" s="561">
        <v>14033</v>
      </c>
      <c r="JG217" s="561">
        <v>0</v>
      </c>
      <c r="JH217" s="561">
        <v>10265</v>
      </c>
      <c r="JI217" s="561">
        <v>0</v>
      </c>
      <c r="JJ217" s="561">
        <v>561</v>
      </c>
      <c r="JK217" s="561">
        <v>117</v>
      </c>
      <c r="JL217" s="561">
        <v>0</v>
      </c>
      <c r="JM217" s="561">
        <v>0</v>
      </c>
      <c r="JN217" s="561">
        <v>0</v>
      </c>
      <c r="JO217" s="561">
        <v>0</v>
      </c>
      <c r="JP217" s="561">
        <v>0</v>
      </c>
      <c r="JQ217" s="561">
        <v>0</v>
      </c>
      <c r="JR217" s="561">
        <v>0</v>
      </c>
      <c r="JS217" s="561">
        <v>0</v>
      </c>
      <c r="JT217" s="561">
        <v>-27</v>
      </c>
      <c r="JU217" s="561">
        <v>-6</v>
      </c>
      <c r="JV217" s="561">
        <v>38280</v>
      </c>
      <c r="JW217" s="561">
        <v>0</v>
      </c>
      <c r="JX217" s="561">
        <v>26</v>
      </c>
      <c r="JY217" s="561">
        <v>0</v>
      </c>
      <c r="JZ217" s="561">
        <v>0</v>
      </c>
      <c r="KA217" s="561">
        <v>0</v>
      </c>
      <c r="KB217" s="561">
        <v>2898</v>
      </c>
      <c r="KC217" s="561">
        <v>534</v>
      </c>
      <c r="KD217" s="561">
        <v>0</v>
      </c>
      <c r="KE217" s="561">
        <v>2519</v>
      </c>
      <c r="KF217" s="561">
        <v>-1309</v>
      </c>
      <c r="KG217" s="561">
        <v>42948</v>
      </c>
      <c r="KH217" s="561">
        <v>-4833</v>
      </c>
      <c r="KI217" s="561">
        <v>0</v>
      </c>
      <c r="KJ217" s="561">
        <v>0</v>
      </c>
      <c r="KK217" s="561">
        <v>0</v>
      </c>
      <c r="KL217" s="561">
        <v>-24273</v>
      </c>
      <c r="KM217" s="561">
        <v>0</v>
      </c>
      <c r="KN217" s="561">
        <v>0</v>
      </c>
      <c r="KO217" s="561">
        <v>0</v>
      </c>
      <c r="KP217" s="561">
        <v>0</v>
      </c>
      <c r="KQ217" s="561">
        <v>0</v>
      </c>
      <c r="KR217" s="561">
        <v>13842</v>
      </c>
      <c r="KS217" s="561">
        <v>0</v>
      </c>
      <c r="KT217" s="561">
        <v>-2749</v>
      </c>
      <c r="KU217" s="561">
        <v>11093</v>
      </c>
      <c r="KV217" s="561">
        <v>0</v>
      </c>
      <c r="KW217" s="561">
        <v>0</v>
      </c>
      <c r="KX217" s="561">
        <v>0</v>
      </c>
      <c r="KY217" s="561">
        <v>0</v>
      </c>
      <c r="KZ217" s="561">
        <v>3889</v>
      </c>
      <c r="LA217" s="561">
        <v>0</v>
      </c>
      <c r="LB217" s="561">
        <v>-452</v>
      </c>
      <c r="LC217" s="561">
        <v>0</v>
      </c>
      <c r="LD217" s="561">
        <v>-8162</v>
      </c>
      <c r="LE217" s="561">
        <v>-34</v>
      </c>
      <c r="LF217" s="561">
        <v>0</v>
      </c>
      <c r="LG217" s="561">
        <v>6334</v>
      </c>
      <c r="LH217" s="561">
        <v>0</v>
      </c>
      <c r="LI217" s="561">
        <v>0</v>
      </c>
      <c r="LJ217" s="561">
        <v>0</v>
      </c>
      <c r="LK217" s="561">
        <v>0</v>
      </c>
      <c r="LL217" s="561">
        <v>13373</v>
      </c>
      <c r="LM217" s="561">
        <v>2125</v>
      </c>
      <c r="LN217" s="561">
        <v>0</v>
      </c>
      <c r="LO217" s="561">
        <v>0</v>
      </c>
      <c r="LP217" s="561">
        <v>0</v>
      </c>
      <c r="LQ217" s="561">
        <v>0</v>
      </c>
      <c r="LR217" s="561">
        <v>17262</v>
      </c>
      <c r="LS217" s="561">
        <v>2125</v>
      </c>
      <c r="LT217" s="561">
        <v>0</v>
      </c>
      <c r="LU217" s="561">
        <v>0</v>
      </c>
      <c r="LV217" s="561">
        <v>14310</v>
      </c>
      <c r="LW217" s="561">
        <v>0</v>
      </c>
      <c r="LX217" s="561">
        <v>0</v>
      </c>
      <c r="LY217" s="561">
        <v>0</v>
      </c>
      <c r="LZ217" s="561">
        <v>14310</v>
      </c>
      <c r="MA217" s="561">
        <v>0</v>
      </c>
      <c r="MB217" s="561">
        <v>0</v>
      </c>
      <c r="MC217" s="561">
        <v>31368</v>
      </c>
      <c r="MD217" s="561">
        <v>45757</v>
      </c>
      <c r="ME217" s="561">
        <v>-14389</v>
      </c>
      <c r="MF217" s="561">
        <v>25144</v>
      </c>
      <c r="MG217" s="561">
        <v>10755</v>
      </c>
      <c r="MH217" s="561">
        <v>3672</v>
      </c>
      <c r="MI217" s="561">
        <v>5756</v>
      </c>
      <c r="MJ217" s="561">
        <v>9428</v>
      </c>
      <c r="MK217" s="561">
        <v>0</v>
      </c>
      <c r="ML217" s="561">
        <v>0</v>
      </c>
      <c r="MM217" s="561">
        <v>11346</v>
      </c>
      <c r="MN217" s="561">
        <v>5916</v>
      </c>
      <c r="MO217" s="561">
        <v>0</v>
      </c>
      <c r="MP217" s="561">
        <v>0</v>
      </c>
      <c r="MQ217" s="561">
        <v>0</v>
      </c>
      <c r="MR217" s="561">
        <v>305</v>
      </c>
      <c r="MS217" s="561">
        <v>0</v>
      </c>
      <c r="MT217" s="561">
        <v>0</v>
      </c>
      <c r="MU217" s="561">
        <v>0</v>
      </c>
      <c r="MV217" s="561">
        <v>932</v>
      </c>
      <c r="MW217" s="561">
        <v>3443</v>
      </c>
      <c r="MX217" s="561">
        <v>8942</v>
      </c>
      <c r="MY217" s="561">
        <v>-874</v>
      </c>
      <c r="MZ217" s="561">
        <v>0</v>
      </c>
      <c r="NA217" s="561">
        <v>0</v>
      </c>
      <c r="NB217" s="561">
        <v>589</v>
      </c>
      <c r="NC217" s="561">
        <v>0</v>
      </c>
      <c r="ND217" s="561">
        <v>13337</v>
      </c>
      <c r="NE217" s="561">
        <v>0</v>
      </c>
      <c r="NF217" s="561">
        <v>0</v>
      </c>
      <c r="NG217" s="561">
        <v>0</v>
      </c>
      <c r="NH217" s="561">
        <v>0</v>
      </c>
      <c r="NI217" s="561">
        <v>0</v>
      </c>
      <c r="NJ217" s="561">
        <v>0</v>
      </c>
      <c r="NK217" s="561">
        <v>0</v>
      </c>
      <c r="NL217" s="561">
        <v>0</v>
      </c>
      <c r="NM217" s="561">
        <v>0</v>
      </c>
      <c r="NN217" s="561">
        <v>0</v>
      </c>
      <c r="NO217" s="561">
        <v>0</v>
      </c>
      <c r="NP217" s="561">
        <v>0</v>
      </c>
      <c r="NQ217" s="561">
        <v>0</v>
      </c>
      <c r="NR217" s="561">
        <v>0</v>
      </c>
      <c r="NS217" s="561">
        <v>0</v>
      </c>
      <c r="NT217" s="561">
        <v>0</v>
      </c>
      <c r="NU217" s="561">
        <v>0</v>
      </c>
      <c r="NV217" s="561">
        <v>0</v>
      </c>
      <c r="NW217" s="561">
        <v>0</v>
      </c>
      <c r="NX217" s="561">
        <v>0</v>
      </c>
      <c r="NY217" s="561">
        <v>0</v>
      </c>
      <c r="NZ217" s="561">
        <v>0</v>
      </c>
      <c r="OA217" s="561">
        <v>0</v>
      </c>
      <c r="OB217" s="561">
        <v>0</v>
      </c>
      <c r="OC217" s="561">
        <v>0</v>
      </c>
      <c r="OD217" s="561">
        <v>0</v>
      </c>
      <c r="OE217" s="561">
        <v>0</v>
      </c>
      <c r="OF217" s="561">
        <v>0</v>
      </c>
      <c r="OG217" s="561">
        <v>0</v>
      </c>
      <c r="OH217" s="561">
        <v>0</v>
      </c>
      <c r="OI217" s="561">
        <v>0</v>
      </c>
      <c r="OJ217" s="561">
        <v>0</v>
      </c>
      <c r="OK217" s="561">
        <v>0</v>
      </c>
      <c r="OL217" s="561">
        <v>0</v>
      </c>
      <c r="OM217" s="561">
        <v>0</v>
      </c>
      <c r="ON217" s="561">
        <v>0</v>
      </c>
      <c r="OO217" s="561">
        <v>0</v>
      </c>
      <c r="OP217" s="561">
        <v>0</v>
      </c>
      <c r="OQ217" s="561">
        <v>0</v>
      </c>
      <c r="OR217" s="561">
        <v>0</v>
      </c>
      <c r="OS217" s="561">
        <v>0</v>
      </c>
      <c r="OT217" s="561">
        <v>0</v>
      </c>
      <c r="OU217" s="561">
        <v>0</v>
      </c>
      <c r="OV217" s="561">
        <v>-18</v>
      </c>
      <c r="OW217" s="561">
        <v>0</v>
      </c>
      <c r="OX217" s="561">
        <v>0</v>
      </c>
      <c r="OY217" s="561">
        <v>0</v>
      </c>
      <c r="OZ217" s="561">
        <v>0</v>
      </c>
      <c r="PA217" s="561">
        <v>0</v>
      </c>
      <c r="PB217" s="561">
        <v>0</v>
      </c>
      <c r="PC217" s="561">
        <v>0</v>
      </c>
      <c r="PD217" s="561">
        <v>0</v>
      </c>
      <c r="PE217" s="561">
        <v>0</v>
      </c>
      <c r="PF217" s="561">
        <v>0</v>
      </c>
      <c r="PG217" s="561">
        <v>0</v>
      </c>
      <c r="PH217" s="561">
        <v>0</v>
      </c>
      <c r="PI217" s="561">
        <v>0</v>
      </c>
      <c r="PJ217" s="561">
        <v>0</v>
      </c>
    </row>
    <row r="218" spans="1:426" ht="14" x14ac:dyDescent="0.3">
      <c r="A218" t="s">
        <v>3097</v>
      </c>
      <c r="B218" t="s">
        <v>3098</v>
      </c>
      <c r="C218" t="s">
        <v>4628</v>
      </c>
      <c r="E218" t="s">
        <v>385</v>
      </c>
      <c r="F218" s="561">
        <v>21268</v>
      </c>
      <c r="G218" s="561">
        <v>44689</v>
      </c>
      <c r="H218" s="561">
        <v>1113</v>
      </c>
      <c r="I218" s="561">
        <v>44441</v>
      </c>
      <c r="J218" s="561">
        <v>7013</v>
      </c>
      <c r="K218" s="561">
        <v>22449</v>
      </c>
      <c r="L218" s="561">
        <v>140973</v>
      </c>
      <c r="M218" s="561">
        <v>2871</v>
      </c>
      <c r="N218" s="561">
        <v>2954</v>
      </c>
      <c r="O218" s="561">
        <v>815</v>
      </c>
      <c r="P218" s="561">
        <v>315</v>
      </c>
      <c r="Q218" s="561">
        <v>33</v>
      </c>
      <c r="R218" s="561">
        <v>757</v>
      </c>
      <c r="S218" s="561">
        <v>1224</v>
      </c>
      <c r="T218" s="561">
        <v>1088</v>
      </c>
      <c r="U218" s="561">
        <v>267</v>
      </c>
      <c r="V218" s="561">
        <v>823</v>
      </c>
      <c r="W218" s="561">
        <v>0</v>
      </c>
      <c r="X218" s="561">
        <v>0</v>
      </c>
      <c r="Y218" s="561">
        <v>-880</v>
      </c>
      <c r="Z218" s="561">
        <v>234</v>
      </c>
      <c r="AA218" s="561">
        <v>-1142</v>
      </c>
      <c r="AB218" s="561">
        <v>-4044</v>
      </c>
      <c r="AC218" s="561">
        <v>4119</v>
      </c>
      <c r="AD218" s="561">
        <v>488</v>
      </c>
      <c r="AE218" s="561">
        <v>2344</v>
      </c>
      <c r="AF218" s="561">
        <v>0</v>
      </c>
      <c r="AG218" s="561">
        <v>0</v>
      </c>
      <c r="AH218" s="561">
        <v>184</v>
      </c>
      <c r="AI218" s="561">
        <v>29</v>
      </c>
      <c r="AJ218" s="561">
        <v>9608</v>
      </c>
      <c r="AK218" s="561">
        <v>0</v>
      </c>
      <c r="AL218" s="561">
        <v>0</v>
      </c>
      <c r="AM218" s="561">
        <v>0</v>
      </c>
      <c r="AN218" s="561">
        <v>0</v>
      </c>
      <c r="AO218" s="561">
        <v>0</v>
      </c>
      <c r="AP218" s="561">
        <v>0</v>
      </c>
      <c r="AQ218" s="561">
        <v>0</v>
      </c>
      <c r="AR218" s="561">
        <v>0</v>
      </c>
      <c r="AS218" s="561">
        <v>0</v>
      </c>
      <c r="AT218" s="561">
        <v>3619</v>
      </c>
      <c r="AU218" s="561">
        <v>0</v>
      </c>
      <c r="AV218" s="561">
        <v>0</v>
      </c>
      <c r="AW218" s="561">
        <v>0</v>
      </c>
      <c r="AX218" s="561">
        <v>3546</v>
      </c>
      <c r="AY218" s="561">
        <v>54281</v>
      </c>
      <c r="AZ218" s="561">
        <v>0</v>
      </c>
      <c r="BA218" s="561">
        <v>6249</v>
      </c>
      <c r="BB218" s="561">
        <v>2497</v>
      </c>
      <c r="BC218" s="561">
        <v>24096</v>
      </c>
      <c r="BD218" s="561">
        <v>2979</v>
      </c>
      <c r="BE218" s="561">
        <v>0</v>
      </c>
      <c r="BF218" s="561">
        <v>93648</v>
      </c>
      <c r="BG218" s="561">
        <v>3976</v>
      </c>
      <c r="BH218" s="561">
        <v>12064.48</v>
      </c>
      <c r="BI218" s="561">
        <v>22280.04</v>
      </c>
      <c r="BJ218" s="561">
        <v>156.80000000000001</v>
      </c>
      <c r="BK218" s="561">
        <v>49.17</v>
      </c>
      <c r="BL218" s="561">
        <v>293.68</v>
      </c>
      <c r="BM218" s="561">
        <v>6297.14</v>
      </c>
      <c r="BN218" s="561">
        <v>39337.040000000001</v>
      </c>
      <c r="BO218" s="561">
        <v>3204.99</v>
      </c>
      <c r="BP218" s="561">
        <v>9600.0300000000007</v>
      </c>
      <c r="BQ218" s="561">
        <v>2234.4899999999998</v>
      </c>
      <c r="BR218" s="561">
        <v>0</v>
      </c>
      <c r="BS218" s="561">
        <v>0</v>
      </c>
      <c r="BT218" s="561">
        <v>0</v>
      </c>
      <c r="BU218" s="561">
        <v>525.34</v>
      </c>
      <c r="BV218" s="561">
        <v>-125.18</v>
      </c>
      <c r="BW218" s="561">
        <v>11778.76</v>
      </c>
      <c r="BX218" s="561">
        <v>288.52</v>
      </c>
      <c r="BY218" s="561">
        <v>2322.34</v>
      </c>
      <c r="BZ218" s="561">
        <v>110307.64</v>
      </c>
      <c r="CA218" s="561">
        <v>4003</v>
      </c>
      <c r="CB218" s="561">
        <v>1626</v>
      </c>
      <c r="CC218" s="561">
        <v>1090</v>
      </c>
      <c r="CD218" s="561">
        <v>76</v>
      </c>
      <c r="CE218" s="561">
        <v>354</v>
      </c>
      <c r="CF218" s="561">
        <v>56</v>
      </c>
      <c r="CG218" s="561">
        <v>120</v>
      </c>
      <c r="CH218" s="561">
        <v>108</v>
      </c>
      <c r="CI218" s="561">
        <v>457</v>
      </c>
      <c r="CJ218" s="561">
        <v>682</v>
      </c>
      <c r="CK218" s="561">
        <v>1014</v>
      </c>
      <c r="CL218" s="561">
        <v>485</v>
      </c>
      <c r="CM218" s="561">
        <v>2269</v>
      </c>
      <c r="CN218" s="561">
        <v>1259</v>
      </c>
      <c r="CO218" s="561">
        <v>46</v>
      </c>
      <c r="CP218" s="561">
        <v>129</v>
      </c>
      <c r="CQ218" s="561">
        <v>170</v>
      </c>
      <c r="CR218" s="561">
        <v>611</v>
      </c>
      <c r="CS218" s="561">
        <v>632</v>
      </c>
      <c r="CT218" s="561">
        <v>1270</v>
      </c>
      <c r="CU218" s="561">
        <v>4387</v>
      </c>
      <c r="CV218" s="561">
        <v>678</v>
      </c>
      <c r="CW218" s="561">
        <v>169</v>
      </c>
      <c r="CX218" s="561">
        <v>265</v>
      </c>
      <c r="CY218" s="561">
        <v>2194</v>
      </c>
      <c r="CZ218" s="561">
        <v>20147</v>
      </c>
      <c r="DA218" s="561">
        <v>0</v>
      </c>
      <c r="DB218" s="561">
        <v>0</v>
      </c>
      <c r="DC218" s="561">
        <v>0</v>
      </c>
      <c r="DD218" s="561">
        <v>0</v>
      </c>
      <c r="DE218" s="561">
        <v>0</v>
      </c>
      <c r="DF218" s="561">
        <v>0</v>
      </c>
      <c r="DG218" s="561">
        <v>0</v>
      </c>
      <c r="DH218" s="561">
        <v>1419</v>
      </c>
      <c r="DI218" s="561">
        <v>0</v>
      </c>
      <c r="DJ218" s="561">
        <v>55</v>
      </c>
      <c r="DK218" s="561">
        <v>52</v>
      </c>
      <c r="DL218" s="561">
        <v>5893</v>
      </c>
      <c r="DM218" s="561">
        <v>0</v>
      </c>
      <c r="DN218" s="561">
        <v>0</v>
      </c>
      <c r="DO218" s="561">
        <v>70</v>
      </c>
      <c r="DP218" s="561">
        <v>309</v>
      </c>
      <c r="DQ218" s="561">
        <v>0</v>
      </c>
      <c r="DR218" s="561">
        <v>-75</v>
      </c>
      <c r="DS218" s="561">
        <v>0</v>
      </c>
      <c r="DT218" s="561">
        <v>4517</v>
      </c>
      <c r="DU218" s="561">
        <v>10714</v>
      </c>
      <c r="DV218" s="561">
        <v>0</v>
      </c>
      <c r="DW218" s="561">
        <v>0</v>
      </c>
      <c r="DX218" s="561">
        <v>0</v>
      </c>
      <c r="DY218" s="561">
        <v>3744</v>
      </c>
      <c r="DZ218" s="561">
        <v>-265</v>
      </c>
      <c r="EA218" s="561">
        <v>573</v>
      </c>
      <c r="EB218" s="561">
        <v>0</v>
      </c>
      <c r="EC218" s="561">
        <v>16292</v>
      </c>
      <c r="ED218" s="561">
        <v>0</v>
      </c>
      <c r="EE218" s="561">
        <v>15991</v>
      </c>
      <c r="EF218" s="561">
        <v>274</v>
      </c>
      <c r="EG218" s="561">
        <v>1593</v>
      </c>
      <c r="EH218" s="561">
        <v>542</v>
      </c>
      <c r="EI218" s="561">
        <v>45</v>
      </c>
      <c r="EJ218" s="561">
        <v>146</v>
      </c>
      <c r="EK218" s="561">
        <v>0</v>
      </c>
      <c r="EL218" s="561">
        <v>0</v>
      </c>
      <c r="EM218" s="561">
        <v>0</v>
      </c>
      <c r="EN218" s="561">
        <v>3550</v>
      </c>
      <c r="EO218" s="561">
        <v>4217</v>
      </c>
      <c r="EP218" s="561">
        <v>1056</v>
      </c>
      <c r="EQ218" s="561">
        <v>140</v>
      </c>
      <c r="ER218" s="561">
        <v>0</v>
      </c>
      <c r="ES218" s="561" t="s">
        <v>4565</v>
      </c>
      <c r="ET218" s="561">
        <v>4686</v>
      </c>
      <c r="EU218" s="561">
        <v>3423</v>
      </c>
      <c r="EV218" s="561">
        <v>71</v>
      </c>
      <c r="EW218" s="561">
        <v>1767</v>
      </c>
      <c r="EX218" s="561">
        <v>0</v>
      </c>
      <c r="EY218" s="561">
        <v>0</v>
      </c>
      <c r="EZ218" s="561">
        <v>-319</v>
      </c>
      <c r="FA218" s="561">
        <v>7525</v>
      </c>
      <c r="FB218" s="561">
        <v>295</v>
      </c>
      <c r="FC218" s="561">
        <v>249</v>
      </c>
      <c r="FD218" s="561">
        <v>377</v>
      </c>
      <c r="FE218" s="561">
        <v>634</v>
      </c>
      <c r="FF218" s="561">
        <v>2027</v>
      </c>
      <c r="FG218" s="561">
        <v>492</v>
      </c>
      <c r="FH218" s="561">
        <v>-669</v>
      </c>
      <c r="FI218" s="561">
        <v>362</v>
      </c>
      <c r="FJ218" s="561">
        <v>1941</v>
      </c>
      <c r="FK218" s="561">
        <v>6289</v>
      </c>
      <c r="FL218" s="561">
        <v>98</v>
      </c>
      <c r="FM218" s="561">
        <v>326</v>
      </c>
      <c r="FN218" s="561">
        <v>4694</v>
      </c>
      <c r="FO218" s="561">
        <v>17115</v>
      </c>
      <c r="FP218" s="561">
        <v>0</v>
      </c>
      <c r="FQ218" s="561">
        <v>-100</v>
      </c>
      <c r="FR218" s="561">
        <v>432</v>
      </c>
      <c r="FS218" s="561">
        <v>0</v>
      </c>
      <c r="FT218" s="561">
        <v>0</v>
      </c>
      <c r="FU218" s="561">
        <v>1985</v>
      </c>
      <c r="FV218" s="561">
        <v>52</v>
      </c>
      <c r="FW218" s="561">
        <v>0</v>
      </c>
      <c r="FX218" s="561">
        <v>0</v>
      </c>
      <c r="FY218" s="561">
        <v>0</v>
      </c>
      <c r="FZ218" s="561">
        <v>52</v>
      </c>
      <c r="GA218" s="561">
        <v>478</v>
      </c>
      <c r="GB218" s="561">
        <v>0</v>
      </c>
      <c r="GC218" s="561">
        <v>-192</v>
      </c>
      <c r="GD218" s="561">
        <v>375</v>
      </c>
      <c r="GE218" s="561">
        <v>482</v>
      </c>
      <c r="GF218" s="561">
        <v>741</v>
      </c>
      <c r="GG218" s="561">
        <v>182</v>
      </c>
      <c r="GH218" s="561">
        <v>0</v>
      </c>
      <c r="GI218" s="561">
        <v>0</v>
      </c>
      <c r="GJ218" s="561">
        <v>0</v>
      </c>
      <c r="GK218" s="561">
        <v>0</v>
      </c>
      <c r="GL218" s="561">
        <v>5513</v>
      </c>
      <c r="GM218" s="561">
        <v>10041</v>
      </c>
      <c r="GN218" s="561">
        <v>15065</v>
      </c>
      <c r="GO218" s="561">
        <v>0</v>
      </c>
      <c r="GP218" s="561">
        <v>101</v>
      </c>
      <c r="GQ218" s="561">
        <v>0</v>
      </c>
      <c r="GR218" s="561">
        <v>193</v>
      </c>
      <c r="GS218" s="561">
        <v>35400</v>
      </c>
      <c r="GT218" s="561">
        <v>0</v>
      </c>
      <c r="GU218" s="561">
        <v>161</v>
      </c>
      <c r="GV218" s="561">
        <v>877</v>
      </c>
      <c r="GW218" s="561">
        <v>5</v>
      </c>
      <c r="GX218" s="561">
        <v>1044</v>
      </c>
      <c r="GY218" s="561">
        <v>3</v>
      </c>
      <c r="GZ218" s="561">
        <v>1933</v>
      </c>
      <c r="HA218" s="561">
        <v>285</v>
      </c>
      <c r="HB218" s="561">
        <v>0</v>
      </c>
      <c r="HC218" s="561">
        <v>112</v>
      </c>
      <c r="HD218" s="561">
        <v>4420</v>
      </c>
      <c r="HE218" s="561">
        <v>0</v>
      </c>
      <c r="HF218" s="561">
        <v>56935</v>
      </c>
      <c r="HG218" s="561">
        <v>0</v>
      </c>
      <c r="HH218" s="561">
        <v>0</v>
      </c>
      <c r="HI218" s="561">
        <v>0</v>
      </c>
      <c r="HJ218" s="561">
        <v>0</v>
      </c>
      <c r="HK218" s="561">
        <v>0</v>
      </c>
      <c r="HL218" s="561">
        <v>0</v>
      </c>
      <c r="HM218" s="561">
        <v>0</v>
      </c>
      <c r="HN218" s="561">
        <v>0</v>
      </c>
      <c r="HO218" s="561">
        <v>3790</v>
      </c>
      <c r="HP218" s="561">
        <v>2782</v>
      </c>
      <c r="HQ218" s="561">
        <v>0</v>
      </c>
      <c r="HR218" s="561">
        <v>0</v>
      </c>
      <c r="HS218" s="561">
        <v>0</v>
      </c>
      <c r="HT218" s="561">
        <v>-267</v>
      </c>
      <c r="HU218" s="561">
        <v>0</v>
      </c>
      <c r="HV218" s="561">
        <v>-168</v>
      </c>
      <c r="HW218" s="561">
        <v>540</v>
      </c>
      <c r="HX218" s="561">
        <v>1068</v>
      </c>
      <c r="HY218" s="561">
        <v>169</v>
      </c>
      <c r="HZ218" s="561">
        <v>43</v>
      </c>
      <c r="IA218" s="561">
        <v>4225</v>
      </c>
      <c r="IB218" s="561">
        <v>0</v>
      </c>
      <c r="IC218" s="561">
        <v>0</v>
      </c>
      <c r="ID218" s="561">
        <v>0</v>
      </c>
      <c r="IE218" s="561">
        <v>0</v>
      </c>
      <c r="IF218" s="561">
        <v>0</v>
      </c>
      <c r="IG218" s="561">
        <v>0</v>
      </c>
      <c r="IH218" s="561">
        <v>788</v>
      </c>
      <c r="II218" s="561">
        <v>12970</v>
      </c>
      <c r="IJ218" s="561">
        <v>0</v>
      </c>
      <c r="IK218" s="561">
        <v>9833</v>
      </c>
      <c r="IL218" s="561">
        <v>27983</v>
      </c>
      <c r="IM218" s="561">
        <v>0</v>
      </c>
      <c r="IN218" s="561">
        <v>70</v>
      </c>
      <c r="IO218" s="561">
        <v>0</v>
      </c>
      <c r="IP218" s="561">
        <v>0</v>
      </c>
      <c r="IQ218" s="561">
        <v>0</v>
      </c>
      <c r="IR218" s="561">
        <v>140973</v>
      </c>
      <c r="IS218" s="561">
        <v>9608</v>
      </c>
      <c r="IT218" s="561">
        <v>93648</v>
      </c>
      <c r="IU218" s="561">
        <v>110307.64</v>
      </c>
      <c r="IV218" s="561">
        <v>20147</v>
      </c>
      <c r="IW218" s="561">
        <v>16292</v>
      </c>
      <c r="IX218" s="561">
        <v>17115</v>
      </c>
      <c r="IY218" s="561">
        <v>35400</v>
      </c>
      <c r="IZ218" s="561">
        <v>4420</v>
      </c>
      <c r="JA218" s="561">
        <v>0</v>
      </c>
      <c r="JB218" s="561">
        <v>0</v>
      </c>
      <c r="JC218" s="561">
        <v>12970</v>
      </c>
      <c r="JD218" s="561">
        <v>0</v>
      </c>
      <c r="JE218" s="561">
        <v>460880.64000000001</v>
      </c>
      <c r="JF218" s="561">
        <v>42579</v>
      </c>
      <c r="JG218" s="561">
        <v>5841</v>
      </c>
      <c r="JH218" s="561">
        <v>4805</v>
      </c>
      <c r="JI218" s="561">
        <v>0</v>
      </c>
      <c r="JJ218" s="561">
        <v>0</v>
      </c>
      <c r="JK218" s="561">
        <v>691</v>
      </c>
      <c r="JL218" s="561">
        <v>0</v>
      </c>
      <c r="JM218" s="561">
        <v>0</v>
      </c>
      <c r="JN218" s="561">
        <v>0</v>
      </c>
      <c r="JO218" s="561">
        <v>1788</v>
      </c>
      <c r="JP218" s="561">
        <v>218</v>
      </c>
      <c r="JQ218" s="561">
        <v>-806</v>
      </c>
      <c r="JR218" s="561">
        <v>0</v>
      </c>
      <c r="JS218" s="561">
        <v>0</v>
      </c>
      <c r="JT218" s="561">
        <v>0</v>
      </c>
      <c r="JU218" s="561">
        <v>0</v>
      </c>
      <c r="JV218" s="561">
        <v>515996.64</v>
      </c>
      <c r="JW218" s="561">
        <v>77</v>
      </c>
      <c r="JX218" s="561">
        <v>0</v>
      </c>
      <c r="JY218" s="561">
        <v>0</v>
      </c>
      <c r="JZ218" s="561">
        <v>0</v>
      </c>
      <c r="KA218" s="561">
        <v>-20249</v>
      </c>
      <c r="KB218" s="561">
        <v>1248</v>
      </c>
      <c r="KC218" s="561">
        <v>6902</v>
      </c>
      <c r="KD218" s="561">
        <v>0</v>
      </c>
      <c r="KE218" s="561">
        <v>21439</v>
      </c>
      <c r="KF218" s="561">
        <v>0</v>
      </c>
      <c r="KG218" s="561">
        <v>525413.64</v>
      </c>
      <c r="KH218" s="561">
        <v>-13215</v>
      </c>
      <c r="KI218" s="561">
        <v>0</v>
      </c>
      <c r="KJ218" s="561">
        <v>0</v>
      </c>
      <c r="KK218" s="561">
        <v>0</v>
      </c>
      <c r="KL218" s="561">
        <v>-55474</v>
      </c>
      <c r="KM218" s="561">
        <v>0</v>
      </c>
      <c r="KN218" s="561">
        <v>0</v>
      </c>
      <c r="KO218" s="561">
        <v>0</v>
      </c>
      <c r="KP218" s="561">
        <v>0</v>
      </c>
      <c r="KQ218" s="561">
        <v>0</v>
      </c>
      <c r="KR218" s="561">
        <v>456724.64</v>
      </c>
      <c r="KS218" s="561">
        <v>0</v>
      </c>
      <c r="KT218" s="561">
        <v>-216792.06</v>
      </c>
      <c r="KU218" s="561">
        <v>239932.58</v>
      </c>
      <c r="KV218" s="561">
        <v>0</v>
      </c>
      <c r="KW218" s="561">
        <v>-1048</v>
      </c>
      <c r="KX218" s="561">
        <v>2957</v>
      </c>
      <c r="KY218" s="561">
        <v>-55</v>
      </c>
      <c r="KZ218" s="561">
        <v>101</v>
      </c>
      <c r="LA218" s="561">
        <v>0</v>
      </c>
      <c r="LB218" s="561">
        <v>-7792</v>
      </c>
      <c r="LC218" s="561">
        <v>0</v>
      </c>
      <c r="LD218" s="561">
        <v>-73943</v>
      </c>
      <c r="LE218" s="561">
        <v>61</v>
      </c>
      <c r="LF218" s="561">
        <v>0</v>
      </c>
      <c r="LG218" s="561">
        <v>160215</v>
      </c>
      <c r="LH218" s="561">
        <v>1900</v>
      </c>
      <c r="LI218" s="561">
        <v>-23530</v>
      </c>
      <c r="LJ218" s="561">
        <v>4174</v>
      </c>
      <c r="LK218" s="561">
        <v>1600</v>
      </c>
      <c r="LL218" s="561">
        <v>25812</v>
      </c>
      <c r="LM218" s="561">
        <v>10061</v>
      </c>
      <c r="LN218" s="561">
        <v>852</v>
      </c>
      <c r="LO218" s="561">
        <v>-23530</v>
      </c>
      <c r="LP218" s="561">
        <v>7131</v>
      </c>
      <c r="LQ218" s="561">
        <v>1545</v>
      </c>
      <c r="LR218" s="561">
        <v>25913</v>
      </c>
      <c r="LS218" s="561">
        <v>10061</v>
      </c>
      <c r="LT218" s="561">
        <v>0</v>
      </c>
      <c r="LU218" s="561">
        <v>14702</v>
      </c>
      <c r="LV218" s="561">
        <v>0</v>
      </c>
      <c r="LW218" s="561">
        <v>0</v>
      </c>
      <c r="LX218" s="561">
        <v>0</v>
      </c>
      <c r="LY218" s="561">
        <v>0</v>
      </c>
      <c r="LZ218" s="561">
        <v>14702</v>
      </c>
      <c r="MA218" s="561">
        <v>0</v>
      </c>
      <c r="MB218" s="561">
        <v>0</v>
      </c>
      <c r="MC218" s="561">
        <v>18591</v>
      </c>
      <c r="MD218" s="561">
        <v>18910</v>
      </c>
      <c r="ME218" s="561">
        <v>-319</v>
      </c>
      <c r="MF218" s="561">
        <v>7525</v>
      </c>
      <c r="MG218" s="561">
        <v>7206</v>
      </c>
      <c r="MH218" s="561">
        <v>7187</v>
      </c>
      <c r="MI218" s="561">
        <v>7946</v>
      </c>
      <c r="MJ218" s="561">
        <v>15133</v>
      </c>
      <c r="MK218" s="561">
        <v>0</v>
      </c>
      <c r="ML218" s="561">
        <v>0</v>
      </c>
      <c r="MM218" s="561">
        <v>19997</v>
      </c>
      <c r="MN218" s="561">
        <v>529</v>
      </c>
      <c r="MO218" s="561">
        <v>5348</v>
      </c>
      <c r="MP218" s="561">
        <v>39</v>
      </c>
      <c r="MQ218" s="561">
        <v>140973</v>
      </c>
      <c r="MR218" s="561">
        <v>9608</v>
      </c>
      <c r="MS218" s="561">
        <v>93648</v>
      </c>
      <c r="MT218" s="561">
        <v>110307.64</v>
      </c>
      <c r="MU218" s="561">
        <v>20147</v>
      </c>
      <c r="MV218" s="561">
        <v>16292</v>
      </c>
      <c r="MW218" s="561">
        <v>17115</v>
      </c>
      <c r="MX218" s="561">
        <v>35400</v>
      </c>
      <c r="MY218" s="561">
        <v>4420</v>
      </c>
      <c r="MZ218" s="561">
        <v>0</v>
      </c>
      <c r="NA218" s="561">
        <v>0</v>
      </c>
      <c r="NB218" s="561">
        <v>12970</v>
      </c>
      <c r="NC218" s="561">
        <v>0</v>
      </c>
      <c r="ND218" s="561">
        <v>460880.64000000001</v>
      </c>
      <c r="NE218" s="561">
        <v>0</v>
      </c>
      <c r="NF218" s="561">
        <v>0</v>
      </c>
      <c r="NG218" s="561">
        <v>0</v>
      </c>
      <c r="NH218" s="561">
        <v>0</v>
      </c>
      <c r="NI218" s="561">
        <v>0</v>
      </c>
      <c r="NJ218" s="561">
        <v>0</v>
      </c>
      <c r="NK218" s="561">
        <v>0</v>
      </c>
      <c r="NL218" s="561">
        <v>0</v>
      </c>
      <c r="NM218" s="561">
        <v>0</v>
      </c>
      <c r="NN218" s="561">
        <v>0</v>
      </c>
      <c r="NO218" s="561">
        <v>0</v>
      </c>
      <c r="NP218" s="561">
        <v>0</v>
      </c>
      <c r="NQ218" s="561">
        <v>0</v>
      </c>
      <c r="NR218" s="561">
        <v>244</v>
      </c>
      <c r="NS218" s="561">
        <v>0</v>
      </c>
      <c r="NT218" s="561">
        <v>0</v>
      </c>
      <c r="NU218" s="561">
        <v>0</v>
      </c>
      <c r="NV218" s="561">
        <v>0</v>
      </c>
      <c r="NW218" s="561">
        <v>218</v>
      </c>
      <c r="NX218" s="561">
        <v>0</v>
      </c>
      <c r="NY218" s="561">
        <v>218</v>
      </c>
      <c r="NZ218" s="561">
        <v>0</v>
      </c>
      <c r="OA218" s="561">
        <v>0</v>
      </c>
      <c r="OB218" s="561">
        <v>0</v>
      </c>
      <c r="OC218" s="561">
        <v>0</v>
      </c>
      <c r="OD218" s="561">
        <v>0</v>
      </c>
      <c r="OE218" s="561">
        <v>0</v>
      </c>
      <c r="OF218" s="561">
        <v>0</v>
      </c>
      <c r="OG218" s="561">
        <v>0</v>
      </c>
      <c r="OH218" s="561">
        <v>0</v>
      </c>
      <c r="OI218" s="561">
        <v>161</v>
      </c>
      <c r="OJ218" s="561">
        <v>0</v>
      </c>
      <c r="OK218" s="561">
        <v>0</v>
      </c>
      <c r="OL218" s="561">
        <v>0</v>
      </c>
      <c r="OM218" s="561">
        <v>0</v>
      </c>
      <c r="ON218" s="561">
        <v>0</v>
      </c>
      <c r="OO218" s="561">
        <v>0</v>
      </c>
      <c r="OP218" s="561">
        <v>0</v>
      </c>
      <c r="OQ218" s="561">
        <v>0</v>
      </c>
      <c r="OR218" s="561">
        <v>0</v>
      </c>
      <c r="OS218" s="561">
        <v>0</v>
      </c>
      <c r="OT218" s="561">
        <v>0</v>
      </c>
      <c r="OU218" s="561">
        <v>0</v>
      </c>
      <c r="OV218" s="561">
        <v>0</v>
      </c>
      <c r="OW218" s="561">
        <v>0</v>
      </c>
      <c r="OX218" s="561">
        <v>-806</v>
      </c>
      <c r="OY218" s="561">
        <v>0</v>
      </c>
      <c r="OZ218" s="561">
        <v>0</v>
      </c>
      <c r="PA218" s="561">
        <v>0</v>
      </c>
      <c r="PB218" s="561">
        <v>0</v>
      </c>
      <c r="PC218" s="561">
        <v>0</v>
      </c>
      <c r="PD218" s="561">
        <v>0</v>
      </c>
      <c r="PE218" s="561">
        <v>0</v>
      </c>
      <c r="PF218" s="561">
        <v>0</v>
      </c>
      <c r="PG218" s="561">
        <v>0</v>
      </c>
      <c r="PH218" s="561">
        <v>0</v>
      </c>
      <c r="PI218" s="561">
        <v>0</v>
      </c>
      <c r="PJ218" s="561">
        <v>0</v>
      </c>
    </row>
    <row r="219" spans="1:426" ht="14" x14ac:dyDescent="0.3">
      <c r="A219" t="s">
        <v>3100</v>
      </c>
      <c r="B219" t="s">
        <v>3101</v>
      </c>
      <c r="C219" t="s">
        <v>3102</v>
      </c>
      <c r="E219" t="s">
        <v>384</v>
      </c>
      <c r="F219" s="561">
        <v>0</v>
      </c>
      <c r="G219" s="561">
        <v>0</v>
      </c>
      <c r="H219" s="561">
        <v>0</v>
      </c>
      <c r="I219" s="561">
        <v>0</v>
      </c>
      <c r="J219" s="561">
        <v>0</v>
      </c>
      <c r="K219" s="561">
        <v>0</v>
      </c>
      <c r="L219" s="561">
        <v>0</v>
      </c>
      <c r="M219" s="561">
        <v>0</v>
      </c>
      <c r="N219" s="561">
        <v>0</v>
      </c>
      <c r="O219" s="561">
        <v>0</v>
      </c>
      <c r="P219" s="561">
        <v>0</v>
      </c>
      <c r="Q219" s="561">
        <v>0</v>
      </c>
      <c r="R219" s="561">
        <v>0</v>
      </c>
      <c r="S219" s="561">
        <v>0</v>
      </c>
      <c r="T219" s="561">
        <v>0</v>
      </c>
      <c r="U219" s="561">
        <v>0</v>
      </c>
      <c r="V219" s="561">
        <v>0</v>
      </c>
      <c r="W219" s="561">
        <v>0</v>
      </c>
      <c r="X219" s="561">
        <v>0</v>
      </c>
      <c r="Y219" s="561">
        <v>0</v>
      </c>
      <c r="Z219" s="561">
        <v>0</v>
      </c>
      <c r="AA219" s="561">
        <v>0</v>
      </c>
      <c r="AB219" s="561">
        <v>-258</v>
      </c>
      <c r="AC219" s="561">
        <v>0</v>
      </c>
      <c r="AD219" s="561">
        <v>0</v>
      </c>
      <c r="AE219" s="561">
        <v>0</v>
      </c>
      <c r="AF219" s="561">
        <v>0</v>
      </c>
      <c r="AG219" s="561">
        <v>0</v>
      </c>
      <c r="AH219" s="561">
        <v>0</v>
      </c>
      <c r="AI219" s="561">
        <v>0</v>
      </c>
      <c r="AJ219" s="561">
        <v>-258</v>
      </c>
      <c r="AK219" s="561">
        <v>0</v>
      </c>
      <c r="AL219" s="561">
        <v>0</v>
      </c>
      <c r="AM219" s="561">
        <v>0</v>
      </c>
      <c r="AN219" s="561">
        <v>0</v>
      </c>
      <c r="AO219" s="561">
        <v>0</v>
      </c>
      <c r="AP219" s="561">
        <v>0</v>
      </c>
      <c r="AQ219" s="561">
        <v>0</v>
      </c>
      <c r="AR219" s="561">
        <v>0</v>
      </c>
      <c r="AS219" s="561">
        <v>0</v>
      </c>
      <c r="AT219" s="561">
        <v>0</v>
      </c>
      <c r="AU219" s="561">
        <v>0</v>
      </c>
      <c r="AV219" s="561">
        <v>0</v>
      </c>
      <c r="AW219" s="561">
        <v>0</v>
      </c>
      <c r="AX219" s="561">
        <v>0</v>
      </c>
      <c r="AY219" s="561">
        <v>0</v>
      </c>
      <c r="AZ219" s="561">
        <v>0</v>
      </c>
      <c r="BA219" s="561">
        <v>0</v>
      </c>
      <c r="BB219" s="561">
        <v>0</v>
      </c>
      <c r="BC219" s="561">
        <v>0</v>
      </c>
      <c r="BD219" s="561">
        <v>0</v>
      </c>
      <c r="BE219" s="561">
        <v>0</v>
      </c>
      <c r="BF219" s="561">
        <v>0</v>
      </c>
      <c r="BG219" s="561">
        <v>0</v>
      </c>
      <c r="BH219" s="561">
        <v>0</v>
      </c>
      <c r="BI219" s="561">
        <v>0</v>
      </c>
      <c r="BJ219" s="561">
        <v>0</v>
      </c>
      <c r="BK219" s="561">
        <v>0</v>
      </c>
      <c r="BL219" s="561">
        <v>0</v>
      </c>
      <c r="BM219" s="561">
        <v>0</v>
      </c>
      <c r="BN219" s="561">
        <v>0</v>
      </c>
      <c r="BO219" s="561">
        <v>0</v>
      </c>
      <c r="BP219" s="561">
        <v>0</v>
      </c>
      <c r="BQ219" s="561">
        <v>0</v>
      </c>
      <c r="BR219" s="561">
        <v>0</v>
      </c>
      <c r="BS219" s="561">
        <v>0</v>
      </c>
      <c r="BT219" s="561">
        <v>0</v>
      </c>
      <c r="BU219" s="561">
        <v>0</v>
      </c>
      <c r="BV219" s="561">
        <v>0</v>
      </c>
      <c r="BW219" s="561">
        <v>0</v>
      </c>
      <c r="BX219" s="561">
        <v>0</v>
      </c>
      <c r="BY219" s="561">
        <v>0</v>
      </c>
      <c r="BZ219" s="561">
        <v>0</v>
      </c>
      <c r="CA219" s="561">
        <v>0</v>
      </c>
      <c r="CB219" s="561">
        <v>0</v>
      </c>
      <c r="CC219" s="561">
        <v>0</v>
      </c>
      <c r="CD219" s="561">
        <v>0</v>
      </c>
      <c r="CE219" s="561">
        <v>0</v>
      </c>
      <c r="CF219" s="561">
        <v>0</v>
      </c>
      <c r="CG219" s="561">
        <v>0</v>
      </c>
      <c r="CH219" s="561">
        <v>0</v>
      </c>
      <c r="CI219" s="561">
        <v>0</v>
      </c>
      <c r="CJ219" s="561">
        <v>0</v>
      </c>
      <c r="CK219" s="561">
        <v>0</v>
      </c>
      <c r="CL219" s="561">
        <v>0</v>
      </c>
      <c r="CM219" s="561">
        <v>0</v>
      </c>
      <c r="CN219" s="561">
        <v>0</v>
      </c>
      <c r="CO219" s="561">
        <v>0</v>
      </c>
      <c r="CP219" s="561">
        <v>0</v>
      </c>
      <c r="CQ219" s="561">
        <v>0</v>
      </c>
      <c r="CR219" s="561">
        <v>0</v>
      </c>
      <c r="CS219" s="561">
        <v>0</v>
      </c>
      <c r="CT219" s="561">
        <v>0</v>
      </c>
      <c r="CU219" s="561">
        <v>0</v>
      </c>
      <c r="CV219" s="561">
        <v>0</v>
      </c>
      <c r="CW219" s="561">
        <v>0</v>
      </c>
      <c r="CX219" s="561">
        <v>0</v>
      </c>
      <c r="CY219" s="561">
        <v>0</v>
      </c>
      <c r="CZ219" s="561">
        <v>0</v>
      </c>
      <c r="DA219" s="561">
        <v>0</v>
      </c>
      <c r="DB219" s="561">
        <v>0</v>
      </c>
      <c r="DC219" s="561">
        <v>0</v>
      </c>
      <c r="DD219" s="561">
        <v>0</v>
      </c>
      <c r="DE219" s="561">
        <v>0</v>
      </c>
      <c r="DF219" s="561">
        <v>0</v>
      </c>
      <c r="DG219" s="561">
        <v>0</v>
      </c>
      <c r="DH219" s="561">
        <v>0</v>
      </c>
      <c r="DI219" s="561">
        <v>0</v>
      </c>
      <c r="DJ219" s="561">
        <v>52</v>
      </c>
      <c r="DK219" s="561">
        <v>0</v>
      </c>
      <c r="DL219" s="561">
        <v>0</v>
      </c>
      <c r="DM219" s="561">
        <v>0</v>
      </c>
      <c r="DN219" s="561">
        <v>0</v>
      </c>
      <c r="DO219" s="561">
        <v>0</v>
      </c>
      <c r="DP219" s="561">
        <v>0</v>
      </c>
      <c r="DQ219" s="561">
        <v>0</v>
      </c>
      <c r="DR219" s="561">
        <v>0</v>
      </c>
      <c r="DS219" s="561">
        <v>1040</v>
      </c>
      <c r="DT219" s="561">
        <v>0</v>
      </c>
      <c r="DU219" s="561">
        <v>1040</v>
      </c>
      <c r="DV219" s="561">
        <v>27</v>
      </c>
      <c r="DW219" s="561">
        <v>0</v>
      </c>
      <c r="DX219" s="561">
        <v>9</v>
      </c>
      <c r="DY219" s="561">
        <v>448</v>
      </c>
      <c r="DZ219" s="561">
        <v>0</v>
      </c>
      <c r="EA219" s="561">
        <v>0</v>
      </c>
      <c r="EB219" s="561">
        <v>237</v>
      </c>
      <c r="EC219" s="561">
        <v>1813</v>
      </c>
      <c r="ED219" s="561">
        <v>0</v>
      </c>
      <c r="EE219" s="561">
        <v>8583</v>
      </c>
      <c r="EF219" s="561">
        <v>102</v>
      </c>
      <c r="EG219" s="561">
        <v>753</v>
      </c>
      <c r="EH219" s="561">
        <v>0</v>
      </c>
      <c r="EI219" s="561">
        <v>0</v>
      </c>
      <c r="EJ219" s="561">
        <v>0</v>
      </c>
      <c r="EK219" s="561">
        <v>444</v>
      </c>
      <c r="EL219" s="561">
        <v>0</v>
      </c>
      <c r="EM219" s="561">
        <v>3</v>
      </c>
      <c r="EN219" s="561">
        <v>4755</v>
      </c>
      <c r="EO219" s="561">
        <v>1440</v>
      </c>
      <c r="EP219" s="561">
        <v>1036</v>
      </c>
      <c r="EQ219" s="561">
        <v>200</v>
      </c>
      <c r="ER219" s="561">
        <v>1172</v>
      </c>
      <c r="ES219" s="561" t="s">
        <v>4565</v>
      </c>
      <c r="ET219" s="561">
        <v>1792</v>
      </c>
      <c r="EU219" s="561">
        <v>249</v>
      </c>
      <c r="EV219" s="561">
        <v>76</v>
      </c>
      <c r="EW219" s="561">
        <v>0</v>
      </c>
      <c r="EX219" s="561">
        <v>0</v>
      </c>
      <c r="EY219" s="561">
        <v>-61</v>
      </c>
      <c r="EZ219" s="561">
        <v>-774</v>
      </c>
      <c r="FA219" s="561">
        <v>3609</v>
      </c>
      <c r="FB219" s="561">
        <v>0</v>
      </c>
      <c r="FC219" s="561">
        <v>0</v>
      </c>
      <c r="FD219" s="561">
        <v>0</v>
      </c>
      <c r="FE219" s="561">
        <v>0</v>
      </c>
      <c r="FF219" s="561">
        <v>0</v>
      </c>
      <c r="FG219" s="561">
        <v>144</v>
      </c>
      <c r="FH219" s="561">
        <v>0</v>
      </c>
      <c r="FI219" s="561">
        <v>131</v>
      </c>
      <c r="FJ219" s="561">
        <v>278</v>
      </c>
      <c r="FK219" s="561">
        <v>488</v>
      </c>
      <c r="FL219" s="561">
        <v>41</v>
      </c>
      <c r="FM219" s="561">
        <v>284</v>
      </c>
      <c r="FN219" s="561">
        <v>0</v>
      </c>
      <c r="FO219" s="561">
        <v>1366</v>
      </c>
      <c r="FP219" s="561">
        <v>0</v>
      </c>
      <c r="FQ219" s="561">
        <v>130</v>
      </c>
      <c r="FR219" s="561">
        <v>0</v>
      </c>
      <c r="FS219" s="561">
        <v>0</v>
      </c>
      <c r="FT219" s="561">
        <v>0</v>
      </c>
      <c r="FU219" s="561">
        <v>0</v>
      </c>
      <c r="FV219" s="561">
        <v>0</v>
      </c>
      <c r="FW219" s="561">
        <v>0</v>
      </c>
      <c r="FX219" s="561">
        <v>0</v>
      </c>
      <c r="FY219" s="561">
        <v>0</v>
      </c>
      <c r="FZ219" s="561">
        <v>0</v>
      </c>
      <c r="GA219" s="561">
        <v>107</v>
      </c>
      <c r="GB219" s="561">
        <v>385</v>
      </c>
      <c r="GC219" s="561">
        <v>300</v>
      </c>
      <c r="GD219" s="561">
        <v>199</v>
      </c>
      <c r="GE219" s="561">
        <v>0</v>
      </c>
      <c r="GF219" s="561">
        <v>0</v>
      </c>
      <c r="GG219" s="561">
        <v>102</v>
      </c>
      <c r="GH219" s="561">
        <v>0</v>
      </c>
      <c r="GI219" s="561">
        <v>0</v>
      </c>
      <c r="GJ219" s="561">
        <v>0</v>
      </c>
      <c r="GK219" s="561">
        <v>0</v>
      </c>
      <c r="GL219" s="561">
        <v>613</v>
      </c>
      <c r="GM219" s="561">
        <v>413</v>
      </c>
      <c r="GN219" s="561">
        <v>0</v>
      </c>
      <c r="GO219" s="561">
        <v>0</v>
      </c>
      <c r="GP219" s="561">
        <v>761</v>
      </c>
      <c r="GQ219" s="561">
        <v>0</v>
      </c>
      <c r="GR219" s="561">
        <v>0</v>
      </c>
      <c r="GS219" s="561">
        <v>3010</v>
      </c>
      <c r="GT219" s="561">
        <v>5</v>
      </c>
      <c r="GU219" s="561">
        <v>157</v>
      </c>
      <c r="GV219" s="561">
        <v>314</v>
      </c>
      <c r="GW219" s="561">
        <v>0</v>
      </c>
      <c r="GX219" s="561">
        <v>562</v>
      </c>
      <c r="GY219" s="561">
        <v>0</v>
      </c>
      <c r="GZ219" s="561">
        <v>177</v>
      </c>
      <c r="HA219" s="561">
        <v>0</v>
      </c>
      <c r="HB219" s="561">
        <v>486</v>
      </c>
      <c r="HC219" s="561">
        <v>0</v>
      </c>
      <c r="HD219" s="561">
        <v>1696</v>
      </c>
      <c r="HE219" s="561">
        <v>156</v>
      </c>
      <c r="HF219" s="561">
        <v>6072</v>
      </c>
      <c r="HG219" s="561">
        <v>161</v>
      </c>
      <c r="HH219" s="561">
        <v>0</v>
      </c>
      <c r="HI219" s="561">
        <v>0</v>
      </c>
      <c r="HJ219" s="561">
        <v>0</v>
      </c>
      <c r="HK219" s="561">
        <v>0</v>
      </c>
      <c r="HL219" s="561">
        <v>0</v>
      </c>
      <c r="HM219" s="561">
        <v>0</v>
      </c>
      <c r="HN219" s="561">
        <v>0</v>
      </c>
      <c r="HO219" s="561">
        <v>918</v>
      </c>
      <c r="HP219" s="561">
        <v>182</v>
      </c>
      <c r="HQ219" s="561">
        <v>0</v>
      </c>
      <c r="HR219" s="561">
        <v>0</v>
      </c>
      <c r="HS219" s="561">
        <v>0</v>
      </c>
      <c r="HT219" s="561">
        <v>198</v>
      </c>
      <c r="HU219" s="561">
        <v>0</v>
      </c>
      <c r="HV219" s="561">
        <v>0</v>
      </c>
      <c r="HW219" s="561">
        <v>165</v>
      </c>
      <c r="HX219" s="561">
        <v>612</v>
      </c>
      <c r="HY219" s="561">
        <v>174</v>
      </c>
      <c r="HZ219" s="561">
        <v>75</v>
      </c>
      <c r="IA219" s="561">
        <v>0</v>
      </c>
      <c r="IB219" s="561">
        <v>61</v>
      </c>
      <c r="IC219" s="561">
        <v>0</v>
      </c>
      <c r="ID219" s="561">
        <v>0</v>
      </c>
      <c r="IE219" s="561">
        <v>32</v>
      </c>
      <c r="IF219" s="561">
        <v>0</v>
      </c>
      <c r="IG219" s="561">
        <v>0</v>
      </c>
      <c r="IH219" s="561">
        <v>-398</v>
      </c>
      <c r="II219" s="561">
        <v>2019</v>
      </c>
      <c r="IJ219" s="561">
        <v>374</v>
      </c>
      <c r="IK219" s="561">
        <v>0</v>
      </c>
      <c r="IL219" s="561">
        <v>0</v>
      </c>
      <c r="IM219" s="561">
        <v>0</v>
      </c>
      <c r="IN219" s="561">
        <v>0</v>
      </c>
      <c r="IO219" s="561">
        <v>0</v>
      </c>
      <c r="IP219" s="561">
        <v>677</v>
      </c>
      <c r="IQ219" s="561">
        <v>0</v>
      </c>
      <c r="IR219" s="561">
        <v>0</v>
      </c>
      <c r="IS219" s="561">
        <v>-258</v>
      </c>
      <c r="IT219" s="561">
        <v>0</v>
      </c>
      <c r="IU219" s="561">
        <v>0</v>
      </c>
      <c r="IV219" s="561">
        <v>0</v>
      </c>
      <c r="IW219" s="561">
        <v>1813</v>
      </c>
      <c r="IX219" s="561">
        <v>1366</v>
      </c>
      <c r="IY219" s="561">
        <v>3010</v>
      </c>
      <c r="IZ219" s="561">
        <v>1696</v>
      </c>
      <c r="JA219" s="561">
        <v>0</v>
      </c>
      <c r="JB219" s="561">
        <v>0</v>
      </c>
      <c r="JC219" s="561">
        <v>2019</v>
      </c>
      <c r="JD219" s="561">
        <v>677</v>
      </c>
      <c r="JE219" s="561">
        <v>10323</v>
      </c>
      <c r="JF219" s="561">
        <v>3097</v>
      </c>
      <c r="JG219" s="561">
        <v>49</v>
      </c>
      <c r="JH219" s="561">
        <v>2218</v>
      </c>
      <c r="JI219" s="561">
        <v>0</v>
      </c>
      <c r="JJ219" s="561">
        <v>0</v>
      </c>
      <c r="JK219" s="561">
        <v>824</v>
      </c>
      <c r="JL219" s="561">
        <v>0</v>
      </c>
      <c r="JM219" s="561">
        <v>0</v>
      </c>
      <c r="JN219" s="561">
        <v>0</v>
      </c>
      <c r="JO219" s="561">
        <v>0</v>
      </c>
      <c r="JP219" s="561">
        <v>291</v>
      </c>
      <c r="JQ219" s="561">
        <v>0</v>
      </c>
      <c r="JR219" s="561">
        <v>-414</v>
      </c>
      <c r="JS219" s="561">
        <v>0</v>
      </c>
      <c r="JT219" s="561">
        <v>0</v>
      </c>
      <c r="JU219" s="561">
        <v>0</v>
      </c>
      <c r="JV219" s="561">
        <v>16388</v>
      </c>
      <c r="JW219" s="561">
        <v>0</v>
      </c>
      <c r="JX219" s="561">
        <v>187</v>
      </c>
      <c r="JY219" s="561">
        <v>0</v>
      </c>
      <c r="JZ219" s="561">
        <v>0</v>
      </c>
      <c r="KA219" s="561">
        <v>0</v>
      </c>
      <c r="KB219" s="561">
        <v>-22</v>
      </c>
      <c r="KC219" s="561">
        <v>214</v>
      </c>
      <c r="KD219" s="561">
        <v>44</v>
      </c>
      <c r="KE219" s="561">
        <v>1173</v>
      </c>
      <c r="KF219" s="561">
        <v>-735</v>
      </c>
      <c r="KG219" s="561">
        <v>17249</v>
      </c>
      <c r="KH219" s="561">
        <v>-1337</v>
      </c>
      <c r="KI219" s="561">
        <v>0</v>
      </c>
      <c r="KJ219" s="561">
        <v>0</v>
      </c>
      <c r="KK219" s="561">
        <v>0</v>
      </c>
      <c r="KL219" s="561">
        <v>-7307</v>
      </c>
      <c r="KM219" s="561">
        <v>0</v>
      </c>
      <c r="KN219" s="561">
        <v>0</v>
      </c>
      <c r="KO219" s="561">
        <v>0</v>
      </c>
      <c r="KP219" s="561">
        <v>0</v>
      </c>
      <c r="KQ219" s="561">
        <v>0</v>
      </c>
      <c r="KR219" s="561">
        <v>8605</v>
      </c>
      <c r="KS219" s="561">
        <v>0</v>
      </c>
      <c r="KT219" s="561">
        <v>-1340</v>
      </c>
      <c r="KU219" s="561">
        <v>7265</v>
      </c>
      <c r="KV219" s="561">
        <v>0</v>
      </c>
      <c r="KW219" s="561">
        <v>0</v>
      </c>
      <c r="KX219" s="561">
        <v>0</v>
      </c>
      <c r="KY219" s="561">
        <v>0</v>
      </c>
      <c r="KZ219" s="561">
        <v>1283</v>
      </c>
      <c r="LA219" s="561">
        <v>0</v>
      </c>
      <c r="LB219" s="561">
        <v>-42</v>
      </c>
      <c r="LC219" s="561">
        <v>0</v>
      </c>
      <c r="LD219" s="561">
        <v>-2994</v>
      </c>
      <c r="LE219" s="561">
        <v>-45</v>
      </c>
      <c r="LF219" s="561">
        <v>0</v>
      </c>
      <c r="LG219" s="561">
        <v>5467</v>
      </c>
      <c r="LH219" s="561">
        <v>0</v>
      </c>
      <c r="LI219" s="561">
        <v>0</v>
      </c>
      <c r="LJ219" s="561">
        <v>0</v>
      </c>
      <c r="LK219" s="561">
        <v>0</v>
      </c>
      <c r="LL219" s="561">
        <v>6731</v>
      </c>
      <c r="LM219" s="561">
        <v>1050</v>
      </c>
      <c r="LN219" s="561">
        <v>0</v>
      </c>
      <c r="LO219" s="561">
        <v>0</v>
      </c>
      <c r="LP219" s="561">
        <v>0</v>
      </c>
      <c r="LQ219" s="561">
        <v>0</v>
      </c>
      <c r="LR219" s="561">
        <v>8014</v>
      </c>
      <c r="LS219" s="561">
        <v>1050</v>
      </c>
      <c r="LT219" s="561">
        <v>0</v>
      </c>
      <c r="LU219" s="561">
        <v>1594</v>
      </c>
      <c r="LV219" s="561">
        <v>0</v>
      </c>
      <c r="LW219" s="561">
        <v>-477</v>
      </c>
      <c r="LX219" s="561">
        <v>0</v>
      </c>
      <c r="LY219" s="561">
        <v>1717</v>
      </c>
      <c r="LZ219" s="561">
        <v>2834</v>
      </c>
      <c r="MA219" s="561">
        <v>0</v>
      </c>
      <c r="MB219" s="561">
        <v>0</v>
      </c>
      <c r="MC219" s="561">
        <v>9885</v>
      </c>
      <c r="MD219" s="561">
        <v>10659</v>
      </c>
      <c r="ME219" s="561">
        <v>-774</v>
      </c>
      <c r="MF219" s="561">
        <v>3609</v>
      </c>
      <c r="MG219" s="561">
        <v>2835</v>
      </c>
      <c r="MH219" s="561">
        <v>1154</v>
      </c>
      <c r="MI219" s="561">
        <v>1200</v>
      </c>
      <c r="MJ219" s="561">
        <v>2354</v>
      </c>
      <c r="MK219" s="561">
        <v>0</v>
      </c>
      <c r="ML219" s="561">
        <v>0</v>
      </c>
      <c r="MM219" s="561">
        <v>4173</v>
      </c>
      <c r="MN219" s="561">
        <v>3841</v>
      </c>
      <c r="MO219" s="561">
        <v>0</v>
      </c>
      <c r="MP219" s="561">
        <v>0</v>
      </c>
      <c r="MQ219" s="561">
        <v>0</v>
      </c>
      <c r="MR219" s="561">
        <v>-258</v>
      </c>
      <c r="MS219" s="561">
        <v>0</v>
      </c>
      <c r="MT219" s="561">
        <v>0</v>
      </c>
      <c r="MU219" s="561">
        <v>0</v>
      </c>
      <c r="MV219" s="561">
        <v>1813</v>
      </c>
      <c r="MW219" s="561">
        <v>1366</v>
      </c>
      <c r="MX219" s="561">
        <v>3010</v>
      </c>
      <c r="MY219" s="561">
        <v>1696</v>
      </c>
      <c r="MZ219" s="561">
        <v>0</v>
      </c>
      <c r="NA219" s="561">
        <v>0</v>
      </c>
      <c r="NB219" s="561">
        <v>2019</v>
      </c>
      <c r="NC219" s="561">
        <v>677</v>
      </c>
      <c r="ND219" s="561">
        <v>10323</v>
      </c>
      <c r="NE219" s="561">
        <v>0</v>
      </c>
      <c r="NF219" s="561">
        <v>0</v>
      </c>
      <c r="NG219" s="561">
        <v>0</v>
      </c>
      <c r="NH219" s="561">
        <v>0</v>
      </c>
      <c r="NI219" s="561">
        <v>0</v>
      </c>
      <c r="NJ219" s="561">
        <v>0</v>
      </c>
      <c r="NK219" s="561">
        <v>0</v>
      </c>
      <c r="NL219" s="561">
        <v>0</v>
      </c>
      <c r="NM219" s="561">
        <v>0</v>
      </c>
      <c r="NN219" s="561">
        <v>0</v>
      </c>
      <c r="NO219" s="561">
        <v>0</v>
      </c>
      <c r="NP219" s="561">
        <v>0</v>
      </c>
      <c r="NQ219" s="561">
        <v>0</v>
      </c>
      <c r="NR219" s="561">
        <v>0</v>
      </c>
      <c r="NS219" s="561">
        <v>0</v>
      </c>
      <c r="NT219" s="561">
        <v>-105</v>
      </c>
      <c r="NU219" s="561">
        <v>-3</v>
      </c>
      <c r="NV219" s="561">
        <v>-18</v>
      </c>
      <c r="NW219" s="561">
        <v>-123</v>
      </c>
      <c r="NX219" s="561">
        <v>414</v>
      </c>
      <c r="NY219" s="561">
        <v>291</v>
      </c>
      <c r="NZ219" s="561">
        <v>0</v>
      </c>
      <c r="OA219" s="561">
        <v>0</v>
      </c>
      <c r="OB219" s="561">
        <v>0</v>
      </c>
      <c r="OC219" s="561">
        <v>0</v>
      </c>
      <c r="OD219" s="561">
        <v>0</v>
      </c>
      <c r="OE219" s="561">
        <v>0</v>
      </c>
      <c r="OF219" s="561">
        <v>0</v>
      </c>
      <c r="OG219" s="561">
        <v>0</v>
      </c>
      <c r="OH219" s="561">
        <v>0</v>
      </c>
      <c r="OI219" s="561">
        <v>0</v>
      </c>
      <c r="OJ219" s="561">
        <v>0</v>
      </c>
      <c r="OK219" s="561">
        <v>0</v>
      </c>
      <c r="OL219" s="561">
        <v>0</v>
      </c>
      <c r="OM219" s="561">
        <v>0</v>
      </c>
      <c r="ON219" s="561">
        <v>0</v>
      </c>
      <c r="OO219" s="561">
        <v>0</v>
      </c>
      <c r="OP219" s="561">
        <v>0</v>
      </c>
      <c r="OQ219" s="561">
        <v>0</v>
      </c>
      <c r="OR219" s="561">
        <v>0</v>
      </c>
      <c r="OS219" s="561">
        <v>0</v>
      </c>
      <c r="OT219" s="561">
        <v>0</v>
      </c>
      <c r="OU219" s="561">
        <v>0</v>
      </c>
      <c r="OV219" s="561">
        <v>82</v>
      </c>
      <c r="OW219" s="561">
        <v>0</v>
      </c>
      <c r="OX219" s="561">
        <v>0</v>
      </c>
      <c r="OY219" s="561">
        <v>583</v>
      </c>
      <c r="OZ219" s="561">
        <v>0</v>
      </c>
      <c r="PA219" s="561">
        <v>-169</v>
      </c>
      <c r="PB219" s="561">
        <v>0</v>
      </c>
      <c r="PC219" s="561">
        <v>0</v>
      </c>
      <c r="PD219" s="561">
        <v>414</v>
      </c>
      <c r="PE219" s="561">
        <v>0</v>
      </c>
      <c r="PF219" s="561">
        <v>0</v>
      </c>
      <c r="PG219" s="561">
        <v>0</v>
      </c>
      <c r="PH219" s="561">
        <v>0</v>
      </c>
      <c r="PI219" s="561">
        <v>0</v>
      </c>
      <c r="PJ219" s="561">
        <v>0</v>
      </c>
    </row>
    <row r="220" spans="1:426" ht="14" x14ac:dyDescent="0.3">
      <c r="A220" t="s">
        <v>3103</v>
      </c>
      <c r="B220" t="s">
        <v>3104</v>
      </c>
      <c r="C220" t="s">
        <v>4629</v>
      </c>
      <c r="E220" t="s">
        <v>2466</v>
      </c>
      <c r="F220" s="561">
        <v>0</v>
      </c>
      <c r="G220" s="561">
        <v>0</v>
      </c>
      <c r="H220" s="561">
        <v>0</v>
      </c>
      <c r="I220" s="561">
        <v>0</v>
      </c>
      <c r="J220" s="561">
        <v>0</v>
      </c>
      <c r="K220" s="561">
        <v>0</v>
      </c>
      <c r="L220" s="561">
        <v>0</v>
      </c>
      <c r="M220" s="561">
        <v>0</v>
      </c>
      <c r="N220" s="561">
        <v>0</v>
      </c>
      <c r="O220" s="561">
        <v>0</v>
      </c>
      <c r="P220" s="561">
        <v>0</v>
      </c>
      <c r="Q220" s="561">
        <v>0</v>
      </c>
      <c r="R220" s="561">
        <v>0</v>
      </c>
      <c r="S220" s="561">
        <v>0</v>
      </c>
      <c r="T220" s="561">
        <v>0</v>
      </c>
      <c r="U220" s="561">
        <v>0</v>
      </c>
      <c r="V220" s="561">
        <v>0</v>
      </c>
      <c r="W220" s="561">
        <v>0</v>
      </c>
      <c r="X220" s="561">
        <v>0</v>
      </c>
      <c r="Y220" s="561">
        <v>0</v>
      </c>
      <c r="Z220" s="561">
        <v>0</v>
      </c>
      <c r="AA220" s="561">
        <v>0</v>
      </c>
      <c r="AB220" s="561">
        <v>0</v>
      </c>
      <c r="AC220" s="561">
        <v>0</v>
      </c>
      <c r="AD220" s="561">
        <v>0</v>
      </c>
      <c r="AE220" s="561">
        <v>0</v>
      </c>
      <c r="AF220" s="561">
        <v>0</v>
      </c>
      <c r="AG220" s="561">
        <v>0</v>
      </c>
      <c r="AH220" s="561">
        <v>0</v>
      </c>
      <c r="AI220" s="561">
        <v>0</v>
      </c>
      <c r="AJ220" s="561">
        <v>0</v>
      </c>
      <c r="AK220" s="561">
        <v>0</v>
      </c>
      <c r="AL220" s="561">
        <v>0</v>
      </c>
      <c r="AM220" s="561">
        <v>0</v>
      </c>
      <c r="AN220" s="561">
        <v>0</v>
      </c>
      <c r="AO220" s="561">
        <v>0</v>
      </c>
      <c r="AP220" s="561">
        <v>0</v>
      </c>
      <c r="AQ220" s="561">
        <v>0</v>
      </c>
      <c r="AR220" s="561">
        <v>0</v>
      </c>
      <c r="AS220" s="561">
        <v>0</v>
      </c>
      <c r="AT220" s="561">
        <v>0</v>
      </c>
      <c r="AU220" s="561">
        <v>0</v>
      </c>
      <c r="AV220" s="561">
        <v>0</v>
      </c>
      <c r="AW220" s="561">
        <v>0</v>
      </c>
      <c r="AX220" s="561">
        <v>0</v>
      </c>
      <c r="AY220" s="561">
        <v>0</v>
      </c>
      <c r="AZ220" s="561">
        <v>0</v>
      </c>
      <c r="BA220" s="561">
        <v>0</v>
      </c>
      <c r="BB220" s="561">
        <v>0</v>
      </c>
      <c r="BC220" s="561">
        <v>0</v>
      </c>
      <c r="BD220" s="561">
        <v>0</v>
      </c>
      <c r="BE220" s="561">
        <v>0</v>
      </c>
      <c r="BF220" s="561">
        <v>0</v>
      </c>
      <c r="BG220" s="561">
        <v>0</v>
      </c>
      <c r="BH220" s="561">
        <v>0</v>
      </c>
      <c r="BI220" s="561">
        <v>0</v>
      </c>
      <c r="BJ220" s="561">
        <v>0</v>
      </c>
      <c r="BK220" s="561">
        <v>0</v>
      </c>
      <c r="BL220" s="561">
        <v>0</v>
      </c>
      <c r="BM220" s="561">
        <v>0</v>
      </c>
      <c r="BN220" s="561">
        <v>0</v>
      </c>
      <c r="BO220" s="561">
        <v>0</v>
      </c>
      <c r="BP220" s="561">
        <v>0</v>
      </c>
      <c r="BQ220" s="561">
        <v>0</v>
      </c>
      <c r="BR220" s="561">
        <v>0</v>
      </c>
      <c r="BS220" s="561">
        <v>0</v>
      </c>
      <c r="BT220" s="561">
        <v>0</v>
      </c>
      <c r="BU220" s="561">
        <v>0</v>
      </c>
      <c r="BV220" s="561">
        <v>0</v>
      </c>
      <c r="BW220" s="561">
        <v>0</v>
      </c>
      <c r="BX220" s="561">
        <v>0</v>
      </c>
      <c r="BY220" s="561">
        <v>0</v>
      </c>
      <c r="BZ220" s="561">
        <v>0</v>
      </c>
      <c r="CA220" s="561">
        <v>0</v>
      </c>
      <c r="CB220" s="561">
        <v>0</v>
      </c>
      <c r="CC220" s="561">
        <v>0</v>
      </c>
      <c r="CD220" s="561">
        <v>0</v>
      </c>
      <c r="CE220" s="561">
        <v>0</v>
      </c>
      <c r="CF220" s="561">
        <v>0</v>
      </c>
      <c r="CG220" s="561">
        <v>0</v>
      </c>
      <c r="CH220" s="561">
        <v>0</v>
      </c>
      <c r="CI220" s="561">
        <v>0</v>
      </c>
      <c r="CJ220" s="561">
        <v>0</v>
      </c>
      <c r="CK220" s="561">
        <v>0</v>
      </c>
      <c r="CL220" s="561">
        <v>0</v>
      </c>
      <c r="CM220" s="561">
        <v>0</v>
      </c>
      <c r="CN220" s="561">
        <v>0</v>
      </c>
      <c r="CO220" s="561">
        <v>0</v>
      </c>
      <c r="CP220" s="561">
        <v>0</v>
      </c>
      <c r="CQ220" s="561">
        <v>0</v>
      </c>
      <c r="CR220" s="561">
        <v>0</v>
      </c>
      <c r="CS220" s="561">
        <v>0</v>
      </c>
      <c r="CT220" s="561">
        <v>0</v>
      </c>
      <c r="CU220" s="561">
        <v>0</v>
      </c>
      <c r="CV220" s="561">
        <v>0</v>
      </c>
      <c r="CW220" s="561">
        <v>0</v>
      </c>
      <c r="CX220" s="561">
        <v>0</v>
      </c>
      <c r="CY220" s="561">
        <v>0</v>
      </c>
      <c r="CZ220" s="561">
        <v>0</v>
      </c>
      <c r="DA220" s="561">
        <v>0</v>
      </c>
      <c r="DB220" s="561">
        <v>0</v>
      </c>
      <c r="DC220" s="561">
        <v>0</v>
      </c>
      <c r="DD220" s="561">
        <v>0</v>
      </c>
      <c r="DE220" s="561">
        <v>0</v>
      </c>
      <c r="DF220" s="561">
        <v>0</v>
      </c>
      <c r="DG220" s="561">
        <v>0</v>
      </c>
      <c r="DH220" s="561">
        <v>0</v>
      </c>
      <c r="DI220" s="561">
        <v>0</v>
      </c>
      <c r="DJ220" s="561">
        <v>0</v>
      </c>
      <c r="DK220" s="561">
        <v>0</v>
      </c>
      <c r="DL220" s="561">
        <v>0</v>
      </c>
      <c r="DM220" s="561">
        <v>0</v>
      </c>
      <c r="DN220" s="561">
        <v>0</v>
      </c>
      <c r="DO220" s="561">
        <v>0</v>
      </c>
      <c r="DP220" s="561">
        <v>0</v>
      </c>
      <c r="DQ220" s="561">
        <v>0</v>
      </c>
      <c r="DR220" s="561">
        <v>0</v>
      </c>
      <c r="DS220" s="561">
        <v>0</v>
      </c>
      <c r="DT220" s="561">
        <v>0</v>
      </c>
      <c r="DU220" s="561">
        <v>0</v>
      </c>
      <c r="DV220" s="561">
        <v>0</v>
      </c>
      <c r="DW220" s="561">
        <v>0</v>
      </c>
      <c r="DX220" s="561">
        <v>0</v>
      </c>
      <c r="DY220" s="561">
        <v>0</v>
      </c>
      <c r="DZ220" s="561">
        <v>0</v>
      </c>
      <c r="EA220" s="561">
        <v>0</v>
      </c>
      <c r="EB220" s="561">
        <v>0</v>
      </c>
      <c r="EC220" s="561">
        <v>0</v>
      </c>
      <c r="ED220" s="561">
        <v>0</v>
      </c>
      <c r="EE220" s="561">
        <v>0</v>
      </c>
      <c r="EF220" s="561">
        <v>0</v>
      </c>
      <c r="EG220" s="561">
        <v>0</v>
      </c>
      <c r="EH220" s="561">
        <v>0</v>
      </c>
      <c r="EI220" s="561">
        <v>0</v>
      </c>
      <c r="EJ220" s="561">
        <v>0</v>
      </c>
      <c r="EK220" s="561">
        <v>0</v>
      </c>
      <c r="EL220" s="561">
        <v>0</v>
      </c>
      <c r="EM220" s="561">
        <v>0</v>
      </c>
      <c r="EN220" s="561">
        <v>0</v>
      </c>
      <c r="EO220" s="561">
        <v>0</v>
      </c>
      <c r="EP220" s="561">
        <v>0</v>
      </c>
      <c r="EQ220" s="561">
        <v>0</v>
      </c>
      <c r="ER220" s="561">
        <v>0</v>
      </c>
      <c r="ES220" s="561" t="s">
        <v>4565</v>
      </c>
      <c r="ET220" s="561">
        <v>0</v>
      </c>
      <c r="EU220" s="561">
        <v>0</v>
      </c>
      <c r="EV220" s="561">
        <v>0</v>
      </c>
      <c r="EW220" s="561">
        <v>0</v>
      </c>
      <c r="EX220" s="561">
        <v>0</v>
      </c>
      <c r="EY220" s="561">
        <v>0</v>
      </c>
      <c r="EZ220" s="561">
        <v>0</v>
      </c>
      <c r="FA220" s="561">
        <v>0</v>
      </c>
      <c r="FB220" s="561">
        <v>0</v>
      </c>
      <c r="FC220" s="561">
        <v>0</v>
      </c>
      <c r="FD220" s="561">
        <v>0</v>
      </c>
      <c r="FE220" s="561">
        <v>0</v>
      </c>
      <c r="FF220" s="561">
        <v>0</v>
      </c>
      <c r="FG220" s="561">
        <v>0</v>
      </c>
      <c r="FH220" s="561">
        <v>0</v>
      </c>
      <c r="FI220" s="561">
        <v>0</v>
      </c>
      <c r="FJ220" s="561">
        <v>0</v>
      </c>
      <c r="FK220" s="561">
        <v>0</v>
      </c>
      <c r="FL220" s="561">
        <v>0</v>
      </c>
      <c r="FM220" s="561">
        <v>0</v>
      </c>
      <c r="FN220" s="561">
        <v>0</v>
      </c>
      <c r="FO220" s="561">
        <v>0</v>
      </c>
      <c r="FP220" s="561">
        <v>0</v>
      </c>
      <c r="FQ220" s="561">
        <v>0</v>
      </c>
      <c r="FR220" s="561">
        <v>0</v>
      </c>
      <c r="FS220" s="561">
        <v>0</v>
      </c>
      <c r="FT220" s="561">
        <v>0</v>
      </c>
      <c r="FU220" s="561">
        <v>0</v>
      </c>
      <c r="FV220" s="561">
        <v>0</v>
      </c>
      <c r="FW220" s="561">
        <v>0</v>
      </c>
      <c r="FX220" s="561">
        <v>0</v>
      </c>
      <c r="FY220" s="561">
        <v>0</v>
      </c>
      <c r="FZ220" s="561">
        <v>0</v>
      </c>
      <c r="GA220" s="561">
        <v>0</v>
      </c>
      <c r="GB220" s="561">
        <v>0</v>
      </c>
      <c r="GC220" s="561">
        <v>0</v>
      </c>
      <c r="GD220" s="561">
        <v>0</v>
      </c>
      <c r="GE220" s="561">
        <v>0</v>
      </c>
      <c r="GF220" s="561">
        <v>0</v>
      </c>
      <c r="GG220" s="561">
        <v>0</v>
      </c>
      <c r="GH220" s="561">
        <v>0</v>
      </c>
      <c r="GI220" s="561">
        <v>0</v>
      </c>
      <c r="GJ220" s="561">
        <v>0</v>
      </c>
      <c r="GK220" s="561">
        <v>0</v>
      </c>
      <c r="GL220" s="561">
        <v>0</v>
      </c>
      <c r="GM220" s="561">
        <v>0</v>
      </c>
      <c r="GN220" s="561">
        <v>0</v>
      </c>
      <c r="GO220" s="561">
        <v>0</v>
      </c>
      <c r="GP220" s="561">
        <v>0</v>
      </c>
      <c r="GQ220" s="561">
        <v>0</v>
      </c>
      <c r="GR220" s="561">
        <v>0</v>
      </c>
      <c r="GS220" s="561">
        <v>0</v>
      </c>
      <c r="GT220" s="561">
        <v>0</v>
      </c>
      <c r="GU220" s="561">
        <v>0</v>
      </c>
      <c r="GV220" s="561">
        <v>0</v>
      </c>
      <c r="GW220" s="561">
        <v>0</v>
      </c>
      <c r="GX220" s="561">
        <v>0</v>
      </c>
      <c r="GY220" s="561">
        <v>0</v>
      </c>
      <c r="GZ220" s="561">
        <v>0</v>
      </c>
      <c r="HA220" s="561">
        <v>0</v>
      </c>
      <c r="HB220" s="561">
        <v>0</v>
      </c>
      <c r="HC220" s="561">
        <v>0</v>
      </c>
      <c r="HD220" s="561">
        <v>0</v>
      </c>
      <c r="HE220" s="561">
        <v>0</v>
      </c>
      <c r="HF220" s="561">
        <v>0</v>
      </c>
      <c r="HG220" s="561">
        <v>0</v>
      </c>
      <c r="HH220" s="561">
        <v>0</v>
      </c>
      <c r="HI220" s="561">
        <v>0</v>
      </c>
      <c r="HJ220" s="561">
        <v>8616</v>
      </c>
      <c r="HK220" s="561">
        <v>50516</v>
      </c>
      <c r="HL220" s="561">
        <v>0</v>
      </c>
      <c r="HM220" s="561">
        <v>59132</v>
      </c>
      <c r="HN220" s="561">
        <v>86</v>
      </c>
      <c r="HO220" s="561">
        <v>648</v>
      </c>
      <c r="HP220" s="561">
        <v>0</v>
      </c>
      <c r="HQ220" s="561">
        <v>0</v>
      </c>
      <c r="HR220" s="561">
        <v>0</v>
      </c>
      <c r="HS220" s="561">
        <v>0</v>
      </c>
      <c r="HT220" s="561">
        <v>0</v>
      </c>
      <c r="HU220" s="561">
        <v>0</v>
      </c>
      <c r="HV220" s="561">
        <v>0</v>
      </c>
      <c r="HW220" s="561">
        <v>0</v>
      </c>
      <c r="HX220" s="561">
        <v>0</v>
      </c>
      <c r="HY220" s="561">
        <v>0</v>
      </c>
      <c r="HZ220" s="561">
        <v>0</v>
      </c>
      <c r="IA220" s="561">
        <v>0</v>
      </c>
      <c r="IB220" s="561">
        <v>0</v>
      </c>
      <c r="IC220" s="561">
        <v>0</v>
      </c>
      <c r="ID220" s="561">
        <v>0</v>
      </c>
      <c r="IE220" s="561">
        <v>0</v>
      </c>
      <c r="IF220" s="561">
        <v>0</v>
      </c>
      <c r="IG220" s="561">
        <v>0</v>
      </c>
      <c r="IH220" s="561">
        <v>0</v>
      </c>
      <c r="II220" s="561">
        <v>648</v>
      </c>
      <c r="IJ220" s="561">
        <v>0</v>
      </c>
      <c r="IK220" s="561">
        <v>0</v>
      </c>
      <c r="IL220" s="561">
        <v>0</v>
      </c>
      <c r="IM220" s="561">
        <v>0</v>
      </c>
      <c r="IN220" s="561">
        <v>0</v>
      </c>
      <c r="IO220" s="561">
        <v>0</v>
      </c>
      <c r="IP220" s="561">
        <v>0</v>
      </c>
      <c r="IQ220" s="561">
        <v>0</v>
      </c>
      <c r="IR220" s="561">
        <v>0</v>
      </c>
      <c r="IS220" s="561">
        <v>0</v>
      </c>
      <c r="IT220" s="561">
        <v>0</v>
      </c>
      <c r="IU220" s="561">
        <v>0</v>
      </c>
      <c r="IV220" s="561">
        <v>0</v>
      </c>
      <c r="IW220" s="561">
        <v>0</v>
      </c>
      <c r="IX220" s="561">
        <v>0</v>
      </c>
      <c r="IY220" s="561">
        <v>0</v>
      </c>
      <c r="IZ220" s="561">
        <v>0</v>
      </c>
      <c r="JA220" s="561">
        <v>0</v>
      </c>
      <c r="JB220" s="561">
        <v>59132</v>
      </c>
      <c r="JC220" s="561">
        <v>648</v>
      </c>
      <c r="JD220" s="561">
        <v>0</v>
      </c>
      <c r="JE220" s="561">
        <v>59780</v>
      </c>
      <c r="JF220" s="561">
        <v>0</v>
      </c>
      <c r="JG220" s="561">
        <v>0</v>
      </c>
      <c r="JH220" s="561">
        <v>0</v>
      </c>
      <c r="JI220" s="561">
        <v>0</v>
      </c>
      <c r="JJ220" s="561">
        <v>0</v>
      </c>
      <c r="JK220" s="561">
        <v>0</v>
      </c>
      <c r="JL220" s="561">
        <v>0</v>
      </c>
      <c r="JM220" s="561">
        <v>0</v>
      </c>
      <c r="JN220" s="561">
        <v>0</v>
      </c>
      <c r="JO220" s="561">
        <v>0</v>
      </c>
      <c r="JP220" s="561">
        <v>0</v>
      </c>
      <c r="JQ220" s="561">
        <v>0</v>
      </c>
      <c r="JR220" s="561">
        <v>0</v>
      </c>
      <c r="JS220" s="561">
        <v>0</v>
      </c>
      <c r="JT220" s="561">
        <v>350</v>
      </c>
      <c r="JU220" s="561">
        <v>0</v>
      </c>
      <c r="JV220" s="561">
        <v>60130</v>
      </c>
      <c r="JW220" s="561">
        <v>0</v>
      </c>
      <c r="JX220" s="561">
        <v>8920</v>
      </c>
      <c r="JY220" s="561">
        <v>0</v>
      </c>
      <c r="JZ220" s="561">
        <v>0</v>
      </c>
      <c r="KA220" s="561">
        <v>0</v>
      </c>
      <c r="KB220" s="561">
        <v>0</v>
      </c>
      <c r="KC220" s="561">
        <v>6410</v>
      </c>
      <c r="KD220" s="561">
        <v>0</v>
      </c>
      <c r="KE220" s="561">
        <v>3313</v>
      </c>
      <c r="KF220" s="561">
        <v>0</v>
      </c>
      <c r="KG220" s="561">
        <v>78773</v>
      </c>
      <c r="KH220" s="561">
        <v>-1640</v>
      </c>
      <c r="KI220" s="561">
        <v>0</v>
      </c>
      <c r="KJ220" s="561">
        <v>-22</v>
      </c>
      <c r="KK220" s="561">
        <v>0</v>
      </c>
      <c r="KL220" s="561">
        <v>0</v>
      </c>
      <c r="KM220" s="561">
        <v>0</v>
      </c>
      <c r="KN220" s="561">
        <v>0</v>
      </c>
      <c r="KO220" s="561">
        <v>0</v>
      </c>
      <c r="KP220" s="561">
        <v>0</v>
      </c>
      <c r="KQ220" s="561">
        <v>0</v>
      </c>
      <c r="KR220" s="561">
        <v>77111</v>
      </c>
      <c r="KS220" s="561">
        <v>0</v>
      </c>
      <c r="KT220" s="561">
        <v>-4392</v>
      </c>
      <c r="KU220" s="561">
        <v>72719</v>
      </c>
      <c r="KV220" s="561">
        <v>0</v>
      </c>
      <c r="KW220" s="561">
        <v>0</v>
      </c>
      <c r="KX220" s="561">
        <v>0</v>
      </c>
      <c r="KY220" s="561">
        <v>0</v>
      </c>
      <c r="KZ220" s="561">
        <v>1395</v>
      </c>
      <c r="LA220" s="561">
        <v>200</v>
      </c>
      <c r="LB220" s="561">
        <v>-16629</v>
      </c>
      <c r="LC220" s="561">
        <v>0</v>
      </c>
      <c r="LD220" s="561">
        <v>-21818</v>
      </c>
      <c r="LE220" s="561">
        <v>63</v>
      </c>
      <c r="LF220" s="561">
        <v>-358</v>
      </c>
      <c r="LG220" s="561">
        <v>35572</v>
      </c>
      <c r="LH220" s="561">
        <v>0</v>
      </c>
      <c r="LI220" s="561">
        <v>0</v>
      </c>
      <c r="LJ220" s="561">
        <v>0</v>
      </c>
      <c r="LK220" s="561">
        <v>0</v>
      </c>
      <c r="LL220" s="561">
        <v>12174</v>
      </c>
      <c r="LM220" s="561">
        <v>3700</v>
      </c>
      <c r="LN220" s="561">
        <v>0</v>
      </c>
      <c r="LO220" s="561">
        <v>0</v>
      </c>
      <c r="LP220" s="561">
        <v>0</v>
      </c>
      <c r="LQ220" s="561">
        <v>0</v>
      </c>
      <c r="LR220" s="561">
        <v>13569</v>
      </c>
      <c r="LS220" s="561">
        <v>3900</v>
      </c>
      <c r="LT220" s="561">
        <v>0</v>
      </c>
      <c r="LU220" s="561">
        <v>5450</v>
      </c>
      <c r="LV220" s="561">
        <v>0</v>
      </c>
      <c r="LW220" s="561">
        <v>-366</v>
      </c>
      <c r="LX220" s="561">
        <v>-3420</v>
      </c>
      <c r="LY220" s="561">
        <v>4893</v>
      </c>
      <c r="LZ220" s="561">
        <v>6557</v>
      </c>
      <c r="MA220" s="561">
        <v>0</v>
      </c>
      <c r="MB220" s="561">
        <v>0</v>
      </c>
      <c r="MC220" s="561">
        <v>0</v>
      </c>
      <c r="MD220" s="561">
        <v>0</v>
      </c>
      <c r="ME220" s="561">
        <v>0</v>
      </c>
      <c r="MF220" s="561">
        <v>0</v>
      </c>
      <c r="MG220" s="561">
        <v>0</v>
      </c>
      <c r="MH220" s="561">
        <v>0</v>
      </c>
      <c r="MI220" s="561">
        <v>0</v>
      </c>
      <c r="MJ220" s="561">
        <v>0</v>
      </c>
      <c r="MK220" s="561">
        <v>0</v>
      </c>
      <c r="ML220" s="561">
        <v>1235</v>
      </c>
      <c r="MM220" s="561">
        <v>5380</v>
      </c>
      <c r="MN220" s="561">
        <v>2540</v>
      </c>
      <c r="MO220" s="561">
        <v>4414</v>
      </c>
      <c r="MP220" s="561">
        <v>0</v>
      </c>
      <c r="MQ220" s="561">
        <v>0</v>
      </c>
      <c r="MR220" s="561">
        <v>0</v>
      </c>
      <c r="MS220" s="561">
        <v>0</v>
      </c>
      <c r="MT220" s="561">
        <v>0</v>
      </c>
      <c r="MU220" s="561">
        <v>0</v>
      </c>
      <c r="MV220" s="561">
        <v>0</v>
      </c>
      <c r="MW220" s="561">
        <v>0</v>
      </c>
      <c r="MX220" s="561">
        <v>0</v>
      </c>
      <c r="MY220" s="561">
        <v>0</v>
      </c>
      <c r="MZ220" s="561">
        <v>0</v>
      </c>
      <c r="NA220" s="561">
        <v>59132</v>
      </c>
      <c r="NB220" s="561">
        <v>648</v>
      </c>
      <c r="NC220" s="561">
        <v>0</v>
      </c>
      <c r="ND220" s="561">
        <v>59780</v>
      </c>
      <c r="NE220" s="561">
        <v>0</v>
      </c>
      <c r="NF220" s="561">
        <v>0</v>
      </c>
      <c r="NG220" s="561">
        <v>0</v>
      </c>
      <c r="NH220" s="561">
        <v>0</v>
      </c>
      <c r="NI220" s="561">
        <v>0</v>
      </c>
      <c r="NJ220" s="561">
        <v>0</v>
      </c>
      <c r="NK220" s="561">
        <v>0</v>
      </c>
      <c r="NL220" s="561">
        <v>0</v>
      </c>
      <c r="NM220" s="561">
        <v>0</v>
      </c>
      <c r="NN220" s="561">
        <v>0</v>
      </c>
      <c r="NO220" s="561">
        <v>0</v>
      </c>
      <c r="NP220" s="561">
        <v>0</v>
      </c>
      <c r="NQ220" s="561">
        <v>0</v>
      </c>
      <c r="NR220" s="561">
        <v>0</v>
      </c>
      <c r="NS220" s="561">
        <v>0</v>
      </c>
      <c r="NT220" s="561">
        <v>0</v>
      </c>
      <c r="NU220" s="561">
        <v>0</v>
      </c>
      <c r="NV220" s="561">
        <v>0</v>
      </c>
      <c r="NW220" s="561">
        <v>0</v>
      </c>
      <c r="NX220" s="561">
        <v>0</v>
      </c>
      <c r="NY220" s="561">
        <v>0</v>
      </c>
      <c r="NZ220" s="561">
        <v>0</v>
      </c>
      <c r="OA220" s="561">
        <v>0</v>
      </c>
      <c r="OB220" s="561">
        <v>0</v>
      </c>
      <c r="OC220" s="561">
        <v>0</v>
      </c>
      <c r="OD220" s="561">
        <v>0</v>
      </c>
      <c r="OE220" s="561">
        <v>0</v>
      </c>
      <c r="OF220" s="561">
        <v>0</v>
      </c>
      <c r="OG220" s="561">
        <v>0</v>
      </c>
      <c r="OH220" s="561">
        <v>0</v>
      </c>
      <c r="OI220" s="561">
        <v>0</v>
      </c>
      <c r="OJ220" s="561">
        <v>0</v>
      </c>
      <c r="OK220" s="561">
        <v>0</v>
      </c>
      <c r="OL220" s="561">
        <v>0</v>
      </c>
      <c r="OM220" s="561">
        <v>0</v>
      </c>
      <c r="ON220" s="561">
        <v>0</v>
      </c>
      <c r="OO220" s="561">
        <v>0</v>
      </c>
      <c r="OP220" s="561">
        <v>0</v>
      </c>
      <c r="OQ220" s="561">
        <v>0</v>
      </c>
      <c r="OR220" s="561">
        <v>0</v>
      </c>
      <c r="OS220" s="561">
        <v>0</v>
      </c>
      <c r="OT220" s="561">
        <v>0</v>
      </c>
      <c r="OU220" s="561">
        <v>0</v>
      </c>
      <c r="OV220" s="561">
        <v>0</v>
      </c>
      <c r="OW220" s="561">
        <v>0</v>
      </c>
      <c r="OX220" s="561">
        <v>0</v>
      </c>
      <c r="OY220" s="561">
        <v>0</v>
      </c>
      <c r="OZ220" s="561">
        <v>0</v>
      </c>
      <c r="PA220" s="561">
        <v>0</v>
      </c>
      <c r="PB220" s="561">
        <v>0</v>
      </c>
      <c r="PC220" s="561">
        <v>0</v>
      </c>
      <c r="PD220" s="561">
        <v>0</v>
      </c>
      <c r="PE220" s="561">
        <v>0</v>
      </c>
      <c r="PF220" s="561">
        <v>0</v>
      </c>
      <c r="PG220" s="561">
        <v>0</v>
      </c>
      <c r="PH220" s="561">
        <v>0</v>
      </c>
      <c r="PI220" s="561">
        <v>0</v>
      </c>
      <c r="PJ220" s="561">
        <v>0</v>
      </c>
    </row>
    <row r="221" spans="1:426" ht="14" x14ac:dyDescent="0.3">
      <c r="A221" t="s">
        <v>3106</v>
      </c>
      <c r="B221" t="s">
        <v>3107</v>
      </c>
      <c r="C221" t="s">
        <v>3108</v>
      </c>
      <c r="E221" t="s">
        <v>2466</v>
      </c>
      <c r="F221" s="561">
        <v>0</v>
      </c>
      <c r="G221" s="561">
        <v>0</v>
      </c>
      <c r="H221" s="561">
        <v>0</v>
      </c>
      <c r="I221" s="561">
        <v>0</v>
      </c>
      <c r="J221" s="561">
        <v>0</v>
      </c>
      <c r="K221" s="561">
        <v>0</v>
      </c>
      <c r="L221" s="561">
        <v>0</v>
      </c>
      <c r="M221" s="561">
        <v>0</v>
      </c>
      <c r="N221" s="561">
        <v>0</v>
      </c>
      <c r="O221" s="561">
        <v>0</v>
      </c>
      <c r="P221" s="561">
        <v>0</v>
      </c>
      <c r="Q221" s="561">
        <v>0</v>
      </c>
      <c r="R221" s="561">
        <v>0</v>
      </c>
      <c r="S221" s="561">
        <v>0</v>
      </c>
      <c r="T221" s="561">
        <v>0</v>
      </c>
      <c r="U221" s="561">
        <v>0</v>
      </c>
      <c r="V221" s="561">
        <v>0</v>
      </c>
      <c r="W221" s="561">
        <v>0</v>
      </c>
      <c r="X221" s="561">
        <v>0</v>
      </c>
      <c r="Y221" s="561">
        <v>0</v>
      </c>
      <c r="Z221" s="561">
        <v>0</v>
      </c>
      <c r="AA221" s="561">
        <v>0</v>
      </c>
      <c r="AB221" s="561">
        <v>0</v>
      </c>
      <c r="AC221" s="561">
        <v>0</v>
      </c>
      <c r="AD221" s="561">
        <v>0</v>
      </c>
      <c r="AE221" s="561">
        <v>0</v>
      </c>
      <c r="AF221" s="561">
        <v>0</v>
      </c>
      <c r="AG221" s="561">
        <v>0</v>
      </c>
      <c r="AH221" s="561">
        <v>0</v>
      </c>
      <c r="AI221" s="561">
        <v>0</v>
      </c>
      <c r="AJ221" s="561">
        <v>0</v>
      </c>
      <c r="AK221" s="561">
        <v>0</v>
      </c>
      <c r="AL221" s="561">
        <v>0</v>
      </c>
      <c r="AM221" s="561">
        <v>0</v>
      </c>
      <c r="AN221" s="561">
        <v>0</v>
      </c>
      <c r="AO221" s="561">
        <v>0</v>
      </c>
      <c r="AP221" s="561">
        <v>0</v>
      </c>
      <c r="AQ221" s="561">
        <v>0</v>
      </c>
      <c r="AR221" s="561">
        <v>0</v>
      </c>
      <c r="AS221" s="561">
        <v>0</v>
      </c>
      <c r="AT221" s="561">
        <v>0</v>
      </c>
      <c r="AU221" s="561">
        <v>0</v>
      </c>
      <c r="AV221" s="561">
        <v>0</v>
      </c>
      <c r="AW221" s="561">
        <v>0</v>
      </c>
      <c r="AX221" s="561">
        <v>0</v>
      </c>
      <c r="AY221" s="561">
        <v>0</v>
      </c>
      <c r="AZ221" s="561">
        <v>0</v>
      </c>
      <c r="BA221" s="561">
        <v>0</v>
      </c>
      <c r="BB221" s="561">
        <v>0</v>
      </c>
      <c r="BC221" s="561">
        <v>0</v>
      </c>
      <c r="BD221" s="561">
        <v>0</v>
      </c>
      <c r="BE221" s="561">
        <v>0</v>
      </c>
      <c r="BF221" s="561">
        <v>0</v>
      </c>
      <c r="BG221" s="561">
        <v>0</v>
      </c>
      <c r="BH221" s="561">
        <v>0</v>
      </c>
      <c r="BI221" s="561">
        <v>0</v>
      </c>
      <c r="BJ221" s="561">
        <v>0</v>
      </c>
      <c r="BK221" s="561">
        <v>0</v>
      </c>
      <c r="BL221" s="561">
        <v>0</v>
      </c>
      <c r="BM221" s="561">
        <v>0</v>
      </c>
      <c r="BN221" s="561">
        <v>0</v>
      </c>
      <c r="BO221" s="561">
        <v>0</v>
      </c>
      <c r="BP221" s="561">
        <v>0</v>
      </c>
      <c r="BQ221" s="561">
        <v>0</v>
      </c>
      <c r="BR221" s="561">
        <v>0</v>
      </c>
      <c r="BS221" s="561">
        <v>0</v>
      </c>
      <c r="BT221" s="561">
        <v>0</v>
      </c>
      <c r="BU221" s="561">
        <v>0</v>
      </c>
      <c r="BV221" s="561">
        <v>0</v>
      </c>
      <c r="BW221" s="561">
        <v>0</v>
      </c>
      <c r="BX221" s="561">
        <v>0</v>
      </c>
      <c r="BY221" s="561">
        <v>0</v>
      </c>
      <c r="BZ221" s="561">
        <v>0</v>
      </c>
      <c r="CA221" s="561">
        <v>0</v>
      </c>
      <c r="CB221" s="561">
        <v>0</v>
      </c>
      <c r="CC221" s="561">
        <v>0</v>
      </c>
      <c r="CD221" s="561">
        <v>0</v>
      </c>
      <c r="CE221" s="561">
        <v>0</v>
      </c>
      <c r="CF221" s="561">
        <v>0</v>
      </c>
      <c r="CG221" s="561">
        <v>0</v>
      </c>
      <c r="CH221" s="561">
        <v>0</v>
      </c>
      <c r="CI221" s="561">
        <v>0</v>
      </c>
      <c r="CJ221" s="561">
        <v>0</v>
      </c>
      <c r="CK221" s="561">
        <v>0</v>
      </c>
      <c r="CL221" s="561">
        <v>0</v>
      </c>
      <c r="CM221" s="561">
        <v>0</v>
      </c>
      <c r="CN221" s="561">
        <v>0</v>
      </c>
      <c r="CO221" s="561">
        <v>0</v>
      </c>
      <c r="CP221" s="561">
        <v>0</v>
      </c>
      <c r="CQ221" s="561">
        <v>0</v>
      </c>
      <c r="CR221" s="561">
        <v>0</v>
      </c>
      <c r="CS221" s="561">
        <v>0</v>
      </c>
      <c r="CT221" s="561">
        <v>0</v>
      </c>
      <c r="CU221" s="561">
        <v>0</v>
      </c>
      <c r="CV221" s="561">
        <v>0</v>
      </c>
      <c r="CW221" s="561">
        <v>0</v>
      </c>
      <c r="CX221" s="561">
        <v>0</v>
      </c>
      <c r="CY221" s="561">
        <v>0</v>
      </c>
      <c r="CZ221" s="561">
        <v>0</v>
      </c>
      <c r="DA221" s="561">
        <v>0</v>
      </c>
      <c r="DB221" s="561">
        <v>0</v>
      </c>
      <c r="DC221" s="561">
        <v>0</v>
      </c>
      <c r="DD221" s="561">
        <v>0</v>
      </c>
      <c r="DE221" s="561">
        <v>0</v>
      </c>
      <c r="DF221" s="561">
        <v>0</v>
      </c>
      <c r="DG221" s="561">
        <v>0</v>
      </c>
      <c r="DH221" s="561">
        <v>0</v>
      </c>
      <c r="DI221" s="561">
        <v>0</v>
      </c>
      <c r="DJ221" s="561">
        <v>0</v>
      </c>
      <c r="DK221" s="561">
        <v>0</v>
      </c>
      <c r="DL221" s="561">
        <v>0</v>
      </c>
      <c r="DM221" s="561">
        <v>0</v>
      </c>
      <c r="DN221" s="561">
        <v>0</v>
      </c>
      <c r="DO221" s="561">
        <v>0</v>
      </c>
      <c r="DP221" s="561">
        <v>0</v>
      </c>
      <c r="DQ221" s="561">
        <v>0</v>
      </c>
      <c r="DR221" s="561">
        <v>0</v>
      </c>
      <c r="DS221" s="561">
        <v>0</v>
      </c>
      <c r="DT221" s="561">
        <v>0</v>
      </c>
      <c r="DU221" s="561">
        <v>0</v>
      </c>
      <c r="DV221" s="561">
        <v>0</v>
      </c>
      <c r="DW221" s="561">
        <v>0</v>
      </c>
      <c r="DX221" s="561">
        <v>0</v>
      </c>
      <c r="DY221" s="561">
        <v>0</v>
      </c>
      <c r="DZ221" s="561">
        <v>0</v>
      </c>
      <c r="EA221" s="561">
        <v>0</v>
      </c>
      <c r="EB221" s="561">
        <v>0</v>
      </c>
      <c r="EC221" s="561">
        <v>0</v>
      </c>
      <c r="ED221" s="561">
        <v>0</v>
      </c>
      <c r="EE221" s="561">
        <v>0</v>
      </c>
      <c r="EF221" s="561">
        <v>0</v>
      </c>
      <c r="EG221" s="561">
        <v>0</v>
      </c>
      <c r="EH221" s="561">
        <v>0</v>
      </c>
      <c r="EI221" s="561">
        <v>0</v>
      </c>
      <c r="EJ221" s="561">
        <v>0</v>
      </c>
      <c r="EK221" s="561">
        <v>0</v>
      </c>
      <c r="EL221" s="561">
        <v>0</v>
      </c>
      <c r="EM221" s="561">
        <v>0</v>
      </c>
      <c r="EN221" s="561">
        <v>0</v>
      </c>
      <c r="EO221" s="561">
        <v>0</v>
      </c>
      <c r="EP221" s="561">
        <v>0</v>
      </c>
      <c r="EQ221" s="561">
        <v>0</v>
      </c>
      <c r="ER221" s="561">
        <v>0</v>
      </c>
      <c r="ES221" s="561" t="s">
        <v>4565</v>
      </c>
      <c r="ET221" s="561">
        <v>0</v>
      </c>
      <c r="EU221" s="561">
        <v>0</v>
      </c>
      <c r="EV221" s="561">
        <v>0</v>
      </c>
      <c r="EW221" s="561">
        <v>0</v>
      </c>
      <c r="EX221" s="561">
        <v>0</v>
      </c>
      <c r="EY221" s="561">
        <v>0</v>
      </c>
      <c r="EZ221" s="561">
        <v>0</v>
      </c>
      <c r="FA221" s="561">
        <v>0</v>
      </c>
      <c r="FB221" s="561">
        <v>0</v>
      </c>
      <c r="FC221" s="561">
        <v>0</v>
      </c>
      <c r="FD221" s="561">
        <v>0</v>
      </c>
      <c r="FE221" s="561">
        <v>0</v>
      </c>
      <c r="FF221" s="561">
        <v>0</v>
      </c>
      <c r="FG221" s="561">
        <v>0</v>
      </c>
      <c r="FH221" s="561">
        <v>0</v>
      </c>
      <c r="FI221" s="561">
        <v>0</v>
      </c>
      <c r="FJ221" s="561">
        <v>0</v>
      </c>
      <c r="FK221" s="561">
        <v>0</v>
      </c>
      <c r="FL221" s="561">
        <v>0</v>
      </c>
      <c r="FM221" s="561">
        <v>0</v>
      </c>
      <c r="FN221" s="561">
        <v>0</v>
      </c>
      <c r="FO221" s="561">
        <v>0</v>
      </c>
      <c r="FP221" s="561">
        <v>0</v>
      </c>
      <c r="FQ221" s="561">
        <v>0</v>
      </c>
      <c r="FR221" s="561">
        <v>0</v>
      </c>
      <c r="FS221" s="561">
        <v>0</v>
      </c>
      <c r="FT221" s="561">
        <v>0</v>
      </c>
      <c r="FU221" s="561">
        <v>0</v>
      </c>
      <c r="FV221" s="561">
        <v>0</v>
      </c>
      <c r="FW221" s="561">
        <v>0</v>
      </c>
      <c r="FX221" s="561">
        <v>0</v>
      </c>
      <c r="FY221" s="561">
        <v>0</v>
      </c>
      <c r="FZ221" s="561">
        <v>0</v>
      </c>
      <c r="GA221" s="561">
        <v>0</v>
      </c>
      <c r="GB221" s="561">
        <v>0</v>
      </c>
      <c r="GC221" s="561">
        <v>0</v>
      </c>
      <c r="GD221" s="561">
        <v>0</v>
      </c>
      <c r="GE221" s="561">
        <v>0</v>
      </c>
      <c r="GF221" s="561">
        <v>0</v>
      </c>
      <c r="GG221" s="561">
        <v>0</v>
      </c>
      <c r="GH221" s="561">
        <v>0</v>
      </c>
      <c r="GI221" s="561">
        <v>0</v>
      </c>
      <c r="GJ221" s="561">
        <v>0</v>
      </c>
      <c r="GK221" s="561">
        <v>0</v>
      </c>
      <c r="GL221" s="561">
        <v>0</v>
      </c>
      <c r="GM221" s="561">
        <v>0</v>
      </c>
      <c r="GN221" s="561">
        <v>0</v>
      </c>
      <c r="GO221" s="561">
        <v>0</v>
      </c>
      <c r="GP221" s="561">
        <v>0</v>
      </c>
      <c r="GQ221" s="561">
        <v>0</v>
      </c>
      <c r="GR221" s="561">
        <v>0</v>
      </c>
      <c r="GS221" s="561">
        <v>0</v>
      </c>
      <c r="GT221" s="561">
        <v>0</v>
      </c>
      <c r="GU221" s="561">
        <v>0</v>
      </c>
      <c r="GV221" s="561">
        <v>0</v>
      </c>
      <c r="GW221" s="561">
        <v>0</v>
      </c>
      <c r="GX221" s="561">
        <v>0</v>
      </c>
      <c r="GY221" s="561">
        <v>0</v>
      </c>
      <c r="GZ221" s="561">
        <v>0</v>
      </c>
      <c r="HA221" s="561">
        <v>0</v>
      </c>
      <c r="HB221" s="561">
        <v>0</v>
      </c>
      <c r="HC221" s="561">
        <v>0</v>
      </c>
      <c r="HD221" s="561">
        <v>0</v>
      </c>
      <c r="HE221" s="561">
        <v>0</v>
      </c>
      <c r="HF221" s="561">
        <v>0</v>
      </c>
      <c r="HG221" s="561">
        <v>0</v>
      </c>
      <c r="HH221" s="561">
        <v>488327</v>
      </c>
      <c r="HI221" s="561">
        <v>3346</v>
      </c>
      <c r="HJ221" s="561">
        <v>0</v>
      </c>
      <c r="HK221" s="561">
        <v>0</v>
      </c>
      <c r="HL221" s="561">
        <v>0</v>
      </c>
      <c r="HM221" s="561">
        <v>0</v>
      </c>
      <c r="HN221" s="561">
        <v>0</v>
      </c>
      <c r="HO221" s="561">
        <v>1698</v>
      </c>
      <c r="HP221" s="561">
        <v>0</v>
      </c>
      <c r="HQ221" s="561">
        <v>0</v>
      </c>
      <c r="HR221" s="561">
        <v>0</v>
      </c>
      <c r="HS221" s="561">
        <v>0</v>
      </c>
      <c r="HT221" s="561">
        <v>0</v>
      </c>
      <c r="HU221" s="561">
        <v>0</v>
      </c>
      <c r="HV221" s="561">
        <v>0</v>
      </c>
      <c r="HW221" s="561">
        <v>0</v>
      </c>
      <c r="HX221" s="561">
        <v>0</v>
      </c>
      <c r="HY221" s="561">
        <v>0</v>
      </c>
      <c r="HZ221" s="561">
        <v>0</v>
      </c>
      <c r="IA221" s="561">
        <v>0</v>
      </c>
      <c r="IB221" s="561">
        <v>0</v>
      </c>
      <c r="IC221" s="561">
        <v>0</v>
      </c>
      <c r="ID221" s="561">
        <v>0</v>
      </c>
      <c r="IE221" s="561">
        <v>0</v>
      </c>
      <c r="IF221" s="561">
        <v>0</v>
      </c>
      <c r="IG221" s="561">
        <v>0</v>
      </c>
      <c r="IH221" s="561">
        <v>0</v>
      </c>
      <c r="II221" s="561">
        <v>1698</v>
      </c>
      <c r="IJ221" s="561">
        <v>0</v>
      </c>
      <c r="IK221" s="561">
        <v>0</v>
      </c>
      <c r="IL221" s="561">
        <v>0</v>
      </c>
      <c r="IM221" s="561">
        <v>0</v>
      </c>
      <c r="IN221" s="561">
        <v>0</v>
      </c>
      <c r="IO221" s="561">
        <v>0</v>
      </c>
      <c r="IP221" s="561">
        <v>0</v>
      </c>
      <c r="IQ221" s="561">
        <v>0</v>
      </c>
      <c r="IR221" s="561">
        <v>0</v>
      </c>
      <c r="IS221" s="561">
        <v>0</v>
      </c>
      <c r="IT221" s="561">
        <v>0</v>
      </c>
      <c r="IU221" s="561">
        <v>0</v>
      </c>
      <c r="IV221" s="561">
        <v>0</v>
      </c>
      <c r="IW221" s="561">
        <v>0</v>
      </c>
      <c r="IX221" s="561">
        <v>0</v>
      </c>
      <c r="IY221" s="561">
        <v>0</v>
      </c>
      <c r="IZ221" s="561">
        <v>0</v>
      </c>
      <c r="JA221" s="561">
        <v>488327</v>
      </c>
      <c r="JB221" s="561">
        <v>0</v>
      </c>
      <c r="JC221" s="561">
        <v>1698</v>
      </c>
      <c r="JD221" s="561">
        <v>0</v>
      </c>
      <c r="JE221" s="561">
        <v>490025</v>
      </c>
      <c r="JF221" s="561">
        <v>0</v>
      </c>
      <c r="JG221" s="561">
        <v>0</v>
      </c>
      <c r="JH221" s="561">
        <v>0</v>
      </c>
      <c r="JI221" s="561">
        <v>0</v>
      </c>
      <c r="JJ221" s="561">
        <v>0</v>
      </c>
      <c r="JK221" s="561">
        <v>0</v>
      </c>
      <c r="JL221" s="561">
        <v>0</v>
      </c>
      <c r="JM221" s="561">
        <v>0</v>
      </c>
      <c r="JN221" s="561">
        <v>0</v>
      </c>
      <c r="JO221" s="561">
        <v>0</v>
      </c>
      <c r="JP221" s="561">
        <v>0</v>
      </c>
      <c r="JQ221" s="561">
        <v>0</v>
      </c>
      <c r="JR221" s="561">
        <v>0</v>
      </c>
      <c r="JS221" s="561">
        <v>0</v>
      </c>
      <c r="JT221" s="561">
        <v>0</v>
      </c>
      <c r="JU221" s="561">
        <v>0</v>
      </c>
      <c r="JV221" s="561">
        <v>490025</v>
      </c>
      <c r="JW221" s="561">
        <v>0</v>
      </c>
      <c r="JX221" s="561">
        <v>1138</v>
      </c>
      <c r="JY221" s="561">
        <v>0</v>
      </c>
      <c r="JZ221" s="561">
        <v>0</v>
      </c>
      <c r="KA221" s="561">
        <v>0</v>
      </c>
      <c r="KB221" s="561">
        <v>0</v>
      </c>
      <c r="KC221" s="561">
        <v>0</v>
      </c>
      <c r="KD221" s="561">
        <v>0</v>
      </c>
      <c r="KE221" s="561">
        <v>6922</v>
      </c>
      <c r="KF221" s="561">
        <v>0</v>
      </c>
      <c r="KG221" s="561">
        <v>498085</v>
      </c>
      <c r="KH221" s="561">
        <v>-2899</v>
      </c>
      <c r="KI221" s="561">
        <v>0</v>
      </c>
      <c r="KJ221" s="561">
        <v>0</v>
      </c>
      <c r="KK221" s="561">
        <v>0</v>
      </c>
      <c r="KL221" s="561">
        <v>0</v>
      </c>
      <c r="KM221" s="561">
        <v>0</v>
      </c>
      <c r="KN221" s="561">
        <v>0</v>
      </c>
      <c r="KO221" s="561">
        <v>0</v>
      </c>
      <c r="KP221" s="561">
        <v>0</v>
      </c>
      <c r="KQ221" s="561">
        <v>0</v>
      </c>
      <c r="KR221" s="561">
        <v>495186</v>
      </c>
      <c r="KS221" s="561">
        <v>0</v>
      </c>
      <c r="KT221" s="561">
        <v>-61180.66</v>
      </c>
      <c r="KU221" s="561">
        <v>434005.34</v>
      </c>
      <c r="KV221" s="561">
        <v>0</v>
      </c>
      <c r="KW221" s="561">
        <v>0</v>
      </c>
      <c r="KX221" s="561">
        <v>0</v>
      </c>
      <c r="KY221" s="561">
        <v>0</v>
      </c>
      <c r="KZ221" s="561">
        <v>-3854</v>
      </c>
      <c r="LA221" s="561">
        <v>0</v>
      </c>
      <c r="LB221" s="561">
        <v>0</v>
      </c>
      <c r="LC221" s="561">
        <v>-325798</v>
      </c>
      <c r="LD221" s="561">
        <v>0</v>
      </c>
      <c r="LE221" s="561">
        <v>-1061</v>
      </c>
      <c r="LF221" s="561">
        <v>0</v>
      </c>
      <c r="LG221" s="561">
        <v>103292</v>
      </c>
      <c r="LH221" s="561">
        <v>0</v>
      </c>
      <c r="LI221" s="561">
        <v>0</v>
      </c>
      <c r="LJ221" s="561">
        <v>0</v>
      </c>
      <c r="LK221" s="561">
        <v>0</v>
      </c>
      <c r="LL221" s="561">
        <v>35440</v>
      </c>
      <c r="LM221" s="561">
        <v>13100</v>
      </c>
      <c r="LN221" s="561">
        <v>0</v>
      </c>
      <c r="LO221" s="561">
        <v>0</v>
      </c>
      <c r="LP221" s="561">
        <v>0</v>
      </c>
      <c r="LQ221" s="561">
        <v>0</v>
      </c>
      <c r="LR221" s="561">
        <v>31586</v>
      </c>
      <c r="LS221" s="561">
        <v>13100</v>
      </c>
      <c r="LT221" s="561">
        <v>0</v>
      </c>
      <c r="LU221" s="561">
        <v>24921</v>
      </c>
      <c r="LV221" s="561">
        <v>0</v>
      </c>
      <c r="LW221" s="561">
        <v>0</v>
      </c>
      <c r="LX221" s="561">
        <v>0</v>
      </c>
      <c r="LY221" s="561">
        <v>0</v>
      </c>
      <c r="LZ221" s="561">
        <v>24921</v>
      </c>
      <c r="MA221" s="561">
        <v>0</v>
      </c>
      <c r="MB221" s="561">
        <v>0</v>
      </c>
      <c r="MC221" s="561">
        <v>0</v>
      </c>
      <c r="MD221" s="561">
        <v>0</v>
      </c>
      <c r="ME221" s="561">
        <v>0</v>
      </c>
      <c r="MF221" s="561">
        <v>0</v>
      </c>
      <c r="MG221" s="561">
        <v>0</v>
      </c>
      <c r="MH221" s="561">
        <v>0</v>
      </c>
      <c r="MI221" s="561">
        <v>0</v>
      </c>
      <c r="MJ221" s="561">
        <v>0</v>
      </c>
      <c r="MK221" s="561">
        <v>0</v>
      </c>
      <c r="ML221" s="561">
        <v>0</v>
      </c>
      <c r="MM221" s="561">
        <v>31586</v>
      </c>
      <c r="MN221" s="561">
        <v>0</v>
      </c>
      <c r="MO221" s="561">
        <v>0</v>
      </c>
      <c r="MP221" s="561">
        <v>0</v>
      </c>
      <c r="MQ221" s="561">
        <v>0</v>
      </c>
      <c r="MR221" s="561">
        <v>0</v>
      </c>
      <c r="MS221" s="561">
        <v>0</v>
      </c>
      <c r="MT221" s="561">
        <v>0</v>
      </c>
      <c r="MU221" s="561">
        <v>0</v>
      </c>
      <c r="MV221" s="561">
        <v>0</v>
      </c>
      <c r="MW221" s="561">
        <v>0</v>
      </c>
      <c r="MX221" s="561">
        <v>0</v>
      </c>
      <c r="MY221" s="561">
        <v>0</v>
      </c>
      <c r="MZ221" s="561">
        <v>488327</v>
      </c>
      <c r="NA221" s="561">
        <v>0</v>
      </c>
      <c r="NB221" s="561">
        <v>1698</v>
      </c>
      <c r="NC221" s="561">
        <v>0</v>
      </c>
      <c r="ND221" s="561">
        <v>490025</v>
      </c>
      <c r="NE221" s="561">
        <v>0</v>
      </c>
      <c r="NF221" s="561">
        <v>0</v>
      </c>
      <c r="NG221" s="561">
        <v>0</v>
      </c>
      <c r="NH221" s="561">
        <v>0</v>
      </c>
      <c r="NI221" s="561">
        <v>0</v>
      </c>
      <c r="NJ221" s="561">
        <v>0</v>
      </c>
      <c r="NK221" s="561">
        <v>0</v>
      </c>
      <c r="NL221" s="561">
        <v>0</v>
      </c>
      <c r="NM221" s="561">
        <v>0</v>
      </c>
      <c r="NN221" s="561">
        <v>0</v>
      </c>
      <c r="NO221" s="561">
        <v>0</v>
      </c>
      <c r="NP221" s="561">
        <v>0</v>
      </c>
      <c r="NQ221" s="561">
        <v>0</v>
      </c>
      <c r="NR221" s="561">
        <v>0</v>
      </c>
      <c r="NS221" s="561">
        <v>0</v>
      </c>
      <c r="NT221" s="561">
        <v>0</v>
      </c>
      <c r="NU221" s="561">
        <v>0</v>
      </c>
      <c r="NV221" s="561">
        <v>0</v>
      </c>
      <c r="NW221" s="561">
        <v>0</v>
      </c>
      <c r="NX221" s="561">
        <v>0</v>
      </c>
      <c r="NY221" s="561">
        <v>0</v>
      </c>
      <c r="NZ221" s="561">
        <v>0</v>
      </c>
      <c r="OA221" s="561">
        <v>0</v>
      </c>
      <c r="OB221" s="561">
        <v>0</v>
      </c>
      <c r="OC221" s="561">
        <v>0</v>
      </c>
      <c r="OD221" s="561">
        <v>0</v>
      </c>
      <c r="OE221" s="561">
        <v>0</v>
      </c>
      <c r="OF221" s="561">
        <v>0</v>
      </c>
      <c r="OG221" s="561">
        <v>0</v>
      </c>
      <c r="OH221" s="561">
        <v>0</v>
      </c>
      <c r="OI221" s="561">
        <v>0</v>
      </c>
      <c r="OJ221" s="561">
        <v>0</v>
      </c>
      <c r="OK221" s="561">
        <v>0</v>
      </c>
      <c r="OL221" s="561">
        <v>0</v>
      </c>
      <c r="OM221" s="561">
        <v>0</v>
      </c>
      <c r="ON221" s="561">
        <v>0</v>
      </c>
      <c r="OO221" s="561">
        <v>0</v>
      </c>
      <c r="OP221" s="561">
        <v>0</v>
      </c>
      <c r="OQ221" s="561">
        <v>0</v>
      </c>
      <c r="OR221" s="561">
        <v>0</v>
      </c>
      <c r="OS221" s="561">
        <v>0</v>
      </c>
      <c r="OT221" s="561">
        <v>0</v>
      </c>
      <c r="OU221" s="561">
        <v>0</v>
      </c>
      <c r="OV221" s="561">
        <v>0</v>
      </c>
      <c r="OW221" s="561">
        <v>0</v>
      </c>
      <c r="OX221" s="561">
        <v>0</v>
      </c>
      <c r="OY221" s="561">
        <v>0</v>
      </c>
      <c r="OZ221" s="561">
        <v>0</v>
      </c>
      <c r="PA221" s="561">
        <v>0</v>
      </c>
      <c r="PB221" s="561">
        <v>0</v>
      </c>
      <c r="PC221" s="561">
        <v>0</v>
      </c>
      <c r="PD221" s="561">
        <v>0</v>
      </c>
      <c r="PE221" s="561">
        <v>0</v>
      </c>
      <c r="PF221" s="561">
        <v>0</v>
      </c>
      <c r="PG221" s="561">
        <v>0</v>
      </c>
      <c r="PH221" s="561">
        <v>0</v>
      </c>
      <c r="PI221" s="561">
        <v>0</v>
      </c>
      <c r="PJ221" s="561">
        <v>0</v>
      </c>
    </row>
    <row r="222" spans="1:426" ht="14" x14ac:dyDescent="0.3">
      <c r="A222" t="s">
        <v>3109</v>
      </c>
      <c r="B222" t="s">
        <v>3110</v>
      </c>
      <c r="C222" t="s">
        <v>4630</v>
      </c>
      <c r="E222" t="s">
        <v>2466</v>
      </c>
      <c r="F222" s="561">
        <v>0</v>
      </c>
      <c r="G222" s="561">
        <v>0</v>
      </c>
      <c r="H222" s="561">
        <v>0</v>
      </c>
      <c r="I222" s="561">
        <v>0</v>
      </c>
      <c r="J222" s="561">
        <v>0</v>
      </c>
      <c r="K222" s="561">
        <v>0</v>
      </c>
      <c r="L222" s="561">
        <v>0</v>
      </c>
      <c r="M222" s="561">
        <v>0</v>
      </c>
      <c r="N222" s="561">
        <v>0</v>
      </c>
      <c r="O222" s="561">
        <v>0</v>
      </c>
      <c r="P222" s="561">
        <v>0</v>
      </c>
      <c r="Q222" s="561">
        <v>0</v>
      </c>
      <c r="R222" s="561">
        <v>0</v>
      </c>
      <c r="S222" s="561">
        <v>0</v>
      </c>
      <c r="T222" s="561">
        <v>0</v>
      </c>
      <c r="U222" s="561">
        <v>0</v>
      </c>
      <c r="V222" s="561">
        <v>0</v>
      </c>
      <c r="W222" s="561">
        <v>0</v>
      </c>
      <c r="X222" s="561">
        <v>0</v>
      </c>
      <c r="Y222" s="561">
        <v>0</v>
      </c>
      <c r="Z222" s="561">
        <v>0</v>
      </c>
      <c r="AA222" s="561">
        <v>0</v>
      </c>
      <c r="AB222" s="561">
        <v>0</v>
      </c>
      <c r="AC222" s="561">
        <v>0</v>
      </c>
      <c r="AD222" s="561">
        <v>0</v>
      </c>
      <c r="AE222" s="561">
        <v>0</v>
      </c>
      <c r="AF222" s="561">
        <v>0</v>
      </c>
      <c r="AG222" s="561">
        <v>0</v>
      </c>
      <c r="AH222" s="561">
        <v>0</v>
      </c>
      <c r="AI222" s="561">
        <v>0</v>
      </c>
      <c r="AJ222" s="561">
        <v>0</v>
      </c>
      <c r="AK222" s="561">
        <v>0</v>
      </c>
      <c r="AL222" s="561">
        <v>0</v>
      </c>
      <c r="AM222" s="561">
        <v>0</v>
      </c>
      <c r="AN222" s="561">
        <v>0</v>
      </c>
      <c r="AO222" s="561">
        <v>0</v>
      </c>
      <c r="AP222" s="561">
        <v>0</v>
      </c>
      <c r="AQ222" s="561">
        <v>0</v>
      </c>
      <c r="AR222" s="561">
        <v>0</v>
      </c>
      <c r="AS222" s="561">
        <v>0</v>
      </c>
      <c r="AT222" s="561">
        <v>0</v>
      </c>
      <c r="AU222" s="561">
        <v>0</v>
      </c>
      <c r="AV222" s="561">
        <v>0</v>
      </c>
      <c r="AW222" s="561">
        <v>0</v>
      </c>
      <c r="AX222" s="561">
        <v>0</v>
      </c>
      <c r="AY222" s="561">
        <v>0</v>
      </c>
      <c r="AZ222" s="561">
        <v>0</v>
      </c>
      <c r="BA222" s="561">
        <v>0</v>
      </c>
      <c r="BB222" s="561">
        <v>0</v>
      </c>
      <c r="BC222" s="561">
        <v>0</v>
      </c>
      <c r="BD222" s="561">
        <v>0</v>
      </c>
      <c r="BE222" s="561">
        <v>0</v>
      </c>
      <c r="BF222" s="561">
        <v>0</v>
      </c>
      <c r="BG222" s="561">
        <v>0</v>
      </c>
      <c r="BH222" s="561">
        <v>0</v>
      </c>
      <c r="BI222" s="561">
        <v>0</v>
      </c>
      <c r="BJ222" s="561">
        <v>0</v>
      </c>
      <c r="BK222" s="561">
        <v>0</v>
      </c>
      <c r="BL222" s="561">
        <v>0</v>
      </c>
      <c r="BM222" s="561">
        <v>0</v>
      </c>
      <c r="BN222" s="561">
        <v>0</v>
      </c>
      <c r="BO222" s="561">
        <v>0</v>
      </c>
      <c r="BP222" s="561">
        <v>0</v>
      </c>
      <c r="BQ222" s="561">
        <v>0</v>
      </c>
      <c r="BR222" s="561">
        <v>0</v>
      </c>
      <c r="BS222" s="561">
        <v>0</v>
      </c>
      <c r="BT222" s="561">
        <v>0</v>
      </c>
      <c r="BU222" s="561">
        <v>0</v>
      </c>
      <c r="BV222" s="561">
        <v>0</v>
      </c>
      <c r="BW222" s="561">
        <v>0</v>
      </c>
      <c r="BX222" s="561">
        <v>0</v>
      </c>
      <c r="BY222" s="561">
        <v>0</v>
      </c>
      <c r="BZ222" s="561">
        <v>0</v>
      </c>
      <c r="CA222" s="561">
        <v>0</v>
      </c>
      <c r="CB222" s="561">
        <v>0</v>
      </c>
      <c r="CC222" s="561">
        <v>0</v>
      </c>
      <c r="CD222" s="561">
        <v>0</v>
      </c>
      <c r="CE222" s="561">
        <v>0</v>
      </c>
      <c r="CF222" s="561">
        <v>0</v>
      </c>
      <c r="CG222" s="561">
        <v>0</v>
      </c>
      <c r="CH222" s="561">
        <v>0</v>
      </c>
      <c r="CI222" s="561">
        <v>0</v>
      </c>
      <c r="CJ222" s="561">
        <v>0</v>
      </c>
      <c r="CK222" s="561">
        <v>0</v>
      </c>
      <c r="CL222" s="561">
        <v>0</v>
      </c>
      <c r="CM222" s="561">
        <v>0</v>
      </c>
      <c r="CN222" s="561">
        <v>0</v>
      </c>
      <c r="CO222" s="561">
        <v>0</v>
      </c>
      <c r="CP222" s="561">
        <v>0</v>
      </c>
      <c r="CQ222" s="561">
        <v>0</v>
      </c>
      <c r="CR222" s="561">
        <v>0</v>
      </c>
      <c r="CS222" s="561">
        <v>0</v>
      </c>
      <c r="CT222" s="561">
        <v>0</v>
      </c>
      <c r="CU222" s="561">
        <v>0</v>
      </c>
      <c r="CV222" s="561">
        <v>0</v>
      </c>
      <c r="CW222" s="561">
        <v>0</v>
      </c>
      <c r="CX222" s="561">
        <v>0</v>
      </c>
      <c r="CY222" s="561">
        <v>0</v>
      </c>
      <c r="CZ222" s="561">
        <v>0</v>
      </c>
      <c r="DA222" s="561">
        <v>0</v>
      </c>
      <c r="DB222" s="561">
        <v>0</v>
      </c>
      <c r="DC222" s="561">
        <v>0</v>
      </c>
      <c r="DD222" s="561">
        <v>0</v>
      </c>
      <c r="DE222" s="561">
        <v>0</v>
      </c>
      <c r="DF222" s="561">
        <v>0</v>
      </c>
      <c r="DG222" s="561">
        <v>0</v>
      </c>
      <c r="DH222" s="561">
        <v>0</v>
      </c>
      <c r="DI222" s="561">
        <v>0</v>
      </c>
      <c r="DJ222" s="561">
        <v>0</v>
      </c>
      <c r="DK222" s="561">
        <v>0</v>
      </c>
      <c r="DL222" s="561">
        <v>0</v>
      </c>
      <c r="DM222" s="561">
        <v>0</v>
      </c>
      <c r="DN222" s="561">
        <v>0</v>
      </c>
      <c r="DO222" s="561">
        <v>0</v>
      </c>
      <c r="DP222" s="561">
        <v>0</v>
      </c>
      <c r="DQ222" s="561">
        <v>0</v>
      </c>
      <c r="DR222" s="561">
        <v>0</v>
      </c>
      <c r="DS222" s="561">
        <v>0</v>
      </c>
      <c r="DT222" s="561">
        <v>0</v>
      </c>
      <c r="DU222" s="561">
        <v>0</v>
      </c>
      <c r="DV222" s="561">
        <v>0</v>
      </c>
      <c r="DW222" s="561">
        <v>0</v>
      </c>
      <c r="DX222" s="561">
        <v>0</v>
      </c>
      <c r="DY222" s="561">
        <v>0</v>
      </c>
      <c r="DZ222" s="561">
        <v>0</v>
      </c>
      <c r="EA222" s="561">
        <v>0</v>
      </c>
      <c r="EB222" s="561">
        <v>0</v>
      </c>
      <c r="EC222" s="561">
        <v>0</v>
      </c>
      <c r="ED222" s="561">
        <v>0</v>
      </c>
      <c r="EE222" s="561">
        <v>0</v>
      </c>
      <c r="EF222" s="561">
        <v>0</v>
      </c>
      <c r="EG222" s="561">
        <v>0</v>
      </c>
      <c r="EH222" s="561">
        <v>0</v>
      </c>
      <c r="EI222" s="561">
        <v>0</v>
      </c>
      <c r="EJ222" s="561">
        <v>0</v>
      </c>
      <c r="EK222" s="561">
        <v>0</v>
      </c>
      <c r="EL222" s="561">
        <v>0</v>
      </c>
      <c r="EM222" s="561">
        <v>0</v>
      </c>
      <c r="EN222" s="561">
        <v>0</v>
      </c>
      <c r="EO222" s="561">
        <v>0</v>
      </c>
      <c r="EP222" s="561">
        <v>0</v>
      </c>
      <c r="EQ222" s="561">
        <v>0</v>
      </c>
      <c r="ER222" s="561">
        <v>0</v>
      </c>
      <c r="ES222" s="561" t="s">
        <v>4565</v>
      </c>
      <c r="ET222" s="561">
        <v>0</v>
      </c>
      <c r="EU222" s="561">
        <v>0</v>
      </c>
      <c r="EV222" s="561">
        <v>0</v>
      </c>
      <c r="EW222" s="561">
        <v>0</v>
      </c>
      <c r="EX222" s="561">
        <v>0</v>
      </c>
      <c r="EY222" s="561">
        <v>0</v>
      </c>
      <c r="EZ222" s="561">
        <v>0</v>
      </c>
      <c r="FA222" s="561">
        <v>0</v>
      </c>
      <c r="FB222" s="561">
        <v>0</v>
      </c>
      <c r="FC222" s="561">
        <v>0</v>
      </c>
      <c r="FD222" s="561">
        <v>0</v>
      </c>
      <c r="FE222" s="561">
        <v>0</v>
      </c>
      <c r="FF222" s="561">
        <v>0</v>
      </c>
      <c r="FG222" s="561">
        <v>0</v>
      </c>
      <c r="FH222" s="561">
        <v>0</v>
      </c>
      <c r="FI222" s="561">
        <v>0</v>
      </c>
      <c r="FJ222" s="561">
        <v>0</v>
      </c>
      <c r="FK222" s="561">
        <v>0</v>
      </c>
      <c r="FL222" s="561">
        <v>0</v>
      </c>
      <c r="FM222" s="561">
        <v>0</v>
      </c>
      <c r="FN222" s="561">
        <v>0</v>
      </c>
      <c r="FO222" s="561">
        <v>0</v>
      </c>
      <c r="FP222" s="561">
        <v>0</v>
      </c>
      <c r="FQ222" s="561">
        <v>0</v>
      </c>
      <c r="FR222" s="561">
        <v>0</v>
      </c>
      <c r="FS222" s="561">
        <v>0</v>
      </c>
      <c r="FT222" s="561">
        <v>0</v>
      </c>
      <c r="FU222" s="561">
        <v>0</v>
      </c>
      <c r="FV222" s="561">
        <v>0</v>
      </c>
      <c r="FW222" s="561">
        <v>0</v>
      </c>
      <c r="FX222" s="561">
        <v>0</v>
      </c>
      <c r="FY222" s="561">
        <v>0</v>
      </c>
      <c r="FZ222" s="561">
        <v>0</v>
      </c>
      <c r="GA222" s="561">
        <v>0</v>
      </c>
      <c r="GB222" s="561">
        <v>0</v>
      </c>
      <c r="GC222" s="561">
        <v>0</v>
      </c>
      <c r="GD222" s="561">
        <v>0</v>
      </c>
      <c r="GE222" s="561">
        <v>0</v>
      </c>
      <c r="GF222" s="561">
        <v>0</v>
      </c>
      <c r="GG222" s="561">
        <v>0</v>
      </c>
      <c r="GH222" s="561">
        <v>0</v>
      </c>
      <c r="GI222" s="561">
        <v>0</v>
      </c>
      <c r="GJ222" s="561">
        <v>0</v>
      </c>
      <c r="GK222" s="561">
        <v>0</v>
      </c>
      <c r="GL222" s="561">
        <v>0</v>
      </c>
      <c r="GM222" s="561">
        <v>0</v>
      </c>
      <c r="GN222" s="561">
        <v>83816.95</v>
      </c>
      <c r="GO222" s="561">
        <v>0</v>
      </c>
      <c r="GP222" s="561">
        <v>0</v>
      </c>
      <c r="GQ222" s="561">
        <v>0</v>
      </c>
      <c r="GR222" s="561">
        <v>0</v>
      </c>
      <c r="GS222" s="561">
        <v>83816.95</v>
      </c>
      <c r="GT222" s="561">
        <v>0</v>
      </c>
      <c r="GU222" s="561">
        <v>0</v>
      </c>
      <c r="GV222" s="561">
        <v>0</v>
      </c>
      <c r="GW222" s="561">
        <v>0</v>
      </c>
      <c r="GX222" s="561">
        <v>0</v>
      </c>
      <c r="GY222" s="561">
        <v>0</v>
      </c>
      <c r="GZ222" s="561">
        <v>0</v>
      </c>
      <c r="HA222" s="561">
        <v>0</v>
      </c>
      <c r="HB222" s="561">
        <v>0</v>
      </c>
      <c r="HC222" s="561">
        <v>0</v>
      </c>
      <c r="HD222" s="561">
        <v>0</v>
      </c>
      <c r="HE222" s="561">
        <v>0</v>
      </c>
      <c r="HF222" s="561">
        <v>83816.95</v>
      </c>
      <c r="HG222" s="561">
        <v>0</v>
      </c>
      <c r="HH222" s="561">
        <v>0</v>
      </c>
      <c r="HI222" s="561">
        <v>0</v>
      </c>
      <c r="HJ222" s="561">
        <v>0</v>
      </c>
      <c r="HK222" s="561">
        <v>0</v>
      </c>
      <c r="HL222" s="561">
        <v>0</v>
      </c>
      <c r="HM222" s="561">
        <v>0</v>
      </c>
      <c r="HN222" s="561">
        <v>0</v>
      </c>
      <c r="HO222" s="561">
        <v>0</v>
      </c>
      <c r="HP222" s="561">
        <v>0</v>
      </c>
      <c r="HQ222" s="561">
        <v>0</v>
      </c>
      <c r="HR222" s="561">
        <v>0</v>
      </c>
      <c r="HS222" s="561">
        <v>0</v>
      </c>
      <c r="HT222" s="561">
        <v>0</v>
      </c>
      <c r="HU222" s="561">
        <v>0</v>
      </c>
      <c r="HV222" s="561">
        <v>0</v>
      </c>
      <c r="HW222" s="561">
        <v>0</v>
      </c>
      <c r="HX222" s="561">
        <v>0</v>
      </c>
      <c r="HY222" s="561">
        <v>0</v>
      </c>
      <c r="HZ222" s="561">
        <v>0</v>
      </c>
      <c r="IA222" s="561">
        <v>0</v>
      </c>
      <c r="IB222" s="561">
        <v>0</v>
      </c>
      <c r="IC222" s="561">
        <v>0</v>
      </c>
      <c r="ID222" s="561">
        <v>0</v>
      </c>
      <c r="IE222" s="561">
        <v>0</v>
      </c>
      <c r="IF222" s="561">
        <v>0</v>
      </c>
      <c r="IG222" s="561">
        <v>0</v>
      </c>
      <c r="IH222" s="561">
        <v>0</v>
      </c>
      <c r="II222" s="561">
        <v>0</v>
      </c>
      <c r="IJ222" s="561">
        <v>0</v>
      </c>
      <c r="IK222" s="561">
        <v>0</v>
      </c>
      <c r="IL222" s="561">
        <v>0</v>
      </c>
      <c r="IM222" s="561">
        <v>0</v>
      </c>
      <c r="IN222" s="561">
        <v>0</v>
      </c>
      <c r="IO222" s="561">
        <v>0</v>
      </c>
      <c r="IP222" s="561">
        <v>0</v>
      </c>
      <c r="IQ222" s="561">
        <v>0</v>
      </c>
      <c r="IR222" s="561">
        <v>0</v>
      </c>
      <c r="IS222" s="561">
        <v>0</v>
      </c>
      <c r="IT222" s="561">
        <v>0</v>
      </c>
      <c r="IU222" s="561">
        <v>0</v>
      </c>
      <c r="IV222" s="561">
        <v>0</v>
      </c>
      <c r="IW222" s="561">
        <v>0</v>
      </c>
      <c r="IX222" s="561">
        <v>0</v>
      </c>
      <c r="IY222" s="561">
        <v>83816.95</v>
      </c>
      <c r="IZ222" s="561">
        <v>0</v>
      </c>
      <c r="JA222" s="561">
        <v>0</v>
      </c>
      <c r="JB222" s="561">
        <v>0</v>
      </c>
      <c r="JC222" s="561">
        <v>0</v>
      </c>
      <c r="JD222" s="561">
        <v>0</v>
      </c>
      <c r="JE222" s="561">
        <v>83816.95</v>
      </c>
      <c r="JF222" s="561">
        <v>0</v>
      </c>
      <c r="JG222" s="561">
        <v>0</v>
      </c>
      <c r="JH222" s="561">
        <v>0</v>
      </c>
      <c r="JI222" s="561">
        <v>0</v>
      </c>
      <c r="JJ222" s="561">
        <v>0</v>
      </c>
      <c r="JK222" s="561">
        <v>0</v>
      </c>
      <c r="JL222" s="561">
        <v>0</v>
      </c>
      <c r="JM222" s="561">
        <v>-81851</v>
      </c>
      <c r="JN222" s="561">
        <v>0</v>
      </c>
      <c r="JO222" s="561">
        <v>0</v>
      </c>
      <c r="JP222" s="561">
        <v>0</v>
      </c>
      <c r="JQ222" s="561">
        <v>0</v>
      </c>
      <c r="JR222" s="561">
        <v>0</v>
      </c>
      <c r="JS222" s="561">
        <v>0</v>
      </c>
      <c r="JT222" s="561">
        <v>0</v>
      </c>
      <c r="JU222" s="561">
        <v>0</v>
      </c>
      <c r="JV222" s="561">
        <v>1965.95</v>
      </c>
      <c r="JW222" s="561">
        <v>0</v>
      </c>
      <c r="JX222" s="561">
        <v>0</v>
      </c>
      <c r="JY222" s="561">
        <v>0</v>
      </c>
      <c r="JZ222" s="561">
        <v>0</v>
      </c>
      <c r="KA222" s="561">
        <v>0</v>
      </c>
      <c r="KB222" s="561">
        <v>0</v>
      </c>
      <c r="KC222" s="561">
        <v>0</v>
      </c>
      <c r="KD222" s="561">
        <v>0</v>
      </c>
      <c r="KE222" s="561">
        <v>1404.07</v>
      </c>
      <c r="KF222" s="561">
        <v>0</v>
      </c>
      <c r="KG222" s="561">
        <v>3370.02</v>
      </c>
      <c r="KH222" s="561">
        <v>-5542</v>
      </c>
      <c r="KI222" s="561">
        <v>0</v>
      </c>
      <c r="KJ222" s="561">
        <v>0</v>
      </c>
      <c r="KK222" s="561">
        <v>0</v>
      </c>
      <c r="KL222" s="561">
        <v>0</v>
      </c>
      <c r="KM222" s="561">
        <v>0</v>
      </c>
      <c r="KN222" s="561">
        <v>0</v>
      </c>
      <c r="KO222" s="561">
        <v>0</v>
      </c>
      <c r="KP222" s="561">
        <v>0</v>
      </c>
      <c r="KQ222" s="561">
        <v>0</v>
      </c>
      <c r="KR222" s="561">
        <v>-2171.98</v>
      </c>
      <c r="KS222" s="561">
        <v>0</v>
      </c>
      <c r="KT222" s="561">
        <v>0</v>
      </c>
      <c r="KU222" s="561">
        <v>-2171.98</v>
      </c>
      <c r="KV222" s="561">
        <v>0</v>
      </c>
      <c r="KW222" s="561">
        <v>0</v>
      </c>
      <c r="KX222" s="561">
        <v>0</v>
      </c>
      <c r="KY222" s="561">
        <v>0</v>
      </c>
      <c r="KZ222" s="561">
        <v>10000</v>
      </c>
      <c r="LA222" s="561">
        <v>-7828</v>
      </c>
      <c r="LB222" s="561">
        <v>0</v>
      </c>
      <c r="LC222" s="561">
        <v>0</v>
      </c>
      <c r="LD222" s="561">
        <v>0</v>
      </c>
      <c r="LE222" s="561">
        <v>0</v>
      </c>
      <c r="LF222" s="561">
        <v>0</v>
      </c>
      <c r="LG222" s="561">
        <v>0</v>
      </c>
      <c r="LH222" s="561">
        <v>0</v>
      </c>
      <c r="LI222" s="561">
        <v>0</v>
      </c>
      <c r="LJ222" s="561">
        <v>0</v>
      </c>
      <c r="LK222" s="561">
        <v>0</v>
      </c>
      <c r="LL222" s="561">
        <v>0</v>
      </c>
      <c r="LM222" s="561">
        <v>27449</v>
      </c>
      <c r="LN222" s="561">
        <v>0</v>
      </c>
      <c r="LO222" s="561">
        <v>0</v>
      </c>
      <c r="LP222" s="561">
        <v>0</v>
      </c>
      <c r="LQ222" s="561">
        <v>0</v>
      </c>
      <c r="LR222" s="561">
        <v>10000</v>
      </c>
      <c r="LS222" s="561">
        <v>19621</v>
      </c>
      <c r="LT222" s="561">
        <v>17743.41</v>
      </c>
      <c r="LU222" s="561">
        <v>13172.8</v>
      </c>
      <c r="LV222" s="561">
        <v>0</v>
      </c>
      <c r="LW222" s="561">
        <v>3863.99</v>
      </c>
      <c r="LX222" s="561">
        <v>0</v>
      </c>
      <c r="LY222" s="561">
        <v>0</v>
      </c>
      <c r="LZ222" s="561">
        <v>17036.79</v>
      </c>
      <c r="MA222" s="561">
        <v>0</v>
      </c>
      <c r="MB222" s="561">
        <v>0</v>
      </c>
      <c r="MC222" s="561">
        <v>0</v>
      </c>
      <c r="MD222" s="561">
        <v>0</v>
      </c>
      <c r="ME222" s="561">
        <v>0</v>
      </c>
      <c r="MF222" s="561">
        <v>0</v>
      </c>
      <c r="MG222" s="561">
        <v>0</v>
      </c>
      <c r="MH222" s="561">
        <v>0</v>
      </c>
      <c r="MI222" s="561">
        <v>0</v>
      </c>
      <c r="MJ222" s="561">
        <v>0</v>
      </c>
      <c r="MK222" s="561">
        <v>0</v>
      </c>
      <c r="ML222" s="561">
        <v>0</v>
      </c>
      <c r="MM222" s="561">
        <v>5000</v>
      </c>
      <c r="MN222" s="561">
        <v>5000</v>
      </c>
      <c r="MO222" s="561">
        <v>0</v>
      </c>
      <c r="MP222" s="561">
        <v>0</v>
      </c>
      <c r="MQ222" s="561">
        <v>0</v>
      </c>
      <c r="MR222" s="561">
        <v>0</v>
      </c>
      <c r="MS222" s="561">
        <v>0</v>
      </c>
      <c r="MT222" s="561">
        <v>0</v>
      </c>
      <c r="MU222" s="561">
        <v>0</v>
      </c>
      <c r="MV222" s="561">
        <v>0</v>
      </c>
      <c r="MW222" s="561">
        <v>0</v>
      </c>
      <c r="MX222" s="561">
        <v>83816.95</v>
      </c>
      <c r="MY222" s="561">
        <v>0</v>
      </c>
      <c r="MZ222" s="561">
        <v>0</v>
      </c>
      <c r="NA222" s="561">
        <v>0</v>
      </c>
      <c r="NB222" s="561">
        <v>0</v>
      </c>
      <c r="NC222" s="561">
        <v>0</v>
      </c>
      <c r="ND222" s="561">
        <v>83816.95</v>
      </c>
      <c r="NE222" s="561">
        <v>0</v>
      </c>
      <c r="NF222" s="561">
        <v>0</v>
      </c>
      <c r="NG222" s="561">
        <v>0</v>
      </c>
      <c r="NH222" s="561">
        <v>0</v>
      </c>
      <c r="NI222" s="561">
        <v>0</v>
      </c>
      <c r="NJ222" s="561">
        <v>0</v>
      </c>
      <c r="NK222" s="561">
        <v>0</v>
      </c>
      <c r="NL222" s="561">
        <v>0</v>
      </c>
      <c r="NM222" s="561">
        <v>0</v>
      </c>
      <c r="NN222" s="561">
        <v>0</v>
      </c>
      <c r="NO222" s="561">
        <v>0</v>
      </c>
      <c r="NP222" s="561">
        <v>0</v>
      </c>
      <c r="NQ222" s="561">
        <v>0</v>
      </c>
      <c r="NR222" s="561">
        <v>0</v>
      </c>
      <c r="NS222" s="561">
        <v>0</v>
      </c>
      <c r="NT222" s="561">
        <v>0</v>
      </c>
      <c r="NU222" s="561">
        <v>0</v>
      </c>
      <c r="NV222" s="561">
        <v>0</v>
      </c>
      <c r="NW222" s="561">
        <v>0</v>
      </c>
      <c r="NX222" s="561">
        <v>0</v>
      </c>
      <c r="NY222" s="561">
        <v>0</v>
      </c>
      <c r="NZ222" s="561">
        <v>0</v>
      </c>
      <c r="OA222" s="561">
        <v>0</v>
      </c>
      <c r="OB222" s="561">
        <v>0</v>
      </c>
      <c r="OC222" s="561">
        <v>0</v>
      </c>
      <c r="OD222" s="561">
        <v>0</v>
      </c>
      <c r="OE222" s="561">
        <v>0</v>
      </c>
      <c r="OF222" s="561">
        <v>0</v>
      </c>
      <c r="OG222" s="561">
        <v>0</v>
      </c>
      <c r="OH222" s="561">
        <v>0</v>
      </c>
      <c r="OI222" s="561">
        <v>0</v>
      </c>
      <c r="OJ222" s="561">
        <v>0</v>
      </c>
      <c r="OK222" s="561">
        <v>0</v>
      </c>
      <c r="OL222" s="561">
        <v>0</v>
      </c>
      <c r="OM222" s="561">
        <v>0</v>
      </c>
      <c r="ON222" s="561">
        <v>0</v>
      </c>
      <c r="OO222" s="561">
        <v>0</v>
      </c>
      <c r="OP222" s="561">
        <v>0</v>
      </c>
      <c r="OQ222" s="561">
        <v>0</v>
      </c>
      <c r="OR222" s="561">
        <v>0</v>
      </c>
      <c r="OS222" s="561">
        <v>0</v>
      </c>
      <c r="OT222" s="561">
        <v>0</v>
      </c>
      <c r="OU222" s="561">
        <v>0</v>
      </c>
      <c r="OV222" s="561">
        <v>0</v>
      </c>
      <c r="OW222" s="561">
        <v>0</v>
      </c>
      <c r="OX222" s="561">
        <v>0</v>
      </c>
      <c r="OY222" s="561">
        <v>0</v>
      </c>
      <c r="OZ222" s="561">
        <v>0</v>
      </c>
      <c r="PA222" s="561">
        <v>0</v>
      </c>
      <c r="PB222" s="561">
        <v>0</v>
      </c>
      <c r="PC222" s="561">
        <v>0</v>
      </c>
      <c r="PD222" s="561">
        <v>0</v>
      </c>
      <c r="PE222" s="561">
        <v>0</v>
      </c>
      <c r="PF222" s="561">
        <v>0</v>
      </c>
      <c r="PG222" s="561">
        <v>0</v>
      </c>
      <c r="PH222" s="561">
        <v>0</v>
      </c>
      <c r="PI222" s="561">
        <v>0</v>
      </c>
      <c r="PJ222" s="561">
        <v>0</v>
      </c>
    </row>
    <row r="223" spans="1:426" ht="14" x14ac:dyDescent="0.3">
      <c r="A223" t="s">
        <v>3112</v>
      </c>
      <c r="B223" t="s">
        <v>3113</v>
      </c>
      <c r="C223" t="s">
        <v>3114</v>
      </c>
      <c r="E223" t="s">
        <v>2476</v>
      </c>
      <c r="F223" s="561">
        <v>22718</v>
      </c>
      <c r="G223" s="561">
        <v>91503</v>
      </c>
      <c r="H223" s="561">
        <v>52730</v>
      </c>
      <c r="I223" s="561">
        <v>52394</v>
      </c>
      <c r="J223" s="561">
        <v>10792</v>
      </c>
      <c r="K223" s="561">
        <v>39826</v>
      </c>
      <c r="L223" s="561">
        <v>269963</v>
      </c>
      <c r="M223" s="561">
        <v>1147</v>
      </c>
      <c r="N223" s="561">
        <v>763.09</v>
      </c>
      <c r="O223" s="561">
        <v>363.62</v>
      </c>
      <c r="P223" s="561">
        <v>1139.58</v>
      </c>
      <c r="Q223" s="561">
        <v>0</v>
      </c>
      <c r="R223" s="561">
        <v>162.99</v>
      </c>
      <c r="S223" s="561">
        <v>1952.49</v>
      </c>
      <c r="T223" s="561">
        <v>737.73</v>
      </c>
      <c r="U223" s="561">
        <v>65.989999999999995</v>
      </c>
      <c r="V223" s="561">
        <v>857</v>
      </c>
      <c r="W223" s="561">
        <v>0</v>
      </c>
      <c r="X223" s="561">
        <v>0</v>
      </c>
      <c r="Y223" s="561">
        <v>141.24</v>
      </c>
      <c r="Z223" s="561">
        <v>-470</v>
      </c>
      <c r="AA223" s="561">
        <v>-10561.07</v>
      </c>
      <c r="AB223" s="561">
        <v>-1043.19</v>
      </c>
      <c r="AC223" s="561">
        <v>7767.13</v>
      </c>
      <c r="AD223" s="561">
        <v>0</v>
      </c>
      <c r="AE223" s="561">
        <v>0</v>
      </c>
      <c r="AF223" s="561">
        <v>0</v>
      </c>
      <c r="AG223" s="561">
        <v>0</v>
      </c>
      <c r="AH223" s="561">
        <v>-596</v>
      </c>
      <c r="AI223" s="561">
        <v>0</v>
      </c>
      <c r="AJ223" s="561">
        <v>1280.5999999999999</v>
      </c>
      <c r="AK223" s="561">
        <v>1904</v>
      </c>
      <c r="AL223" s="561">
        <v>0</v>
      </c>
      <c r="AM223" s="561">
        <v>0</v>
      </c>
      <c r="AN223" s="561">
        <v>0</v>
      </c>
      <c r="AO223" s="561">
        <v>0</v>
      </c>
      <c r="AP223" s="561">
        <v>0</v>
      </c>
      <c r="AQ223" s="561">
        <v>0</v>
      </c>
      <c r="AR223" s="561">
        <v>0</v>
      </c>
      <c r="AS223" s="561">
        <v>10259.27</v>
      </c>
      <c r="AT223" s="561">
        <v>8560</v>
      </c>
      <c r="AU223" s="561">
        <v>0</v>
      </c>
      <c r="AV223" s="561">
        <v>0</v>
      </c>
      <c r="AW223" s="561">
        <v>0</v>
      </c>
      <c r="AX223" s="561">
        <v>5637</v>
      </c>
      <c r="AY223" s="561">
        <v>18698</v>
      </c>
      <c r="AZ223" s="561">
        <v>2689</v>
      </c>
      <c r="BA223" s="561">
        <v>9936</v>
      </c>
      <c r="BB223" s="561">
        <v>959</v>
      </c>
      <c r="BC223" s="561">
        <v>10251</v>
      </c>
      <c r="BD223" s="561">
        <v>0</v>
      </c>
      <c r="BE223" s="561">
        <v>3083</v>
      </c>
      <c r="BF223" s="561">
        <v>51253</v>
      </c>
      <c r="BG223" s="561">
        <v>3591</v>
      </c>
      <c r="BH223" s="561">
        <v>4749.5</v>
      </c>
      <c r="BI223" s="561">
        <v>22227.8</v>
      </c>
      <c r="BJ223" s="561">
        <v>497.09</v>
      </c>
      <c r="BK223" s="561">
        <v>798.71</v>
      </c>
      <c r="BL223" s="561">
        <v>74.55</v>
      </c>
      <c r="BM223" s="561">
        <v>3649.57</v>
      </c>
      <c r="BN223" s="561">
        <v>19955.23</v>
      </c>
      <c r="BO223" s="561">
        <v>3380.61</v>
      </c>
      <c r="BP223" s="561">
        <v>5551.05</v>
      </c>
      <c r="BQ223" s="561">
        <v>3814.16</v>
      </c>
      <c r="BR223" s="561">
        <v>491.55</v>
      </c>
      <c r="BS223" s="561">
        <v>338.33</v>
      </c>
      <c r="BT223" s="561">
        <v>942.56</v>
      </c>
      <c r="BU223" s="561">
        <v>756.89</v>
      </c>
      <c r="BV223" s="561">
        <v>1138.1199999999999</v>
      </c>
      <c r="BW223" s="561">
        <v>5615.79</v>
      </c>
      <c r="BX223" s="561">
        <v>268.8</v>
      </c>
      <c r="BY223" s="561">
        <v>958.04</v>
      </c>
      <c r="BZ223" s="561">
        <v>75208.350000000006</v>
      </c>
      <c r="CA223" s="561">
        <v>3588</v>
      </c>
      <c r="CB223" s="561">
        <v>2023</v>
      </c>
      <c r="CC223" s="561">
        <v>523</v>
      </c>
      <c r="CD223" s="561">
        <v>197</v>
      </c>
      <c r="CE223" s="561">
        <v>151</v>
      </c>
      <c r="CF223" s="561">
        <v>173</v>
      </c>
      <c r="CG223" s="561">
        <v>127</v>
      </c>
      <c r="CH223" s="561">
        <v>518</v>
      </c>
      <c r="CI223" s="561">
        <v>39</v>
      </c>
      <c r="CJ223" s="561">
        <v>63</v>
      </c>
      <c r="CK223" s="561">
        <v>260</v>
      </c>
      <c r="CL223" s="561">
        <v>150</v>
      </c>
      <c r="CM223" s="561">
        <v>791</v>
      </c>
      <c r="CN223" s="561">
        <v>792</v>
      </c>
      <c r="CO223" s="561">
        <v>88</v>
      </c>
      <c r="CP223" s="561">
        <v>88</v>
      </c>
      <c r="CQ223" s="561">
        <v>160</v>
      </c>
      <c r="CR223" s="561">
        <v>326</v>
      </c>
      <c r="CS223" s="561">
        <v>68</v>
      </c>
      <c r="CT223" s="561">
        <v>1194</v>
      </c>
      <c r="CU223" s="561">
        <v>2672</v>
      </c>
      <c r="CV223" s="561">
        <v>345</v>
      </c>
      <c r="CW223" s="561">
        <v>0</v>
      </c>
      <c r="CX223" s="561">
        <v>292</v>
      </c>
      <c r="CY223" s="561">
        <v>1715</v>
      </c>
      <c r="CZ223" s="561">
        <v>12755</v>
      </c>
      <c r="DA223" s="561">
        <v>202</v>
      </c>
      <c r="DB223" s="561">
        <v>0</v>
      </c>
      <c r="DC223" s="561">
        <v>0</v>
      </c>
      <c r="DD223" s="561">
        <v>0</v>
      </c>
      <c r="DE223" s="561">
        <v>0</v>
      </c>
      <c r="DF223" s="561">
        <v>0</v>
      </c>
      <c r="DG223" s="561">
        <v>0</v>
      </c>
      <c r="DH223" s="561">
        <v>2120.5300000000002</v>
      </c>
      <c r="DI223" s="561">
        <v>0</v>
      </c>
      <c r="DJ223" s="561">
        <v>0</v>
      </c>
      <c r="DK223" s="561">
        <v>0</v>
      </c>
      <c r="DL223" s="561">
        <v>8761.02</v>
      </c>
      <c r="DM223" s="561">
        <v>0</v>
      </c>
      <c r="DN223" s="561">
        <v>0</v>
      </c>
      <c r="DO223" s="561">
        <v>899.66</v>
      </c>
      <c r="DP223" s="561">
        <v>0</v>
      </c>
      <c r="DQ223" s="561">
        <v>27.68</v>
      </c>
      <c r="DR223" s="561">
        <v>0</v>
      </c>
      <c r="DS223" s="561">
        <v>656.75</v>
      </c>
      <c r="DT223" s="561">
        <v>0</v>
      </c>
      <c r="DU223" s="561">
        <v>10345.11</v>
      </c>
      <c r="DV223" s="561">
        <v>0</v>
      </c>
      <c r="DW223" s="561">
        <v>0</v>
      </c>
      <c r="DX223" s="561">
        <v>0</v>
      </c>
      <c r="DY223" s="561">
        <v>4612.34</v>
      </c>
      <c r="DZ223" s="561">
        <v>0</v>
      </c>
      <c r="EA223" s="561">
        <v>1197.27</v>
      </c>
      <c r="EB223" s="561">
        <v>0</v>
      </c>
      <c r="EC223" s="561">
        <v>18275.25</v>
      </c>
      <c r="ED223" s="561">
        <v>532</v>
      </c>
      <c r="EE223" s="561">
        <v>0</v>
      </c>
      <c r="EF223" s="561">
        <v>0</v>
      </c>
      <c r="EG223" s="561">
        <v>0</v>
      </c>
      <c r="EH223" s="561">
        <v>0</v>
      </c>
      <c r="EI223" s="561">
        <v>0</v>
      </c>
      <c r="EJ223" s="561">
        <v>0</v>
      </c>
      <c r="EK223" s="561">
        <v>0</v>
      </c>
      <c r="EL223" s="561">
        <v>0</v>
      </c>
      <c r="EM223" s="561">
        <v>0</v>
      </c>
      <c r="EN223" s="561">
        <v>0</v>
      </c>
      <c r="EO223" s="561">
        <v>0</v>
      </c>
      <c r="EP223" s="561">
        <v>0</v>
      </c>
      <c r="EQ223" s="561">
        <v>0</v>
      </c>
      <c r="ER223" s="561">
        <v>0</v>
      </c>
      <c r="ES223" s="561" t="s">
        <v>4565</v>
      </c>
      <c r="ET223" s="561">
        <v>0</v>
      </c>
      <c r="EU223" s="561">
        <v>0</v>
      </c>
      <c r="EV223" s="561">
        <v>0</v>
      </c>
      <c r="EW223" s="561">
        <v>0</v>
      </c>
      <c r="EX223" s="561">
        <v>0</v>
      </c>
      <c r="EY223" s="561">
        <v>0</v>
      </c>
      <c r="EZ223" s="561">
        <v>0</v>
      </c>
      <c r="FA223" s="561">
        <v>0</v>
      </c>
      <c r="FB223" s="561">
        <v>0</v>
      </c>
      <c r="FC223" s="561">
        <v>0.96</v>
      </c>
      <c r="FD223" s="561">
        <v>0</v>
      </c>
      <c r="FE223" s="561">
        <v>0</v>
      </c>
      <c r="FF223" s="561">
        <v>64.150000000000006</v>
      </c>
      <c r="FG223" s="561">
        <v>-1.89</v>
      </c>
      <c r="FH223" s="561">
        <v>0</v>
      </c>
      <c r="FI223" s="561">
        <v>387.21</v>
      </c>
      <c r="FJ223" s="561">
        <v>-36.299999999999997</v>
      </c>
      <c r="FK223" s="561">
        <v>3754.88</v>
      </c>
      <c r="FL223" s="561">
        <v>25.1</v>
      </c>
      <c r="FM223" s="561">
        <v>0</v>
      </c>
      <c r="FN223" s="561">
        <v>3498.86</v>
      </c>
      <c r="FO223" s="561">
        <v>7692.97</v>
      </c>
      <c r="FP223" s="561">
        <v>303</v>
      </c>
      <c r="FQ223" s="561">
        <v>-16.09</v>
      </c>
      <c r="FR223" s="561">
        <v>1507.12</v>
      </c>
      <c r="FS223" s="561">
        <v>0</v>
      </c>
      <c r="FT223" s="561">
        <v>674.72</v>
      </c>
      <c r="FU223" s="561">
        <v>1403.74</v>
      </c>
      <c r="FV223" s="561">
        <v>430.41</v>
      </c>
      <c r="FW223" s="561">
        <v>0</v>
      </c>
      <c r="FX223" s="561">
        <v>0</v>
      </c>
      <c r="FY223" s="561">
        <v>0</v>
      </c>
      <c r="FZ223" s="561">
        <v>151.32</v>
      </c>
      <c r="GA223" s="561">
        <v>0</v>
      </c>
      <c r="GB223" s="561">
        <v>0</v>
      </c>
      <c r="GC223" s="561">
        <v>11.58</v>
      </c>
      <c r="GD223" s="561">
        <v>1045.6099999999999</v>
      </c>
      <c r="GE223" s="561">
        <v>0</v>
      </c>
      <c r="GF223" s="561">
        <v>1034.0999999999999</v>
      </c>
      <c r="GG223" s="561">
        <v>0</v>
      </c>
      <c r="GH223" s="561">
        <v>0</v>
      </c>
      <c r="GI223" s="561">
        <v>0</v>
      </c>
      <c r="GJ223" s="561">
        <v>0</v>
      </c>
      <c r="GK223" s="561">
        <v>67.92</v>
      </c>
      <c r="GL223" s="561">
        <v>3968</v>
      </c>
      <c r="GM223" s="561">
        <v>7151.56</v>
      </c>
      <c r="GN223" s="561">
        <v>6451.35</v>
      </c>
      <c r="GO223" s="561">
        <v>-453.86</v>
      </c>
      <c r="GP223" s="561">
        <v>-810.84</v>
      </c>
      <c r="GQ223" s="561">
        <v>0</v>
      </c>
      <c r="GR223" s="561">
        <v>0</v>
      </c>
      <c r="GS223" s="561">
        <v>22616.639999999999</v>
      </c>
      <c r="GT223" s="561">
        <v>962</v>
      </c>
      <c r="GU223" s="561">
        <v>110.4</v>
      </c>
      <c r="GV223" s="561">
        <v>933.18</v>
      </c>
      <c r="GW223" s="561">
        <v>0</v>
      </c>
      <c r="GX223" s="561">
        <v>1334.53</v>
      </c>
      <c r="GY223" s="561">
        <v>0</v>
      </c>
      <c r="GZ223" s="561">
        <v>137.49</v>
      </c>
      <c r="HA223" s="561">
        <v>0</v>
      </c>
      <c r="HB223" s="561">
        <v>-5494.96</v>
      </c>
      <c r="HC223" s="561">
        <v>667.8</v>
      </c>
      <c r="HD223" s="561">
        <v>-2311.56</v>
      </c>
      <c r="HE223" s="561">
        <v>1177</v>
      </c>
      <c r="HF223" s="561">
        <v>27998.05</v>
      </c>
      <c r="HG223" s="561">
        <v>2442</v>
      </c>
      <c r="HH223" s="561">
        <v>0</v>
      </c>
      <c r="HI223" s="561">
        <v>0</v>
      </c>
      <c r="HJ223" s="561">
        <v>0</v>
      </c>
      <c r="HK223" s="561">
        <v>0</v>
      </c>
      <c r="HL223" s="561">
        <v>0</v>
      </c>
      <c r="HM223" s="561">
        <v>0</v>
      </c>
      <c r="HN223" s="561">
        <v>0</v>
      </c>
      <c r="HO223" s="561">
        <v>11465.55</v>
      </c>
      <c r="HP223" s="561">
        <v>1390.62</v>
      </c>
      <c r="HQ223" s="561">
        <v>0</v>
      </c>
      <c r="HR223" s="561">
        <v>39</v>
      </c>
      <c r="HS223" s="561">
        <v>600.62</v>
      </c>
      <c r="HT223" s="561">
        <v>245.41</v>
      </c>
      <c r="HU223" s="561">
        <v>-14.41</v>
      </c>
      <c r="HV223" s="561">
        <v>-77.959999999999994</v>
      </c>
      <c r="HW223" s="561">
        <v>652.41999999999996</v>
      </c>
      <c r="HX223" s="561">
        <v>131.61000000000001</v>
      </c>
      <c r="HY223" s="561">
        <v>0</v>
      </c>
      <c r="HZ223" s="561">
        <v>27.42</v>
      </c>
      <c r="IA223" s="561">
        <v>70.37</v>
      </c>
      <c r="IB223" s="561">
        <v>1216.6500000000001</v>
      </c>
      <c r="IC223" s="561">
        <v>740.08</v>
      </c>
      <c r="ID223" s="561">
        <v>-1.82</v>
      </c>
      <c r="IE223" s="561">
        <v>1703.61</v>
      </c>
      <c r="IF223" s="561">
        <v>1215.7</v>
      </c>
      <c r="IG223" s="561">
        <v>0</v>
      </c>
      <c r="IH223" s="561">
        <v>-5782.14</v>
      </c>
      <c r="II223" s="561">
        <v>13622.73</v>
      </c>
      <c r="IJ223" s="561">
        <v>4408</v>
      </c>
      <c r="IK223" s="561">
        <v>25333.09</v>
      </c>
      <c r="IL223" s="561">
        <v>0</v>
      </c>
      <c r="IM223" s="561">
        <v>0</v>
      </c>
      <c r="IN223" s="561">
        <v>11461.29</v>
      </c>
      <c r="IO223" s="561">
        <v>5165.17</v>
      </c>
      <c r="IP223" s="561">
        <v>230.68</v>
      </c>
      <c r="IQ223" s="561">
        <v>0</v>
      </c>
      <c r="IR223" s="561">
        <v>269963</v>
      </c>
      <c r="IS223" s="561">
        <v>1280.5999999999999</v>
      </c>
      <c r="IT223" s="561">
        <v>51253</v>
      </c>
      <c r="IU223" s="561">
        <v>75208.350000000006</v>
      </c>
      <c r="IV223" s="561">
        <v>12755</v>
      </c>
      <c r="IW223" s="561">
        <v>18275.25</v>
      </c>
      <c r="IX223" s="561">
        <v>7692.97</v>
      </c>
      <c r="IY223" s="561">
        <v>22616.639999999999</v>
      </c>
      <c r="IZ223" s="561">
        <v>-2311.56</v>
      </c>
      <c r="JA223" s="561">
        <v>0</v>
      </c>
      <c r="JB223" s="561">
        <v>0</v>
      </c>
      <c r="JC223" s="561">
        <v>13622.73</v>
      </c>
      <c r="JD223" s="561">
        <v>230.68</v>
      </c>
      <c r="JE223" s="561">
        <v>470586.66</v>
      </c>
      <c r="JF223" s="561">
        <v>44758.68</v>
      </c>
      <c r="JG223" s="561">
        <v>5717.49</v>
      </c>
      <c r="JH223" s="561">
        <v>0</v>
      </c>
      <c r="JI223" s="561">
        <v>0</v>
      </c>
      <c r="JJ223" s="561">
        <v>0</v>
      </c>
      <c r="JK223" s="561">
        <v>0</v>
      </c>
      <c r="JL223" s="561">
        <v>0</v>
      </c>
      <c r="JM223" s="561">
        <v>0</v>
      </c>
      <c r="JN223" s="561">
        <v>25</v>
      </c>
      <c r="JO223" s="561">
        <v>961</v>
      </c>
      <c r="JP223" s="561">
        <v>0</v>
      </c>
      <c r="JQ223" s="561">
        <v>0</v>
      </c>
      <c r="JR223" s="561">
        <v>0</v>
      </c>
      <c r="JS223" s="561">
        <v>0</v>
      </c>
      <c r="JT223" s="561">
        <v>0</v>
      </c>
      <c r="JU223" s="561">
        <v>0</v>
      </c>
      <c r="JV223" s="561">
        <v>522048.83</v>
      </c>
      <c r="JW223" s="561">
        <v>186</v>
      </c>
      <c r="JX223" s="561">
        <v>5079</v>
      </c>
      <c r="JY223" s="561">
        <v>0</v>
      </c>
      <c r="JZ223" s="561">
        <v>0</v>
      </c>
      <c r="KA223" s="561">
        <v>0</v>
      </c>
      <c r="KB223" s="561">
        <v>2441</v>
      </c>
      <c r="KC223" s="561">
        <v>4275</v>
      </c>
      <c r="KD223" s="561">
        <v>0</v>
      </c>
      <c r="KE223" s="561">
        <v>2563</v>
      </c>
      <c r="KF223" s="561">
        <v>0</v>
      </c>
      <c r="KG223" s="561">
        <v>536592.82999999996</v>
      </c>
      <c r="KH223" s="561">
        <v>-15885</v>
      </c>
      <c r="KI223" s="561">
        <v>0</v>
      </c>
      <c r="KJ223" s="561">
        <v>0</v>
      </c>
      <c r="KK223" s="561">
        <v>0</v>
      </c>
      <c r="KL223" s="561">
        <v>-79928.92</v>
      </c>
      <c r="KM223" s="561">
        <v>0</v>
      </c>
      <c r="KN223" s="561">
        <v>-4529</v>
      </c>
      <c r="KO223" s="561">
        <v>0</v>
      </c>
      <c r="KP223" s="561">
        <v>0</v>
      </c>
      <c r="KQ223" s="561">
        <v>-12313</v>
      </c>
      <c r="KR223" s="561">
        <v>423936.91</v>
      </c>
      <c r="KS223" s="561">
        <v>0</v>
      </c>
      <c r="KT223" s="561">
        <v>-253486</v>
      </c>
      <c r="KU223" s="561">
        <v>170450.91</v>
      </c>
      <c r="KV223" s="561">
        <v>0</v>
      </c>
      <c r="KW223" s="561">
        <v>-2980.84</v>
      </c>
      <c r="KX223" s="561">
        <v>0</v>
      </c>
      <c r="KY223" s="561">
        <v>296</v>
      </c>
      <c r="KZ223" s="561">
        <v>12541</v>
      </c>
      <c r="LA223" s="561">
        <v>0</v>
      </c>
      <c r="LB223" s="561">
        <v>-6513</v>
      </c>
      <c r="LC223" s="561">
        <v>0</v>
      </c>
      <c r="LD223" s="561">
        <v>-52532</v>
      </c>
      <c r="LE223" s="561">
        <v>-1693</v>
      </c>
      <c r="LF223" s="561">
        <v>0</v>
      </c>
      <c r="LG223" s="561">
        <v>119569</v>
      </c>
      <c r="LH223" s="561">
        <v>10223</v>
      </c>
      <c r="LI223" s="561">
        <v>-41243</v>
      </c>
      <c r="LJ223" s="561">
        <v>0</v>
      </c>
      <c r="LK223" s="561">
        <v>913</v>
      </c>
      <c r="LL223" s="561">
        <v>108148</v>
      </c>
      <c r="LM223" s="561">
        <v>14000</v>
      </c>
      <c r="LN223" s="561">
        <v>7242.16</v>
      </c>
      <c r="LO223" s="561">
        <v>-53556</v>
      </c>
      <c r="LP223" s="561">
        <v>0</v>
      </c>
      <c r="LQ223" s="561">
        <v>1209</v>
      </c>
      <c r="LR223" s="561">
        <v>120689</v>
      </c>
      <c r="LS223" s="561">
        <v>14000</v>
      </c>
      <c r="LT223" s="561">
        <v>0</v>
      </c>
      <c r="LU223" s="561">
        <v>29784.080000000002</v>
      </c>
      <c r="LV223" s="561">
        <v>359.8</v>
      </c>
      <c r="LW223" s="561">
        <v>912.37</v>
      </c>
      <c r="LX223" s="561">
        <v>0</v>
      </c>
      <c r="LY223" s="561">
        <v>4222.22</v>
      </c>
      <c r="LZ223" s="561">
        <v>35278.47</v>
      </c>
      <c r="MA223" s="561">
        <v>0</v>
      </c>
      <c r="MB223" s="561">
        <v>0</v>
      </c>
      <c r="MC223" s="561">
        <v>0</v>
      </c>
      <c r="MD223" s="561">
        <v>0</v>
      </c>
      <c r="ME223" s="561">
        <v>0</v>
      </c>
      <c r="MF223" s="561">
        <v>0</v>
      </c>
      <c r="MG223" s="561">
        <v>0</v>
      </c>
      <c r="MH223" s="561">
        <v>4754</v>
      </c>
      <c r="MI223" s="561">
        <v>8204</v>
      </c>
      <c r="MJ223" s="561">
        <v>12958</v>
      </c>
      <c r="MK223" s="561">
        <v>0</v>
      </c>
      <c r="ML223" s="561">
        <v>2129</v>
      </c>
      <c r="MM223" s="561">
        <v>26198</v>
      </c>
      <c r="MN223" s="561">
        <v>79212</v>
      </c>
      <c r="MO223" s="561">
        <v>8100</v>
      </c>
      <c r="MP223" s="561">
        <v>5050</v>
      </c>
      <c r="MQ223" s="561">
        <v>269963</v>
      </c>
      <c r="MR223" s="561">
        <v>1280.5999999999999</v>
      </c>
      <c r="MS223" s="561">
        <v>51253</v>
      </c>
      <c r="MT223" s="561">
        <v>75208.350000000006</v>
      </c>
      <c r="MU223" s="561">
        <v>12755</v>
      </c>
      <c r="MV223" s="561">
        <v>18275.25</v>
      </c>
      <c r="MW223" s="561">
        <v>7692.97</v>
      </c>
      <c r="MX223" s="561">
        <v>22616.639999999999</v>
      </c>
      <c r="MY223" s="561">
        <v>-2311.56</v>
      </c>
      <c r="MZ223" s="561">
        <v>0</v>
      </c>
      <c r="NA223" s="561">
        <v>0</v>
      </c>
      <c r="NB223" s="561">
        <v>13622.73</v>
      </c>
      <c r="NC223" s="561">
        <v>230.68</v>
      </c>
      <c r="ND223" s="561">
        <v>470586.66</v>
      </c>
      <c r="NE223" s="561">
        <v>0</v>
      </c>
      <c r="NF223" s="561">
        <v>0</v>
      </c>
      <c r="NG223" s="561">
        <v>0</v>
      </c>
      <c r="NH223" s="561">
        <v>0</v>
      </c>
      <c r="NI223" s="561">
        <v>0</v>
      </c>
      <c r="NJ223" s="561">
        <v>0</v>
      </c>
      <c r="NK223" s="561">
        <v>0</v>
      </c>
      <c r="NL223" s="561">
        <v>0</v>
      </c>
      <c r="NM223" s="561">
        <v>0</v>
      </c>
      <c r="NN223" s="561">
        <v>0</v>
      </c>
      <c r="NO223" s="561">
        <v>0</v>
      </c>
      <c r="NP223" s="561">
        <v>0</v>
      </c>
      <c r="NQ223" s="561">
        <v>0</v>
      </c>
      <c r="NR223" s="561">
        <v>0</v>
      </c>
      <c r="NS223" s="561">
        <v>0</v>
      </c>
      <c r="NT223" s="561">
        <v>0</v>
      </c>
      <c r="NU223" s="561">
        <v>0</v>
      </c>
      <c r="NV223" s="561">
        <v>0</v>
      </c>
      <c r="NW223" s="561">
        <v>0</v>
      </c>
      <c r="NX223" s="561">
        <v>0</v>
      </c>
      <c r="NY223" s="561">
        <v>0</v>
      </c>
      <c r="NZ223" s="561">
        <v>0</v>
      </c>
      <c r="OA223" s="561">
        <v>0</v>
      </c>
      <c r="OB223" s="561">
        <v>0</v>
      </c>
      <c r="OC223" s="561">
        <v>0</v>
      </c>
      <c r="OD223" s="561">
        <v>0</v>
      </c>
      <c r="OE223" s="561">
        <v>0</v>
      </c>
      <c r="OF223" s="561">
        <v>0</v>
      </c>
      <c r="OG223" s="561">
        <v>0</v>
      </c>
      <c r="OH223" s="561">
        <v>0</v>
      </c>
      <c r="OI223" s="561">
        <v>0</v>
      </c>
      <c r="OJ223" s="561">
        <v>0</v>
      </c>
      <c r="OK223" s="561">
        <v>0</v>
      </c>
      <c r="OL223" s="561">
        <v>0</v>
      </c>
      <c r="OM223" s="561">
        <v>0</v>
      </c>
      <c r="ON223" s="561">
        <v>0</v>
      </c>
      <c r="OO223" s="561">
        <v>0</v>
      </c>
      <c r="OP223" s="561">
        <v>0</v>
      </c>
      <c r="OQ223" s="561">
        <v>0</v>
      </c>
      <c r="OR223" s="561">
        <v>0</v>
      </c>
      <c r="OS223" s="561">
        <v>0</v>
      </c>
      <c r="OT223" s="561">
        <v>0</v>
      </c>
      <c r="OU223" s="561">
        <v>0</v>
      </c>
      <c r="OV223" s="561">
        <v>0</v>
      </c>
      <c r="OW223" s="561">
        <v>0</v>
      </c>
      <c r="OX223" s="561">
        <v>0</v>
      </c>
      <c r="OY223" s="561">
        <v>0</v>
      </c>
      <c r="OZ223" s="561">
        <v>0</v>
      </c>
      <c r="PA223" s="561">
        <v>0</v>
      </c>
      <c r="PB223" s="561">
        <v>0</v>
      </c>
      <c r="PC223" s="561">
        <v>0</v>
      </c>
      <c r="PD223" s="561">
        <v>0</v>
      </c>
      <c r="PE223" s="561">
        <v>0</v>
      </c>
      <c r="PF223" s="561">
        <v>0</v>
      </c>
      <c r="PG223" s="561">
        <v>0</v>
      </c>
      <c r="PH223" s="561">
        <v>0</v>
      </c>
      <c r="PI223" s="561">
        <v>0</v>
      </c>
      <c r="PJ223" s="561">
        <v>0</v>
      </c>
    </row>
    <row r="224" spans="1:426" ht="14" x14ac:dyDescent="0.3">
      <c r="A224" t="s">
        <v>3115</v>
      </c>
      <c r="B224" t="s">
        <v>3116</v>
      </c>
      <c r="C224" t="s">
        <v>3117</v>
      </c>
      <c r="E224" t="s">
        <v>384</v>
      </c>
      <c r="F224" s="561">
        <v>0</v>
      </c>
      <c r="G224" s="561">
        <v>0</v>
      </c>
      <c r="H224" s="561">
        <v>0</v>
      </c>
      <c r="I224" s="561">
        <v>0</v>
      </c>
      <c r="J224" s="561">
        <v>0</v>
      </c>
      <c r="K224" s="561">
        <v>0</v>
      </c>
      <c r="L224" s="561">
        <v>0</v>
      </c>
      <c r="M224" s="561">
        <v>0</v>
      </c>
      <c r="N224" s="561">
        <v>0</v>
      </c>
      <c r="O224" s="561">
        <v>0</v>
      </c>
      <c r="P224" s="561">
        <v>0</v>
      </c>
      <c r="Q224" s="561">
        <v>0</v>
      </c>
      <c r="R224" s="561">
        <v>0</v>
      </c>
      <c r="S224" s="561">
        <v>0</v>
      </c>
      <c r="T224" s="561">
        <v>0</v>
      </c>
      <c r="U224" s="561">
        <v>0</v>
      </c>
      <c r="V224" s="561">
        <v>0</v>
      </c>
      <c r="W224" s="561">
        <v>0</v>
      </c>
      <c r="X224" s="561">
        <v>0</v>
      </c>
      <c r="Y224" s="561">
        <v>0</v>
      </c>
      <c r="Z224" s="561">
        <v>0</v>
      </c>
      <c r="AA224" s="561">
        <v>0</v>
      </c>
      <c r="AB224" s="561">
        <v>-424.87</v>
      </c>
      <c r="AC224" s="561">
        <v>0</v>
      </c>
      <c r="AD224" s="561">
        <v>0</v>
      </c>
      <c r="AE224" s="561">
        <v>0</v>
      </c>
      <c r="AF224" s="561">
        <v>0</v>
      </c>
      <c r="AG224" s="561">
        <v>0</v>
      </c>
      <c r="AH224" s="561">
        <v>-4</v>
      </c>
      <c r="AI224" s="561">
        <v>0</v>
      </c>
      <c r="AJ224" s="561">
        <v>-428.87</v>
      </c>
      <c r="AK224" s="561">
        <v>0</v>
      </c>
      <c r="AL224" s="561">
        <v>0</v>
      </c>
      <c r="AM224" s="561">
        <v>0</v>
      </c>
      <c r="AN224" s="561">
        <v>0</v>
      </c>
      <c r="AO224" s="561">
        <v>0</v>
      </c>
      <c r="AP224" s="561">
        <v>0</v>
      </c>
      <c r="AQ224" s="561">
        <v>0</v>
      </c>
      <c r="AR224" s="561">
        <v>0</v>
      </c>
      <c r="AS224" s="561">
        <v>0</v>
      </c>
      <c r="AT224" s="561">
        <v>0</v>
      </c>
      <c r="AU224" s="561">
        <v>0</v>
      </c>
      <c r="AV224" s="561">
        <v>0</v>
      </c>
      <c r="AW224" s="561">
        <v>0</v>
      </c>
      <c r="AX224" s="561">
        <v>0</v>
      </c>
      <c r="AY224" s="561">
        <v>0</v>
      </c>
      <c r="AZ224" s="561">
        <v>0</v>
      </c>
      <c r="BA224" s="561">
        <v>0</v>
      </c>
      <c r="BB224" s="561">
        <v>0</v>
      </c>
      <c r="BC224" s="561">
        <v>0</v>
      </c>
      <c r="BD224" s="561">
        <v>0</v>
      </c>
      <c r="BE224" s="561">
        <v>0</v>
      </c>
      <c r="BF224" s="561">
        <v>0</v>
      </c>
      <c r="BG224" s="561">
        <v>0</v>
      </c>
      <c r="BH224" s="561">
        <v>0</v>
      </c>
      <c r="BI224" s="561">
        <v>0</v>
      </c>
      <c r="BJ224" s="561">
        <v>0</v>
      </c>
      <c r="BK224" s="561">
        <v>0</v>
      </c>
      <c r="BL224" s="561">
        <v>0</v>
      </c>
      <c r="BM224" s="561">
        <v>0</v>
      </c>
      <c r="BN224" s="561">
        <v>0</v>
      </c>
      <c r="BO224" s="561">
        <v>0</v>
      </c>
      <c r="BP224" s="561">
        <v>0</v>
      </c>
      <c r="BQ224" s="561">
        <v>0</v>
      </c>
      <c r="BR224" s="561">
        <v>0</v>
      </c>
      <c r="BS224" s="561">
        <v>0</v>
      </c>
      <c r="BT224" s="561">
        <v>0</v>
      </c>
      <c r="BU224" s="561">
        <v>0</v>
      </c>
      <c r="BV224" s="561">
        <v>0</v>
      </c>
      <c r="BW224" s="561">
        <v>0</v>
      </c>
      <c r="BX224" s="561">
        <v>0</v>
      </c>
      <c r="BY224" s="561">
        <v>0</v>
      </c>
      <c r="BZ224" s="561">
        <v>0</v>
      </c>
      <c r="CA224" s="561">
        <v>0</v>
      </c>
      <c r="CB224" s="561">
        <v>0</v>
      </c>
      <c r="CC224" s="561">
        <v>0</v>
      </c>
      <c r="CD224" s="561">
        <v>0</v>
      </c>
      <c r="CE224" s="561">
        <v>0</v>
      </c>
      <c r="CF224" s="561">
        <v>0</v>
      </c>
      <c r="CG224" s="561">
        <v>0</v>
      </c>
      <c r="CH224" s="561">
        <v>0</v>
      </c>
      <c r="CI224" s="561">
        <v>0</v>
      </c>
      <c r="CJ224" s="561">
        <v>0</v>
      </c>
      <c r="CK224" s="561">
        <v>0</v>
      </c>
      <c r="CL224" s="561">
        <v>0</v>
      </c>
      <c r="CM224" s="561">
        <v>0</v>
      </c>
      <c r="CN224" s="561">
        <v>0</v>
      </c>
      <c r="CO224" s="561">
        <v>0</v>
      </c>
      <c r="CP224" s="561">
        <v>0</v>
      </c>
      <c r="CQ224" s="561">
        <v>0</v>
      </c>
      <c r="CR224" s="561">
        <v>0</v>
      </c>
      <c r="CS224" s="561">
        <v>0</v>
      </c>
      <c r="CT224" s="561">
        <v>0</v>
      </c>
      <c r="CU224" s="561">
        <v>0</v>
      </c>
      <c r="CV224" s="561">
        <v>0</v>
      </c>
      <c r="CW224" s="561">
        <v>0</v>
      </c>
      <c r="CX224" s="561">
        <v>0</v>
      </c>
      <c r="CY224" s="561">
        <v>0</v>
      </c>
      <c r="CZ224" s="561">
        <v>0</v>
      </c>
      <c r="DA224" s="561">
        <v>0</v>
      </c>
      <c r="DB224" s="561">
        <v>0</v>
      </c>
      <c r="DC224" s="561">
        <v>0</v>
      </c>
      <c r="DD224" s="561">
        <v>0</v>
      </c>
      <c r="DE224" s="561">
        <v>0</v>
      </c>
      <c r="DF224" s="561">
        <v>0</v>
      </c>
      <c r="DG224" s="561">
        <v>0</v>
      </c>
      <c r="DH224" s="561">
        <v>0</v>
      </c>
      <c r="DI224" s="561">
        <v>0</v>
      </c>
      <c r="DJ224" s="561">
        <v>219.87</v>
      </c>
      <c r="DK224" s="561">
        <v>0</v>
      </c>
      <c r="DL224" s="561">
        <v>0</v>
      </c>
      <c r="DM224" s="561">
        <v>0</v>
      </c>
      <c r="DN224" s="561">
        <v>0</v>
      </c>
      <c r="DO224" s="561">
        <v>231.6</v>
      </c>
      <c r="DP224" s="561">
        <v>26.22</v>
      </c>
      <c r="DQ224" s="561">
        <v>0</v>
      </c>
      <c r="DR224" s="561">
        <v>10.07</v>
      </c>
      <c r="DS224" s="561">
        <v>667.8</v>
      </c>
      <c r="DT224" s="561">
        <v>61.46</v>
      </c>
      <c r="DU224" s="561">
        <v>997.15</v>
      </c>
      <c r="DV224" s="561">
        <v>41</v>
      </c>
      <c r="DW224" s="561">
        <v>27</v>
      </c>
      <c r="DX224" s="561">
        <v>10</v>
      </c>
      <c r="DY224" s="561">
        <v>516.05999999999995</v>
      </c>
      <c r="DZ224" s="561">
        <v>0</v>
      </c>
      <c r="EA224" s="561">
        <v>5.0999999999999996</v>
      </c>
      <c r="EB224" s="561">
        <v>0</v>
      </c>
      <c r="EC224" s="561">
        <v>1816.18</v>
      </c>
      <c r="ED224" s="561">
        <v>20</v>
      </c>
      <c r="EE224" s="561">
        <v>14320.49</v>
      </c>
      <c r="EF224" s="561">
        <v>531.65</v>
      </c>
      <c r="EG224" s="561">
        <v>34.82</v>
      </c>
      <c r="EH224" s="561">
        <v>332.55</v>
      </c>
      <c r="EI224" s="561">
        <v>0</v>
      </c>
      <c r="EJ224" s="561">
        <v>458.67</v>
      </c>
      <c r="EK224" s="561">
        <v>0</v>
      </c>
      <c r="EL224" s="561">
        <v>0</v>
      </c>
      <c r="EM224" s="561">
        <v>0</v>
      </c>
      <c r="EN224" s="561">
        <v>5308.64</v>
      </c>
      <c r="EO224" s="561">
        <v>4980.29</v>
      </c>
      <c r="EP224" s="561">
        <v>0</v>
      </c>
      <c r="EQ224" s="561">
        <v>0</v>
      </c>
      <c r="ER224" s="561">
        <v>873.15</v>
      </c>
      <c r="ES224" s="561" t="s">
        <v>4565</v>
      </c>
      <c r="ET224" s="561">
        <v>537.61</v>
      </c>
      <c r="EU224" s="561">
        <v>2110.9899999999998</v>
      </c>
      <c r="EV224" s="561">
        <v>0</v>
      </c>
      <c r="EW224" s="561">
        <v>0</v>
      </c>
      <c r="EX224" s="561">
        <v>2771.68</v>
      </c>
      <c r="EY224" s="561">
        <v>97.34</v>
      </c>
      <c r="EZ224" s="561">
        <v>-1001.52</v>
      </c>
      <c r="FA224" s="561">
        <v>23330</v>
      </c>
      <c r="FB224" s="561">
        <v>0</v>
      </c>
      <c r="FC224" s="561">
        <v>0</v>
      </c>
      <c r="FD224" s="561">
        <v>0</v>
      </c>
      <c r="FE224" s="561">
        <v>0</v>
      </c>
      <c r="FF224" s="561">
        <v>0</v>
      </c>
      <c r="FG224" s="561">
        <v>0</v>
      </c>
      <c r="FH224" s="561">
        <v>0</v>
      </c>
      <c r="FI224" s="561">
        <v>0</v>
      </c>
      <c r="FJ224" s="561">
        <v>1186.02</v>
      </c>
      <c r="FK224" s="561">
        <v>569.71</v>
      </c>
      <c r="FL224" s="561">
        <v>0</v>
      </c>
      <c r="FM224" s="561">
        <v>0</v>
      </c>
      <c r="FN224" s="561">
        <v>0</v>
      </c>
      <c r="FO224" s="561">
        <v>1755.73</v>
      </c>
      <c r="FP224" s="561">
        <v>3</v>
      </c>
      <c r="FQ224" s="561">
        <v>137.5</v>
      </c>
      <c r="FR224" s="561">
        <v>0</v>
      </c>
      <c r="FS224" s="561">
        <v>58</v>
      </c>
      <c r="FT224" s="561">
        <v>203.43</v>
      </c>
      <c r="FU224" s="561">
        <v>-781.84</v>
      </c>
      <c r="FV224" s="561">
        <v>0</v>
      </c>
      <c r="FW224" s="561">
        <v>0</v>
      </c>
      <c r="FX224" s="561">
        <v>0</v>
      </c>
      <c r="FY224" s="561">
        <v>0</v>
      </c>
      <c r="FZ224" s="561">
        <v>29.63</v>
      </c>
      <c r="GA224" s="561">
        <v>56.81</v>
      </c>
      <c r="GB224" s="561">
        <v>46.83</v>
      </c>
      <c r="GC224" s="561">
        <v>158.28</v>
      </c>
      <c r="GD224" s="561">
        <v>59</v>
      </c>
      <c r="GE224" s="561">
        <v>0</v>
      </c>
      <c r="GF224" s="561">
        <v>7.98</v>
      </c>
      <c r="GG224" s="561">
        <v>0</v>
      </c>
      <c r="GH224" s="561">
        <v>102.68</v>
      </c>
      <c r="GI224" s="561">
        <v>0</v>
      </c>
      <c r="GJ224" s="561">
        <v>0</v>
      </c>
      <c r="GK224" s="561">
        <v>0</v>
      </c>
      <c r="GL224" s="561">
        <v>616.47</v>
      </c>
      <c r="GM224" s="561">
        <v>841.39</v>
      </c>
      <c r="GN224" s="561">
        <v>0</v>
      </c>
      <c r="GO224" s="561">
        <v>-101.46</v>
      </c>
      <c r="GP224" s="561">
        <v>1496.85</v>
      </c>
      <c r="GQ224" s="561">
        <v>0</v>
      </c>
      <c r="GR224" s="561">
        <v>0</v>
      </c>
      <c r="GS224" s="561">
        <v>2931.55</v>
      </c>
      <c r="GT224" s="561">
        <v>285</v>
      </c>
      <c r="GU224" s="561">
        <v>92.77</v>
      </c>
      <c r="GV224" s="561">
        <v>1020.05</v>
      </c>
      <c r="GW224" s="561">
        <v>0</v>
      </c>
      <c r="GX224" s="561">
        <v>347.26</v>
      </c>
      <c r="GY224" s="561">
        <v>0</v>
      </c>
      <c r="GZ224" s="561">
        <v>697.43</v>
      </c>
      <c r="HA224" s="561">
        <v>0</v>
      </c>
      <c r="HB224" s="561">
        <v>0</v>
      </c>
      <c r="HC224" s="561">
        <v>375.61</v>
      </c>
      <c r="HD224" s="561">
        <v>2533.12</v>
      </c>
      <c r="HE224" s="561">
        <v>135</v>
      </c>
      <c r="HF224" s="561">
        <v>7220.4</v>
      </c>
      <c r="HG224" s="561">
        <v>423</v>
      </c>
      <c r="HH224" s="561">
        <v>0</v>
      </c>
      <c r="HI224" s="561">
        <v>0</v>
      </c>
      <c r="HJ224" s="561">
        <v>0</v>
      </c>
      <c r="HK224" s="561">
        <v>0</v>
      </c>
      <c r="HL224" s="561">
        <v>0</v>
      </c>
      <c r="HM224" s="561">
        <v>0</v>
      </c>
      <c r="HN224" s="561">
        <v>0</v>
      </c>
      <c r="HO224" s="561">
        <v>1678.67</v>
      </c>
      <c r="HP224" s="561">
        <v>563.78</v>
      </c>
      <c r="HQ224" s="561">
        <v>0</v>
      </c>
      <c r="HR224" s="561">
        <v>0</v>
      </c>
      <c r="HS224" s="561">
        <v>0</v>
      </c>
      <c r="HT224" s="561">
        <v>364</v>
      </c>
      <c r="HU224" s="561">
        <v>0</v>
      </c>
      <c r="HV224" s="561">
        <v>0</v>
      </c>
      <c r="HW224" s="561">
        <v>249.08</v>
      </c>
      <c r="HX224" s="561">
        <v>10.71</v>
      </c>
      <c r="HY224" s="561">
        <v>98</v>
      </c>
      <c r="HZ224" s="561">
        <v>18.46</v>
      </c>
      <c r="IA224" s="561">
        <v>0</v>
      </c>
      <c r="IB224" s="561">
        <v>0</v>
      </c>
      <c r="IC224" s="561">
        <v>0</v>
      </c>
      <c r="ID224" s="561">
        <v>0</v>
      </c>
      <c r="IE224" s="561">
        <v>654.79999999999995</v>
      </c>
      <c r="IF224" s="561">
        <v>0</v>
      </c>
      <c r="IG224" s="561">
        <v>0</v>
      </c>
      <c r="IH224" s="561">
        <v>-24.2</v>
      </c>
      <c r="II224" s="561">
        <v>3613.3</v>
      </c>
      <c r="IJ224" s="561">
        <v>190</v>
      </c>
      <c r="IK224" s="561">
        <v>2132.6799999999998</v>
      </c>
      <c r="IL224" s="561">
        <v>3128.06</v>
      </c>
      <c r="IM224" s="561">
        <v>0</v>
      </c>
      <c r="IN224" s="561">
        <v>1266.72</v>
      </c>
      <c r="IO224" s="561">
        <v>0</v>
      </c>
      <c r="IP224" s="561">
        <v>0</v>
      </c>
      <c r="IQ224" s="561">
        <v>0</v>
      </c>
      <c r="IR224" s="561">
        <v>0</v>
      </c>
      <c r="IS224" s="561">
        <v>-428.87</v>
      </c>
      <c r="IT224" s="561">
        <v>0</v>
      </c>
      <c r="IU224" s="561">
        <v>0</v>
      </c>
      <c r="IV224" s="561">
        <v>0</v>
      </c>
      <c r="IW224" s="561">
        <v>1816.18</v>
      </c>
      <c r="IX224" s="561">
        <v>1755.73</v>
      </c>
      <c r="IY224" s="561">
        <v>2931.55</v>
      </c>
      <c r="IZ224" s="561">
        <v>2533.12</v>
      </c>
      <c r="JA224" s="561">
        <v>0</v>
      </c>
      <c r="JB224" s="561">
        <v>0</v>
      </c>
      <c r="JC224" s="561">
        <v>3613.3</v>
      </c>
      <c r="JD224" s="561">
        <v>0</v>
      </c>
      <c r="JE224" s="561">
        <v>12221.01</v>
      </c>
      <c r="JF224" s="561">
        <v>6309.69</v>
      </c>
      <c r="JG224" s="561">
        <v>126.72</v>
      </c>
      <c r="JH224" s="561">
        <v>4186.49</v>
      </c>
      <c r="JI224" s="561">
        <v>0</v>
      </c>
      <c r="JJ224" s="561">
        <v>0</v>
      </c>
      <c r="JK224" s="561">
        <v>2483</v>
      </c>
      <c r="JL224" s="561">
        <v>0</v>
      </c>
      <c r="JM224" s="561">
        <v>0</v>
      </c>
      <c r="JN224" s="561">
        <v>0</v>
      </c>
      <c r="JO224" s="561">
        <v>64</v>
      </c>
      <c r="JP224" s="561">
        <v>0</v>
      </c>
      <c r="JQ224" s="561">
        <v>0</v>
      </c>
      <c r="JR224" s="561">
        <v>0</v>
      </c>
      <c r="JS224" s="561">
        <v>0</v>
      </c>
      <c r="JT224" s="561">
        <v>23</v>
      </c>
      <c r="JU224" s="561">
        <v>0</v>
      </c>
      <c r="JV224" s="561">
        <v>25413.91</v>
      </c>
      <c r="JW224" s="561">
        <v>0</v>
      </c>
      <c r="JX224" s="561">
        <v>639</v>
      </c>
      <c r="JY224" s="561">
        <v>0</v>
      </c>
      <c r="JZ224" s="561">
        <v>0</v>
      </c>
      <c r="KA224" s="561">
        <v>0</v>
      </c>
      <c r="KB224" s="561">
        <v>34</v>
      </c>
      <c r="KC224" s="561">
        <v>305.27999999999997</v>
      </c>
      <c r="KD224" s="561">
        <v>727.65</v>
      </c>
      <c r="KE224" s="561">
        <v>1179</v>
      </c>
      <c r="KF224" s="561">
        <v>-822</v>
      </c>
      <c r="KG224" s="561">
        <v>27476.84</v>
      </c>
      <c r="KH224" s="561">
        <v>-928</v>
      </c>
      <c r="KI224" s="561">
        <v>0</v>
      </c>
      <c r="KJ224" s="561">
        <v>0</v>
      </c>
      <c r="KK224" s="561">
        <v>0</v>
      </c>
      <c r="KL224" s="561">
        <v>-10562.78</v>
      </c>
      <c r="KM224" s="561">
        <v>0</v>
      </c>
      <c r="KN224" s="561">
        <v>0</v>
      </c>
      <c r="KO224" s="561">
        <v>0</v>
      </c>
      <c r="KP224" s="561">
        <v>0</v>
      </c>
      <c r="KQ224" s="561">
        <v>0</v>
      </c>
      <c r="KR224" s="561">
        <v>15986.06</v>
      </c>
      <c r="KS224" s="561">
        <v>0</v>
      </c>
      <c r="KT224" s="561">
        <v>-3193</v>
      </c>
      <c r="KU224" s="561">
        <v>12793.06</v>
      </c>
      <c r="KV224" s="561">
        <v>0</v>
      </c>
      <c r="KW224" s="561">
        <v>0</v>
      </c>
      <c r="KX224" s="561">
        <v>0</v>
      </c>
      <c r="KY224" s="561">
        <v>0</v>
      </c>
      <c r="KZ224" s="561">
        <v>2339.67</v>
      </c>
      <c r="LA224" s="561">
        <v>0</v>
      </c>
      <c r="LB224" s="561">
        <v>-105</v>
      </c>
      <c r="LC224" s="561">
        <v>0</v>
      </c>
      <c r="LD224" s="561">
        <v>-5379.05</v>
      </c>
      <c r="LE224" s="561">
        <v>-151</v>
      </c>
      <c r="LF224" s="561">
        <v>0</v>
      </c>
      <c r="LG224" s="561">
        <v>9499</v>
      </c>
      <c r="LH224" s="561">
        <v>0</v>
      </c>
      <c r="LI224" s="561">
        <v>0</v>
      </c>
      <c r="LJ224" s="561">
        <v>0</v>
      </c>
      <c r="LK224" s="561">
        <v>0</v>
      </c>
      <c r="LL224" s="561">
        <v>13466</v>
      </c>
      <c r="LM224" s="561">
        <v>2025</v>
      </c>
      <c r="LN224" s="561">
        <v>0</v>
      </c>
      <c r="LO224" s="561">
        <v>0</v>
      </c>
      <c r="LP224" s="561">
        <v>0</v>
      </c>
      <c r="LQ224" s="561">
        <v>0</v>
      </c>
      <c r="LR224" s="561">
        <v>15805.67</v>
      </c>
      <c r="LS224" s="561">
        <v>2025</v>
      </c>
      <c r="LT224" s="561">
        <v>3162</v>
      </c>
      <c r="LU224" s="561">
        <v>2480.58</v>
      </c>
      <c r="LV224" s="561">
        <v>0</v>
      </c>
      <c r="LW224" s="561">
        <v>-454</v>
      </c>
      <c r="LX224" s="561">
        <v>-439</v>
      </c>
      <c r="LY224" s="561">
        <v>3854.69</v>
      </c>
      <c r="LZ224" s="561">
        <v>5356.27</v>
      </c>
      <c r="MA224" s="561">
        <v>0</v>
      </c>
      <c r="MB224" s="561">
        <v>0</v>
      </c>
      <c r="MC224" s="561">
        <v>15678.18</v>
      </c>
      <c r="MD224" s="561">
        <v>16679.7</v>
      </c>
      <c r="ME224" s="561">
        <v>-1001.52</v>
      </c>
      <c r="MF224" s="561">
        <v>23330</v>
      </c>
      <c r="MG224" s="561">
        <v>22328.48</v>
      </c>
      <c r="MH224" s="561">
        <v>2515</v>
      </c>
      <c r="MI224" s="561">
        <v>2484</v>
      </c>
      <c r="MJ224" s="561">
        <v>4999</v>
      </c>
      <c r="MK224" s="561">
        <v>0</v>
      </c>
      <c r="ML224" s="561">
        <v>0</v>
      </c>
      <c r="MM224" s="561">
        <v>6221.29</v>
      </c>
      <c r="MN224" s="561">
        <v>414.17</v>
      </c>
      <c r="MO224" s="561">
        <v>7853.39</v>
      </c>
      <c r="MP224" s="561">
        <v>1316.82</v>
      </c>
      <c r="MQ224" s="561">
        <v>0</v>
      </c>
      <c r="MR224" s="561">
        <v>-428.87</v>
      </c>
      <c r="MS224" s="561">
        <v>0</v>
      </c>
      <c r="MT224" s="561">
        <v>0</v>
      </c>
      <c r="MU224" s="561">
        <v>0</v>
      </c>
      <c r="MV224" s="561">
        <v>1816.18</v>
      </c>
      <c r="MW224" s="561">
        <v>1755.73</v>
      </c>
      <c r="MX224" s="561">
        <v>2931.55</v>
      </c>
      <c r="MY224" s="561">
        <v>2533.12</v>
      </c>
      <c r="MZ224" s="561">
        <v>0</v>
      </c>
      <c r="NA224" s="561">
        <v>0</v>
      </c>
      <c r="NB224" s="561">
        <v>3613.3</v>
      </c>
      <c r="NC224" s="561">
        <v>0</v>
      </c>
      <c r="ND224" s="561">
        <v>12221.01</v>
      </c>
      <c r="NE224" s="561">
        <v>0</v>
      </c>
      <c r="NF224" s="561">
        <v>0</v>
      </c>
      <c r="NG224" s="561">
        <v>0</v>
      </c>
      <c r="NH224" s="561">
        <v>0</v>
      </c>
      <c r="NI224" s="561">
        <v>0</v>
      </c>
      <c r="NJ224" s="561">
        <v>0</v>
      </c>
      <c r="NK224" s="561">
        <v>0</v>
      </c>
      <c r="NL224" s="561">
        <v>0</v>
      </c>
      <c r="NM224" s="561">
        <v>0</v>
      </c>
      <c r="NN224" s="561">
        <v>0</v>
      </c>
      <c r="NO224" s="561">
        <v>0</v>
      </c>
      <c r="NP224" s="561">
        <v>0</v>
      </c>
      <c r="NQ224" s="561">
        <v>0</v>
      </c>
      <c r="NR224" s="561">
        <v>0</v>
      </c>
      <c r="NS224" s="561">
        <v>0</v>
      </c>
      <c r="NT224" s="561">
        <v>0</v>
      </c>
      <c r="NU224" s="561">
        <v>0</v>
      </c>
      <c r="NV224" s="561">
        <v>0</v>
      </c>
      <c r="NW224" s="561">
        <v>0</v>
      </c>
      <c r="NX224" s="561">
        <v>0</v>
      </c>
      <c r="NY224" s="561">
        <v>0</v>
      </c>
      <c r="NZ224" s="561">
        <v>0</v>
      </c>
      <c r="OA224" s="561">
        <v>0</v>
      </c>
      <c r="OB224" s="561">
        <v>0</v>
      </c>
      <c r="OC224" s="561">
        <v>0</v>
      </c>
      <c r="OD224" s="561">
        <v>0</v>
      </c>
      <c r="OE224" s="561">
        <v>0</v>
      </c>
      <c r="OF224" s="561">
        <v>0</v>
      </c>
      <c r="OG224" s="561">
        <v>0</v>
      </c>
      <c r="OH224" s="561">
        <v>0</v>
      </c>
      <c r="OI224" s="561">
        <v>0</v>
      </c>
      <c r="OJ224" s="561">
        <v>0</v>
      </c>
      <c r="OK224" s="561">
        <v>0</v>
      </c>
      <c r="OL224" s="561">
        <v>0</v>
      </c>
      <c r="OM224" s="561">
        <v>0</v>
      </c>
      <c r="ON224" s="561">
        <v>0</v>
      </c>
      <c r="OO224" s="561">
        <v>0</v>
      </c>
      <c r="OP224" s="561">
        <v>0</v>
      </c>
      <c r="OQ224" s="561">
        <v>0</v>
      </c>
      <c r="OR224" s="561">
        <v>0</v>
      </c>
      <c r="OS224" s="561">
        <v>0</v>
      </c>
      <c r="OT224" s="561">
        <v>0</v>
      </c>
      <c r="OU224" s="561">
        <v>0</v>
      </c>
      <c r="OV224" s="561">
        <v>367</v>
      </c>
      <c r="OW224" s="561">
        <v>0</v>
      </c>
      <c r="OX224" s="561">
        <v>0</v>
      </c>
      <c r="OY224" s="561">
        <v>0</v>
      </c>
      <c r="OZ224" s="561">
        <v>0</v>
      </c>
      <c r="PA224" s="561">
        <v>0</v>
      </c>
      <c r="PB224" s="561">
        <v>0</v>
      </c>
      <c r="PC224" s="561">
        <v>0</v>
      </c>
      <c r="PD224" s="561">
        <v>0</v>
      </c>
      <c r="PE224" s="561">
        <v>0</v>
      </c>
      <c r="PF224" s="561">
        <v>0</v>
      </c>
      <c r="PG224" s="561">
        <v>0</v>
      </c>
      <c r="PH224" s="561">
        <v>0</v>
      </c>
      <c r="PI224" s="561">
        <v>0</v>
      </c>
      <c r="PJ224" s="561">
        <v>0</v>
      </c>
    </row>
    <row r="225" spans="1:426" ht="14" x14ac:dyDescent="0.3">
      <c r="A225" t="s">
        <v>3118</v>
      </c>
      <c r="B225" t="s">
        <v>3119</v>
      </c>
      <c r="C225" t="s">
        <v>3120</v>
      </c>
      <c r="E225" t="s">
        <v>384</v>
      </c>
      <c r="F225" s="561">
        <v>0</v>
      </c>
      <c r="G225" s="561">
        <v>0</v>
      </c>
      <c r="H225" s="561">
        <v>0</v>
      </c>
      <c r="I225" s="561">
        <v>0</v>
      </c>
      <c r="J225" s="561">
        <v>0</v>
      </c>
      <c r="K225" s="561">
        <v>0</v>
      </c>
      <c r="L225" s="561">
        <v>0</v>
      </c>
      <c r="M225" s="561">
        <v>0</v>
      </c>
      <c r="N225" s="561">
        <v>4</v>
      </c>
      <c r="O225" s="561">
        <v>0</v>
      </c>
      <c r="P225" s="561">
        <v>0</v>
      </c>
      <c r="Q225" s="561">
        <v>0</v>
      </c>
      <c r="R225" s="561">
        <v>0</v>
      </c>
      <c r="S225" s="561">
        <v>0</v>
      </c>
      <c r="T225" s="561">
        <v>0</v>
      </c>
      <c r="U225" s="561">
        <v>0</v>
      </c>
      <c r="V225" s="561">
        <v>0</v>
      </c>
      <c r="W225" s="561">
        <v>0</v>
      </c>
      <c r="X225" s="561">
        <v>0</v>
      </c>
      <c r="Y225" s="561">
        <v>0</v>
      </c>
      <c r="Z225" s="561">
        <v>0</v>
      </c>
      <c r="AA225" s="561">
        <v>0</v>
      </c>
      <c r="AB225" s="561">
        <v>-135</v>
      </c>
      <c r="AC225" s="561">
        <v>0</v>
      </c>
      <c r="AD225" s="561">
        <v>0</v>
      </c>
      <c r="AE225" s="561">
        <v>0</v>
      </c>
      <c r="AF225" s="561">
        <v>0</v>
      </c>
      <c r="AG225" s="561">
        <v>0</v>
      </c>
      <c r="AH225" s="561">
        <v>0</v>
      </c>
      <c r="AI225" s="561">
        <v>0</v>
      </c>
      <c r="AJ225" s="561">
        <v>-131</v>
      </c>
      <c r="AK225" s="561">
        <v>0</v>
      </c>
      <c r="AL225" s="561">
        <v>0</v>
      </c>
      <c r="AM225" s="561">
        <v>0</v>
      </c>
      <c r="AN225" s="561">
        <v>0</v>
      </c>
      <c r="AO225" s="561">
        <v>0</v>
      </c>
      <c r="AP225" s="561">
        <v>0</v>
      </c>
      <c r="AQ225" s="561">
        <v>0</v>
      </c>
      <c r="AR225" s="561">
        <v>0</v>
      </c>
      <c r="AS225" s="561">
        <v>0</v>
      </c>
      <c r="AT225" s="561">
        <v>0</v>
      </c>
      <c r="AU225" s="561">
        <v>0</v>
      </c>
      <c r="AV225" s="561">
        <v>0</v>
      </c>
      <c r="AW225" s="561">
        <v>0</v>
      </c>
      <c r="AX225" s="561">
        <v>0</v>
      </c>
      <c r="AY225" s="561">
        <v>0</v>
      </c>
      <c r="AZ225" s="561">
        <v>0</v>
      </c>
      <c r="BA225" s="561">
        <v>0</v>
      </c>
      <c r="BB225" s="561">
        <v>0</v>
      </c>
      <c r="BC225" s="561">
        <v>0</v>
      </c>
      <c r="BD225" s="561">
        <v>0</v>
      </c>
      <c r="BE225" s="561">
        <v>0</v>
      </c>
      <c r="BF225" s="561">
        <v>0</v>
      </c>
      <c r="BG225" s="561">
        <v>0</v>
      </c>
      <c r="BH225" s="561">
        <v>0</v>
      </c>
      <c r="BI225" s="561">
        <v>0</v>
      </c>
      <c r="BJ225" s="561">
        <v>0</v>
      </c>
      <c r="BK225" s="561">
        <v>0</v>
      </c>
      <c r="BL225" s="561">
        <v>0</v>
      </c>
      <c r="BM225" s="561">
        <v>0</v>
      </c>
      <c r="BN225" s="561">
        <v>0</v>
      </c>
      <c r="BO225" s="561">
        <v>0</v>
      </c>
      <c r="BP225" s="561">
        <v>0</v>
      </c>
      <c r="BQ225" s="561">
        <v>0</v>
      </c>
      <c r="BR225" s="561">
        <v>0</v>
      </c>
      <c r="BS225" s="561">
        <v>0</v>
      </c>
      <c r="BT225" s="561">
        <v>0</v>
      </c>
      <c r="BU225" s="561">
        <v>0</v>
      </c>
      <c r="BV225" s="561">
        <v>0</v>
      </c>
      <c r="BW225" s="561">
        <v>0</v>
      </c>
      <c r="BX225" s="561">
        <v>0</v>
      </c>
      <c r="BY225" s="561">
        <v>0</v>
      </c>
      <c r="BZ225" s="561">
        <v>0</v>
      </c>
      <c r="CA225" s="561">
        <v>0</v>
      </c>
      <c r="CB225" s="561">
        <v>0</v>
      </c>
      <c r="CC225" s="561">
        <v>0</v>
      </c>
      <c r="CD225" s="561">
        <v>0</v>
      </c>
      <c r="CE225" s="561">
        <v>0</v>
      </c>
      <c r="CF225" s="561">
        <v>0</v>
      </c>
      <c r="CG225" s="561">
        <v>0</v>
      </c>
      <c r="CH225" s="561">
        <v>0</v>
      </c>
      <c r="CI225" s="561">
        <v>0</v>
      </c>
      <c r="CJ225" s="561">
        <v>0</v>
      </c>
      <c r="CK225" s="561">
        <v>0</v>
      </c>
      <c r="CL225" s="561">
        <v>0</v>
      </c>
      <c r="CM225" s="561">
        <v>0</v>
      </c>
      <c r="CN225" s="561">
        <v>0</v>
      </c>
      <c r="CO225" s="561">
        <v>0</v>
      </c>
      <c r="CP225" s="561">
        <v>0</v>
      </c>
      <c r="CQ225" s="561">
        <v>0</v>
      </c>
      <c r="CR225" s="561">
        <v>0</v>
      </c>
      <c r="CS225" s="561">
        <v>0</v>
      </c>
      <c r="CT225" s="561">
        <v>0</v>
      </c>
      <c r="CU225" s="561">
        <v>0</v>
      </c>
      <c r="CV225" s="561">
        <v>0</v>
      </c>
      <c r="CW225" s="561">
        <v>0</v>
      </c>
      <c r="CX225" s="561">
        <v>0</v>
      </c>
      <c r="CY225" s="561">
        <v>26</v>
      </c>
      <c r="CZ225" s="561">
        <v>26</v>
      </c>
      <c r="DA225" s="561">
        <v>0</v>
      </c>
      <c r="DB225" s="561">
        <v>0</v>
      </c>
      <c r="DC225" s="561">
        <v>0</v>
      </c>
      <c r="DD225" s="561">
        <v>0</v>
      </c>
      <c r="DE225" s="561">
        <v>0</v>
      </c>
      <c r="DF225" s="561">
        <v>0</v>
      </c>
      <c r="DG225" s="561">
        <v>0</v>
      </c>
      <c r="DH225" s="561">
        <v>443</v>
      </c>
      <c r="DI225" s="561">
        <v>0</v>
      </c>
      <c r="DJ225" s="561">
        <v>0</v>
      </c>
      <c r="DK225" s="561">
        <v>0</v>
      </c>
      <c r="DL225" s="561">
        <v>0</v>
      </c>
      <c r="DM225" s="561">
        <v>-2</v>
      </c>
      <c r="DN225" s="561">
        <v>0</v>
      </c>
      <c r="DO225" s="561">
        <v>0</v>
      </c>
      <c r="DP225" s="561">
        <v>0</v>
      </c>
      <c r="DQ225" s="561">
        <v>145</v>
      </c>
      <c r="DR225" s="561">
        <v>1148</v>
      </c>
      <c r="DS225" s="561">
        <v>679</v>
      </c>
      <c r="DT225" s="561">
        <v>171</v>
      </c>
      <c r="DU225" s="561">
        <v>2141</v>
      </c>
      <c r="DV225" s="561">
        <v>0</v>
      </c>
      <c r="DW225" s="561">
        <v>0</v>
      </c>
      <c r="DX225" s="561">
        <v>0</v>
      </c>
      <c r="DY225" s="561">
        <v>0</v>
      </c>
      <c r="DZ225" s="561">
        <v>886</v>
      </c>
      <c r="EA225" s="561">
        <v>469</v>
      </c>
      <c r="EB225" s="561">
        <v>0</v>
      </c>
      <c r="EC225" s="561">
        <v>3939</v>
      </c>
      <c r="ED225" s="561">
        <v>0</v>
      </c>
      <c r="EE225" s="561">
        <v>19317</v>
      </c>
      <c r="EF225" s="561">
        <v>680</v>
      </c>
      <c r="EG225" s="561">
        <v>961</v>
      </c>
      <c r="EH225" s="561">
        <v>0</v>
      </c>
      <c r="EI225" s="561">
        <v>0</v>
      </c>
      <c r="EJ225" s="561">
        <v>349</v>
      </c>
      <c r="EK225" s="561">
        <v>0</v>
      </c>
      <c r="EL225" s="561">
        <v>0</v>
      </c>
      <c r="EM225" s="561">
        <v>0</v>
      </c>
      <c r="EN225" s="561">
        <v>4600</v>
      </c>
      <c r="EO225" s="561">
        <v>7176</v>
      </c>
      <c r="EP225" s="561">
        <v>956</v>
      </c>
      <c r="EQ225" s="561">
        <v>439</v>
      </c>
      <c r="ER225" s="561">
        <v>3717</v>
      </c>
      <c r="ES225" s="561" t="s">
        <v>4565</v>
      </c>
      <c r="ET225" s="561">
        <v>5591</v>
      </c>
      <c r="EU225" s="561">
        <v>0</v>
      </c>
      <c r="EV225" s="561">
        <v>41</v>
      </c>
      <c r="EW225" s="561">
        <v>0</v>
      </c>
      <c r="EX225" s="561">
        <v>0</v>
      </c>
      <c r="EY225" s="561">
        <v>0</v>
      </c>
      <c r="EZ225" s="561">
        <v>-1213</v>
      </c>
      <c r="FA225" s="561">
        <v>7308</v>
      </c>
      <c r="FB225" s="561">
        <v>0</v>
      </c>
      <c r="FC225" s="561">
        <v>0</v>
      </c>
      <c r="FD225" s="561">
        <v>232</v>
      </c>
      <c r="FE225" s="561">
        <v>0</v>
      </c>
      <c r="FF225" s="561">
        <v>0</v>
      </c>
      <c r="FG225" s="561">
        <v>0</v>
      </c>
      <c r="FH225" s="561">
        <v>0</v>
      </c>
      <c r="FI225" s="561">
        <v>0</v>
      </c>
      <c r="FJ225" s="561">
        <v>547</v>
      </c>
      <c r="FK225" s="561">
        <v>2065</v>
      </c>
      <c r="FL225" s="561">
        <v>0</v>
      </c>
      <c r="FM225" s="561">
        <v>-4</v>
      </c>
      <c r="FN225" s="561">
        <v>0</v>
      </c>
      <c r="FO225" s="561">
        <v>2840</v>
      </c>
      <c r="FP225" s="561">
        <v>0</v>
      </c>
      <c r="FQ225" s="561">
        <v>0</v>
      </c>
      <c r="FR225" s="561">
        <v>0</v>
      </c>
      <c r="FS225" s="561">
        <v>0</v>
      </c>
      <c r="FT225" s="561">
        <v>539</v>
      </c>
      <c r="FU225" s="561">
        <v>632</v>
      </c>
      <c r="FV225" s="561">
        <v>0</v>
      </c>
      <c r="FW225" s="561">
        <v>0</v>
      </c>
      <c r="FX225" s="561">
        <v>0</v>
      </c>
      <c r="FY225" s="561">
        <v>0</v>
      </c>
      <c r="FZ225" s="561">
        <v>0</v>
      </c>
      <c r="GA225" s="561">
        <v>50</v>
      </c>
      <c r="GB225" s="561">
        <v>0</v>
      </c>
      <c r="GC225" s="561">
        <v>16</v>
      </c>
      <c r="GD225" s="561">
        <v>0</v>
      </c>
      <c r="GE225" s="561">
        <v>0</v>
      </c>
      <c r="GF225" s="561">
        <v>29</v>
      </c>
      <c r="GG225" s="561">
        <v>0</v>
      </c>
      <c r="GH225" s="561">
        <v>0</v>
      </c>
      <c r="GI225" s="561">
        <v>0</v>
      </c>
      <c r="GJ225" s="561">
        <v>0</v>
      </c>
      <c r="GK225" s="561">
        <v>0</v>
      </c>
      <c r="GL225" s="561">
        <v>1025</v>
      </c>
      <c r="GM225" s="561">
        <v>3197</v>
      </c>
      <c r="GN225" s="561">
        <v>14</v>
      </c>
      <c r="GO225" s="561">
        <v>-135</v>
      </c>
      <c r="GP225" s="561">
        <v>0</v>
      </c>
      <c r="GQ225" s="561">
        <v>0</v>
      </c>
      <c r="GR225" s="561">
        <v>1025</v>
      </c>
      <c r="GS225" s="561">
        <v>6392</v>
      </c>
      <c r="GT225" s="561">
        <v>0</v>
      </c>
      <c r="GU225" s="561">
        <v>994</v>
      </c>
      <c r="GV225" s="561">
        <v>1207</v>
      </c>
      <c r="GW225" s="561">
        <v>0</v>
      </c>
      <c r="GX225" s="561">
        <v>2531</v>
      </c>
      <c r="GY225" s="561">
        <v>0</v>
      </c>
      <c r="GZ225" s="561">
        <v>641</v>
      </c>
      <c r="HA225" s="561">
        <v>0</v>
      </c>
      <c r="HB225" s="561">
        <v>198</v>
      </c>
      <c r="HC225" s="561">
        <v>2394</v>
      </c>
      <c r="HD225" s="561">
        <v>7965</v>
      </c>
      <c r="HE225" s="561">
        <v>0</v>
      </c>
      <c r="HF225" s="561">
        <v>17197</v>
      </c>
      <c r="HG225" s="561">
        <v>0</v>
      </c>
      <c r="HH225" s="561">
        <v>0</v>
      </c>
      <c r="HI225" s="561">
        <v>0</v>
      </c>
      <c r="HJ225" s="561">
        <v>0</v>
      </c>
      <c r="HK225" s="561">
        <v>0</v>
      </c>
      <c r="HL225" s="561">
        <v>0</v>
      </c>
      <c r="HM225" s="561">
        <v>0</v>
      </c>
      <c r="HN225" s="561">
        <v>0</v>
      </c>
      <c r="HO225" s="561">
        <v>2898</v>
      </c>
      <c r="HP225" s="561">
        <v>670</v>
      </c>
      <c r="HQ225" s="561">
        <v>0</v>
      </c>
      <c r="HR225" s="561">
        <v>0</v>
      </c>
      <c r="HS225" s="561">
        <v>0</v>
      </c>
      <c r="HT225" s="561">
        <v>0</v>
      </c>
      <c r="HU225" s="561">
        <v>0</v>
      </c>
      <c r="HV225" s="561">
        <v>0</v>
      </c>
      <c r="HW225" s="561">
        <v>222</v>
      </c>
      <c r="HX225" s="561">
        <v>67</v>
      </c>
      <c r="HY225" s="561">
        <v>66</v>
      </c>
      <c r="HZ225" s="561">
        <v>38</v>
      </c>
      <c r="IA225" s="561">
        <v>0</v>
      </c>
      <c r="IB225" s="561">
        <v>0</v>
      </c>
      <c r="IC225" s="561">
        <v>0</v>
      </c>
      <c r="ID225" s="561">
        <v>0</v>
      </c>
      <c r="IE225" s="561">
        <v>0</v>
      </c>
      <c r="IF225" s="561">
        <v>0</v>
      </c>
      <c r="IG225" s="561">
        <v>0</v>
      </c>
      <c r="IH225" s="561">
        <v>0</v>
      </c>
      <c r="II225" s="561">
        <v>3961</v>
      </c>
      <c r="IJ225" s="561">
        <v>0</v>
      </c>
      <c r="IK225" s="561">
        <v>0</v>
      </c>
      <c r="IL225" s="561">
        <v>0</v>
      </c>
      <c r="IM225" s="561">
        <v>0</v>
      </c>
      <c r="IN225" s="561">
        <v>0</v>
      </c>
      <c r="IO225" s="561">
        <v>0</v>
      </c>
      <c r="IP225" s="561">
        <v>0</v>
      </c>
      <c r="IQ225" s="561">
        <v>0</v>
      </c>
      <c r="IR225" s="561">
        <v>0</v>
      </c>
      <c r="IS225" s="561">
        <v>-131</v>
      </c>
      <c r="IT225" s="561">
        <v>0</v>
      </c>
      <c r="IU225" s="561">
        <v>0</v>
      </c>
      <c r="IV225" s="561">
        <v>26</v>
      </c>
      <c r="IW225" s="561">
        <v>3939</v>
      </c>
      <c r="IX225" s="561">
        <v>2840</v>
      </c>
      <c r="IY225" s="561">
        <v>6392</v>
      </c>
      <c r="IZ225" s="561">
        <v>7965</v>
      </c>
      <c r="JA225" s="561">
        <v>0</v>
      </c>
      <c r="JB225" s="561">
        <v>0</v>
      </c>
      <c r="JC225" s="561">
        <v>3961</v>
      </c>
      <c r="JD225" s="561">
        <v>0</v>
      </c>
      <c r="JE225" s="561">
        <v>24992</v>
      </c>
      <c r="JF225" s="561">
        <v>234</v>
      </c>
      <c r="JG225" s="561">
        <v>0</v>
      </c>
      <c r="JH225" s="561">
        <v>-118</v>
      </c>
      <c r="JI225" s="561">
        <v>0</v>
      </c>
      <c r="JJ225" s="561">
        <v>0</v>
      </c>
      <c r="JK225" s="561">
        <v>3705</v>
      </c>
      <c r="JL225" s="561">
        <v>0</v>
      </c>
      <c r="JM225" s="561">
        <v>0</v>
      </c>
      <c r="JN225" s="561">
        <v>0</v>
      </c>
      <c r="JO225" s="561">
        <v>0</v>
      </c>
      <c r="JP225" s="561">
        <v>0</v>
      </c>
      <c r="JQ225" s="561">
        <v>0</v>
      </c>
      <c r="JR225" s="561">
        <v>0</v>
      </c>
      <c r="JS225" s="561">
        <v>0</v>
      </c>
      <c r="JT225" s="561">
        <v>0</v>
      </c>
      <c r="JU225" s="561">
        <v>0</v>
      </c>
      <c r="JV225" s="561">
        <v>28813</v>
      </c>
      <c r="JW225" s="561">
        <v>0</v>
      </c>
      <c r="JX225" s="561">
        <v>4553</v>
      </c>
      <c r="JY225" s="561">
        <v>0</v>
      </c>
      <c r="JZ225" s="561">
        <v>-4246</v>
      </c>
      <c r="KA225" s="561">
        <v>0</v>
      </c>
      <c r="KB225" s="561">
        <v>0</v>
      </c>
      <c r="KC225" s="561">
        <v>1372</v>
      </c>
      <c r="KD225" s="561">
        <v>0</v>
      </c>
      <c r="KE225" s="561">
        <v>3096</v>
      </c>
      <c r="KF225" s="561">
        <v>3859</v>
      </c>
      <c r="KG225" s="561">
        <v>37447</v>
      </c>
      <c r="KH225" s="561">
        <v>-23769</v>
      </c>
      <c r="KI225" s="561">
        <v>0</v>
      </c>
      <c r="KJ225" s="561">
        <v>0</v>
      </c>
      <c r="KK225" s="561">
        <v>0</v>
      </c>
      <c r="KL225" s="561">
        <v>0</v>
      </c>
      <c r="KM225" s="561">
        <v>0</v>
      </c>
      <c r="KN225" s="561">
        <v>-7385</v>
      </c>
      <c r="KO225" s="561">
        <v>0</v>
      </c>
      <c r="KP225" s="561">
        <v>0</v>
      </c>
      <c r="KQ225" s="561">
        <v>0</v>
      </c>
      <c r="KR225" s="561">
        <v>6293</v>
      </c>
      <c r="KS225" s="561">
        <v>0</v>
      </c>
      <c r="KT225" s="561">
        <v>-2992</v>
      </c>
      <c r="KU225" s="561">
        <v>3301</v>
      </c>
      <c r="KV225" s="561">
        <v>0</v>
      </c>
      <c r="KW225" s="561">
        <v>0</v>
      </c>
      <c r="KX225" s="561">
        <v>0</v>
      </c>
      <c r="KY225" s="561">
        <v>0</v>
      </c>
      <c r="KZ225" s="561">
        <v>16532</v>
      </c>
      <c r="LA225" s="561">
        <v>0</v>
      </c>
      <c r="LB225" s="561">
        <v>-121</v>
      </c>
      <c r="LC225" s="561">
        <v>0</v>
      </c>
      <c r="LD225" s="561">
        <v>-8784</v>
      </c>
      <c r="LE225" s="561">
        <v>0</v>
      </c>
      <c r="LF225" s="561">
        <v>0</v>
      </c>
      <c r="LG225" s="561">
        <v>10928</v>
      </c>
      <c r="LH225" s="561">
        <v>0</v>
      </c>
      <c r="LI225" s="561">
        <v>0</v>
      </c>
      <c r="LJ225" s="561">
        <v>0</v>
      </c>
      <c r="LK225" s="561">
        <v>0</v>
      </c>
      <c r="LL225" s="561">
        <v>29005</v>
      </c>
      <c r="LM225" s="561">
        <v>0</v>
      </c>
      <c r="LN225" s="561">
        <v>0</v>
      </c>
      <c r="LO225" s="561">
        <v>0</v>
      </c>
      <c r="LP225" s="561">
        <v>0</v>
      </c>
      <c r="LQ225" s="561">
        <v>0</v>
      </c>
      <c r="LR225" s="561">
        <v>45537</v>
      </c>
      <c r="LS225" s="561">
        <v>0</v>
      </c>
      <c r="LT225" s="561">
        <v>0</v>
      </c>
      <c r="LU225" s="561">
        <v>0</v>
      </c>
      <c r="LV225" s="561">
        <v>0</v>
      </c>
      <c r="LW225" s="561">
        <v>0</v>
      </c>
      <c r="LX225" s="561">
        <v>-308</v>
      </c>
      <c r="LY225" s="561">
        <v>0</v>
      </c>
      <c r="LZ225" s="561">
        <v>-308</v>
      </c>
      <c r="MA225" s="561">
        <v>0</v>
      </c>
      <c r="MB225" s="561">
        <v>0</v>
      </c>
      <c r="MC225" s="561">
        <v>21307</v>
      </c>
      <c r="MD225" s="561">
        <v>22520</v>
      </c>
      <c r="ME225" s="561">
        <v>-1213</v>
      </c>
      <c r="MF225" s="561">
        <v>7308</v>
      </c>
      <c r="MG225" s="561">
        <v>6095</v>
      </c>
      <c r="MH225" s="561" t="s">
        <v>4566</v>
      </c>
      <c r="MI225" s="561" t="s">
        <v>4566</v>
      </c>
      <c r="MJ225" s="561" t="s">
        <v>4566</v>
      </c>
      <c r="MK225" s="561">
        <v>0</v>
      </c>
      <c r="ML225" s="561">
        <v>0</v>
      </c>
      <c r="MM225" s="561">
        <v>9538</v>
      </c>
      <c r="MN225" s="561">
        <v>35999</v>
      </c>
      <c r="MO225" s="561">
        <v>0</v>
      </c>
      <c r="MP225" s="561">
        <v>0</v>
      </c>
      <c r="MQ225" s="561">
        <v>0</v>
      </c>
      <c r="MR225" s="561">
        <v>-131</v>
      </c>
      <c r="MS225" s="561">
        <v>0</v>
      </c>
      <c r="MT225" s="561">
        <v>0</v>
      </c>
      <c r="MU225" s="561">
        <v>26</v>
      </c>
      <c r="MV225" s="561">
        <v>3939</v>
      </c>
      <c r="MW225" s="561">
        <v>2840</v>
      </c>
      <c r="MX225" s="561">
        <v>6392</v>
      </c>
      <c r="MY225" s="561">
        <v>7965</v>
      </c>
      <c r="MZ225" s="561">
        <v>0</v>
      </c>
      <c r="NA225" s="561">
        <v>0</v>
      </c>
      <c r="NB225" s="561">
        <v>3961</v>
      </c>
      <c r="NC225" s="561">
        <v>0</v>
      </c>
      <c r="ND225" s="561">
        <v>24992</v>
      </c>
      <c r="NE225" s="561">
        <v>0</v>
      </c>
      <c r="NF225" s="561">
        <v>0</v>
      </c>
      <c r="NG225" s="561">
        <v>0</v>
      </c>
      <c r="NH225" s="561">
        <v>0</v>
      </c>
      <c r="NI225" s="561">
        <v>0</v>
      </c>
      <c r="NJ225" s="561">
        <v>0</v>
      </c>
      <c r="NK225" s="561">
        <v>0</v>
      </c>
      <c r="NL225" s="561">
        <v>0</v>
      </c>
      <c r="NM225" s="561">
        <v>0</v>
      </c>
      <c r="NN225" s="561">
        <v>0</v>
      </c>
      <c r="NO225" s="561">
        <v>0</v>
      </c>
      <c r="NP225" s="561">
        <v>0</v>
      </c>
      <c r="NQ225" s="561">
        <v>0</v>
      </c>
      <c r="NR225" s="561">
        <v>0</v>
      </c>
      <c r="NS225" s="561">
        <v>0</v>
      </c>
      <c r="NT225" s="561">
        <v>0</v>
      </c>
      <c r="NU225" s="561">
        <v>0</v>
      </c>
      <c r="NV225" s="561">
        <v>0</v>
      </c>
      <c r="NW225" s="561">
        <v>0</v>
      </c>
      <c r="NX225" s="561">
        <v>0</v>
      </c>
      <c r="NY225" s="561">
        <v>0</v>
      </c>
      <c r="NZ225" s="561">
        <v>0</v>
      </c>
      <c r="OA225" s="561">
        <v>0</v>
      </c>
      <c r="OB225" s="561">
        <v>0</v>
      </c>
      <c r="OC225" s="561">
        <v>0</v>
      </c>
      <c r="OD225" s="561">
        <v>0</v>
      </c>
      <c r="OE225" s="561">
        <v>0</v>
      </c>
      <c r="OF225" s="561">
        <v>0</v>
      </c>
      <c r="OG225" s="561">
        <v>0</v>
      </c>
      <c r="OH225" s="561">
        <v>0</v>
      </c>
      <c r="OI225" s="561">
        <v>0</v>
      </c>
      <c r="OJ225" s="561">
        <v>0</v>
      </c>
      <c r="OK225" s="561">
        <v>0</v>
      </c>
      <c r="OL225" s="561">
        <v>0</v>
      </c>
      <c r="OM225" s="561">
        <v>0</v>
      </c>
      <c r="ON225" s="561">
        <v>0</v>
      </c>
      <c r="OO225" s="561">
        <v>0</v>
      </c>
      <c r="OP225" s="561">
        <v>0</v>
      </c>
      <c r="OQ225" s="561">
        <v>0</v>
      </c>
      <c r="OR225" s="561">
        <v>0</v>
      </c>
      <c r="OS225" s="561">
        <v>0</v>
      </c>
      <c r="OT225" s="561">
        <v>0</v>
      </c>
      <c r="OU225" s="561">
        <v>0</v>
      </c>
      <c r="OV225" s="561">
        <v>0</v>
      </c>
      <c r="OW225" s="561">
        <v>0</v>
      </c>
      <c r="OX225" s="561">
        <v>0</v>
      </c>
      <c r="OY225" s="561">
        <v>0</v>
      </c>
      <c r="OZ225" s="561">
        <v>0</v>
      </c>
      <c r="PA225" s="561">
        <v>0</v>
      </c>
      <c r="PB225" s="561">
        <v>0</v>
      </c>
      <c r="PC225" s="561">
        <v>0</v>
      </c>
      <c r="PD225" s="561">
        <v>0</v>
      </c>
      <c r="PE225" s="561">
        <v>0</v>
      </c>
      <c r="PF225" s="561">
        <v>0</v>
      </c>
      <c r="PG225" s="561">
        <v>0</v>
      </c>
      <c r="PH225" s="561">
        <v>0</v>
      </c>
      <c r="PI225" s="561">
        <v>0</v>
      </c>
      <c r="PJ225" s="561">
        <v>0</v>
      </c>
    </row>
    <row r="226" spans="1:426" ht="14" x14ac:dyDescent="0.3">
      <c r="A226" t="s">
        <v>3121</v>
      </c>
      <c r="B226" t="s">
        <v>3122</v>
      </c>
      <c r="C226" t="s">
        <v>3123</v>
      </c>
      <c r="E226" t="s">
        <v>384</v>
      </c>
      <c r="F226" s="561">
        <v>0</v>
      </c>
      <c r="G226" s="561">
        <v>0</v>
      </c>
      <c r="H226" s="561">
        <v>0</v>
      </c>
      <c r="I226" s="561">
        <v>0</v>
      </c>
      <c r="J226" s="561">
        <v>0</v>
      </c>
      <c r="K226" s="561">
        <v>0</v>
      </c>
      <c r="L226" s="561">
        <v>0</v>
      </c>
      <c r="M226" s="561">
        <v>0</v>
      </c>
      <c r="N226" s="561">
        <v>0</v>
      </c>
      <c r="O226" s="561">
        <v>0</v>
      </c>
      <c r="P226" s="561">
        <v>0</v>
      </c>
      <c r="Q226" s="561">
        <v>0</v>
      </c>
      <c r="R226" s="561">
        <v>0</v>
      </c>
      <c r="S226" s="561">
        <v>0</v>
      </c>
      <c r="T226" s="561">
        <v>66</v>
      </c>
      <c r="U226" s="561">
        <v>0</v>
      </c>
      <c r="V226" s="561">
        <v>0</v>
      </c>
      <c r="W226" s="561">
        <v>0</v>
      </c>
      <c r="X226" s="561">
        <v>0</v>
      </c>
      <c r="Y226" s="561">
        <v>0</v>
      </c>
      <c r="Z226" s="561">
        <v>0</v>
      </c>
      <c r="AA226" s="561">
        <v>-1</v>
      </c>
      <c r="AB226" s="561">
        <v>-1241</v>
      </c>
      <c r="AC226" s="561">
        <v>0</v>
      </c>
      <c r="AD226" s="561">
        <v>0</v>
      </c>
      <c r="AE226" s="561">
        <v>0</v>
      </c>
      <c r="AF226" s="561">
        <v>0</v>
      </c>
      <c r="AG226" s="561">
        <v>0</v>
      </c>
      <c r="AH226" s="561">
        <v>0</v>
      </c>
      <c r="AI226" s="561">
        <v>0</v>
      </c>
      <c r="AJ226" s="561">
        <v>-1176</v>
      </c>
      <c r="AK226" s="561">
        <v>0</v>
      </c>
      <c r="AL226" s="561">
        <v>0</v>
      </c>
      <c r="AM226" s="561">
        <v>0</v>
      </c>
      <c r="AN226" s="561">
        <v>0</v>
      </c>
      <c r="AO226" s="561">
        <v>0</v>
      </c>
      <c r="AP226" s="561">
        <v>0</v>
      </c>
      <c r="AQ226" s="561">
        <v>0</v>
      </c>
      <c r="AR226" s="561">
        <v>0</v>
      </c>
      <c r="AS226" s="561">
        <v>351</v>
      </c>
      <c r="AT226" s="561">
        <v>0</v>
      </c>
      <c r="AU226" s="561">
        <v>0</v>
      </c>
      <c r="AV226" s="561">
        <v>0</v>
      </c>
      <c r="AW226" s="561">
        <v>0</v>
      </c>
      <c r="AX226" s="561">
        <v>0</v>
      </c>
      <c r="AY226" s="561">
        <v>0</v>
      </c>
      <c r="AZ226" s="561">
        <v>0</v>
      </c>
      <c r="BA226" s="561">
        <v>0</v>
      </c>
      <c r="BB226" s="561">
        <v>0</v>
      </c>
      <c r="BC226" s="561">
        <v>0</v>
      </c>
      <c r="BD226" s="561">
        <v>0</v>
      </c>
      <c r="BE226" s="561">
        <v>0</v>
      </c>
      <c r="BF226" s="561">
        <v>0</v>
      </c>
      <c r="BG226" s="561">
        <v>0</v>
      </c>
      <c r="BH226" s="561">
        <v>0</v>
      </c>
      <c r="BI226" s="561">
        <v>0</v>
      </c>
      <c r="BJ226" s="561">
        <v>0</v>
      </c>
      <c r="BK226" s="561">
        <v>0</v>
      </c>
      <c r="BL226" s="561">
        <v>0</v>
      </c>
      <c r="BM226" s="561">
        <v>0</v>
      </c>
      <c r="BN226" s="561">
        <v>0</v>
      </c>
      <c r="BO226" s="561">
        <v>0</v>
      </c>
      <c r="BP226" s="561">
        <v>0</v>
      </c>
      <c r="BQ226" s="561">
        <v>0</v>
      </c>
      <c r="BR226" s="561">
        <v>0</v>
      </c>
      <c r="BS226" s="561">
        <v>0</v>
      </c>
      <c r="BT226" s="561">
        <v>0</v>
      </c>
      <c r="BU226" s="561">
        <v>0</v>
      </c>
      <c r="BV226" s="561">
        <v>0</v>
      </c>
      <c r="BW226" s="561">
        <v>0</v>
      </c>
      <c r="BX226" s="561">
        <v>0</v>
      </c>
      <c r="BY226" s="561">
        <v>0</v>
      </c>
      <c r="BZ226" s="561">
        <v>0</v>
      </c>
      <c r="CA226" s="561">
        <v>0</v>
      </c>
      <c r="CB226" s="561">
        <v>0</v>
      </c>
      <c r="CC226" s="561">
        <v>0</v>
      </c>
      <c r="CD226" s="561">
        <v>0</v>
      </c>
      <c r="CE226" s="561">
        <v>0</v>
      </c>
      <c r="CF226" s="561">
        <v>0</v>
      </c>
      <c r="CG226" s="561">
        <v>0</v>
      </c>
      <c r="CH226" s="561">
        <v>0</v>
      </c>
      <c r="CI226" s="561">
        <v>45</v>
      </c>
      <c r="CJ226" s="561">
        <v>0</v>
      </c>
      <c r="CK226" s="561">
        <v>39</v>
      </c>
      <c r="CL226" s="561">
        <v>0</v>
      </c>
      <c r="CM226" s="561">
        <v>0</v>
      </c>
      <c r="CN226" s="561">
        <v>0</v>
      </c>
      <c r="CO226" s="561">
        <v>0</v>
      </c>
      <c r="CP226" s="561">
        <v>0</v>
      </c>
      <c r="CQ226" s="561">
        <v>0</v>
      </c>
      <c r="CR226" s="561">
        <v>0</v>
      </c>
      <c r="CS226" s="561">
        <v>0</v>
      </c>
      <c r="CT226" s="561">
        <v>0</v>
      </c>
      <c r="CU226" s="561">
        <v>0</v>
      </c>
      <c r="CV226" s="561">
        <v>0</v>
      </c>
      <c r="CW226" s="561">
        <v>0</v>
      </c>
      <c r="CX226" s="561">
        <v>0</v>
      </c>
      <c r="CY226" s="561">
        <v>110</v>
      </c>
      <c r="CZ226" s="561">
        <v>194</v>
      </c>
      <c r="DA226" s="561">
        <v>0</v>
      </c>
      <c r="DB226" s="561">
        <v>0</v>
      </c>
      <c r="DC226" s="561">
        <v>0</v>
      </c>
      <c r="DD226" s="561">
        <v>0</v>
      </c>
      <c r="DE226" s="561">
        <v>0</v>
      </c>
      <c r="DF226" s="561">
        <v>0</v>
      </c>
      <c r="DG226" s="561">
        <v>0</v>
      </c>
      <c r="DH226" s="561">
        <v>1529</v>
      </c>
      <c r="DI226" s="561">
        <v>0</v>
      </c>
      <c r="DJ226" s="561">
        <v>161</v>
      </c>
      <c r="DK226" s="561">
        <v>0</v>
      </c>
      <c r="DL226" s="561">
        <v>0</v>
      </c>
      <c r="DM226" s="561">
        <v>0</v>
      </c>
      <c r="DN226" s="561">
        <v>0</v>
      </c>
      <c r="DO226" s="561">
        <v>0</v>
      </c>
      <c r="DP226" s="561">
        <v>0</v>
      </c>
      <c r="DQ226" s="561">
        <v>2510</v>
      </c>
      <c r="DR226" s="561">
        <v>0</v>
      </c>
      <c r="DS226" s="561">
        <v>0</v>
      </c>
      <c r="DT226" s="561">
        <v>0</v>
      </c>
      <c r="DU226" s="561">
        <v>2510</v>
      </c>
      <c r="DV226" s="561">
        <v>0</v>
      </c>
      <c r="DW226" s="561">
        <v>0</v>
      </c>
      <c r="DX226" s="561">
        <v>0</v>
      </c>
      <c r="DY226" s="561">
        <v>1560</v>
      </c>
      <c r="DZ226" s="561">
        <v>5</v>
      </c>
      <c r="EA226" s="561">
        <v>1216</v>
      </c>
      <c r="EB226" s="561">
        <v>0</v>
      </c>
      <c r="EC226" s="561">
        <v>6981</v>
      </c>
      <c r="ED226" s="561">
        <v>0</v>
      </c>
      <c r="EE226" s="561">
        <v>0</v>
      </c>
      <c r="EF226" s="561">
        <v>0</v>
      </c>
      <c r="EG226" s="561">
        <v>0</v>
      </c>
      <c r="EH226" s="561">
        <v>0</v>
      </c>
      <c r="EI226" s="561">
        <v>0</v>
      </c>
      <c r="EJ226" s="561">
        <v>0</v>
      </c>
      <c r="EK226" s="561">
        <v>0</v>
      </c>
      <c r="EL226" s="561">
        <v>0</v>
      </c>
      <c r="EM226" s="561">
        <v>0</v>
      </c>
      <c r="EN226" s="561">
        <v>0</v>
      </c>
      <c r="EO226" s="561">
        <v>0</v>
      </c>
      <c r="EP226" s="561">
        <v>0</v>
      </c>
      <c r="EQ226" s="561">
        <v>0</v>
      </c>
      <c r="ER226" s="561">
        <v>0</v>
      </c>
      <c r="ES226" s="561" t="s">
        <v>4565</v>
      </c>
      <c r="ET226" s="561">
        <v>0</v>
      </c>
      <c r="EU226" s="561">
        <v>0</v>
      </c>
      <c r="EV226" s="561">
        <v>0</v>
      </c>
      <c r="EW226" s="561">
        <v>0</v>
      </c>
      <c r="EX226" s="561">
        <v>0</v>
      </c>
      <c r="EY226" s="561">
        <v>0</v>
      </c>
      <c r="EZ226" s="561">
        <v>0</v>
      </c>
      <c r="FA226" s="561">
        <v>0</v>
      </c>
      <c r="FB226" s="561">
        <v>0</v>
      </c>
      <c r="FC226" s="561">
        <v>0</v>
      </c>
      <c r="FD226" s="561">
        <v>0</v>
      </c>
      <c r="FE226" s="561">
        <v>0</v>
      </c>
      <c r="FF226" s="561">
        <v>44</v>
      </c>
      <c r="FG226" s="561">
        <v>87</v>
      </c>
      <c r="FH226" s="561">
        <v>0</v>
      </c>
      <c r="FI226" s="561">
        <v>151</v>
      </c>
      <c r="FJ226" s="561">
        <v>574</v>
      </c>
      <c r="FK226" s="561">
        <v>4206</v>
      </c>
      <c r="FL226" s="561">
        <v>2</v>
      </c>
      <c r="FM226" s="561">
        <v>0</v>
      </c>
      <c r="FN226" s="561">
        <v>0</v>
      </c>
      <c r="FO226" s="561">
        <v>5064</v>
      </c>
      <c r="FP226" s="561">
        <v>0</v>
      </c>
      <c r="FQ226" s="561">
        <v>4</v>
      </c>
      <c r="FR226" s="561">
        <v>0</v>
      </c>
      <c r="FS226" s="561">
        <v>0</v>
      </c>
      <c r="FT226" s="561">
        <v>333</v>
      </c>
      <c r="FU226" s="561">
        <v>283</v>
      </c>
      <c r="FV226" s="561">
        <v>0</v>
      </c>
      <c r="FW226" s="561">
        <v>118</v>
      </c>
      <c r="FX226" s="561">
        <v>0</v>
      </c>
      <c r="FY226" s="561">
        <v>0</v>
      </c>
      <c r="FZ226" s="561">
        <v>4</v>
      </c>
      <c r="GA226" s="561">
        <v>209</v>
      </c>
      <c r="GB226" s="561">
        <v>429</v>
      </c>
      <c r="GC226" s="561">
        <v>176</v>
      </c>
      <c r="GD226" s="561">
        <v>164</v>
      </c>
      <c r="GE226" s="561">
        <v>286</v>
      </c>
      <c r="GF226" s="561">
        <v>0</v>
      </c>
      <c r="GG226" s="561">
        <v>471</v>
      </c>
      <c r="GH226" s="561">
        <v>0</v>
      </c>
      <c r="GI226" s="561">
        <v>0</v>
      </c>
      <c r="GJ226" s="561">
        <v>0</v>
      </c>
      <c r="GK226" s="561">
        <v>0</v>
      </c>
      <c r="GL226" s="561">
        <v>1787</v>
      </c>
      <c r="GM226" s="561">
        <v>3431</v>
      </c>
      <c r="GN226" s="561">
        <v>0</v>
      </c>
      <c r="GO226" s="561">
        <v>0</v>
      </c>
      <c r="GP226" s="561">
        <v>263</v>
      </c>
      <c r="GQ226" s="561">
        <v>0</v>
      </c>
      <c r="GR226" s="561">
        <v>0</v>
      </c>
      <c r="GS226" s="561">
        <v>7958</v>
      </c>
      <c r="GT226" s="561">
        <v>0</v>
      </c>
      <c r="GU226" s="561">
        <v>453</v>
      </c>
      <c r="GV226" s="561">
        <v>2725</v>
      </c>
      <c r="GW226" s="561">
        <v>-76</v>
      </c>
      <c r="GX226" s="561">
        <v>0</v>
      </c>
      <c r="GY226" s="561">
        <v>54</v>
      </c>
      <c r="GZ226" s="561">
        <v>-44</v>
      </c>
      <c r="HA226" s="561">
        <v>556</v>
      </c>
      <c r="HB226" s="561">
        <v>31</v>
      </c>
      <c r="HC226" s="561">
        <v>284</v>
      </c>
      <c r="HD226" s="561">
        <v>3983</v>
      </c>
      <c r="HE226" s="561">
        <v>0</v>
      </c>
      <c r="HF226" s="561">
        <v>17005</v>
      </c>
      <c r="HG226" s="561">
        <v>0</v>
      </c>
      <c r="HH226" s="561">
        <v>0</v>
      </c>
      <c r="HI226" s="561">
        <v>0</v>
      </c>
      <c r="HJ226" s="561">
        <v>0</v>
      </c>
      <c r="HK226" s="561">
        <v>0</v>
      </c>
      <c r="HL226" s="561">
        <v>0</v>
      </c>
      <c r="HM226" s="561">
        <v>0</v>
      </c>
      <c r="HN226" s="561">
        <v>0</v>
      </c>
      <c r="HO226" s="561">
        <v>874</v>
      </c>
      <c r="HP226" s="561">
        <v>2046</v>
      </c>
      <c r="HQ226" s="561">
        <v>0</v>
      </c>
      <c r="HR226" s="561">
        <v>0</v>
      </c>
      <c r="HS226" s="561">
        <v>0</v>
      </c>
      <c r="HT226" s="561">
        <v>63</v>
      </c>
      <c r="HU226" s="561">
        <v>0</v>
      </c>
      <c r="HV226" s="561">
        <v>0</v>
      </c>
      <c r="HW226" s="561">
        <v>466</v>
      </c>
      <c r="HX226" s="561">
        <v>-31</v>
      </c>
      <c r="HY226" s="561">
        <v>148</v>
      </c>
      <c r="HZ226" s="561">
        <v>162</v>
      </c>
      <c r="IA226" s="561">
        <v>0</v>
      </c>
      <c r="IB226" s="561">
        <v>0</v>
      </c>
      <c r="IC226" s="561">
        <v>0</v>
      </c>
      <c r="ID226" s="561">
        <v>0</v>
      </c>
      <c r="IE226" s="561">
        <v>282</v>
      </c>
      <c r="IF226" s="561">
        <v>0</v>
      </c>
      <c r="IG226" s="561">
        <v>0</v>
      </c>
      <c r="IH226" s="561">
        <v>-1274</v>
      </c>
      <c r="II226" s="561">
        <v>2736</v>
      </c>
      <c r="IJ226" s="561">
        <v>0</v>
      </c>
      <c r="IK226" s="561">
        <v>8413</v>
      </c>
      <c r="IL226" s="561">
        <v>0</v>
      </c>
      <c r="IM226" s="561">
        <v>0</v>
      </c>
      <c r="IN226" s="561">
        <v>0</v>
      </c>
      <c r="IO226" s="561">
        <v>0</v>
      </c>
      <c r="IP226" s="561">
        <v>0</v>
      </c>
      <c r="IQ226" s="561">
        <v>0</v>
      </c>
      <c r="IR226" s="561">
        <v>0</v>
      </c>
      <c r="IS226" s="561">
        <v>-1176</v>
      </c>
      <c r="IT226" s="561">
        <v>0</v>
      </c>
      <c r="IU226" s="561">
        <v>0</v>
      </c>
      <c r="IV226" s="561">
        <v>194</v>
      </c>
      <c r="IW226" s="561">
        <v>6981</v>
      </c>
      <c r="IX226" s="561">
        <v>5064</v>
      </c>
      <c r="IY226" s="561">
        <v>7958</v>
      </c>
      <c r="IZ226" s="561">
        <v>3983</v>
      </c>
      <c r="JA226" s="561">
        <v>0</v>
      </c>
      <c r="JB226" s="561">
        <v>0</v>
      </c>
      <c r="JC226" s="561">
        <v>2736</v>
      </c>
      <c r="JD226" s="561">
        <v>0</v>
      </c>
      <c r="JE226" s="561">
        <v>25740</v>
      </c>
      <c r="JF226" s="561">
        <v>23384</v>
      </c>
      <c r="JG226" s="561">
        <v>0</v>
      </c>
      <c r="JH226" s="561">
        <v>0</v>
      </c>
      <c r="JI226" s="561">
        <v>0</v>
      </c>
      <c r="JJ226" s="561">
        <v>0</v>
      </c>
      <c r="JK226" s="561">
        <v>5733</v>
      </c>
      <c r="JL226" s="561">
        <v>0</v>
      </c>
      <c r="JM226" s="561">
        <v>0</v>
      </c>
      <c r="JN226" s="561">
        <v>0</v>
      </c>
      <c r="JO226" s="561">
        <v>1</v>
      </c>
      <c r="JP226" s="561">
        <v>0</v>
      </c>
      <c r="JQ226" s="561">
        <v>0</v>
      </c>
      <c r="JR226" s="561">
        <v>0</v>
      </c>
      <c r="JS226" s="561">
        <v>0</v>
      </c>
      <c r="JT226" s="561">
        <v>-15</v>
      </c>
      <c r="JU226" s="561">
        <v>0</v>
      </c>
      <c r="JV226" s="561">
        <v>54843</v>
      </c>
      <c r="JW226" s="561">
        <v>0</v>
      </c>
      <c r="JX226" s="561">
        <v>3232</v>
      </c>
      <c r="JY226" s="561">
        <v>0</v>
      </c>
      <c r="JZ226" s="561">
        <v>0</v>
      </c>
      <c r="KA226" s="561">
        <v>0</v>
      </c>
      <c r="KB226" s="561">
        <v>0</v>
      </c>
      <c r="KC226" s="561">
        <v>456</v>
      </c>
      <c r="KD226" s="561">
        <v>0</v>
      </c>
      <c r="KE226" s="561">
        <v>0</v>
      </c>
      <c r="KF226" s="561">
        <v>0</v>
      </c>
      <c r="KG226" s="561">
        <v>58531</v>
      </c>
      <c r="KH226" s="561">
        <v>-8388</v>
      </c>
      <c r="KI226" s="561">
        <v>0</v>
      </c>
      <c r="KJ226" s="561">
        <v>0</v>
      </c>
      <c r="KK226" s="561">
        <v>0</v>
      </c>
      <c r="KL226" s="561">
        <v>-20863</v>
      </c>
      <c r="KM226" s="561">
        <v>0</v>
      </c>
      <c r="KN226" s="561">
        <v>0</v>
      </c>
      <c r="KO226" s="561">
        <v>0</v>
      </c>
      <c r="KP226" s="561">
        <v>0</v>
      </c>
      <c r="KQ226" s="561">
        <v>0</v>
      </c>
      <c r="KR226" s="561">
        <v>29280</v>
      </c>
      <c r="KS226" s="561">
        <v>0</v>
      </c>
      <c r="KT226" s="561">
        <v>-13768</v>
      </c>
      <c r="KU226" s="561">
        <v>15512</v>
      </c>
      <c r="KV226" s="561">
        <v>0</v>
      </c>
      <c r="KW226" s="561">
        <v>0</v>
      </c>
      <c r="KX226" s="561">
        <v>0</v>
      </c>
      <c r="KY226" s="561">
        <v>0</v>
      </c>
      <c r="KZ226" s="561">
        <v>1343</v>
      </c>
      <c r="LA226" s="561">
        <v>2546</v>
      </c>
      <c r="LB226" s="561">
        <v>-138</v>
      </c>
      <c r="LC226" s="561">
        <v>0</v>
      </c>
      <c r="LD226" s="561">
        <v>-730</v>
      </c>
      <c r="LE226" s="561">
        <v>-263</v>
      </c>
      <c r="LF226" s="561">
        <v>0</v>
      </c>
      <c r="LG226" s="561">
        <v>18270</v>
      </c>
      <c r="LH226" s="561">
        <v>0</v>
      </c>
      <c r="LI226" s="561">
        <v>0</v>
      </c>
      <c r="LJ226" s="561">
        <v>0</v>
      </c>
      <c r="LK226" s="561">
        <v>0</v>
      </c>
      <c r="LL226" s="561">
        <v>25539</v>
      </c>
      <c r="LM226" s="561">
        <v>11813</v>
      </c>
      <c r="LN226" s="561">
        <v>0</v>
      </c>
      <c r="LO226" s="561">
        <v>0</v>
      </c>
      <c r="LP226" s="561">
        <v>0</v>
      </c>
      <c r="LQ226" s="561">
        <v>0</v>
      </c>
      <c r="LR226" s="561">
        <v>26882</v>
      </c>
      <c r="LS226" s="561">
        <v>14359</v>
      </c>
      <c r="LT226" s="561">
        <v>0</v>
      </c>
      <c r="LU226" s="561">
        <v>2555</v>
      </c>
      <c r="LV226" s="561">
        <v>0</v>
      </c>
      <c r="LW226" s="561">
        <v>-627</v>
      </c>
      <c r="LX226" s="561">
        <v>0</v>
      </c>
      <c r="LY226" s="561">
        <v>3067</v>
      </c>
      <c r="LZ226" s="561">
        <v>5230</v>
      </c>
      <c r="MA226" s="561">
        <v>0</v>
      </c>
      <c r="MB226" s="561">
        <v>0</v>
      </c>
      <c r="MC226" s="561">
        <v>0</v>
      </c>
      <c r="MD226" s="561">
        <v>0</v>
      </c>
      <c r="ME226" s="561">
        <v>0</v>
      </c>
      <c r="MF226" s="561">
        <v>0</v>
      </c>
      <c r="MG226" s="561">
        <v>0</v>
      </c>
      <c r="MH226" s="561">
        <v>2938</v>
      </c>
      <c r="MI226" s="561">
        <v>4288</v>
      </c>
      <c r="MJ226" s="561">
        <v>7226</v>
      </c>
      <c r="MK226" s="561">
        <v>0</v>
      </c>
      <c r="ML226" s="561">
        <v>0</v>
      </c>
      <c r="MM226" s="561">
        <v>26882</v>
      </c>
      <c r="MN226" s="561">
        <v>0</v>
      </c>
      <c r="MO226" s="561">
        <v>0</v>
      </c>
      <c r="MP226" s="561">
        <v>0</v>
      </c>
      <c r="MQ226" s="561">
        <v>0</v>
      </c>
      <c r="MR226" s="561">
        <v>-1176</v>
      </c>
      <c r="MS226" s="561">
        <v>0</v>
      </c>
      <c r="MT226" s="561">
        <v>0</v>
      </c>
      <c r="MU226" s="561">
        <v>194</v>
      </c>
      <c r="MV226" s="561">
        <v>6981</v>
      </c>
      <c r="MW226" s="561">
        <v>5064</v>
      </c>
      <c r="MX226" s="561">
        <v>7958</v>
      </c>
      <c r="MY226" s="561">
        <v>3983</v>
      </c>
      <c r="MZ226" s="561">
        <v>0</v>
      </c>
      <c r="NA226" s="561">
        <v>0</v>
      </c>
      <c r="NB226" s="561">
        <v>2736</v>
      </c>
      <c r="NC226" s="561">
        <v>0</v>
      </c>
      <c r="ND226" s="561">
        <v>25740</v>
      </c>
      <c r="NE226" s="561">
        <v>0</v>
      </c>
      <c r="NF226" s="561">
        <v>0</v>
      </c>
      <c r="NG226" s="561">
        <v>0</v>
      </c>
      <c r="NH226" s="561">
        <v>0</v>
      </c>
      <c r="NI226" s="561">
        <v>0</v>
      </c>
      <c r="NJ226" s="561">
        <v>0</v>
      </c>
      <c r="NK226" s="561">
        <v>0</v>
      </c>
      <c r="NL226" s="561">
        <v>0</v>
      </c>
      <c r="NM226" s="561">
        <v>0</v>
      </c>
      <c r="NN226" s="561">
        <v>0</v>
      </c>
      <c r="NO226" s="561">
        <v>0</v>
      </c>
      <c r="NP226" s="561">
        <v>0</v>
      </c>
      <c r="NQ226" s="561">
        <v>0</v>
      </c>
      <c r="NR226" s="561">
        <v>0</v>
      </c>
      <c r="NS226" s="561">
        <v>0</v>
      </c>
      <c r="NT226" s="561">
        <v>0</v>
      </c>
      <c r="NU226" s="561">
        <v>0</v>
      </c>
      <c r="NV226" s="561">
        <v>0</v>
      </c>
      <c r="NW226" s="561">
        <v>0</v>
      </c>
      <c r="NX226" s="561">
        <v>0</v>
      </c>
      <c r="NY226" s="561">
        <v>0</v>
      </c>
      <c r="NZ226" s="561">
        <v>0</v>
      </c>
      <c r="OA226" s="561">
        <v>0</v>
      </c>
      <c r="OB226" s="561">
        <v>0</v>
      </c>
      <c r="OC226" s="561">
        <v>0</v>
      </c>
      <c r="OD226" s="561">
        <v>0</v>
      </c>
      <c r="OE226" s="561">
        <v>0</v>
      </c>
      <c r="OF226" s="561">
        <v>0</v>
      </c>
      <c r="OG226" s="561">
        <v>0</v>
      </c>
      <c r="OH226" s="561">
        <v>0</v>
      </c>
      <c r="OI226" s="561">
        <v>0</v>
      </c>
      <c r="OJ226" s="561">
        <v>0</v>
      </c>
      <c r="OK226" s="561">
        <v>0</v>
      </c>
      <c r="OL226" s="561">
        <v>0</v>
      </c>
      <c r="OM226" s="561">
        <v>0</v>
      </c>
      <c r="ON226" s="561">
        <v>0</v>
      </c>
      <c r="OO226" s="561">
        <v>0</v>
      </c>
      <c r="OP226" s="561">
        <v>0</v>
      </c>
      <c r="OQ226" s="561">
        <v>0</v>
      </c>
      <c r="OR226" s="561">
        <v>0</v>
      </c>
      <c r="OS226" s="561">
        <v>0</v>
      </c>
      <c r="OT226" s="561">
        <v>0</v>
      </c>
      <c r="OU226" s="561">
        <v>0</v>
      </c>
      <c r="OV226" s="561">
        <v>0</v>
      </c>
      <c r="OW226" s="561">
        <v>0</v>
      </c>
      <c r="OX226" s="561">
        <v>0</v>
      </c>
      <c r="OY226" s="561">
        <v>0</v>
      </c>
      <c r="OZ226" s="561">
        <v>0</v>
      </c>
      <c r="PA226" s="561">
        <v>0</v>
      </c>
      <c r="PB226" s="561">
        <v>0</v>
      </c>
      <c r="PC226" s="561">
        <v>0</v>
      </c>
      <c r="PD226" s="561">
        <v>0</v>
      </c>
      <c r="PE226" s="561">
        <v>0</v>
      </c>
      <c r="PF226" s="561">
        <v>0</v>
      </c>
      <c r="PG226" s="561">
        <v>0</v>
      </c>
      <c r="PH226" s="561">
        <v>0</v>
      </c>
      <c r="PI226" s="561">
        <v>0</v>
      </c>
      <c r="PJ226" s="561">
        <v>0</v>
      </c>
    </row>
    <row r="227" spans="1:426" ht="14" x14ac:dyDescent="0.3">
      <c r="A227" t="s">
        <v>3124</v>
      </c>
      <c r="B227" t="s">
        <v>3125</v>
      </c>
      <c r="C227" t="s">
        <v>4631</v>
      </c>
      <c r="E227" t="s">
        <v>385</v>
      </c>
      <c r="F227" s="561">
        <v>18189.03</v>
      </c>
      <c r="G227" s="561">
        <v>18225.32</v>
      </c>
      <c r="H227" s="561">
        <v>7876.82</v>
      </c>
      <c r="I227" s="561">
        <v>23150.16</v>
      </c>
      <c r="J227" s="561">
        <v>831.82</v>
      </c>
      <c r="K227" s="561">
        <v>15428.68</v>
      </c>
      <c r="L227" s="561">
        <v>83701.83</v>
      </c>
      <c r="M227" s="561">
        <v>31</v>
      </c>
      <c r="N227" s="561">
        <v>638</v>
      </c>
      <c r="O227" s="561">
        <v>0</v>
      </c>
      <c r="P227" s="561">
        <v>0</v>
      </c>
      <c r="Q227" s="561">
        <v>1</v>
      </c>
      <c r="R227" s="561">
        <v>98</v>
      </c>
      <c r="S227" s="561">
        <v>907</v>
      </c>
      <c r="T227" s="561">
        <v>910</v>
      </c>
      <c r="U227" s="561">
        <v>427</v>
      </c>
      <c r="V227" s="561">
        <v>1389</v>
      </c>
      <c r="W227" s="561">
        <v>0</v>
      </c>
      <c r="X227" s="561">
        <v>0</v>
      </c>
      <c r="Y227" s="561">
        <v>281</v>
      </c>
      <c r="Z227" s="561">
        <v>30</v>
      </c>
      <c r="AA227" s="561">
        <v>-1127</v>
      </c>
      <c r="AB227" s="561">
        <v>0</v>
      </c>
      <c r="AC227" s="561">
        <v>3147</v>
      </c>
      <c r="AD227" s="561">
        <v>-129</v>
      </c>
      <c r="AE227" s="561">
        <v>0</v>
      </c>
      <c r="AF227" s="561">
        <v>0</v>
      </c>
      <c r="AG227" s="561">
        <v>0</v>
      </c>
      <c r="AH227" s="561">
        <v>355</v>
      </c>
      <c r="AI227" s="561">
        <v>0</v>
      </c>
      <c r="AJ227" s="561">
        <v>6927</v>
      </c>
      <c r="AK227" s="561">
        <v>0</v>
      </c>
      <c r="AL227" s="561">
        <v>0</v>
      </c>
      <c r="AM227" s="561">
        <v>0</v>
      </c>
      <c r="AN227" s="561">
        <v>0</v>
      </c>
      <c r="AO227" s="561">
        <v>0</v>
      </c>
      <c r="AP227" s="561">
        <v>0</v>
      </c>
      <c r="AQ227" s="561">
        <v>0</v>
      </c>
      <c r="AR227" s="561">
        <v>0</v>
      </c>
      <c r="AS227" s="561">
        <v>0</v>
      </c>
      <c r="AT227" s="561">
        <v>1298</v>
      </c>
      <c r="AU227" s="561">
        <v>0</v>
      </c>
      <c r="AV227" s="561">
        <v>0</v>
      </c>
      <c r="AW227" s="561">
        <v>0</v>
      </c>
      <c r="AX227" s="561">
        <v>2418</v>
      </c>
      <c r="AY227" s="561">
        <v>41825.370000000003</v>
      </c>
      <c r="AZ227" s="561">
        <v>0</v>
      </c>
      <c r="BA227" s="561">
        <v>6314.1</v>
      </c>
      <c r="BB227" s="561">
        <v>1407.22</v>
      </c>
      <c r="BC227" s="561">
        <v>19588.96</v>
      </c>
      <c r="BD227" s="561">
        <v>80.290000000000006</v>
      </c>
      <c r="BE227" s="561">
        <v>5122.5</v>
      </c>
      <c r="BF227" s="561">
        <v>76756.44</v>
      </c>
      <c r="BG227" s="561">
        <v>7296</v>
      </c>
      <c r="BH227" s="561">
        <v>5145</v>
      </c>
      <c r="BI227" s="561">
        <v>15588</v>
      </c>
      <c r="BJ227" s="561">
        <v>280</v>
      </c>
      <c r="BK227" s="561">
        <v>129</v>
      </c>
      <c r="BL227" s="561">
        <v>510</v>
      </c>
      <c r="BM227" s="561">
        <v>3596</v>
      </c>
      <c r="BN227" s="561">
        <v>16632</v>
      </c>
      <c r="BO227" s="561">
        <v>3354</v>
      </c>
      <c r="BP227" s="561">
        <v>4489</v>
      </c>
      <c r="BQ227" s="561">
        <v>3408</v>
      </c>
      <c r="BR227" s="561">
        <v>141</v>
      </c>
      <c r="BS227" s="561">
        <v>29</v>
      </c>
      <c r="BT227" s="561">
        <v>469</v>
      </c>
      <c r="BU227" s="561">
        <v>616</v>
      </c>
      <c r="BV227" s="561">
        <v>850</v>
      </c>
      <c r="BW227" s="561">
        <v>8412</v>
      </c>
      <c r="BX227" s="561">
        <v>907</v>
      </c>
      <c r="BY227" s="561">
        <v>5979</v>
      </c>
      <c r="BZ227" s="561">
        <v>70534</v>
      </c>
      <c r="CA227" s="561">
        <v>704</v>
      </c>
      <c r="CB227" s="561">
        <v>573</v>
      </c>
      <c r="CC227" s="561">
        <v>574</v>
      </c>
      <c r="CD227" s="561">
        <v>0</v>
      </c>
      <c r="CE227" s="561">
        <v>84</v>
      </c>
      <c r="CF227" s="561">
        <v>78</v>
      </c>
      <c r="CG227" s="561">
        <v>40</v>
      </c>
      <c r="CH227" s="561">
        <v>74</v>
      </c>
      <c r="CI227" s="561">
        <v>119</v>
      </c>
      <c r="CJ227" s="561">
        <v>12</v>
      </c>
      <c r="CK227" s="561">
        <v>510</v>
      </c>
      <c r="CL227" s="561">
        <v>0</v>
      </c>
      <c r="CM227" s="561">
        <v>1399</v>
      </c>
      <c r="CN227" s="561">
        <v>210</v>
      </c>
      <c r="CO227" s="561">
        <v>4604</v>
      </c>
      <c r="CP227" s="561">
        <v>1705</v>
      </c>
      <c r="CQ227" s="561">
        <v>33</v>
      </c>
      <c r="CR227" s="561">
        <v>557</v>
      </c>
      <c r="CS227" s="561">
        <v>60</v>
      </c>
      <c r="CT227" s="561">
        <v>1247</v>
      </c>
      <c r="CU227" s="561">
        <v>2783</v>
      </c>
      <c r="CV227" s="561">
        <v>288</v>
      </c>
      <c r="CW227" s="561">
        <v>8</v>
      </c>
      <c r="CX227" s="561">
        <v>158</v>
      </c>
      <c r="CY227" s="561">
        <v>4158</v>
      </c>
      <c r="CZ227" s="561">
        <v>19274</v>
      </c>
      <c r="DA227" s="561">
        <v>199</v>
      </c>
      <c r="DB227" s="561">
        <v>78</v>
      </c>
      <c r="DC227" s="561">
        <v>0</v>
      </c>
      <c r="DD227" s="561">
        <v>634</v>
      </c>
      <c r="DE227" s="561">
        <v>0</v>
      </c>
      <c r="DF227" s="561">
        <v>0</v>
      </c>
      <c r="DG227" s="561">
        <v>0</v>
      </c>
      <c r="DH227" s="561">
        <v>219</v>
      </c>
      <c r="DI227" s="561">
        <v>0</v>
      </c>
      <c r="DJ227" s="561">
        <v>32</v>
      </c>
      <c r="DK227" s="561">
        <v>620</v>
      </c>
      <c r="DL227" s="561">
        <v>1620</v>
      </c>
      <c r="DM227" s="561">
        <v>0</v>
      </c>
      <c r="DN227" s="561">
        <v>0</v>
      </c>
      <c r="DO227" s="561">
        <v>103</v>
      </c>
      <c r="DP227" s="561">
        <v>0</v>
      </c>
      <c r="DQ227" s="561">
        <v>458</v>
      </c>
      <c r="DR227" s="561">
        <v>104</v>
      </c>
      <c r="DS227" s="561">
        <v>1059</v>
      </c>
      <c r="DT227" s="561">
        <v>-567</v>
      </c>
      <c r="DU227" s="561">
        <v>2777</v>
      </c>
      <c r="DV227" s="561">
        <v>759</v>
      </c>
      <c r="DW227" s="561">
        <v>0</v>
      </c>
      <c r="DX227" s="561">
        <v>0</v>
      </c>
      <c r="DY227" s="561">
        <v>1907</v>
      </c>
      <c r="DZ227" s="561">
        <v>16</v>
      </c>
      <c r="EA227" s="561">
        <v>1336</v>
      </c>
      <c r="EB227" s="561">
        <v>0</v>
      </c>
      <c r="EC227" s="561">
        <v>7666</v>
      </c>
      <c r="ED227" s="561">
        <v>380</v>
      </c>
      <c r="EE227" s="561">
        <v>0</v>
      </c>
      <c r="EF227" s="561">
        <v>0</v>
      </c>
      <c r="EG227" s="561">
        <v>0</v>
      </c>
      <c r="EH227" s="561">
        <v>0</v>
      </c>
      <c r="EI227" s="561">
        <v>0</v>
      </c>
      <c r="EJ227" s="561">
        <v>0</v>
      </c>
      <c r="EK227" s="561">
        <v>0</v>
      </c>
      <c r="EL227" s="561">
        <v>0</v>
      </c>
      <c r="EM227" s="561">
        <v>0</v>
      </c>
      <c r="EN227" s="561">
        <v>0</v>
      </c>
      <c r="EO227" s="561">
        <v>0</v>
      </c>
      <c r="EP227" s="561">
        <v>0</v>
      </c>
      <c r="EQ227" s="561">
        <v>0</v>
      </c>
      <c r="ER227" s="561">
        <v>0</v>
      </c>
      <c r="ES227" s="561" t="s">
        <v>4565</v>
      </c>
      <c r="ET227" s="561">
        <v>0</v>
      </c>
      <c r="EU227" s="561">
        <v>0</v>
      </c>
      <c r="EV227" s="561">
        <v>0</v>
      </c>
      <c r="EW227" s="561">
        <v>0</v>
      </c>
      <c r="EX227" s="561">
        <v>0</v>
      </c>
      <c r="EY227" s="561">
        <v>0</v>
      </c>
      <c r="EZ227" s="561">
        <v>0</v>
      </c>
      <c r="FA227" s="561">
        <v>0</v>
      </c>
      <c r="FB227" s="561">
        <v>53</v>
      </c>
      <c r="FC227" s="561">
        <v>552</v>
      </c>
      <c r="FD227" s="561">
        <v>0</v>
      </c>
      <c r="FE227" s="561">
        <v>680</v>
      </c>
      <c r="FF227" s="561">
        <v>582</v>
      </c>
      <c r="FG227" s="561">
        <v>101</v>
      </c>
      <c r="FH227" s="561">
        <v>0</v>
      </c>
      <c r="FI227" s="561">
        <v>0</v>
      </c>
      <c r="FJ227" s="561">
        <v>30</v>
      </c>
      <c r="FK227" s="561">
        <v>2288</v>
      </c>
      <c r="FL227" s="561">
        <v>0</v>
      </c>
      <c r="FM227" s="561">
        <v>9</v>
      </c>
      <c r="FN227" s="561">
        <v>2039</v>
      </c>
      <c r="FO227" s="561">
        <v>6334</v>
      </c>
      <c r="FP227" s="561">
        <v>0</v>
      </c>
      <c r="FQ227" s="561">
        <v>-909</v>
      </c>
      <c r="FR227" s="561">
        <v>604</v>
      </c>
      <c r="FS227" s="561">
        <v>0</v>
      </c>
      <c r="FT227" s="561">
        <v>409</v>
      </c>
      <c r="FU227" s="561">
        <v>1345</v>
      </c>
      <c r="FV227" s="561">
        <v>0</v>
      </c>
      <c r="FW227" s="561">
        <v>210</v>
      </c>
      <c r="FX227" s="561">
        <v>0</v>
      </c>
      <c r="FY227" s="561">
        <v>0</v>
      </c>
      <c r="FZ227" s="561">
        <v>84</v>
      </c>
      <c r="GA227" s="561">
        <v>0</v>
      </c>
      <c r="GB227" s="561">
        <v>0</v>
      </c>
      <c r="GC227" s="561">
        <v>442</v>
      </c>
      <c r="GD227" s="561">
        <v>0</v>
      </c>
      <c r="GE227" s="561">
        <v>659</v>
      </c>
      <c r="GF227" s="561">
        <v>849</v>
      </c>
      <c r="GG227" s="561">
        <v>0</v>
      </c>
      <c r="GH227" s="561">
        <v>38</v>
      </c>
      <c r="GI227" s="561">
        <v>0</v>
      </c>
      <c r="GJ227" s="561">
        <v>0</v>
      </c>
      <c r="GK227" s="561">
        <v>0</v>
      </c>
      <c r="GL227" s="561">
        <v>2406</v>
      </c>
      <c r="GM227" s="561">
        <v>4444</v>
      </c>
      <c r="GN227" s="561">
        <v>4745</v>
      </c>
      <c r="GO227" s="561">
        <v>0</v>
      </c>
      <c r="GP227" s="561">
        <v>558</v>
      </c>
      <c r="GQ227" s="561">
        <v>0</v>
      </c>
      <c r="GR227" s="561">
        <v>0</v>
      </c>
      <c r="GS227" s="561">
        <v>15884</v>
      </c>
      <c r="GT227" s="561">
        <v>132</v>
      </c>
      <c r="GU227" s="561">
        <v>66</v>
      </c>
      <c r="GV227" s="561">
        <v>100</v>
      </c>
      <c r="GW227" s="561">
        <v>0</v>
      </c>
      <c r="GX227" s="561">
        <v>1590</v>
      </c>
      <c r="GY227" s="561">
        <v>156</v>
      </c>
      <c r="GZ227" s="561">
        <v>831</v>
      </c>
      <c r="HA227" s="561">
        <v>0</v>
      </c>
      <c r="HB227" s="561">
        <v>0</v>
      </c>
      <c r="HC227" s="561">
        <v>2079</v>
      </c>
      <c r="HD227" s="561">
        <v>4822</v>
      </c>
      <c r="HE227" s="561">
        <v>0</v>
      </c>
      <c r="HF227" s="561">
        <v>27040</v>
      </c>
      <c r="HG227" s="561">
        <v>132</v>
      </c>
      <c r="HH227" s="561">
        <v>0</v>
      </c>
      <c r="HI227" s="561">
        <v>0</v>
      </c>
      <c r="HJ227" s="561">
        <v>0</v>
      </c>
      <c r="HK227" s="561">
        <v>0</v>
      </c>
      <c r="HL227" s="561">
        <v>0</v>
      </c>
      <c r="HM227" s="561">
        <v>0</v>
      </c>
      <c r="HN227" s="561">
        <v>0</v>
      </c>
      <c r="HO227" s="561">
        <v>5384</v>
      </c>
      <c r="HP227" s="561">
        <v>822</v>
      </c>
      <c r="HQ227" s="561">
        <v>0</v>
      </c>
      <c r="HR227" s="561">
        <v>-10</v>
      </c>
      <c r="HS227" s="561">
        <v>206</v>
      </c>
      <c r="HT227" s="561">
        <v>265</v>
      </c>
      <c r="HU227" s="561">
        <v>0</v>
      </c>
      <c r="HV227" s="561">
        <v>297</v>
      </c>
      <c r="HW227" s="561">
        <v>253</v>
      </c>
      <c r="HX227" s="561">
        <v>475</v>
      </c>
      <c r="HY227" s="561">
        <v>121</v>
      </c>
      <c r="HZ227" s="561">
        <v>-369</v>
      </c>
      <c r="IA227" s="561">
        <v>2907</v>
      </c>
      <c r="IB227" s="561">
        <v>0</v>
      </c>
      <c r="IC227" s="561">
        <v>465</v>
      </c>
      <c r="ID227" s="561">
        <v>0</v>
      </c>
      <c r="IE227" s="561">
        <v>1257</v>
      </c>
      <c r="IF227" s="561">
        <v>0</v>
      </c>
      <c r="IG227" s="561">
        <v>151</v>
      </c>
      <c r="IH227" s="561">
        <v>-8521</v>
      </c>
      <c r="II227" s="561">
        <v>3703</v>
      </c>
      <c r="IJ227" s="561">
        <v>1406</v>
      </c>
      <c r="IK227" s="561">
        <v>6371</v>
      </c>
      <c r="IL227" s="561">
        <v>20531</v>
      </c>
      <c r="IM227" s="561">
        <v>0</v>
      </c>
      <c r="IN227" s="561">
        <v>712</v>
      </c>
      <c r="IO227" s="561">
        <v>4288</v>
      </c>
      <c r="IP227" s="561">
        <v>391</v>
      </c>
      <c r="IQ227" s="561">
        <v>10</v>
      </c>
      <c r="IR227" s="561">
        <v>83701.83</v>
      </c>
      <c r="IS227" s="561">
        <v>6927</v>
      </c>
      <c r="IT227" s="561">
        <v>76756.44</v>
      </c>
      <c r="IU227" s="561">
        <v>70534</v>
      </c>
      <c r="IV227" s="561">
        <v>19274</v>
      </c>
      <c r="IW227" s="561">
        <v>7666</v>
      </c>
      <c r="IX227" s="561">
        <v>6334</v>
      </c>
      <c r="IY227" s="561">
        <v>15884</v>
      </c>
      <c r="IZ227" s="561">
        <v>4822</v>
      </c>
      <c r="JA227" s="561">
        <v>0</v>
      </c>
      <c r="JB227" s="561">
        <v>0</v>
      </c>
      <c r="JC227" s="561">
        <v>3703</v>
      </c>
      <c r="JD227" s="561">
        <v>391</v>
      </c>
      <c r="JE227" s="561">
        <v>295993.27</v>
      </c>
      <c r="JF227" s="561">
        <v>41347</v>
      </c>
      <c r="JG227" s="561">
        <v>307</v>
      </c>
      <c r="JH227" s="561">
        <v>0</v>
      </c>
      <c r="JI227" s="561">
        <v>0</v>
      </c>
      <c r="JJ227" s="561">
        <v>0</v>
      </c>
      <c r="JK227" s="561">
        <v>38</v>
      </c>
      <c r="JL227" s="561">
        <v>0</v>
      </c>
      <c r="JM227" s="561">
        <v>0</v>
      </c>
      <c r="JN227" s="561">
        <v>0</v>
      </c>
      <c r="JO227" s="561">
        <v>454</v>
      </c>
      <c r="JP227" s="561">
        <v>-2757</v>
      </c>
      <c r="JQ227" s="561">
        <v>1303</v>
      </c>
      <c r="JR227" s="561">
        <v>0</v>
      </c>
      <c r="JS227" s="561">
        <v>0</v>
      </c>
      <c r="JT227" s="561">
        <v>-677</v>
      </c>
      <c r="JU227" s="561">
        <v>-1193</v>
      </c>
      <c r="JV227" s="561">
        <v>334815.27</v>
      </c>
      <c r="JW227" s="561">
        <v>129</v>
      </c>
      <c r="JX227" s="561">
        <v>0</v>
      </c>
      <c r="JY227" s="561">
        <v>0</v>
      </c>
      <c r="JZ227" s="561">
        <v>-4447</v>
      </c>
      <c r="KA227" s="561">
        <v>-2444</v>
      </c>
      <c r="KB227" s="561">
        <v>156</v>
      </c>
      <c r="KC227" s="561">
        <v>4316</v>
      </c>
      <c r="KD227" s="561">
        <v>0</v>
      </c>
      <c r="KE227" s="561">
        <v>8824</v>
      </c>
      <c r="KF227" s="561">
        <v>0</v>
      </c>
      <c r="KG227" s="561">
        <v>341349.27</v>
      </c>
      <c r="KH227" s="561">
        <v>-1756</v>
      </c>
      <c r="KI227" s="561">
        <v>0</v>
      </c>
      <c r="KJ227" s="561">
        <v>0</v>
      </c>
      <c r="KK227" s="561">
        <v>0</v>
      </c>
      <c r="KL227" s="561">
        <v>-44279</v>
      </c>
      <c r="KM227" s="561">
        <v>0</v>
      </c>
      <c r="KN227" s="561">
        <v>0</v>
      </c>
      <c r="KO227" s="561">
        <v>0</v>
      </c>
      <c r="KP227" s="561">
        <v>0</v>
      </c>
      <c r="KQ227" s="561">
        <v>-7920</v>
      </c>
      <c r="KR227" s="561">
        <v>287394.27</v>
      </c>
      <c r="KS227" s="561">
        <v>0</v>
      </c>
      <c r="KT227" s="561">
        <v>-140401</v>
      </c>
      <c r="KU227" s="561">
        <v>146993.26999999999</v>
      </c>
      <c r="KV227" s="561">
        <v>0</v>
      </c>
      <c r="KW227" s="561">
        <v>-1549</v>
      </c>
      <c r="KX227" s="561">
        <v>0</v>
      </c>
      <c r="KY227" s="561">
        <v>514</v>
      </c>
      <c r="KZ227" s="561">
        <v>9773</v>
      </c>
      <c r="LA227" s="561">
        <v>114</v>
      </c>
      <c r="LB227" s="561">
        <v>-15122</v>
      </c>
      <c r="LC227" s="561">
        <v>0</v>
      </c>
      <c r="LD227" s="561">
        <v>-62660</v>
      </c>
      <c r="LE227" s="561">
        <v>-8325</v>
      </c>
      <c r="LF227" s="561">
        <v>1700</v>
      </c>
      <c r="LG227" s="561">
        <v>71438</v>
      </c>
      <c r="LH227" s="561">
        <v>4599</v>
      </c>
      <c r="LI227" s="561">
        <v>-14293</v>
      </c>
      <c r="LJ227" s="561">
        <v>0</v>
      </c>
      <c r="LK227" s="561">
        <v>1172</v>
      </c>
      <c r="LL227" s="561">
        <v>7185</v>
      </c>
      <c r="LM227" s="561">
        <v>10986</v>
      </c>
      <c r="LN227" s="561">
        <v>3050</v>
      </c>
      <c r="LO227" s="561">
        <v>-22213</v>
      </c>
      <c r="LP227" s="561">
        <v>0</v>
      </c>
      <c r="LQ227" s="561">
        <v>1686</v>
      </c>
      <c r="LR227" s="561">
        <v>16958</v>
      </c>
      <c r="LS227" s="561">
        <v>11100</v>
      </c>
      <c r="LT227" s="561">
        <v>0</v>
      </c>
      <c r="LU227" s="561">
        <v>20224.96</v>
      </c>
      <c r="LV227" s="561">
        <v>0</v>
      </c>
      <c r="LW227" s="561">
        <v>11228.15</v>
      </c>
      <c r="LX227" s="561">
        <v>0</v>
      </c>
      <c r="LY227" s="561">
        <v>27624.240000000002</v>
      </c>
      <c r="LZ227" s="561">
        <v>64573.35</v>
      </c>
      <c r="MA227" s="561">
        <v>0</v>
      </c>
      <c r="MB227" s="561">
        <v>0</v>
      </c>
      <c r="MC227" s="561">
        <v>0</v>
      </c>
      <c r="MD227" s="561">
        <v>0</v>
      </c>
      <c r="ME227" s="561">
        <v>0</v>
      </c>
      <c r="MF227" s="561">
        <v>0</v>
      </c>
      <c r="MG227" s="561">
        <v>0</v>
      </c>
      <c r="MH227" s="561">
        <v>6841</v>
      </c>
      <c r="MI227" s="561">
        <v>14394</v>
      </c>
      <c r="MJ227" s="561">
        <v>21235</v>
      </c>
      <c r="MK227" s="561">
        <v>1</v>
      </c>
      <c r="ML227" s="561">
        <v>0</v>
      </c>
      <c r="MM227" s="561">
        <v>9234</v>
      </c>
      <c r="MN227" s="561">
        <v>1013</v>
      </c>
      <c r="MO227" s="561">
        <v>6711</v>
      </c>
      <c r="MP227" s="561">
        <v>0</v>
      </c>
      <c r="MQ227" s="561">
        <v>83701.83</v>
      </c>
      <c r="MR227" s="561">
        <v>6927</v>
      </c>
      <c r="MS227" s="561">
        <v>76756.44</v>
      </c>
      <c r="MT227" s="561">
        <v>70534</v>
      </c>
      <c r="MU227" s="561">
        <v>19274</v>
      </c>
      <c r="MV227" s="561">
        <v>7666</v>
      </c>
      <c r="MW227" s="561">
        <v>6334</v>
      </c>
      <c r="MX227" s="561">
        <v>15884</v>
      </c>
      <c r="MY227" s="561">
        <v>4822</v>
      </c>
      <c r="MZ227" s="561">
        <v>0</v>
      </c>
      <c r="NA227" s="561">
        <v>0</v>
      </c>
      <c r="NB227" s="561">
        <v>3703</v>
      </c>
      <c r="NC227" s="561">
        <v>391</v>
      </c>
      <c r="ND227" s="561">
        <v>295993.27</v>
      </c>
      <c r="NE227" s="561">
        <v>-306</v>
      </c>
      <c r="NF227" s="561">
        <v>0</v>
      </c>
      <c r="NG227" s="561">
        <v>0</v>
      </c>
      <c r="NH227" s="561">
        <v>0</v>
      </c>
      <c r="NI227" s="561">
        <v>0</v>
      </c>
      <c r="NJ227" s="561">
        <v>0</v>
      </c>
      <c r="NK227" s="561">
        <v>0</v>
      </c>
      <c r="NL227" s="561">
        <v>0</v>
      </c>
      <c r="NM227" s="561">
        <v>0</v>
      </c>
      <c r="NN227" s="561">
        <v>0</v>
      </c>
      <c r="NO227" s="561">
        <v>0</v>
      </c>
      <c r="NP227" s="561">
        <v>0</v>
      </c>
      <c r="NQ227" s="561">
        <v>0</v>
      </c>
      <c r="NR227" s="561">
        <v>38</v>
      </c>
      <c r="NS227" s="561">
        <v>0</v>
      </c>
      <c r="NT227" s="561">
        <v>-532</v>
      </c>
      <c r="NU227" s="561">
        <v>0</v>
      </c>
      <c r="NV227" s="561">
        <v>9</v>
      </c>
      <c r="NW227" s="561">
        <v>-2757</v>
      </c>
      <c r="NX227" s="561">
        <v>0</v>
      </c>
      <c r="NY227" s="561">
        <v>-2757</v>
      </c>
      <c r="NZ227" s="561">
        <v>0</v>
      </c>
      <c r="OA227" s="561">
        <v>0</v>
      </c>
      <c r="OB227" s="561">
        <v>0</v>
      </c>
      <c r="OC227" s="561">
        <v>0</v>
      </c>
      <c r="OD227" s="561">
        <v>0</v>
      </c>
      <c r="OE227" s="561">
        <v>0</v>
      </c>
      <c r="OF227" s="561">
        <v>0</v>
      </c>
      <c r="OG227" s="561">
        <v>0</v>
      </c>
      <c r="OH227" s="561">
        <v>0</v>
      </c>
      <c r="OI227" s="561">
        <v>0</v>
      </c>
      <c r="OJ227" s="561">
        <v>73</v>
      </c>
      <c r="OK227" s="561">
        <v>0</v>
      </c>
      <c r="OL227" s="561">
        <v>0</v>
      </c>
      <c r="OM227" s="561">
        <v>0</v>
      </c>
      <c r="ON227" s="561">
        <v>0</v>
      </c>
      <c r="OO227" s="561">
        <v>0</v>
      </c>
      <c r="OP227" s="561">
        <v>487</v>
      </c>
      <c r="OQ227" s="561">
        <v>0</v>
      </c>
      <c r="OR227" s="561">
        <v>0</v>
      </c>
      <c r="OS227" s="561">
        <v>0</v>
      </c>
      <c r="OT227" s="561">
        <v>0</v>
      </c>
      <c r="OU227" s="561">
        <v>0</v>
      </c>
      <c r="OV227" s="561">
        <v>0</v>
      </c>
      <c r="OW227" s="561">
        <v>0</v>
      </c>
      <c r="OX227" s="561">
        <v>1303</v>
      </c>
      <c r="OY227" s="561">
        <v>0</v>
      </c>
      <c r="OZ227" s="561">
        <v>0</v>
      </c>
      <c r="PA227" s="561">
        <v>0</v>
      </c>
      <c r="PB227" s="561">
        <v>0</v>
      </c>
      <c r="PC227" s="561">
        <v>0</v>
      </c>
      <c r="PD227" s="561">
        <v>0</v>
      </c>
      <c r="PE227" s="561">
        <v>0</v>
      </c>
      <c r="PF227" s="561">
        <v>0</v>
      </c>
      <c r="PG227" s="561">
        <v>0</v>
      </c>
      <c r="PH227" s="561">
        <v>0</v>
      </c>
      <c r="PI227" s="561">
        <v>0</v>
      </c>
      <c r="PJ227" s="561">
        <v>0</v>
      </c>
    </row>
    <row r="228" spans="1:426" ht="14" x14ac:dyDescent="0.3">
      <c r="A228" t="s">
        <v>3127</v>
      </c>
      <c r="B228" t="s">
        <v>3128</v>
      </c>
      <c r="C228" t="s">
        <v>4632</v>
      </c>
      <c r="E228" t="s">
        <v>385</v>
      </c>
      <c r="F228" s="561">
        <v>37671</v>
      </c>
      <c r="G228" s="561">
        <v>95277</v>
      </c>
      <c r="H228" s="561">
        <v>29489</v>
      </c>
      <c r="I228" s="561">
        <v>39919</v>
      </c>
      <c r="J228" s="561">
        <v>3304</v>
      </c>
      <c r="K228" s="561">
        <v>20933</v>
      </c>
      <c r="L228" s="561">
        <v>226593</v>
      </c>
      <c r="M228" s="561">
        <v>2482</v>
      </c>
      <c r="N228" s="561">
        <v>0</v>
      </c>
      <c r="O228" s="561">
        <v>219</v>
      </c>
      <c r="P228" s="561">
        <v>698</v>
      </c>
      <c r="Q228" s="561">
        <v>0</v>
      </c>
      <c r="R228" s="561">
        <v>478</v>
      </c>
      <c r="S228" s="561">
        <v>609</v>
      </c>
      <c r="T228" s="561">
        <v>0</v>
      </c>
      <c r="U228" s="561">
        <v>882</v>
      </c>
      <c r="V228" s="561">
        <v>4378</v>
      </c>
      <c r="W228" s="561">
        <v>0</v>
      </c>
      <c r="X228" s="561">
        <v>0</v>
      </c>
      <c r="Y228" s="561">
        <v>165</v>
      </c>
      <c r="Z228" s="561">
        <v>1886</v>
      </c>
      <c r="AA228" s="561">
        <v>-10446</v>
      </c>
      <c r="AB228" s="561">
        <v>570</v>
      </c>
      <c r="AC228" s="561">
        <v>3897</v>
      </c>
      <c r="AD228" s="561">
        <v>0</v>
      </c>
      <c r="AE228" s="561">
        <v>343</v>
      </c>
      <c r="AF228" s="561">
        <v>0</v>
      </c>
      <c r="AG228" s="561">
        <v>0</v>
      </c>
      <c r="AH228" s="561">
        <v>3897</v>
      </c>
      <c r="AI228" s="561">
        <v>0</v>
      </c>
      <c r="AJ228" s="561">
        <v>7576</v>
      </c>
      <c r="AK228" s="561">
        <v>951</v>
      </c>
      <c r="AL228" s="561">
        <v>0</v>
      </c>
      <c r="AM228" s="561">
        <v>0</v>
      </c>
      <c r="AN228" s="561">
        <v>0</v>
      </c>
      <c r="AO228" s="561">
        <v>0</v>
      </c>
      <c r="AP228" s="561">
        <v>0</v>
      </c>
      <c r="AQ228" s="561">
        <v>0</v>
      </c>
      <c r="AR228" s="561">
        <v>0</v>
      </c>
      <c r="AS228" s="561">
        <v>1818</v>
      </c>
      <c r="AT228" s="561">
        <v>11156</v>
      </c>
      <c r="AU228" s="561">
        <v>0</v>
      </c>
      <c r="AV228" s="561">
        <v>0</v>
      </c>
      <c r="AW228" s="561">
        <v>0</v>
      </c>
      <c r="AX228" s="561">
        <v>628</v>
      </c>
      <c r="AY228" s="561">
        <v>48439</v>
      </c>
      <c r="AZ228" s="561">
        <v>1044</v>
      </c>
      <c r="BA228" s="561">
        <v>11496</v>
      </c>
      <c r="BB228" s="561">
        <v>1634</v>
      </c>
      <c r="BC228" s="561">
        <v>15933</v>
      </c>
      <c r="BD228" s="561">
        <v>0</v>
      </c>
      <c r="BE228" s="561">
        <v>1650</v>
      </c>
      <c r="BF228" s="561">
        <v>80824</v>
      </c>
      <c r="BG228" s="561">
        <v>2955</v>
      </c>
      <c r="BH228" s="561">
        <v>9175.42</v>
      </c>
      <c r="BI228" s="561">
        <v>26991.73</v>
      </c>
      <c r="BJ228" s="561">
        <v>314.38</v>
      </c>
      <c r="BK228" s="561">
        <v>491.34</v>
      </c>
      <c r="BL228" s="561">
        <v>293.58999999999997</v>
      </c>
      <c r="BM228" s="561">
        <v>5981.73</v>
      </c>
      <c r="BN228" s="561">
        <v>30620.62</v>
      </c>
      <c r="BO228" s="561">
        <v>2766.61</v>
      </c>
      <c r="BP228" s="561">
        <v>6236.86</v>
      </c>
      <c r="BQ228" s="561">
        <v>1611.76</v>
      </c>
      <c r="BR228" s="561">
        <v>0</v>
      </c>
      <c r="BS228" s="561">
        <v>0</v>
      </c>
      <c r="BT228" s="561">
        <v>995.96</v>
      </c>
      <c r="BU228" s="561">
        <v>1585.72</v>
      </c>
      <c r="BV228" s="561">
        <v>1051.33</v>
      </c>
      <c r="BW228" s="561">
        <v>16156.31</v>
      </c>
      <c r="BX228" s="561">
        <v>523.67999999999995</v>
      </c>
      <c r="BY228" s="561">
        <v>7242.37</v>
      </c>
      <c r="BZ228" s="561">
        <v>112039.41</v>
      </c>
      <c r="CA228" s="561">
        <v>1333</v>
      </c>
      <c r="CB228" s="561">
        <v>1690.5</v>
      </c>
      <c r="CC228" s="561">
        <v>934.09</v>
      </c>
      <c r="CD228" s="561">
        <v>142.01</v>
      </c>
      <c r="CE228" s="561">
        <v>234.44</v>
      </c>
      <c r="CF228" s="561">
        <v>103.1</v>
      </c>
      <c r="CG228" s="561">
        <v>2.46</v>
      </c>
      <c r="CH228" s="561">
        <v>59.95</v>
      </c>
      <c r="CI228" s="561">
        <v>138.33000000000001</v>
      </c>
      <c r="CJ228" s="561">
        <v>131.01</v>
      </c>
      <c r="CK228" s="561">
        <v>100</v>
      </c>
      <c r="CL228" s="561">
        <v>0</v>
      </c>
      <c r="CM228" s="561">
        <v>1140.73</v>
      </c>
      <c r="CN228" s="561">
        <v>739.11</v>
      </c>
      <c r="CO228" s="561">
        <v>201.28</v>
      </c>
      <c r="CP228" s="561">
        <v>100.64</v>
      </c>
      <c r="CQ228" s="561">
        <v>286.19</v>
      </c>
      <c r="CR228" s="561">
        <v>757.43</v>
      </c>
      <c r="CS228" s="561">
        <v>30</v>
      </c>
      <c r="CT228" s="561">
        <v>869.09</v>
      </c>
      <c r="CU228" s="561">
        <v>4686.2</v>
      </c>
      <c r="CV228" s="561">
        <v>129.88999999999999</v>
      </c>
      <c r="CW228" s="561">
        <v>134.35</v>
      </c>
      <c r="CX228" s="561">
        <v>91.92</v>
      </c>
      <c r="CY228" s="561">
        <v>1257.7</v>
      </c>
      <c r="CZ228" s="561">
        <v>13960.42</v>
      </c>
      <c r="DA228" s="561">
        <v>0</v>
      </c>
      <c r="DB228" s="561">
        <v>320</v>
      </c>
      <c r="DC228" s="561">
        <v>17</v>
      </c>
      <c r="DD228" s="561">
        <v>218</v>
      </c>
      <c r="DE228" s="561">
        <v>0</v>
      </c>
      <c r="DF228" s="561">
        <v>0</v>
      </c>
      <c r="DG228" s="561">
        <v>0</v>
      </c>
      <c r="DH228" s="561">
        <v>64</v>
      </c>
      <c r="DI228" s="561">
        <v>0</v>
      </c>
      <c r="DJ228" s="561">
        <v>0</v>
      </c>
      <c r="DK228" s="561">
        <v>-349</v>
      </c>
      <c r="DL228" s="561">
        <v>14832</v>
      </c>
      <c r="DM228" s="561">
        <v>866</v>
      </c>
      <c r="DN228" s="561">
        <v>93</v>
      </c>
      <c r="DO228" s="561">
        <v>297</v>
      </c>
      <c r="DP228" s="561">
        <v>0</v>
      </c>
      <c r="DQ228" s="561">
        <v>-5871</v>
      </c>
      <c r="DR228" s="561">
        <v>1254</v>
      </c>
      <c r="DS228" s="561">
        <v>5550</v>
      </c>
      <c r="DT228" s="561">
        <v>0</v>
      </c>
      <c r="DU228" s="561">
        <v>17021</v>
      </c>
      <c r="DV228" s="561">
        <v>0</v>
      </c>
      <c r="DW228" s="561">
        <v>0</v>
      </c>
      <c r="DX228" s="561">
        <v>582</v>
      </c>
      <c r="DY228" s="561">
        <v>1099</v>
      </c>
      <c r="DZ228" s="561">
        <v>-440</v>
      </c>
      <c r="EA228" s="561">
        <v>1150</v>
      </c>
      <c r="EB228" s="561">
        <v>0</v>
      </c>
      <c r="EC228" s="561">
        <v>19127</v>
      </c>
      <c r="ED228" s="561">
        <v>164</v>
      </c>
      <c r="EE228" s="561">
        <v>64562</v>
      </c>
      <c r="EF228" s="561">
        <v>132</v>
      </c>
      <c r="EG228" s="561">
        <v>10069</v>
      </c>
      <c r="EH228" s="561">
        <v>19225</v>
      </c>
      <c r="EI228" s="561">
        <v>0</v>
      </c>
      <c r="EJ228" s="561">
        <v>1930</v>
      </c>
      <c r="EK228" s="561">
        <v>0</v>
      </c>
      <c r="EL228" s="561">
        <v>0</v>
      </c>
      <c r="EM228" s="561">
        <v>0</v>
      </c>
      <c r="EN228" s="561">
        <v>18005</v>
      </c>
      <c r="EO228" s="561">
        <v>17042</v>
      </c>
      <c r="EP228" s="561">
        <v>0</v>
      </c>
      <c r="EQ228" s="561">
        <v>2818</v>
      </c>
      <c r="ER228" s="561">
        <v>9523</v>
      </c>
      <c r="ES228" s="561" t="s">
        <v>4565</v>
      </c>
      <c r="ET228" s="561">
        <v>0</v>
      </c>
      <c r="EU228" s="561">
        <v>28348</v>
      </c>
      <c r="EV228" s="561">
        <v>231</v>
      </c>
      <c r="EW228" s="561">
        <v>0</v>
      </c>
      <c r="EX228" s="561">
        <v>40821</v>
      </c>
      <c r="EY228" s="561">
        <v>232</v>
      </c>
      <c r="EZ228" s="561">
        <v>-21102</v>
      </c>
      <c r="FA228" s="561">
        <v>45578</v>
      </c>
      <c r="FB228" s="561">
        <v>0</v>
      </c>
      <c r="FC228" s="561">
        <v>531</v>
      </c>
      <c r="FD228" s="561">
        <v>143</v>
      </c>
      <c r="FE228" s="561">
        <v>491</v>
      </c>
      <c r="FF228" s="561">
        <v>0</v>
      </c>
      <c r="FG228" s="561">
        <v>-153</v>
      </c>
      <c r="FH228" s="561">
        <v>0</v>
      </c>
      <c r="FI228" s="561">
        <v>-98</v>
      </c>
      <c r="FJ228" s="561">
        <v>240</v>
      </c>
      <c r="FK228" s="561">
        <v>5884</v>
      </c>
      <c r="FL228" s="561">
        <v>1</v>
      </c>
      <c r="FM228" s="561">
        <v>0</v>
      </c>
      <c r="FN228" s="561">
        <v>1820</v>
      </c>
      <c r="FO228" s="561">
        <v>8859</v>
      </c>
      <c r="FP228" s="561">
        <v>1</v>
      </c>
      <c r="FQ228" s="561">
        <v>-1083</v>
      </c>
      <c r="FR228" s="561">
        <v>2469</v>
      </c>
      <c r="FS228" s="561">
        <v>0</v>
      </c>
      <c r="FT228" s="561">
        <v>-21</v>
      </c>
      <c r="FU228" s="561">
        <v>523</v>
      </c>
      <c r="FV228" s="561">
        <v>635</v>
      </c>
      <c r="FW228" s="561">
        <v>0</v>
      </c>
      <c r="FX228" s="561">
        <v>0</v>
      </c>
      <c r="FY228" s="561">
        <v>0</v>
      </c>
      <c r="FZ228" s="561">
        <v>0</v>
      </c>
      <c r="GA228" s="561">
        <v>0</v>
      </c>
      <c r="GB228" s="561">
        <v>50</v>
      </c>
      <c r="GC228" s="561">
        <v>-67</v>
      </c>
      <c r="GD228" s="561">
        <v>168</v>
      </c>
      <c r="GE228" s="561">
        <v>427</v>
      </c>
      <c r="GF228" s="561">
        <v>51</v>
      </c>
      <c r="GG228" s="561">
        <v>320</v>
      </c>
      <c r="GH228" s="561">
        <v>0</v>
      </c>
      <c r="GI228" s="561">
        <v>0</v>
      </c>
      <c r="GJ228" s="561">
        <v>0</v>
      </c>
      <c r="GK228" s="561">
        <v>0</v>
      </c>
      <c r="GL228" s="561">
        <v>5192</v>
      </c>
      <c r="GM228" s="561">
        <v>12892</v>
      </c>
      <c r="GN228" s="561">
        <v>7140</v>
      </c>
      <c r="GO228" s="561">
        <v>0</v>
      </c>
      <c r="GP228" s="561">
        <v>1490</v>
      </c>
      <c r="GQ228" s="561">
        <v>0</v>
      </c>
      <c r="GR228" s="561">
        <v>0</v>
      </c>
      <c r="GS228" s="561">
        <v>30186</v>
      </c>
      <c r="GT228" s="561">
        <v>0</v>
      </c>
      <c r="GU228" s="561">
        <v>313</v>
      </c>
      <c r="GV228" s="561">
        <v>648</v>
      </c>
      <c r="GW228" s="561">
        <v>411</v>
      </c>
      <c r="GX228" s="561">
        <v>2003</v>
      </c>
      <c r="GY228" s="561">
        <v>125</v>
      </c>
      <c r="GZ228" s="561">
        <v>1048</v>
      </c>
      <c r="HA228" s="561">
        <v>0</v>
      </c>
      <c r="HB228" s="561">
        <v>1639</v>
      </c>
      <c r="HC228" s="561">
        <v>457</v>
      </c>
      <c r="HD228" s="561">
        <v>6644</v>
      </c>
      <c r="HE228" s="561">
        <v>234</v>
      </c>
      <c r="HF228" s="561">
        <v>45689</v>
      </c>
      <c r="HG228" s="561">
        <v>235</v>
      </c>
      <c r="HH228" s="561">
        <v>0</v>
      </c>
      <c r="HI228" s="561">
        <v>0</v>
      </c>
      <c r="HJ228" s="561">
        <v>0</v>
      </c>
      <c r="HK228" s="561">
        <v>0</v>
      </c>
      <c r="HL228" s="561">
        <v>0</v>
      </c>
      <c r="HM228" s="561">
        <v>0</v>
      </c>
      <c r="HN228" s="561">
        <v>0</v>
      </c>
      <c r="HO228" s="561">
        <v>6879</v>
      </c>
      <c r="HP228" s="561">
        <v>2442</v>
      </c>
      <c r="HQ228" s="561">
        <v>0</v>
      </c>
      <c r="HR228" s="561">
        <v>0</v>
      </c>
      <c r="HS228" s="561">
        <v>1793</v>
      </c>
      <c r="HT228" s="561">
        <v>382</v>
      </c>
      <c r="HU228" s="561">
        <v>1</v>
      </c>
      <c r="HV228" s="561">
        <v>-253</v>
      </c>
      <c r="HW228" s="561">
        <v>146</v>
      </c>
      <c r="HX228" s="561">
        <v>1632</v>
      </c>
      <c r="HY228" s="561">
        <v>207</v>
      </c>
      <c r="HZ228" s="561">
        <v>-212</v>
      </c>
      <c r="IA228" s="561">
        <v>0</v>
      </c>
      <c r="IB228" s="561">
        <v>0</v>
      </c>
      <c r="IC228" s="561">
        <v>825</v>
      </c>
      <c r="ID228" s="561">
        <v>0</v>
      </c>
      <c r="IE228" s="561">
        <v>794</v>
      </c>
      <c r="IF228" s="561">
        <v>0</v>
      </c>
      <c r="IG228" s="561">
        <v>0</v>
      </c>
      <c r="IH228" s="561">
        <v>0</v>
      </c>
      <c r="II228" s="561">
        <v>14636</v>
      </c>
      <c r="IJ228" s="561">
        <v>0</v>
      </c>
      <c r="IK228" s="561">
        <v>0</v>
      </c>
      <c r="IL228" s="561">
        <v>31928</v>
      </c>
      <c r="IM228" s="561">
        <v>0</v>
      </c>
      <c r="IN228" s="561">
        <v>0</v>
      </c>
      <c r="IO228" s="561">
        <v>151</v>
      </c>
      <c r="IP228" s="561">
        <v>0</v>
      </c>
      <c r="IQ228" s="561">
        <v>1333</v>
      </c>
      <c r="IR228" s="561">
        <v>226593</v>
      </c>
      <c r="IS228" s="561">
        <v>7576</v>
      </c>
      <c r="IT228" s="561">
        <v>80824</v>
      </c>
      <c r="IU228" s="561">
        <v>112039.41</v>
      </c>
      <c r="IV228" s="561">
        <v>13960.42</v>
      </c>
      <c r="IW228" s="561">
        <v>19127</v>
      </c>
      <c r="IX228" s="561">
        <v>8859</v>
      </c>
      <c r="IY228" s="561">
        <v>30186</v>
      </c>
      <c r="IZ228" s="561">
        <v>6644</v>
      </c>
      <c r="JA228" s="561">
        <v>0</v>
      </c>
      <c r="JB228" s="561">
        <v>0</v>
      </c>
      <c r="JC228" s="561">
        <v>14636</v>
      </c>
      <c r="JD228" s="561">
        <v>0</v>
      </c>
      <c r="JE228" s="561">
        <v>520444.83</v>
      </c>
      <c r="JF228" s="561">
        <v>31228</v>
      </c>
      <c r="JG228" s="561">
        <v>5370</v>
      </c>
      <c r="JH228" s="561">
        <v>18919</v>
      </c>
      <c r="JI228" s="561">
        <v>0</v>
      </c>
      <c r="JJ228" s="561">
        <v>0</v>
      </c>
      <c r="JK228" s="561">
        <v>12212</v>
      </c>
      <c r="JL228" s="561">
        <v>0</v>
      </c>
      <c r="JM228" s="561">
        <v>0</v>
      </c>
      <c r="JN228" s="561">
        <v>0</v>
      </c>
      <c r="JO228" s="561">
        <v>875</v>
      </c>
      <c r="JP228" s="561">
        <v>-128</v>
      </c>
      <c r="JQ228" s="561">
        <v>2648</v>
      </c>
      <c r="JR228" s="561">
        <v>0</v>
      </c>
      <c r="JS228" s="561">
        <v>0</v>
      </c>
      <c r="JT228" s="561">
        <v>0</v>
      </c>
      <c r="JU228" s="561">
        <v>0</v>
      </c>
      <c r="JV228" s="561">
        <v>591568.82999999996</v>
      </c>
      <c r="JW228" s="561">
        <v>174</v>
      </c>
      <c r="JX228" s="561">
        <v>2565</v>
      </c>
      <c r="JY228" s="561">
        <v>0</v>
      </c>
      <c r="JZ228" s="561">
        <v>0</v>
      </c>
      <c r="KA228" s="561">
        <v>0</v>
      </c>
      <c r="KB228" s="561">
        <v>-151</v>
      </c>
      <c r="KC228" s="561">
        <v>12715</v>
      </c>
      <c r="KD228" s="561">
        <v>0</v>
      </c>
      <c r="KE228" s="561">
        <v>6263</v>
      </c>
      <c r="KF228" s="561">
        <v>0</v>
      </c>
      <c r="KG228" s="561">
        <v>613134.82999999996</v>
      </c>
      <c r="KH228" s="561">
        <v>-21791</v>
      </c>
      <c r="KI228" s="561">
        <v>0</v>
      </c>
      <c r="KJ228" s="561">
        <v>0</v>
      </c>
      <c r="KK228" s="561">
        <v>0</v>
      </c>
      <c r="KL228" s="561">
        <v>-61304</v>
      </c>
      <c r="KM228" s="561">
        <v>0</v>
      </c>
      <c r="KN228" s="561">
        <v>0</v>
      </c>
      <c r="KO228" s="561">
        <v>0</v>
      </c>
      <c r="KP228" s="561">
        <v>0</v>
      </c>
      <c r="KQ228" s="561">
        <v>0</v>
      </c>
      <c r="KR228" s="561">
        <v>530039.82999999996</v>
      </c>
      <c r="KS228" s="561">
        <v>0</v>
      </c>
      <c r="KT228" s="561">
        <v>-282244</v>
      </c>
      <c r="KU228" s="561">
        <v>247795.83</v>
      </c>
      <c r="KV228" s="561">
        <v>0</v>
      </c>
      <c r="KW228" s="561">
        <v>-259</v>
      </c>
      <c r="KX228" s="561">
        <v>0</v>
      </c>
      <c r="KY228" s="561">
        <v>-45</v>
      </c>
      <c r="KZ228" s="561">
        <v>19216</v>
      </c>
      <c r="LA228" s="561">
        <v>0</v>
      </c>
      <c r="LB228" s="561">
        <v>-7177</v>
      </c>
      <c r="LC228" s="561">
        <v>0</v>
      </c>
      <c r="LD228" s="561">
        <v>-84738</v>
      </c>
      <c r="LE228" s="561">
        <v>0</v>
      </c>
      <c r="LF228" s="561">
        <v>325</v>
      </c>
      <c r="LG228" s="561">
        <v>175118</v>
      </c>
      <c r="LH228" s="561">
        <v>11679</v>
      </c>
      <c r="LI228" s="561">
        <v>0</v>
      </c>
      <c r="LJ228" s="561">
        <v>0</v>
      </c>
      <c r="LK228" s="561">
        <v>2460</v>
      </c>
      <c r="LL228" s="561">
        <v>155069</v>
      </c>
      <c r="LM228" s="561">
        <v>34583</v>
      </c>
      <c r="LN228" s="561">
        <v>11420</v>
      </c>
      <c r="LO228" s="561">
        <v>0</v>
      </c>
      <c r="LP228" s="561">
        <v>0</v>
      </c>
      <c r="LQ228" s="561">
        <v>2415</v>
      </c>
      <c r="LR228" s="561">
        <v>174285</v>
      </c>
      <c r="LS228" s="561">
        <v>34583</v>
      </c>
      <c r="LT228" s="561">
        <v>0</v>
      </c>
      <c r="LU228" s="561">
        <v>46508</v>
      </c>
      <c r="LV228" s="561">
        <v>7633</v>
      </c>
      <c r="LW228" s="561">
        <v>24890</v>
      </c>
      <c r="LX228" s="561">
        <v>-66540</v>
      </c>
      <c r="LY228" s="561">
        <v>21572</v>
      </c>
      <c r="LZ228" s="561">
        <v>42647</v>
      </c>
      <c r="MA228" s="561">
        <v>0</v>
      </c>
      <c r="MB228" s="561">
        <v>0</v>
      </c>
      <c r="MC228" s="561">
        <v>95918</v>
      </c>
      <c r="MD228" s="561">
        <v>117020</v>
      </c>
      <c r="ME228" s="561">
        <v>-21102</v>
      </c>
      <c r="MF228" s="561">
        <v>45578</v>
      </c>
      <c r="MG228" s="561">
        <v>24476</v>
      </c>
      <c r="MH228" s="561">
        <v>6521</v>
      </c>
      <c r="MI228" s="561">
        <v>10204</v>
      </c>
      <c r="MJ228" s="561">
        <v>16725</v>
      </c>
      <c r="MK228" s="561">
        <v>325</v>
      </c>
      <c r="ML228" s="561">
        <v>0</v>
      </c>
      <c r="MM228" s="561">
        <v>122077</v>
      </c>
      <c r="MN228" s="561">
        <v>39835</v>
      </c>
      <c r="MO228" s="561">
        <v>11652</v>
      </c>
      <c r="MP228" s="561">
        <v>721</v>
      </c>
      <c r="MQ228" s="561">
        <v>226593</v>
      </c>
      <c r="MR228" s="561">
        <v>7576</v>
      </c>
      <c r="MS228" s="561">
        <v>80824</v>
      </c>
      <c r="MT228" s="561">
        <v>112039.41</v>
      </c>
      <c r="MU228" s="561">
        <v>13960.42</v>
      </c>
      <c r="MV228" s="561">
        <v>19127</v>
      </c>
      <c r="MW228" s="561">
        <v>8859</v>
      </c>
      <c r="MX228" s="561">
        <v>30186</v>
      </c>
      <c r="MY228" s="561">
        <v>6644</v>
      </c>
      <c r="MZ228" s="561">
        <v>0</v>
      </c>
      <c r="NA228" s="561">
        <v>0</v>
      </c>
      <c r="NB228" s="561">
        <v>14636</v>
      </c>
      <c r="NC228" s="561">
        <v>0</v>
      </c>
      <c r="ND228" s="561">
        <v>520444.83</v>
      </c>
      <c r="NE228" s="561">
        <v>0</v>
      </c>
      <c r="NF228" s="561">
        <v>0</v>
      </c>
      <c r="NG228" s="561">
        <v>0</v>
      </c>
      <c r="NH228" s="561">
        <v>0</v>
      </c>
      <c r="NI228" s="561">
        <v>0</v>
      </c>
      <c r="NJ228" s="561">
        <v>0</v>
      </c>
      <c r="NK228" s="561">
        <v>0</v>
      </c>
      <c r="NL228" s="561">
        <v>0</v>
      </c>
      <c r="NM228" s="561">
        <v>0</v>
      </c>
      <c r="NN228" s="561">
        <v>124</v>
      </c>
      <c r="NO228" s="561">
        <v>0</v>
      </c>
      <c r="NP228" s="561">
        <v>0</v>
      </c>
      <c r="NQ228" s="561">
        <v>0</v>
      </c>
      <c r="NR228" s="561">
        <v>0</v>
      </c>
      <c r="NS228" s="561">
        <v>0</v>
      </c>
      <c r="NT228" s="561">
        <v>0</v>
      </c>
      <c r="NU228" s="561">
        <v>-2469</v>
      </c>
      <c r="NV228" s="561">
        <v>-449</v>
      </c>
      <c r="NW228" s="561">
        <v>-128</v>
      </c>
      <c r="NX228" s="561">
        <v>0</v>
      </c>
      <c r="NY228" s="561">
        <v>-128</v>
      </c>
      <c r="NZ228" s="561">
        <v>0</v>
      </c>
      <c r="OA228" s="561">
        <v>0</v>
      </c>
      <c r="OB228" s="561">
        <v>0</v>
      </c>
      <c r="OC228" s="561">
        <v>0</v>
      </c>
      <c r="OD228" s="561">
        <v>0</v>
      </c>
      <c r="OE228" s="561">
        <v>0</v>
      </c>
      <c r="OF228" s="561">
        <v>0</v>
      </c>
      <c r="OG228" s="561">
        <v>0</v>
      </c>
      <c r="OH228" s="561">
        <v>0</v>
      </c>
      <c r="OI228" s="561">
        <v>1189</v>
      </c>
      <c r="OJ228" s="561">
        <v>0</v>
      </c>
      <c r="OK228" s="561">
        <v>263</v>
      </c>
      <c r="OL228" s="561">
        <v>0</v>
      </c>
      <c r="OM228" s="561">
        <v>0</v>
      </c>
      <c r="ON228" s="561">
        <v>689</v>
      </c>
      <c r="OO228" s="561">
        <v>0</v>
      </c>
      <c r="OP228" s="561">
        <v>141</v>
      </c>
      <c r="OQ228" s="561">
        <v>0</v>
      </c>
      <c r="OR228" s="561">
        <v>340</v>
      </c>
      <c r="OS228" s="561">
        <v>9</v>
      </c>
      <c r="OT228" s="561">
        <v>0</v>
      </c>
      <c r="OU228" s="561">
        <v>17</v>
      </c>
      <c r="OV228" s="561">
        <v>1323</v>
      </c>
      <c r="OW228" s="561">
        <v>0</v>
      </c>
      <c r="OX228" s="561">
        <v>2648</v>
      </c>
      <c r="OY228" s="561">
        <v>0</v>
      </c>
      <c r="OZ228" s="561">
        <v>0</v>
      </c>
      <c r="PA228" s="561">
        <v>0</v>
      </c>
      <c r="PB228" s="561">
        <v>0</v>
      </c>
      <c r="PC228" s="561">
        <v>0</v>
      </c>
      <c r="PD228" s="561">
        <v>0</v>
      </c>
      <c r="PE228" s="561">
        <v>0</v>
      </c>
      <c r="PF228" s="561">
        <v>0</v>
      </c>
      <c r="PG228" s="561">
        <v>0</v>
      </c>
      <c r="PH228" s="561">
        <v>0</v>
      </c>
      <c r="PI228" s="561">
        <v>0</v>
      </c>
      <c r="PJ228" s="561">
        <v>0</v>
      </c>
    </row>
    <row r="229" spans="1:426" ht="14" x14ac:dyDescent="0.3">
      <c r="A229" t="s">
        <v>3130</v>
      </c>
      <c r="B229" t="s">
        <v>3131</v>
      </c>
      <c r="C229" t="s">
        <v>3132</v>
      </c>
      <c r="E229" t="s">
        <v>384</v>
      </c>
      <c r="F229" s="561">
        <v>0</v>
      </c>
      <c r="G229" s="561">
        <v>0</v>
      </c>
      <c r="H229" s="561">
        <v>0</v>
      </c>
      <c r="I229" s="561">
        <v>0</v>
      </c>
      <c r="J229" s="561">
        <v>0</v>
      </c>
      <c r="K229" s="561">
        <v>0</v>
      </c>
      <c r="L229" s="561">
        <v>0</v>
      </c>
      <c r="M229" s="561">
        <v>0</v>
      </c>
      <c r="N229" s="561">
        <v>0</v>
      </c>
      <c r="O229" s="561">
        <v>0</v>
      </c>
      <c r="P229" s="561">
        <v>0</v>
      </c>
      <c r="Q229" s="561">
        <v>0</v>
      </c>
      <c r="R229" s="561">
        <v>0</v>
      </c>
      <c r="S229" s="561">
        <v>0</v>
      </c>
      <c r="T229" s="561">
        <v>0</v>
      </c>
      <c r="U229" s="561">
        <v>0</v>
      </c>
      <c r="V229" s="561">
        <v>13</v>
      </c>
      <c r="W229" s="561">
        <v>0</v>
      </c>
      <c r="X229" s="561">
        <v>0</v>
      </c>
      <c r="Y229" s="561">
        <v>0</v>
      </c>
      <c r="Z229" s="561">
        <v>0</v>
      </c>
      <c r="AA229" s="561">
        <v>-50</v>
      </c>
      <c r="AB229" s="561">
        <v>-1602</v>
      </c>
      <c r="AC229" s="561">
        <v>0</v>
      </c>
      <c r="AD229" s="561">
        <v>0</v>
      </c>
      <c r="AE229" s="561">
        <v>0</v>
      </c>
      <c r="AF229" s="561">
        <v>0</v>
      </c>
      <c r="AG229" s="561">
        <v>0</v>
      </c>
      <c r="AH229" s="561">
        <v>2</v>
      </c>
      <c r="AI229" s="561">
        <v>0</v>
      </c>
      <c r="AJ229" s="561">
        <v>-1637</v>
      </c>
      <c r="AK229" s="561">
        <v>0</v>
      </c>
      <c r="AL229" s="561">
        <v>0</v>
      </c>
      <c r="AM229" s="561">
        <v>0</v>
      </c>
      <c r="AN229" s="561">
        <v>0</v>
      </c>
      <c r="AO229" s="561">
        <v>0</v>
      </c>
      <c r="AP229" s="561">
        <v>0</v>
      </c>
      <c r="AQ229" s="561">
        <v>0</v>
      </c>
      <c r="AR229" s="561">
        <v>0</v>
      </c>
      <c r="AS229" s="561">
        <v>50</v>
      </c>
      <c r="AT229" s="561">
        <v>0</v>
      </c>
      <c r="AU229" s="561">
        <v>0</v>
      </c>
      <c r="AV229" s="561">
        <v>0</v>
      </c>
      <c r="AW229" s="561">
        <v>0</v>
      </c>
      <c r="AX229" s="561">
        <v>0</v>
      </c>
      <c r="AY229" s="561">
        <v>0</v>
      </c>
      <c r="AZ229" s="561">
        <v>0</v>
      </c>
      <c r="BA229" s="561">
        <v>0</v>
      </c>
      <c r="BB229" s="561">
        <v>0</v>
      </c>
      <c r="BC229" s="561">
        <v>0</v>
      </c>
      <c r="BD229" s="561">
        <v>0</v>
      </c>
      <c r="BE229" s="561">
        <v>0</v>
      </c>
      <c r="BF229" s="561">
        <v>0</v>
      </c>
      <c r="BG229" s="561">
        <v>0</v>
      </c>
      <c r="BH229" s="561">
        <v>0</v>
      </c>
      <c r="BI229" s="561">
        <v>0</v>
      </c>
      <c r="BJ229" s="561">
        <v>0</v>
      </c>
      <c r="BK229" s="561">
        <v>0</v>
      </c>
      <c r="BL229" s="561">
        <v>0</v>
      </c>
      <c r="BM229" s="561">
        <v>0</v>
      </c>
      <c r="BN229" s="561">
        <v>0</v>
      </c>
      <c r="BO229" s="561">
        <v>0</v>
      </c>
      <c r="BP229" s="561">
        <v>0</v>
      </c>
      <c r="BQ229" s="561">
        <v>0</v>
      </c>
      <c r="BR229" s="561">
        <v>0</v>
      </c>
      <c r="BS229" s="561">
        <v>681</v>
      </c>
      <c r="BT229" s="561">
        <v>1456</v>
      </c>
      <c r="BU229" s="561">
        <v>0</v>
      </c>
      <c r="BV229" s="561">
        <v>-308</v>
      </c>
      <c r="BW229" s="561">
        <v>0</v>
      </c>
      <c r="BX229" s="561">
        <v>0</v>
      </c>
      <c r="BY229" s="561">
        <v>0</v>
      </c>
      <c r="BZ229" s="561">
        <v>1829</v>
      </c>
      <c r="CA229" s="561">
        <v>0</v>
      </c>
      <c r="CB229" s="561">
        <v>0</v>
      </c>
      <c r="CC229" s="561">
        <v>0</v>
      </c>
      <c r="CD229" s="561">
        <v>0</v>
      </c>
      <c r="CE229" s="561">
        <v>0</v>
      </c>
      <c r="CF229" s="561">
        <v>0</v>
      </c>
      <c r="CG229" s="561">
        <v>0</v>
      </c>
      <c r="CH229" s="561">
        <v>0</v>
      </c>
      <c r="CI229" s="561">
        <v>0</v>
      </c>
      <c r="CJ229" s="561">
        <v>0</v>
      </c>
      <c r="CK229" s="561">
        <v>0</v>
      </c>
      <c r="CL229" s="561">
        <v>0</v>
      </c>
      <c r="CM229" s="561">
        <v>0</v>
      </c>
      <c r="CN229" s="561">
        <v>0</v>
      </c>
      <c r="CO229" s="561">
        <v>0</v>
      </c>
      <c r="CP229" s="561">
        <v>0</v>
      </c>
      <c r="CQ229" s="561">
        <v>0</v>
      </c>
      <c r="CR229" s="561">
        <v>0</v>
      </c>
      <c r="CS229" s="561">
        <v>0</v>
      </c>
      <c r="CT229" s="561">
        <v>0</v>
      </c>
      <c r="CU229" s="561">
        <v>0</v>
      </c>
      <c r="CV229" s="561">
        <v>0</v>
      </c>
      <c r="CW229" s="561">
        <v>0</v>
      </c>
      <c r="CX229" s="561">
        <v>0</v>
      </c>
      <c r="CY229" s="561">
        <v>0</v>
      </c>
      <c r="CZ229" s="561">
        <v>0</v>
      </c>
      <c r="DA229" s="561">
        <v>0</v>
      </c>
      <c r="DB229" s="561">
        <v>0</v>
      </c>
      <c r="DC229" s="561">
        <v>0</v>
      </c>
      <c r="DD229" s="561">
        <v>0</v>
      </c>
      <c r="DE229" s="561">
        <v>0</v>
      </c>
      <c r="DF229" s="561">
        <v>0</v>
      </c>
      <c r="DG229" s="561">
        <v>0</v>
      </c>
      <c r="DH229" s="561">
        <v>825</v>
      </c>
      <c r="DI229" s="561">
        <v>0</v>
      </c>
      <c r="DJ229" s="561">
        <v>120</v>
      </c>
      <c r="DK229" s="561">
        <v>0</v>
      </c>
      <c r="DL229" s="561">
        <v>334</v>
      </c>
      <c r="DM229" s="561">
        <v>0</v>
      </c>
      <c r="DN229" s="561">
        <v>0</v>
      </c>
      <c r="DO229" s="561">
        <v>37</v>
      </c>
      <c r="DP229" s="561">
        <v>74</v>
      </c>
      <c r="DQ229" s="561">
        <v>-291</v>
      </c>
      <c r="DR229" s="561">
        <v>0</v>
      </c>
      <c r="DS229" s="561">
        <v>444</v>
      </c>
      <c r="DT229" s="561">
        <v>0</v>
      </c>
      <c r="DU229" s="561">
        <v>598</v>
      </c>
      <c r="DV229" s="561">
        <v>0</v>
      </c>
      <c r="DW229" s="561">
        <v>-70</v>
      </c>
      <c r="DX229" s="561">
        <v>0</v>
      </c>
      <c r="DY229" s="561">
        <v>1046</v>
      </c>
      <c r="DZ229" s="561">
        <v>0</v>
      </c>
      <c r="EA229" s="561">
        <v>0</v>
      </c>
      <c r="EB229" s="561">
        <v>0</v>
      </c>
      <c r="EC229" s="561">
        <v>2519</v>
      </c>
      <c r="ED229" s="561">
        <v>177</v>
      </c>
      <c r="EE229" s="561">
        <v>0</v>
      </c>
      <c r="EF229" s="561">
        <v>0</v>
      </c>
      <c r="EG229" s="561">
        <v>0</v>
      </c>
      <c r="EH229" s="561">
        <v>0</v>
      </c>
      <c r="EI229" s="561">
        <v>0</v>
      </c>
      <c r="EJ229" s="561">
        <v>0</v>
      </c>
      <c r="EK229" s="561">
        <v>0</v>
      </c>
      <c r="EL229" s="561">
        <v>0</v>
      </c>
      <c r="EM229" s="561">
        <v>0</v>
      </c>
      <c r="EN229" s="561">
        <v>0</v>
      </c>
      <c r="EO229" s="561">
        <v>0</v>
      </c>
      <c r="EP229" s="561">
        <v>0</v>
      </c>
      <c r="EQ229" s="561">
        <v>0</v>
      </c>
      <c r="ER229" s="561">
        <v>0</v>
      </c>
      <c r="ES229" s="561" t="s">
        <v>4565</v>
      </c>
      <c r="ET229" s="561">
        <v>0</v>
      </c>
      <c r="EU229" s="561">
        <v>0</v>
      </c>
      <c r="EV229" s="561">
        <v>0</v>
      </c>
      <c r="EW229" s="561">
        <v>0</v>
      </c>
      <c r="EX229" s="561">
        <v>0</v>
      </c>
      <c r="EY229" s="561">
        <v>0</v>
      </c>
      <c r="EZ229" s="561">
        <v>0</v>
      </c>
      <c r="FA229" s="561">
        <v>0</v>
      </c>
      <c r="FB229" s="561">
        <v>0</v>
      </c>
      <c r="FC229" s="561">
        <v>13</v>
      </c>
      <c r="FD229" s="561">
        <v>6</v>
      </c>
      <c r="FE229" s="561">
        <v>0</v>
      </c>
      <c r="FF229" s="561">
        <v>862</v>
      </c>
      <c r="FG229" s="561">
        <v>0</v>
      </c>
      <c r="FH229" s="561">
        <v>0</v>
      </c>
      <c r="FI229" s="561">
        <v>468</v>
      </c>
      <c r="FJ229" s="561">
        <v>-765</v>
      </c>
      <c r="FK229" s="561">
        <v>1060</v>
      </c>
      <c r="FL229" s="561">
        <v>-26</v>
      </c>
      <c r="FM229" s="561">
        <v>0</v>
      </c>
      <c r="FN229" s="561">
        <v>0</v>
      </c>
      <c r="FO229" s="561">
        <v>1618</v>
      </c>
      <c r="FP229" s="561">
        <v>0</v>
      </c>
      <c r="FQ229" s="561">
        <v>-77</v>
      </c>
      <c r="FR229" s="561">
        <v>-153</v>
      </c>
      <c r="FS229" s="561">
        <v>0</v>
      </c>
      <c r="FT229" s="561">
        <v>334</v>
      </c>
      <c r="FU229" s="561">
        <v>703</v>
      </c>
      <c r="FV229" s="561">
        <v>0</v>
      </c>
      <c r="FW229" s="561">
        <v>0</v>
      </c>
      <c r="FX229" s="561">
        <v>0</v>
      </c>
      <c r="FY229" s="561">
        <v>0</v>
      </c>
      <c r="FZ229" s="561">
        <v>0</v>
      </c>
      <c r="GA229" s="561">
        <v>48</v>
      </c>
      <c r="GB229" s="561">
        <v>150</v>
      </c>
      <c r="GC229" s="561">
        <v>81</v>
      </c>
      <c r="GD229" s="561">
        <v>106</v>
      </c>
      <c r="GE229" s="561">
        <v>0</v>
      </c>
      <c r="GF229" s="561">
        <v>37</v>
      </c>
      <c r="GG229" s="561">
        <v>0</v>
      </c>
      <c r="GH229" s="561">
        <v>0</v>
      </c>
      <c r="GI229" s="561">
        <v>0</v>
      </c>
      <c r="GJ229" s="561">
        <v>0</v>
      </c>
      <c r="GK229" s="561">
        <v>0</v>
      </c>
      <c r="GL229" s="561">
        <v>99</v>
      </c>
      <c r="GM229" s="561">
        <v>3641</v>
      </c>
      <c r="GN229" s="561">
        <v>0</v>
      </c>
      <c r="GO229" s="561">
        <v>0</v>
      </c>
      <c r="GP229" s="561">
        <v>-120</v>
      </c>
      <c r="GQ229" s="561">
        <v>0</v>
      </c>
      <c r="GR229" s="561">
        <v>97</v>
      </c>
      <c r="GS229" s="561">
        <v>4946</v>
      </c>
      <c r="GT229" s="561">
        <v>15</v>
      </c>
      <c r="GU229" s="561">
        <v>-6</v>
      </c>
      <c r="GV229" s="561">
        <v>918</v>
      </c>
      <c r="GW229" s="561">
        <v>434</v>
      </c>
      <c r="GX229" s="561">
        <v>0</v>
      </c>
      <c r="GY229" s="561">
        <v>-41</v>
      </c>
      <c r="GZ229" s="561">
        <v>320</v>
      </c>
      <c r="HA229" s="561">
        <v>0</v>
      </c>
      <c r="HB229" s="561">
        <v>-1812</v>
      </c>
      <c r="HC229" s="561">
        <v>25</v>
      </c>
      <c r="HD229" s="561">
        <v>-162</v>
      </c>
      <c r="HE229" s="561">
        <v>6</v>
      </c>
      <c r="HF229" s="561">
        <v>6402</v>
      </c>
      <c r="HG229" s="561">
        <v>22</v>
      </c>
      <c r="HH229" s="561">
        <v>0</v>
      </c>
      <c r="HI229" s="561">
        <v>0</v>
      </c>
      <c r="HJ229" s="561">
        <v>0</v>
      </c>
      <c r="HK229" s="561">
        <v>0</v>
      </c>
      <c r="HL229" s="561">
        <v>0</v>
      </c>
      <c r="HM229" s="561">
        <v>0</v>
      </c>
      <c r="HN229" s="561">
        <v>0</v>
      </c>
      <c r="HO229" s="561">
        <v>3727</v>
      </c>
      <c r="HP229" s="561">
        <v>596</v>
      </c>
      <c r="HQ229" s="561">
        <v>0</v>
      </c>
      <c r="HR229" s="561">
        <v>0</v>
      </c>
      <c r="HS229" s="561">
        <v>0</v>
      </c>
      <c r="HT229" s="561">
        <v>-150</v>
      </c>
      <c r="HU229" s="561">
        <v>0</v>
      </c>
      <c r="HV229" s="561">
        <v>0</v>
      </c>
      <c r="HW229" s="561">
        <v>71</v>
      </c>
      <c r="HX229" s="561">
        <v>545</v>
      </c>
      <c r="HY229" s="561">
        <v>0</v>
      </c>
      <c r="HZ229" s="561">
        <v>24</v>
      </c>
      <c r="IA229" s="561">
        <v>0</v>
      </c>
      <c r="IB229" s="561">
        <v>808</v>
      </c>
      <c r="IC229" s="561">
        <v>0</v>
      </c>
      <c r="ID229" s="561">
        <v>0</v>
      </c>
      <c r="IE229" s="561">
        <v>16</v>
      </c>
      <c r="IF229" s="561">
        <v>0</v>
      </c>
      <c r="IG229" s="561">
        <v>0</v>
      </c>
      <c r="IH229" s="561">
        <v>333</v>
      </c>
      <c r="II229" s="561">
        <v>5970</v>
      </c>
      <c r="IJ229" s="561">
        <v>230</v>
      </c>
      <c r="IK229" s="561">
        <v>4126</v>
      </c>
      <c r="IL229" s="561">
        <v>0</v>
      </c>
      <c r="IM229" s="561">
        <v>0</v>
      </c>
      <c r="IN229" s="561">
        <v>0</v>
      </c>
      <c r="IO229" s="561">
        <v>0</v>
      </c>
      <c r="IP229" s="561">
        <v>0</v>
      </c>
      <c r="IQ229" s="561">
        <v>0</v>
      </c>
      <c r="IR229" s="561">
        <v>0</v>
      </c>
      <c r="IS229" s="561">
        <v>-1637</v>
      </c>
      <c r="IT229" s="561">
        <v>0</v>
      </c>
      <c r="IU229" s="561">
        <v>1829</v>
      </c>
      <c r="IV229" s="561">
        <v>0</v>
      </c>
      <c r="IW229" s="561">
        <v>2519</v>
      </c>
      <c r="IX229" s="561">
        <v>1618</v>
      </c>
      <c r="IY229" s="561">
        <v>4946</v>
      </c>
      <c r="IZ229" s="561">
        <v>-162</v>
      </c>
      <c r="JA229" s="561">
        <v>0</v>
      </c>
      <c r="JB229" s="561">
        <v>0</v>
      </c>
      <c r="JC229" s="561">
        <v>5970</v>
      </c>
      <c r="JD229" s="561">
        <v>0</v>
      </c>
      <c r="JE229" s="561">
        <v>15083</v>
      </c>
      <c r="JF229" s="561">
        <v>14464</v>
      </c>
      <c r="JG229" s="561">
        <v>0</v>
      </c>
      <c r="JH229" s="561">
        <v>0</v>
      </c>
      <c r="JI229" s="561">
        <v>0</v>
      </c>
      <c r="JJ229" s="561">
        <v>0</v>
      </c>
      <c r="JK229" s="561">
        <v>414</v>
      </c>
      <c r="JL229" s="561">
        <v>0</v>
      </c>
      <c r="JM229" s="561">
        <v>0</v>
      </c>
      <c r="JN229" s="561">
        <v>0</v>
      </c>
      <c r="JO229" s="561">
        <v>0</v>
      </c>
      <c r="JP229" s="561">
        <v>0</v>
      </c>
      <c r="JQ229" s="561">
        <v>0</v>
      </c>
      <c r="JR229" s="561">
        <v>0</v>
      </c>
      <c r="JS229" s="561">
        <v>0</v>
      </c>
      <c r="JT229" s="561">
        <v>0</v>
      </c>
      <c r="JU229" s="561">
        <v>0</v>
      </c>
      <c r="JV229" s="561">
        <v>29961</v>
      </c>
      <c r="JW229" s="561">
        <v>0</v>
      </c>
      <c r="JX229" s="561">
        <v>82</v>
      </c>
      <c r="JY229" s="561">
        <v>0</v>
      </c>
      <c r="JZ229" s="561">
        <v>0</v>
      </c>
      <c r="KA229" s="561">
        <v>0</v>
      </c>
      <c r="KB229" s="561">
        <v>883</v>
      </c>
      <c r="KC229" s="561">
        <v>2000</v>
      </c>
      <c r="KD229" s="561">
        <v>0</v>
      </c>
      <c r="KE229" s="561">
        <v>2278</v>
      </c>
      <c r="KF229" s="561">
        <v>0</v>
      </c>
      <c r="KG229" s="561">
        <v>35204</v>
      </c>
      <c r="KH229" s="561">
        <v>-19775</v>
      </c>
      <c r="KI229" s="561">
        <v>0</v>
      </c>
      <c r="KJ229" s="561">
        <v>12100</v>
      </c>
      <c r="KK229" s="561">
        <v>0</v>
      </c>
      <c r="KL229" s="561">
        <v>-14288</v>
      </c>
      <c r="KM229" s="561">
        <v>0</v>
      </c>
      <c r="KN229" s="561">
        <v>0</v>
      </c>
      <c r="KO229" s="561">
        <v>0</v>
      </c>
      <c r="KP229" s="561">
        <v>0</v>
      </c>
      <c r="KQ229" s="561">
        <v>0</v>
      </c>
      <c r="KR229" s="561">
        <v>13241</v>
      </c>
      <c r="KS229" s="561">
        <v>0</v>
      </c>
      <c r="KT229" s="561">
        <v>-3703</v>
      </c>
      <c r="KU229" s="561">
        <v>9538</v>
      </c>
      <c r="KV229" s="561">
        <v>0</v>
      </c>
      <c r="KW229" s="561">
        <v>0</v>
      </c>
      <c r="KX229" s="561">
        <v>0</v>
      </c>
      <c r="KY229" s="561">
        <v>0</v>
      </c>
      <c r="KZ229" s="561">
        <v>2786</v>
      </c>
      <c r="LA229" s="561">
        <v>-7</v>
      </c>
      <c r="LB229" s="561">
        <v>-115</v>
      </c>
      <c r="LC229" s="561">
        <v>0</v>
      </c>
      <c r="LD229" s="561">
        <v>-3128</v>
      </c>
      <c r="LE229" s="561">
        <v>-107</v>
      </c>
      <c r="LF229" s="561">
        <v>0</v>
      </c>
      <c r="LG229" s="561">
        <v>8967</v>
      </c>
      <c r="LH229" s="561">
        <v>0</v>
      </c>
      <c r="LI229" s="561">
        <v>0</v>
      </c>
      <c r="LJ229" s="561">
        <v>0</v>
      </c>
      <c r="LK229" s="561">
        <v>0</v>
      </c>
      <c r="LL229" s="561">
        <v>12288</v>
      </c>
      <c r="LM229" s="561">
        <v>1956</v>
      </c>
      <c r="LN229" s="561">
        <v>0</v>
      </c>
      <c r="LO229" s="561">
        <v>0</v>
      </c>
      <c r="LP229" s="561">
        <v>0</v>
      </c>
      <c r="LQ229" s="561">
        <v>0</v>
      </c>
      <c r="LR229" s="561">
        <v>15074</v>
      </c>
      <c r="LS229" s="561">
        <v>1949</v>
      </c>
      <c r="LT229" s="561">
        <v>0</v>
      </c>
      <c r="LU229" s="561">
        <v>3329</v>
      </c>
      <c r="LV229" s="561">
        <v>2863</v>
      </c>
      <c r="LW229" s="561">
        <v>-2376</v>
      </c>
      <c r="LX229" s="561">
        <v>-9726</v>
      </c>
      <c r="LY229" s="561">
        <v>4043</v>
      </c>
      <c r="LZ229" s="561">
        <v>1187</v>
      </c>
      <c r="MA229" s="561">
        <v>0</v>
      </c>
      <c r="MB229" s="561">
        <v>0</v>
      </c>
      <c r="MC229" s="561">
        <v>0</v>
      </c>
      <c r="MD229" s="561">
        <v>0</v>
      </c>
      <c r="ME229" s="561">
        <v>0</v>
      </c>
      <c r="MF229" s="561">
        <v>0</v>
      </c>
      <c r="MG229" s="561">
        <v>0</v>
      </c>
      <c r="MH229" s="561">
        <v>1968</v>
      </c>
      <c r="MI229" s="561">
        <v>2670</v>
      </c>
      <c r="MJ229" s="561">
        <v>4638</v>
      </c>
      <c r="MK229" s="561">
        <v>14</v>
      </c>
      <c r="ML229" s="561">
        <v>1736</v>
      </c>
      <c r="MM229" s="561">
        <v>5415</v>
      </c>
      <c r="MN229" s="561">
        <v>2400</v>
      </c>
      <c r="MO229" s="561">
        <v>0</v>
      </c>
      <c r="MP229" s="561">
        <v>5523</v>
      </c>
      <c r="MQ229" s="561">
        <v>0</v>
      </c>
      <c r="MR229" s="561">
        <v>-1637</v>
      </c>
      <c r="MS229" s="561">
        <v>0</v>
      </c>
      <c r="MT229" s="561">
        <v>1829</v>
      </c>
      <c r="MU229" s="561">
        <v>0</v>
      </c>
      <c r="MV229" s="561">
        <v>2519</v>
      </c>
      <c r="MW229" s="561">
        <v>1618</v>
      </c>
      <c r="MX229" s="561">
        <v>4946</v>
      </c>
      <c r="MY229" s="561">
        <v>-162</v>
      </c>
      <c r="MZ229" s="561">
        <v>0</v>
      </c>
      <c r="NA229" s="561">
        <v>0</v>
      </c>
      <c r="NB229" s="561">
        <v>5970</v>
      </c>
      <c r="NC229" s="561">
        <v>0</v>
      </c>
      <c r="ND229" s="561">
        <v>15083</v>
      </c>
      <c r="NE229" s="561">
        <v>0</v>
      </c>
      <c r="NF229" s="561">
        <v>0</v>
      </c>
      <c r="NG229" s="561">
        <v>0</v>
      </c>
      <c r="NH229" s="561">
        <v>0</v>
      </c>
      <c r="NI229" s="561">
        <v>0</v>
      </c>
      <c r="NJ229" s="561">
        <v>0</v>
      </c>
      <c r="NK229" s="561">
        <v>0</v>
      </c>
      <c r="NL229" s="561">
        <v>0</v>
      </c>
      <c r="NM229" s="561">
        <v>0</v>
      </c>
      <c r="NN229" s="561">
        <v>0</v>
      </c>
      <c r="NO229" s="561">
        <v>0</v>
      </c>
      <c r="NP229" s="561">
        <v>0</v>
      </c>
      <c r="NQ229" s="561">
        <v>0</v>
      </c>
      <c r="NR229" s="561">
        <v>0</v>
      </c>
      <c r="NS229" s="561">
        <v>0</v>
      </c>
      <c r="NT229" s="561">
        <v>0</v>
      </c>
      <c r="NU229" s="561">
        <v>-1359</v>
      </c>
      <c r="NV229" s="561">
        <v>0</v>
      </c>
      <c r="NW229" s="561">
        <v>0</v>
      </c>
      <c r="NX229" s="561">
        <v>0</v>
      </c>
      <c r="NY229" s="561">
        <v>0</v>
      </c>
      <c r="NZ229" s="561">
        <v>0</v>
      </c>
      <c r="OA229" s="561">
        <v>0</v>
      </c>
      <c r="OB229" s="561">
        <v>0</v>
      </c>
      <c r="OC229" s="561">
        <v>0</v>
      </c>
      <c r="OD229" s="561">
        <v>0</v>
      </c>
      <c r="OE229" s="561">
        <v>0</v>
      </c>
      <c r="OF229" s="561">
        <v>0</v>
      </c>
      <c r="OG229" s="561">
        <v>0</v>
      </c>
      <c r="OH229" s="561">
        <v>0</v>
      </c>
      <c r="OI229" s="561">
        <v>0</v>
      </c>
      <c r="OJ229" s="561">
        <v>0</v>
      </c>
      <c r="OK229" s="561">
        <v>0</v>
      </c>
      <c r="OL229" s="561">
        <v>0</v>
      </c>
      <c r="OM229" s="561">
        <v>0</v>
      </c>
      <c r="ON229" s="561">
        <v>0</v>
      </c>
      <c r="OO229" s="561">
        <v>0</v>
      </c>
      <c r="OP229" s="561">
        <v>0</v>
      </c>
      <c r="OQ229" s="561">
        <v>0</v>
      </c>
      <c r="OR229" s="561">
        <v>0</v>
      </c>
      <c r="OS229" s="561">
        <v>0</v>
      </c>
      <c r="OT229" s="561">
        <v>0</v>
      </c>
      <c r="OU229" s="561">
        <v>0</v>
      </c>
      <c r="OV229" s="561">
        <v>-96.925110000000004</v>
      </c>
      <c r="OW229" s="561">
        <v>0</v>
      </c>
      <c r="OX229" s="561">
        <v>0</v>
      </c>
      <c r="OY229" s="561">
        <v>0</v>
      </c>
      <c r="OZ229" s="561">
        <v>0</v>
      </c>
      <c r="PA229" s="561">
        <v>0</v>
      </c>
      <c r="PB229" s="561">
        <v>0</v>
      </c>
      <c r="PC229" s="561">
        <v>0</v>
      </c>
      <c r="PD229" s="561">
        <v>0</v>
      </c>
      <c r="PE229" s="561">
        <v>0</v>
      </c>
      <c r="PF229" s="561">
        <v>0</v>
      </c>
      <c r="PG229" s="561">
        <v>0</v>
      </c>
      <c r="PH229" s="561">
        <v>0</v>
      </c>
      <c r="PI229" s="561">
        <v>0</v>
      </c>
      <c r="PJ229" s="561">
        <v>0</v>
      </c>
    </row>
    <row r="230" spans="1:426" ht="14" x14ac:dyDescent="0.3">
      <c r="A230" t="s">
        <v>3133</v>
      </c>
      <c r="B230" t="s">
        <v>3134</v>
      </c>
      <c r="C230" t="s">
        <v>3135</v>
      </c>
      <c r="E230" t="s">
        <v>384</v>
      </c>
      <c r="F230" s="561">
        <v>0</v>
      </c>
      <c r="G230" s="561">
        <v>0</v>
      </c>
      <c r="H230" s="561">
        <v>0</v>
      </c>
      <c r="I230" s="561">
        <v>0</v>
      </c>
      <c r="J230" s="561">
        <v>0</v>
      </c>
      <c r="K230" s="561">
        <v>0</v>
      </c>
      <c r="L230" s="561">
        <v>0</v>
      </c>
      <c r="M230" s="561">
        <v>0</v>
      </c>
      <c r="N230" s="561">
        <v>74</v>
      </c>
      <c r="O230" s="561">
        <v>0</v>
      </c>
      <c r="P230" s="561">
        <v>0</v>
      </c>
      <c r="Q230" s="561">
        <v>0</v>
      </c>
      <c r="R230" s="561">
        <v>0</v>
      </c>
      <c r="S230" s="561">
        <v>0</v>
      </c>
      <c r="T230" s="561">
        <v>106</v>
      </c>
      <c r="U230" s="561">
        <v>0</v>
      </c>
      <c r="V230" s="561">
        <v>217</v>
      </c>
      <c r="W230" s="561">
        <v>0</v>
      </c>
      <c r="X230" s="561">
        <v>0</v>
      </c>
      <c r="Y230" s="561">
        <v>0</v>
      </c>
      <c r="Z230" s="561">
        <v>0</v>
      </c>
      <c r="AA230" s="561">
        <v>0</v>
      </c>
      <c r="AB230" s="561">
        <v>-2669</v>
      </c>
      <c r="AC230" s="561">
        <v>0</v>
      </c>
      <c r="AD230" s="561">
        <v>0</v>
      </c>
      <c r="AE230" s="561">
        <v>0</v>
      </c>
      <c r="AF230" s="561">
        <v>0</v>
      </c>
      <c r="AG230" s="561">
        <v>0</v>
      </c>
      <c r="AH230" s="561">
        <v>0</v>
      </c>
      <c r="AI230" s="561">
        <v>0</v>
      </c>
      <c r="AJ230" s="561">
        <v>-2272</v>
      </c>
      <c r="AK230" s="561">
        <v>0</v>
      </c>
      <c r="AL230" s="561">
        <v>0</v>
      </c>
      <c r="AM230" s="561">
        <v>0</v>
      </c>
      <c r="AN230" s="561">
        <v>0</v>
      </c>
      <c r="AO230" s="561">
        <v>0</v>
      </c>
      <c r="AP230" s="561">
        <v>0</v>
      </c>
      <c r="AQ230" s="561">
        <v>0</v>
      </c>
      <c r="AR230" s="561">
        <v>0</v>
      </c>
      <c r="AS230" s="561">
        <v>0</v>
      </c>
      <c r="AT230" s="561">
        <v>0</v>
      </c>
      <c r="AU230" s="561">
        <v>0</v>
      </c>
      <c r="AV230" s="561">
        <v>0</v>
      </c>
      <c r="AW230" s="561">
        <v>0</v>
      </c>
      <c r="AX230" s="561">
        <v>0</v>
      </c>
      <c r="AY230" s="561">
        <v>0</v>
      </c>
      <c r="AZ230" s="561">
        <v>0</v>
      </c>
      <c r="BA230" s="561">
        <v>0</v>
      </c>
      <c r="BB230" s="561">
        <v>0</v>
      </c>
      <c r="BC230" s="561">
        <v>0</v>
      </c>
      <c r="BD230" s="561">
        <v>0</v>
      </c>
      <c r="BE230" s="561">
        <v>0</v>
      </c>
      <c r="BF230" s="561">
        <v>0</v>
      </c>
      <c r="BG230" s="561">
        <v>0</v>
      </c>
      <c r="BH230" s="561">
        <v>0</v>
      </c>
      <c r="BI230" s="561">
        <v>0</v>
      </c>
      <c r="BJ230" s="561">
        <v>0</v>
      </c>
      <c r="BK230" s="561">
        <v>0</v>
      </c>
      <c r="BL230" s="561">
        <v>0</v>
      </c>
      <c r="BM230" s="561">
        <v>0</v>
      </c>
      <c r="BN230" s="561">
        <v>0</v>
      </c>
      <c r="BO230" s="561">
        <v>0</v>
      </c>
      <c r="BP230" s="561">
        <v>0</v>
      </c>
      <c r="BQ230" s="561">
        <v>0</v>
      </c>
      <c r="BR230" s="561">
        <v>0</v>
      </c>
      <c r="BS230" s="561">
        <v>0</v>
      </c>
      <c r="BT230" s="561">
        <v>0</v>
      </c>
      <c r="BU230" s="561">
        <v>0</v>
      </c>
      <c r="BV230" s="561">
        <v>39</v>
      </c>
      <c r="BW230" s="561">
        <v>0</v>
      </c>
      <c r="BX230" s="561">
        <v>0</v>
      </c>
      <c r="BY230" s="561">
        <v>0</v>
      </c>
      <c r="BZ230" s="561">
        <v>39</v>
      </c>
      <c r="CA230" s="561">
        <v>0</v>
      </c>
      <c r="CB230" s="561">
        <v>0</v>
      </c>
      <c r="CC230" s="561">
        <v>0</v>
      </c>
      <c r="CD230" s="561">
        <v>0</v>
      </c>
      <c r="CE230" s="561">
        <v>0</v>
      </c>
      <c r="CF230" s="561">
        <v>0</v>
      </c>
      <c r="CG230" s="561">
        <v>0</v>
      </c>
      <c r="CH230" s="561">
        <v>0</v>
      </c>
      <c r="CI230" s="561">
        <v>0</v>
      </c>
      <c r="CJ230" s="561">
        <v>0</v>
      </c>
      <c r="CK230" s="561">
        <v>0</v>
      </c>
      <c r="CL230" s="561">
        <v>0</v>
      </c>
      <c r="CM230" s="561">
        <v>0</v>
      </c>
      <c r="CN230" s="561">
        <v>0</v>
      </c>
      <c r="CO230" s="561">
        <v>0</v>
      </c>
      <c r="CP230" s="561">
        <v>0</v>
      </c>
      <c r="CQ230" s="561">
        <v>0</v>
      </c>
      <c r="CR230" s="561">
        <v>0</v>
      </c>
      <c r="CS230" s="561">
        <v>0</v>
      </c>
      <c r="CT230" s="561">
        <v>0</v>
      </c>
      <c r="CU230" s="561">
        <v>0</v>
      </c>
      <c r="CV230" s="561">
        <v>0</v>
      </c>
      <c r="CW230" s="561">
        <v>0</v>
      </c>
      <c r="CX230" s="561">
        <v>0</v>
      </c>
      <c r="CY230" s="561">
        <v>133</v>
      </c>
      <c r="CZ230" s="561">
        <v>133</v>
      </c>
      <c r="DA230" s="561">
        <v>0</v>
      </c>
      <c r="DB230" s="561">
        <v>0</v>
      </c>
      <c r="DC230" s="561">
        <v>0</v>
      </c>
      <c r="DD230" s="561">
        <v>0</v>
      </c>
      <c r="DE230" s="561">
        <v>0</v>
      </c>
      <c r="DF230" s="561">
        <v>0</v>
      </c>
      <c r="DG230" s="561">
        <v>0</v>
      </c>
      <c r="DH230" s="561">
        <v>290</v>
      </c>
      <c r="DI230" s="561">
        <v>0</v>
      </c>
      <c r="DJ230" s="561">
        <v>265</v>
      </c>
      <c r="DK230" s="561">
        <v>215</v>
      </c>
      <c r="DL230" s="561">
        <v>83</v>
      </c>
      <c r="DM230" s="561">
        <v>320</v>
      </c>
      <c r="DN230" s="561">
        <v>0</v>
      </c>
      <c r="DO230" s="561">
        <v>67</v>
      </c>
      <c r="DP230" s="561">
        <v>0</v>
      </c>
      <c r="DQ230" s="561">
        <v>0</v>
      </c>
      <c r="DR230" s="561">
        <v>393</v>
      </c>
      <c r="DS230" s="561">
        <v>676</v>
      </c>
      <c r="DT230" s="561">
        <v>384</v>
      </c>
      <c r="DU230" s="561">
        <v>1923</v>
      </c>
      <c r="DV230" s="561">
        <v>-5</v>
      </c>
      <c r="DW230" s="561">
        <v>0</v>
      </c>
      <c r="DX230" s="561">
        <v>25</v>
      </c>
      <c r="DY230" s="561">
        <v>515</v>
      </c>
      <c r="DZ230" s="561">
        <v>-125</v>
      </c>
      <c r="EA230" s="561">
        <v>0</v>
      </c>
      <c r="EB230" s="561">
        <v>0</v>
      </c>
      <c r="EC230" s="561">
        <v>3103</v>
      </c>
      <c r="ED230" s="561">
        <v>0</v>
      </c>
      <c r="EE230" s="561">
        <v>33760</v>
      </c>
      <c r="EF230" s="561">
        <v>733</v>
      </c>
      <c r="EG230" s="561">
        <v>1204</v>
      </c>
      <c r="EH230" s="561">
        <v>135</v>
      </c>
      <c r="EI230" s="561">
        <v>0</v>
      </c>
      <c r="EJ230" s="561">
        <v>576</v>
      </c>
      <c r="EK230" s="561">
        <v>326</v>
      </c>
      <c r="EL230" s="561">
        <v>0</v>
      </c>
      <c r="EM230" s="561">
        <v>-16</v>
      </c>
      <c r="EN230" s="561">
        <v>6809</v>
      </c>
      <c r="EO230" s="561">
        <v>6949</v>
      </c>
      <c r="EP230" s="561">
        <v>1725</v>
      </c>
      <c r="EQ230" s="561">
        <v>407</v>
      </c>
      <c r="ER230" s="561">
        <v>5019</v>
      </c>
      <c r="ES230" s="561" t="s">
        <v>4565</v>
      </c>
      <c r="ET230" s="561">
        <v>4549</v>
      </c>
      <c r="EU230" s="561">
        <v>949</v>
      </c>
      <c r="EV230" s="561">
        <v>15</v>
      </c>
      <c r="EW230" s="561">
        <v>0</v>
      </c>
      <c r="EX230" s="561">
        <v>9653</v>
      </c>
      <c r="EY230" s="561">
        <v>174</v>
      </c>
      <c r="EZ230" s="561">
        <v>469</v>
      </c>
      <c r="FA230" s="561">
        <v>6502</v>
      </c>
      <c r="FB230" s="561">
        <v>0</v>
      </c>
      <c r="FC230" s="561">
        <v>77</v>
      </c>
      <c r="FD230" s="561">
        <v>0</v>
      </c>
      <c r="FE230" s="561">
        <v>0</v>
      </c>
      <c r="FF230" s="561">
        <v>31</v>
      </c>
      <c r="FG230" s="561">
        <v>0</v>
      </c>
      <c r="FH230" s="561">
        <v>-306</v>
      </c>
      <c r="FI230" s="561">
        <v>325</v>
      </c>
      <c r="FJ230" s="561">
        <v>-9</v>
      </c>
      <c r="FK230" s="561">
        <v>703</v>
      </c>
      <c r="FL230" s="561">
        <v>0</v>
      </c>
      <c r="FM230" s="561">
        <v>0</v>
      </c>
      <c r="FN230" s="561">
        <v>0</v>
      </c>
      <c r="FO230" s="561">
        <v>821</v>
      </c>
      <c r="FP230" s="561">
        <v>0</v>
      </c>
      <c r="FQ230" s="561">
        <v>210</v>
      </c>
      <c r="FR230" s="561">
        <v>0</v>
      </c>
      <c r="FS230" s="561">
        <v>28</v>
      </c>
      <c r="FT230" s="561">
        <v>420</v>
      </c>
      <c r="FU230" s="561">
        <v>448</v>
      </c>
      <c r="FV230" s="561">
        <v>0</v>
      </c>
      <c r="FW230" s="561">
        <v>115</v>
      </c>
      <c r="FX230" s="561">
        <v>0</v>
      </c>
      <c r="FY230" s="561">
        <v>0</v>
      </c>
      <c r="FZ230" s="561">
        <v>58</v>
      </c>
      <c r="GA230" s="561">
        <v>601</v>
      </c>
      <c r="GB230" s="561">
        <v>142</v>
      </c>
      <c r="GC230" s="561">
        <v>184</v>
      </c>
      <c r="GD230" s="561">
        <v>0</v>
      </c>
      <c r="GE230" s="561">
        <v>0</v>
      </c>
      <c r="GF230" s="561">
        <v>419</v>
      </c>
      <c r="GG230" s="561">
        <v>0</v>
      </c>
      <c r="GH230" s="561">
        <v>40</v>
      </c>
      <c r="GI230" s="561">
        <v>0</v>
      </c>
      <c r="GJ230" s="561">
        <v>780</v>
      </c>
      <c r="GK230" s="561">
        <v>0</v>
      </c>
      <c r="GL230" s="561">
        <v>1959</v>
      </c>
      <c r="GM230" s="561">
        <v>4014</v>
      </c>
      <c r="GN230" s="561">
        <v>56</v>
      </c>
      <c r="GO230" s="561">
        <v>0</v>
      </c>
      <c r="GP230" s="561">
        <v>0</v>
      </c>
      <c r="GQ230" s="561">
        <v>1846</v>
      </c>
      <c r="GR230" s="561">
        <v>223</v>
      </c>
      <c r="GS230" s="561">
        <v>11543</v>
      </c>
      <c r="GT230" s="561">
        <v>0</v>
      </c>
      <c r="GU230" s="561">
        <v>226</v>
      </c>
      <c r="GV230" s="561">
        <v>1047</v>
      </c>
      <c r="GW230" s="561">
        <v>150</v>
      </c>
      <c r="GX230" s="561">
        <v>960</v>
      </c>
      <c r="GY230" s="561">
        <v>0</v>
      </c>
      <c r="GZ230" s="561">
        <v>69</v>
      </c>
      <c r="HA230" s="561">
        <v>0</v>
      </c>
      <c r="HB230" s="561">
        <v>127</v>
      </c>
      <c r="HC230" s="561">
        <v>575</v>
      </c>
      <c r="HD230" s="561">
        <v>3154</v>
      </c>
      <c r="HE230" s="561">
        <v>0</v>
      </c>
      <c r="HF230" s="561">
        <v>15518</v>
      </c>
      <c r="HG230" s="561">
        <v>0</v>
      </c>
      <c r="HH230" s="561">
        <v>0</v>
      </c>
      <c r="HI230" s="561">
        <v>0</v>
      </c>
      <c r="HJ230" s="561">
        <v>0</v>
      </c>
      <c r="HK230" s="561">
        <v>0</v>
      </c>
      <c r="HL230" s="561">
        <v>0</v>
      </c>
      <c r="HM230" s="561">
        <v>0</v>
      </c>
      <c r="HN230" s="561">
        <v>0</v>
      </c>
      <c r="HO230" s="561">
        <v>3078</v>
      </c>
      <c r="HP230" s="561">
        <v>1215</v>
      </c>
      <c r="HQ230" s="561">
        <v>0</v>
      </c>
      <c r="HR230" s="561">
        <v>0</v>
      </c>
      <c r="HS230" s="561">
        <v>256</v>
      </c>
      <c r="HT230" s="561">
        <v>-66</v>
      </c>
      <c r="HU230" s="561">
        <v>0</v>
      </c>
      <c r="HV230" s="561">
        <v>0</v>
      </c>
      <c r="HW230" s="561">
        <v>275</v>
      </c>
      <c r="HX230" s="561">
        <v>202</v>
      </c>
      <c r="HY230" s="561">
        <v>80</v>
      </c>
      <c r="HZ230" s="561">
        <v>83</v>
      </c>
      <c r="IA230" s="561">
        <v>0</v>
      </c>
      <c r="IB230" s="561">
        <v>296</v>
      </c>
      <c r="IC230" s="561">
        <v>0</v>
      </c>
      <c r="ID230" s="561">
        <v>0</v>
      </c>
      <c r="IE230" s="561">
        <v>335</v>
      </c>
      <c r="IF230" s="561">
        <v>0</v>
      </c>
      <c r="IG230" s="561">
        <v>0</v>
      </c>
      <c r="IH230" s="561">
        <v>0</v>
      </c>
      <c r="II230" s="561">
        <v>5754</v>
      </c>
      <c r="IJ230" s="561">
        <v>0</v>
      </c>
      <c r="IK230" s="561">
        <v>1736</v>
      </c>
      <c r="IL230" s="561">
        <v>7531</v>
      </c>
      <c r="IM230" s="561">
        <v>0</v>
      </c>
      <c r="IN230" s="561">
        <v>2689</v>
      </c>
      <c r="IO230" s="561">
        <v>0</v>
      </c>
      <c r="IP230" s="561">
        <v>787</v>
      </c>
      <c r="IQ230" s="561">
        <v>0</v>
      </c>
      <c r="IR230" s="561">
        <v>0</v>
      </c>
      <c r="IS230" s="561">
        <v>-2272</v>
      </c>
      <c r="IT230" s="561">
        <v>0</v>
      </c>
      <c r="IU230" s="561">
        <v>39</v>
      </c>
      <c r="IV230" s="561">
        <v>133</v>
      </c>
      <c r="IW230" s="561">
        <v>3103</v>
      </c>
      <c r="IX230" s="561">
        <v>821</v>
      </c>
      <c r="IY230" s="561">
        <v>11543</v>
      </c>
      <c r="IZ230" s="561">
        <v>3154</v>
      </c>
      <c r="JA230" s="561">
        <v>0</v>
      </c>
      <c r="JB230" s="561">
        <v>0</v>
      </c>
      <c r="JC230" s="561">
        <v>5754</v>
      </c>
      <c r="JD230" s="561">
        <v>787</v>
      </c>
      <c r="JE230" s="561">
        <v>23062</v>
      </c>
      <c r="JF230" s="561">
        <v>15456</v>
      </c>
      <c r="JG230" s="561">
        <v>2481</v>
      </c>
      <c r="JH230" s="561">
        <v>9578</v>
      </c>
      <c r="JI230" s="561">
        <v>0</v>
      </c>
      <c r="JJ230" s="561">
        <v>326</v>
      </c>
      <c r="JK230" s="561">
        <v>8388</v>
      </c>
      <c r="JL230" s="561">
        <v>0</v>
      </c>
      <c r="JM230" s="561">
        <v>0</v>
      </c>
      <c r="JN230" s="561">
        <v>0</v>
      </c>
      <c r="JO230" s="561">
        <v>0</v>
      </c>
      <c r="JP230" s="561">
        <v>-311</v>
      </c>
      <c r="JQ230" s="561">
        <v>0</v>
      </c>
      <c r="JR230" s="561">
        <v>-2</v>
      </c>
      <c r="JS230" s="561">
        <v>0</v>
      </c>
      <c r="JT230" s="561">
        <v>37</v>
      </c>
      <c r="JU230" s="561">
        <v>0</v>
      </c>
      <c r="JV230" s="561">
        <v>59015</v>
      </c>
      <c r="JW230" s="561">
        <v>0</v>
      </c>
      <c r="JX230" s="561">
        <v>6215</v>
      </c>
      <c r="JY230" s="561">
        <v>0</v>
      </c>
      <c r="JZ230" s="561">
        <v>0</v>
      </c>
      <c r="KA230" s="561">
        <v>0</v>
      </c>
      <c r="KB230" s="561">
        <v>186</v>
      </c>
      <c r="KC230" s="561">
        <v>1966</v>
      </c>
      <c r="KD230" s="561">
        <v>0</v>
      </c>
      <c r="KE230" s="561">
        <v>4367</v>
      </c>
      <c r="KF230" s="561">
        <v>-4977</v>
      </c>
      <c r="KG230" s="561">
        <v>66772</v>
      </c>
      <c r="KH230" s="561">
        <v>-3320</v>
      </c>
      <c r="KI230" s="561">
        <v>0</v>
      </c>
      <c r="KJ230" s="561">
        <v>0</v>
      </c>
      <c r="KK230" s="561">
        <v>0</v>
      </c>
      <c r="KL230" s="561">
        <v>-26072</v>
      </c>
      <c r="KM230" s="561">
        <v>0</v>
      </c>
      <c r="KN230" s="561">
        <v>-145</v>
      </c>
      <c r="KO230" s="561">
        <v>0</v>
      </c>
      <c r="KP230" s="561">
        <v>0</v>
      </c>
      <c r="KQ230" s="561">
        <v>0</v>
      </c>
      <c r="KR230" s="561">
        <v>37235</v>
      </c>
      <c r="KS230" s="561">
        <v>0</v>
      </c>
      <c r="KT230" s="561">
        <v>-3578</v>
      </c>
      <c r="KU230" s="561">
        <v>33657</v>
      </c>
      <c r="KV230" s="561">
        <v>0</v>
      </c>
      <c r="KW230" s="561">
        <v>0</v>
      </c>
      <c r="KX230" s="561">
        <v>0</v>
      </c>
      <c r="KY230" s="561">
        <v>0</v>
      </c>
      <c r="KZ230" s="561">
        <v>-2589</v>
      </c>
      <c r="LA230" s="561">
        <v>0</v>
      </c>
      <c r="LB230" s="561">
        <v>-260</v>
      </c>
      <c r="LC230" s="561">
        <v>0</v>
      </c>
      <c r="LD230" s="561">
        <v>-7782</v>
      </c>
      <c r="LE230" s="561">
        <v>-178</v>
      </c>
      <c r="LF230" s="561">
        <v>0</v>
      </c>
      <c r="LG230" s="561">
        <v>22848</v>
      </c>
      <c r="LH230" s="561">
        <v>0</v>
      </c>
      <c r="LI230" s="561">
        <v>0</v>
      </c>
      <c r="LJ230" s="561">
        <v>0</v>
      </c>
      <c r="LK230" s="561">
        <v>0</v>
      </c>
      <c r="LL230" s="561">
        <v>21287</v>
      </c>
      <c r="LM230" s="561">
        <v>3000</v>
      </c>
      <c r="LN230" s="561">
        <v>0</v>
      </c>
      <c r="LO230" s="561">
        <v>0</v>
      </c>
      <c r="LP230" s="561">
        <v>0</v>
      </c>
      <c r="LQ230" s="561">
        <v>0</v>
      </c>
      <c r="LR230" s="561">
        <v>18698</v>
      </c>
      <c r="LS230" s="561">
        <v>3000</v>
      </c>
      <c r="LT230" s="561">
        <v>0</v>
      </c>
      <c r="LU230" s="561">
        <v>1855</v>
      </c>
      <c r="LV230" s="561">
        <v>823</v>
      </c>
      <c r="LW230" s="561">
        <v>2728</v>
      </c>
      <c r="LX230" s="561">
        <v>-2044</v>
      </c>
      <c r="LY230" s="561">
        <v>3497</v>
      </c>
      <c r="LZ230" s="561">
        <v>7107</v>
      </c>
      <c r="MA230" s="561">
        <v>0</v>
      </c>
      <c r="MB230" s="561">
        <v>0</v>
      </c>
      <c r="MC230" s="561">
        <v>36718</v>
      </c>
      <c r="MD230" s="561">
        <v>36249</v>
      </c>
      <c r="ME230" s="561">
        <v>469</v>
      </c>
      <c r="MF230" s="561">
        <v>6502</v>
      </c>
      <c r="MG230" s="561">
        <v>6971</v>
      </c>
      <c r="MH230" s="561">
        <v>5161</v>
      </c>
      <c r="MI230" s="561">
        <v>4818</v>
      </c>
      <c r="MJ230" s="561">
        <v>9979</v>
      </c>
      <c r="MK230" s="561">
        <v>0</v>
      </c>
      <c r="ML230" s="561">
        <v>1011</v>
      </c>
      <c r="MM230" s="561">
        <v>14988</v>
      </c>
      <c r="MN230" s="561">
        <v>0</v>
      </c>
      <c r="MO230" s="561">
        <v>2699</v>
      </c>
      <c r="MP230" s="561">
        <v>0</v>
      </c>
      <c r="MQ230" s="561">
        <v>0</v>
      </c>
      <c r="MR230" s="561">
        <v>-2272</v>
      </c>
      <c r="MS230" s="561">
        <v>0</v>
      </c>
      <c r="MT230" s="561">
        <v>39</v>
      </c>
      <c r="MU230" s="561">
        <v>133</v>
      </c>
      <c r="MV230" s="561">
        <v>3103</v>
      </c>
      <c r="MW230" s="561">
        <v>821</v>
      </c>
      <c r="MX230" s="561">
        <v>11543</v>
      </c>
      <c r="MY230" s="561">
        <v>3154</v>
      </c>
      <c r="MZ230" s="561">
        <v>0</v>
      </c>
      <c r="NA230" s="561">
        <v>0</v>
      </c>
      <c r="NB230" s="561">
        <v>5754</v>
      </c>
      <c r="NC230" s="561">
        <v>787</v>
      </c>
      <c r="ND230" s="561">
        <v>23062</v>
      </c>
      <c r="NE230" s="561">
        <v>0</v>
      </c>
      <c r="NF230" s="561">
        <v>0</v>
      </c>
      <c r="NG230" s="561">
        <v>0</v>
      </c>
      <c r="NH230" s="561">
        <v>0</v>
      </c>
      <c r="NI230" s="561">
        <v>1</v>
      </c>
      <c r="NJ230" s="561">
        <v>0</v>
      </c>
      <c r="NK230" s="561">
        <v>0</v>
      </c>
      <c r="NL230" s="561">
        <v>0</v>
      </c>
      <c r="NM230" s="561">
        <v>0</v>
      </c>
      <c r="NN230" s="561">
        <v>0</v>
      </c>
      <c r="NO230" s="561">
        <v>0</v>
      </c>
      <c r="NP230" s="561">
        <v>0</v>
      </c>
      <c r="NQ230" s="561">
        <v>0</v>
      </c>
      <c r="NR230" s="561">
        <v>0</v>
      </c>
      <c r="NS230" s="561">
        <v>0</v>
      </c>
      <c r="NT230" s="561">
        <v>-314</v>
      </c>
      <c r="NU230" s="561">
        <v>0</v>
      </c>
      <c r="NV230" s="561">
        <v>0</v>
      </c>
      <c r="NW230" s="561">
        <v>-313</v>
      </c>
      <c r="NX230" s="561">
        <v>2</v>
      </c>
      <c r="NY230" s="561">
        <v>-311</v>
      </c>
      <c r="NZ230" s="561">
        <v>0</v>
      </c>
      <c r="OA230" s="561">
        <v>0</v>
      </c>
      <c r="OB230" s="561">
        <v>0</v>
      </c>
      <c r="OC230" s="561">
        <v>0</v>
      </c>
      <c r="OD230" s="561">
        <v>0</v>
      </c>
      <c r="OE230" s="561">
        <v>0</v>
      </c>
      <c r="OF230" s="561">
        <v>0</v>
      </c>
      <c r="OG230" s="561">
        <v>0</v>
      </c>
      <c r="OH230" s="561">
        <v>0</v>
      </c>
      <c r="OI230" s="561">
        <v>0</v>
      </c>
      <c r="OJ230" s="561">
        <v>0</v>
      </c>
      <c r="OK230" s="561">
        <v>0</v>
      </c>
      <c r="OL230" s="561">
        <v>0</v>
      </c>
      <c r="OM230" s="561">
        <v>0</v>
      </c>
      <c r="ON230" s="561">
        <v>0</v>
      </c>
      <c r="OO230" s="561">
        <v>0</v>
      </c>
      <c r="OP230" s="561">
        <v>0</v>
      </c>
      <c r="OQ230" s="561">
        <v>0</v>
      </c>
      <c r="OR230" s="561">
        <v>0</v>
      </c>
      <c r="OS230" s="561">
        <v>0</v>
      </c>
      <c r="OT230" s="561">
        <v>0</v>
      </c>
      <c r="OU230" s="561">
        <v>0</v>
      </c>
      <c r="OV230" s="561">
        <v>0</v>
      </c>
      <c r="OW230" s="561">
        <v>0</v>
      </c>
      <c r="OX230" s="561">
        <v>0</v>
      </c>
      <c r="OY230" s="561">
        <v>2</v>
      </c>
      <c r="OZ230" s="561">
        <v>0</v>
      </c>
      <c r="PA230" s="561">
        <v>0</v>
      </c>
      <c r="PB230" s="561">
        <v>0</v>
      </c>
      <c r="PC230" s="561">
        <v>0</v>
      </c>
      <c r="PD230" s="561">
        <v>2</v>
      </c>
      <c r="PE230" s="561">
        <v>0</v>
      </c>
      <c r="PF230" s="561">
        <v>0</v>
      </c>
      <c r="PG230" s="561">
        <v>0</v>
      </c>
      <c r="PH230" s="561">
        <v>0</v>
      </c>
      <c r="PI230" s="561">
        <v>0</v>
      </c>
      <c r="PJ230" s="561">
        <v>0</v>
      </c>
    </row>
    <row r="231" spans="1:426" ht="14" x14ac:dyDescent="0.3">
      <c r="A231" t="s">
        <v>3136</v>
      </c>
      <c r="B231" t="s">
        <v>3137</v>
      </c>
      <c r="C231" t="s">
        <v>4633</v>
      </c>
      <c r="E231" t="s">
        <v>2466</v>
      </c>
      <c r="F231" s="561">
        <v>0</v>
      </c>
      <c r="G231" s="561">
        <v>0</v>
      </c>
      <c r="H231" s="561">
        <v>0</v>
      </c>
      <c r="I231" s="561">
        <v>0</v>
      </c>
      <c r="J231" s="561">
        <v>0</v>
      </c>
      <c r="K231" s="561">
        <v>0</v>
      </c>
      <c r="L231" s="561">
        <v>0</v>
      </c>
      <c r="M231" s="561">
        <v>0</v>
      </c>
      <c r="N231" s="561">
        <v>20</v>
      </c>
      <c r="O231" s="561">
        <v>0</v>
      </c>
      <c r="P231" s="561">
        <v>0</v>
      </c>
      <c r="Q231" s="561">
        <v>0</v>
      </c>
      <c r="R231" s="561">
        <v>0</v>
      </c>
      <c r="S231" s="561">
        <v>0</v>
      </c>
      <c r="T231" s="561">
        <v>0</v>
      </c>
      <c r="U231" s="561">
        <v>0</v>
      </c>
      <c r="V231" s="561">
        <v>0</v>
      </c>
      <c r="W231" s="561">
        <v>0</v>
      </c>
      <c r="X231" s="561">
        <v>0</v>
      </c>
      <c r="Y231" s="561">
        <v>0</v>
      </c>
      <c r="Z231" s="561">
        <v>0</v>
      </c>
      <c r="AA231" s="561">
        <v>0</v>
      </c>
      <c r="AB231" s="561">
        <v>0</v>
      </c>
      <c r="AC231" s="561">
        <v>0</v>
      </c>
      <c r="AD231" s="561">
        <v>0</v>
      </c>
      <c r="AE231" s="561">
        <v>0</v>
      </c>
      <c r="AF231" s="561">
        <v>0</v>
      </c>
      <c r="AG231" s="561">
        <v>0</v>
      </c>
      <c r="AH231" s="561">
        <v>0</v>
      </c>
      <c r="AI231" s="561">
        <v>0</v>
      </c>
      <c r="AJ231" s="561">
        <v>20</v>
      </c>
      <c r="AK231" s="561">
        <v>0</v>
      </c>
      <c r="AL231" s="561">
        <v>0</v>
      </c>
      <c r="AM231" s="561">
        <v>0</v>
      </c>
      <c r="AN231" s="561">
        <v>0</v>
      </c>
      <c r="AO231" s="561">
        <v>0</v>
      </c>
      <c r="AP231" s="561">
        <v>0</v>
      </c>
      <c r="AQ231" s="561">
        <v>0</v>
      </c>
      <c r="AR231" s="561">
        <v>0</v>
      </c>
      <c r="AS231" s="561">
        <v>0</v>
      </c>
      <c r="AT231" s="561">
        <v>0</v>
      </c>
      <c r="AU231" s="561">
        <v>0</v>
      </c>
      <c r="AV231" s="561">
        <v>0</v>
      </c>
      <c r="AW231" s="561">
        <v>0</v>
      </c>
      <c r="AX231" s="561">
        <v>0</v>
      </c>
      <c r="AY231" s="561">
        <v>0</v>
      </c>
      <c r="AZ231" s="561">
        <v>0</v>
      </c>
      <c r="BA231" s="561">
        <v>0</v>
      </c>
      <c r="BB231" s="561">
        <v>0</v>
      </c>
      <c r="BC231" s="561">
        <v>0</v>
      </c>
      <c r="BD231" s="561">
        <v>0</v>
      </c>
      <c r="BE231" s="561">
        <v>0</v>
      </c>
      <c r="BF231" s="561">
        <v>0</v>
      </c>
      <c r="BG231" s="561">
        <v>0</v>
      </c>
      <c r="BH231" s="561">
        <v>0</v>
      </c>
      <c r="BI231" s="561">
        <v>0</v>
      </c>
      <c r="BJ231" s="561">
        <v>0</v>
      </c>
      <c r="BK231" s="561">
        <v>0</v>
      </c>
      <c r="BL231" s="561">
        <v>0</v>
      </c>
      <c r="BM231" s="561">
        <v>0</v>
      </c>
      <c r="BN231" s="561">
        <v>0</v>
      </c>
      <c r="BO231" s="561">
        <v>0</v>
      </c>
      <c r="BP231" s="561">
        <v>0</v>
      </c>
      <c r="BQ231" s="561">
        <v>0</v>
      </c>
      <c r="BR231" s="561">
        <v>0</v>
      </c>
      <c r="BS231" s="561">
        <v>0</v>
      </c>
      <c r="BT231" s="561">
        <v>0</v>
      </c>
      <c r="BU231" s="561">
        <v>0</v>
      </c>
      <c r="BV231" s="561">
        <v>0</v>
      </c>
      <c r="BW231" s="561">
        <v>0</v>
      </c>
      <c r="BX231" s="561">
        <v>0</v>
      </c>
      <c r="BY231" s="561">
        <v>0</v>
      </c>
      <c r="BZ231" s="561">
        <v>0</v>
      </c>
      <c r="CA231" s="561">
        <v>0</v>
      </c>
      <c r="CB231" s="561">
        <v>0</v>
      </c>
      <c r="CC231" s="561">
        <v>0</v>
      </c>
      <c r="CD231" s="561">
        <v>0</v>
      </c>
      <c r="CE231" s="561">
        <v>0</v>
      </c>
      <c r="CF231" s="561">
        <v>0</v>
      </c>
      <c r="CG231" s="561">
        <v>0</v>
      </c>
      <c r="CH231" s="561">
        <v>0</v>
      </c>
      <c r="CI231" s="561">
        <v>0</v>
      </c>
      <c r="CJ231" s="561">
        <v>0</v>
      </c>
      <c r="CK231" s="561">
        <v>0</v>
      </c>
      <c r="CL231" s="561">
        <v>0</v>
      </c>
      <c r="CM231" s="561">
        <v>0</v>
      </c>
      <c r="CN231" s="561">
        <v>0</v>
      </c>
      <c r="CO231" s="561">
        <v>0</v>
      </c>
      <c r="CP231" s="561">
        <v>0</v>
      </c>
      <c r="CQ231" s="561">
        <v>0</v>
      </c>
      <c r="CR231" s="561">
        <v>0</v>
      </c>
      <c r="CS231" s="561">
        <v>0</v>
      </c>
      <c r="CT231" s="561">
        <v>0</v>
      </c>
      <c r="CU231" s="561">
        <v>0</v>
      </c>
      <c r="CV231" s="561">
        <v>0</v>
      </c>
      <c r="CW231" s="561">
        <v>0</v>
      </c>
      <c r="CX231" s="561">
        <v>0</v>
      </c>
      <c r="CY231" s="561">
        <v>0</v>
      </c>
      <c r="CZ231" s="561">
        <v>0</v>
      </c>
      <c r="DA231" s="561">
        <v>0</v>
      </c>
      <c r="DB231" s="561">
        <v>0</v>
      </c>
      <c r="DC231" s="561">
        <v>0</v>
      </c>
      <c r="DD231" s="561">
        <v>0</v>
      </c>
      <c r="DE231" s="561">
        <v>0</v>
      </c>
      <c r="DF231" s="561">
        <v>0</v>
      </c>
      <c r="DG231" s="561">
        <v>0</v>
      </c>
      <c r="DH231" s="561">
        <v>0</v>
      </c>
      <c r="DI231" s="561">
        <v>0</v>
      </c>
      <c r="DJ231" s="561">
        <v>0</v>
      </c>
      <c r="DK231" s="561">
        <v>0</v>
      </c>
      <c r="DL231" s="561">
        <v>0</v>
      </c>
      <c r="DM231" s="561">
        <v>0</v>
      </c>
      <c r="DN231" s="561">
        <v>0</v>
      </c>
      <c r="DO231" s="561">
        <v>0</v>
      </c>
      <c r="DP231" s="561">
        <v>0</v>
      </c>
      <c r="DQ231" s="561">
        <v>0</v>
      </c>
      <c r="DR231" s="561">
        <v>0</v>
      </c>
      <c r="DS231" s="561">
        <v>0</v>
      </c>
      <c r="DT231" s="561">
        <v>0</v>
      </c>
      <c r="DU231" s="561">
        <v>0</v>
      </c>
      <c r="DV231" s="561">
        <v>0</v>
      </c>
      <c r="DW231" s="561">
        <v>0</v>
      </c>
      <c r="DX231" s="561">
        <v>0</v>
      </c>
      <c r="DY231" s="561">
        <v>0</v>
      </c>
      <c r="DZ231" s="561">
        <v>0</v>
      </c>
      <c r="EA231" s="561">
        <v>0</v>
      </c>
      <c r="EB231" s="561">
        <v>0</v>
      </c>
      <c r="EC231" s="561">
        <v>0</v>
      </c>
      <c r="ED231" s="561">
        <v>0</v>
      </c>
      <c r="EE231" s="561">
        <v>0</v>
      </c>
      <c r="EF231" s="561">
        <v>0</v>
      </c>
      <c r="EG231" s="561">
        <v>0</v>
      </c>
      <c r="EH231" s="561">
        <v>0</v>
      </c>
      <c r="EI231" s="561">
        <v>0</v>
      </c>
      <c r="EJ231" s="561">
        <v>0</v>
      </c>
      <c r="EK231" s="561">
        <v>0</v>
      </c>
      <c r="EL231" s="561">
        <v>0</v>
      </c>
      <c r="EM231" s="561">
        <v>0</v>
      </c>
      <c r="EN231" s="561">
        <v>0</v>
      </c>
      <c r="EO231" s="561">
        <v>0</v>
      </c>
      <c r="EP231" s="561">
        <v>0</v>
      </c>
      <c r="EQ231" s="561">
        <v>0</v>
      </c>
      <c r="ER231" s="561">
        <v>0</v>
      </c>
      <c r="ES231" s="561" t="s">
        <v>4565</v>
      </c>
      <c r="ET231" s="561">
        <v>0</v>
      </c>
      <c r="EU231" s="561">
        <v>0</v>
      </c>
      <c r="EV231" s="561">
        <v>0</v>
      </c>
      <c r="EW231" s="561">
        <v>0</v>
      </c>
      <c r="EX231" s="561">
        <v>0</v>
      </c>
      <c r="EY231" s="561">
        <v>0</v>
      </c>
      <c r="EZ231" s="561">
        <v>0</v>
      </c>
      <c r="FA231" s="561">
        <v>0</v>
      </c>
      <c r="FB231" s="561">
        <v>0</v>
      </c>
      <c r="FC231" s="561">
        <v>0</v>
      </c>
      <c r="FD231" s="561">
        <v>349</v>
      </c>
      <c r="FE231" s="561">
        <v>0</v>
      </c>
      <c r="FF231" s="561">
        <v>0</v>
      </c>
      <c r="FG231" s="561">
        <v>0</v>
      </c>
      <c r="FH231" s="561">
        <v>0</v>
      </c>
      <c r="FI231" s="561">
        <v>0</v>
      </c>
      <c r="FJ231" s="561">
        <v>0</v>
      </c>
      <c r="FK231" s="561">
        <v>124</v>
      </c>
      <c r="FL231" s="561">
        <v>0</v>
      </c>
      <c r="FM231" s="561">
        <v>315</v>
      </c>
      <c r="FN231" s="561">
        <v>0</v>
      </c>
      <c r="FO231" s="561">
        <v>788</v>
      </c>
      <c r="FP231" s="561">
        <v>0</v>
      </c>
      <c r="FQ231" s="561">
        <v>0</v>
      </c>
      <c r="FR231" s="561">
        <v>0</v>
      </c>
      <c r="FS231" s="561">
        <v>0</v>
      </c>
      <c r="FT231" s="561">
        <v>0</v>
      </c>
      <c r="FU231" s="561">
        <v>0</v>
      </c>
      <c r="FV231" s="561">
        <v>0</v>
      </c>
      <c r="FW231" s="561">
        <v>0</v>
      </c>
      <c r="FX231" s="561">
        <v>0</v>
      </c>
      <c r="FY231" s="561">
        <v>0</v>
      </c>
      <c r="FZ231" s="561">
        <v>0</v>
      </c>
      <c r="GA231" s="561">
        <v>0</v>
      </c>
      <c r="GB231" s="561">
        <v>0</v>
      </c>
      <c r="GC231" s="561">
        <v>0</v>
      </c>
      <c r="GD231" s="561">
        <v>0</v>
      </c>
      <c r="GE231" s="561">
        <v>0</v>
      </c>
      <c r="GF231" s="561">
        <v>0</v>
      </c>
      <c r="GG231" s="561">
        <v>0</v>
      </c>
      <c r="GH231" s="561">
        <v>0</v>
      </c>
      <c r="GI231" s="561">
        <v>0</v>
      </c>
      <c r="GJ231" s="561">
        <v>0</v>
      </c>
      <c r="GK231" s="561">
        <v>0</v>
      </c>
      <c r="GL231" s="561">
        <v>0</v>
      </c>
      <c r="GM231" s="561">
        <v>0</v>
      </c>
      <c r="GN231" s="561">
        <v>0</v>
      </c>
      <c r="GO231" s="561">
        <v>0</v>
      </c>
      <c r="GP231" s="561">
        <v>0</v>
      </c>
      <c r="GQ231" s="561">
        <v>0</v>
      </c>
      <c r="GR231" s="561">
        <v>0</v>
      </c>
      <c r="GS231" s="561">
        <v>0</v>
      </c>
      <c r="GT231" s="561">
        <v>0</v>
      </c>
      <c r="GU231" s="561">
        <v>0</v>
      </c>
      <c r="GV231" s="561">
        <v>957</v>
      </c>
      <c r="GW231" s="561">
        <v>35</v>
      </c>
      <c r="GX231" s="561">
        <v>453</v>
      </c>
      <c r="GY231" s="561">
        <v>0</v>
      </c>
      <c r="GZ231" s="561">
        <v>0</v>
      </c>
      <c r="HA231" s="561">
        <v>0</v>
      </c>
      <c r="HB231" s="561">
        <v>0</v>
      </c>
      <c r="HC231" s="561">
        <v>0</v>
      </c>
      <c r="HD231" s="561">
        <v>1445</v>
      </c>
      <c r="HE231" s="561">
        <v>0</v>
      </c>
      <c r="HF231" s="561">
        <v>2233</v>
      </c>
      <c r="HG231" s="561">
        <v>0</v>
      </c>
      <c r="HH231" s="561">
        <v>0</v>
      </c>
      <c r="HI231" s="561">
        <v>0</v>
      </c>
      <c r="HJ231" s="561">
        <v>0</v>
      </c>
      <c r="HK231" s="561">
        <v>0</v>
      </c>
      <c r="HL231" s="561">
        <v>0</v>
      </c>
      <c r="HM231" s="561">
        <v>0</v>
      </c>
      <c r="HN231" s="561">
        <v>0</v>
      </c>
      <c r="HO231" s="561">
        <v>782</v>
      </c>
      <c r="HP231" s="561">
        <v>0</v>
      </c>
      <c r="HQ231" s="561">
        <v>0</v>
      </c>
      <c r="HR231" s="561">
        <v>0</v>
      </c>
      <c r="HS231" s="561">
        <v>0</v>
      </c>
      <c r="HT231" s="561">
        <v>0</v>
      </c>
      <c r="HU231" s="561">
        <v>0</v>
      </c>
      <c r="HV231" s="561">
        <v>0</v>
      </c>
      <c r="HW231" s="561">
        <v>0</v>
      </c>
      <c r="HX231" s="561">
        <v>0</v>
      </c>
      <c r="HY231" s="561">
        <v>0</v>
      </c>
      <c r="HZ231" s="561">
        <v>0</v>
      </c>
      <c r="IA231" s="561">
        <v>0</v>
      </c>
      <c r="IB231" s="561">
        <v>0</v>
      </c>
      <c r="IC231" s="561">
        <v>0</v>
      </c>
      <c r="ID231" s="561">
        <v>0</v>
      </c>
      <c r="IE231" s="561">
        <v>0</v>
      </c>
      <c r="IF231" s="561">
        <v>0</v>
      </c>
      <c r="IG231" s="561">
        <v>0</v>
      </c>
      <c r="IH231" s="561">
        <v>0</v>
      </c>
      <c r="II231" s="561">
        <v>782</v>
      </c>
      <c r="IJ231" s="561">
        <v>0</v>
      </c>
      <c r="IK231" s="561">
        <v>0</v>
      </c>
      <c r="IL231" s="561">
        <v>0</v>
      </c>
      <c r="IM231" s="561">
        <v>0</v>
      </c>
      <c r="IN231" s="561">
        <v>0</v>
      </c>
      <c r="IO231" s="561">
        <v>0</v>
      </c>
      <c r="IP231" s="561">
        <v>0</v>
      </c>
      <c r="IQ231" s="561">
        <v>0</v>
      </c>
      <c r="IR231" s="561">
        <v>0</v>
      </c>
      <c r="IS231" s="561">
        <v>20</v>
      </c>
      <c r="IT231" s="561">
        <v>0</v>
      </c>
      <c r="IU231" s="561">
        <v>0</v>
      </c>
      <c r="IV231" s="561">
        <v>0</v>
      </c>
      <c r="IW231" s="561">
        <v>0</v>
      </c>
      <c r="IX231" s="561">
        <v>788</v>
      </c>
      <c r="IY231" s="561">
        <v>0</v>
      </c>
      <c r="IZ231" s="561">
        <v>1445</v>
      </c>
      <c r="JA231" s="561">
        <v>0</v>
      </c>
      <c r="JB231" s="561">
        <v>0</v>
      </c>
      <c r="JC231" s="561">
        <v>782</v>
      </c>
      <c r="JD231" s="561">
        <v>0</v>
      </c>
      <c r="JE231" s="561">
        <v>3035</v>
      </c>
      <c r="JF231" s="561">
        <v>0</v>
      </c>
      <c r="JG231" s="561">
        <v>0</v>
      </c>
      <c r="JH231" s="561">
        <v>0</v>
      </c>
      <c r="JI231" s="561">
        <v>0</v>
      </c>
      <c r="JJ231" s="561">
        <v>0</v>
      </c>
      <c r="JK231" s="561">
        <v>0</v>
      </c>
      <c r="JL231" s="561">
        <v>0</v>
      </c>
      <c r="JM231" s="561">
        <v>0</v>
      </c>
      <c r="JN231" s="561">
        <v>0</v>
      </c>
      <c r="JO231" s="561">
        <v>0</v>
      </c>
      <c r="JP231" s="561">
        <v>0</v>
      </c>
      <c r="JQ231" s="561">
        <v>0</v>
      </c>
      <c r="JR231" s="561">
        <v>0</v>
      </c>
      <c r="JS231" s="561">
        <v>0</v>
      </c>
      <c r="JT231" s="561">
        <v>5</v>
      </c>
      <c r="JU231" s="561">
        <v>0</v>
      </c>
      <c r="JV231" s="561">
        <v>3040</v>
      </c>
      <c r="JW231" s="561">
        <v>0</v>
      </c>
      <c r="JX231" s="561">
        <v>50</v>
      </c>
      <c r="JY231" s="561">
        <v>0</v>
      </c>
      <c r="JZ231" s="561">
        <v>0</v>
      </c>
      <c r="KA231" s="561">
        <v>0</v>
      </c>
      <c r="KB231" s="561">
        <v>0</v>
      </c>
      <c r="KC231" s="561">
        <v>0</v>
      </c>
      <c r="KD231" s="561">
        <v>0</v>
      </c>
      <c r="KE231" s="561">
        <v>0</v>
      </c>
      <c r="KF231" s="561">
        <v>0</v>
      </c>
      <c r="KG231" s="561">
        <v>3090</v>
      </c>
      <c r="KH231" s="561">
        <v>-186</v>
      </c>
      <c r="KI231" s="561">
        <v>0</v>
      </c>
      <c r="KJ231" s="561">
        <v>0</v>
      </c>
      <c r="KK231" s="561">
        <v>0</v>
      </c>
      <c r="KL231" s="561">
        <v>0</v>
      </c>
      <c r="KM231" s="561">
        <v>0</v>
      </c>
      <c r="KN231" s="561">
        <v>0</v>
      </c>
      <c r="KO231" s="561">
        <v>0</v>
      </c>
      <c r="KP231" s="561">
        <v>0</v>
      </c>
      <c r="KQ231" s="561">
        <v>0</v>
      </c>
      <c r="KR231" s="561">
        <v>2904</v>
      </c>
      <c r="KS231" s="561">
        <v>0</v>
      </c>
      <c r="KT231" s="561">
        <v>-3501</v>
      </c>
      <c r="KU231" s="561">
        <v>-597</v>
      </c>
      <c r="KV231" s="561">
        <v>0</v>
      </c>
      <c r="KW231" s="561">
        <v>0</v>
      </c>
      <c r="KX231" s="561">
        <v>0</v>
      </c>
      <c r="KY231" s="561">
        <v>0</v>
      </c>
      <c r="KZ231" s="561">
        <v>597</v>
      </c>
      <c r="LA231" s="561">
        <v>0</v>
      </c>
      <c r="LB231" s="561">
        <v>0</v>
      </c>
      <c r="LC231" s="561">
        <v>0</v>
      </c>
      <c r="LD231" s="561">
        <v>0</v>
      </c>
      <c r="LE231" s="561">
        <v>0</v>
      </c>
      <c r="LF231" s="561">
        <v>0</v>
      </c>
      <c r="LG231" s="561">
        <v>0</v>
      </c>
      <c r="LH231" s="561">
        <v>0</v>
      </c>
      <c r="LI231" s="561">
        <v>0</v>
      </c>
      <c r="LJ231" s="561">
        <v>0</v>
      </c>
      <c r="LK231" s="561">
        <v>0</v>
      </c>
      <c r="LL231" s="561">
        <v>1903</v>
      </c>
      <c r="LM231" s="561">
        <v>350</v>
      </c>
      <c r="LN231" s="561">
        <v>0</v>
      </c>
      <c r="LO231" s="561">
        <v>0</v>
      </c>
      <c r="LP231" s="561">
        <v>0</v>
      </c>
      <c r="LQ231" s="561">
        <v>0</v>
      </c>
      <c r="LR231" s="561">
        <v>2500</v>
      </c>
      <c r="LS231" s="561">
        <v>350</v>
      </c>
      <c r="LT231" s="561">
        <v>0</v>
      </c>
      <c r="LU231" s="561">
        <v>162</v>
      </c>
      <c r="LV231" s="561">
        <v>0</v>
      </c>
      <c r="LW231" s="561">
        <v>0</v>
      </c>
      <c r="LX231" s="561">
        <v>0</v>
      </c>
      <c r="LY231" s="561">
        <v>435</v>
      </c>
      <c r="LZ231" s="561">
        <v>597</v>
      </c>
      <c r="MA231" s="561">
        <v>0</v>
      </c>
      <c r="MB231" s="561">
        <v>0</v>
      </c>
      <c r="MC231" s="561">
        <v>0</v>
      </c>
      <c r="MD231" s="561">
        <v>0</v>
      </c>
      <c r="ME231" s="561">
        <v>0</v>
      </c>
      <c r="MF231" s="561">
        <v>0</v>
      </c>
      <c r="MG231" s="561">
        <v>0</v>
      </c>
      <c r="MH231" s="561">
        <v>0</v>
      </c>
      <c r="MI231" s="561">
        <v>0</v>
      </c>
      <c r="MJ231" s="561">
        <v>0</v>
      </c>
      <c r="MK231" s="561">
        <v>0</v>
      </c>
      <c r="ML231" s="561">
        <v>0</v>
      </c>
      <c r="MM231" s="561">
        <v>1890</v>
      </c>
      <c r="MN231" s="561">
        <v>170</v>
      </c>
      <c r="MO231" s="561">
        <v>440</v>
      </c>
      <c r="MP231" s="561">
        <v>0</v>
      </c>
      <c r="MQ231" s="561">
        <v>0</v>
      </c>
      <c r="MR231" s="561">
        <v>20</v>
      </c>
      <c r="MS231" s="561">
        <v>0</v>
      </c>
      <c r="MT231" s="561">
        <v>0</v>
      </c>
      <c r="MU231" s="561">
        <v>0</v>
      </c>
      <c r="MV231" s="561">
        <v>0</v>
      </c>
      <c r="MW231" s="561">
        <v>788</v>
      </c>
      <c r="MX231" s="561">
        <v>0</v>
      </c>
      <c r="MY231" s="561">
        <v>1445</v>
      </c>
      <c r="MZ231" s="561">
        <v>0</v>
      </c>
      <c r="NA231" s="561">
        <v>0</v>
      </c>
      <c r="NB231" s="561">
        <v>782</v>
      </c>
      <c r="NC231" s="561">
        <v>0</v>
      </c>
      <c r="ND231" s="561">
        <v>3035</v>
      </c>
      <c r="NE231" s="561">
        <v>0</v>
      </c>
      <c r="NF231" s="561">
        <v>0</v>
      </c>
      <c r="NG231" s="561">
        <v>0</v>
      </c>
      <c r="NH231" s="561">
        <v>0</v>
      </c>
      <c r="NI231" s="561">
        <v>0</v>
      </c>
      <c r="NJ231" s="561">
        <v>0</v>
      </c>
      <c r="NK231" s="561">
        <v>0</v>
      </c>
      <c r="NL231" s="561">
        <v>0</v>
      </c>
      <c r="NM231" s="561">
        <v>0</v>
      </c>
      <c r="NN231" s="561">
        <v>0</v>
      </c>
      <c r="NO231" s="561">
        <v>0</v>
      </c>
      <c r="NP231" s="561">
        <v>0</v>
      </c>
      <c r="NQ231" s="561">
        <v>0</v>
      </c>
      <c r="NR231" s="561">
        <v>0</v>
      </c>
      <c r="NS231" s="561">
        <v>0</v>
      </c>
      <c r="NT231" s="561">
        <v>0</v>
      </c>
      <c r="NU231" s="561">
        <v>0</v>
      </c>
      <c r="NV231" s="561">
        <v>0</v>
      </c>
      <c r="NW231" s="561">
        <v>0</v>
      </c>
      <c r="NX231" s="561">
        <v>0</v>
      </c>
      <c r="NY231" s="561">
        <v>0</v>
      </c>
      <c r="NZ231" s="561">
        <v>0</v>
      </c>
      <c r="OA231" s="561">
        <v>0</v>
      </c>
      <c r="OB231" s="561">
        <v>0</v>
      </c>
      <c r="OC231" s="561">
        <v>0</v>
      </c>
      <c r="OD231" s="561">
        <v>0</v>
      </c>
      <c r="OE231" s="561">
        <v>0</v>
      </c>
      <c r="OF231" s="561">
        <v>0</v>
      </c>
      <c r="OG231" s="561">
        <v>0</v>
      </c>
      <c r="OH231" s="561">
        <v>0</v>
      </c>
      <c r="OI231" s="561">
        <v>0</v>
      </c>
      <c r="OJ231" s="561">
        <v>0</v>
      </c>
      <c r="OK231" s="561">
        <v>0</v>
      </c>
      <c r="OL231" s="561">
        <v>0</v>
      </c>
      <c r="OM231" s="561">
        <v>0</v>
      </c>
      <c r="ON231" s="561">
        <v>0</v>
      </c>
      <c r="OO231" s="561">
        <v>0</v>
      </c>
      <c r="OP231" s="561">
        <v>0</v>
      </c>
      <c r="OQ231" s="561">
        <v>0</v>
      </c>
      <c r="OR231" s="561">
        <v>0</v>
      </c>
      <c r="OS231" s="561">
        <v>0</v>
      </c>
      <c r="OT231" s="561">
        <v>0</v>
      </c>
      <c r="OU231" s="561">
        <v>0</v>
      </c>
      <c r="OV231" s="561">
        <v>0</v>
      </c>
      <c r="OW231" s="561">
        <v>0</v>
      </c>
      <c r="OX231" s="561">
        <v>0</v>
      </c>
      <c r="OY231" s="561">
        <v>0</v>
      </c>
      <c r="OZ231" s="561">
        <v>0</v>
      </c>
      <c r="PA231" s="561">
        <v>0</v>
      </c>
      <c r="PB231" s="561">
        <v>0</v>
      </c>
      <c r="PC231" s="561">
        <v>0</v>
      </c>
      <c r="PD231" s="561">
        <v>0</v>
      </c>
      <c r="PE231" s="561">
        <v>0</v>
      </c>
      <c r="PF231" s="561">
        <v>0</v>
      </c>
      <c r="PG231" s="561">
        <v>0</v>
      </c>
      <c r="PH231" s="561">
        <v>0</v>
      </c>
      <c r="PI231" s="561">
        <v>0</v>
      </c>
      <c r="PJ231" s="561">
        <v>0</v>
      </c>
    </row>
    <row r="232" spans="1:426" ht="14" x14ac:dyDescent="0.3">
      <c r="A232" t="s">
        <v>3139</v>
      </c>
      <c r="B232" t="s">
        <v>3140</v>
      </c>
      <c r="C232" t="s">
        <v>4634</v>
      </c>
      <c r="E232" t="s">
        <v>384</v>
      </c>
      <c r="F232" s="561">
        <v>0</v>
      </c>
      <c r="G232" s="561">
        <v>0</v>
      </c>
      <c r="H232" s="561">
        <v>0</v>
      </c>
      <c r="I232" s="561">
        <v>0</v>
      </c>
      <c r="J232" s="561">
        <v>0</v>
      </c>
      <c r="K232" s="561">
        <v>0</v>
      </c>
      <c r="L232" s="561">
        <v>0</v>
      </c>
      <c r="M232" s="561">
        <v>0</v>
      </c>
      <c r="N232" s="561">
        <v>0</v>
      </c>
      <c r="O232" s="561">
        <v>0</v>
      </c>
      <c r="P232" s="561">
        <v>0</v>
      </c>
      <c r="Q232" s="561">
        <v>0</v>
      </c>
      <c r="R232" s="561">
        <v>0</v>
      </c>
      <c r="S232" s="561">
        <v>0</v>
      </c>
      <c r="T232" s="561">
        <v>0</v>
      </c>
      <c r="U232" s="561">
        <v>0</v>
      </c>
      <c r="V232" s="561">
        <v>0</v>
      </c>
      <c r="W232" s="561">
        <v>0</v>
      </c>
      <c r="X232" s="561">
        <v>0</v>
      </c>
      <c r="Y232" s="561">
        <v>0</v>
      </c>
      <c r="Z232" s="561">
        <v>0</v>
      </c>
      <c r="AA232" s="561">
        <v>0</v>
      </c>
      <c r="AB232" s="561">
        <v>-673</v>
      </c>
      <c r="AC232" s="561">
        <v>0</v>
      </c>
      <c r="AD232" s="561">
        <v>0</v>
      </c>
      <c r="AE232" s="561">
        <v>0</v>
      </c>
      <c r="AF232" s="561">
        <v>0</v>
      </c>
      <c r="AG232" s="561">
        <v>0</v>
      </c>
      <c r="AH232" s="561">
        <v>0</v>
      </c>
      <c r="AI232" s="561">
        <v>0</v>
      </c>
      <c r="AJ232" s="561">
        <v>-673</v>
      </c>
      <c r="AK232" s="561">
        <v>4</v>
      </c>
      <c r="AL232" s="561">
        <v>0</v>
      </c>
      <c r="AM232" s="561">
        <v>0</v>
      </c>
      <c r="AN232" s="561">
        <v>0</v>
      </c>
      <c r="AO232" s="561">
        <v>0</v>
      </c>
      <c r="AP232" s="561">
        <v>0</v>
      </c>
      <c r="AQ232" s="561">
        <v>0</v>
      </c>
      <c r="AR232" s="561">
        <v>0</v>
      </c>
      <c r="AS232" s="561">
        <v>0</v>
      </c>
      <c r="AT232" s="561">
        <v>0</v>
      </c>
      <c r="AU232" s="561">
        <v>0</v>
      </c>
      <c r="AV232" s="561">
        <v>0</v>
      </c>
      <c r="AW232" s="561">
        <v>0</v>
      </c>
      <c r="AX232" s="561">
        <v>0</v>
      </c>
      <c r="AY232" s="561">
        <v>0</v>
      </c>
      <c r="AZ232" s="561">
        <v>0</v>
      </c>
      <c r="BA232" s="561">
        <v>0</v>
      </c>
      <c r="BB232" s="561">
        <v>0</v>
      </c>
      <c r="BC232" s="561">
        <v>0</v>
      </c>
      <c r="BD232" s="561">
        <v>0</v>
      </c>
      <c r="BE232" s="561">
        <v>0</v>
      </c>
      <c r="BF232" s="561">
        <v>0</v>
      </c>
      <c r="BG232" s="561">
        <v>0</v>
      </c>
      <c r="BH232" s="561">
        <v>0</v>
      </c>
      <c r="BI232" s="561">
        <v>0</v>
      </c>
      <c r="BJ232" s="561">
        <v>0</v>
      </c>
      <c r="BK232" s="561">
        <v>0</v>
      </c>
      <c r="BL232" s="561">
        <v>0</v>
      </c>
      <c r="BM232" s="561">
        <v>0</v>
      </c>
      <c r="BN232" s="561">
        <v>0</v>
      </c>
      <c r="BO232" s="561">
        <v>0</v>
      </c>
      <c r="BP232" s="561">
        <v>0</v>
      </c>
      <c r="BQ232" s="561">
        <v>0</v>
      </c>
      <c r="BR232" s="561">
        <v>0</v>
      </c>
      <c r="BS232" s="561">
        <v>0</v>
      </c>
      <c r="BT232" s="561">
        <v>0</v>
      </c>
      <c r="BU232" s="561">
        <v>0</v>
      </c>
      <c r="BV232" s="561">
        <v>0</v>
      </c>
      <c r="BW232" s="561">
        <v>0</v>
      </c>
      <c r="BX232" s="561">
        <v>0</v>
      </c>
      <c r="BY232" s="561">
        <v>0</v>
      </c>
      <c r="BZ232" s="561">
        <v>0</v>
      </c>
      <c r="CA232" s="561">
        <v>0</v>
      </c>
      <c r="CB232" s="561">
        <v>0</v>
      </c>
      <c r="CC232" s="561">
        <v>0</v>
      </c>
      <c r="CD232" s="561">
        <v>0</v>
      </c>
      <c r="CE232" s="561">
        <v>0</v>
      </c>
      <c r="CF232" s="561">
        <v>0</v>
      </c>
      <c r="CG232" s="561">
        <v>0</v>
      </c>
      <c r="CH232" s="561">
        <v>0</v>
      </c>
      <c r="CI232" s="561">
        <v>0</v>
      </c>
      <c r="CJ232" s="561">
        <v>0</v>
      </c>
      <c r="CK232" s="561">
        <v>0</v>
      </c>
      <c r="CL232" s="561">
        <v>0</v>
      </c>
      <c r="CM232" s="561">
        <v>0</v>
      </c>
      <c r="CN232" s="561">
        <v>0</v>
      </c>
      <c r="CO232" s="561">
        <v>0</v>
      </c>
      <c r="CP232" s="561">
        <v>0</v>
      </c>
      <c r="CQ232" s="561">
        <v>0</v>
      </c>
      <c r="CR232" s="561">
        <v>0</v>
      </c>
      <c r="CS232" s="561">
        <v>0</v>
      </c>
      <c r="CT232" s="561">
        <v>0</v>
      </c>
      <c r="CU232" s="561">
        <v>0</v>
      </c>
      <c r="CV232" s="561">
        <v>0</v>
      </c>
      <c r="CW232" s="561">
        <v>0</v>
      </c>
      <c r="CX232" s="561">
        <v>0</v>
      </c>
      <c r="CY232" s="561">
        <v>0</v>
      </c>
      <c r="CZ232" s="561">
        <v>0</v>
      </c>
      <c r="DA232" s="561">
        <v>0</v>
      </c>
      <c r="DB232" s="561">
        <v>0</v>
      </c>
      <c r="DC232" s="561">
        <v>0</v>
      </c>
      <c r="DD232" s="561">
        <v>0</v>
      </c>
      <c r="DE232" s="561">
        <v>0</v>
      </c>
      <c r="DF232" s="561">
        <v>0</v>
      </c>
      <c r="DG232" s="561">
        <v>0</v>
      </c>
      <c r="DH232" s="561">
        <v>423</v>
      </c>
      <c r="DI232" s="561">
        <v>0</v>
      </c>
      <c r="DJ232" s="561">
        <v>87</v>
      </c>
      <c r="DK232" s="561">
        <v>0</v>
      </c>
      <c r="DL232" s="561">
        <v>0</v>
      </c>
      <c r="DM232" s="561">
        <v>0</v>
      </c>
      <c r="DN232" s="561">
        <v>-11</v>
      </c>
      <c r="DO232" s="561">
        <v>0</v>
      </c>
      <c r="DP232" s="561">
        <v>0</v>
      </c>
      <c r="DQ232" s="561">
        <v>0</v>
      </c>
      <c r="DR232" s="561">
        <v>863</v>
      </c>
      <c r="DS232" s="561">
        <v>1</v>
      </c>
      <c r="DT232" s="561">
        <v>9</v>
      </c>
      <c r="DU232" s="561">
        <v>862</v>
      </c>
      <c r="DV232" s="561">
        <v>169</v>
      </c>
      <c r="DW232" s="561">
        <v>0</v>
      </c>
      <c r="DX232" s="561">
        <v>0</v>
      </c>
      <c r="DY232" s="561">
        <v>757</v>
      </c>
      <c r="DZ232" s="561">
        <v>0</v>
      </c>
      <c r="EA232" s="561">
        <v>0</v>
      </c>
      <c r="EB232" s="561">
        <v>-232</v>
      </c>
      <c r="EC232" s="561">
        <v>2066</v>
      </c>
      <c r="ED232" s="561">
        <v>0</v>
      </c>
      <c r="EE232" s="561">
        <v>27501.95</v>
      </c>
      <c r="EF232" s="561">
        <v>151.24</v>
      </c>
      <c r="EG232" s="561">
        <v>1245.08</v>
      </c>
      <c r="EH232" s="561">
        <v>1150.92</v>
      </c>
      <c r="EI232" s="561">
        <v>71.47</v>
      </c>
      <c r="EJ232" s="561">
        <v>97.63</v>
      </c>
      <c r="EK232" s="561">
        <v>274.19</v>
      </c>
      <c r="EL232" s="561">
        <v>0</v>
      </c>
      <c r="EM232" s="561">
        <v>0</v>
      </c>
      <c r="EN232" s="561">
        <v>6576.99</v>
      </c>
      <c r="EO232" s="561">
        <v>3150.76</v>
      </c>
      <c r="EP232" s="561">
        <v>1656.37</v>
      </c>
      <c r="EQ232" s="561">
        <v>762.63</v>
      </c>
      <c r="ER232" s="561">
        <v>3508.1</v>
      </c>
      <c r="ES232" s="561" t="s">
        <v>4565</v>
      </c>
      <c r="ET232" s="561">
        <v>5858.66</v>
      </c>
      <c r="EU232" s="561">
        <v>0</v>
      </c>
      <c r="EV232" s="561">
        <v>13.51</v>
      </c>
      <c r="EW232" s="561">
        <v>3257.96</v>
      </c>
      <c r="EX232" s="561">
        <v>4110.1499999999996</v>
      </c>
      <c r="EY232" s="561">
        <v>170.7</v>
      </c>
      <c r="EZ232" s="561">
        <v>1426.65</v>
      </c>
      <c r="FA232" s="561">
        <v>6225</v>
      </c>
      <c r="FB232" s="561">
        <v>0</v>
      </c>
      <c r="FC232" s="561">
        <v>301</v>
      </c>
      <c r="FD232" s="561">
        <v>343</v>
      </c>
      <c r="FE232" s="561">
        <v>632</v>
      </c>
      <c r="FF232" s="561">
        <v>465</v>
      </c>
      <c r="FG232" s="561">
        <v>66</v>
      </c>
      <c r="FH232" s="561">
        <v>0</v>
      </c>
      <c r="FI232" s="561">
        <v>548</v>
      </c>
      <c r="FJ232" s="561">
        <v>136</v>
      </c>
      <c r="FK232" s="561">
        <v>961</v>
      </c>
      <c r="FL232" s="561">
        <v>0</v>
      </c>
      <c r="FM232" s="561">
        <v>163</v>
      </c>
      <c r="FN232" s="561">
        <v>0</v>
      </c>
      <c r="FO232" s="561">
        <v>3615</v>
      </c>
      <c r="FP232" s="561">
        <v>0</v>
      </c>
      <c r="FQ232" s="561">
        <v>46</v>
      </c>
      <c r="FR232" s="561">
        <v>0</v>
      </c>
      <c r="FS232" s="561">
        <v>0</v>
      </c>
      <c r="FT232" s="561">
        <v>0</v>
      </c>
      <c r="FU232" s="561">
        <v>938</v>
      </c>
      <c r="FV232" s="561">
        <v>0</v>
      </c>
      <c r="FW232" s="561">
        <v>45</v>
      </c>
      <c r="FX232" s="561">
        <v>0</v>
      </c>
      <c r="FY232" s="561">
        <v>0</v>
      </c>
      <c r="FZ232" s="561">
        <v>0</v>
      </c>
      <c r="GA232" s="561">
        <v>2</v>
      </c>
      <c r="GB232" s="561">
        <v>19</v>
      </c>
      <c r="GC232" s="561">
        <v>143</v>
      </c>
      <c r="GD232" s="561">
        <v>358</v>
      </c>
      <c r="GE232" s="561">
        <v>296</v>
      </c>
      <c r="GF232" s="561">
        <v>219</v>
      </c>
      <c r="GG232" s="561">
        <v>-79</v>
      </c>
      <c r="GH232" s="561">
        <v>0</v>
      </c>
      <c r="GI232" s="561">
        <v>950</v>
      </c>
      <c r="GJ232" s="561">
        <v>0</v>
      </c>
      <c r="GK232" s="561">
        <v>0</v>
      </c>
      <c r="GL232" s="561">
        <v>1958</v>
      </c>
      <c r="GM232" s="561">
        <v>2597</v>
      </c>
      <c r="GN232" s="561">
        <v>0</v>
      </c>
      <c r="GO232" s="561">
        <v>0</v>
      </c>
      <c r="GP232" s="561">
        <v>0</v>
      </c>
      <c r="GQ232" s="561">
        <v>0</v>
      </c>
      <c r="GR232" s="561">
        <v>69</v>
      </c>
      <c r="GS232" s="561">
        <v>7561</v>
      </c>
      <c r="GT232" s="561">
        <v>27</v>
      </c>
      <c r="GU232" s="561">
        <v>125</v>
      </c>
      <c r="GV232" s="561">
        <v>1332</v>
      </c>
      <c r="GW232" s="561">
        <v>0</v>
      </c>
      <c r="GX232" s="561">
        <v>885</v>
      </c>
      <c r="GY232" s="561">
        <v>0</v>
      </c>
      <c r="GZ232" s="561">
        <v>2236</v>
      </c>
      <c r="HA232" s="561">
        <v>0</v>
      </c>
      <c r="HB232" s="561">
        <v>-1</v>
      </c>
      <c r="HC232" s="561">
        <v>2</v>
      </c>
      <c r="HD232" s="561">
        <v>4579</v>
      </c>
      <c r="HE232" s="561">
        <v>175</v>
      </c>
      <c r="HF232" s="561">
        <v>15755</v>
      </c>
      <c r="HG232" s="561">
        <v>203</v>
      </c>
      <c r="HH232" s="561">
        <v>0</v>
      </c>
      <c r="HI232" s="561">
        <v>0</v>
      </c>
      <c r="HJ232" s="561">
        <v>0</v>
      </c>
      <c r="HK232" s="561">
        <v>0</v>
      </c>
      <c r="HL232" s="561">
        <v>0</v>
      </c>
      <c r="HM232" s="561">
        <v>0</v>
      </c>
      <c r="HN232" s="561">
        <v>0</v>
      </c>
      <c r="HO232" s="561">
        <v>1759</v>
      </c>
      <c r="HP232" s="561">
        <v>1188</v>
      </c>
      <c r="HQ232" s="561">
        <v>0</v>
      </c>
      <c r="HR232" s="561">
        <v>224</v>
      </c>
      <c r="HS232" s="561">
        <v>0</v>
      </c>
      <c r="HT232" s="561">
        <v>2</v>
      </c>
      <c r="HU232" s="561">
        <v>0</v>
      </c>
      <c r="HV232" s="561">
        <v>0</v>
      </c>
      <c r="HW232" s="561">
        <v>422</v>
      </c>
      <c r="HX232" s="561">
        <v>69</v>
      </c>
      <c r="HY232" s="561">
        <v>148</v>
      </c>
      <c r="HZ232" s="561">
        <v>2</v>
      </c>
      <c r="IA232" s="561">
        <v>0</v>
      </c>
      <c r="IB232" s="561">
        <v>697</v>
      </c>
      <c r="IC232" s="561">
        <v>0</v>
      </c>
      <c r="ID232" s="561">
        <v>0</v>
      </c>
      <c r="IE232" s="561">
        <v>211</v>
      </c>
      <c r="IF232" s="561">
        <v>0</v>
      </c>
      <c r="IG232" s="561">
        <v>18</v>
      </c>
      <c r="IH232" s="561">
        <v>2234</v>
      </c>
      <c r="II232" s="561">
        <v>6974</v>
      </c>
      <c r="IJ232" s="561">
        <v>89</v>
      </c>
      <c r="IK232" s="561">
        <v>9595</v>
      </c>
      <c r="IL232" s="561">
        <v>1609</v>
      </c>
      <c r="IM232" s="561">
        <v>0</v>
      </c>
      <c r="IN232" s="561">
        <v>428</v>
      </c>
      <c r="IO232" s="561">
        <v>18</v>
      </c>
      <c r="IP232" s="561">
        <v>939</v>
      </c>
      <c r="IQ232" s="561">
        <v>216</v>
      </c>
      <c r="IR232" s="561">
        <v>0</v>
      </c>
      <c r="IS232" s="561">
        <v>-673</v>
      </c>
      <c r="IT232" s="561">
        <v>0</v>
      </c>
      <c r="IU232" s="561">
        <v>0</v>
      </c>
      <c r="IV232" s="561">
        <v>0</v>
      </c>
      <c r="IW232" s="561">
        <v>2066</v>
      </c>
      <c r="IX232" s="561">
        <v>3615</v>
      </c>
      <c r="IY232" s="561">
        <v>7561</v>
      </c>
      <c r="IZ232" s="561">
        <v>4579</v>
      </c>
      <c r="JA232" s="561">
        <v>0</v>
      </c>
      <c r="JB232" s="561">
        <v>0</v>
      </c>
      <c r="JC232" s="561">
        <v>6974</v>
      </c>
      <c r="JD232" s="561">
        <v>939</v>
      </c>
      <c r="JE232" s="561">
        <v>25061</v>
      </c>
      <c r="JF232" s="561">
        <v>10356</v>
      </c>
      <c r="JG232" s="561">
        <v>0</v>
      </c>
      <c r="JH232" s="561">
        <v>8626</v>
      </c>
      <c r="JI232" s="561">
        <v>0</v>
      </c>
      <c r="JJ232" s="561">
        <v>-2816</v>
      </c>
      <c r="JK232" s="561">
        <v>3881</v>
      </c>
      <c r="JL232" s="561">
        <v>0</v>
      </c>
      <c r="JM232" s="561">
        <v>0</v>
      </c>
      <c r="JN232" s="561">
        <v>0</v>
      </c>
      <c r="JO232" s="561">
        <v>-256</v>
      </c>
      <c r="JP232" s="561">
        <v>-134</v>
      </c>
      <c r="JQ232" s="561">
        <v>0</v>
      </c>
      <c r="JR232" s="561">
        <v>0</v>
      </c>
      <c r="JS232" s="561">
        <v>0</v>
      </c>
      <c r="JT232" s="561">
        <v>0</v>
      </c>
      <c r="JU232" s="561">
        <v>0</v>
      </c>
      <c r="JV232" s="561">
        <v>44718</v>
      </c>
      <c r="JW232" s="561">
        <v>0</v>
      </c>
      <c r="JX232" s="561">
        <v>1984</v>
      </c>
      <c r="JY232" s="561">
        <v>0</v>
      </c>
      <c r="JZ232" s="561">
        <v>0</v>
      </c>
      <c r="KA232" s="561">
        <v>0</v>
      </c>
      <c r="KB232" s="561">
        <v>-100</v>
      </c>
      <c r="KC232" s="561">
        <v>828</v>
      </c>
      <c r="KD232" s="561">
        <v>0</v>
      </c>
      <c r="KE232" s="561">
        <v>3831.1</v>
      </c>
      <c r="KF232" s="561">
        <v>-3508.1</v>
      </c>
      <c r="KG232" s="561">
        <v>47753</v>
      </c>
      <c r="KH232" s="561">
        <v>-2700</v>
      </c>
      <c r="KI232" s="561">
        <v>0</v>
      </c>
      <c r="KJ232" s="561">
        <v>0</v>
      </c>
      <c r="KK232" s="561">
        <v>0</v>
      </c>
      <c r="KL232" s="561">
        <v>-19103</v>
      </c>
      <c r="KM232" s="561">
        <v>0</v>
      </c>
      <c r="KN232" s="561">
        <v>-25</v>
      </c>
      <c r="KO232" s="561">
        <v>0</v>
      </c>
      <c r="KP232" s="561">
        <v>0</v>
      </c>
      <c r="KQ232" s="561">
        <v>0</v>
      </c>
      <c r="KR232" s="561">
        <v>25925</v>
      </c>
      <c r="KS232" s="561">
        <v>0</v>
      </c>
      <c r="KT232" s="561">
        <v>-4829</v>
      </c>
      <c r="KU232" s="561">
        <v>21096</v>
      </c>
      <c r="KV232" s="561">
        <v>0</v>
      </c>
      <c r="KW232" s="561">
        <v>0</v>
      </c>
      <c r="KX232" s="561">
        <v>0</v>
      </c>
      <c r="KY232" s="561">
        <v>0</v>
      </c>
      <c r="KZ232" s="561">
        <v>2964</v>
      </c>
      <c r="LA232" s="561">
        <v>0</v>
      </c>
      <c r="LB232" s="561">
        <v>-244</v>
      </c>
      <c r="LC232" s="561">
        <v>0</v>
      </c>
      <c r="LD232" s="561">
        <v>-11758</v>
      </c>
      <c r="LE232" s="561">
        <v>109</v>
      </c>
      <c r="LF232" s="561">
        <v>0</v>
      </c>
      <c r="LG232" s="561">
        <v>12167</v>
      </c>
      <c r="LH232" s="561">
        <v>0</v>
      </c>
      <c r="LI232" s="561">
        <v>0</v>
      </c>
      <c r="LJ232" s="561">
        <v>0</v>
      </c>
      <c r="LK232" s="561">
        <v>0</v>
      </c>
      <c r="LL232" s="561">
        <v>31151</v>
      </c>
      <c r="LM232" s="561">
        <v>1500</v>
      </c>
      <c r="LN232" s="561">
        <v>0</v>
      </c>
      <c r="LO232" s="561">
        <v>0</v>
      </c>
      <c r="LP232" s="561">
        <v>0</v>
      </c>
      <c r="LQ232" s="561">
        <v>0</v>
      </c>
      <c r="LR232" s="561">
        <v>34115</v>
      </c>
      <c r="LS232" s="561">
        <v>1500</v>
      </c>
      <c r="LT232" s="561">
        <v>0</v>
      </c>
      <c r="LU232" s="561">
        <v>2435</v>
      </c>
      <c r="LV232" s="561">
        <v>74</v>
      </c>
      <c r="LW232" s="561">
        <v>-1871</v>
      </c>
      <c r="LX232" s="561">
        <v>-11145</v>
      </c>
      <c r="LY232" s="561">
        <v>5216</v>
      </c>
      <c r="LZ232" s="561">
        <v>-5291</v>
      </c>
      <c r="MA232" s="561">
        <v>0</v>
      </c>
      <c r="MB232" s="561">
        <v>0</v>
      </c>
      <c r="MC232" s="561">
        <v>30492.48</v>
      </c>
      <c r="MD232" s="561">
        <v>29065.83</v>
      </c>
      <c r="ME232" s="561">
        <v>1426.65</v>
      </c>
      <c r="MF232" s="561">
        <v>6225</v>
      </c>
      <c r="MG232" s="561">
        <v>7651.65</v>
      </c>
      <c r="MH232" s="561">
        <v>3981</v>
      </c>
      <c r="MI232" s="561">
        <v>3598</v>
      </c>
      <c r="MJ232" s="561">
        <v>7579</v>
      </c>
      <c r="MK232" s="561">
        <v>0</v>
      </c>
      <c r="ML232" s="561">
        <v>0</v>
      </c>
      <c r="MM232" s="561">
        <v>8357</v>
      </c>
      <c r="MN232" s="561">
        <v>838</v>
      </c>
      <c r="MO232" s="561">
        <v>9012</v>
      </c>
      <c r="MP232" s="561">
        <v>15908</v>
      </c>
      <c r="MQ232" s="561">
        <v>0</v>
      </c>
      <c r="MR232" s="561">
        <v>-673</v>
      </c>
      <c r="MS232" s="561">
        <v>0</v>
      </c>
      <c r="MT232" s="561">
        <v>0</v>
      </c>
      <c r="MU232" s="561">
        <v>0</v>
      </c>
      <c r="MV232" s="561">
        <v>2066</v>
      </c>
      <c r="MW232" s="561">
        <v>3615</v>
      </c>
      <c r="MX232" s="561">
        <v>7561</v>
      </c>
      <c r="MY232" s="561">
        <v>4579</v>
      </c>
      <c r="MZ232" s="561">
        <v>0</v>
      </c>
      <c r="NA232" s="561">
        <v>0</v>
      </c>
      <c r="NB232" s="561">
        <v>6974</v>
      </c>
      <c r="NC232" s="561">
        <v>939</v>
      </c>
      <c r="ND232" s="561">
        <v>25061</v>
      </c>
      <c r="NE232" s="561">
        <v>0</v>
      </c>
      <c r="NF232" s="561">
        <v>0</v>
      </c>
      <c r="NG232" s="561">
        <v>0</v>
      </c>
      <c r="NH232" s="561">
        <v>0</v>
      </c>
      <c r="NI232" s="561">
        <v>0</v>
      </c>
      <c r="NJ232" s="561">
        <v>0</v>
      </c>
      <c r="NK232" s="561">
        <v>0</v>
      </c>
      <c r="NL232" s="561">
        <v>0</v>
      </c>
      <c r="NM232" s="561">
        <v>0</v>
      </c>
      <c r="NN232" s="561">
        <v>0</v>
      </c>
      <c r="NO232" s="561">
        <v>0</v>
      </c>
      <c r="NP232" s="561">
        <v>0</v>
      </c>
      <c r="NQ232" s="561">
        <v>0</v>
      </c>
      <c r="NR232" s="561">
        <v>0</v>
      </c>
      <c r="NS232" s="561">
        <v>0</v>
      </c>
      <c r="NT232" s="561">
        <v>-218</v>
      </c>
      <c r="NU232" s="561">
        <v>0</v>
      </c>
      <c r="NV232" s="561">
        <v>0</v>
      </c>
      <c r="NW232" s="561">
        <v>-134</v>
      </c>
      <c r="NX232" s="561">
        <v>0</v>
      </c>
      <c r="NY232" s="561">
        <v>-134</v>
      </c>
      <c r="NZ232" s="561">
        <v>0</v>
      </c>
      <c r="OA232" s="561">
        <v>0</v>
      </c>
      <c r="OB232" s="561">
        <v>0</v>
      </c>
      <c r="OC232" s="561">
        <v>0</v>
      </c>
      <c r="OD232" s="561">
        <v>0</v>
      </c>
      <c r="OE232" s="561">
        <v>0</v>
      </c>
      <c r="OF232" s="561">
        <v>0</v>
      </c>
      <c r="OG232" s="561">
        <v>0</v>
      </c>
      <c r="OH232" s="561">
        <v>0</v>
      </c>
      <c r="OI232" s="561">
        <v>0</v>
      </c>
      <c r="OJ232" s="561">
        <v>0</v>
      </c>
      <c r="OK232" s="561">
        <v>0</v>
      </c>
      <c r="OL232" s="561">
        <v>0</v>
      </c>
      <c r="OM232" s="561">
        <v>0</v>
      </c>
      <c r="ON232" s="561">
        <v>0</v>
      </c>
      <c r="OO232" s="561">
        <v>0</v>
      </c>
      <c r="OP232" s="561">
        <v>0</v>
      </c>
      <c r="OQ232" s="561">
        <v>0</v>
      </c>
      <c r="OR232" s="561">
        <v>0</v>
      </c>
      <c r="OS232" s="561">
        <v>0</v>
      </c>
      <c r="OT232" s="561">
        <v>0</v>
      </c>
      <c r="OU232" s="561">
        <v>0</v>
      </c>
      <c r="OV232" s="561">
        <v>0</v>
      </c>
      <c r="OW232" s="561">
        <v>0</v>
      </c>
      <c r="OX232" s="561">
        <v>0</v>
      </c>
      <c r="OY232" s="561">
        <v>0</v>
      </c>
      <c r="OZ232" s="561">
        <v>0</v>
      </c>
      <c r="PA232" s="561">
        <v>0</v>
      </c>
      <c r="PB232" s="561">
        <v>0</v>
      </c>
      <c r="PC232" s="561">
        <v>0</v>
      </c>
      <c r="PD232" s="561">
        <v>0</v>
      </c>
      <c r="PE232" s="561">
        <v>0</v>
      </c>
      <c r="PF232" s="561">
        <v>0</v>
      </c>
      <c r="PG232" s="561">
        <v>0</v>
      </c>
      <c r="PH232" s="561">
        <v>0</v>
      </c>
      <c r="PI232" s="561">
        <v>0</v>
      </c>
      <c r="PJ232" s="561">
        <v>0</v>
      </c>
    </row>
    <row r="233" spans="1:426" ht="14" x14ac:dyDescent="0.3">
      <c r="A233" t="s">
        <v>3142</v>
      </c>
      <c r="B233" t="s">
        <v>3143</v>
      </c>
      <c r="C233" t="s">
        <v>4635</v>
      </c>
      <c r="E233" t="s">
        <v>379</v>
      </c>
      <c r="F233" s="561">
        <v>30302</v>
      </c>
      <c r="G233" s="561">
        <v>59528</v>
      </c>
      <c r="H233" s="561">
        <v>6409</v>
      </c>
      <c r="I233" s="561">
        <v>30863</v>
      </c>
      <c r="J233" s="561">
        <v>9262</v>
      </c>
      <c r="K233" s="561">
        <v>61081</v>
      </c>
      <c r="L233" s="561">
        <v>197445</v>
      </c>
      <c r="M233" s="561">
        <v>1686</v>
      </c>
      <c r="N233" s="561">
        <v>1</v>
      </c>
      <c r="O233" s="561">
        <v>-1686</v>
      </c>
      <c r="P233" s="561">
        <v>0</v>
      </c>
      <c r="Q233" s="561">
        <v>0</v>
      </c>
      <c r="R233" s="561">
        <v>542</v>
      </c>
      <c r="S233" s="561">
        <v>596</v>
      </c>
      <c r="T233" s="561">
        <v>2368</v>
      </c>
      <c r="U233" s="561">
        <v>459</v>
      </c>
      <c r="V233" s="561">
        <v>9366</v>
      </c>
      <c r="W233" s="561">
        <v>0</v>
      </c>
      <c r="X233" s="561">
        <v>-464</v>
      </c>
      <c r="Y233" s="561">
        <v>295</v>
      </c>
      <c r="Z233" s="561">
        <v>645</v>
      </c>
      <c r="AA233" s="561">
        <v>-5743</v>
      </c>
      <c r="AB233" s="561">
        <v>-5665</v>
      </c>
      <c r="AC233" s="561">
        <v>0</v>
      </c>
      <c r="AD233" s="561">
        <v>0</v>
      </c>
      <c r="AE233" s="561">
        <v>-658</v>
      </c>
      <c r="AF233" s="561">
        <v>0</v>
      </c>
      <c r="AG233" s="561">
        <v>200</v>
      </c>
      <c r="AH233" s="561">
        <v>-168</v>
      </c>
      <c r="AI233" s="561">
        <v>0</v>
      </c>
      <c r="AJ233" s="561">
        <v>88</v>
      </c>
      <c r="AK233" s="561">
        <v>23</v>
      </c>
      <c r="AL233" s="561">
        <v>0</v>
      </c>
      <c r="AM233" s="561">
        <v>0</v>
      </c>
      <c r="AN233" s="561">
        <v>0</v>
      </c>
      <c r="AO233" s="561">
        <v>0</v>
      </c>
      <c r="AP233" s="561">
        <v>0</v>
      </c>
      <c r="AQ233" s="561">
        <v>56</v>
      </c>
      <c r="AR233" s="561">
        <v>433</v>
      </c>
      <c r="AS233" s="561">
        <v>3096</v>
      </c>
      <c r="AT233" s="561">
        <v>5412</v>
      </c>
      <c r="AU233" s="561">
        <v>0</v>
      </c>
      <c r="AV233" s="561">
        <v>0</v>
      </c>
      <c r="AW233" s="561">
        <v>0</v>
      </c>
      <c r="AX233" s="561">
        <v>7753</v>
      </c>
      <c r="AY233" s="561">
        <v>47007</v>
      </c>
      <c r="AZ233" s="561">
        <v>0</v>
      </c>
      <c r="BA233" s="561">
        <v>9577</v>
      </c>
      <c r="BB233" s="561">
        <v>2863</v>
      </c>
      <c r="BC233" s="561">
        <v>19575</v>
      </c>
      <c r="BD233" s="561">
        <v>123</v>
      </c>
      <c r="BE233" s="561">
        <v>8</v>
      </c>
      <c r="BF233" s="561">
        <v>86906</v>
      </c>
      <c r="BG233" s="561">
        <v>2313</v>
      </c>
      <c r="BH233" s="561">
        <v>6466</v>
      </c>
      <c r="BI233" s="561">
        <v>26487</v>
      </c>
      <c r="BJ233" s="561">
        <v>140</v>
      </c>
      <c r="BK233" s="561">
        <v>64</v>
      </c>
      <c r="BL233" s="561">
        <v>1009</v>
      </c>
      <c r="BM233" s="561">
        <v>11551</v>
      </c>
      <c r="BN233" s="561">
        <v>63382</v>
      </c>
      <c r="BO233" s="561">
        <v>13467</v>
      </c>
      <c r="BP233" s="561">
        <v>5673</v>
      </c>
      <c r="BQ233" s="561">
        <v>5494</v>
      </c>
      <c r="BR233" s="561">
        <v>-308</v>
      </c>
      <c r="BS233" s="561">
        <v>173</v>
      </c>
      <c r="BT233" s="561">
        <v>1114</v>
      </c>
      <c r="BU233" s="561">
        <v>269</v>
      </c>
      <c r="BV233" s="561">
        <v>649</v>
      </c>
      <c r="BW233" s="561">
        <v>18809</v>
      </c>
      <c r="BX233" s="561">
        <v>1146</v>
      </c>
      <c r="BY233" s="561">
        <v>5366</v>
      </c>
      <c r="BZ233" s="561">
        <v>160951</v>
      </c>
      <c r="CA233" s="561">
        <v>241</v>
      </c>
      <c r="CB233" s="561">
        <v>3685</v>
      </c>
      <c r="CC233" s="561">
        <v>2557</v>
      </c>
      <c r="CD233" s="561">
        <v>790</v>
      </c>
      <c r="CE233" s="561">
        <v>358</v>
      </c>
      <c r="CF233" s="561">
        <v>261</v>
      </c>
      <c r="CG233" s="561">
        <v>59</v>
      </c>
      <c r="CH233" s="561">
        <v>475</v>
      </c>
      <c r="CI233" s="561">
        <v>708</v>
      </c>
      <c r="CJ233" s="561">
        <v>578</v>
      </c>
      <c r="CK233" s="561">
        <v>708</v>
      </c>
      <c r="CL233" s="561">
        <v>578</v>
      </c>
      <c r="CM233" s="561">
        <v>4032</v>
      </c>
      <c r="CN233" s="561">
        <v>3030</v>
      </c>
      <c r="CO233" s="561">
        <v>233</v>
      </c>
      <c r="CP233" s="561">
        <v>312</v>
      </c>
      <c r="CQ233" s="561">
        <v>390</v>
      </c>
      <c r="CR233" s="561">
        <v>935</v>
      </c>
      <c r="CS233" s="561">
        <v>58</v>
      </c>
      <c r="CT233" s="561">
        <v>3677</v>
      </c>
      <c r="CU233" s="561">
        <v>5269</v>
      </c>
      <c r="CV233" s="561">
        <v>1194</v>
      </c>
      <c r="CW233" s="561">
        <v>548</v>
      </c>
      <c r="CX233" s="561">
        <v>388</v>
      </c>
      <c r="CY233" s="561">
        <v>2541</v>
      </c>
      <c r="CZ233" s="561">
        <v>33364</v>
      </c>
      <c r="DA233" s="561">
        <v>255</v>
      </c>
      <c r="DB233" s="561">
        <v>0</v>
      </c>
      <c r="DC233" s="561">
        <v>0</v>
      </c>
      <c r="DD233" s="561">
        <v>0</v>
      </c>
      <c r="DE233" s="561">
        <v>0</v>
      </c>
      <c r="DF233" s="561">
        <v>0</v>
      </c>
      <c r="DG233" s="561">
        <v>0</v>
      </c>
      <c r="DH233" s="561">
        <v>2797</v>
      </c>
      <c r="DI233" s="561">
        <v>0</v>
      </c>
      <c r="DJ233" s="561">
        <v>0</v>
      </c>
      <c r="DK233" s="561">
        <v>0</v>
      </c>
      <c r="DL233" s="561">
        <v>0</v>
      </c>
      <c r="DM233" s="561">
        <v>0</v>
      </c>
      <c r="DN233" s="561">
        <v>1351</v>
      </c>
      <c r="DO233" s="561">
        <v>0</v>
      </c>
      <c r="DP233" s="561">
        <v>0</v>
      </c>
      <c r="DQ233" s="561">
        <v>0</v>
      </c>
      <c r="DR233" s="561">
        <v>0</v>
      </c>
      <c r="DS233" s="561">
        <v>1919</v>
      </c>
      <c r="DT233" s="561">
        <v>995</v>
      </c>
      <c r="DU233" s="561">
        <v>4265</v>
      </c>
      <c r="DV233" s="561">
        <v>0</v>
      </c>
      <c r="DW233" s="561">
        <v>0</v>
      </c>
      <c r="DX233" s="561">
        <v>0</v>
      </c>
      <c r="DY233" s="561">
        <v>0</v>
      </c>
      <c r="DZ233" s="561">
        <v>0</v>
      </c>
      <c r="EA233" s="561">
        <v>1321</v>
      </c>
      <c r="EB233" s="561">
        <v>6519</v>
      </c>
      <c r="EC233" s="561">
        <v>14902</v>
      </c>
      <c r="ED233" s="561">
        <v>0</v>
      </c>
      <c r="EE233" s="561">
        <v>117012</v>
      </c>
      <c r="EF233" s="561">
        <v>1636</v>
      </c>
      <c r="EG233" s="561">
        <v>15478</v>
      </c>
      <c r="EH233" s="561">
        <v>1649</v>
      </c>
      <c r="EI233" s="561">
        <v>0</v>
      </c>
      <c r="EJ233" s="561">
        <v>1</v>
      </c>
      <c r="EK233" s="561">
        <v>217</v>
      </c>
      <c r="EL233" s="561">
        <v>0</v>
      </c>
      <c r="EM233" s="561">
        <v>0</v>
      </c>
      <c r="EN233" s="561">
        <v>29053</v>
      </c>
      <c r="EO233" s="561">
        <v>26754</v>
      </c>
      <c r="EP233" s="561">
        <v>21165</v>
      </c>
      <c r="EQ233" s="561">
        <v>3844</v>
      </c>
      <c r="ER233" s="561">
        <v>0</v>
      </c>
      <c r="ES233" s="561" t="s">
        <v>4565</v>
      </c>
      <c r="ET233" s="561">
        <v>36961</v>
      </c>
      <c r="EU233" s="561">
        <v>271</v>
      </c>
      <c r="EV233" s="561">
        <v>44</v>
      </c>
      <c r="EW233" s="561">
        <v>16035</v>
      </c>
      <c r="EX233" s="561">
        <v>0</v>
      </c>
      <c r="EY233" s="561">
        <v>772</v>
      </c>
      <c r="EZ233" s="561">
        <v>1094</v>
      </c>
      <c r="FA233" s="561">
        <v>3343</v>
      </c>
      <c r="FB233" s="561">
        <v>138</v>
      </c>
      <c r="FC233" s="561">
        <v>945</v>
      </c>
      <c r="FD233" s="561">
        <v>0</v>
      </c>
      <c r="FE233" s="561">
        <v>1142</v>
      </c>
      <c r="FF233" s="561">
        <v>340</v>
      </c>
      <c r="FG233" s="561">
        <v>0</v>
      </c>
      <c r="FH233" s="561">
        <v>0</v>
      </c>
      <c r="FI233" s="561">
        <v>493</v>
      </c>
      <c r="FJ233" s="561">
        <v>1574</v>
      </c>
      <c r="FK233" s="561">
        <v>2388</v>
      </c>
      <c r="FL233" s="561">
        <v>0</v>
      </c>
      <c r="FM233" s="561">
        <v>0</v>
      </c>
      <c r="FN233" s="561">
        <v>6804</v>
      </c>
      <c r="FO233" s="561">
        <v>13824</v>
      </c>
      <c r="FP233" s="561">
        <v>180</v>
      </c>
      <c r="FQ233" s="561">
        <v>-654</v>
      </c>
      <c r="FR233" s="561">
        <v>248</v>
      </c>
      <c r="FS233" s="561">
        <v>0</v>
      </c>
      <c r="FT233" s="561">
        <v>442</v>
      </c>
      <c r="FU233" s="561">
        <v>1147</v>
      </c>
      <c r="FV233" s="561">
        <v>305</v>
      </c>
      <c r="FW233" s="561">
        <v>-38</v>
      </c>
      <c r="FX233" s="561">
        <v>0</v>
      </c>
      <c r="FY233" s="561">
        <v>36</v>
      </c>
      <c r="FZ233" s="561">
        <v>-113</v>
      </c>
      <c r="GA233" s="561">
        <v>0</v>
      </c>
      <c r="GB233" s="561">
        <v>93</v>
      </c>
      <c r="GC233" s="561">
        <v>517</v>
      </c>
      <c r="GD233" s="561">
        <v>109</v>
      </c>
      <c r="GE233" s="561">
        <v>666</v>
      </c>
      <c r="GF233" s="561">
        <v>-25</v>
      </c>
      <c r="GG233" s="561">
        <v>49</v>
      </c>
      <c r="GH233" s="561">
        <v>0</v>
      </c>
      <c r="GI233" s="561">
        <v>0</v>
      </c>
      <c r="GJ233" s="561">
        <v>0</v>
      </c>
      <c r="GK233" s="561">
        <v>0</v>
      </c>
      <c r="GL233" s="561">
        <v>7572</v>
      </c>
      <c r="GM233" s="561">
        <v>4794</v>
      </c>
      <c r="GN233" s="561">
        <v>15679</v>
      </c>
      <c r="GO233" s="561">
        <v>-227</v>
      </c>
      <c r="GP233" s="561">
        <v>4550</v>
      </c>
      <c r="GQ233" s="561">
        <v>0</v>
      </c>
      <c r="GR233" s="561">
        <v>0</v>
      </c>
      <c r="GS233" s="561">
        <v>35150</v>
      </c>
      <c r="GT233" s="561">
        <v>1054</v>
      </c>
      <c r="GU233" s="561">
        <v>303</v>
      </c>
      <c r="GV233" s="561">
        <v>2625</v>
      </c>
      <c r="GW233" s="561">
        <v>624</v>
      </c>
      <c r="GX233" s="561">
        <v>498</v>
      </c>
      <c r="GY233" s="561">
        <v>83</v>
      </c>
      <c r="GZ233" s="561">
        <v>-1238</v>
      </c>
      <c r="HA233" s="561">
        <v>0</v>
      </c>
      <c r="HB233" s="561">
        <v>-271</v>
      </c>
      <c r="HC233" s="561">
        <v>821</v>
      </c>
      <c r="HD233" s="561">
        <v>3445</v>
      </c>
      <c r="HE233" s="561">
        <v>56</v>
      </c>
      <c r="HF233" s="561">
        <v>52419</v>
      </c>
      <c r="HG233" s="561">
        <v>1110</v>
      </c>
      <c r="HH233" s="561">
        <v>0</v>
      </c>
      <c r="HI233" s="561">
        <v>0</v>
      </c>
      <c r="HJ233" s="561">
        <v>0</v>
      </c>
      <c r="HK233" s="561">
        <v>0</v>
      </c>
      <c r="HL233" s="561">
        <v>0</v>
      </c>
      <c r="HM233" s="561">
        <v>0</v>
      </c>
      <c r="HN233" s="561">
        <v>0</v>
      </c>
      <c r="HO233" s="561">
        <v>1009</v>
      </c>
      <c r="HP233" s="561">
        <v>2520</v>
      </c>
      <c r="HQ233" s="561">
        <v>0</v>
      </c>
      <c r="HR233" s="561">
        <v>0</v>
      </c>
      <c r="HS233" s="561">
        <v>4420</v>
      </c>
      <c r="HT233" s="561">
        <v>12</v>
      </c>
      <c r="HU233" s="561">
        <v>0</v>
      </c>
      <c r="HV233" s="561">
        <v>-29</v>
      </c>
      <c r="HW233" s="561">
        <v>740</v>
      </c>
      <c r="HX233" s="561">
        <v>233</v>
      </c>
      <c r="HY233" s="561">
        <v>1204</v>
      </c>
      <c r="HZ233" s="561">
        <v>-46</v>
      </c>
      <c r="IA233" s="561">
        <v>0</v>
      </c>
      <c r="IB233" s="561">
        <v>0</v>
      </c>
      <c r="IC233" s="561">
        <v>1192</v>
      </c>
      <c r="ID233" s="561">
        <v>0</v>
      </c>
      <c r="IE233" s="561">
        <v>0</v>
      </c>
      <c r="IF233" s="561">
        <v>0</v>
      </c>
      <c r="IG233" s="561">
        <v>259</v>
      </c>
      <c r="IH233" s="561">
        <v>0</v>
      </c>
      <c r="II233" s="561">
        <v>11514</v>
      </c>
      <c r="IJ233" s="561">
        <v>805</v>
      </c>
      <c r="IK233" s="561">
        <v>1651</v>
      </c>
      <c r="IL233" s="561">
        <v>38007</v>
      </c>
      <c r="IM233" s="561">
        <v>0</v>
      </c>
      <c r="IN233" s="561">
        <v>13075</v>
      </c>
      <c r="IO233" s="561">
        <v>1602</v>
      </c>
      <c r="IP233" s="561">
        <v>120</v>
      </c>
      <c r="IQ233" s="561">
        <v>0</v>
      </c>
      <c r="IR233" s="561">
        <v>197445</v>
      </c>
      <c r="IS233" s="561">
        <v>88</v>
      </c>
      <c r="IT233" s="561">
        <v>86906</v>
      </c>
      <c r="IU233" s="561">
        <v>160951</v>
      </c>
      <c r="IV233" s="561">
        <v>33364</v>
      </c>
      <c r="IW233" s="561">
        <v>14902</v>
      </c>
      <c r="IX233" s="561">
        <v>13824</v>
      </c>
      <c r="IY233" s="561">
        <v>35150</v>
      </c>
      <c r="IZ233" s="561">
        <v>3445</v>
      </c>
      <c r="JA233" s="561">
        <v>0</v>
      </c>
      <c r="JB233" s="561">
        <v>0</v>
      </c>
      <c r="JC233" s="561">
        <v>11514</v>
      </c>
      <c r="JD233" s="561">
        <v>120</v>
      </c>
      <c r="JE233" s="561">
        <v>557709</v>
      </c>
      <c r="JF233" s="561">
        <v>49757</v>
      </c>
      <c r="JG233" s="561">
        <v>0</v>
      </c>
      <c r="JH233" s="561">
        <v>32997</v>
      </c>
      <c r="JI233" s="561">
        <v>0</v>
      </c>
      <c r="JJ233" s="561">
        <v>0</v>
      </c>
      <c r="JK233" s="561">
        <v>107</v>
      </c>
      <c r="JL233" s="561">
        <v>18937</v>
      </c>
      <c r="JM233" s="561">
        <v>0</v>
      </c>
      <c r="JN233" s="561">
        <v>0</v>
      </c>
      <c r="JO233" s="561">
        <v>1820</v>
      </c>
      <c r="JP233" s="561">
        <v>-2116</v>
      </c>
      <c r="JQ233" s="561">
        <v>-7181</v>
      </c>
      <c r="JR233" s="561">
        <v>0</v>
      </c>
      <c r="JS233" s="561">
        <v>0</v>
      </c>
      <c r="JT233" s="561">
        <v>632</v>
      </c>
      <c r="JU233" s="561">
        <v>0</v>
      </c>
      <c r="JV233" s="561">
        <v>652662</v>
      </c>
      <c r="JW233" s="561">
        <v>249</v>
      </c>
      <c r="JX233" s="561">
        <v>4248</v>
      </c>
      <c r="JY233" s="561">
        <v>83</v>
      </c>
      <c r="JZ233" s="561">
        <v>0</v>
      </c>
      <c r="KA233" s="561">
        <v>0</v>
      </c>
      <c r="KB233" s="561">
        <v>0</v>
      </c>
      <c r="KC233" s="561">
        <v>36003</v>
      </c>
      <c r="KD233" s="561">
        <v>0</v>
      </c>
      <c r="KE233" s="561">
        <v>21788</v>
      </c>
      <c r="KF233" s="561">
        <v>-16033</v>
      </c>
      <c r="KG233" s="561">
        <v>699000</v>
      </c>
      <c r="KH233" s="561">
        <v>-16744</v>
      </c>
      <c r="KI233" s="561">
        <v>0</v>
      </c>
      <c r="KJ233" s="561">
        <v>747</v>
      </c>
      <c r="KK233" s="561">
        <v>0</v>
      </c>
      <c r="KL233" s="561">
        <v>-82107</v>
      </c>
      <c r="KM233" s="561">
        <v>0</v>
      </c>
      <c r="KN233" s="561">
        <v>-957</v>
      </c>
      <c r="KO233" s="561">
        <v>0</v>
      </c>
      <c r="KP233" s="561">
        <v>0</v>
      </c>
      <c r="KQ233" s="561">
        <v>-427</v>
      </c>
      <c r="KR233" s="561">
        <v>599512</v>
      </c>
      <c r="KS233" s="561">
        <v>0</v>
      </c>
      <c r="KT233" s="561">
        <v>-297347</v>
      </c>
      <c r="KU233" s="561">
        <v>302165</v>
      </c>
      <c r="KV233" s="561">
        <v>0</v>
      </c>
      <c r="KW233" s="561">
        <v>-2778</v>
      </c>
      <c r="KX233" s="561">
        <v>-6844</v>
      </c>
      <c r="KY233" s="561">
        <v>-781</v>
      </c>
      <c r="KZ233" s="561">
        <v>211</v>
      </c>
      <c r="LA233" s="561">
        <v>570</v>
      </c>
      <c r="LB233" s="561">
        <v>-33243</v>
      </c>
      <c r="LC233" s="561">
        <v>0</v>
      </c>
      <c r="LD233" s="561">
        <v>-113412</v>
      </c>
      <c r="LE233" s="561">
        <v>-5427</v>
      </c>
      <c r="LF233" s="561">
        <v>124</v>
      </c>
      <c r="LG233" s="561">
        <v>140585</v>
      </c>
      <c r="LH233" s="561">
        <v>9928</v>
      </c>
      <c r="LI233" s="561">
        <v>0</v>
      </c>
      <c r="LJ233" s="561">
        <v>6844</v>
      </c>
      <c r="LK233" s="561">
        <v>3968</v>
      </c>
      <c r="LL233" s="561">
        <v>160408</v>
      </c>
      <c r="LM233" s="561">
        <v>17576</v>
      </c>
      <c r="LN233" s="561">
        <v>7150</v>
      </c>
      <c r="LO233" s="561">
        <v>-427</v>
      </c>
      <c r="LP233" s="561">
        <v>0</v>
      </c>
      <c r="LQ233" s="561">
        <v>3187</v>
      </c>
      <c r="LR233" s="561">
        <v>160619</v>
      </c>
      <c r="LS233" s="561">
        <v>18146</v>
      </c>
      <c r="LT233" s="561">
        <v>0</v>
      </c>
      <c r="LU233" s="561">
        <v>27011</v>
      </c>
      <c r="LV233" s="561">
        <v>8665</v>
      </c>
      <c r="LW233" s="561">
        <v>6949</v>
      </c>
      <c r="LX233" s="561">
        <v>-55047</v>
      </c>
      <c r="LY233" s="561">
        <v>24951</v>
      </c>
      <c r="LZ233" s="561">
        <v>12529</v>
      </c>
      <c r="MA233" s="561">
        <v>0</v>
      </c>
      <c r="MB233" s="561">
        <v>0</v>
      </c>
      <c r="MC233" s="561">
        <v>135993</v>
      </c>
      <c r="MD233" s="561">
        <v>134899</v>
      </c>
      <c r="ME233" s="561">
        <v>1094</v>
      </c>
      <c r="MF233" s="561">
        <v>3343</v>
      </c>
      <c r="MG233" s="561">
        <v>4437</v>
      </c>
      <c r="MH233" s="561">
        <v>10981</v>
      </c>
      <c r="MI233" s="561">
        <v>28021</v>
      </c>
      <c r="MJ233" s="561">
        <v>39002</v>
      </c>
      <c r="MK233" s="561">
        <v>2070</v>
      </c>
      <c r="ML233" s="561">
        <v>3742</v>
      </c>
      <c r="MM233" s="561">
        <v>102833</v>
      </c>
      <c r="MN233" s="561">
        <v>26834</v>
      </c>
      <c r="MO233" s="561">
        <v>6813</v>
      </c>
      <c r="MP233" s="561">
        <v>20397</v>
      </c>
      <c r="MQ233" s="561">
        <v>197445</v>
      </c>
      <c r="MR233" s="561">
        <v>88</v>
      </c>
      <c r="MS233" s="561">
        <v>86906</v>
      </c>
      <c r="MT233" s="561">
        <v>160951</v>
      </c>
      <c r="MU233" s="561">
        <v>33364</v>
      </c>
      <c r="MV233" s="561">
        <v>14902</v>
      </c>
      <c r="MW233" s="561">
        <v>13824</v>
      </c>
      <c r="MX233" s="561">
        <v>35150</v>
      </c>
      <c r="MY233" s="561">
        <v>3445</v>
      </c>
      <c r="MZ233" s="561">
        <v>0</v>
      </c>
      <c r="NA233" s="561">
        <v>0</v>
      </c>
      <c r="NB233" s="561">
        <v>11514</v>
      </c>
      <c r="NC233" s="561">
        <v>120</v>
      </c>
      <c r="ND233" s="561">
        <v>557709</v>
      </c>
      <c r="NE233" s="561">
        <v>-350</v>
      </c>
      <c r="NF233" s="561">
        <v>0</v>
      </c>
      <c r="NG233" s="561">
        <v>0</v>
      </c>
      <c r="NH233" s="561">
        <v>0</v>
      </c>
      <c r="NI233" s="561">
        <v>0</v>
      </c>
      <c r="NJ233" s="561">
        <v>0</v>
      </c>
      <c r="NK233" s="561">
        <v>0</v>
      </c>
      <c r="NL233" s="561">
        <v>0</v>
      </c>
      <c r="NM233" s="561">
        <v>0</v>
      </c>
      <c r="NN233" s="561">
        <v>0</v>
      </c>
      <c r="NO233" s="561">
        <v>-3</v>
      </c>
      <c r="NP233" s="561">
        <v>0</v>
      </c>
      <c r="NQ233" s="561">
        <v>0</v>
      </c>
      <c r="NR233" s="561">
        <v>0</v>
      </c>
      <c r="NS233" s="561">
        <v>-2091</v>
      </c>
      <c r="NT233" s="561">
        <v>-2079</v>
      </c>
      <c r="NU233" s="561">
        <v>-18</v>
      </c>
      <c r="NV233" s="561">
        <v>-483</v>
      </c>
      <c r="NW233" s="561">
        <v>-2116</v>
      </c>
      <c r="NX233" s="561">
        <v>0</v>
      </c>
      <c r="NY233" s="561">
        <v>-2116</v>
      </c>
      <c r="NZ233" s="561">
        <v>0</v>
      </c>
      <c r="OA233" s="561">
        <v>0</v>
      </c>
      <c r="OB233" s="561">
        <v>-2661</v>
      </c>
      <c r="OC233" s="561">
        <v>0</v>
      </c>
      <c r="OD233" s="561">
        <v>0</v>
      </c>
      <c r="OE233" s="561">
        <v>0</v>
      </c>
      <c r="OF233" s="561">
        <v>0</v>
      </c>
      <c r="OG233" s="561">
        <v>0</v>
      </c>
      <c r="OH233" s="561">
        <v>0</v>
      </c>
      <c r="OI233" s="561">
        <v>0</v>
      </c>
      <c r="OJ233" s="561">
        <v>1835</v>
      </c>
      <c r="OK233" s="561">
        <v>-1567</v>
      </c>
      <c r="OL233" s="561">
        <v>0</v>
      </c>
      <c r="OM233" s="561">
        <v>-4416</v>
      </c>
      <c r="ON233" s="561">
        <v>0</v>
      </c>
      <c r="OO233" s="561">
        <v>0</v>
      </c>
      <c r="OP233" s="561">
        <v>407</v>
      </c>
      <c r="OQ233" s="561">
        <v>0</v>
      </c>
      <c r="OR233" s="561">
        <v>-745</v>
      </c>
      <c r="OS233" s="561">
        <v>0</v>
      </c>
      <c r="OT233" s="561">
        <v>0</v>
      </c>
      <c r="OU233" s="561">
        <v>0</v>
      </c>
      <c r="OV233" s="561">
        <v>0</v>
      </c>
      <c r="OW233" s="561">
        <v>0</v>
      </c>
      <c r="OX233" s="561">
        <v>-7181</v>
      </c>
      <c r="OY233" s="561">
        <v>0</v>
      </c>
      <c r="OZ233" s="561">
        <v>0</v>
      </c>
      <c r="PA233" s="561">
        <v>0</v>
      </c>
      <c r="PB233" s="561">
        <v>0</v>
      </c>
      <c r="PC233" s="561">
        <v>0</v>
      </c>
      <c r="PD233" s="561">
        <v>0</v>
      </c>
      <c r="PE233" s="561">
        <v>0</v>
      </c>
      <c r="PF233" s="561">
        <v>0</v>
      </c>
      <c r="PG233" s="561">
        <v>0</v>
      </c>
      <c r="PH233" s="561">
        <v>0</v>
      </c>
      <c r="PI233" s="561">
        <v>0</v>
      </c>
      <c r="PJ233" s="561">
        <v>0</v>
      </c>
    </row>
    <row r="234" spans="1:426" ht="14" x14ac:dyDescent="0.3">
      <c r="A234" t="s">
        <v>3145</v>
      </c>
      <c r="B234" t="s">
        <v>3146</v>
      </c>
      <c r="C234" t="s">
        <v>3147</v>
      </c>
      <c r="E234" t="s">
        <v>384</v>
      </c>
      <c r="F234" s="561">
        <v>0</v>
      </c>
      <c r="G234" s="561">
        <v>0</v>
      </c>
      <c r="H234" s="561">
        <v>0</v>
      </c>
      <c r="I234" s="561">
        <v>0</v>
      </c>
      <c r="J234" s="561">
        <v>0</v>
      </c>
      <c r="K234" s="561">
        <v>0</v>
      </c>
      <c r="L234" s="561">
        <v>0</v>
      </c>
      <c r="M234" s="561">
        <v>0</v>
      </c>
      <c r="N234" s="561">
        <v>0</v>
      </c>
      <c r="O234" s="561">
        <v>0</v>
      </c>
      <c r="P234" s="561">
        <v>0</v>
      </c>
      <c r="Q234" s="561">
        <v>0</v>
      </c>
      <c r="R234" s="561">
        <v>0</v>
      </c>
      <c r="S234" s="561">
        <v>0</v>
      </c>
      <c r="T234" s="561">
        <v>1</v>
      </c>
      <c r="U234" s="561">
        <v>0</v>
      </c>
      <c r="V234" s="561">
        <v>0</v>
      </c>
      <c r="W234" s="561">
        <v>0</v>
      </c>
      <c r="X234" s="561">
        <v>0</v>
      </c>
      <c r="Y234" s="561">
        <v>0</v>
      </c>
      <c r="Z234" s="561">
        <v>0</v>
      </c>
      <c r="AA234" s="561">
        <v>0</v>
      </c>
      <c r="AB234" s="561">
        <v>-229</v>
      </c>
      <c r="AC234" s="561">
        <v>0</v>
      </c>
      <c r="AD234" s="561">
        <v>0</v>
      </c>
      <c r="AE234" s="561">
        <v>0</v>
      </c>
      <c r="AF234" s="561">
        <v>0</v>
      </c>
      <c r="AG234" s="561">
        <v>0</v>
      </c>
      <c r="AH234" s="561">
        <v>-36</v>
      </c>
      <c r="AI234" s="561">
        <v>0</v>
      </c>
      <c r="AJ234" s="561">
        <v>-264</v>
      </c>
      <c r="AK234" s="561">
        <v>0</v>
      </c>
      <c r="AL234" s="561">
        <v>0</v>
      </c>
      <c r="AM234" s="561">
        <v>0</v>
      </c>
      <c r="AN234" s="561">
        <v>0</v>
      </c>
      <c r="AO234" s="561">
        <v>0</v>
      </c>
      <c r="AP234" s="561">
        <v>0</v>
      </c>
      <c r="AQ234" s="561">
        <v>0</v>
      </c>
      <c r="AR234" s="561">
        <v>0</v>
      </c>
      <c r="AS234" s="561">
        <v>0</v>
      </c>
      <c r="AT234" s="561">
        <v>0</v>
      </c>
      <c r="AU234" s="561">
        <v>0</v>
      </c>
      <c r="AV234" s="561">
        <v>0</v>
      </c>
      <c r="AW234" s="561">
        <v>0</v>
      </c>
      <c r="AX234" s="561">
        <v>0</v>
      </c>
      <c r="AY234" s="561">
        <v>0</v>
      </c>
      <c r="AZ234" s="561">
        <v>0</v>
      </c>
      <c r="BA234" s="561">
        <v>0</v>
      </c>
      <c r="BB234" s="561">
        <v>0</v>
      </c>
      <c r="BC234" s="561">
        <v>0</v>
      </c>
      <c r="BD234" s="561">
        <v>0</v>
      </c>
      <c r="BE234" s="561">
        <v>0</v>
      </c>
      <c r="BF234" s="561">
        <v>0</v>
      </c>
      <c r="BG234" s="561">
        <v>0</v>
      </c>
      <c r="BH234" s="561">
        <v>0</v>
      </c>
      <c r="BI234" s="561">
        <v>0</v>
      </c>
      <c r="BJ234" s="561">
        <v>0</v>
      </c>
      <c r="BK234" s="561">
        <v>0</v>
      </c>
      <c r="BL234" s="561">
        <v>0</v>
      </c>
      <c r="BM234" s="561">
        <v>0</v>
      </c>
      <c r="BN234" s="561">
        <v>0</v>
      </c>
      <c r="BO234" s="561">
        <v>0</v>
      </c>
      <c r="BP234" s="561">
        <v>0</v>
      </c>
      <c r="BQ234" s="561">
        <v>0</v>
      </c>
      <c r="BR234" s="561">
        <v>0</v>
      </c>
      <c r="BS234" s="561">
        <v>0</v>
      </c>
      <c r="BT234" s="561">
        <v>0</v>
      </c>
      <c r="BU234" s="561">
        <v>0</v>
      </c>
      <c r="BV234" s="561">
        <v>0</v>
      </c>
      <c r="BW234" s="561">
        <v>0</v>
      </c>
      <c r="BX234" s="561">
        <v>0</v>
      </c>
      <c r="BY234" s="561">
        <v>0</v>
      </c>
      <c r="BZ234" s="561">
        <v>0</v>
      </c>
      <c r="CA234" s="561">
        <v>0</v>
      </c>
      <c r="CB234" s="561">
        <v>0</v>
      </c>
      <c r="CC234" s="561">
        <v>0</v>
      </c>
      <c r="CD234" s="561">
        <v>0</v>
      </c>
      <c r="CE234" s="561">
        <v>0</v>
      </c>
      <c r="CF234" s="561">
        <v>0</v>
      </c>
      <c r="CG234" s="561">
        <v>0</v>
      </c>
      <c r="CH234" s="561">
        <v>0</v>
      </c>
      <c r="CI234" s="561">
        <v>0</v>
      </c>
      <c r="CJ234" s="561">
        <v>0</v>
      </c>
      <c r="CK234" s="561">
        <v>0</v>
      </c>
      <c r="CL234" s="561">
        <v>0</v>
      </c>
      <c r="CM234" s="561">
        <v>0</v>
      </c>
      <c r="CN234" s="561">
        <v>0</v>
      </c>
      <c r="CO234" s="561">
        <v>0</v>
      </c>
      <c r="CP234" s="561">
        <v>0</v>
      </c>
      <c r="CQ234" s="561">
        <v>0</v>
      </c>
      <c r="CR234" s="561">
        <v>0</v>
      </c>
      <c r="CS234" s="561">
        <v>0</v>
      </c>
      <c r="CT234" s="561">
        <v>0</v>
      </c>
      <c r="CU234" s="561">
        <v>0</v>
      </c>
      <c r="CV234" s="561">
        <v>0</v>
      </c>
      <c r="CW234" s="561">
        <v>0</v>
      </c>
      <c r="CX234" s="561">
        <v>0</v>
      </c>
      <c r="CY234" s="561">
        <v>0</v>
      </c>
      <c r="CZ234" s="561">
        <v>0</v>
      </c>
      <c r="DA234" s="561">
        <v>0</v>
      </c>
      <c r="DB234" s="561">
        <v>0</v>
      </c>
      <c r="DC234" s="561">
        <v>0</v>
      </c>
      <c r="DD234" s="561">
        <v>0</v>
      </c>
      <c r="DE234" s="561">
        <v>0</v>
      </c>
      <c r="DF234" s="561">
        <v>0</v>
      </c>
      <c r="DG234" s="561">
        <v>0</v>
      </c>
      <c r="DH234" s="561">
        <v>424</v>
      </c>
      <c r="DI234" s="561">
        <v>5</v>
      </c>
      <c r="DJ234" s="561">
        <v>1929</v>
      </c>
      <c r="DK234" s="561">
        <v>-55</v>
      </c>
      <c r="DL234" s="561">
        <v>0</v>
      </c>
      <c r="DM234" s="561">
        <v>0</v>
      </c>
      <c r="DN234" s="561">
        <v>0</v>
      </c>
      <c r="DO234" s="561">
        <v>499</v>
      </c>
      <c r="DP234" s="561">
        <v>83</v>
      </c>
      <c r="DQ234" s="561">
        <v>0</v>
      </c>
      <c r="DR234" s="561">
        <v>0</v>
      </c>
      <c r="DS234" s="561">
        <v>557</v>
      </c>
      <c r="DT234" s="561">
        <v>0</v>
      </c>
      <c r="DU234" s="561">
        <v>1139</v>
      </c>
      <c r="DV234" s="561">
        <v>0</v>
      </c>
      <c r="DW234" s="561">
        <v>0</v>
      </c>
      <c r="DX234" s="561">
        <v>0</v>
      </c>
      <c r="DY234" s="561">
        <v>774</v>
      </c>
      <c r="DZ234" s="561">
        <v>0</v>
      </c>
      <c r="EA234" s="561">
        <v>0</v>
      </c>
      <c r="EB234" s="561">
        <v>0</v>
      </c>
      <c r="EC234" s="561">
        <v>4216</v>
      </c>
      <c r="ED234" s="561">
        <v>57</v>
      </c>
      <c r="EE234" s="561">
        <v>0</v>
      </c>
      <c r="EF234" s="561">
        <v>0</v>
      </c>
      <c r="EG234" s="561">
        <v>0</v>
      </c>
      <c r="EH234" s="561">
        <v>0</v>
      </c>
      <c r="EI234" s="561">
        <v>0</v>
      </c>
      <c r="EJ234" s="561">
        <v>0</v>
      </c>
      <c r="EK234" s="561">
        <v>0</v>
      </c>
      <c r="EL234" s="561">
        <v>0</v>
      </c>
      <c r="EM234" s="561">
        <v>0</v>
      </c>
      <c r="EN234" s="561">
        <v>0</v>
      </c>
      <c r="EO234" s="561">
        <v>0</v>
      </c>
      <c r="EP234" s="561">
        <v>0</v>
      </c>
      <c r="EQ234" s="561">
        <v>0</v>
      </c>
      <c r="ER234" s="561">
        <v>0</v>
      </c>
      <c r="ES234" s="561" t="s">
        <v>4565</v>
      </c>
      <c r="ET234" s="561">
        <v>0</v>
      </c>
      <c r="EU234" s="561">
        <v>0</v>
      </c>
      <c r="EV234" s="561">
        <v>0</v>
      </c>
      <c r="EW234" s="561">
        <v>0</v>
      </c>
      <c r="EX234" s="561">
        <v>0</v>
      </c>
      <c r="EY234" s="561">
        <v>0</v>
      </c>
      <c r="EZ234" s="561">
        <v>0</v>
      </c>
      <c r="FA234" s="561">
        <v>0</v>
      </c>
      <c r="FB234" s="561">
        <v>0</v>
      </c>
      <c r="FC234" s="561">
        <v>0</v>
      </c>
      <c r="FD234" s="561">
        <v>0</v>
      </c>
      <c r="FE234" s="561">
        <v>138</v>
      </c>
      <c r="FF234" s="561">
        <v>25</v>
      </c>
      <c r="FG234" s="561">
        <v>48</v>
      </c>
      <c r="FH234" s="561">
        <v>0</v>
      </c>
      <c r="FI234" s="561">
        <v>0</v>
      </c>
      <c r="FJ234" s="561">
        <v>1111</v>
      </c>
      <c r="FK234" s="561">
        <v>1055</v>
      </c>
      <c r="FL234" s="561">
        <v>3</v>
      </c>
      <c r="FM234" s="561">
        <v>0</v>
      </c>
      <c r="FN234" s="561">
        <v>0</v>
      </c>
      <c r="FO234" s="561">
        <v>2380</v>
      </c>
      <c r="FP234" s="561">
        <v>0</v>
      </c>
      <c r="FQ234" s="561">
        <v>-794</v>
      </c>
      <c r="FR234" s="561">
        <v>0</v>
      </c>
      <c r="FS234" s="561">
        <v>1</v>
      </c>
      <c r="FT234" s="561">
        <v>402</v>
      </c>
      <c r="FU234" s="561">
        <v>936</v>
      </c>
      <c r="FV234" s="561">
        <v>0</v>
      </c>
      <c r="FW234" s="561">
        <v>-2</v>
      </c>
      <c r="FX234" s="561">
        <v>0</v>
      </c>
      <c r="FY234" s="561">
        <v>0</v>
      </c>
      <c r="FZ234" s="561">
        <v>0</v>
      </c>
      <c r="GA234" s="561">
        <v>47</v>
      </c>
      <c r="GB234" s="561">
        <v>7</v>
      </c>
      <c r="GC234" s="561">
        <v>190</v>
      </c>
      <c r="GD234" s="561">
        <v>588</v>
      </c>
      <c r="GE234" s="561">
        <v>80</v>
      </c>
      <c r="GF234" s="561">
        <v>56</v>
      </c>
      <c r="GG234" s="561">
        <v>0</v>
      </c>
      <c r="GH234" s="561">
        <v>8</v>
      </c>
      <c r="GI234" s="561">
        <v>0</v>
      </c>
      <c r="GJ234" s="561">
        <v>0</v>
      </c>
      <c r="GK234" s="561">
        <v>0</v>
      </c>
      <c r="GL234" s="561">
        <v>2502</v>
      </c>
      <c r="GM234" s="561">
        <v>1938</v>
      </c>
      <c r="GN234" s="561">
        <v>432</v>
      </c>
      <c r="GO234" s="561">
        <v>-101</v>
      </c>
      <c r="GP234" s="561">
        <v>2395</v>
      </c>
      <c r="GQ234" s="561">
        <v>0</v>
      </c>
      <c r="GR234" s="561">
        <v>0</v>
      </c>
      <c r="GS234" s="561">
        <v>8685</v>
      </c>
      <c r="GT234" s="561">
        <v>319</v>
      </c>
      <c r="GU234" s="561">
        <v>52</v>
      </c>
      <c r="GV234" s="561">
        <v>749</v>
      </c>
      <c r="GW234" s="561">
        <v>0</v>
      </c>
      <c r="GX234" s="561">
        <v>694</v>
      </c>
      <c r="GY234" s="561">
        <v>214</v>
      </c>
      <c r="GZ234" s="561">
        <v>8973</v>
      </c>
      <c r="HA234" s="561">
        <v>0</v>
      </c>
      <c r="HB234" s="561">
        <v>0</v>
      </c>
      <c r="HC234" s="561">
        <v>0</v>
      </c>
      <c r="HD234" s="561">
        <v>10682</v>
      </c>
      <c r="HE234" s="561">
        <v>266</v>
      </c>
      <c r="HF234" s="561">
        <v>21747</v>
      </c>
      <c r="HG234" s="561">
        <v>585</v>
      </c>
      <c r="HH234" s="561">
        <v>0</v>
      </c>
      <c r="HI234" s="561">
        <v>0</v>
      </c>
      <c r="HJ234" s="561">
        <v>0</v>
      </c>
      <c r="HK234" s="561">
        <v>0</v>
      </c>
      <c r="HL234" s="561">
        <v>0</v>
      </c>
      <c r="HM234" s="561">
        <v>0</v>
      </c>
      <c r="HN234" s="561">
        <v>0</v>
      </c>
      <c r="HO234" s="561">
        <v>1670</v>
      </c>
      <c r="HP234" s="561">
        <v>64</v>
      </c>
      <c r="HQ234" s="561">
        <v>0</v>
      </c>
      <c r="HR234" s="561">
        <v>0</v>
      </c>
      <c r="HS234" s="561">
        <v>0</v>
      </c>
      <c r="HT234" s="561">
        <v>403</v>
      </c>
      <c r="HU234" s="561">
        <v>0</v>
      </c>
      <c r="HV234" s="561">
        <v>0</v>
      </c>
      <c r="HW234" s="561">
        <v>386</v>
      </c>
      <c r="HX234" s="561">
        <v>154</v>
      </c>
      <c r="HY234" s="561">
        <v>37</v>
      </c>
      <c r="HZ234" s="561">
        <v>163</v>
      </c>
      <c r="IA234" s="561">
        <v>0</v>
      </c>
      <c r="IB234" s="561">
        <v>101</v>
      </c>
      <c r="IC234" s="561">
        <v>0</v>
      </c>
      <c r="ID234" s="561">
        <v>0</v>
      </c>
      <c r="IE234" s="561">
        <v>468</v>
      </c>
      <c r="IF234" s="561">
        <v>0</v>
      </c>
      <c r="IG234" s="561">
        <v>0</v>
      </c>
      <c r="IH234" s="561">
        <v>-235</v>
      </c>
      <c r="II234" s="561">
        <v>3211</v>
      </c>
      <c r="IJ234" s="561">
        <v>224</v>
      </c>
      <c r="IK234" s="561">
        <v>0</v>
      </c>
      <c r="IL234" s="561">
        <v>9612</v>
      </c>
      <c r="IM234" s="561">
        <v>0</v>
      </c>
      <c r="IN234" s="561">
        <v>353</v>
      </c>
      <c r="IO234" s="561">
        <v>112</v>
      </c>
      <c r="IP234" s="561">
        <v>0</v>
      </c>
      <c r="IQ234" s="561">
        <v>224</v>
      </c>
      <c r="IR234" s="561">
        <v>0</v>
      </c>
      <c r="IS234" s="561">
        <v>-264</v>
      </c>
      <c r="IT234" s="561">
        <v>0</v>
      </c>
      <c r="IU234" s="561">
        <v>0</v>
      </c>
      <c r="IV234" s="561">
        <v>0</v>
      </c>
      <c r="IW234" s="561">
        <v>4216</v>
      </c>
      <c r="IX234" s="561">
        <v>2380</v>
      </c>
      <c r="IY234" s="561">
        <v>8685</v>
      </c>
      <c r="IZ234" s="561">
        <v>10682</v>
      </c>
      <c r="JA234" s="561">
        <v>0</v>
      </c>
      <c r="JB234" s="561">
        <v>0</v>
      </c>
      <c r="JC234" s="561">
        <v>3211</v>
      </c>
      <c r="JD234" s="561">
        <v>0</v>
      </c>
      <c r="JE234" s="561">
        <v>28910</v>
      </c>
      <c r="JF234" s="561">
        <v>20511</v>
      </c>
      <c r="JG234" s="561">
        <v>0</v>
      </c>
      <c r="JH234" s="561">
        <v>0</v>
      </c>
      <c r="JI234" s="561">
        <v>0</v>
      </c>
      <c r="JJ234" s="561">
        <v>0</v>
      </c>
      <c r="JK234" s="561">
        <v>772</v>
      </c>
      <c r="JL234" s="561">
        <v>0</v>
      </c>
      <c r="JM234" s="561">
        <v>0</v>
      </c>
      <c r="JN234" s="561">
        <v>0</v>
      </c>
      <c r="JO234" s="561">
        <v>0</v>
      </c>
      <c r="JP234" s="561">
        <v>0</v>
      </c>
      <c r="JQ234" s="561">
        <v>0</v>
      </c>
      <c r="JR234" s="561">
        <v>0</v>
      </c>
      <c r="JS234" s="561">
        <v>0</v>
      </c>
      <c r="JT234" s="561">
        <v>-9</v>
      </c>
      <c r="JU234" s="561">
        <v>0</v>
      </c>
      <c r="JV234" s="561">
        <v>50184</v>
      </c>
      <c r="JW234" s="561">
        <v>0</v>
      </c>
      <c r="JX234" s="561">
        <v>0</v>
      </c>
      <c r="JY234" s="561">
        <v>0</v>
      </c>
      <c r="JZ234" s="561">
        <v>0</v>
      </c>
      <c r="KA234" s="561">
        <v>-8048</v>
      </c>
      <c r="KB234" s="561">
        <v>0</v>
      </c>
      <c r="KC234" s="561">
        <v>92</v>
      </c>
      <c r="KD234" s="561">
        <v>0</v>
      </c>
      <c r="KE234" s="561">
        <v>0</v>
      </c>
      <c r="KF234" s="561">
        <v>0</v>
      </c>
      <c r="KG234" s="561">
        <v>42228</v>
      </c>
      <c r="KH234" s="561">
        <v>-905</v>
      </c>
      <c r="KI234" s="561">
        <v>0</v>
      </c>
      <c r="KJ234" s="561">
        <v>0</v>
      </c>
      <c r="KK234" s="561">
        <v>0</v>
      </c>
      <c r="KL234" s="561">
        <v>-22287</v>
      </c>
      <c r="KM234" s="561">
        <v>0</v>
      </c>
      <c r="KN234" s="561">
        <v>0</v>
      </c>
      <c r="KO234" s="561">
        <v>0</v>
      </c>
      <c r="KP234" s="561">
        <v>0</v>
      </c>
      <c r="KQ234" s="561">
        <v>0</v>
      </c>
      <c r="KR234" s="561">
        <v>19036</v>
      </c>
      <c r="KS234" s="561">
        <v>0</v>
      </c>
      <c r="KT234" s="561">
        <v>-2318</v>
      </c>
      <c r="KU234" s="561">
        <v>16718</v>
      </c>
      <c r="KV234" s="561">
        <v>0</v>
      </c>
      <c r="KW234" s="561">
        <v>0</v>
      </c>
      <c r="KX234" s="561">
        <v>0</v>
      </c>
      <c r="KY234" s="561">
        <v>0</v>
      </c>
      <c r="KZ234" s="561">
        <v>307</v>
      </c>
      <c r="LA234" s="561">
        <v>0</v>
      </c>
      <c r="LB234" s="561">
        <v>-232</v>
      </c>
      <c r="LC234" s="561">
        <v>0</v>
      </c>
      <c r="LD234" s="561">
        <v>-8385</v>
      </c>
      <c r="LE234" s="561">
        <v>835</v>
      </c>
      <c r="LF234" s="561">
        <v>0</v>
      </c>
      <c r="LG234" s="561">
        <v>9243</v>
      </c>
      <c r="LH234" s="561">
        <v>0</v>
      </c>
      <c r="LI234" s="561">
        <v>0</v>
      </c>
      <c r="LJ234" s="561">
        <v>0</v>
      </c>
      <c r="LK234" s="561">
        <v>0</v>
      </c>
      <c r="LL234" s="561">
        <v>3053</v>
      </c>
      <c r="LM234" s="561">
        <v>2157</v>
      </c>
      <c r="LN234" s="561">
        <v>0</v>
      </c>
      <c r="LO234" s="561">
        <v>0</v>
      </c>
      <c r="LP234" s="561">
        <v>0</v>
      </c>
      <c r="LQ234" s="561">
        <v>0</v>
      </c>
      <c r="LR234" s="561">
        <v>3360</v>
      </c>
      <c r="LS234" s="561">
        <v>2157</v>
      </c>
      <c r="LT234" s="561">
        <v>0</v>
      </c>
      <c r="LU234" s="561">
        <v>3167</v>
      </c>
      <c r="LV234" s="561">
        <v>0</v>
      </c>
      <c r="LW234" s="561">
        <v>13335</v>
      </c>
      <c r="LX234" s="561">
        <v>5214</v>
      </c>
      <c r="LY234" s="561">
        <v>1865</v>
      </c>
      <c r="LZ234" s="561">
        <v>23581</v>
      </c>
      <c r="MA234" s="561">
        <v>0</v>
      </c>
      <c r="MB234" s="561">
        <v>0</v>
      </c>
      <c r="MC234" s="561">
        <v>0</v>
      </c>
      <c r="MD234" s="561">
        <v>0</v>
      </c>
      <c r="ME234" s="561">
        <v>0</v>
      </c>
      <c r="MF234" s="561">
        <v>0</v>
      </c>
      <c r="MG234" s="561">
        <v>0</v>
      </c>
      <c r="MH234" s="561">
        <v>3518</v>
      </c>
      <c r="MI234" s="561">
        <v>4206</v>
      </c>
      <c r="MJ234" s="561">
        <v>7724</v>
      </c>
      <c r="MK234" s="561">
        <v>31</v>
      </c>
      <c r="ML234" s="561">
        <v>0</v>
      </c>
      <c r="MM234" s="561">
        <v>0</v>
      </c>
      <c r="MN234" s="561">
        <v>3360</v>
      </c>
      <c r="MO234" s="561">
        <v>0</v>
      </c>
      <c r="MP234" s="561">
        <v>0</v>
      </c>
      <c r="MQ234" s="561">
        <v>0</v>
      </c>
      <c r="MR234" s="561">
        <v>-264</v>
      </c>
      <c r="MS234" s="561">
        <v>0</v>
      </c>
      <c r="MT234" s="561">
        <v>0</v>
      </c>
      <c r="MU234" s="561">
        <v>0</v>
      </c>
      <c r="MV234" s="561">
        <v>4216</v>
      </c>
      <c r="MW234" s="561">
        <v>2380</v>
      </c>
      <c r="MX234" s="561">
        <v>8685</v>
      </c>
      <c r="MY234" s="561">
        <v>10682</v>
      </c>
      <c r="MZ234" s="561">
        <v>0</v>
      </c>
      <c r="NA234" s="561">
        <v>0</v>
      </c>
      <c r="NB234" s="561">
        <v>3211</v>
      </c>
      <c r="NC234" s="561">
        <v>0</v>
      </c>
      <c r="ND234" s="561">
        <v>28910</v>
      </c>
      <c r="NE234" s="561">
        <v>0</v>
      </c>
      <c r="NF234" s="561">
        <v>0</v>
      </c>
      <c r="NG234" s="561">
        <v>0</v>
      </c>
      <c r="NH234" s="561">
        <v>0</v>
      </c>
      <c r="NI234" s="561">
        <v>0</v>
      </c>
      <c r="NJ234" s="561">
        <v>0</v>
      </c>
      <c r="NK234" s="561">
        <v>0</v>
      </c>
      <c r="NL234" s="561">
        <v>0</v>
      </c>
      <c r="NM234" s="561">
        <v>0</v>
      </c>
      <c r="NN234" s="561">
        <v>0</v>
      </c>
      <c r="NO234" s="561">
        <v>0</v>
      </c>
      <c r="NP234" s="561">
        <v>0</v>
      </c>
      <c r="NQ234" s="561">
        <v>0</v>
      </c>
      <c r="NR234" s="561">
        <v>0</v>
      </c>
      <c r="NS234" s="561">
        <v>0</v>
      </c>
      <c r="NT234" s="561">
        <v>0</v>
      </c>
      <c r="NU234" s="561">
        <v>-6766</v>
      </c>
      <c r="NV234" s="561">
        <v>0</v>
      </c>
      <c r="NW234" s="561">
        <v>0</v>
      </c>
      <c r="NX234" s="561">
        <v>0</v>
      </c>
      <c r="NY234" s="561">
        <v>0</v>
      </c>
      <c r="NZ234" s="561">
        <v>0</v>
      </c>
      <c r="OA234" s="561">
        <v>0</v>
      </c>
      <c r="OB234" s="561">
        <v>0</v>
      </c>
      <c r="OC234" s="561">
        <v>0</v>
      </c>
      <c r="OD234" s="561">
        <v>0</v>
      </c>
      <c r="OE234" s="561">
        <v>0</v>
      </c>
      <c r="OF234" s="561">
        <v>0</v>
      </c>
      <c r="OG234" s="561">
        <v>0</v>
      </c>
      <c r="OH234" s="561">
        <v>0</v>
      </c>
      <c r="OI234" s="561">
        <v>0</v>
      </c>
      <c r="OJ234" s="561">
        <v>0</v>
      </c>
      <c r="OK234" s="561">
        <v>0</v>
      </c>
      <c r="OL234" s="561">
        <v>0</v>
      </c>
      <c r="OM234" s="561">
        <v>0</v>
      </c>
      <c r="ON234" s="561">
        <v>0</v>
      </c>
      <c r="OO234" s="561">
        <v>0</v>
      </c>
      <c r="OP234" s="561">
        <v>0</v>
      </c>
      <c r="OQ234" s="561">
        <v>0</v>
      </c>
      <c r="OR234" s="561">
        <v>0</v>
      </c>
      <c r="OS234" s="561">
        <v>0</v>
      </c>
      <c r="OT234" s="561">
        <v>0</v>
      </c>
      <c r="OU234" s="561">
        <v>0</v>
      </c>
      <c r="OV234" s="561">
        <v>-2189</v>
      </c>
      <c r="OW234" s="561">
        <v>0</v>
      </c>
      <c r="OX234" s="561">
        <v>0</v>
      </c>
      <c r="OY234" s="561">
        <v>0</v>
      </c>
      <c r="OZ234" s="561">
        <v>0</v>
      </c>
      <c r="PA234" s="561">
        <v>0</v>
      </c>
      <c r="PB234" s="561">
        <v>0</v>
      </c>
      <c r="PC234" s="561">
        <v>0</v>
      </c>
      <c r="PD234" s="561">
        <v>0</v>
      </c>
      <c r="PE234" s="561">
        <v>0</v>
      </c>
      <c r="PF234" s="561">
        <v>0</v>
      </c>
      <c r="PG234" s="561">
        <v>0</v>
      </c>
      <c r="PH234" s="561">
        <v>0</v>
      </c>
      <c r="PI234" s="561">
        <v>0</v>
      </c>
      <c r="PJ234" s="561">
        <v>0</v>
      </c>
    </row>
    <row r="235" spans="1:426" ht="14" x14ac:dyDescent="0.3">
      <c r="A235" t="s">
        <v>3148</v>
      </c>
      <c r="B235" t="s">
        <v>3149</v>
      </c>
      <c r="C235" t="s">
        <v>3150</v>
      </c>
      <c r="E235" t="s">
        <v>2476</v>
      </c>
      <c r="F235" s="561">
        <v>32333</v>
      </c>
      <c r="G235" s="561">
        <v>153470</v>
      </c>
      <c r="H235" s="561">
        <v>106819</v>
      </c>
      <c r="I235" s="561">
        <v>5130</v>
      </c>
      <c r="J235" s="561">
        <v>4861</v>
      </c>
      <c r="K235" s="561">
        <v>19315</v>
      </c>
      <c r="L235" s="561">
        <v>321928</v>
      </c>
      <c r="M235" s="561">
        <v>10839</v>
      </c>
      <c r="N235" s="561">
        <v>0</v>
      </c>
      <c r="O235" s="561">
        <v>-246</v>
      </c>
      <c r="P235" s="561">
        <v>0</v>
      </c>
      <c r="Q235" s="561">
        <v>3125</v>
      </c>
      <c r="R235" s="561">
        <v>0</v>
      </c>
      <c r="S235" s="561">
        <v>0</v>
      </c>
      <c r="T235" s="561">
        <v>151</v>
      </c>
      <c r="U235" s="561">
        <v>511</v>
      </c>
      <c r="V235" s="561">
        <v>1812</v>
      </c>
      <c r="W235" s="561">
        <v>0</v>
      </c>
      <c r="X235" s="561">
        <v>-149</v>
      </c>
      <c r="Y235" s="561">
        <v>408</v>
      </c>
      <c r="Z235" s="561">
        <v>-721</v>
      </c>
      <c r="AA235" s="561">
        <v>-25100</v>
      </c>
      <c r="AB235" s="561">
        <v>-841</v>
      </c>
      <c r="AC235" s="561">
        <v>11076</v>
      </c>
      <c r="AD235" s="561">
        <v>0</v>
      </c>
      <c r="AE235" s="561">
        <v>0</v>
      </c>
      <c r="AF235" s="561">
        <v>0</v>
      </c>
      <c r="AG235" s="561">
        <v>0</v>
      </c>
      <c r="AH235" s="561">
        <v>0</v>
      </c>
      <c r="AI235" s="561">
        <v>0</v>
      </c>
      <c r="AJ235" s="561">
        <v>-9974</v>
      </c>
      <c r="AK235" s="561">
        <v>721</v>
      </c>
      <c r="AL235" s="561">
        <v>0</v>
      </c>
      <c r="AM235" s="561">
        <v>0</v>
      </c>
      <c r="AN235" s="561">
        <v>0</v>
      </c>
      <c r="AO235" s="561">
        <v>222</v>
      </c>
      <c r="AP235" s="561">
        <v>251</v>
      </c>
      <c r="AQ235" s="561">
        <v>188</v>
      </c>
      <c r="AR235" s="561">
        <v>753</v>
      </c>
      <c r="AS235" s="561">
        <v>21412</v>
      </c>
      <c r="AT235" s="561">
        <v>16474</v>
      </c>
      <c r="AU235" s="561">
        <v>0</v>
      </c>
      <c r="AV235" s="561">
        <v>0</v>
      </c>
      <c r="AW235" s="561">
        <v>0</v>
      </c>
      <c r="AX235" s="561">
        <v>9425</v>
      </c>
      <c r="AY235" s="561">
        <v>55721</v>
      </c>
      <c r="AZ235" s="561">
        <v>0</v>
      </c>
      <c r="BA235" s="561">
        <v>14508</v>
      </c>
      <c r="BB235" s="561">
        <v>1370</v>
      </c>
      <c r="BC235" s="561">
        <v>28505</v>
      </c>
      <c r="BD235" s="561">
        <v>3405</v>
      </c>
      <c r="BE235" s="561">
        <v>832</v>
      </c>
      <c r="BF235" s="561">
        <v>113766</v>
      </c>
      <c r="BG235" s="561">
        <v>6128</v>
      </c>
      <c r="BH235" s="561">
        <v>18261</v>
      </c>
      <c r="BI235" s="561">
        <v>45447</v>
      </c>
      <c r="BJ235" s="561">
        <v>461</v>
      </c>
      <c r="BK235" s="561">
        <v>279</v>
      </c>
      <c r="BL235" s="561">
        <v>354</v>
      </c>
      <c r="BM235" s="561">
        <v>1852</v>
      </c>
      <c r="BN235" s="561">
        <v>39324</v>
      </c>
      <c r="BO235" s="561">
        <v>3803</v>
      </c>
      <c r="BP235" s="561">
        <v>15669</v>
      </c>
      <c r="BQ235" s="561">
        <v>3837</v>
      </c>
      <c r="BR235" s="561">
        <v>2526</v>
      </c>
      <c r="BS235" s="561">
        <v>-1</v>
      </c>
      <c r="BT235" s="561">
        <v>0</v>
      </c>
      <c r="BU235" s="561">
        <v>2197</v>
      </c>
      <c r="BV235" s="561">
        <v>1834</v>
      </c>
      <c r="BW235" s="561">
        <v>3613</v>
      </c>
      <c r="BX235" s="561">
        <v>1104</v>
      </c>
      <c r="BY235" s="561">
        <v>2446</v>
      </c>
      <c r="BZ235" s="561">
        <v>143006</v>
      </c>
      <c r="CA235" s="561">
        <v>3909</v>
      </c>
      <c r="CB235" s="561">
        <v>3394</v>
      </c>
      <c r="CC235" s="561">
        <v>1820</v>
      </c>
      <c r="CD235" s="561">
        <v>57</v>
      </c>
      <c r="CE235" s="561">
        <v>751</v>
      </c>
      <c r="CF235" s="561">
        <v>305</v>
      </c>
      <c r="CG235" s="561">
        <v>88</v>
      </c>
      <c r="CH235" s="561">
        <v>1005</v>
      </c>
      <c r="CI235" s="561">
        <v>1468</v>
      </c>
      <c r="CJ235" s="561">
        <v>3679</v>
      </c>
      <c r="CK235" s="561">
        <v>1309</v>
      </c>
      <c r="CL235" s="561">
        <v>1156</v>
      </c>
      <c r="CM235" s="561">
        <v>847</v>
      </c>
      <c r="CN235" s="561">
        <v>847</v>
      </c>
      <c r="CO235" s="561">
        <v>920</v>
      </c>
      <c r="CP235" s="561">
        <v>1049</v>
      </c>
      <c r="CQ235" s="561">
        <v>683</v>
      </c>
      <c r="CR235" s="561">
        <v>76</v>
      </c>
      <c r="CS235" s="561">
        <v>710</v>
      </c>
      <c r="CT235" s="561">
        <v>1510</v>
      </c>
      <c r="CU235" s="561">
        <v>10379</v>
      </c>
      <c r="CV235" s="561">
        <v>132</v>
      </c>
      <c r="CW235" s="561">
        <v>250</v>
      </c>
      <c r="CX235" s="561">
        <v>1086</v>
      </c>
      <c r="CY235" s="561">
        <v>3234</v>
      </c>
      <c r="CZ235" s="561">
        <v>36755</v>
      </c>
      <c r="DA235" s="561">
        <v>1615</v>
      </c>
      <c r="DB235" s="561">
        <v>0</v>
      </c>
      <c r="DC235" s="561">
        <v>0</v>
      </c>
      <c r="DD235" s="561">
        <v>0</v>
      </c>
      <c r="DE235" s="561">
        <v>0</v>
      </c>
      <c r="DF235" s="561">
        <v>0</v>
      </c>
      <c r="DG235" s="561">
        <v>0</v>
      </c>
      <c r="DH235" s="561">
        <v>1276</v>
      </c>
      <c r="DI235" s="561">
        <v>0</v>
      </c>
      <c r="DJ235" s="561">
        <v>0</v>
      </c>
      <c r="DK235" s="561">
        <v>3180</v>
      </c>
      <c r="DL235" s="561">
        <v>56134</v>
      </c>
      <c r="DM235" s="561">
        <v>1341</v>
      </c>
      <c r="DN235" s="561">
        <v>0</v>
      </c>
      <c r="DO235" s="561">
        <v>5206</v>
      </c>
      <c r="DP235" s="561">
        <v>5253</v>
      </c>
      <c r="DQ235" s="561">
        <v>78</v>
      </c>
      <c r="DR235" s="561">
        <v>3562</v>
      </c>
      <c r="DS235" s="561">
        <v>5282</v>
      </c>
      <c r="DT235" s="561">
        <v>0</v>
      </c>
      <c r="DU235" s="561">
        <v>76856</v>
      </c>
      <c r="DV235" s="561">
        <v>0</v>
      </c>
      <c r="DW235" s="561">
        <v>0</v>
      </c>
      <c r="DX235" s="561">
        <v>0</v>
      </c>
      <c r="DY235" s="561">
        <v>3531</v>
      </c>
      <c r="DZ235" s="561">
        <v>0</v>
      </c>
      <c r="EA235" s="561">
        <v>0</v>
      </c>
      <c r="EB235" s="561">
        <v>5</v>
      </c>
      <c r="EC235" s="561">
        <v>84848</v>
      </c>
      <c r="ED235" s="561">
        <v>4045</v>
      </c>
      <c r="EE235" s="561">
        <v>106863</v>
      </c>
      <c r="EF235" s="561">
        <v>5783</v>
      </c>
      <c r="EG235" s="561">
        <v>12928</v>
      </c>
      <c r="EH235" s="561">
        <v>707</v>
      </c>
      <c r="EI235" s="561">
        <v>7348</v>
      </c>
      <c r="EJ235" s="561">
        <v>5408</v>
      </c>
      <c r="EK235" s="561">
        <v>0</v>
      </c>
      <c r="EL235" s="561">
        <v>0</v>
      </c>
      <c r="EM235" s="561">
        <v>0</v>
      </c>
      <c r="EN235" s="561">
        <v>18926</v>
      </c>
      <c r="EO235" s="561">
        <v>39368</v>
      </c>
      <c r="EP235" s="561">
        <v>13477</v>
      </c>
      <c r="EQ235" s="561">
        <v>7428</v>
      </c>
      <c r="ER235" s="561">
        <v>17617</v>
      </c>
      <c r="ES235" s="561" t="s">
        <v>4565</v>
      </c>
      <c r="ET235" s="561">
        <v>0</v>
      </c>
      <c r="EU235" s="561">
        <v>15000</v>
      </c>
      <c r="EV235" s="561">
        <v>442</v>
      </c>
      <c r="EW235" s="561">
        <v>0</v>
      </c>
      <c r="EX235" s="561">
        <v>18907</v>
      </c>
      <c r="EY235" s="561">
        <v>2318</v>
      </c>
      <c r="EZ235" s="561">
        <v>5554</v>
      </c>
      <c r="FA235" s="561">
        <v>34911</v>
      </c>
      <c r="FB235" s="561">
        <v>0</v>
      </c>
      <c r="FC235" s="561">
        <v>1255</v>
      </c>
      <c r="FD235" s="561">
        <v>389</v>
      </c>
      <c r="FE235" s="561">
        <v>0</v>
      </c>
      <c r="FF235" s="561">
        <v>1222</v>
      </c>
      <c r="FG235" s="561">
        <v>1513</v>
      </c>
      <c r="FH235" s="561">
        <v>0</v>
      </c>
      <c r="FI235" s="561">
        <v>53</v>
      </c>
      <c r="FJ235" s="561">
        <v>461</v>
      </c>
      <c r="FK235" s="561">
        <v>4180</v>
      </c>
      <c r="FL235" s="561">
        <v>27</v>
      </c>
      <c r="FM235" s="561">
        <v>0</v>
      </c>
      <c r="FN235" s="561">
        <v>5998</v>
      </c>
      <c r="FO235" s="561">
        <v>15098</v>
      </c>
      <c r="FP235" s="561">
        <v>281</v>
      </c>
      <c r="FQ235" s="561">
        <v>410</v>
      </c>
      <c r="FR235" s="561">
        <v>238</v>
      </c>
      <c r="FS235" s="561">
        <v>0</v>
      </c>
      <c r="FT235" s="561">
        <v>681</v>
      </c>
      <c r="FU235" s="561">
        <v>1341</v>
      </c>
      <c r="FV235" s="561">
        <v>0</v>
      </c>
      <c r="FW235" s="561">
        <v>300</v>
      </c>
      <c r="FX235" s="561">
        <v>0</v>
      </c>
      <c r="FY235" s="561">
        <v>0</v>
      </c>
      <c r="FZ235" s="561">
        <v>0</v>
      </c>
      <c r="GA235" s="561">
        <v>23</v>
      </c>
      <c r="GB235" s="561">
        <v>210</v>
      </c>
      <c r="GC235" s="561">
        <v>-44</v>
      </c>
      <c r="GD235" s="561">
        <v>410</v>
      </c>
      <c r="GE235" s="561">
        <v>1104</v>
      </c>
      <c r="GF235" s="561">
        <v>540</v>
      </c>
      <c r="GG235" s="561">
        <v>0</v>
      </c>
      <c r="GH235" s="561">
        <v>0</v>
      </c>
      <c r="GI235" s="561">
        <v>0</v>
      </c>
      <c r="GJ235" s="561">
        <v>0</v>
      </c>
      <c r="GK235" s="561">
        <v>25</v>
      </c>
      <c r="GL235" s="561">
        <v>11547</v>
      </c>
      <c r="GM235" s="561">
        <v>10977</v>
      </c>
      <c r="GN235" s="561">
        <v>0</v>
      </c>
      <c r="GO235" s="561">
        <v>-543</v>
      </c>
      <c r="GP235" s="561">
        <v>418</v>
      </c>
      <c r="GQ235" s="561">
        <v>0</v>
      </c>
      <c r="GR235" s="561">
        <v>901</v>
      </c>
      <c r="GS235" s="561">
        <v>28538</v>
      </c>
      <c r="GT235" s="561">
        <v>3655</v>
      </c>
      <c r="GU235" s="561">
        <v>169</v>
      </c>
      <c r="GV235" s="561">
        <v>249</v>
      </c>
      <c r="GW235" s="561">
        <v>0</v>
      </c>
      <c r="GX235" s="561">
        <v>-426</v>
      </c>
      <c r="GY235" s="561">
        <v>0</v>
      </c>
      <c r="GZ235" s="561">
        <v>3682</v>
      </c>
      <c r="HA235" s="561">
        <v>0</v>
      </c>
      <c r="HB235" s="561">
        <v>0</v>
      </c>
      <c r="HC235" s="561">
        <v>2174</v>
      </c>
      <c r="HD235" s="561">
        <v>5848</v>
      </c>
      <c r="HE235" s="561">
        <v>724</v>
      </c>
      <c r="HF235" s="561">
        <v>49484</v>
      </c>
      <c r="HG235" s="561">
        <v>4660</v>
      </c>
      <c r="HH235" s="561">
        <v>0</v>
      </c>
      <c r="HI235" s="561">
        <v>0</v>
      </c>
      <c r="HJ235" s="561">
        <v>0</v>
      </c>
      <c r="HK235" s="561">
        <v>0</v>
      </c>
      <c r="HL235" s="561">
        <v>0</v>
      </c>
      <c r="HM235" s="561">
        <v>0</v>
      </c>
      <c r="HN235" s="561">
        <v>0</v>
      </c>
      <c r="HO235" s="561">
        <v>9449</v>
      </c>
      <c r="HP235" s="561">
        <v>2390</v>
      </c>
      <c r="HQ235" s="561">
        <v>0</v>
      </c>
      <c r="HR235" s="561">
        <v>0</v>
      </c>
      <c r="HS235" s="561">
        <v>934</v>
      </c>
      <c r="HT235" s="561">
        <v>517</v>
      </c>
      <c r="HU235" s="561">
        <v>0</v>
      </c>
      <c r="HV235" s="561">
        <v>-363</v>
      </c>
      <c r="HW235" s="561">
        <v>620</v>
      </c>
      <c r="HX235" s="561">
        <v>360</v>
      </c>
      <c r="HY235" s="561">
        <v>877</v>
      </c>
      <c r="HZ235" s="561">
        <v>-9</v>
      </c>
      <c r="IA235" s="561">
        <v>677</v>
      </c>
      <c r="IB235" s="561">
        <v>0</v>
      </c>
      <c r="IC235" s="561">
        <v>756</v>
      </c>
      <c r="ID235" s="561">
        <v>0</v>
      </c>
      <c r="IE235" s="561">
        <v>5094</v>
      </c>
      <c r="IF235" s="561">
        <v>0</v>
      </c>
      <c r="IG235" s="561">
        <v>-179</v>
      </c>
      <c r="IH235" s="561">
        <v>-62</v>
      </c>
      <c r="II235" s="561">
        <v>21061</v>
      </c>
      <c r="IJ235" s="561">
        <v>6453</v>
      </c>
      <c r="IK235" s="561">
        <v>53368</v>
      </c>
      <c r="IL235" s="561">
        <v>0</v>
      </c>
      <c r="IM235" s="561">
        <v>0</v>
      </c>
      <c r="IN235" s="561">
        <v>7487</v>
      </c>
      <c r="IO235" s="561">
        <v>7821</v>
      </c>
      <c r="IP235" s="561">
        <v>0</v>
      </c>
      <c r="IQ235" s="561">
        <v>0</v>
      </c>
      <c r="IR235" s="561">
        <v>321928</v>
      </c>
      <c r="IS235" s="561">
        <v>-9974</v>
      </c>
      <c r="IT235" s="561">
        <v>113766</v>
      </c>
      <c r="IU235" s="561">
        <v>143006</v>
      </c>
      <c r="IV235" s="561">
        <v>36755</v>
      </c>
      <c r="IW235" s="561">
        <v>84848</v>
      </c>
      <c r="IX235" s="561">
        <v>15098</v>
      </c>
      <c r="IY235" s="561">
        <v>28538</v>
      </c>
      <c r="IZ235" s="561">
        <v>5848</v>
      </c>
      <c r="JA235" s="561">
        <v>0</v>
      </c>
      <c r="JB235" s="561">
        <v>0</v>
      </c>
      <c r="JC235" s="561">
        <v>21061</v>
      </c>
      <c r="JD235" s="561">
        <v>0</v>
      </c>
      <c r="JE235" s="561">
        <v>760874</v>
      </c>
      <c r="JF235" s="561">
        <v>82066</v>
      </c>
      <c r="JG235" s="561">
        <v>67652</v>
      </c>
      <c r="JH235" s="561">
        <v>36259</v>
      </c>
      <c r="JI235" s="561">
        <v>0</v>
      </c>
      <c r="JJ235" s="561">
        <v>0</v>
      </c>
      <c r="JK235" s="561">
        <v>0</v>
      </c>
      <c r="JL235" s="561">
        <v>0</v>
      </c>
      <c r="JM235" s="561">
        <v>22334</v>
      </c>
      <c r="JN235" s="561">
        <v>275</v>
      </c>
      <c r="JO235" s="561">
        <v>1182</v>
      </c>
      <c r="JP235" s="561">
        <v>51</v>
      </c>
      <c r="JQ235" s="561">
        <v>496</v>
      </c>
      <c r="JR235" s="561">
        <v>0</v>
      </c>
      <c r="JS235" s="561">
        <v>0</v>
      </c>
      <c r="JT235" s="561">
        <v>1249</v>
      </c>
      <c r="JU235" s="561">
        <v>-1495</v>
      </c>
      <c r="JV235" s="561">
        <v>970943</v>
      </c>
      <c r="JW235" s="561">
        <v>210</v>
      </c>
      <c r="JX235" s="561">
        <v>6777</v>
      </c>
      <c r="JY235" s="561">
        <v>0</v>
      </c>
      <c r="JZ235" s="561">
        <v>-15969</v>
      </c>
      <c r="KA235" s="561">
        <v>0</v>
      </c>
      <c r="KB235" s="561">
        <v>3488</v>
      </c>
      <c r="KC235" s="561">
        <v>19341</v>
      </c>
      <c r="KD235" s="561">
        <v>0</v>
      </c>
      <c r="KE235" s="561">
        <v>41074</v>
      </c>
      <c r="KF235" s="561">
        <v>0</v>
      </c>
      <c r="KG235" s="561">
        <v>1025864</v>
      </c>
      <c r="KH235" s="561">
        <v>-30237</v>
      </c>
      <c r="KI235" s="561">
        <v>-1061</v>
      </c>
      <c r="KJ235" s="561">
        <v>0</v>
      </c>
      <c r="KK235" s="561">
        <v>0</v>
      </c>
      <c r="KL235" s="561">
        <v>-180262</v>
      </c>
      <c r="KM235" s="561">
        <v>0</v>
      </c>
      <c r="KN235" s="561">
        <v>-4975</v>
      </c>
      <c r="KO235" s="561">
        <v>0</v>
      </c>
      <c r="KP235" s="561">
        <v>-111</v>
      </c>
      <c r="KQ235" s="561">
        <v>3995</v>
      </c>
      <c r="KR235" s="561">
        <v>813213</v>
      </c>
      <c r="KS235" s="561">
        <v>0</v>
      </c>
      <c r="KT235" s="561">
        <v>-438330</v>
      </c>
      <c r="KU235" s="561">
        <v>374883</v>
      </c>
      <c r="KV235" s="561">
        <v>0</v>
      </c>
      <c r="KW235" s="561">
        <v>-2194</v>
      </c>
      <c r="KX235" s="561">
        <v>0</v>
      </c>
      <c r="KY235" s="561">
        <v>0</v>
      </c>
      <c r="KZ235" s="561">
        <v>-42644</v>
      </c>
      <c r="LA235" s="561">
        <v>2934</v>
      </c>
      <c r="LB235" s="561">
        <v>-45426</v>
      </c>
      <c r="LC235" s="561">
        <v>0</v>
      </c>
      <c r="LD235" s="561">
        <v>-175336</v>
      </c>
      <c r="LE235" s="561">
        <v>-1917</v>
      </c>
      <c r="LF235" s="561">
        <v>0</v>
      </c>
      <c r="LG235" s="561">
        <v>110300</v>
      </c>
      <c r="LH235" s="561">
        <v>24954</v>
      </c>
      <c r="LI235" s="561">
        <v>-12724</v>
      </c>
      <c r="LJ235" s="561">
        <v>0</v>
      </c>
      <c r="LK235" s="561">
        <v>0</v>
      </c>
      <c r="LL235" s="561">
        <v>160178</v>
      </c>
      <c r="LM235" s="561">
        <v>11012</v>
      </c>
      <c r="LN235" s="561">
        <v>22760</v>
      </c>
      <c r="LO235" s="561">
        <v>-8729</v>
      </c>
      <c r="LP235" s="561">
        <v>0</v>
      </c>
      <c r="LQ235" s="561">
        <v>0</v>
      </c>
      <c r="LR235" s="561">
        <v>117534</v>
      </c>
      <c r="LS235" s="561">
        <v>13946</v>
      </c>
      <c r="LT235" s="561">
        <v>0</v>
      </c>
      <c r="LU235" s="561">
        <v>51529</v>
      </c>
      <c r="LV235" s="561">
        <v>0</v>
      </c>
      <c r="LW235" s="561">
        <v>97330</v>
      </c>
      <c r="LX235" s="561">
        <v>-78887</v>
      </c>
      <c r="LY235" s="561">
        <v>-1492</v>
      </c>
      <c r="LZ235" s="561">
        <v>70261</v>
      </c>
      <c r="MA235" s="561">
        <v>0</v>
      </c>
      <c r="MB235" s="561">
        <v>0</v>
      </c>
      <c r="MC235" s="561">
        <v>139037</v>
      </c>
      <c r="MD235" s="561">
        <v>133483</v>
      </c>
      <c r="ME235" s="561">
        <v>5554</v>
      </c>
      <c r="MF235" s="561">
        <v>34911</v>
      </c>
      <c r="MG235" s="561">
        <v>40465</v>
      </c>
      <c r="MH235" s="561">
        <v>9483</v>
      </c>
      <c r="MI235" s="561">
        <v>17189</v>
      </c>
      <c r="MJ235" s="561">
        <v>26672</v>
      </c>
      <c r="MK235" s="561">
        <v>0</v>
      </c>
      <c r="ML235" s="561">
        <v>6103</v>
      </c>
      <c r="MM235" s="561">
        <v>61702</v>
      </c>
      <c r="MN235" s="561">
        <v>49729</v>
      </c>
      <c r="MO235" s="561">
        <v>0</v>
      </c>
      <c r="MP235" s="561">
        <v>0</v>
      </c>
      <c r="MQ235" s="561">
        <v>321928</v>
      </c>
      <c r="MR235" s="561">
        <v>-9974</v>
      </c>
      <c r="MS235" s="561">
        <v>113766</v>
      </c>
      <c r="MT235" s="561">
        <v>143006</v>
      </c>
      <c r="MU235" s="561">
        <v>36755</v>
      </c>
      <c r="MV235" s="561">
        <v>84848</v>
      </c>
      <c r="MW235" s="561">
        <v>15098</v>
      </c>
      <c r="MX235" s="561">
        <v>28538</v>
      </c>
      <c r="MY235" s="561">
        <v>5848</v>
      </c>
      <c r="MZ235" s="561">
        <v>0</v>
      </c>
      <c r="NA235" s="561">
        <v>0</v>
      </c>
      <c r="NB235" s="561">
        <v>21061</v>
      </c>
      <c r="NC235" s="561">
        <v>0</v>
      </c>
      <c r="ND235" s="561">
        <v>760874</v>
      </c>
      <c r="NE235" s="561">
        <v>0</v>
      </c>
      <c r="NF235" s="561">
        <v>0</v>
      </c>
      <c r="NG235" s="561">
        <v>0</v>
      </c>
      <c r="NH235" s="561">
        <v>0</v>
      </c>
      <c r="NI235" s="561">
        <v>0</v>
      </c>
      <c r="NJ235" s="561">
        <v>0</v>
      </c>
      <c r="NK235" s="561">
        <v>0</v>
      </c>
      <c r="NL235" s="561">
        <v>0</v>
      </c>
      <c r="NM235" s="561">
        <v>0</v>
      </c>
      <c r="NN235" s="561">
        <v>0</v>
      </c>
      <c r="NO235" s="561">
        <v>0</v>
      </c>
      <c r="NP235" s="561">
        <v>0</v>
      </c>
      <c r="NQ235" s="561">
        <v>0</v>
      </c>
      <c r="NR235" s="561">
        <v>203</v>
      </c>
      <c r="NS235" s="561">
        <v>0</v>
      </c>
      <c r="NT235" s="561">
        <v>0</v>
      </c>
      <c r="NU235" s="561">
        <v>0</v>
      </c>
      <c r="NV235" s="561">
        <v>-152</v>
      </c>
      <c r="NW235" s="561">
        <v>51</v>
      </c>
      <c r="NX235" s="561">
        <v>0</v>
      </c>
      <c r="NY235" s="561">
        <v>51</v>
      </c>
      <c r="NZ235" s="561">
        <v>0</v>
      </c>
      <c r="OA235" s="561">
        <v>0</v>
      </c>
      <c r="OB235" s="561">
        <v>0</v>
      </c>
      <c r="OC235" s="561">
        <v>0</v>
      </c>
      <c r="OD235" s="561">
        <v>0</v>
      </c>
      <c r="OE235" s="561">
        <v>0</v>
      </c>
      <c r="OF235" s="561">
        <v>0</v>
      </c>
      <c r="OG235" s="561">
        <v>0</v>
      </c>
      <c r="OH235" s="561">
        <v>0</v>
      </c>
      <c r="OI235" s="561">
        <v>2</v>
      </c>
      <c r="OJ235" s="561">
        <v>0</v>
      </c>
      <c r="OK235" s="561">
        <v>404</v>
      </c>
      <c r="OL235" s="561">
        <v>0</v>
      </c>
      <c r="OM235" s="561">
        <v>445</v>
      </c>
      <c r="ON235" s="561">
        <v>-344</v>
      </c>
      <c r="OO235" s="561">
        <v>0</v>
      </c>
      <c r="OP235" s="561">
        <v>0</v>
      </c>
      <c r="OQ235" s="561">
        <v>0</v>
      </c>
      <c r="OR235" s="561">
        <v>0</v>
      </c>
      <c r="OS235" s="561">
        <v>0</v>
      </c>
      <c r="OT235" s="561">
        <v>0</v>
      </c>
      <c r="OU235" s="561">
        <v>0</v>
      </c>
      <c r="OV235" s="561">
        <v>0</v>
      </c>
      <c r="OW235" s="561">
        <v>0</v>
      </c>
      <c r="OX235" s="561">
        <v>496</v>
      </c>
      <c r="OY235" s="561">
        <v>0</v>
      </c>
      <c r="OZ235" s="561">
        <v>0</v>
      </c>
      <c r="PA235" s="561">
        <v>0</v>
      </c>
      <c r="PB235" s="561">
        <v>0</v>
      </c>
      <c r="PC235" s="561">
        <v>0</v>
      </c>
      <c r="PD235" s="561">
        <v>0</v>
      </c>
      <c r="PE235" s="561">
        <v>0</v>
      </c>
      <c r="PF235" s="561">
        <v>0</v>
      </c>
      <c r="PG235" s="561">
        <v>0</v>
      </c>
      <c r="PH235" s="561">
        <v>0</v>
      </c>
      <c r="PI235" s="561">
        <v>0</v>
      </c>
      <c r="PJ235" s="561">
        <v>0</v>
      </c>
    </row>
    <row r="236" spans="1:426" ht="14" x14ac:dyDescent="0.3">
      <c r="A236" t="s">
        <v>3151</v>
      </c>
      <c r="B236" t="s">
        <v>3152</v>
      </c>
      <c r="C236" t="s">
        <v>4636</v>
      </c>
      <c r="E236" t="s">
        <v>2595</v>
      </c>
      <c r="F236" s="561">
        <v>73215</v>
      </c>
      <c r="G236" s="561">
        <v>201422</v>
      </c>
      <c r="H236" s="561">
        <v>19061</v>
      </c>
      <c r="I236" s="561">
        <v>136381</v>
      </c>
      <c r="J236" s="561">
        <v>6434</v>
      </c>
      <c r="K236" s="561">
        <v>115331</v>
      </c>
      <c r="L236" s="561">
        <v>551844</v>
      </c>
      <c r="M236" s="561">
        <v>0</v>
      </c>
      <c r="N236" s="561">
        <v>-11531</v>
      </c>
      <c r="O236" s="561">
        <v>-55</v>
      </c>
      <c r="P236" s="561">
        <v>3</v>
      </c>
      <c r="Q236" s="561">
        <v>34</v>
      </c>
      <c r="R236" s="561">
        <v>904</v>
      </c>
      <c r="S236" s="561">
        <v>1329</v>
      </c>
      <c r="T236" s="561">
        <v>7731</v>
      </c>
      <c r="U236" s="561">
        <v>4103</v>
      </c>
      <c r="V236" s="561">
        <v>10399</v>
      </c>
      <c r="W236" s="561">
        <v>0</v>
      </c>
      <c r="X236" s="561">
        <v>0</v>
      </c>
      <c r="Y236" s="561">
        <v>650</v>
      </c>
      <c r="Z236" s="561">
        <v>740</v>
      </c>
      <c r="AA236" s="561">
        <v>-274</v>
      </c>
      <c r="AB236" s="561">
        <v>416</v>
      </c>
      <c r="AC236" s="561">
        <v>13656</v>
      </c>
      <c r="AD236" s="561">
        <v>0</v>
      </c>
      <c r="AE236" s="561">
        <v>16072</v>
      </c>
      <c r="AF236" s="561">
        <v>0</v>
      </c>
      <c r="AG236" s="561">
        <v>0</v>
      </c>
      <c r="AH236" s="561">
        <v>1012</v>
      </c>
      <c r="AI236" s="561">
        <v>0</v>
      </c>
      <c r="AJ236" s="561">
        <v>45189</v>
      </c>
      <c r="AK236" s="561">
        <v>0</v>
      </c>
      <c r="AL236" s="561">
        <v>0</v>
      </c>
      <c r="AM236" s="561">
        <v>0</v>
      </c>
      <c r="AN236" s="561">
        <v>0</v>
      </c>
      <c r="AO236" s="561">
        <v>0</v>
      </c>
      <c r="AP236" s="561">
        <v>0</v>
      </c>
      <c r="AQ236" s="561">
        <v>0</v>
      </c>
      <c r="AR236" s="561">
        <v>0</v>
      </c>
      <c r="AS236" s="561">
        <v>0</v>
      </c>
      <c r="AT236" s="561">
        <v>354</v>
      </c>
      <c r="AU236" s="561">
        <v>0</v>
      </c>
      <c r="AV236" s="561">
        <v>0</v>
      </c>
      <c r="AW236" s="561">
        <v>0</v>
      </c>
      <c r="AX236" s="561">
        <v>4726</v>
      </c>
      <c r="AY236" s="561">
        <v>144396</v>
      </c>
      <c r="AZ236" s="561">
        <v>2236</v>
      </c>
      <c r="BA236" s="561">
        <v>49078</v>
      </c>
      <c r="BB236" s="561">
        <v>2350</v>
      </c>
      <c r="BC236" s="561">
        <v>18401</v>
      </c>
      <c r="BD236" s="561">
        <v>0</v>
      </c>
      <c r="BE236" s="561">
        <v>2413</v>
      </c>
      <c r="BF236" s="561">
        <v>223600</v>
      </c>
      <c r="BG236" s="561">
        <v>0</v>
      </c>
      <c r="BH236" s="561">
        <v>32390</v>
      </c>
      <c r="BI236" s="561">
        <v>118108</v>
      </c>
      <c r="BJ236" s="561">
        <v>1803</v>
      </c>
      <c r="BK236" s="561">
        <v>2680</v>
      </c>
      <c r="BL236" s="561">
        <v>2306</v>
      </c>
      <c r="BM236" s="561">
        <v>17741</v>
      </c>
      <c r="BN236" s="561">
        <v>108728</v>
      </c>
      <c r="BO236" s="561">
        <v>20301</v>
      </c>
      <c r="BP236" s="561">
        <v>23521</v>
      </c>
      <c r="BQ236" s="561">
        <v>14224</v>
      </c>
      <c r="BR236" s="561">
        <v>707</v>
      </c>
      <c r="BS236" s="561">
        <v>4137</v>
      </c>
      <c r="BT236" s="561">
        <v>7671</v>
      </c>
      <c r="BU236" s="561">
        <v>4167</v>
      </c>
      <c r="BV236" s="561">
        <v>1647</v>
      </c>
      <c r="BW236" s="561">
        <v>39515</v>
      </c>
      <c r="BX236" s="561">
        <v>3847</v>
      </c>
      <c r="BY236" s="561">
        <v>59675</v>
      </c>
      <c r="BZ236" s="561">
        <v>463168</v>
      </c>
      <c r="CA236" s="561">
        <v>0</v>
      </c>
      <c r="CB236" s="561">
        <v>4360</v>
      </c>
      <c r="CC236" s="561">
        <v>2478</v>
      </c>
      <c r="CD236" s="561">
        <v>959</v>
      </c>
      <c r="CE236" s="561">
        <v>1345</v>
      </c>
      <c r="CF236" s="561">
        <v>221</v>
      </c>
      <c r="CG236" s="561">
        <v>485</v>
      </c>
      <c r="CH236" s="561">
        <v>412</v>
      </c>
      <c r="CI236" s="561">
        <v>586</v>
      </c>
      <c r="CJ236" s="561">
        <v>475</v>
      </c>
      <c r="CK236" s="561">
        <v>234</v>
      </c>
      <c r="CL236" s="561">
        <v>311</v>
      </c>
      <c r="CM236" s="561">
        <v>3523</v>
      </c>
      <c r="CN236" s="561">
        <v>3518</v>
      </c>
      <c r="CO236" s="561">
        <v>1491</v>
      </c>
      <c r="CP236" s="561">
        <v>1639</v>
      </c>
      <c r="CQ236" s="561">
        <v>1364</v>
      </c>
      <c r="CR236" s="561">
        <v>1725</v>
      </c>
      <c r="CS236" s="561">
        <v>420</v>
      </c>
      <c r="CT236" s="561">
        <v>4404</v>
      </c>
      <c r="CU236" s="561">
        <v>9227</v>
      </c>
      <c r="CV236" s="561">
        <v>4747</v>
      </c>
      <c r="CW236" s="561">
        <v>357</v>
      </c>
      <c r="CX236" s="561">
        <v>939</v>
      </c>
      <c r="CY236" s="561">
        <v>6559</v>
      </c>
      <c r="CZ236" s="561">
        <v>51779</v>
      </c>
      <c r="DA236" s="561">
        <v>0</v>
      </c>
      <c r="DB236" s="561">
        <v>1698</v>
      </c>
      <c r="DC236" s="561">
        <v>0</v>
      </c>
      <c r="DD236" s="561">
        <v>333</v>
      </c>
      <c r="DE236" s="561">
        <v>0</v>
      </c>
      <c r="DF236" s="561">
        <v>0</v>
      </c>
      <c r="DG236" s="561">
        <v>5899</v>
      </c>
      <c r="DH236" s="561">
        <v>0</v>
      </c>
      <c r="DI236" s="561">
        <v>0</v>
      </c>
      <c r="DJ236" s="561">
        <v>0</v>
      </c>
      <c r="DK236" s="561">
        <v>0</v>
      </c>
      <c r="DL236" s="561">
        <v>0</v>
      </c>
      <c r="DM236" s="561">
        <v>0</v>
      </c>
      <c r="DN236" s="561">
        <v>0</v>
      </c>
      <c r="DO236" s="561">
        <v>0</v>
      </c>
      <c r="DP236" s="561">
        <v>0</v>
      </c>
      <c r="DQ236" s="561">
        <v>0</v>
      </c>
      <c r="DR236" s="561">
        <v>0</v>
      </c>
      <c r="DS236" s="561">
        <v>0</v>
      </c>
      <c r="DT236" s="561">
        <v>0</v>
      </c>
      <c r="DU236" s="561">
        <v>0</v>
      </c>
      <c r="DV236" s="561">
        <v>0</v>
      </c>
      <c r="DW236" s="561">
        <v>0</v>
      </c>
      <c r="DX236" s="561">
        <v>0</v>
      </c>
      <c r="DY236" s="561">
        <v>0</v>
      </c>
      <c r="DZ236" s="561">
        <v>0</v>
      </c>
      <c r="EA236" s="561">
        <v>0</v>
      </c>
      <c r="EB236" s="561">
        <v>0</v>
      </c>
      <c r="EC236" s="561">
        <v>0</v>
      </c>
      <c r="ED236" s="561">
        <v>0</v>
      </c>
      <c r="EE236" s="561">
        <v>0</v>
      </c>
      <c r="EF236" s="561">
        <v>0</v>
      </c>
      <c r="EG236" s="561">
        <v>0</v>
      </c>
      <c r="EH236" s="561">
        <v>0</v>
      </c>
      <c r="EI236" s="561">
        <v>0</v>
      </c>
      <c r="EJ236" s="561">
        <v>0</v>
      </c>
      <c r="EK236" s="561">
        <v>0</v>
      </c>
      <c r="EL236" s="561">
        <v>0</v>
      </c>
      <c r="EM236" s="561">
        <v>0</v>
      </c>
      <c r="EN236" s="561">
        <v>0</v>
      </c>
      <c r="EO236" s="561">
        <v>0</v>
      </c>
      <c r="EP236" s="561">
        <v>0</v>
      </c>
      <c r="EQ236" s="561">
        <v>0</v>
      </c>
      <c r="ER236" s="561">
        <v>0</v>
      </c>
      <c r="ES236" s="561" t="s">
        <v>4565</v>
      </c>
      <c r="ET236" s="561">
        <v>0</v>
      </c>
      <c r="EU236" s="561">
        <v>0</v>
      </c>
      <c r="EV236" s="561">
        <v>0</v>
      </c>
      <c r="EW236" s="561">
        <v>0</v>
      </c>
      <c r="EX236" s="561">
        <v>0</v>
      </c>
      <c r="EY236" s="561">
        <v>0</v>
      </c>
      <c r="EZ236" s="561">
        <v>0</v>
      </c>
      <c r="FA236" s="561">
        <v>0</v>
      </c>
      <c r="FB236" s="561">
        <v>860</v>
      </c>
      <c r="FC236" s="561">
        <v>322</v>
      </c>
      <c r="FD236" s="561">
        <v>219</v>
      </c>
      <c r="FE236" s="561">
        <v>3124</v>
      </c>
      <c r="FF236" s="561">
        <v>0</v>
      </c>
      <c r="FG236" s="561">
        <v>0</v>
      </c>
      <c r="FH236" s="561">
        <v>0</v>
      </c>
      <c r="FI236" s="561">
        <v>-36</v>
      </c>
      <c r="FJ236" s="561">
        <v>0</v>
      </c>
      <c r="FK236" s="561">
        <v>122</v>
      </c>
      <c r="FL236" s="561">
        <v>0</v>
      </c>
      <c r="FM236" s="561">
        <v>0</v>
      </c>
      <c r="FN236" s="561">
        <v>9729</v>
      </c>
      <c r="FO236" s="561">
        <v>14340</v>
      </c>
      <c r="FP236" s="561">
        <v>0</v>
      </c>
      <c r="FQ236" s="561">
        <v>0</v>
      </c>
      <c r="FR236" s="561">
        <v>2029</v>
      </c>
      <c r="FS236" s="561">
        <v>0</v>
      </c>
      <c r="FT236" s="561">
        <v>0</v>
      </c>
      <c r="FU236" s="561">
        <v>0</v>
      </c>
      <c r="FV236" s="561">
        <v>0</v>
      </c>
      <c r="FW236" s="561">
        <v>0</v>
      </c>
      <c r="FX236" s="561">
        <v>0</v>
      </c>
      <c r="FY236" s="561">
        <v>0</v>
      </c>
      <c r="FZ236" s="561">
        <v>0</v>
      </c>
      <c r="GA236" s="561">
        <v>0</v>
      </c>
      <c r="GB236" s="561">
        <v>0</v>
      </c>
      <c r="GC236" s="561">
        <v>0</v>
      </c>
      <c r="GD236" s="561">
        <v>0</v>
      </c>
      <c r="GE236" s="561">
        <v>0</v>
      </c>
      <c r="GF236" s="561">
        <v>0</v>
      </c>
      <c r="GG236" s="561">
        <v>851</v>
      </c>
      <c r="GH236" s="561">
        <v>0</v>
      </c>
      <c r="GI236" s="561">
        <v>0</v>
      </c>
      <c r="GJ236" s="561">
        <v>39</v>
      </c>
      <c r="GK236" s="561">
        <v>-2343</v>
      </c>
      <c r="GL236" s="561">
        <v>0</v>
      </c>
      <c r="GM236" s="561">
        <v>0</v>
      </c>
      <c r="GN236" s="561">
        <v>39199</v>
      </c>
      <c r="GO236" s="561">
        <v>-1133</v>
      </c>
      <c r="GP236" s="561">
        <v>11552</v>
      </c>
      <c r="GQ236" s="561">
        <v>106</v>
      </c>
      <c r="GR236" s="561">
        <v>0</v>
      </c>
      <c r="GS236" s="561">
        <v>50300</v>
      </c>
      <c r="GT236" s="561">
        <v>0</v>
      </c>
      <c r="GU236" s="561">
        <v>0</v>
      </c>
      <c r="GV236" s="561">
        <v>162</v>
      </c>
      <c r="GW236" s="561">
        <v>0</v>
      </c>
      <c r="GX236" s="561">
        <v>94</v>
      </c>
      <c r="GY236" s="561">
        <v>2153</v>
      </c>
      <c r="GZ236" s="561">
        <v>-10873</v>
      </c>
      <c r="HA236" s="561">
        <v>0</v>
      </c>
      <c r="HB236" s="561">
        <v>0</v>
      </c>
      <c r="HC236" s="561">
        <v>0</v>
      </c>
      <c r="HD236" s="561">
        <v>-8464</v>
      </c>
      <c r="HE236" s="561">
        <v>0</v>
      </c>
      <c r="HF236" s="561">
        <v>56176</v>
      </c>
      <c r="HG236" s="561">
        <v>0</v>
      </c>
      <c r="HH236" s="561">
        <v>0</v>
      </c>
      <c r="HI236" s="561">
        <v>0</v>
      </c>
      <c r="HJ236" s="561">
        <v>2651</v>
      </c>
      <c r="HK236" s="561">
        <v>35106</v>
      </c>
      <c r="HL236" s="561">
        <v>1621</v>
      </c>
      <c r="HM236" s="561">
        <v>39378</v>
      </c>
      <c r="HN236" s="561">
        <v>0</v>
      </c>
      <c r="HO236" s="561">
        <v>5127</v>
      </c>
      <c r="HP236" s="561">
        <v>0</v>
      </c>
      <c r="HQ236" s="561">
        <v>0</v>
      </c>
      <c r="HR236" s="561">
        <v>0</v>
      </c>
      <c r="HS236" s="561">
        <v>0</v>
      </c>
      <c r="HT236" s="561">
        <v>0</v>
      </c>
      <c r="HU236" s="561">
        <v>0</v>
      </c>
      <c r="HV236" s="561">
        <v>-679</v>
      </c>
      <c r="HW236" s="561">
        <v>0</v>
      </c>
      <c r="HX236" s="561">
        <v>0</v>
      </c>
      <c r="HY236" s="561">
        <v>0</v>
      </c>
      <c r="HZ236" s="561">
        <v>0</v>
      </c>
      <c r="IA236" s="561">
        <v>13927</v>
      </c>
      <c r="IB236" s="561">
        <v>0</v>
      </c>
      <c r="IC236" s="561">
        <v>2641</v>
      </c>
      <c r="ID236" s="561">
        <v>0</v>
      </c>
      <c r="IE236" s="561">
        <v>17121</v>
      </c>
      <c r="IF236" s="561">
        <v>0</v>
      </c>
      <c r="IG236" s="561">
        <v>0</v>
      </c>
      <c r="IH236" s="561">
        <v>0</v>
      </c>
      <c r="II236" s="561">
        <v>38137</v>
      </c>
      <c r="IJ236" s="561">
        <v>0</v>
      </c>
      <c r="IK236" s="561">
        <v>314.04000000000002</v>
      </c>
      <c r="IL236" s="561">
        <v>50920.959999999999</v>
      </c>
      <c r="IM236" s="561">
        <v>0</v>
      </c>
      <c r="IN236" s="561">
        <v>0</v>
      </c>
      <c r="IO236" s="561">
        <v>21455</v>
      </c>
      <c r="IP236" s="561">
        <v>4658</v>
      </c>
      <c r="IQ236" s="561">
        <v>0</v>
      </c>
      <c r="IR236" s="561">
        <v>551844</v>
      </c>
      <c r="IS236" s="561">
        <v>45189</v>
      </c>
      <c r="IT236" s="561">
        <v>223600</v>
      </c>
      <c r="IU236" s="561">
        <v>463168</v>
      </c>
      <c r="IV236" s="561">
        <v>51779</v>
      </c>
      <c r="IW236" s="561">
        <v>0</v>
      </c>
      <c r="IX236" s="561">
        <v>14340</v>
      </c>
      <c r="IY236" s="561">
        <v>50300</v>
      </c>
      <c r="IZ236" s="561">
        <v>-8464</v>
      </c>
      <c r="JA236" s="561">
        <v>0</v>
      </c>
      <c r="JB236" s="561">
        <v>39378</v>
      </c>
      <c r="JC236" s="561">
        <v>38137</v>
      </c>
      <c r="JD236" s="561">
        <v>4658</v>
      </c>
      <c r="JE236" s="561">
        <v>1473929</v>
      </c>
      <c r="JF236" s="561">
        <v>0</v>
      </c>
      <c r="JG236" s="561">
        <v>0</v>
      </c>
      <c r="JH236" s="561">
        <v>0</v>
      </c>
      <c r="JI236" s="561">
        <v>0</v>
      </c>
      <c r="JJ236" s="561">
        <v>0</v>
      </c>
      <c r="JK236" s="561">
        <v>0</v>
      </c>
      <c r="JL236" s="561">
        <v>0</v>
      </c>
      <c r="JM236" s="561">
        <v>0</v>
      </c>
      <c r="JN236" s="561">
        <v>0</v>
      </c>
      <c r="JO236" s="561">
        <v>664</v>
      </c>
      <c r="JP236" s="561">
        <v>0</v>
      </c>
      <c r="JQ236" s="561">
        <v>-775</v>
      </c>
      <c r="JR236" s="561">
        <v>0</v>
      </c>
      <c r="JS236" s="561">
        <v>0</v>
      </c>
      <c r="JT236" s="561">
        <v>0</v>
      </c>
      <c r="JU236" s="561">
        <v>0</v>
      </c>
      <c r="JV236" s="561">
        <v>1473818</v>
      </c>
      <c r="JW236" s="561">
        <v>989</v>
      </c>
      <c r="JX236" s="561">
        <v>2377</v>
      </c>
      <c r="JY236" s="561">
        <v>0</v>
      </c>
      <c r="JZ236" s="561">
        <v>-2571</v>
      </c>
      <c r="KA236" s="561">
        <v>0</v>
      </c>
      <c r="KB236" s="561">
        <v>0</v>
      </c>
      <c r="KC236" s="561">
        <v>38898</v>
      </c>
      <c r="KD236" s="561">
        <v>0</v>
      </c>
      <c r="KE236" s="561">
        <v>34152</v>
      </c>
      <c r="KF236" s="561">
        <v>0</v>
      </c>
      <c r="KG236" s="561">
        <v>1547663</v>
      </c>
      <c r="KH236" s="561">
        <v>-9315</v>
      </c>
      <c r="KI236" s="561">
        <v>0</v>
      </c>
      <c r="KJ236" s="561">
        <v>0</v>
      </c>
      <c r="KK236" s="561">
        <v>0</v>
      </c>
      <c r="KL236" s="561">
        <v>-7172</v>
      </c>
      <c r="KM236" s="561">
        <v>0</v>
      </c>
      <c r="KN236" s="561">
        <v>0</v>
      </c>
      <c r="KO236" s="561">
        <v>0</v>
      </c>
      <c r="KP236" s="561">
        <v>0</v>
      </c>
      <c r="KQ236" s="561">
        <v>-50377</v>
      </c>
      <c r="KR236" s="561">
        <v>1480799</v>
      </c>
      <c r="KS236" s="561">
        <v>-1897</v>
      </c>
      <c r="KT236" s="561">
        <v>-738593</v>
      </c>
      <c r="KU236" s="561">
        <v>740309</v>
      </c>
      <c r="KV236" s="561">
        <v>0</v>
      </c>
      <c r="KW236" s="561">
        <v>-1654</v>
      </c>
      <c r="KX236" s="561">
        <v>0</v>
      </c>
      <c r="KY236" s="561">
        <v>-1138</v>
      </c>
      <c r="KZ236" s="561">
        <v>873</v>
      </c>
      <c r="LA236" s="561">
        <v>1247</v>
      </c>
      <c r="LB236" s="561">
        <v>-49668</v>
      </c>
      <c r="LC236" s="561">
        <v>0</v>
      </c>
      <c r="LD236" s="561">
        <v>-164006</v>
      </c>
      <c r="LE236" s="561">
        <v>-3294.96</v>
      </c>
      <c r="LF236" s="561">
        <v>1784.73</v>
      </c>
      <c r="LG236" s="561">
        <v>524453</v>
      </c>
      <c r="LH236" s="561">
        <v>15067</v>
      </c>
      <c r="LI236" s="561">
        <v>-117149</v>
      </c>
      <c r="LJ236" s="561">
        <v>35636</v>
      </c>
      <c r="LK236" s="561">
        <v>6457</v>
      </c>
      <c r="LL236" s="561">
        <v>121362</v>
      </c>
      <c r="LM236" s="561">
        <v>25485</v>
      </c>
      <c r="LN236" s="561">
        <v>13413</v>
      </c>
      <c r="LO236" s="561">
        <v>-167526</v>
      </c>
      <c r="LP236" s="561">
        <v>35636</v>
      </c>
      <c r="LQ236" s="561">
        <v>5319</v>
      </c>
      <c r="LR236" s="561">
        <v>122235</v>
      </c>
      <c r="LS236" s="561">
        <v>26732</v>
      </c>
      <c r="LT236" s="561">
        <v>0</v>
      </c>
      <c r="LU236" s="561">
        <v>82437</v>
      </c>
      <c r="LV236" s="561">
        <v>40818</v>
      </c>
      <c r="LW236" s="561">
        <v>0</v>
      </c>
      <c r="LX236" s="561">
        <v>0</v>
      </c>
      <c r="LY236" s="561">
        <v>51270</v>
      </c>
      <c r="LZ236" s="561">
        <v>174525</v>
      </c>
      <c r="MA236" s="561">
        <v>0</v>
      </c>
      <c r="MB236" s="561">
        <v>0</v>
      </c>
      <c r="MC236" s="561">
        <v>0</v>
      </c>
      <c r="MD236" s="561">
        <v>0</v>
      </c>
      <c r="ME236" s="561">
        <v>0</v>
      </c>
      <c r="MF236" s="561">
        <v>0</v>
      </c>
      <c r="MG236" s="561">
        <v>0</v>
      </c>
      <c r="MH236" s="561">
        <v>0</v>
      </c>
      <c r="MI236" s="561">
        <v>0</v>
      </c>
      <c r="MJ236" s="561">
        <v>0</v>
      </c>
      <c r="MK236" s="561">
        <v>0</v>
      </c>
      <c r="ML236" s="561">
        <v>7183</v>
      </c>
      <c r="MM236" s="561">
        <v>95846</v>
      </c>
      <c r="MN236" s="561">
        <v>5561</v>
      </c>
      <c r="MO236" s="561">
        <v>13645</v>
      </c>
      <c r="MP236" s="561">
        <v>0</v>
      </c>
      <c r="MQ236" s="561">
        <v>551844</v>
      </c>
      <c r="MR236" s="561">
        <v>45189</v>
      </c>
      <c r="MS236" s="561">
        <v>223600</v>
      </c>
      <c r="MT236" s="561">
        <v>463168</v>
      </c>
      <c r="MU236" s="561">
        <v>51779</v>
      </c>
      <c r="MV236" s="561">
        <v>0</v>
      </c>
      <c r="MW236" s="561">
        <v>14340</v>
      </c>
      <c r="MX236" s="561">
        <v>50300</v>
      </c>
      <c r="MY236" s="561">
        <v>-8464</v>
      </c>
      <c r="MZ236" s="561">
        <v>0</v>
      </c>
      <c r="NA236" s="561">
        <v>39378</v>
      </c>
      <c r="NB236" s="561">
        <v>38137</v>
      </c>
      <c r="NC236" s="561">
        <v>4658</v>
      </c>
      <c r="ND236" s="561">
        <v>1473929</v>
      </c>
      <c r="NE236" s="561">
        <v>0</v>
      </c>
      <c r="NF236" s="561">
        <v>0</v>
      </c>
      <c r="NG236" s="561">
        <v>0</v>
      </c>
      <c r="NH236" s="561">
        <v>0</v>
      </c>
      <c r="NI236" s="561">
        <v>0</v>
      </c>
      <c r="NJ236" s="561">
        <v>0</v>
      </c>
      <c r="NK236" s="561">
        <v>0</v>
      </c>
      <c r="NL236" s="561">
        <v>0</v>
      </c>
      <c r="NM236" s="561">
        <v>0</v>
      </c>
      <c r="NN236" s="561">
        <v>0</v>
      </c>
      <c r="NO236" s="561">
        <v>0</v>
      </c>
      <c r="NP236" s="561">
        <v>0</v>
      </c>
      <c r="NQ236" s="561">
        <v>0</v>
      </c>
      <c r="NR236" s="561">
        <v>0</v>
      </c>
      <c r="NS236" s="561">
        <v>0</v>
      </c>
      <c r="NT236" s="561">
        <v>0</v>
      </c>
      <c r="NU236" s="561">
        <v>630</v>
      </c>
      <c r="NV236" s="561">
        <v>0</v>
      </c>
      <c r="NW236" s="561">
        <v>0</v>
      </c>
      <c r="NX236" s="561">
        <v>0</v>
      </c>
      <c r="NY236" s="561">
        <v>0</v>
      </c>
      <c r="NZ236" s="561">
        <v>0</v>
      </c>
      <c r="OA236" s="561">
        <v>0</v>
      </c>
      <c r="OB236" s="561">
        <v>0</v>
      </c>
      <c r="OC236" s="561">
        <v>0</v>
      </c>
      <c r="OD236" s="561">
        <v>0</v>
      </c>
      <c r="OE236" s="561">
        <v>0</v>
      </c>
      <c r="OF236" s="561">
        <v>0</v>
      </c>
      <c r="OG236" s="561">
        <v>0</v>
      </c>
      <c r="OH236" s="561">
        <v>0</v>
      </c>
      <c r="OI236" s="561">
        <v>0</v>
      </c>
      <c r="OJ236" s="561">
        <v>0</v>
      </c>
      <c r="OK236" s="561">
        <v>0</v>
      </c>
      <c r="OL236" s="561">
        <v>0</v>
      </c>
      <c r="OM236" s="561">
        <v>0</v>
      </c>
      <c r="ON236" s="561">
        <v>0</v>
      </c>
      <c r="OO236" s="561">
        <v>0</v>
      </c>
      <c r="OP236" s="561">
        <v>0</v>
      </c>
      <c r="OQ236" s="561">
        <v>0</v>
      </c>
      <c r="OR236" s="561">
        <v>0</v>
      </c>
      <c r="OS236" s="561">
        <v>0</v>
      </c>
      <c r="OT236" s="561">
        <v>-775</v>
      </c>
      <c r="OU236" s="561">
        <v>0</v>
      </c>
      <c r="OV236" s="561">
        <v>699</v>
      </c>
      <c r="OW236" s="561">
        <v>0</v>
      </c>
      <c r="OX236" s="561">
        <v>-775</v>
      </c>
      <c r="OY236" s="561">
        <v>0</v>
      </c>
      <c r="OZ236" s="561">
        <v>0</v>
      </c>
      <c r="PA236" s="561">
        <v>0</v>
      </c>
      <c r="PB236" s="561">
        <v>0</v>
      </c>
      <c r="PC236" s="561">
        <v>0</v>
      </c>
      <c r="PD236" s="561">
        <v>0</v>
      </c>
      <c r="PE236" s="561">
        <v>0</v>
      </c>
      <c r="PF236" s="561">
        <v>0</v>
      </c>
      <c r="PG236" s="561">
        <v>0</v>
      </c>
      <c r="PH236" s="561">
        <v>0</v>
      </c>
      <c r="PI236" s="561">
        <v>0</v>
      </c>
      <c r="PJ236" s="561">
        <v>0</v>
      </c>
    </row>
    <row r="237" spans="1:426" ht="14" x14ac:dyDescent="0.3">
      <c r="A237" t="s">
        <v>3154</v>
      </c>
      <c r="B237" t="s">
        <v>3155</v>
      </c>
      <c r="C237" t="s">
        <v>3156</v>
      </c>
      <c r="E237" t="s">
        <v>2466</v>
      </c>
      <c r="F237" s="561">
        <v>0</v>
      </c>
      <c r="G237" s="561">
        <v>0</v>
      </c>
      <c r="H237" s="561">
        <v>0</v>
      </c>
      <c r="I237" s="561">
        <v>0</v>
      </c>
      <c r="J237" s="561">
        <v>0</v>
      </c>
      <c r="K237" s="561">
        <v>0</v>
      </c>
      <c r="L237" s="561">
        <v>0</v>
      </c>
      <c r="M237" s="561">
        <v>0</v>
      </c>
      <c r="N237" s="561">
        <v>0</v>
      </c>
      <c r="O237" s="561">
        <v>0</v>
      </c>
      <c r="P237" s="561">
        <v>0</v>
      </c>
      <c r="Q237" s="561">
        <v>0</v>
      </c>
      <c r="R237" s="561">
        <v>0</v>
      </c>
      <c r="S237" s="561">
        <v>0</v>
      </c>
      <c r="T237" s="561">
        <v>0</v>
      </c>
      <c r="U237" s="561">
        <v>0</v>
      </c>
      <c r="V237" s="561">
        <v>0</v>
      </c>
      <c r="W237" s="561">
        <v>0</v>
      </c>
      <c r="X237" s="561">
        <v>0</v>
      </c>
      <c r="Y237" s="561">
        <v>0</v>
      </c>
      <c r="Z237" s="561">
        <v>0</v>
      </c>
      <c r="AA237" s="561">
        <v>0</v>
      </c>
      <c r="AB237" s="561">
        <v>0</v>
      </c>
      <c r="AC237" s="561">
        <v>0</v>
      </c>
      <c r="AD237" s="561">
        <v>0</v>
      </c>
      <c r="AE237" s="561">
        <v>0</v>
      </c>
      <c r="AF237" s="561">
        <v>0</v>
      </c>
      <c r="AG237" s="561">
        <v>0</v>
      </c>
      <c r="AH237" s="561">
        <v>0</v>
      </c>
      <c r="AI237" s="561">
        <v>0</v>
      </c>
      <c r="AJ237" s="561">
        <v>0</v>
      </c>
      <c r="AK237" s="561">
        <v>0</v>
      </c>
      <c r="AL237" s="561">
        <v>0</v>
      </c>
      <c r="AM237" s="561">
        <v>0</v>
      </c>
      <c r="AN237" s="561">
        <v>0</v>
      </c>
      <c r="AO237" s="561">
        <v>0</v>
      </c>
      <c r="AP237" s="561">
        <v>0</v>
      </c>
      <c r="AQ237" s="561">
        <v>0</v>
      </c>
      <c r="AR237" s="561">
        <v>0</v>
      </c>
      <c r="AS237" s="561">
        <v>0</v>
      </c>
      <c r="AT237" s="561">
        <v>0</v>
      </c>
      <c r="AU237" s="561">
        <v>0</v>
      </c>
      <c r="AV237" s="561">
        <v>0</v>
      </c>
      <c r="AW237" s="561">
        <v>0</v>
      </c>
      <c r="AX237" s="561">
        <v>0</v>
      </c>
      <c r="AY237" s="561">
        <v>0</v>
      </c>
      <c r="AZ237" s="561">
        <v>0</v>
      </c>
      <c r="BA237" s="561">
        <v>0</v>
      </c>
      <c r="BB237" s="561">
        <v>0</v>
      </c>
      <c r="BC237" s="561">
        <v>0</v>
      </c>
      <c r="BD237" s="561">
        <v>0</v>
      </c>
      <c r="BE237" s="561">
        <v>0</v>
      </c>
      <c r="BF237" s="561">
        <v>0</v>
      </c>
      <c r="BG237" s="561">
        <v>0</v>
      </c>
      <c r="BH237" s="561">
        <v>0</v>
      </c>
      <c r="BI237" s="561">
        <v>0</v>
      </c>
      <c r="BJ237" s="561">
        <v>0</v>
      </c>
      <c r="BK237" s="561">
        <v>0</v>
      </c>
      <c r="BL237" s="561">
        <v>0</v>
      </c>
      <c r="BM237" s="561">
        <v>0</v>
      </c>
      <c r="BN237" s="561">
        <v>0</v>
      </c>
      <c r="BO237" s="561">
        <v>0</v>
      </c>
      <c r="BP237" s="561">
        <v>0</v>
      </c>
      <c r="BQ237" s="561">
        <v>0</v>
      </c>
      <c r="BR237" s="561">
        <v>0</v>
      </c>
      <c r="BS237" s="561">
        <v>0</v>
      </c>
      <c r="BT237" s="561">
        <v>0</v>
      </c>
      <c r="BU237" s="561">
        <v>0</v>
      </c>
      <c r="BV237" s="561">
        <v>0</v>
      </c>
      <c r="BW237" s="561">
        <v>0</v>
      </c>
      <c r="BX237" s="561">
        <v>0</v>
      </c>
      <c r="BY237" s="561">
        <v>0</v>
      </c>
      <c r="BZ237" s="561">
        <v>0</v>
      </c>
      <c r="CA237" s="561">
        <v>0</v>
      </c>
      <c r="CB237" s="561">
        <v>0</v>
      </c>
      <c r="CC237" s="561">
        <v>0</v>
      </c>
      <c r="CD237" s="561">
        <v>0</v>
      </c>
      <c r="CE237" s="561">
        <v>0</v>
      </c>
      <c r="CF237" s="561">
        <v>0</v>
      </c>
      <c r="CG237" s="561">
        <v>0</v>
      </c>
      <c r="CH237" s="561">
        <v>0</v>
      </c>
      <c r="CI237" s="561">
        <v>0</v>
      </c>
      <c r="CJ237" s="561">
        <v>0</v>
      </c>
      <c r="CK237" s="561">
        <v>0</v>
      </c>
      <c r="CL237" s="561">
        <v>0</v>
      </c>
      <c r="CM237" s="561">
        <v>0</v>
      </c>
      <c r="CN237" s="561">
        <v>0</v>
      </c>
      <c r="CO237" s="561">
        <v>0</v>
      </c>
      <c r="CP237" s="561">
        <v>0</v>
      </c>
      <c r="CQ237" s="561">
        <v>0</v>
      </c>
      <c r="CR237" s="561">
        <v>0</v>
      </c>
      <c r="CS237" s="561">
        <v>0</v>
      </c>
      <c r="CT237" s="561">
        <v>0</v>
      </c>
      <c r="CU237" s="561">
        <v>0</v>
      </c>
      <c r="CV237" s="561">
        <v>0</v>
      </c>
      <c r="CW237" s="561">
        <v>0</v>
      </c>
      <c r="CX237" s="561">
        <v>0</v>
      </c>
      <c r="CY237" s="561">
        <v>0</v>
      </c>
      <c r="CZ237" s="561">
        <v>0</v>
      </c>
      <c r="DA237" s="561">
        <v>0</v>
      </c>
      <c r="DB237" s="561">
        <v>0</v>
      </c>
      <c r="DC237" s="561">
        <v>0</v>
      </c>
      <c r="DD237" s="561">
        <v>0</v>
      </c>
      <c r="DE237" s="561">
        <v>0</v>
      </c>
      <c r="DF237" s="561">
        <v>0</v>
      </c>
      <c r="DG237" s="561">
        <v>0</v>
      </c>
      <c r="DH237" s="561">
        <v>0</v>
      </c>
      <c r="DI237" s="561">
        <v>0</v>
      </c>
      <c r="DJ237" s="561">
        <v>0</v>
      </c>
      <c r="DK237" s="561">
        <v>0</v>
      </c>
      <c r="DL237" s="561">
        <v>0</v>
      </c>
      <c r="DM237" s="561">
        <v>0</v>
      </c>
      <c r="DN237" s="561">
        <v>0</v>
      </c>
      <c r="DO237" s="561">
        <v>0</v>
      </c>
      <c r="DP237" s="561">
        <v>0</v>
      </c>
      <c r="DQ237" s="561">
        <v>0</v>
      </c>
      <c r="DR237" s="561">
        <v>0</v>
      </c>
      <c r="DS237" s="561">
        <v>0</v>
      </c>
      <c r="DT237" s="561">
        <v>0</v>
      </c>
      <c r="DU237" s="561">
        <v>0</v>
      </c>
      <c r="DV237" s="561">
        <v>0</v>
      </c>
      <c r="DW237" s="561">
        <v>0</v>
      </c>
      <c r="DX237" s="561">
        <v>0</v>
      </c>
      <c r="DY237" s="561">
        <v>0</v>
      </c>
      <c r="DZ237" s="561">
        <v>0</v>
      </c>
      <c r="EA237" s="561">
        <v>0</v>
      </c>
      <c r="EB237" s="561">
        <v>0</v>
      </c>
      <c r="EC237" s="561">
        <v>0</v>
      </c>
      <c r="ED237" s="561">
        <v>0</v>
      </c>
      <c r="EE237" s="561">
        <v>0</v>
      </c>
      <c r="EF237" s="561">
        <v>0</v>
      </c>
      <c r="EG237" s="561">
        <v>0</v>
      </c>
      <c r="EH237" s="561">
        <v>0</v>
      </c>
      <c r="EI237" s="561">
        <v>0</v>
      </c>
      <c r="EJ237" s="561">
        <v>0</v>
      </c>
      <c r="EK237" s="561">
        <v>0</v>
      </c>
      <c r="EL237" s="561">
        <v>0</v>
      </c>
      <c r="EM237" s="561">
        <v>0</v>
      </c>
      <c r="EN237" s="561">
        <v>0</v>
      </c>
      <c r="EO237" s="561">
        <v>0</v>
      </c>
      <c r="EP237" s="561">
        <v>0</v>
      </c>
      <c r="EQ237" s="561">
        <v>0</v>
      </c>
      <c r="ER237" s="561">
        <v>0</v>
      </c>
      <c r="ES237" s="561" t="s">
        <v>4565</v>
      </c>
      <c r="ET237" s="561">
        <v>0</v>
      </c>
      <c r="EU237" s="561">
        <v>0</v>
      </c>
      <c r="EV237" s="561">
        <v>0</v>
      </c>
      <c r="EW237" s="561">
        <v>0</v>
      </c>
      <c r="EX237" s="561">
        <v>0</v>
      </c>
      <c r="EY237" s="561">
        <v>0</v>
      </c>
      <c r="EZ237" s="561">
        <v>0</v>
      </c>
      <c r="FA237" s="561">
        <v>0</v>
      </c>
      <c r="FB237" s="561">
        <v>0</v>
      </c>
      <c r="FC237" s="561">
        <v>0</v>
      </c>
      <c r="FD237" s="561">
        <v>0</v>
      </c>
      <c r="FE237" s="561">
        <v>0</v>
      </c>
      <c r="FF237" s="561">
        <v>0</v>
      </c>
      <c r="FG237" s="561">
        <v>0</v>
      </c>
      <c r="FH237" s="561">
        <v>0</v>
      </c>
      <c r="FI237" s="561">
        <v>0</v>
      </c>
      <c r="FJ237" s="561">
        <v>0</v>
      </c>
      <c r="FK237" s="561">
        <v>0</v>
      </c>
      <c r="FL237" s="561">
        <v>0</v>
      </c>
      <c r="FM237" s="561">
        <v>0</v>
      </c>
      <c r="FN237" s="561">
        <v>0</v>
      </c>
      <c r="FO237" s="561">
        <v>0</v>
      </c>
      <c r="FP237" s="561">
        <v>0</v>
      </c>
      <c r="FQ237" s="561">
        <v>0</v>
      </c>
      <c r="FR237" s="561">
        <v>0</v>
      </c>
      <c r="FS237" s="561">
        <v>0</v>
      </c>
      <c r="FT237" s="561">
        <v>0</v>
      </c>
      <c r="FU237" s="561">
        <v>0</v>
      </c>
      <c r="FV237" s="561">
        <v>0</v>
      </c>
      <c r="FW237" s="561">
        <v>0</v>
      </c>
      <c r="FX237" s="561">
        <v>0</v>
      </c>
      <c r="FY237" s="561">
        <v>0</v>
      </c>
      <c r="FZ237" s="561">
        <v>0</v>
      </c>
      <c r="GA237" s="561">
        <v>0</v>
      </c>
      <c r="GB237" s="561">
        <v>0</v>
      </c>
      <c r="GC237" s="561">
        <v>0</v>
      </c>
      <c r="GD237" s="561">
        <v>0</v>
      </c>
      <c r="GE237" s="561">
        <v>0</v>
      </c>
      <c r="GF237" s="561">
        <v>0</v>
      </c>
      <c r="GG237" s="561">
        <v>0</v>
      </c>
      <c r="GH237" s="561">
        <v>0</v>
      </c>
      <c r="GI237" s="561">
        <v>0</v>
      </c>
      <c r="GJ237" s="561">
        <v>0</v>
      </c>
      <c r="GK237" s="561">
        <v>0</v>
      </c>
      <c r="GL237" s="561">
        <v>0</v>
      </c>
      <c r="GM237" s="561">
        <v>0</v>
      </c>
      <c r="GN237" s="561">
        <v>0</v>
      </c>
      <c r="GO237" s="561">
        <v>0</v>
      </c>
      <c r="GP237" s="561">
        <v>0</v>
      </c>
      <c r="GQ237" s="561">
        <v>0</v>
      </c>
      <c r="GR237" s="561">
        <v>0</v>
      </c>
      <c r="GS237" s="561">
        <v>0</v>
      </c>
      <c r="GT237" s="561">
        <v>0</v>
      </c>
      <c r="GU237" s="561">
        <v>0</v>
      </c>
      <c r="GV237" s="561">
        <v>0</v>
      </c>
      <c r="GW237" s="561">
        <v>0</v>
      </c>
      <c r="GX237" s="561">
        <v>0</v>
      </c>
      <c r="GY237" s="561">
        <v>0</v>
      </c>
      <c r="GZ237" s="561">
        <v>0</v>
      </c>
      <c r="HA237" s="561">
        <v>0</v>
      </c>
      <c r="HB237" s="561">
        <v>0</v>
      </c>
      <c r="HC237" s="561">
        <v>0</v>
      </c>
      <c r="HD237" s="561">
        <v>0</v>
      </c>
      <c r="HE237" s="561">
        <v>0</v>
      </c>
      <c r="HF237" s="561">
        <v>0</v>
      </c>
      <c r="HG237" s="561">
        <v>0</v>
      </c>
      <c r="HH237" s="561">
        <v>240304</v>
      </c>
      <c r="HI237" s="561">
        <v>571</v>
      </c>
      <c r="HJ237" s="561">
        <v>0</v>
      </c>
      <c r="HK237" s="561">
        <v>0</v>
      </c>
      <c r="HL237" s="561">
        <v>0</v>
      </c>
      <c r="HM237" s="561">
        <v>0</v>
      </c>
      <c r="HN237" s="561">
        <v>0</v>
      </c>
      <c r="HO237" s="561">
        <v>0</v>
      </c>
      <c r="HP237" s="561">
        <v>0</v>
      </c>
      <c r="HQ237" s="561">
        <v>0</v>
      </c>
      <c r="HR237" s="561">
        <v>0</v>
      </c>
      <c r="HS237" s="561">
        <v>0</v>
      </c>
      <c r="HT237" s="561">
        <v>0</v>
      </c>
      <c r="HU237" s="561">
        <v>0</v>
      </c>
      <c r="HV237" s="561">
        <v>0</v>
      </c>
      <c r="HW237" s="561">
        <v>0</v>
      </c>
      <c r="HX237" s="561">
        <v>0</v>
      </c>
      <c r="HY237" s="561">
        <v>0</v>
      </c>
      <c r="HZ237" s="561">
        <v>0</v>
      </c>
      <c r="IA237" s="561">
        <v>0</v>
      </c>
      <c r="IB237" s="561">
        <v>0</v>
      </c>
      <c r="IC237" s="561">
        <v>0</v>
      </c>
      <c r="ID237" s="561">
        <v>0</v>
      </c>
      <c r="IE237" s="561">
        <v>0</v>
      </c>
      <c r="IF237" s="561">
        <v>0</v>
      </c>
      <c r="IG237" s="561">
        <v>0</v>
      </c>
      <c r="IH237" s="561">
        <v>0</v>
      </c>
      <c r="II237" s="561">
        <v>0</v>
      </c>
      <c r="IJ237" s="561">
        <v>0</v>
      </c>
      <c r="IK237" s="561">
        <v>0</v>
      </c>
      <c r="IL237" s="561">
        <v>0</v>
      </c>
      <c r="IM237" s="561">
        <v>0</v>
      </c>
      <c r="IN237" s="561">
        <v>0</v>
      </c>
      <c r="IO237" s="561">
        <v>0</v>
      </c>
      <c r="IP237" s="561">
        <v>0</v>
      </c>
      <c r="IQ237" s="561">
        <v>0</v>
      </c>
      <c r="IR237" s="561">
        <v>0</v>
      </c>
      <c r="IS237" s="561">
        <v>0</v>
      </c>
      <c r="IT237" s="561">
        <v>0</v>
      </c>
      <c r="IU237" s="561">
        <v>0</v>
      </c>
      <c r="IV237" s="561">
        <v>0</v>
      </c>
      <c r="IW237" s="561">
        <v>0</v>
      </c>
      <c r="IX237" s="561">
        <v>0</v>
      </c>
      <c r="IY237" s="561">
        <v>0</v>
      </c>
      <c r="IZ237" s="561">
        <v>0</v>
      </c>
      <c r="JA237" s="561">
        <v>240304</v>
      </c>
      <c r="JB237" s="561">
        <v>0</v>
      </c>
      <c r="JC237" s="561">
        <v>0</v>
      </c>
      <c r="JD237" s="561">
        <v>0</v>
      </c>
      <c r="JE237" s="561">
        <v>240304</v>
      </c>
      <c r="JF237" s="561">
        <v>0</v>
      </c>
      <c r="JG237" s="561">
        <v>0</v>
      </c>
      <c r="JH237" s="561">
        <v>0</v>
      </c>
      <c r="JI237" s="561">
        <v>0</v>
      </c>
      <c r="JJ237" s="561">
        <v>0</v>
      </c>
      <c r="JK237" s="561">
        <v>0</v>
      </c>
      <c r="JL237" s="561">
        <v>0</v>
      </c>
      <c r="JM237" s="561">
        <v>0</v>
      </c>
      <c r="JN237" s="561">
        <v>0</v>
      </c>
      <c r="JO237" s="561">
        <v>0</v>
      </c>
      <c r="JP237" s="561">
        <v>0</v>
      </c>
      <c r="JQ237" s="561">
        <v>0</v>
      </c>
      <c r="JR237" s="561">
        <v>0</v>
      </c>
      <c r="JS237" s="561">
        <v>0</v>
      </c>
      <c r="JT237" s="561">
        <v>92</v>
      </c>
      <c r="JU237" s="561">
        <v>0</v>
      </c>
      <c r="JV237" s="561">
        <v>240396</v>
      </c>
      <c r="JW237" s="561">
        <v>0</v>
      </c>
      <c r="JX237" s="561">
        <v>4477</v>
      </c>
      <c r="JY237" s="561">
        <v>0</v>
      </c>
      <c r="JZ237" s="561">
        <v>0</v>
      </c>
      <c r="KA237" s="561">
        <v>0</v>
      </c>
      <c r="KB237" s="561">
        <v>0</v>
      </c>
      <c r="KC237" s="561">
        <v>3768</v>
      </c>
      <c r="KD237" s="561">
        <v>0</v>
      </c>
      <c r="KE237" s="561">
        <v>6179</v>
      </c>
      <c r="KF237" s="561">
        <v>0</v>
      </c>
      <c r="KG237" s="561">
        <v>254820</v>
      </c>
      <c r="KH237" s="561">
        <v>-1002</v>
      </c>
      <c r="KI237" s="561">
        <v>0</v>
      </c>
      <c r="KJ237" s="561">
        <v>0</v>
      </c>
      <c r="KK237" s="561">
        <v>0</v>
      </c>
      <c r="KL237" s="561">
        <v>0</v>
      </c>
      <c r="KM237" s="561">
        <v>0</v>
      </c>
      <c r="KN237" s="561">
        <v>0</v>
      </c>
      <c r="KO237" s="561">
        <v>0</v>
      </c>
      <c r="KP237" s="561">
        <v>0</v>
      </c>
      <c r="KQ237" s="561">
        <v>0</v>
      </c>
      <c r="KR237" s="561">
        <v>253818</v>
      </c>
      <c r="KS237" s="561">
        <v>0</v>
      </c>
      <c r="KT237" s="561">
        <v>-41839</v>
      </c>
      <c r="KU237" s="561">
        <v>211979</v>
      </c>
      <c r="KV237" s="561">
        <v>0</v>
      </c>
      <c r="KW237" s="561">
        <v>0</v>
      </c>
      <c r="KX237" s="561">
        <v>0</v>
      </c>
      <c r="KY237" s="561">
        <v>0</v>
      </c>
      <c r="KZ237" s="561">
        <v>-852</v>
      </c>
      <c r="LA237" s="561">
        <v>270</v>
      </c>
      <c r="LB237" s="561">
        <v>0</v>
      </c>
      <c r="LC237" s="561">
        <v>-111689</v>
      </c>
      <c r="LD237" s="561">
        <v>0</v>
      </c>
      <c r="LE237" s="561">
        <v>-627</v>
      </c>
      <c r="LF237" s="561">
        <v>0</v>
      </c>
      <c r="LG237" s="561">
        <v>99081</v>
      </c>
      <c r="LH237" s="561">
        <v>0</v>
      </c>
      <c r="LI237" s="561">
        <v>0</v>
      </c>
      <c r="LJ237" s="561">
        <v>0</v>
      </c>
      <c r="LK237" s="561">
        <v>0</v>
      </c>
      <c r="LL237" s="561">
        <v>12373</v>
      </c>
      <c r="LM237" s="561">
        <v>4990</v>
      </c>
      <c r="LN237" s="561">
        <v>0</v>
      </c>
      <c r="LO237" s="561">
        <v>0</v>
      </c>
      <c r="LP237" s="561">
        <v>0</v>
      </c>
      <c r="LQ237" s="561">
        <v>0</v>
      </c>
      <c r="LR237" s="561">
        <v>11521</v>
      </c>
      <c r="LS237" s="561">
        <v>5260</v>
      </c>
      <c r="LT237" s="561">
        <v>270</v>
      </c>
      <c r="LU237" s="561">
        <v>8698</v>
      </c>
      <c r="LV237" s="561">
        <v>0</v>
      </c>
      <c r="LW237" s="561">
        <v>1643</v>
      </c>
      <c r="LX237" s="561">
        <v>0</v>
      </c>
      <c r="LY237" s="561">
        <v>0</v>
      </c>
      <c r="LZ237" s="561">
        <v>10341</v>
      </c>
      <c r="MA237" s="561">
        <v>0</v>
      </c>
      <c r="MB237" s="561">
        <v>0</v>
      </c>
      <c r="MC237" s="561">
        <v>0</v>
      </c>
      <c r="MD237" s="561">
        <v>0</v>
      </c>
      <c r="ME237" s="561">
        <v>0</v>
      </c>
      <c r="MF237" s="561">
        <v>0</v>
      </c>
      <c r="MG237" s="561">
        <v>0</v>
      </c>
      <c r="MH237" s="561">
        <v>0</v>
      </c>
      <c r="MI237" s="561">
        <v>0</v>
      </c>
      <c r="MJ237" s="561">
        <v>0</v>
      </c>
      <c r="MK237" s="561">
        <v>0</v>
      </c>
      <c r="ML237" s="561">
        <v>0</v>
      </c>
      <c r="MM237" s="561">
        <v>7410</v>
      </c>
      <c r="MN237" s="561">
        <v>856</v>
      </c>
      <c r="MO237" s="561">
        <v>1452</v>
      </c>
      <c r="MP237" s="561">
        <v>1803</v>
      </c>
      <c r="MQ237" s="561">
        <v>0</v>
      </c>
      <c r="MR237" s="561">
        <v>0</v>
      </c>
      <c r="MS237" s="561">
        <v>0</v>
      </c>
      <c r="MT237" s="561">
        <v>0</v>
      </c>
      <c r="MU237" s="561">
        <v>0</v>
      </c>
      <c r="MV237" s="561">
        <v>0</v>
      </c>
      <c r="MW237" s="561">
        <v>0</v>
      </c>
      <c r="MX237" s="561">
        <v>0</v>
      </c>
      <c r="MY237" s="561">
        <v>0</v>
      </c>
      <c r="MZ237" s="561">
        <v>240304</v>
      </c>
      <c r="NA237" s="561">
        <v>0</v>
      </c>
      <c r="NB237" s="561">
        <v>0</v>
      </c>
      <c r="NC237" s="561">
        <v>0</v>
      </c>
      <c r="ND237" s="561">
        <v>240304</v>
      </c>
      <c r="NE237" s="561">
        <v>0</v>
      </c>
      <c r="NF237" s="561">
        <v>0</v>
      </c>
      <c r="NG237" s="561">
        <v>0</v>
      </c>
      <c r="NH237" s="561">
        <v>0</v>
      </c>
      <c r="NI237" s="561">
        <v>0</v>
      </c>
      <c r="NJ237" s="561">
        <v>0</v>
      </c>
      <c r="NK237" s="561">
        <v>0</v>
      </c>
      <c r="NL237" s="561">
        <v>0</v>
      </c>
      <c r="NM237" s="561">
        <v>0</v>
      </c>
      <c r="NN237" s="561">
        <v>0</v>
      </c>
      <c r="NO237" s="561">
        <v>0</v>
      </c>
      <c r="NP237" s="561">
        <v>0</v>
      </c>
      <c r="NQ237" s="561">
        <v>0</v>
      </c>
      <c r="NR237" s="561">
        <v>0</v>
      </c>
      <c r="NS237" s="561">
        <v>0</v>
      </c>
      <c r="NT237" s="561">
        <v>0</v>
      </c>
      <c r="NU237" s="561">
        <v>0</v>
      </c>
      <c r="NV237" s="561">
        <v>0</v>
      </c>
      <c r="NW237" s="561">
        <v>0</v>
      </c>
      <c r="NX237" s="561">
        <v>0</v>
      </c>
      <c r="NY237" s="561">
        <v>0</v>
      </c>
      <c r="NZ237" s="561">
        <v>0</v>
      </c>
      <c r="OA237" s="561">
        <v>0</v>
      </c>
      <c r="OB237" s="561">
        <v>0</v>
      </c>
      <c r="OC237" s="561">
        <v>0</v>
      </c>
      <c r="OD237" s="561">
        <v>0</v>
      </c>
      <c r="OE237" s="561">
        <v>0</v>
      </c>
      <c r="OF237" s="561">
        <v>0</v>
      </c>
      <c r="OG237" s="561">
        <v>0</v>
      </c>
      <c r="OH237" s="561">
        <v>0</v>
      </c>
      <c r="OI237" s="561">
        <v>0</v>
      </c>
      <c r="OJ237" s="561">
        <v>0</v>
      </c>
      <c r="OK237" s="561">
        <v>0</v>
      </c>
      <c r="OL237" s="561">
        <v>0</v>
      </c>
      <c r="OM237" s="561">
        <v>0</v>
      </c>
      <c r="ON237" s="561">
        <v>0</v>
      </c>
      <c r="OO237" s="561">
        <v>0</v>
      </c>
      <c r="OP237" s="561">
        <v>0</v>
      </c>
      <c r="OQ237" s="561">
        <v>0</v>
      </c>
      <c r="OR237" s="561">
        <v>0</v>
      </c>
      <c r="OS237" s="561">
        <v>0</v>
      </c>
      <c r="OT237" s="561">
        <v>0</v>
      </c>
      <c r="OU237" s="561">
        <v>0</v>
      </c>
      <c r="OV237" s="561">
        <v>-101</v>
      </c>
      <c r="OW237" s="561">
        <v>0</v>
      </c>
      <c r="OX237" s="561">
        <v>0</v>
      </c>
      <c r="OY237" s="561">
        <v>0</v>
      </c>
      <c r="OZ237" s="561">
        <v>0</v>
      </c>
      <c r="PA237" s="561">
        <v>0</v>
      </c>
      <c r="PB237" s="561">
        <v>0</v>
      </c>
      <c r="PC237" s="561">
        <v>0</v>
      </c>
      <c r="PD237" s="561">
        <v>0</v>
      </c>
      <c r="PE237" s="561">
        <v>0</v>
      </c>
      <c r="PF237" s="561">
        <v>0</v>
      </c>
      <c r="PG237" s="561">
        <v>0</v>
      </c>
      <c r="PH237" s="561">
        <v>0</v>
      </c>
      <c r="PI237" s="561">
        <v>0</v>
      </c>
      <c r="PJ237" s="561">
        <v>0</v>
      </c>
    </row>
    <row r="238" spans="1:426" ht="14" x14ac:dyDescent="0.3">
      <c r="A238" t="s">
        <v>3157</v>
      </c>
      <c r="B238" t="s">
        <v>3158</v>
      </c>
      <c r="C238" t="s">
        <v>3159</v>
      </c>
      <c r="E238" t="s">
        <v>384</v>
      </c>
      <c r="F238" s="561">
        <v>0</v>
      </c>
      <c r="G238" s="561">
        <v>0</v>
      </c>
      <c r="H238" s="561">
        <v>0</v>
      </c>
      <c r="I238" s="561">
        <v>0</v>
      </c>
      <c r="J238" s="561">
        <v>0</v>
      </c>
      <c r="K238" s="561">
        <v>0</v>
      </c>
      <c r="L238" s="561">
        <v>0</v>
      </c>
      <c r="M238" s="561">
        <v>0</v>
      </c>
      <c r="N238" s="561">
        <v>0</v>
      </c>
      <c r="O238" s="561">
        <v>0</v>
      </c>
      <c r="P238" s="561">
        <v>0</v>
      </c>
      <c r="Q238" s="561">
        <v>0</v>
      </c>
      <c r="R238" s="561">
        <v>0</v>
      </c>
      <c r="S238" s="561">
        <v>0</v>
      </c>
      <c r="T238" s="561">
        <v>77</v>
      </c>
      <c r="U238" s="561">
        <v>0</v>
      </c>
      <c r="V238" s="561">
        <v>0</v>
      </c>
      <c r="W238" s="561">
        <v>0</v>
      </c>
      <c r="X238" s="561">
        <v>0</v>
      </c>
      <c r="Y238" s="561">
        <v>0</v>
      </c>
      <c r="Z238" s="561">
        <v>0</v>
      </c>
      <c r="AA238" s="561">
        <v>0</v>
      </c>
      <c r="AB238" s="561">
        <v>-2028</v>
      </c>
      <c r="AC238" s="561">
        <v>0</v>
      </c>
      <c r="AD238" s="561">
        <v>0</v>
      </c>
      <c r="AE238" s="561">
        <v>0</v>
      </c>
      <c r="AF238" s="561">
        <v>0</v>
      </c>
      <c r="AG238" s="561">
        <v>0</v>
      </c>
      <c r="AH238" s="561">
        <v>66</v>
      </c>
      <c r="AI238" s="561">
        <v>0</v>
      </c>
      <c r="AJ238" s="561">
        <v>-1885</v>
      </c>
      <c r="AK238" s="561">
        <v>0</v>
      </c>
      <c r="AL238" s="561">
        <v>0</v>
      </c>
      <c r="AM238" s="561">
        <v>0</v>
      </c>
      <c r="AN238" s="561">
        <v>0</v>
      </c>
      <c r="AO238" s="561">
        <v>0</v>
      </c>
      <c r="AP238" s="561">
        <v>0</v>
      </c>
      <c r="AQ238" s="561">
        <v>0</v>
      </c>
      <c r="AR238" s="561">
        <v>0</v>
      </c>
      <c r="AS238" s="561">
        <v>0</v>
      </c>
      <c r="AT238" s="561">
        <v>0</v>
      </c>
      <c r="AU238" s="561">
        <v>0</v>
      </c>
      <c r="AV238" s="561">
        <v>0</v>
      </c>
      <c r="AW238" s="561">
        <v>0</v>
      </c>
      <c r="AX238" s="561">
        <v>0</v>
      </c>
      <c r="AY238" s="561">
        <v>0</v>
      </c>
      <c r="AZ238" s="561">
        <v>0</v>
      </c>
      <c r="BA238" s="561">
        <v>0</v>
      </c>
      <c r="BB238" s="561">
        <v>0</v>
      </c>
      <c r="BC238" s="561">
        <v>0</v>
      </c>
      <c r="BD238" s="561">
        <v>0</v>
      </c>
      <c r="BE238" s="561">
        <v>0</v>
      </c>
      <c r="BF238" s="561">
        <v>0</v>
      </c>
      <c r="BG238" s="561">
        <v>0</v>
      </c>
      <c r="BH238" s="561">
        <v>0</v>
      </c>
      <c r="BI238" s="561">
        <v>0</v>
      </c>
      <c r="BJ238" s="561">
        <v>0</v>
      </c>
      <c r="BK238" s="561">
        <v>0</v>
      </c>
      <c r="BL238" s="561">
        <v>0</v>
      </c>
      <c r="BM238" s="561">
        <v>0</v>
      </c>
      <c r="BN238" s="561">
        <v>0</v>
      </c>
      <c r="BO238" s="561">
        <v>0</v>
      </c>
      <c r="BP238" s="561">
        <v>0</v>
      </c>
      <c r="BQ238" s="561">
        <v>0</v>
      </c>
      <c r="BR238" s="561">
        <v>0</v>
      </c>
      <c r="BS238" s="561">
        <v>0</v>
      </c>
      <c r="BT238" s="561">
        <v>0</v>
      </c>
      <c r="BU238" s="561">
        <v>0</v>
      </c>
      <c r="BV238" s="561">
        <v>0</v>
      </c>
      <c r="BW238" s="561">
        <v>0</v>
      </c>
      <c r="BX238" s="561">
        <v>0</v>
      </c>
      <c r="BY238" s="561">
        <v>0</v>
      </c>
      <c r="BZ238" s="561">
        <v>0</v>
      </c>
      <c r="CA238" s="561">
        <v>0</v>
      </c>
      <c r="CB238" s="561">
        <v>0</v>
      </c>
      <c r="CC238" s="561">
        <v>0</v>
      </c>
      <c r="CD238" s="561">
        <v>0</v>
      </c>
      <c r="CE238" s="561">
        <v>0</v>
      </c>
      <c r="CF238" s="561">
        <v>0</v>
      </c>
      <c r="CG238" s="561">
        <v>0</v>
      </c>
      <c r="CH238" s="561">
        <v>0</v>
      </c>
      <c r="CI238" s="561">
        <v>0</v>
      </c>
      <c r="CJ238" s="561">
        <v>0</v>
      </c>
      <c r="CK238" s="561">
        <v>0</v>
      </c>
      <c r="CL238" s="561">
        <v>0</v>
      </c>
      <c r="CM238" s="561">
        <v>0</v>
      </c>
      <c r="CN238" s="561">
        <v>0</v>
      </c>
      <c r="CO238" s="561">
        <v>0</v>
      </c>
      <c r="CP238" s="561">
        <v>0</v>
      </c>
      <c r="CQ238" s="561">
        <v>0</v>
      </c>
      <c r="CR238" s="561">
        <v>0</v>
      </c>
      <c r="CS238" s="561">
        <v>0</v>
      </c>
      <c r="CT238" s="561">
        <v>0</v>
      </c>
      <c r="CU238" s="561">
        <v>0</v>
      </c>
      <c r="CV238" s="561">
        <v>0</v>
      </c>
      <c r="CW238" s="561">
        <v>0</v>
      </c>
      <c r="CX238" s="561">
        <v>0</v>
      </c>
      <c r="CY238" s="561">
        <v>0</v>
      </c>
      <c r="CZ238" s="561">
        <v>0</v>
      </c>
      <c r="DA238" s="561">
        <v>0</v>
      </c>
      <c r="DB238" s="561">
        <v>0</v>
      </c>
      <c r="DC238" s="561">
        <v>0</v>
      </c>
      <c r="DD238" s="561">
        <v>0</v>
      </c>
      <c r="DE238" s="561">
        <v>0</v>
      </c>
      <c r="DF238" s="561">
        <v>0</v>
      </c>
      <c r="DG238" s="561">
        <v>0</v>
      </c>
      <c r="DH238" s="561">
        <v>-3221</v>
      </c>
      <c r="DI238" s="561">
        <v>0</v>
      </c>
      <c r="DJ238" s="561">
        <v>-1511</v>
      </c>
      <c r="DK238" s="561">
        <v>136</v>
      </c>
      <c r="DL238" s="561">
        <v>0</v>
      </c>
      <c r="DM238" s="561">
        <v>47</v>
      </c>
      <c r="DN238" s="561">
        <v>47</v>
      </c>
      <c r="DO238" s="561">
        <v>75</v>
      </c>
      <c r="DP238" s="561">
        <v>-86</v>
      </c>
      <c r="DQ238" s="561">
        <v>0</v>
      </c>
      <c r="DR238" s="561">
        <v>454</v>
      </c>
      <c r="DS238" s="561">
        <v>588</v>
      </c>
      <c r="DT238" s="561">
        <v>1103</v>
      </c>
      <c r="DU238" s="561">
        <v>2228</v>
      </c>
      <c r="DV238" s="561">
        <v>0</v>
      </c>
      <c r="DW238" s="561">
        <v>0</v>
      </c>
      <c r="DX238" s="561">
        <v>0</v>
      </c>
      <c r="DY238" s="561">
        <v>788</v>
      </c>
      <c r="DZ238" s="561">
        <v>15</v>
      </c>
      <c r="EA238" s="561">
        <v>0</v>
      </c>
      <c r="EB238" s="561">
        <v>0</v>
      </c>
      <c r="EC238" s="561">
        <v>-1565</v>
      </c>
      <c r="ED238" s="561">
        <v>0</v>
      </c>
      <c r="EE238" s="561">
        <v>0</v>
      </c>
      <c r="EF238" s="561">
        <v>0</v>
      </c>
      <c r="EG238" s="561">
        <v>0</v>
      </c>
      <c r="EH238" s="561">
        <v>0</v>
      </c>
      <c r="EI238" s="561">
        <v>0</v>
      </c>
      <c r="EJ238" s="561">
        <v>0</v>
      </c>
      <c r="EK238" s="561">
        <v>0</v>
      </c>
      <c r="EL238" s="561">
        <v>0</v>
      </c>
      <c r="EM238" s="561">
        <v>0</v>
      </c>
      <c r="EN238" s="561">
        <v>0</v>
      </c>
      <c r="EO238" s="561">
        <v>0</v>
      </c>
      <c r="EP238" s="561">
        <v>0</v>
      </c>
      <c r="EQ238" s="561">
        <v>0</v>
      </c>
      <c r="ER238" s="561">
        <v>0</v>
      </c>
      <c r="ES238" s="561" t="s">
        <v>4565</v>
      </c>
      <c r="ET238" s="561">
        <v>0</v>
      </c>
      <c r="EU238" s="561">
        <v>0</v>
      </c>
      <c r="EV238" s="561">
        <v>0</v>
      </c>
      <c r="EW238" s="561">
        <v>0</v>
      </c>
      <c r="EX238" s="561">
        <v>0</v>
      </c>
      <c r="EY238" s="561">
        <v>0</v>
      </c>
      <c r="EZ238" s="561">
        <v>0</v>
      </c>
      <c r="FA238" s="561">
        <v>0</v>
      </c>
      <c r="FB238" s="561">
        <v>0</v>
      </c>
      <c r="FC238" s="561">
        <v>0</v>
      </c>
      <c r="FD238" s="561">
        <v>0</v>
      </c>
      <c r="FE238" s="561">
        <v>266</v>
      </c>
      <c r="FF238" s="561">
        <v>230</v>
      </c>
      <c r="FG238" s="561">
        <v>0</v>
      </c>
      <c r="FH238" s="561">
        <v>0</v>
      </c>
      <c r="FI238" s="561">
        <v>25</v>
      </c>
      <c r="FJ238" s="561">
        <v>-405</v>
      </c>
      <c r="FK238" s="561">
        <v>745</v>
      </c>
      <c r="FL238" s="561">
        <v>0</v>
      </c>
      <c r="FM238" s="561">
        <v>7</v>
      </c>
      <c r="FN238" s="561">
        <v>0</v>
      </c>
      <c r="FO238" s="561">
        <v>868</v>
      </c>
      <c r="FP238" s="561">
        <v>0</v>
      </c>
      <c r="FQ238" s="561">
        <v>-192</v>
      </c>
      <c r="FR238" s="561">
        <v>0</v>
      </c>
      <c r="FS238" s="561">
        <v>0</v>
      </c>
      <c r="FT238" s="561">
        <v>211</v>
      </c>
      <c r="FU238" s="561">
        <v>315</v>
      </c>
      <c r="FV238" s="561">
        <v>0</v>
      </c>
      <c r="FW238" s="561">
        <v>98</v>
      </c>
      <c r="FX238" s="561">
        <v>0</v>
      </c>
      <c r="FY238" s="561">
        <v>0</v>
      </c>
      <c r="FZ238" s="561">
        <v>13</v>
      </c>
      <c r="GA238" s="561">
        <v>524</v>
      </c>
      <c r="GB238" s="561">
        <v>388</v>
      </c>
      <c r="GC238" s="561">
        <v>153</v>
      </c>
      <c r="GD238" s="561">
        <v>314</v>
      </c>
      <c r="GE238" s="561">
        <v>11</v>
      </c>
      <c r="GF238" s="561">
        <v>224</v>
      </c>
      <c r="GG238" s="561">
        <v>16</v>
      </c>
      <c r="GH238" s="561">
        <v>0</v>
      </c>
      <c r="GI238" s="561">
        <v>0</v>
      </c>
      <c r="GJ238" s="561">
        <v>80</v>
      </c>
      <c r="GK238" s="561">
        <v>155</v>
      </c>
      <c r="GL238" s="561">
        <v>1151</v>
      </c>
      <c r="GM238" s="561">
        <v>2676</v>
      </c>
      <c r="GN238" s="561">
        <v>0</v>
      </c>
      <c r="GO238" s="561">
        <v>-40</v>
      </c>
      <c r="GP238" s="561">
        <v>3924</v>
      </c>
      <c r="GQ238" s="561">
        <v>0</v>
      </c>
      <c r="GR238" s="561">
        <v>101</v>
      </c>
      <c r="GS238" s="561">
        <v>10122</v>
      </c>
      <c r="GT238" s="561">
        <v>639</v>
      </c>
      <c r="GU238" s="561">
        <v>125</v>
      </c>
      <c r="GV238" s="561">
        <v>862</v>
      </c>
      <c r="GW238" s="561">
        <v>0</v>
      </c>
      <c r="GX238" s="561">
        <v>173</v>
      </c>
      <c r="GY238" s="561">
        <v>0</v>
      </c>
      <c r="GZ238" s="561">
        <v>471</v>
      </c>
      <c r="HA238" s="561">
        <v>0</v>
      </c>
      <c r="HB238" s="561">
        <v>-321</v>
      </c>
      <c r="HC238" s="561">
        <v>54</v>
      </c>
      <c r="HD238" s="561">
        <v>1364</v>
      </c>
      <c r="HE238" s="561">
        <v>441</v>
      </c>
      <c r="HF238" s="561">
        <v>12354</v>
      </c>
      <c r="HG238" s="561">
        <v>1080</v>
      </c>
      <c r="HH238" s="561">
        <v>0</v>
      </c>
      <c r="HI238" s="561">
        <v>0</v>
      </c>
      <c r="HJ238" s="561">
        <v>0</v>
      </c>
      <c r="HK238" s="561">
        <v>0</v>
      </c>
      <c r="HL238" s="561">
        <v>0</v>
      </c>
      <c r="HM238" s="561">
        <v>0</v>
      </c>
      <c r="HN238" s="561">
        <v>0</v>
      </c>
      <c r="HO238" s="561">
        <v>2795</v>
      </c>
      <c r="HP238" s="561">
        <v>737</v>
      </c>
      <c r="HQ238" s="561">
        <v>0</v>
      </c>
      <c r="HR238" s="561">
        <v>0</v>
      </c>
      <c r="HS238" s="561">
        <v>344</v>
      </c>
      <c r="HT238" s="561">
        <v>-83</v>
      </c>
      <c r="HU238" s="561">
        <v>0</v>
      </c>
      <c r="HV238" s="561">
        <v>0</v>
      </c>
      <c r="HW238" s="561">
        <v>188</v>
      </c>
      <c r="HX238" s="561">
        <v>94</v>
      </c>
      <c r="HY238" s="561">
        <v>84</v>
      </c>
      <c r="HZ238" s="561">
        <v>43</v>
      </c>
      <c r="IA238" s="561">
        <v>0</v>
      </c>
      <c r="IB238" s="561">
        <v>205</v>
      </c>
      <c r="IC238" s="561">
        <v>0</v>
      </c>
      <c r="ID238" s="561">
        <v>0</v>
      </c>
      <c r="IE238" s="561">
        <v>733</v>
      </c>
      <c r="IF238" s="561">
        <v>0</v>
      </c>
      <c r="IG238" s="561">
        <v>0</v>
      </c>
      <c r="IH238" s="561">
        <v>-1101</v>
      </c>
      <c r="II238" s="561">
        <v>4039</v>
      </c>
      <c r="IJ238" s="561">
        <v>3</v>
      </c>
      <c r="IK238" s="561">
        <v>1837</v>
      </c>
      <c r="IL238" s="561">
        <v>7782</v>
      </c>
      <c r="IM238" s="561">
        <v>0</v>
      </c>
      <c r="IN238" s="561">
        <v>0</v>
      </c>
      <c r="IO238" s="561">
        <v>0</v>
      </c>
      <c r="IP238" s="561">
        <v>0</v>
      </c>
      <c r="IQ238" s="561">
        <v>0</v>
      </c>
      <c r="IR238" s="561">
        <v>0</v>
      </c>
      <c r="IS238" s="561">
        <v>-1885</v>
      </c>
      <c r="IT238" s="561">
        <v>0</v>
      </c>
      <c r="IU238" s="561">
        <v>0</v>
      </c>
      <c r="IV238" s="561">
        <v>0</v>
      </c>
      <c r="IW238" s="561">
        <v>-1565</v>
      </c>
      <c r="IX238" s="561">
        <v>868</v>
      </c>
      <c r="IY238" s="561">
        <v>10122</v>
      </c>
      <c r="IZ238" s="561">
        <v>1364</v>
      </c>
      <c r="JA238" s="561">
        <v>0</v>
      </c>
      <c r="JB238" s="561">
        <v>0</v>
      </c>
      <c r="JC238" s="561">
        <v>4039</v>
      </c>
      <c r="JD238" s="561">
        <v>0</v>
      </c>
      <c r="JE238" s="561">
        <v>12943</v>
      </c>
      <c r="JF238" s="561">
        <v>17125</v>
      </c>
      <c r="JG238" s="561">
        <v>0</v>
      </c>
      <c r="JH238" s="561">
        <v>0</v>
      </c>
      <c r="JI238" s="561">
        <v>0</v>
      </c>
      <c r="JJ238" s="561">
        <v>0</v>
      </c>
      <c r="JK238" s="561">
        <v>3336</v>
      </c>
      <c r="JL238" s="561">
        <v>0</v>
      </c>
      <c r="JM238" s="561">
        <v>0</v>
      </c>
      <c r="JN238" s="561">
        <v>0</v>
      </c>
      <c r="JO238" s="561">
        <v>29</v>
      </c>
      <c r="JP238" s="561">
        <v>-35</v>
      </c>
      <c r="JQ238" s="561">
        <v>0</v>
      </c>
      <c r="JR238" s="561">
        <v>0</v>
      </c>
      <c r="JS238" s="561">
        <v>0</v>
      </c>
      <c r="JT238" s="561">
        <v>-12</v>
      </c>
      <c r="JU238" s="561">
        <v>0</v>
      </c>
      <c r="JV238" s="561">
        <v>33386</v>
      </c>
      <c r="JW238" s="561">
        <v>0</v>
      </c>
      <c r="JX238" s="561">
        <v>5902</v>
      </c>
      <c r="JY238" s="561">
        <v>0</v>
      </c>
      <c r="JZ238" s="561">
        <v>0</v>
      </c>
      <c r="KA238" s="561">
        <v>0</v>
      </c>
      <c r="KB238" s="561">
        <v>0</v>
      </c>
      <c r="KC238" s="561">
        <v>1165</v>
      </c>
      <c r="KD238" s="561">
        <v>0</v>
      </c>
      <c r="KE238" s="561">
        <v>228</v>
      </c>
      <c r="KF238" s="561">
        <v>0</v>
      </c>
      <c r="KG238" s="561">
        <v>40681</v>
      </c>
      <c r="KH238" s="561">
        <v>-433</v>
      </c>
      <c r="KI238" s="561">
        <v>0</v>
      </c>
      <c r="KJ238" s="561">
        <v>0</v>
      </c>
      <c r="KK238" s="561">
        <v>0</v>
      </c>
      <c r="KL238" s="561">
        <v>-16882</v>
      </c>
      <c r="KM238" s="561">
        <v>0</v>
      </c>
      <c r="KN238" s="561">
        <v>0</v>
      </c>
      <c r="KO238" s="561">
        <v>0</v>
      </c>
      <c r="KP238" s="561">
        <v>0</v>
      </c>
      <c r="KQ238" s="561">
        <v>0</v>
      </c>
      <c r="KR238" s="561">
        <v>23366</v>
      </c>
      <c r="KS238" s="561">
        <v>0</v>
      </c>
      <c r="KT238" s="561">
        <v>-3788</v>
      </c>
      <c r="KU238" s="561">
        <v>19578</v>
      </c>
      <c r="KV238" s="561">
        <v>0</v>
      </c>
      <c r="KW238" s="561">
        <v>0</v>
      </c>
      <c r="KX238" s="561">
        <v>0</v>
      </c>
      <c r="KY238" s="561">
        <v>0</v>
      </c>
      <c r="KZ238" s="561">
        <v>-2380</v>
      </c>
      <c r="LA238" s="561">
        <v>0</v>
      </c>
      <c r="LB238" s="561">
        <v>-248</v>
      </c>
      <c r="LC238" s="561">
        <v>0</v>
      </c>
      <c r="LD238" s="561">
        <v>-5936</v>
      </c>
      <c r="LE238" s="561">
        <v>-223</v>
      </c>
      <c r="LF238" s="561">
        <v>0</v>
      </c>
      <c r="LG238" s="561">
        <v>10791</v>
      </c>
      <c r="LH238" s="561">
        <v>0</v>
      </c>
      <c r="LI238" s="561">
        <v>0</v>
      </c>
      <c r="LJ238" s="561">
        <v>0</v>
      </c>
      <c r="LK238" s="561">
        <v>0</v>
      </c>
      <c r="LL238" s="561">
        <v>10560</v>
      </c>
      <c r="LM238" s="561">
        <v>1238</v>
      </c>
      <c r="LN238" s="561">
        <v>0</v>
      </c>
      <c r="LO238" s="561">
        <v>0</v>
      </c>
      <c r="LP238" s="561">
        <v>0</v>
      </c>
      <c r="LQ238" s="561">
        <v>0</v>
      </c>
      <c r="LR238" s="561">
        <v>8180</v>
      </c>
      <c r="LS238" s="561">
        <v>1238</v>
      </c>
      <c r="LT238" s="561">
        <v>0</v>
      </c>
      <c r="LU238" s="561">
        <v>7019</v>
      </c>
      <c r="LV238" s="561">
        <v>0</v>
      </c>
      <c r="LW238" s="561">
        <v>-948</v>
      </c>
      <c r="LX238" s="561">
        <v>0</v>
      </c>
      <c r="LY238" s="561">
        <v>4491</v>
      </c>
      <c r="LZ238" s="561">
        <v>10562</v>
      </c>
      <c r="MA238" s="561">
        <v>0</v>
      </c>
      <c r="MB238" s="561">
        <v>0</v>
      </c>
      <c r="MC238" s="561">
        <v>0</v>
      </c>
      <c r="MD238" s="561">
        <v>0</v>
      </c>
      <c r="ME238" s="561">
        <v>0</v>
      </c>
      <c r="MF238" s="561">
        <v>0</v>
      </c>
      <c r="MG238" s="561">
        <v>0</v>
      </c>
      <c r="MH238" s="561">
        <v>3675</v>
      </c>
      <c r="MI238" s="561">
        <v>1896</v>
      </c>
      <c r="MJ238" s="561">
        <v>5571</v>
      </c>
      <c r="MK238" s="561">
        <v>0</v>
      </c>
      <c r="ML238" s="561">
        <v>0</v>
      </c>
      <c r="MM238" s="561">
        <v>8180</v>
      </c>
      <c r="MN238" s="561">
        <v>0</v>
      </c>
      <c r="MO238" s="561">
        <v>0</v>
      </c>
      <c r="MP238" s="561">
        <v>0</v>
      </c>
      <c r="MQ238" s="561">
        <v>0</v>
      </c>
      <c r="MR238" s="561">
        <v>-1885</v>
      </c>
      <c r="MS238" s="561">
        <v>0</v>
      </c>
      <c r="MT238" s="561">
        <v>0</v>
      </c>
      <c r="MU238" s="561">
        <v>0</v>
      </c>
      <c r="MV238" s="561">
        <v>-1565</v>
      </c>
      <c r="MW238" s="561">
        <v>868</v>
      </c>
      <c r="MX238" s="561">
        <v>10122</v>
      </c>
      <c r="MY238" s="561">
        <v>1364</v>
      </c>
      <c r="MZ238" s="561">
        <v>0</v>
      </c>
      <c r="NA238" s="561">
        <v>0</v>
      </c>
      <c r="NB238" s="561">
        <v>4039</v>
      </c>
      <c r="NC238" s="561">
        <v>0</v>
      </c>
      <c r="ND238" s="561">
        <v>12943</v>
      </c>
      <c r="NE238" s="561">
        <v>0</v>
      </c>
      <c r="NF238" s="561">
        <v>0</v>
      </c>
      <c r="NG238" s="561">
        <v>0</v>
      </c>
      <c r="NH238" s="561">
        <v>0</v>
      </c>
      <c r="NI238" s="561">
        <v>0</v>
      </c>
      <c r="NJ238" s="561">
        <v>0</v>
      </c>
      <c r="NK238" s="561">
        <v>0</v>
      </c>
      <c r="NL238" s="561">
        <v>0</v>
      </c>
      <c r="NM238" s="561">
        <v>0</v>
      </c>
      <c r="NN238" s="561">
        <v>0</v>
      </c>
      <c r="NO238" s="561">
        <v>0</v>
      </c>
      <c r="NP238" s="561">
        <v>0</v>
      </c>
      <c r="NQ238" s="561">
        <v>0</v>
      </c>
      <c r="NR238" s="561">
        <v>0</v>
      </c>
      <c r="NS238" s="561">
        <v>-35</v>
      </c>
      <c r="NT238" s="561">
        <v>0</v>
      </c>
      <c r="NU238" s="561">
        <v>0</v>
      </c>
      <c r="NV238" s="561">
        <v>0</v>
      </c>
      <c r="NW238" s="561">
        <v>-35</v>
      </c>
      <c r="NX238" s="561">
        <v>0</v>
      </c>
      <c r="NY238" s="561">
        <v>-35</v>
      </c>
      <c r="NZ238" s="561">
        <v>0</v>
      </c>
      <c r="OA238" s="561">
        <v>0</v>
      </c>
      <c r="OB238" s="561">
        <v>0</v>
      </c>
      <c r="OC238" s="561">
        <v>0</v>
      </c>
      <c r="OD238" s="561">
        <v>0</v>
      </c>
      <c r="OE238" s="561">
        <v>0</v>
      </c>
      <c r="OF238" s="561">
        <v>0</v>
      </c>
      <c r="OG238" s="561">
        <v>0</v>
      </c>
      <c r="OH238" s="561">
        <v>0</v>
      </c>
      <c r="OI238" s="561">
        <v>0</v>
      </c>
      <c r="OJ238" s="561">
        <v>0</v>
      </c>
      <c r="OK238" s="561">
        <v>0</v>
      </c>
      <c r="OL238" s="561">
        <v>0</v>
      </c>
      <c r="OM238" s="561">
        <v>0</v>
      </c>
      <c r="ON238" s="561">
        <v>0</v>
      </c>
      <c r="OO238" s="561">
        <v>0</v>
      </c>
      <c r="OP238" s="561">
        <v>0</v>
      </c>
      <c r="OQ238" s="561">
        <v>0</v>
      </c>
      <c r="OR238" s="561">
        <v>0</v>
      </c>
      <c r="OS238" s="561">
        <v>0</v>
      </c>
      <c r="OT238" s="561">
        <v>0</v>
      </c>
      <c r="OU238" s="561">
        <v>0</v>
      </c>
      <c r="OV238" s="561">
        <v>0</v>
      </c>
      <c r="OW238" s="561">
        <v>0</v>
      </c>
      <c r="OX238" s="561">
        <v>0</v>
      </c>
      <c r="OY238" s="561">
        <v>0</v>
      </c>
      <c r="OZ238" s="561">
        <v>0</v>
      </c>
      <c r="PA238" s="561">
        <v>0</v>
      </c>
      <c r="PB238" s="561">
        <v>0</v>
      </c>
      <c r="PC238" s="561">
        <v>0</v>
      </c>
      <c r="PD238" s="561">
        <v>0</v>
      </c>
      <c r="PE238" s="561">
        <v>0</v>
      </c>
      <c r="PF238" s="561">
        <v>0</v>
      </c>
      <c r="PG238" s="561">
        <v>0</v>
      </c>
      <c r="PH238" s="561">
        <v>0</v>
      </c>
      <c r="PI238" s="561">
        <v>0</v>
      </c>
      <c r="PJ238" s="561">
        <v>0</v>
      </c>
    </row>
    <row r="239" spans="1:426" ht="14" x14ac:dyDescent="0.3">
      <c r="A239" t="s">
        <v>3160</v>
      </c>
      <c r="B239" t="s">
        <v>3161</v>
      </c>
      <c r="C239" t="s">
        <v>3162</v>
      </c>
      <c r="E239" t="s">
        <v>384</v>
      </c>
      <c r="F239" s="561">
        <v>0</v>
      </c>
      <c r="G239" s="561">
        <v>0</v>
      </c>
      <c r="H239" s="561">
        <v>0</v>
      </c>
      <c r="I239" s="561">
        <v>0</v>
      </c>
      <c r="J239" s="561">
        <v>0</v>
      </c>
      <c r="K239" s="561">
        <v>0</v>
      </c>
      <c r="L239" s="561">
        <v>0</v>
      </c>
      <c r="M239" s="561">
        <v>0</v>
      </c>
      <c r="N239" s="561">
        <v>0</v>
      </c>
      <c r="O239" s="561">
        <v>0</v>
      </c>
      <c r="P239" s="561">
        <v>64</v>
      </c>
      <c r="Q239" s="561">
        <v>0</v>
      </c>
      <c r="R239" s="561">
        <v>0</v>
      </c>
      <c r="S239" s="561">
        <v>-223</v>
      </c>
      <c r="T239" s="561">
        <v>0</v>
      </c>
      <c r="U239" s="561">
        <v>0</v>
      </c>
      <c r="V239" s="561">
        <v>0</v>
      </c>
      <c r="W239" s="561">
        <v>0</v>
      </c>
      <c r="X239" s="561">
        <v>0</v>
      </c>
      <c r="Y239" s="561">
        <v>0</v>
      </c>
      <c r="Z239" s="561">
        <v>8</v>
      </c>
      <c r="AA239" s="561">
        <v>0</v>
      </c>
      <c r="AB239" s="561">
        <v>0</v>
      </c>
      <c r="AC239" s="561">
        <v>-14</v>
      </c>
      <c r="AD239" s="561">
        <v>0</v>
      </c>
      <c r="AE239" s="561">
        <v>0</v>
      </c>
      <c r="AF239" s="561">
        <v>0</v>
      </c>
      <c r="AG239" s="561">
        <v>0</v>
      </c>
      <c r="AH239" s="561">
        <v>0</v>
      </c>
      <c r="AI239" s="561">
        <v>0</v>
      </c>
      <c r="AJ239" s="561">
        <v>-165</v>
      </c>
      <c r="AK239" s="561">
        <v>0</v>
      </c>
      <c r="AL239" s="561">
        <v>0</v>
      </c>
      <c r="AM239" s="561">
        <v>0</v>
      </c>
      <c r="AN239" s="561">
        <v>0</v>
      </c>
      <c r="AO239" s="561">
        <v>0</v>
      </c>
      <c r="AP239" s="561">
        <v>0</v>
      </c>
      <c r="AQ239" s="561">
        <v>0</v>
      </c>
      <c r="AR239" s="561">
        <v>0</v>
      </c>
      <c r="AS239" s="561">
        <v>0</v>
      </c>
      <c r="AT239" s="561">
        <v>0</v>
      </c>
      <c r="AU239" s="561">
        <v>0</v>
      </c>
      <c r="AV239" s="561">
        <v>0</v>
      </c>
      <c r="AW239" s="561">
        <v>0</v>
      </c>
      <c r="AX239" s="561">
        <v>0</v>
      </c>
      <c r="AY239" s="561">
        <v>0</v>
      </c>
      <c r="AZ239" s="561">
        <v>0</v>
      </c>
      <c r="BA239" s="561">
        <v>0</v>
      </c>
      <c r="BB239" s="561">
        <v>0</v>
      </c>
      <c r="BC239" s="561">
        <v>0</v>
      </c>
      <c r="BD239" s="561">
        <v>0</v>
      </c>
      <c r="BE239" s="561">
        <v>0</v>
      </c>
      <c r="BF239" s="561">
        <v>0</v>
      </c>
      <c r="BG239" s="561">
        <v>0</v>
      </c>
      <c r="BH239" s="561">
        <v>0</v>
      </c>
      <c r="BI239" s="561">
        <v>0</v>
      </c>
      <c r="BJ239" s="561">
        <v>0</v>
      </c>
      <c r="BK239" s="561">
        <v>0</v>
      </c>
      <c r="BL239" s="561">
        <v>0</v>
      </c>
      <c r="BM239" s="561">
        <v>0</v>
      </c>
      <c r="BN239" s="561">
        <v>0</v>
      </c>
      <c r="BO239" s="561">
        <v>0</v>
      </c>
      <c r="BP239" s="561">
        <v>0</v>
      </c>
      <c r="BQ239" s="561">
        <v>0</v>
      </c>
      <c r="BR239" s="561">
        <v>0</v>
      </c>
      <c r="BS239" s="561">
        <v>0</v>
      </c>
      <c r="BT239" s="561">
        <v>0</v>
      </c>
      <c r="BU239" s="561">
        <v>0</v>
      </c>
      <c r="BV239" s="561">
        <v>0</v>
      </c>
      <c r="BW239" s="561">
        <v>0</v>
      </c>
      <c r="BX239" s="561">
        <v>0</v>
      </c>
      <c r="BY239" s="561">
        <v>0</v>
      </c>
      <c r="BZ239" s="561">
        <v>0</v>
      </c>
      <c r="CA239" s="561">
        <v>0</v>
      </c>
      <c r="CB239" s="561">
        <v>0</v>
      </c>
      <c r="CC239" s="561">
        <v>0</v>
      </c>
      <c r="CD239" s="561">
        <v>0</v>
      </c>
      <c r="CE239" s="561">
        <v>0</v>
      </c>
      <c r="CF239" s="561">
        <v>0</v>
      </c>
      <c r="CG239" s="561">
        <v>0</v>
      </c>
      <c r="CH239" s="561">
        <v>0</v>
      </c>
      <c r="CI239" s="561">
        <v>0</v>
      </c>
      <c r="CJ239" s="561">
        <v>0</v>
      </c>
      <c r="CK239" s="561">
        <v>0</v>
      </c>
      <c r="CL239" s="561">
        <v>0</v>
      </c>
      <c r="CM239" s="561">
        <v>0</v>
      </c>
      <c r="CN239" s="561">
        <v>0</v>
      </c>
      <c r="CO239" s="561">
        <v>0</v>
      </c>
      <c r="CP239" s="561">
        <v>0</v>
      </c>
      <c r="CQ239" s="561">
        <v>0</v>
      </c>
      <c r="CR239" s="561">
        <v>0</v>
      </c>
      <c r="CS239" s="561">
        <v>0</v>
      </c>
      <c r="CT239" s="561">
        <v>0</v>
      </c>
      <c r="CU239" s="561">
        <v>0</v>
      </c>
      <c r="CV239" s="561">
        <v>0</v>
      </c>
      <c r="CW239" s="561">
        <v>0</v>
      </c>
      <c r="CX239" s="561">
        <v>0</v>
      </c>
      <c r="CY239" s="561">
        <v>0</v>
      </c>
      <c r="CZ239" s="561">
        <v>0</v>
      </c>
      <c r="DA239" s="561">
        <v>0</v>
      </c>
      <c r="DB239" s="561">
        <v>0</v>
      </c>
      <c r="DC239" s="561">
        <v>0</v>
      </c>
      <c r="DD239" s="561">
        <v>0</v>
      </c>
      <c r="DE239" s="561">
        <v>0</v>
      </c>
      <c r="DF239" s="561">
        <v>0</v>
      </c>
      <c r="DG239" s="561">
        <v>0</v>
      </c>
      <c r="DH239" s="561">
        <v>317</v>
      </c>
      <c r="DI239" s="561">
        <v>0</v>
      </c>
      <c r="DJ239" s="561">
        <v>82</v>
      </c>
      <c r="DK239" s="561">
        <v>0</v>
      </c>
      <c r="DL239" s="561">
        <v>0</v>
      </c>
      <c r="DM239" s="561">
        <v>0</v>
      </c>
      <c r="DN239" s="561">
        <v>0</v>
      </c>
      <c r="DO239" s="561">
        <v>345</v>
      </c>
      <c r="DP239" s="561">
        <v>1</v>
      </c>
      <c r="DQ239" s="561">
        <v>0</v>
      </c>
      <c r="DR239" s="561">
        <v>36</v>
      </c>
      <c r="DS239" s="561">
        <v>392</v>
      </c>
      <c r="DT239" s="561">
        <v>15</v>
      </c>
      <c r="DU239" s="561">
        <v>789</v>
      </c>
      <c r="DV239" s="561">
        <v>69</v>
      </c>
      <c r="DW239" s="561">
        <v>0</v>
      </c>
      <c r="DX239" s="561">
        <v>0</v>
      </c>
      <c r="DY239" s="561">
        <v>660</v>
      </c>
      <c r="DZ239" s="561">
        <v>0</v>
      </c>
      <c r="EA239" s="561">
        <v>0</v>
      </c>
      <c r="EB239" s="561">
        <v>0</v>
      </c>
      <c r="EC239" s="561">
        <v>1917</v>
      </c>
      <c r="ED239" s="561">
        <v>0</v>
      </c>
      <c r="EE239" s="561">
        <v>35937</v>
      </c>
      <c r="EF239" s="561">
        <v>478</v>
      </c>
      <c r="EG239" s="561">
        <v>75</v>
      </c>
      <c r="EH239" s="561">
        <v>125</v>
      </c>
      <c r="EI239" s="561">
        <v>5151</v>
      </c>
      <c r="EJ239" s="561">
        <v>325</v>
      </c>
      <c r="EK239" s="561">
        <v>0</v>
      </c>
      <c r="EL239" s="561">
        <v>0</v>
      </c>
      <c r="EM239" s="561">
        <v>0</v>
      </c>
      <c r="EN239" s="561">
        <v>6572</v>
      </c>
      <c r="EO239" s="561">
        <v>8097</v>
      </c>
      <c r="EP239" s="561">
        <v>1006</v>
      </c>
      <c r="EQ239" s="561">
        <v>151</v>
      </c>
      <c r="ER239" s="561">
        <v>5746</v>
      </c>
      <c r="ES239" s="561" t="s">
        <v>4565</v>
      </c>
      <c r="ET239" s="561">
        <v>23000</v>
      </c>
      <c r="EU239" s="561">
        <v>0</v>
      </c>
      <c r="EV239" s="561">
        <v>12</v>
      </c>
      <c r="EW239" s="561">
        <v>0</v>
      </c>
      <c r="EX239" s="561">
        <v>21288</v>
      </c>
      <c r="EY239" s="561">
        <v>1</v>
      </c>
      <c r="EZ239" s="561">
        <v>-23782</v>
      </c>
      <c r="FA239" s="561">
        <v>33868</v>
      </c>
      <c r="FB239" s="561">
        <v>0</v>
      </c>
      <c r="FC239" s="561">
        <v>1</v>
      </c>
      <c r="FD239" s="561">
        <v>0</v>
      </c>
      <c r="FE239" s="561">
        <v>0</v>
      </c>
      <c r="FF239" s="561">
        <v>0</v>
      </c>
      <c r="FG239" s="561">
        <v>1</v>
      </c>
      <c r="FH239" s="561">
        <v>0</v>
      </c>
      <c r="FI239" s="561">
        <v>84</v>
      </c>
      <c r="FJ239" s="561">
        <v>918</v>
      </c>
      <c r="FK239" s="561">
        <v>707</v>
      </c>
      <c r="FL239" s="561">
        <v>0</v>
      </c>
      <c r="FM239" s="561">
        <v>33</v>
      </c>
      <c r="FN239" s="561">
        <v>0</v>
      </c>
      <c r="FO239" s="561">
        <v>1744</v>
      </c>
      <c r="FP239" s="561">
        <v>1</v>
      </c>
      <c r="FQ239" s="561">
        <v>-364</v>
      </c>
      <c r="FR239" s="561">
        <v>0</v>
      </c>
      <c r="FS239" s="561">
        <v>2</v>
      </c>
      <c r="FT239" s="561">
        <v>134</v>
      </c>
      <c r="FU239" s="561">
        <v>485</v>
      </c>
      <c r="FV239" s="561">
        <v>0</v>
      </c>
      <c r="FW239" s="561">
        <v>0</v>
      </c>
      <c r="FX239" s="561">
        <v>0</v>
      </c>
      <c r="FY239" s="561">
        <v>0</v>
      </c>
      <c r="FZ239" s="561">
        <v>23</v>
      </c>
      <c r="GA239" s="561">
        <v>0</v>
      </c>
      <c r="GB239" s="561">
        <v>112</v>
      </c>
      <c r="GC239" s="561">
        <v>49</v>
      </c>
      <c r="GD239" s="561">
        <v>0</v>
      </c>
      <c r="GE239" s="561">
        <v>70</v>
      </c>
      <c r="GF239" s="561">
        <v>0</v>
      </c>
      <c r="GG239" s="561">
        <v>0</v>
      </c>
      <c r="GH239" s="561">
        <v>0</v>
      </c>
      <c r="GI239" s="561">
        <v>0</v>
      </c>
      <c r="GJ239" s="561">
        <v>0</v>
      </c>
      <c r="GK239" s="561">
        <v>0</v>
      </c>
      <c r="GL239" s="561">
        <v>801</v>
      </c>
      <c r="GM239" s="561">
        <v>2187</v>
      </c>
      <c r="GN239" s="561">
        <v>0</v>
      </c>
      <c r="GO239" s="561">
        <v>-279</v>
      </c>
      <c r="GP239" s="561">
        <v>619</v>
      </c>
      <c r="GQ239" s="561">
        <v>0</v>
      </c>
      <c r="GR239" s="561">
        <v>0</v>
      </c>
      <c r="GS239" s="561">
        <v>3839</v>
      </c>
      <c r="GT239" s="561">
        <v>448</v>
      </c>
      <c r="GU239" s="561">
        <v>55</v>
      </c>
      <c r="GV239" s="561">
        <v>-559</v>
      </c>
      <c r="GW239" s="561">
        <v>0</v>
      </c>
      <c r="GX239" s="561">
        <v>524</v>
      </c>
      <c r="GY239" s="561">
        <v>160</v>
      </c>
      <c r="GZ239" s="561">
        <v>318</v>
      </c>
      <c r="HA239" s="561">
        <v>0</v>
      </c>
      <c r="HB239" s="561">
        <v>-160</v>
      </c>
      <c r="HC239" s="561">
        <v>1758</v>
      </c>
      <c r="HD239" s="561">
        <v>2096</v>
      </c>
      <c r="HE239" s="561">
        <v>31</v>
      </c>
      <c r="HF239" s="561">
        <v>7679</v>
      </c>
      <c r="HG239" s="561">
        <v>480</v>
      </c>
      <c r="HH239" s="561">
        <v>0</v>
      </c>
      <c r="HI239" s="561">
        <v>0</v>
      </c>
      <c r="HJ239" s="561">
        <v>0</v>
      </c>
      <c r="HK239" s="561">
        <v>0</v>
      </c>
      <c r="HL239" s="561">
        <v>0</v>
      </c>
      <c r="HM239" s="561">
        <v>0</v>
      </c>
      <c r="HN239" s="561">
        <v>0</v>
      </c>
      <c r="HO239" s="561">
        <v>1861</v>
      </c>
      <c r="HP239" s="561">
        <v>478</v>
      </c>
      <c r="HQ239" s="561">
        <v>0</v>
      </c>
      <c r="HR239" s="561">
        <v>0</v>
      </c>
      <c r="HS239" s="561">
        <v>0</v>
      </c>
      <c r="HT239" s="561">
        <v>-8</v>
      </c>
      <c r="HU239" s="561">
        <v>0</v>
      </c>
      <c r="HV239" s="561">
        <v>0</v>
      </c>
      <c r="HW239" s="561">
        <v>209</v>
      </c>
      <c r="HX239" s="561">
        <v>102</v>
      </c>
      <c r="HY239" s="561">
        <v>18</v>
      </c>
      <c r="HZ239" s="561">
        <v>29</v>
      </c>
      <c r="IA239" s="561">
        <v>0</v>
      </c>
      <c r="IB239" s="561">
        <v>129</v>
      </c>
      <c r="IC239" s="561">
        <v>0</v>
      </c>
      <c r="ID239" s="561">
        <v>0</v>
      </c>
      <c r="IE239" s="561">
        <v>131</v>
      </c>
      <c r="IF239" s="561">
        <v>0</v>
      </c>
      <c r="IG239" s="561">
        <v>0</v>
      </c>
      <c r="IH239" s="561">
        <v>5010</v>
      </c>
      <c r="II239" s="561">
        <v>7959</v>
      </c>
      <c r="IJ239" s="561">
        <v>308</v>
      </c>
      <c r="IK239" s="561">
        <v>0</v>
      </c>
      <c r="IL239" s="561">
        <v>0</v>
      </c>
      <c r="IM239" s="561">
        <v>0</v>
      </c>
      <c r="IN239" s="561">
        <v>0</v>
      </c>
      <c r="IO239" s="561">
        <v>2561</v>
      </c>
      <c r="IP239" s="561">
        <v>0</v>
      </c>
      <c r="IQ239" s="561">
        <v>308</v>
      </c>
      <c r="IR239" s="561">
        <v>0</v>
      </c>
      <c r="IS239" s="561">
        <v>-165</v>
      </c>
      <c r="IT239" s="561">
        <v>0</v>
      </c>
      <c r="IU239" s="561">
        <v>0</v>
      </c>
      <c r="IV239" s="561">
        <v>0</v>
      </c>
      <c r="IW239" s="561">
        <v>1917</v>
      </c>
      <c r="IX239" s="561">
        <v>1744</v>
      </c>
      <c r="IY239" s="561">
        <v>3839</v>
      </c>
      <c r="IZ239" s="561">
        <v>2096</v>
      </c>
      <c r="JA239" s="561">
        <v>0</v>
      </c>
      <c r="JB239" s="561">
        <v>0</v>
      </c>
      <c r="JC239" s="561">
        <v>7959</v>
      </c>
      <c r="JD239" s="561">
        <v>0</v>
      </c>
      <c r="JE239" s="561">
        <v>17390</v>
      </c>
      <c r="JF239" s="561">
        <v>5263</v>
      </c>
      <c r="JG239" s="561">
        <v>0</v>
      </c>
      <c r="JH239" s="561">
        <v>10175</v>
      </c>
      <c r="JI239" s="561">
        <v>0</v>
      </c>
      <c r="JJ239" s="561">
        <v>0</v>
      </c>
      <c r="JK239" s="561">
        <v>3835</v>
      </c>
      <c r="JL239" s="561">
        <v>0</v>
      </c>
      <c r="JM239" s="561">
        <v>0</v>
      </c>
      <c r="JN239" s="561">
        <v>0</v>
      </c>
      <c r="JO239" s="561">
        <v>0</v>
      </c>
      <c r="JP239" s="561">
        <v>-1229</v>
      </c>
      <c r="JQ239" s="561">
        <v>0</v>
      </c>
      <c r="JR239" s="561">
        <v>789</v>
      </c>
      <c r="JS239" s="561">
        <v>0</v>
      </c>
      <c r="JT239" s="561">
        <v>13</v>
      </c>
      <c r="JU239" s="561">
        <v>0</v>
      </c>
      <c r="JV239" s="561">
        <v>36236</v>
      </c>
      <c r="JW239" s="561">
        <v>0</v>
      </c>
      <c r="JX239" s="561">
        <v>172</v>
      </c>
      <c r="JY239" s="561">
        <v>0</v>
      </c>
      <c r="JZ239" s="561">
        <v>0</v>
      </c>
      <c r="KA239" s="561">
        <v>0</v>
      </c>
      <c r="KB239" s="561">
        <v>56</v>
      </c>
      <c r="KC239" s="561">
        <v>242</v>
      </c>
      <c r="KD239" s="561">
        <v>0</v>
      </c>
      <c r="KE239" s="561">
        <v>5434</v>
      </c>
      <c r="KF239" s="561">
        <v>-5421</v>
      </c>
      <c r="KG239" s="561">
        <v>36719</v>
      </c>
      <c r="KH239" s="561">
        <v>-1598</v>
      </c>
      <c r="KI239" s="561">
        <v>0</v>
      </c>
      <c r="KJ239" s="561">
        <v>0</v>
      </c>
      <c r="KK239" s="561">
        <v>0</v>
      </c>
      <c r="KL239" s="561">
        <v>-15486</v>
      </c>
      <c r="KM239" s="561">
        <v>0</v>
      </c>
      <c r="KN239" s="561">
        <v>0</v>
      </c>
      <c r="KO239" s="561">
        <v>0</v>
      </c>
      <c r="KP239" s="561">
        <v>0</v>
      </c>
      <c r="KQ239" s="561">
        <v>0</v>
      </c>
      <c r="KR239" s="561">
        <v>19635</v>
      </c>
      <c r="KS239" s="561">
        <v>0</v>
      </c>
      <c r="KT239" s="561">
        <v>-3847</v>
      </c>
      <c r="KU239" s="561">
        <v>15788</v>
      </c>
      <c r="KV239" s="561">
        <v>0</v>
      </c>
      <c r="KW239" s="561">
        <v>0</v>
      </c>
      <c r="KX239" s="561">
        <v>0</v>
      </c>
      <c r="KY239" s="561">
        <v>0</v>
      </c>
      <c r="KZ239" s="561">
        <v>1432</v>
      </c>
      <c r="LA239" s="561">
        <v>0</v>
      </c>
      <c r="LB239" s="561">
        <v>-125</v>
      </c>
      <c r="LC239" s="561">
        <v>0</v>
      </c>
      <c r="LD239" s="561">
        <v>-6168</v>
      </c>
      <c r="LE239" s="561">
        <v>-139</v>
      </c>
      <c r="LF239" s="561">
        <v>0</v>
      </c>
      <c r="LG239" s="561">
        <v>10788</v>
      </c>
      <c r="LH239" s="561">
        <v>0</v>
      </c>
      <c r="LI239" s="561">
        <v>0</v>
      </c>
      <c r="LJ239" s="561">
        <v>0</v>
      </c>
      <c r="LK239" s="561">
        <v>0</v>
      </c>
      <c r="LL239" s="561">
        <v>20637</v>
      </c>
      <c r="LM239" s="561">
        <v>2000</v>
      </c>
      <c r="LN239" s="561">
        <v>0</v>
      </c>
      <c r="LO239" s="561">
        <v>0</v>
      </c>
      <c r="LP239" s="561">
        <v>0</v>
      </c>
      <c r="LQ239" s="561">
        <v>0</v>
      </c>
      <c r="LR239" s="561">
        <v>22069</v>
      </c>
      <c r="LS239" s="561">
        <v>2000</v>
      </c>
      <c r="LT239" s="561">
        <v>0</v>
      </c>
      <c r="LU239" s="561">
        <v>1178</v>
      </c>
      <c r="LV239" s="561">
        <v>-1631</v>
      </c>
      <c r="LW239" s="561">
        <v>1372</v>
      </c>
      <c r="LX239" s="561">
        <v>-12303</v>
      </c>
      <c r="LY239" s="561">
        <v>2807</v>
      </c>
      <c r="LZ239" s="561">
        <v>-8577</v>
      </c>
      <c r="MA239" s="561">
        <v>0</v>
      </c>
      <c r="MB239" s="561">
        <v>0</v>
      </c>
      <c r="MC239" s="561">
        <v>42091</v>
      </c>
      <c r="MD239" s="561">
        <v>65873</v>
      </c>
      <c r="ME239" s="561">
        <v>-23782</v>
      </c>
      <c r="MF239" s="561">
        <v>33868</v>
      </c>
      <c r="MG239" s="561">
        <v>10086</v>
      </c>
      <c r="MH239" s="561">
        <v>3638</v>
      </c>
      <c r="MI239" s="561">
        <v>3971</v>
      </c>
      <c r="MJ239" s="561">
        <v>7609</v>
      </c>
      <c r="MK239" s="561">
        <v>0</v>
      </c>
      <c r="ML239" s="561">
        <v>0</v>
      </c>
      <c r="MM239" s="561">
        <v>7263</v>
      </c>
      <c r="MN239" s="561">
        <v>9383</v>
      </c>
      <c r="MO239" s="561">
        <v>5423</v>
      </c>
      <c r="MP239" s="561">
        <v>0</v>
      </c>
      <c r="MQ239" s="561">
        <v>0</v>
      </c>
      <c r="MR239" s="561">
        <v>-165</v>
      </c>
      <c r="MS239" s="561">
        <v>0</v>
      </c>
      <c r="MT239" s="561">
        <v>0</v>
      </c>
      <c r="MU239" s="561">
        <v>0</v>
      </c>
      <c r="MV239" s="561">
        <v>1917</v>
      </c>
      <c r="MW239" s="561">
        <v>1744</v>
      </c>
      <c r="MX239" s="561">
        <v>3839</v>
      </c>
      <c r="MY239" s="561">
        <v>2096</v>
      </c>
      <c r="MZ239" s="561">
        <v>0</v>
      </c>
      <c r="NA239" s="561">
        <v>0</v>
      </c>
      <c r="NB239" s="561">
        <v>7959</v>
      </c>
      <c r="NC239" s="561">
        <v>0</v>
      </c>
      <c r="ND239" s="561">
        <v>17390</v>
      </c>
      <c r="NE239" s="561">
        <v>0</v>
      </c>
      <c r="NF239" s="561">
        <v>0</v>
      </c>
      <c r="NG239" s="561">
        <v>0</v>
      </c>
      <c r="NH239" s="561">
        <v>0</v>
      </c>
      <c r="NI239" s="561">
        <v>0</v>
      </c>
      <c r="NJ239" s="561">
        <v>0</v>
      </c>
      <c r="NK239" s="561">
        <v>0</v>
      </c>
      <c r="NL239" s="561">
        <v>0</v>
      </c>
      <c r="NM239" s="561">
        <v>0</v>
      </c>
      <c r="NN239" s="561">
        <v>0</v>
      </c>
      <c r="NO239" s="561">
        <v>0</v>
      </c>
      <c r="NP239" s="561">
        <v>0</v>
      </c>
      <c r="NQ239" s="561">
        <v>0</v>
      </c>
      <c r="NR239" s="561">
        <v>0</v>
      </c>
      <c r="NS239" s="561">
        <v>0</v>
      </c>
      <c r="NT239" s="561">
        <v>-440</v>
      </c>
      <c r="NU239" s="561">
        <v>0</v>
      </c>
      <c r="NV239" s="561">
        <v>0</v>
      </c>
      <c r="NW239" s="561">
        <v>-440</v>
      </c>
      <c r="NX239" s="561">
        <v>-789</v>
      </c>
      <c r="NY239" s="561">
        <v>-1229</v>
      </c>
      <c r="NZ239" s="561">
        <v>0</v>
      </c>
      <c r="OA239" s="561">
        <v>0</v>
      </c>
      <c r="OB239" s="561">
        <v>0</v>
      </c>
      <c r="OC239" s="561">
        <v>0</v>
      </c>
      <c r="OD239" s="561">
        <v>0</v>
      </c>
      <c r="OE239" s="561">
        <v>0</v>
      </c>
      <c r="OF239" s="561">
        <v>0</v>
      </c>
      <c r="OG239" s="561">
        <v>0</v>
      </c>
      <c r="OH239" s="561">
        <v>0</v>
      </c>
      <c r="OI239" s="561">
        <v>0</v>
      </c>
      <c r="OJ239" s="561">
        <v>0</v>
      </c>
      <c r="OK239" s="561">
        <v>0</v>
      </c>
      <c r="OL239" s="561">
        <v>0</v>
      </c>
      <c r="OM239" s="561">
        <v>0</v>
      </c>
      <c r="ON239" s="561">
        <v>0</v>
      </c>
      <c r="OO239" s="561">
        <v>0</v>
      </c>
      <c r="OP239" s="561">
        <v>0</v>
      </c>
      <c r="OQ239" s="561">
        <v>0</v>
      </c>
      <c r="OR239" s="561">
        <v>0</v>
      </c>
      <c r="OS239" s="561">
        <v>0</v>
      </c>
      <c r="OT239" s="561">
        <v>0</v>
      </c>
      <c r="OU239" s="561">
        <v>0</v>
      </c>
      <c r="OV239" s="561">
        <v>0</v>
      </c>
      <c r="OW239" s="561">
        <v>0</v>
      </c>
      <c r="OX239" s="561">
        <v>0</v>
      </c>
      <c r="OY239" s="561">
        <v>8</v>
      </c>
      <c r="OZ239" s="561">
        <v>556</v>
      </c>
      <c r="PA239" s="561">
        <v>-1353</v>
      </c>
      <c r="PB239" s="561">
        <v>0</v>
      </c>
      <c r="PC239" s="561">
        <v>0</v>
      </c>
      <c r="PD239" s="561">
        <v>-789</v>
      </c>
      <c r="PE239" s="561">
        <v>0</v>
      </c>
      <c r="PF239" s="561">
        <v>0</v>
      </c>
      <c r="PG239" s="561">
        <v>0</v>
      </c>
      <c r="PH239" s="561">
        <v>0</v>
      </c>
      <c r="PI239" s="561">
        <v>0</v>
      </c>
      <c r="PJ239" s="561">
        <v>0</v>
      </c>
    </row>
    <row r="240" spans="1:426" ht="14" x14ac:dyDescent="0.3">
      <c r="A240" t="s">
        <v>3163</v>
      </c>
      <c r="B240" t="s">
        <v>3164</v>
      </c>
      <c r="C240" t="s">
        <v>4637</v>
      </c>
      <c r="E240" t="s">
        <v>385</v>
      </c>
      <c r="F240" s="561">
        <v>17616</v>
      </c>
      <c r="G240" s="561">
        <v>13742</v>
      </c>
      <c r="H240" s="561">
        <v>2255</v>
      </c>
      <c r="I240" s="561">
        <v>22221</v>
      </c>
      <c r="J240" s="561">
        <v>2082</v>
      </c>
      <c r="K240" s="561">
        <v>13865</v>
      </c>
      <c r="L240" s="561">
        <v>71781</v>
      </c>
      <c r="M240" s="561">
        <v>694</v>
      </c>
      <c r="N240" s="561">
        <v>1097</v>
      </c>
      <c r="O240" s="561">
        <v>-59</v>
      </c>
      <c r="P240" s="561">
        <v>220</v>
      </c>
      <c r="Q240" s="561">
        <v>0</v>
      </c>
      <c r="R240" s="561">
        <v>232</v>
      </c>
      <c r="S240" s="561">
        <v>2502</v>
      </c>
      <c r="T240" s="561">
        <v>2633</v>
      </c>
      <c r="U240" s="561">
        <v>0</v>
      </c>
      <c r="V240" s="561">
        <v>1940</v>
      </c>
      <c r="W240" s="561">
        <v>0</v>
      </c>
      <c r="X240" s="561">
        <v>0</v>
      </c>
      <c r="Y240" s="561">
        <v>0</v>
      </c>
      <c r="Z240" s="561">
        <v>941</v>
      </c>
      <c r="AA240" s="561">
        <v>-19</v>
      </c>
      <c r="AB240" s="561">
        <v>-542</v>
      </c>
      <c r="AC240" s="561">
        <v>2692</v>
      </c>
      <c r="AD240" s="561">
        <v>0</v>
      </c>
      <c r="AE240" s="561">
        <v>241</v>
      </c>
      <c r="AF240" s="561">
        <v>0</v>
      </c>
      <c r="AG240" s="561">
        <v>0</v>
      </c>
      <c r="AH240" s="561">
        <v>2149</v>
      </c>
      <c r="AI240" s="561">
        <v>0</v>
      </c>
      <c r="AJ240" s="561">
        <v>14027</v>
      </c>
      <c r="AK240" s="561">
        <v>0</v>
      </c>
      <c r="AL240" s="561">
        <v>0</v>
      </c>
      <c r="AM240" s="561">
        <v>0</v>
      </c>
      <c r="AN240" s="561">
        <v>0</v>
      </c>
      <c r="AO240" s="561">
        <v>0</v>
      </c>
      <c r="AP240" s="561">
        <v>0</v>
      </c>
      <c r="AQ240" s="561">
        <v>0</v>
      </c>
      <c r="AR240" s="561">
        <v>0</v>
      </c>
      <c r="AS240" s="561">
        <v>0</v>
      </c>
      <c r="AT240" s="561">
        <v>0</v>
      </c>
      <c r="AU240" s="561">
        <v>0</v>
      </c>
      <c r="AV240" s="561">
        <v>0</v>
      </c>
      <c r="AW240" s="561">
        <v>0</v>
      </c>
      <c r="AX240" s="561">
        <v>1319</v>
      </c>
      <c r="AY240" s="561">
        <v>35892</v>
      </c>
      <c r="AZ240" s="561">
        <v>449</v>
      </c>
      <c r="BA240" s="561">
        <v>9480</v>
      </c>
      <c r="BB240" s="561">
        <v>826</v>
      </c>
      <c r="BC240" s="561">
        <v>13230</v>
      </c>
      <c r="BD240" s="561">
        <v>0</v>
      </c>
      <c r="BE240" s="561">
        <v>1384</v>
      </c>
      <c r="BF240" s="561">
        <v>62580</v>
      </c>
      <c r="BG240" s="561">
        <v>0</v>
      </c>
      <c r="BH240" s="561">
        <v>6120</v>
      </c>
      <c r="BI240" s="561">
        <v>16750</v>
      </c>
      <c r="BJ240" s="561">
        <v>87</v>
      </c>
      <c r="BK240" s="561">
        <v>125</v>
      </c>
      <c r="BL240" s="561">
        <v>32</v>
      </c>
      <c r="BM240" s="561">
        <v>773</v>
      </c>
      <c r="BN240" s="561">
        <v>20597</v>
      </c>
      <c r="BO240" s="561">
        <v>2076</v>
      </c>
      <c r="BP240" s="561">
        <v>2657</v>
      </c>
      <c r="BQ240" s="561">
        <v>1321</v>
      </c>
      <c r="BR240" s="561">
        <v>21</v>
      </c>
      <c r="BS240" s="561">
        <v>0</v>
      </c>
      <c r="BT240" s="561">
        <v>2875</v>
      </c>
      <c r="BU240" s="561">
        <v>1109</v>
      </c>
      <c r="BV240" s="561">
        <v>32</v>
      </c>
      <c r="BW240" s="561">
        <v>4927</v>
      </c>
      <c r="BX240" s="561">
        <v>807</v>
      </c>
      <c r="BY240" s="561">
        <v>2838</v>
      </c>
      <c r="BZ240" s="561">
        <v>63147</v>
      </c>
      <c r="CA240" s="561">
        <v>0</v>
      </c>
      <c r="CB240" s="561">
        <v>359</v>
      </c>
      <c r="CC240" s="561">
        <v>495</v>
      </c>
      <c r="CD240" s="561">
        <v>315</v>
      </c>
      <c r="CE240" s="561">
        <v>72</v>
      </c>
      <c r="CF240" s="561">
        <v>85</v>
      </c>
      <c r="CG240" s="561">
        <v>166</v>
      </c>
      <c r="CH240" s="561">
        <v>291</v>
      </c>
      <c r="CI240" s="561">
        <v>461</v>
      </c>
      <c r="CJ240" s="561">
        <v>139</v>
      </c>
      <c r="CK240" s="561">
        <v>197</v>
      </c>
      <c r="CL240" s="561">
        <v>197</v>
      </c>
      <c r="CM240" s="561">
        <v>2491</v>
      </c>
      <c r="CN240" s="561">
        <v>770</v>
      </c>
      <c r="CO240" s="561">
        <v>272</v>
      </c>
      <c r="CP240" s="561">
        <v>146</v>
      </c>
      <c r="CQ240" s="561">
        <v>347</v>
      </c>
      <c r="CR240" s="561">
        <v>774</v>
      </c>
      <c r="CS240" s="561">
        <v>-102</v>
      </c>
      <c r="CT240" s="561">
        <v>760</v>
      </c>
      <c r="CU240" s="561">
        <v>1591</v>
      </c>
      <c r="CV240" s="561">
        <v>1777</v>
      </c>
      <c r="CW240" s="561">
        <v>250</v>
      </c>
      <c r="CX240" s="561">
        <v>325</v>
      </c>
      <c r="CY240" s="561">
        <v>3573</v>
      </c>
      <c r="CZ240" s="561">
        <v>15751</v>
      </c>
      <c r="DA240" s="561">
        <v>0</v>
      </c>
      <c r="DB240" s="561">
        <v>0</v>
      </c>
      <c r="DC240" s="561">
        <v>0</v>
      </c>
      <c r="DD240" s="561">
        <v>0</v>
      </c>
      <c r="DE240" s="561">
        <v>0</v>
      </c>
      <c r="DF240" s="561">
        <v>0</v>
      </c>
      <c r="DG240" s="561">
        <v>0</v>
      </c>
      <c r="DH240" s="561">
        <v>529</v>
      </c>
      <c r="DI240" s="561">
        <v>0</v>
      </c>
      <c r="DJ240" s="561">
        <v>29</v>
      </c>
      <c r="DK240" s="561">
        <v>612</v>
      </c>
      <c r="DL240" s="561">
        <v>0</v>
      </c>
      <c r="DM240" s="561">
        <v>-129</v>
      </c>
      <c r="DN240" s="561">
        <v>0</v>
      </c>
      <c r="DO240" s="561">
        <v>469</v>
      </c>
      <c r="DP240" s="561">
        <v>0</v>
      </c>
      <c r="DQ240" s="561">
        <v>0</v>
      </c>
      <c r="DR240" s="561">
        <v>0</v>
      </c>
      <c r="DS240" s="561">
        <v>1618</v>
      </c>
      <c r="DT240" s="561">
        <v>620</v>
      </c>
      <c r="DU240" s="561">
        <v>2578</v>
      </c>
      <c r="DV240" s="561">
        <v>176</v>
      </c>
      <c r="DW240" s="561">
        <v>0</v>
      </c>
      <c r="DX240" s="561">
        <v>0</v>
      </c>
      <c r="DY240" s="561">
        <v>1131</v>
      </c>
      <c r="DZ240" s="561">
        <v>-66</v>
      </c>
      <c r="EA240" s="561">
        <v>2274</v>
      </c>
      <c r="EB240" s="561">
        <v>0</v>
      </c>
      <c r="EC240" s="561">
        <v>7263</v>
      </c>
      <c r="ED240" s="561">
        <v>0</v>
      </c>
      <c r="EE240" s="561">
        <v>0</v>
      </c>
      <c r="EF240" s="561">
        <v>0</v>
      </c>
      <c r="EG240" s="561">
        <v>0</v>
      </c>
      <c r="EH240" s="561">
        <v>0</v>
      </c>
      <c r="EI240" s="561">
        <v>0</v>
      </c>
      <c r="EJ240" s="561">
        <v>0</v>
      </c>
      <c r="EK240" s="561">
        <v>0</v>
      </c>
      <c r="EL240" s="561">
        <v>0</v>
      </c>
      <c r="EM240" s="561">
        <v>0</v>
      </c>
      <c r="EN240" s="561">
        <v>0</v>
      </c>
      <c r="EO240" s="561">
        <v>0</v>
      </c>
      <c r="EP240" s="561">
        <v>0</v>
      </c>
      <c r="EQ240" s="561">
        <v>0</v>
      </c>
      <c r="ER240" s="561">
        <v>0</v>
      </c>
      <c r="ES240" s="561" t="s">
        <v>4565</v>
      </c>
      <c r="ET240" s="561">
        <v>0</v>
      </c>
      <c r="EU240" s="561">
        <v>0</v>
      </c>
      <c r="EV240" s="561">
        <v>0</v>
      </c>
      <c r="EW240" s="561">
        <v>0</v>
      </c>
      <c r="EX240" s="561">
        <v>0</v>
      </c>
      <c r="EY240" s="561">
        <v>0</v>
      </c>
      <c r="EZ240" s="561">
        <v>0</v>
      </c>
      <c r="FA240" s="561">
        <v>0</v>
      </c>
      <c r="FB240" s="561">
        <v>0</v>
      </c>
      <c r="FC240" s="561">
        <v>0</v>
      </c>
      <c r="FD240" s="561">
        <v>30</v>
      </c>
      <c r="FE240" s="561">
        <v>705</v>
      </c>
      <c r="FF240" s="561">
        <v>900</v>
      </c>
      <c r="FG240" s="561">
        <v>-13</v>
      </c>
      <c r="FH240" s="561">
        <v>-336</v>
      </c>
      <c r="FI240" s="561">
        <v>0</v>
      </c>
      <c r="FJ240" s="561">
        <v>2278</v>
      </c>
      <c r="FK240" s="561">
        <v>1433</v>
      </c>
      <c r="FL240" s="561">
        <v>-28</v>
      </c>
      <c r="FM240" s="561">
        <v>88</v>
      </c>
      <c r="FN240" s="561">
        <v>1393</v>
      </c>
      <c r="FO240" s="561">
        <v>6450</v>
      </c>
      <c r="FP240" s="561">
        <v>0</v>
      </c>
      <c r="FQ240" s="561">
        <v>535</v>
      </c>
      <c r="FR240" s="561">
        <v>979</v>
      </c>
      <c r="FS240" s="561">
        <v>0</v>
      </c>
      <c r="FT240" s="561">
        <v>519</v>
      </c>
      <c r="FU240" s="561">
        <v>255</v>
      </c>
      <c r="FV240" s="561">
        <v>-20</v>
      </c>
      <c r="FW240" s="561">
        <v>0</v>
      </c>
      <c r="FX240" s="561">
        <v>0</v>
      </c>
      <c r="FY240" s="561">
        <v>-2309</v>
      </c>
      <c r="FZ240" s="561">
        <v>0</v>
      </c>
      <c r="GA240" s="561">
        <v>213</v>
      </c>
      <c r="GB240" s="561">
        <v>0</v>
      </c>
      <c r="GC240" s="561">
        <v>218</v>
      </c>
      <c r="GD240" s="561">
        <v>1127</v>
      </c>
      <c r="GE240" s="561">
        <v>0</v>
      </c>
      <c r="GF240" s="561">
        <v>19</v>
      </c>
      <c r="GG240" s="561">
        <v>0</v>
      </c>
      <c r="GH240" s="561">
        <v>599</v>
      </c>
      <c r="GI240" s="561">
        <v>628</v>
      </c>
      <c r="GJ240" s="561">
        <v>0</v>
      </c>
      <c r="GK240" s="561">
        <v>0</v>
      </c>
      <c r="GL240" s="561">
        <v>2322</v>
      </c>
      <c r="GM240" s="561">
        <v>2416</v>
      </c>
      <c r="GN240" s="561">
        <v>4937</v>
      </c>
      <c r="GO240" s="561">
        <v>0</v>
      </c>
      <c r="GP240" s="561">
        <v>6066</v>
      </c>
      <c r="GQ240" s="561">
        <v>0</v>
      </c>
      <c r="GR240" s="561">
        <v>0</v>
      </c>
      <c r="GS240" s="561">
        <v>18504</v>
      </c>
      <c r="GT240" s="561">
        <v>0</v>
      </c>
      <c r="GU240" s="561">
        <v>0</v>
      </c>
      <c r="GV240" s="561">
        <v>1727</v>
      </c>
      <c r="GW240" s="561">
        <v>0</v>
      </c>
      <c r="GX240" s="561">
        <v>0</v>
      </c>
      <c r="GY240" s="561">
        <v>806</v>
      </c>
      <c r="GZ240" s="561">
        <v>1688</v>
      </c>
      <c r="HA240" s="561">
        <v>0</v>
      </c>
      <c r="HB240" s="561">
        <v>-3441</v>
      </c>
      <c r="HC240" s="561">
        <v>114</v>
      </c>
      <c r="HD240" s="561">
        <v>894</v>
      </c>
      <c r="HE240" s="561">
        <v>0</v>
      </c>
      <c r="HF240" s="561">
        <v>25848</v>
      </c>
      <c r="HG240" s="561">
        <v>0</v>
      </c>
      <c r="HH240" s="561">
        <v>0</v>
      </c>
      <c r="HI240" s="561">
        <v>0</v>
      </c>
      <c r="HJ240" s="561">
        <v>0</v>
      </c>
      <c r="HK240" s="561">
        <v>0</v>
      </c>
      <c r="HL240" s="561">
        <v>0</v>
      </c>
      <c r="HM240" s="561">
        <v>0</v>
      </c>
      <c r="HN240" s="561">
        <v>0</v>
      </c>
      <c r="HO240" s="561">
        <v>1479</v>
      </c>
      <c r="HP240" s="561">
        <v>841</v>
      </c>
      <c r="HQ240" s="561">
        <v>0</v>
      </c>
      <c r="HR240" s="561">
        <v>0</v>
      </c>
      <c r="HS240" s="561">
        <v>614</v>
      </c>
      <c r="HT240" s="561">
        <v>-205</v>
      </c>
      <c r="HU240" s="561">
        <v>0</v>
      </c>
      <c r="HV240" s="561">
        <v>20</v>
      </c>
      <c r="HW240" s="561">
        <v>319</v>
      </c>
      <c r="HX240" s="561">
        <v>852</v>
      </c>
      <c r="HY240" s="561">
        <v>49</v>
      </c>
      <c r="HZ240" s="561">
        <v>-70</v>
      </c>
      <c r="IA240" s="561">
        <v>3264</v>
      </c>
      <c r="IB240" s="561">
        <v>0</v>
      </c>
      <c r="IC240" s="561">
        <v>381</v>
      </c>
      <c r="ID240" s="561">
        <v>0</v>
      </c>
      <c r="IE240" s="561">
        <v>2382</v>
      </c>
      <c r="IF240" s="561">
        <v>0</v>
      </c>
      <c r="IG240" s="561">
        <v>962</v>
      </c>
      <c r="IH240" s="561">
        <v>-1765</v>
      </c>
      <c r="II240" s="561">
        <v>9123</v>
      </c>
      <c r="IJ240" s="561">
        <v>0</v>
      </c>
      <c r="IK240" s="561">
        <v>33098</v>
      </c>
      <c r="IL240" s="561">
        <v>0</v>
      </c>
      <c r="IM240" s="561">
        <v>0</v>
      </c>
      <c r="IN240" s="561">
        <v>0</v>
      </c>
      <c r="IO240" s="561">
        <v>0</v>
      </c>
      <c r="IP240" s="561">
        <v>46</v>
      </c>
      <c r="IQ240" s="561">
        <v>0</v>
      </c>
      <c r="IR240" s="561">
        <v>71781</v>
      </c>
      <c r="IS240" s="561">
        <v>14027</v>
      </c>
      <c r="IT240" s="561">
        <v>62580</v>
      </c>
      <c r="IU240" s="561">
        <v>63147</v>
      </c>
      <c r="IV240" s="561">
        <v>15751</v>
      </c>
      <c r="IW240" s="561">
        <v>7263</v>
      </c>
      <c r="IX240" s="561">
        <v>6450</v>
      </c>
      <c r="IY240" s="561">
        <v>18504</v>
      </c>
      <c r="IZ240" s="561">
        <v>894</v>
      </c>
      <c r="JA240" s="561">
        <v>0</v>
      </c>
      <c r="JB240" s="561">
        <v>0</v>
      </c>
      <c r="JC240" s="561">
        <v>9123</v>
      </c>
      <c r="JD240" s="561">
        <v>46</v>
      </c>
      <c r="JE240" s="561">
        <v>269566</v>
      </c>
      <c r="JF240" s="561">
        <v>35484</v>
      </c>
      <c r="JG240" s="561">
        <v>597</v>
      </c>
      <c r="JH240" s="561">
        <v>0</v>
      </c>
      <c r="JI240" s="561">
        <v>0</v>
      </c>
      <c r="JJ240" s="561">
        <v>0</v>
      </c>
      <c r="JK240" s="561">
        <v>924</v>
      </c>
      <c r="JL240" s="561">
        <v>0</v>
      </c>
      <c r="JM240" s="561">
        <v>0</v>
      </c>
      <c r="JN240" s="561">
        <v>0</v>
      </c>
      <c r="JO240" s="561">
        <v>408</v>
      </c>
      <c r="JP240" s="561">
        <v>0</v>
      </c>
      <c r="JQ240" s="561">
        <v>0</v>
      </c>
      <c r="JR240" s="561">
        <v>0</v>
      </c>
      <c r="JS240" s="561">
        <v>0</v>
      </c>
      <c r="JT240" s="561">
        <v>0</v>
      </c>
      <c r="JU240" s="561">
        <v>0</v>
      </c>
      <c r="JV240" s="561">
        <v>306979</v>
      </c>
      <c r="JW240" s="561">
        <v>136</v>
      </c>
      <c r="JX240" s="561">
        <v>0</v>
      </c>
      <c r="JY240" s="561">
        <v>0</v>
      </c>
      <c r="JZ240" s="561">
        <v>-7657</v>
      </c>
      <c r="KA240" s="561">
        <v>0</v>
      </c>
      <c r="KB240" s="561">
        <v>191</v>
      </c>
      <c r="KC240" s="561">
        <v>6878</v>
      </c>
      <c r="KD240" s="561">
        <v>296</v>
      </c>
      <c r="KE240" s="561">
        <v>6328</v>
      </c>
      <c r="KF240" s="561">
        <v>0</v>
      </c>
      <c r="KG240" s="561">
        <v>313151</v>
      </c>
      <c r="KH240" s="561">
        <v>-1452</v>
      </c>
      <c r="KI240" s="561">
        <v>0</v>
      </c>
      <c r="KJ240" s="561">
        <v>0</v>
      </c>
      <c r="KK240" s="561">
        <v>0</v>
      </c>
      <c r="KL240" s="561">
        <v>-37098</v>
      </c>
      <c r="KM240" s="561">
        <v>0</v>
      </c>
      <c r="KN240" s="561">
        <v>0</v>
      </c>
      <c r="KO240" s="561">
        <v>0</v>
      </c>
      <c r="KP240" s="561">
        <v>0</v>
      </c>
      <c r="KQ240" s="561">
        <v>-7957</v>
      </c>
      <c r="KR240" s="561">
        <v>266644</v>
      </c>
      <c r="KS240" s="561">
        <v>0</v>
      </c>
      <c r="KT240" s="561">
        <v>-118067</v>
      </c>
      <c r="KU240" s="561">
        <v>148577</v>
      </c>
      <c r="KV240" s="561">
        <v>0</v>
      </c>
      <c r="KW240" s="561">
        <v>17</v>
      </c>
      <c r="KX240" s="561">
        <v>0</v>
      </c>
      <c r="KY240" s="561">
        <v>98</v>
      </c>
      <c r="KZ240" s="561">
        <v>10199</v>
      </c>
      <c r="LA240" s="561">
        <v>0</v>
      </c>
      <c r="LB240" s="561">
        <v>-11362</v>
      </c>
      <c r="LC240" s="561">
        <v>0</v>
      </c>
      <c r="LD240" s="561">
        <v>-54614</v>
      </c>
      <c r="LE240" s="561">
        <v>-4130</v>
      </c>
      <c r="LF240" s="561">
        <v>0</v>
      </c>
      <c r="LG240" s="561">
        <v>88785</v>
      </c>
      <c r="LH240" s="561">
        <v>1522</v>
      </c>
      <c r="LI240" s="561">
        <v>-4035</v>
      </c>
      <c r="LJ240" s="561">
        <v>0</v>
      </c>
      <c r="LK240" s="561">
        <v>1368</v>
      </c>
      <c r="LL240" s="561">
        <v>14482</v>
      </c>
      <c r="LM240" s="561">
        <v>8301</v>
      </c>
      <c r="LN240" s="561">
        <v>1539</v>
      </c>
      <c r="LO240" s="561">
        <v>-11992</v>
      </c>
      <c r="LP240" s="561">
        <v>0</v>
      </c>
      <c r="LQ240" s="561">
        <v>1466</v>
      </c>
      <c r="LR240" s="561">
        <v>24681</v>
      </c>
      <c r="LS240" s="561">
        <v>8301</v>
      </c>
      <c r="LT240" s="561">
        <v>0</v>
      </c>
      <c r="LU240" s="561">
        <v>14780</v>
      </c>
      <c r="LV240" s="561">
        <v>1425</v>
      </c>
      <c r="LW240" s="561">
        <v>9850</v>
      </c>
      <c r="LX240" s="561">
        <v>-29368</v>
      </c>
      <c r="LY240" s="561">
        <v>19468</v>
      </c>
      <c r="LZ240" s="561">
        <v>14722</v>
      </c>
      <c r="MA240" s="561">
        <v>0</v>
      </c>
      <c r="MB240" s="561">
        <v>0</v>
      </c>
      <c r="MC240" s="561">
        <v>0</v>
      </c>
      <c r="MD240" s="561">
        <v>0</v>
      </c>
      <c r="ME240" s="561">
        <v>0</v>
      </c>
      <c r="MF240" s="561">
        <v>0</v>
      </c>
      <c r="MG240" s="561">
        <v>0</v>
      </c>
      <c r="MH240" s="561">
        <v>6378</v>
      </c>
      <c r="MI240" s="561">
        <v>5273</v>
      </c>
      <c r="MJ240" s="561">
        <v>11651</v>
      </c>
      <c r="MK240" s="561">
        <v>0</v>
      </c>
      <c r="ML240" s="561">
        <v>0</v>
      </c>
      <c r="MM240" s="561">
        <v>11684</v>
      </c>
      <c r="MN240" s="561">
        <v>1500</v>
      </c>
      <c r="MO240" s="561">
        <v>11497</v>
      </c>
      <c r="MP240" s="561">
        <v>0</v>
      </c>
      <c r="MQ240" s="561">
        <v>71781</v>
      </c>
      <c r="MR240" s="561">
        <v>14027</v>
      </c>
      <c r="MS240" s="561">
        <v>62580</v>
      </c>
      <c r="MT240" s="561">
        <v>63147</v>
      </c>
      <c r="MU240" s="561">
        <v>15751</v>
      </c>
      <c r="MV240" s="561">
        <v>7263</v>
      </c>
      <c r="MW240" s="561">
        <v>6450</v>
      </c>
      <c r="MX240" s="561">
        <v>18504</v>
      </c>
      <c r="MY240" s="561">
        <v>894</v>
      </c>
      <c r="MZ240" s="561">
        <v>0</v>
      </c>
      <c r="NA240" s="561">
        <v>0</v>
      </c>
      <c r="NB240" s="561">
        <v>9123</v>
      </c>
      <c r="NC240" s="561">
        <v>46</v>
      </c>
      <c r="ND240" s="561">
        <v>269566</v>
      </c>
      <c r="NE240" s="561">
        <v>0</v>
      </c>
      <c r="NF240" s="561">
        <v>0</v>
      </c>
      <c r="NG240" s="561">
        <v>0</v>
      </c>
      <c r="NH240" s="561">
        <v>0</v>
      </c>
      <c r="NI240" s="561">
        <v>0</v>
      </c>
      <c r="NJ240" s="561">
        <v>0</v>
      </c>
      <c r="NK240" s="561">
        <v>0</v>
      </c>
      <c r="NL240" s="561">
        <v>0</v>
      </c>
      <c r="NM240" s="561">
        <v>0</v>
      </c>
      <c r="NN240" s="561">
        <v>0</v>
      </c>
      <c r="NO240" s="561">
        <v>0</v>
      </c>
      <c r="NP240" s="561">
        <v>0</v>
      </c>
      <c r="NQ240" s="561">
        <v>0</v>
      </c>
      <c r="NR240" s="561">
        <v>0</v>
      </c>
      <c r="NS240" s="561">
        <v>0</v>
      </c>
      <c r="NT240" s="561">
        <v>0</v>
      </c>
      <c r="NU240" s="561">
        <v>-23</v>
      </c>
      <c r="NV240" s="561">
        <v>0</v>
      </c>
      <c r="NW240" s="561">
        <v>0</v>
      </c>
      <c r="NX240" s="561">
        <v>0</v>
      </c>
      <c r="NY240" s="561">
        <v>0</v>
      </c>
      <c r="NZ240" s="561">
        <v>0</v>
      </c>
      <c r="OA240" s="561">
        <v>0</v>
      </c>
      <c r="OB240" s="561">
        <v>0</v>
      </c>
      <c r="OC240" s="561">
        <v>0</v>
      </c>
      <c r="OD240" s="561">
        <v>0</v>
      </c>
      <c r="OE240" s="561">
        <v>0</v>
      </c>
      <c r="OF240" s="561">
        <v>0</v>
      </c>
      <c r="OG240" s="561">
        <v>0</v>
      </c>
      <c r="OH240" s="561">
        <v>0</v>
      </c>
      <c r="OI240" s="561">
        <v>0</v>
      </c>
      <c r="OJ240" s="561">
        <v>0</v>
      </c>
      <c r="OK240" s="561">
        <v>0</v>
      </c>
      <c r="OL240" s="561">
        <v>0</v>
      </c>
      <c r="OM240" s="561">
        <v>0</v>
      </c>
      <c r="ON240" s="561">
        <v>0</v>
      </c>
      <c r="OO240" s="561">
        <v>0</v>
      </c>
      <c r="OP240" s="561">
        <v>0</v>
      </c>
      <c r="OQ240" s="561">
        <v>0</v>
      </c>
      <c r="OR240" s="561">
        <v>0</v>
      </c>
      <c r="OS240" s="561">
        <v>0</v>
      </c>
      <c r="OT240" s="561">
        <v>0</v>
      </c>
      <c r="OU240" s="561">
        <v>0</v>
      </c>
      <c r="OV240" s="561">
        <v>0</v>
      </c>
      <c r="OW240" s="561">
        <v>0</v>
      </c>
      <c r="OX240" s="561">
        <v>0</v>
      </c>
      <c r="OY240" s="561">
        <v>0</v>
      </c>
      <c r="OZ240" s="561">
        <v>0</v>
      </c>
      <c r="PA240" s="561">
        <v>0</v>
      </c>
      <c r="PB240" s="561">
        <v>0</v>
      </c>
      <c r="PC240" s="561">
        <v>0</v>
      </c>
      <c r="PD240" s="561">
        <v>0</v>
      </c>
      <c r="PE240" s="561">
        <v>0</v>
      </c>
      <c r="PF240" s="561">
        <v>0</v>
      </c>
      <c r="PG240" s="561">
        <v>0</v>
      </c>
      <c r="PH240" s="561">
        <v>0</v>
      </c>
      <c r="PI240" s="561">
        <v>0</v>
      </c>
      <c r="PJ240" s="561">
        <v>0</v>
      </c>
    </row>
    <row r="241" spans="1:426" ht="14" x14ac:dyDescent="0.3">
      <c r="A241" t="s">
        <v>3166</v>
      </c>
      <c r="B241" t="s">
        <v>3167</v>
      </c>
      <c r="C241" t="s">
        <v>3168</v>
      </c>
      <c r="E241" t="s">
        <v>2466</v>
      </c>
      <c r="F241" s="561">
        <v>0</v>
      </c>
      <c r="G241" s="561">
        <v>0</v>
      </c>
      <c r="H241" s="561">
        <v>0</v>
      </c>
      <c r="I241" s="561">
        <v>0</v>
      </c>
      <c r="J241" s="561">
        <v>0</v>
      </c>
      <c r="K241" s="561">
        <v>86327</v>
      </c>
      <c r="L241" s="561">
        <v>86327</v>
      </c>
      <c r="M241" s="561">
        <v>0</v>
      </c>
      <c r="N241" s="561">
        <v>0</v>
      </c>
      <c r="O241" s="561">
        <v>26067</v>
      </c>
      <c r="P241" s="561">
        <v>0</v>
      </c>
      <c r="Q241" s="561">
        <v>0</v>
      </c>
      <c r="R241" s="561">
        <v>0</v>
      </c>
      <c r="S241" s="561">
        <v>0</v>
      </c>
      <c r="T241" s="561">
        <v>0</v>
      </c>
      <c r="U241" s="561">
        <v>0</v>
      </c>
      <c r="V241" s="561">
        <v>0</v>
      </c>
      <c r="W241" s="561">
        <v>0</v>
      </c>
      <c r="X241" s="561">
        <v>0</v>
      </c>
      <c r="Y241" s="561">
        <v>0</v>
      </c>
      <c r="Z241" s="561">
        <v>0</v>
      </c>
      <c r="AA241" s="561">
        <v>0</v>
      </c>
      <c r="AB241" s="561">
        <v>0</v>
      </c>
      <c r="AC241" s="561">
        <v>49283</v>
      </c>
      <c r="AD241" s="561">
        <v>2987</v>
      </c>
      <c r="AE241" s="561">
        <v>23149</v>
      </c>
      <c r="AF241" s="561">
        <v>47729</v>
      </c>
      <c r="AG241" s="561">
        <v>0</v>
      </c>
      <c r="AH241" s="561">
        <v>6576</v>
      </c>
      <c r="AI241" s="561">
        <v>-6285</v>
      </c>
      <c r="AJ241" s="561">
        <v>149506</v>
      </c>
      <c r="AK241" s="561">
        <v>0</v>
      </c>
      <c r="AL241" s="561">
        <v>0</v>
      </c>
      <c r="AM241" s="561">
        <v>0</v>
      </c>
      <c r="AN241" s="561">
        <v>0</v>
      </c>
      <c r="AO241" s="561">
        <v>0</v>
      </c>
      <c r="AP241" s="561">
        <v>0</v>
      </c>
      <c r="AQ241" s="561">
        <v>0</v>
      </c>
      <c r="AR241" s="561">
        <v>0</v>
      </c>
      <c r="AS241" s="561">
        <v>0</v>
      </c>
      <c r="AT241" s="561">
        <v>0</v>
      </c>
      <c r="AU241" s="561">
        <v>0</v>
      </c>
      <c r="AV241" s="561">
        <v>0</v>
      </c>
      <c r="AW241" s="561">
        <v>0</v>
      </c>
      <c r="AX241" s="561">
        <v>0</v>
      </c>
      <c r="AY241" s="561">
        <v>0</v>
      </c>
      <c r="AZ241" s="561">
        <v>0</v>
      </c>
      <c r="BA241" s="561">
        <v>0</v>
      </c>
      <c r="BB241" s="561">
        <v>0</v>
      </c>
      <c r="BC241" s="561">
        <v>0</v>
      </c>
      <c r="BD241" s="561">
        <v>0</v>
      </c>
      <c r="BE241" s="561">
        <v>0</v>
      </c>
      <c r="BF241" s="561">
        <v>0</v>
      </c>
      <c r="BG241" s="561">
        <v>0</v>
      </c>
      <c r="BH241" s="561">
        <v>0</v>
      </c>
      <c r="BI241" s="561">
        <v>0</v>
      </c>
      <c r="BJ241" s="561">
        <v>0</v>
      </c>
      <c r="BK241" s="561">
        <v>0</v>
      </c>
      <c r="BL241" s="561">
        <v>0</v>
      </c>
      <c r="BM241" s="561">
        <v>0</v>
      </c>
      <c r="BN241" s="561">
        <v>0</v>
      </c>
      <c r="BO241" s="561">
        <v>0</v>
      </c>
      <c r="BP241" s="561">
        <v>0</v>
      </c>
      <c r="BQ241" s="561">
        <v>0</v>
      </c>
      <c r="BR241" s="561">
        <v>0</v>
      </c>
      <c r="BS241" s="561">
        <v>0</v>
      </c>
      <c r="BT241" s="561">
        <v>0</v>
      </c>
      <c r="BU241" s="561">
        <v>0</v>
      </c>
      <c r="BV241" s="561">
        <v>0</v>
      </c>
      <c r="BW241" s="561">
        <v>0</v>
      </c>
      <c r="BX241" s="561">
        <v>0</v>
      </c>
      <c r="BY241" s="561">
        <v>0</v>
      </c>
      <c r="BZ241" s="561">
        <v>0</v>
      </c>
      <c r="CA241" s="561">
        <v>0</v>
      </c>
      <c r="CB241" s="561">
        <v>0</v>
      </c>
      <c r="CC241" s="561">
        <v>0</v>
      </c>
      <c r="CD241" s="561">
        <v>0</v>
      </c>
      <c r="CE241" s="561">
        <v>0</v>
      </c>
      <c r="CF241" s="561">
        <v>0</v>
      </c>
      <c r="CG241" s="561">
        <v>0</v>
      </c>
      <c r="CH241" s="561">
        <v>0</v>
      </c>
      <c r="CI241" s="561">
        <v>0</v>
      </c>
      <c r="CJ241" s="561">
        <v>0</v>
      </c>
      <c r="CK241" s="561">
        <v>0</v>
      </c>
      <c r="CL241" s="561">
        <v>0</v>
      </c>
      <c r="CM241" s="561">
        <v>0</v>
      </c>
      <c r="CN241" s="561">
        <v>0</v>
      </c>
      <c r="CO241" s="561">
        <v>0</v>
      </c>
      <c r="CP241" s="561">
        <v>0</v>
      </c>
      <c r="CQ241" s="561">
        <v>0</v>
      </c>
      <c r="CR241" s="561">
        <v>0</v>
      </c>
      <c r="CS241" s="561">
        <v>0</v>
      </c>
      <c r="CT241" s="561">
        <v>0</v>
      </c>
      <c r="CU241" s="561">
        <v>0</v>
      </c>
      <c r="CV241" s="561">
        <v>0</v>
      </c>
      <c r="CW241" s="561">
        <v>0</v>
      </c>
      <c r="CX241" s="561">
        <v>0</v>
      </c>
      <c r="CY241" s="561">
        <v>0</v>
      </c>
      <c r="CZ241" s="561">
        <v>0</v>
      </c>
      <c r="DA241" s="561">
        <v>0</v>
      </c>
      <c r="DB241" s="561">
        <v>0</v>
      </c>
      <c r="DC241" s="561">
        <v>0</v>
      </c>
      <c r="DD241" s="561">
        <v>0</v>
      </c>
      <c r="DE241" s="561">
        <v>0</v>
      </c>
      <c r="DF241" s="561">
        <v>0</v>
      </c>
      <c r="DG241" s="561">
        <v>0</v>
      </c>
      <c r="DH241" s="561">
        <v>0</v>
      </c>
      <c r="DI241" s="561">
        <v>0</v>
      </c>
      <c r="DJ241" s="561">
        <v>0</v>
      </c>
      <c r="DK241" s="561">
        <v>0</v>
      </c>
      <c r="DL241" s="561">
        <v>0</v>
      </c>
      <c r="DM241" s="561">
        <v>0</v>
      </c>
      <c r="DN241" s="561">
        <v>0</v>
      </c>
      <c r="DO241" s="561">
        <v>0</v>
      </c>
      <c r="DP241" s="561">
        <v>0</v>
      </c>
      <c r="DQ241" s="561">
        <v>0</v>
      </c>
      <c r="DR241" s="561">
        <v>0</v>
      </c>
      <c r="DS241" s="561">
        <v>0</v>
      </c>
      <c r="DT241" s="561">
        <v>0</v>
      </c>
      <c r="DU241" s="561">
        <v>0</v>
      </c>
      <c r="DV241" s="561">
        <v>0</v>
      </c>
      <c r="DW241" s="561">
        <v>0</v>
      </c>
      <c r="DX241" s="561">
        <v>0</v>
      </c>
      <c r="DY241" s="561">
        <v>0</v>
      </c>
      <c r="DZ241" s="561">
        <v>0</v>
      </c>
      <c r="EA241" s="561">
        <v>0</v>
      </c>
      <c r="EB241" s="561">
        <v>0</v>
      </c>
      <c r="EC241" s="561">
        <v>0</v>
      </c>
      <c r="ED241" s="561">
        <v>0</v>
      </c>
      <c r="EE241" s="561">
        <v>0</v>
      </c>
      <c r="EF241" s="561">
        <v>0</v>
      </c>
      <c r="EG241" s="561">
        <v>0</v>
      </c>
      <c r="EH241" s="561">
        <v>0</v>
      </c>
      <c r="EI241" s="561">
        <v>0</v>
      </c>
      <c r="EJ241" s="561">
        <v>0</v>
      </c>
      <c r="EK241" s="561">
        <v>0</v>
      </c>
      <c r="EL241" s="561">
        <v>0</v>
      </c>
      <c r="EM241" s="561">
        <v>0</v>
      </c>
      <c r="EN241" s="561">
        <v>0</v>
      </c>
      <c r="EO241" s="561">
        <v>0</v>
      </c>
      <c r="EP241" s="561">
        <v>0</v>
      </c>
      <c r="EQ241" s="561">
        <v>0</v>
      </c>
      <c r="ER241" s="561">
        <v>0</v>
      </c>
      <c r="ES241" s="561" t="s">
        <v>4565</v>
      </c>
      <c r="ET241" s="561">
        <v>0</v>
      </c>
      <c r="EU241" s="561">
        <v>0</v>
      </c>
      <c r="EV241" s="561">
        <v>0</v>
      </c>
      <c r="EW241" s="561">
        <v>0</v>
      </c>
      <c r="EX241" s="561">
        <v>0</v>
      </c>
      <c r="EY241" s="561">
        <v>0</v>
      </c>
      <c r="EZ241" s="561">
        <v>0</v>
      </c>
      <c r="FA241" s="561">
        <v>0</v>
      </c>
      <c r="FB241" s="561">
        <v>0</v>
      </c>
      <c r="FC241" s="561">
        <v>2261</v>
      </c>
      <c r="FD241" s="561">
        <v>0</v>
      </c>
      <c r="FE241" s="561">
        <v>0</v>
      </c>
      <c r="FF241" s="561">
        <v>0</v>
      </c>
      <c r="FG241" s="561">
        <v>0</v>
      </c>
      <c r="FH241" s="561">
        <v>0</v>
      </c>
      <c r="FI241" s="561">
        <v>0</v>
      </c>
      <c r="FJ241" s="561">
        <v>0</v>
      </c>
      <c r="FK241" s="561">
        <v>0</v>
      </c>
      <c r="FL241" s="561">
        <v>0</v>
      </c>
      <c r="FM241" s="561">
        <v>385</v>
      </c>
      <c r="FN241" s="561">
        <v>0</v>
      </c>
      <c r="FO241" s="561">
        <v>2646</v>
      </c>
      <c r="FP241" s="561">
        <v>0</v>
      </c>
      <c r="FQ241" s="561">
        <v>0</v>
      </c>
      <c r="FR241" s="561">
        <v>0</v>
      </c>
      <c r="FS241" s="561">
        <v>0</v>
      </c>
      <c r="FT241" s="561">
        <v>0</v>
      </c>
      <c r="FU241" s="561">
        <v>0</v>
      </c>
      <c r="FV241" s="561">
        <v>0</v>
      </c>
      <c r="FW241" s="561">
        <v>0</v>
      </c>
      <c r="FX241" s="561">
        <v>0</v>
      </c>
      <c r="FY241" s="561">
        <v>0</v>
      </c>
      <c r="FZ241" s="561">
        <v>0</v>
      </c>
      <c r="GA241" s="561">
        <v>0</v>
      </c>
      <c r="GB241" s="561">
        <v>0</v>
      </c>
      <c r="GC241" s="561">
        <v>0</v>
      </c>
      <c r="GD241" s="561">
        <v>0</v>
      </c>
      <c r="GE241" s="561">
        <v>0</v>
      </c>
      <c r="GF241" s="561">
        <v>0</v>
      </c>
      <c r="GG241" s="561">
        <v>0</v>
      </c>
      <c r="GH241" s="561">
        <v>0</v>
      </c>
      <c r="GI241" s="561">
        <v>0</v>
      </c>
      <c r="GJ241" s="561">
        <v>0</v>
      </c>
      <c r="GK241" s="561">
        <v>0</v>
      </c>
      <c r="GL241" s="561">
        <v>0</v>
      </c>
      <c r="GM241" s="561">
        <v>0</v>
      </c>
      <c r="GN241" s="561">
        <v>0</v>
      </c>
      <c r="GO241" s="561">
        <v>0</v>
      </c>
      <c r="GP241" s="561">
        <v>0</v>
      </c>
      <c r="GQ241" s="561">
        <v>0</v>
      </c>
      <c r="GR241" s="561">
        <v>0</v>
      </c>
      <c r="GS241" s="561">
        <v>0</v>
      </c>
      <c r="GT241" s="561">
        <v>0</v>
      </c>
      <c r="GU241" s="561">
        <v>0</v>
      </c>
      <c r="GV241" s="561">
        <v>0</v>
      </c>
      <c r="GW241" s="561">
        <v>0</v>
      </c>
      <c r="GX241" s="561">
        <v>0</v>
      </c>
      <c r="GY241" s="561">
        <v>1165</v>
      </c>
      <c r="GZ241" s="561">
        <v>41603</v>
      </c>
      <c r="HA241" s="561">
        <v>0</v>
      </c>
      <c r="HB241" s="561">
        <v>0</v>
      </c>
      <c r="HC241" s="561">
        <v>130</v>
      </c>
      <c r="HD241" s="561">
        <v>42898</v>
      </c>
      <c r="HE241" s="561">
        <v>0</v>
      </c>
      <c r="HF241" s="561">
        <v>45544</v>
      </c>
      <c r="HG241" s="561">
        <v>0</v>
      </c>
      <c r="HH241" s="561">
        <v>0</v>
      </c>
      <c r="HI241" s="561">
        <v>0</v>
      </c>
      <c r="HJ241" s="561">
        <v>0</v>
      </c>
      <c r="HK241" s="561">
        <v>0</v>
      </c>
      <c r="HL241" s="561">
        <v>0</v>
      </c>
      <c r="HM241" s="561">
        <v>0</v>
      </c>
      <c r="HN241" s="561">
        <v>0</v>
      </c>
      <c r="HO241" s="561">
        <v>9416</v>
      </c>
      <c r="HP241" s="561">
        <v>0</v>
      </c>
      <c r="HQ241" s="561">
        <v>0</v>
      </c>
      <c r="HR241" s="561">
        <v>0</v>
      </c>
      <c r="HS241" s="561">
        <v>0</v>
      </c>
      <c r="HT241" s="561">
        <v>0</v>
      </c>
      <c r="HU241" s="561">
        <v>0</v>
      </c>
      <c r="HV241" s="561">
        <v>0</v>
      </c>
      <c r="HW241" s="561">
        <v>0</v>
      </c>
      <c r="HX241" s="561">
        <v>0</v>
      </c>
      <c r="HY241" s="561">
        <v>0</v>
      </c>
      <c r="HZ241" s="561">
        <v>0</v>
      </c>
      <c r="IA241" s="561">
        <v>0</v>
      </c>
      <c r="IB241" s="561">
        <v>0</v>
      </c>
      <c r="IC241" s="561">
        <v>0</v>
      </c>
      <c r="ID241" s="561">
        <v>0</v>
      </c>
      <c r="IE241" s="561">
        <v>0</v>
      </c>
      <c r="IF241" s="561">
        <v>0</v>
      </c>
      <c r="IG241" s="561">
        <v>0</v>
      </c>
      <c r="IH241" s="561">
        <v>0</v>
      </c>
      <c r="II241" s="561">
        <v>9416</v>
      </c>
      <c r="IJ241" s="561">
        <v>0</v>
      </c>
      <c r="IK241" s="561">
        <v>0</v>
      </c>
      <c r="IL241" s="561">
        <v>0</v>
      </c>
      <c r="IM241" s="561">
        <v>0</v>
      </c>
      <c r="IN241" s="561">
        <v>0</v>
      </c>
      <c r="IO241" s="561">
        <v>0</v>
      </c>
      <c r="IP241" s="561">
        <v>0</v>
      </c>
      <c r="IQ241" s="561">
        <v>0</v>
      </c>
      <c r="IR241" s="561">
        <v>86327</v>
      </c>
      <c r="IS241" s="561">
        <v>149506</v>
      </c>
      <c r="IT241" s="561">
        <v>0</v>
      </c>
      <c r="IU241" s="561">
        <v>0</v>
      </c>
      <c r="IV241" s="561">
        <v>0</v>
      </c>
      <c r="IW241" s="561">
        <v>0</v>
      </c>
      <c r="IX241" s="561">
        <v>2646</v>
      </c>
      <c r="IY241" s="561">
        <v>0</v>
      </c>
      <c r="IZ241" s="561">
        <v>42898</v>
      </c>
      <c r="JA241" s="561">
        <v>0</v>
      </c>
      <c r="JB241" s="561">
        <v>0</v>
      </c>
      <c r="JC241" s="561">
        <v>9416</v>
      </c>
      <c r="JD241" s="561">
        <v>0</v>
      </c>
      <c r="JE241" s="561">
        <v>290793</v>
      </c>
      <c r="JF241" s="561">
        <v>0</v>
      </c>
      <c r="JG241" s="561">
        <v>0</v>
      </c>
      <c r="JH241" s="561">
        <v>0</v>
      </c>
      <c r="JI241" s="561">
        <v>0</v>
      </c>
      <c r="JJ241" s="561">
        <v>0</v>
      </c>
      <c r="JK241" s="561">
        <v>0</v>
      </c>
      <c r="JL241" s="561">
        <v>-93767</v>
      </c>
      <c r="JM241" s="561">
        <v>0</v>
      </c>
      <c r="JN241" s="561">
        <v>0</v>
      </c>
      <c r="JO241" s="561">
        <v>0</v>
      </c>
      <c r="JP241" s="561">
        <v>0</v>
      </c>
      <c r="JQ241" s="561">
        <v>0</v>
      </c>
      <c r="JR241" s="561">
        <v>0</v>
      </c>
      <c r="JS241" s="561">
        <v>0</v>
      </c>
      <c r="JT241" s="561">
        <v>61</v>
      </c>
      <c r="JU241" s="561">
        <v>0</v>
      </c>
      <c r="JV241" s="561">
        <v>197087</v>
      </c>
      <c r="JW241" s="561">
        <v>0</v>
      </c>
      <c r="JX241" s="561">
        <v>289</v>
      </c>
      <c r="JY241" s="561">
        <v>0</v>
      </c>
      <c r="JZ241" s="561">
        <v>0</v>
      </c>
      <c r="KA241" s="561">
        <v>0</v>
      </c>
      <c r="KB241" s="561">
        <v>0</v>
      </c>
      <c r="KC241" s="561">
        <v>1751</v>
      </c>
      <c r="KD241" s="561">
        <v>0</v>
      </c>
      <c r="KE241" s="561">
        <v>9571</v>
      </c>
      <c r="KF241" s="561">
        <v>0</v>
      </c>
      <c r="KG241" s="561">
        <v>208698</v>
      </c>
      <c r="KH241" s="561">
        <v>-22285</v>
      </c>
      <c r="KI241" s="561">
        <v>0</v>
      </c>
      <c r="KJ241" s="561">
        <v>-1498</v>
      </c>
      <c r="KK241" s="561">
        <v>0</v>
      </c>
      <c r="KL241" s="561">
        <v>0</v>
      </c>
      <c r="KM241" s="561">
        <v>0</v>
      </c>
      <c r="KN241" s="561">
        <v>0</v>
      </c>
      <c r="KO241" s="561">
        <v>0</v>
      </c>
      <c r="KP241" s="561">
        <v>0</v>
      </c>
      <c r="KQ241" s="561">
        <v>0</v>
      </c>
      <c r="KR241" s="561">
        <v>184915</v>
      </c>
      <c r="KS241" s="561">
        <v>0</v>
      </c>
      <c r="KT241" s="561">
        <v>-177229</v>
      </c>
      <c r="KU241" s="561">
        <v>7686</v>
      </c>
      <c r="KV241" s="561">
        <v>0</v>
      </c>
      <c r="KW241" s="561">
        <v>0</v>
      </c>
      <c r="KX241" s="561">
        <v>0</v>
      </c>
      <c r="KY241" s="561">
        <v>0</v>
      </c>
      <c r="KZ241" s="561">
        <v>5997</v>
      </c>
      <c r="LA241" s="561">
        <v>-9175</v>
      </c>
      <c r="LB241" s="561">
        <v>0</v>
      </c>
      <c r="LC241" s="561">
        <v>0</v>
      </c>
      <c r="LD241" s="561">
        <v>-4508</v>
      </c>
      <c r="LE241" s="561">
        <v>0</v>
      </c>
      <c r="LF241" s="561">
        <v>0</v>
      </c>
      <c r="LG241" s="561">
        <v>0</v>
      </c>
      <c r="LH241" s="561">
        <v>0</v>
      </c>
      <c r="LI241" s="561">
        <v>0</v>
      </c>
      <c r="LJ241" s="561">
        <v>0</v>
      </c>
      <c r="LK241" s="561">
        <v>0</v>
      </c>
      <c r="LL241" s="561">
        <v>184559</v>
      </c>
      <c r="LM241" s="561">
        <v>25569</v>
      </c>
      <c r="LN241" s="561">
        <v>0</v>
      </c>
      <c r="LO241" s="561">
        <v>0</v>
      </c>
      <c r="LP241" s="561">
        <v>0</v>
      </c>
      <c r="LQ241" s="561">
        <v>0</v>
      </c>
      <c r="LR241" s="561">
        <v>190556</v>
      </c>
      <c r="LS241" s="561">
        <v>16394</v>
      </c>
      <c r="LT241" s="561">
        <v>0</v>
      </c>
      <c r="LU241" s="561">
        <v>3731</v>
      </c>
      <c r="LV241" s="561">
        <v>0</v>
      </c>
      <c r="LW241" s="561">
        <v>0</v>
      </c>
      <c r="LX241" s="561">
        <v>-151513</v>
      </c>
      <c r="LY241" s="561">
        <v>144301</v>
      </c>
      <c r="LZ241" s="561">
        <v>-3481</v>
      </c>
      <c r="MA241" s="561">
        <v>0</v>
      </c>
      <c r="MB241" s="561">
        <v>0</v>
      </c>
      <c r="MC241" s="561">
        <v>0</v>
      </c>
      <c r="MD241" s="561">
        <v>0</v>
      </c>
      <c r="ME241" s="561">
        <v>0</v>
      </c>
      <c r="MF241" s="561">
        <v>0</v>
      </c>
      <c r="MG241" s="561">
        <v>0</v>
      </c>
      <c r="MH241" s="561">
        <v>0</v>
      </c>
      <c r="MI241" s="561">
        <v>0</v>
      </c>
      <c r="MJ241" s="561">
        <v>0</v>
      </c>
      <c r="MK241" s="561">
        <v>0</v>
      </c>
      <c r="ML241" s="561">
        <v>0</v>
      </c>
      <c r="MM241" s="561">
        <v>190556</v>
      </c>
      <c r="MN241" s="561">
        <v>0</v>
      </c>
      <c r="MO241" s="561">
        <v>0</v>
      </c>
      <c r="MP241" s="561">
        <v>0</v>
      </c>
      <c r="MQ241" s="561">
        <v>86327</v>
      </c>
      <c r="MR241" s="561">
        <v>149506</v>
      </c>
      <c r="MS241" s="561">
        <v>0</v>
      </c>
      <c r="MT241" s="561">
        <v>0</v>
      </c>
      <c r="MU241" s="561">
        <v>0</v>
      </c>
      <c r="MV241" s="561">
        <v>0</v>
      </c>
      <c r="MW241" s="561">
        <v>2646</v>
      </c>
      <c r="MX241" s="561">
        <v>0</v>
      </c>
      <c r="MY241" s="561">
        <v>42898</v>
      </c>
      <c r="MZ241" s="561">
        <v>0</v>
      </c>
      <c r="NA241" s="561">
        <v>0</v>
      </c>
      <c r="NB241" s="561">
        <v>9416</v>
      </c>
      <c r="NC241" s="561">
        <v>0</v>
      </c>
      <c r="ND241" s="561">
        <v>290793</v>
      </c>
      <c r="NE241" s="561">
        <v>0</v>
      </c>
      <c r="NF241" s="561">
        <v>0</v>
      </c>
      <c r="NG241" s="561">
        <v>0</v>
      </c>
      <c r="NH241" s="561">
        <v>0</v>
      </c>
      <c r="NI241" s="561">
        <v>0</v>
      </c>
      <c r="NJ241" s="561">
        <v>0</v>
      </c>
      <c r="NK241" s="561">
        <v>0</v>
      </c>
      <c r="NL241" s="561">
        <v>0</v>
      </c>
      <c r="NM241" s="561">
        <v>0</v>
      </c>
      <c r="NN241" s="561">
        <v>0</v>
      </c>
      <c r="NO241" s="561">
        <v>0</v>
      </c>
      <c r="NP241" s="561">
        <v>0</v>
      </c>
      <c r="NQ241" s="561">
        <v>0</v>
      </c>
      <c r="NR241" s="561">
        <v>0</v>
      </c>
      <c r="NS241" s="561">
        <v>0</v>
      </c>
      <c r="NT241" s="561">
        <v>0</v>
      </c>
      <c r="NU241" s="561">
        <v>0</v>
      </c>
      <c r="NV241" s="561">
        <v>0</v>
      </c>
      <c r="NW241" s="561">
        <v>0</v>
      </c>
      <c r="NX241" s="561">
        <v>0</v>
      </c>
      <c r="NY241" s="561">
        <v>0</v>
      </c>
      <c r="NZ241" s="561">
        <v>0</v>
      </c>
      <c r="OA241" s="561">
        <v>0</v>
      </c>
      <c r="OB241" s="561">
        <v>0</v>
      </c>
      <c r="OC241" s="561">
        <v>0</v>
      </c>
      <c r="OD241" s="561">
        <v>0</v>
      </c>
      <c r="OE241" s="561">
        <v>0</v>
      </c>
      <c r="OF241" s="561">
        <v>0</v>
      </c>
      <c r="OG241" s="561">
        <v>0</v>
      </c>
      <c r="OH241" s="561">
        <v>0</v>
      </c>
      <c r="OI241" s="561">
        <v>0</v>
      </c>
      <c r="OJ241" s="561">
        <v>0</v>
      </c>
      <c r="OK241" s="561">
        <v>0</v>
      </c>
      <c r="OL241" s="561">
        <v>0</v>
      </c>
      <c r="OM241" s="561">
        <v>0</v>
      </c>
      <c r="ON241" s="561">
        <v>0</v>
      </c>
      <c r="OO241" s="561">
        <v>0</v>
      </c>
      <c r="OP241" s="561">
        <v>0</v>
      </c>
      <c r="OQ241" s="561">
        <v>0</v>
      </c>
      <c r="OR241" s="561">
        <v>0</v>
      </c>
      <c r="OS241" s="561">
        <v>0</v>
      </c>
      <c r="OT241" s="561">
        <v>0</v>
      </c>
      <c r="OU241" s="561">
        <v>0</v>
      </c>
      <c r="OV241" s="561">
        <v>0</v>
      </c>
      <c r="OW241" s="561">
        <v>0</v>
      </c>
      <c r="OX241" s="561">
        <v>0</v>
      </c>
      <c r="OY241" s="561">
        <v>0</v>
      </c>
      <c r="OZ241" s="561">
        <v>0</v>
      </c>
      <c r="PA241" s="561">
        <v>0</v>
      </c>
      <c r="PB241" s="561">
        <v>0</v>
      </c>
      <c r="PC241" s="561">
        <v>0</v>
      </c>
      <c r="PD241" s="561">
        <v>0</v>
      </c>
      <c r="PE241" s="561">
        <v>0</v>
      </c>
      <c r="PF241" s="561">
        <v>0</v>
      </c>
      <c r="PG241" s="561">
        <v>0</v>
      </c>
      <c r="PH241" s="561">
        <v>0</v>
      </c>
      <c r="PI241" s="561">
        <v>0</v>
      </c>
      <c r="PJ241" s="561">
        <v>0</v>
      </c>
    </row>
    <row r="242" spans="1:426" ht="14" x14ac:dyDescent="0.3">
      <c r="A242" t="s">
        <v>3169</v>
      </c>
      <c r="B242" t="s">
        <v>3170</v>
      </c>
      <c r="C242" t="s">
        <v>3171</v>
      </c>
      <c r="E242" t="s">
        <v>384</v>
      </c>
      <c r="F242" s="561">
        <v>0</v>
      </c>
      <c r="G242" s="561">
        <v>0</v>
      </c>
      <c r="H242" s="561">
        <v>0</v>
      </c>
      <c r="I242" s="561">
        <v>0</v>
      </c>
      <c r="J242" s="561">
        <v>0</v>
      </c>
      <c r="K242" s="561">
        <v>0</v>
      </c>
      <c r="L242" s="561">
        <v>0</v>
      </c>
      <c r="M242" s="561">
        <v>0</v>
      </c>
      <c r="N242" s="561">
        <v>0</v>
      </c>
      <c r="O242" s="561">
        <v>21</v>
      </c>
      <c r="P242" s="561">
        <v>0</v>
      </c>
      <c r="Q242" s="561">
        <v>254</v>
      </c>
      <c r="R242" s="561">
        <v>0</v>
      </c>
      <c r="S242" s="561">
        <v>0</v>
      </c>
      <c r="T242" s="561">
        <v>0</v>
      </c>
      <c r="U242" s="561">
        <v>0</v>
      </c>
      <c r="V242" s="561">
        <v>0</v>
      </c>
      <c r="W242" s="561">
        <v>0</v>
      </c>
      <c r="X242" s="561">
        <v>0</v>
      </c>
      <c r="Y242" s="561">
        <v>0</v>
      </c>
      <c r="Z242" s="561">
        <v>0</v>
      </c>
      <c r="AA242" s="561">
        <v>47</v>
      </c>
      <c r="AB242" s="561">
        <v>129</v>
      </c>
      <c r="AC242" s="561">
        <v>0</v>
      </c>
      <c r="AD242" s="561">
        <v>0</v>
      </c>
      <c r="AE242" s="561">
        <v>0</v>
      </c>
      <c r="AF242" s="561">
        <v>0</v>
      </c>
      <c r="AG242" s="561">
        <v>0</v>
      </c>
      <c r="AH242" s="561">
        <v>0</v>
      </c>
      <c r="AI242" s="561">
        <v>0</v>
      </c>
      <c r="AJ242" s="561">
        <v>451</v>
      </c>
      <c r="AK242" s="561">
        <v>84</v>
      </c>
      <c r="AL242" s="561">
        <v>0</v>
      </c>
      <c r="AM242" s="561">
        <v>0</v>
      </c>
      <c r="AN242" s="561">
        <v>0</v>
      </c>
      <c r="AO242" s="561">
        <v>0</v>
      </c>
      <c r="AP242" s="561">
        <v>0</v>
      </c>
      <c r="AQ242" s="561">
        <v>0</v>
      </c>
      <c r="AR242" s="561">
        <v>0</v>
      </c>
      <c r="AS242" s="561">
        <v>473</v>
      </c>
      <c r="AT242" s="561">
        <v>195</v>
      </c>
      <c r="AU242" s="561">
        <v>0</v>
      </c>
      <c r="AV242" s="561">
        <v>0</v>
      </c>
      <c r="AW242" s="561">
        <v>0</v>
      </c>
      <c r="AX242" s="561">
        <v>0</v>
      </c>
      <c r="AY242" s="561">
        <v>0</v>
      </c>
      <c r="AZ242" s="561">
        <v>0</v>
      </c>
      <c r="BA242" s="561">
        <v>0</v>
      </c>
      <c r="BB242" s="561">
        <v>0</v>
      </c>
      <c r="BC242" s="561">
        <v>0</v>
      </c>
      <c r="BD242" s="561">
        <v>0</v>
      </c>
      <c r="BE242" s="561">
        <v>0</v>
      </c>
      <c r="BF242" s="561">
        <v>0</v>
      </c>
      <c r="BG242" s="561">
        <v>0</v>
      </c>
      <c r="BH242" s="561">
        <v>0</v>
      </c>
      <c r="BI242" s="561">
        <v>0</v>
      </c>
      <c r="BJ242" s="561">
        <v>0</v>
      </c>
      <c r="BK242" s="561">
        <v>0</v>
      </c>
      <c r="BL242" s="561">
        <v>0</v>
      </c>
      <c r="BM242" s="561">
        <v>0</v>
      </c>
      <c r="BN242" s="561">
        <v>0</v>
      </c>
      <c r="BO242" s="561">
        <v>0</v>
      </c>
      <c r="BP242" s="561">
        <v>0</v>
      </c>
      <c r="BQ242" s="561">
        <v>0</v>
      </c>
      <c r="BR242" s="561">
        <v>0</v>
      </c>
      <c r="BS242" s="561">
        <v>0</v>
      </c>
      <c r="BT242" s="561">
        <v>0</v>
      </c>
      <c r="BU242" s="561">
        <v>0</v>
      </c>
      <c r="BV242" s="561">
        <v>461</v>
      </c>
      <c r="BW242" s="561">
        <v>0</v>
      </c>
      <c r="BX242" s="561">
        <v>0</v>
      </c>
      <c r="BY242" s="561">
        <v>0</v>
      </c>
      <c r="BZ242" s="561">
        <v>461</v>
      </c>
      <c r="CA242" s="561">
        <v>0</v>
      </c>
      <c r="CB242" s="561">
        <v>0</v>
      </c>
      <c r="CC242" s="561">
        <v>0</v>
      </c>
      <c r="CD242" s="561">
        <v>0</v>
      </c>
      <c r="CE242" s="561">
        <v>0</v>
      </c>
      <c r="CF242" s="561">
        <v>0</v>
      </c>
      <c r="CG242" s="561">
        <v>0</v>
      </c>
      <c r="CH242" s="561">
        <v>0</v>
      </c>
      <c r="CI242" s="561">
        <v>0</v>
      </c>
      <c r="CJ242" s="561">
        <v>0</v>
      </c>
      <c r="CK242" s="561">
        <v>0</v>
      </c>
      <c r="CL242" s="561">
        <v>0</v>
      </c>
      <c r="CM242" s="561">
        <v>0</v>
      </c>
      <c r="CN242" s="561">
        <v>0</v>
      </c>
      <c r="CO242" s="561">
        <v>0</v>
      </c>
      <c r="CP242" s="561">
        <v>0</v>
      </c>
      <c r="CQ242" s="561">
        <v>0</v>
      </c>
      <c r="CR242" s="561">
        <v>0</v>
      </c>
      <c r="CS242" s="561">
        <v>0</v>
      </c>
      <c r="CT242" s="561">
        <v>0</v>
      </c>
      <c r="CU242" s="561">
        <v>0</v>
      </c>
      <c r="CV242" s="561">
        <v>0</v>
      </c>
      <c r="CW242" s="561">
        <v>0</v>
      </c>
      <c r="CX242" s="561">
        <v>0</v>
      </c>
      <c r="CY242" s="561">
        <v>170</v>
      </c>
      <c r="CZ242" s="561">
        <v>170</v>
      </c>
      <c r="DA242" s="561">
        <v>0</v>
      </c>
      <c r="DB242" s="561">
        <v>0</v>
      </c>
      <c r="DC242" s="561">
        <v>0</v>
      </c>
      <c r="DD242" s="561">
        <v>0</v>
      </c>
      <c r="DE242" s="561">
        <v>0</v>
      </c>
      <c r="DF242" s="561">
        <v>0</v>
      </c>
      <c r="DG242" s="561">
        <v>0</v>
      </c>
      <c r="DH242" s="561">
        <v>305</v>
      </c>
      <c r="DI242" s="561">
        <v>6</v>
      </c>
      <c r="DJ242" s="561">
        <v>60</v>
      </c>
      <c r="DK242" s="561">
        <v>0</v>
      </c>
      <c r="DL242" s="561">
        <v>0</v>
      </c>
      <c r="DM242" s="561">
        <v>0</v>
      </c>
      <c r="DN242" s="561">
        <v>0</v>
      </c>
      <c r="DO242" s="561">
        <v>210</v>
      </c>
      <c r="DP242" s="561">
        <v>0</v>
      </c>
      <c r="DQ242" s="561">
        <v>0</v>
      </c>
      <c r="DR242" s="561">
        <v>0</v>
      </c>
      <c r="DS242" s="561">
        <v>818</v>
      </c>
      <c r="DT242" s="561">
        <v>866</v>
      </c>
      <c r="DU242" s="561">
        <v>1894</v>
      </c>
      <c r="DV242" s="561">
        <v>0</v>
      </c>
      <c r="DW242" s="561">
        <v>0</v>
      </c>
      <c r="DX242" s="561">
        <v>0</v>
      </c>
      <c r="DY242" s="561">
        <v>707</v>
      </c>
      <c r="DZ242" s="561">
        <v>0</v>
      </c>
      <c r="EA242" s="561">
        <v>0</v>
      </c>
      <c r="EB242" s="561">
        <v>0</v>
      </c>
      <c r="EC242" s="561">
        <v>2972</v>
      </c>
      <c r="ED242" s="561">
        <v>27</v>
      </c>
      <c r="EE242" s="561">
        <v>0</v>
      </c>
      <c r="EF242" s="561">
        <v>0</v>
      </c>
      <c r="EG242" s="561">
        <v>0</v>
      </c>
      <c r="EH242" s="561">
        <v>0</v>
      </c>
      <c r="EI242" s="561">
        <v>0</v>
      </c>
      <c r="EJ242" s="561">
        <v>0</v>
      </c>
      <c r="EK242" s="561">
        <v>0</v>
      </c>
      <c r="EL242" s="561">
        <v>0</v>
      </c>
      <c r="EM242" s="561">
        <v>0</v>
      </c>
      <c r="EN242" s="561">
        <v>0</v>
      </c>
      <c r="EO242" s="561">
        <v>0</v>
      </c>
      <c r="EP242" s="561">
        <v>0</v>
      </c>
      <c r="EQ242" s="561">
        <v>0</v>
      </c>
      <c r="ER242" s="561">
        <v>0</v>
      </c>
      <c r="ES242" s="561" t="s">
        <v>4565</v>
      </c>
      <c r="ET242" s="561">
        <v>0</v>
      </c>
      <c r="EU242" s="561">
        <v>0</v>
      </c>
      <c r="EV242" s="561">
        <v>0</v>
      </c>
      <c r="EW242" s="561">
        <v>0</v>
      </c>
      <c r="EX242" s="561">
        <v>0</v>
      </c>
      <c r="EY242" s="561">
        <v>0</v>
      </c>
      <c r="EZ242" s="561">
        <v>0</v>
      </c>
      <c r="FA242" s="561">
        <v>0</v>
      </c>
      <c r="FB242" s="561">
        <v>0</v>
      </c>
      <c r="FC242" s="561">
        <v>0</v>
      </c>
      <c r="FD242" s="561">
        <v>0</v>
      </c>
      <c r="FE242" s="561">
        <v>750</v>
      </c>
      <c r="FF242" s="561">
        <v>0</v>
      </c>
      <c r="FG242" s="561">
        <v>496</v>
      </c>
      <c r="FH242" s="561">
        <v>0</v>
      </c>
      <c r="FI242" s="561">
        <v>0</v>
      </c>
      <c r="FJ242" s="561">
        <v>-413</v>
      </c>
      <c r="FK242" s="561">
        <v>2777</v>
      </c>
      <c r="FL242" s="561">
        <v>4</v>
      </c>
      <c r="FM242" s="561">
        <v>0</v>
      </c>
      <c r="FN242" s="561">
        <v>0</v>
      </c>
      <c r="FO242" s="561">
        <v>3614</v>
      </c>
      <c r="FP242" s="561">
        <v>0</v>
      </c>
      <c r="FQ242" s="561">
        <v>138</v>
      </c>
      <c r="FR242" s="561">
        <v>0</v>
      </c>
      <c r="FS242" s="561">
        <v>0</v>
      </c>
      <c r="FT242" s="561">
        <v>403</v>
      </c>
      <c r="FU242" s="561">
        <v>356</v>
      </c>
      <c r="FV242" s="561">
        <v>165</v>
      </c>
      <c r="FW242" s="561">
        <v>138</v>
      </c>
      <c r="FX242" s="561">
        <v>0</v>
      </c>
      <c r="FY242" s="561">
        <v>0</v>
      </c>
      <c r="FZ242" s="561">
        <v>26</v>
      </c>
      <c r="GA242" s="561">
        <v>173</v>
      </c>
      <c r="GB242" s="561">
        <v>97</v>
      </c>
      <c r="GC242" s="561">
        <v>329</v>
      </c>
      <c r="GD242" s="561">
        <v>228</v>
      </c>
      <c r="GE242" s="561">
        <v>0</v>
      </c>
      <c r="GF242" s="561">
        <v>169</v>
      </c>
      <c r="GG242" s="561">
        <v>0</v>
      </c>
      <c r="GH242" s="561">
        <v>57</v>
      </c>
      <c r="GI242" s="561">
        <v>9</v>
      </c>
      <c r="GJ242" s="561">
        <v>0</v>
      </c>
      <c r="GK242" s="561">
        <v>0</v>
      </c>
      <c r="GL242" s="561">
        <v>1429</v>
      </c>
      <c r="GM242" s="561">
        <v>2684</v>
      </c>
      <c r="GN242" s="561">
        <v>0</v>
      </c>
      <c r="GO242" s="561">
        <v>-255</v>
      </c>
      <c r="GP242" s="561">
        <v>2329</v>
      </c>
      <c r="GQ242" s="561">
        <v>66</v>
      </c>
      <c r="GR242" s="561">
        <v>0</v>
      </c>
      <c r="GS242" s="561">
        <v>8541</v>
      </c>
      <c r="GT242" s="561">
        <v>339</v>
      </c>
      <c r="GU242" s="561">
        <v>61</v>
      </c>
      <c r="GV242" s="561">
        <v>199</v>
      </c>
      <c r="GW242" s="561">
        <v>0</v>
      </c>
      <c r="GX242" s="561">
        <v>627</v>
      </c>
      <c r="GY242" s="561">
        <v>0</v>
      </c>
      <c r="GZ242" s="561">
        <v>78</v>
      </c>
      <c r="HA242" s="561">
        <v>0</v>
      </c>
      <c r="HB242" s="561">
        <v>-135</v>
      </c>
      <c r="HC242" s="561">
        <v>1398</v>
      </c>
      <c r="HD242" s="561">
        <v>2228</v>
      </c>
      <c r="HE242" s="561">
        <v>281</v>
      </c>
      <c r="HF242" s="561">
        <v>14383</v>
      </c>
      <c r="HG242" s="561">
        <v>620</v>
      </c>
      <c r="HH242" s="561">
        <v>0</v>
      </c>
      <c r="HI242" s="561">
        <v>0</v>
      </c>
      <c r="HJ242" s="561">
        <v>0</v>
      </c>
      <c r="HK242" s="561">
        <v>0</v>
      </c>
      <c r="HL242" s="561">
        <v>0</v>
      </c>
      <c r="HM242" s="561">
        <v>0</v>
      </c>
      <c r="HN242" s="561">
        <v>0</v>
      </c>
      <c r="HO242" s="561">
        <v>1137</v>
      </c>
      <c r="HP242" s="561">
        <v>773</v>
      </c>
      <c r="HQ242" s="561">
        <v>0</v>
      </c>
      <c r="HR242" s="561">
        <v>0</v>
      </c>
      <c r="HS242" s="561">
        <v>0</v>
      </c>
      <c r="HT242" s="561">
        <v>135</v>
      </c>
      <c r="HU242" s="561">
        <v>16</v>
      </c>
      <c r="HV242" s="561">
        <v>0</v>
      </c>
      <c r="HW242" s="561">
        <v>553</v>
      </c>
      <c r="HX242" s="561">
        <v>179</v>
      </c>
      <c r="HY242" s="561">
        <v>98</v>
      </c>
      <c r="HZ242" s="561">
        <v>-72</v>
      </c>
      <c r="IA242" s="561">
        <v>0</v>
      </c>
      <c r="IB242" s="561">
        <v>383</v>
      </c>
      <c r="IC242" s="561">
        <v>0</v>
      </c>
      <c r="ID242" s="561">
        <v>0</v>
      </c>
      <c r="IE242" s="561">
        <v>1027</v>
      </c>
      <c r="IF242" s="561">
        <v>0</v>
      </c>
      <c r="IG242" s="561">
        <v>0</v>
      </c>
      <c r="IH242" s="561">
        <v>0</v>
      </c>
      <c r="II242" s="561">
        <v>4229</v>
      </c>
      <c r="IJ242" s="561">
        <v>462</v>
      </c>
      <c r="IK242" s="561">
        <v>730</v>
      </c>
      <c r="IL242" s="561">
        <v>8211</v>
      </c>
      <c r="IM242" s="561">
        <v>0</v>
      </c>
      <c r="IN242" s="561">
        <v>0</v>
      </c>
      <c r="IO242" s="561">
        <v>170</v>
      </c>
      <c r="IP242" s="561">
        <v>0</v>
      </c>
      <c r="IQ242" s="561">
        <v>0</v>
      </c>
      <c r="IR242" s="561">
        <v>0</v>
      </c>
      <c r="IS242" s="561">
        <v>451</v>
      </c>
      <c r="IT242" s="561">
        <v>0</v>
      </c>
      <c r="IU242" s="561">
        <v>461</v>
      </c>
      <c r="IV242" s="561">
        <v>170</v>
      </c>
      <c r="IW242" s="561">
        <v>2972</v>
      </c>
      <c r="IX242" s="561">
        <v>3614</v>
      </c>
      <c r="IY242" s="561">
        <v>8541</v>
      </c>
      <c r="IZ242" s="561">
        <v>2228</v>
      </c>
      <c r="JA242" s="561">
        <v>0</v>
      </c>
      <c r="JB242" s="561">
        <v>0</v>
      </c>
      <c r="JC242" s="561">
        <v>4229</v>
      </c>
      <c r="JD242" s="561">
        <v>0</v>
      </c>
      <c r="JE242" s="561">
        <v>22666</v>
      </c>
      <c r="JF242" s="561">
        <v>22463</v>
      </c>
      <c r="JG242" s="561">
        <v>0</v>
      </c>
      <c r="JH242" s="561">
        <v>0</v>
      </c>
      <c r="JI242" s="561">
        <v>0</v>
      </c>
      <c r="JJ242" s="561">
        <v>0</v>
      </c>
      <c r="JK242" s="561">
        <v>1476</v>
      </c>
      <c r="JL242" s="561">
        <v>0</v>
      </c>
      <c r="JM242" s="561">
        <v>0</v>
      </c>
      <c r="JN242" s="561">
        <v>0</v>
      </c>
      <c r="JO242" s="561">
        <v>0</v>
      </c>
      <c r="JP242" s="561">
        <v>0</v>
      </c>
      <c r="JQ242" s="561">
        <v>0</v>
      </c>
      <c r="JR242" s="561">
        <v>0</v>
      </c>
      <c r="JS242" s="561">
        <v>0</v>
      </c>
      <c r="JT242" s="561">
        <v>-31</v>
      </c>
      <c r="JU242" s="561">
        <v>0</v>
      </c>
      <c r="JV242" s="561">
        <v>46574</v>
      </c>
      <c r="JW242" s="561">
        <v>0</v>
      </c>
      <c r="JX242" s="561">
        <v>0</v>
      </c>
      <c r="JY242" s="561">
        <v>0</v>
      </c>
      <c r="JZ242" s="561">
        <v>0</v>
      </c>
      <c r="KA242" s="561">
        <v>0</v>
      </c>
      <c r="KB242" s="561">
        <v>888</v>
      </c>
      <c r="KC242" s="561">
        <v>5</v>
      </c>
      <c r="KD242" s="561">
        <v>161</v>
      </c>
      <c r="KE242" s="561">
        <v>36</v>
      </c>
      <c r="KF242" s="561">
        <v>0</v>
      </c>
      <c r="KG242" s="561">
        <v>47664</v>
      </c>
      <c r="KH242" s="561">
        <v>-4001</v>
      </c>
      <c r="KI242" s="561">
        <v>0</v>
      </c>
      <c r="KJ242" s="561">
        <v>0</v>
      </c>
      <c r="KK242" s="561">
        <v>0</v>
      </c>
      <c r="KL242" s="561">
        <v>-22096</v>
      </c>
      <c r="KM242" s="561">
        <v>0</v>
      </c>
      <c r="KN242" s="561">
        <v>0</v>
      </c>
      <c r="KO242" s="561">
        <v>0</v>
      </c>
      <c r="KP242" s="561">
        <v>0</v>
      </c>
      <c r="KQ242" s="561">
        <v>0</v>
      </c>
      <c r="KR242" s="561">
        <v>21567</v>
      </c>
      <c r="KS242" s="561">
        <v>0</v>
      </c>
      <c r="KT242" s="561">
        <v>-4061</v>
      </c>
      <c r="KU242" s="561">
        <v>17506</v>
      </c>
      <c r="KV242" s="561">
        <v>0</v>
      </c>
      <c r="KW242" s="561">
        <v>0</v>
      </c>
      <c r="KX242" s="561">
        <v>0</v>
      </c>
      <c r="KY242" s="561">
        <v>0</v>
      </c>
      <c r="KZ242" s="561">
        <v>1011</v>
      </c>
      <c r="LA242" s="561">
        <v>2009</v>
      </c>
      <c r="LB242" s="561">
        <v>-162</v>
      </c>
      <c r="LC242" s="561">
        <v>0</v>
      </c>
      <c r="LD242" s="561">
        <v>-5765</v>
      </c>
      <c r="LE242" s="561">
        <v>24</v>
      </c>
      <c r="LF242" s="561">
        <v>0</v>
      </c>
      <c r="LG242" s="561">
        <v>14623</v>
      </c>
      <c r="LH242" s="561">
        <v>0</v>
      </c>
      <c r="LI242" s="561">
        <v>0</v>
      </c>
      <c r="LJ242" s="561">
        <v>0</v>
      </c>
      <c r="LK242" s="561">
        <v>0</v>
      </c>
      <c r="LL242" s="561">
        <v>12689</v>
      </c>
      <c r="LM242" s="561">
        <v>14058</v>
      </c>
      <c r="LN242" s="561">
        <v>0</v>
      </c>
      <c r="LO242" s="561">
        <v>0</v>
      </c>
      <c r="LP242" s="561">
        <v>0</v>
      </c>
      <c r="LQ242" s="561">
        <v>0</v>
      </c>
      <c r="LR242" s="561">
        <v>13700</v>
      </c>
      <c r="LS242" s="561">
        <v>16067</v>
      </c>
      <c r="LT242" s="561">
        <v>0</v>
      </c>
      <c r="LU242" s="561">
        <v>4748</v>
      </c>
      <c r="LV242" s="561">
        <v>0</v>
      </c>
      <c r="LW242" s="561">
        <v>-148</v>
      </c>
      <c r="LX242" s="561">
        <v>-7636</v>
      </c>
      <c r="LY242" s="561">
        <v>1471</v>
      </c>
      <c r="LZ242" s="561">
        <v>-2454</v>
      </c>
      <c r="MA242" s="561">
        <v>0</v>
      </c>
      <c r="MB242" s="561">
        <v>0</v>
      </c>
      <c r="MC242" s="561">
        <v>0</v>
      </c>
      <c r="MD242" s="561">
        <v>0</v>
      </c>
      <c r="ME242" s="561">
        <v>0</v>
      </c>
      <c r="MF242" s="561">
        <v>0</v>
      </c>
      <c r="MG242" s="561">
        <v>0</v>
      </c>
      <c r="MH242" s="561">
        <v>3249</v>
      </c>
      <c r="MI242" s="561">
        <v>7754</v>
      </c>
      <c r="MJ242" s="561">
        <v>11003</v>
      </c>
      <c r="MK242" s="561">
        <v>39</v>
      </c>
      <c r="ML242" s="561">
        <v>0</v>
      </c>
      <c r="MM242" s="561">
        <v>7439</v>
      </c>
      <c r="MN242" s="561">
        <v>34</v>
      </c>
      <c r="MO242" s="561">
        <v>6227</v>
      </c>
      <c r="MP242" s="561">
        <v>0</v>
      </c>
      <c r="MQ242" s="561">
        <v>0</v>
      </c>
      <c r="MR242" s="561">
        <v>451</v>
      </c>
      <c r="MS242" s="561">
        <v>0</v>
      </c>
      <c r="MT242" s="561">
        <v>461</v>
      </c>
      <c r="MU242" s="561">
        <v>170</v>
      </c>
      <c r="MV242" s="561">
        <v>2972</v>
      </c>
      <c r="MW242" s="561">
        <v>3614</v>
      </c>
      <c r="MX242" s="561">
        <v>8541</v>
      </c>
      <c r="MY242" s="561">
        <v>2228</v>
      </c>
      <c r="MZ242" s="561">
        <v>0</v>
      </c>
      <c r="NA242" s="561">
        <v>0</v>
      </c>
      <c r="NB242" s="561">
        <v>4229</v>
      </c>
      <c r="NC242" s="561">
        <v>0</v>
      </c>
      <c r="ND242" s="561">
        <v>22666</v>
      </c>
      <c r="NE242" s="561">
        <v>0</v>
      </c>
      <c r="NF242" s="561">
        <v>0</v>
      </c>
      <c r="NG242" s="561">
        <v>0</v>
      </c>
      <c r="NH242" s="561">
        <v>0</v>
      </c>
      <c r="NI242" s="561">
        <v>0</v>
      </c>
      <c r="NJ242" s="561">
        <v>0</v>
      </c>
      <c r="NK242" s="561">
        <v>0</v>
      </c>
      <c r="NL242" s="561">
        <v>0</v>
      </c>
      <c r="NM242" s="561">
        <v>0</v>
      </c>
      <c r="NN242" s="561">
        <v>0</v>
      </c>
      <c r="NO242" s="561">
        <v>0</v>
      </c>
      <c r="NP242" s="561">
        <v>0</v>
      </c>
      <c r="NQ242" s="561">
        <v>0</v>
      </c>
      <c r="NR242" s="561">
        <v>0</v>
      </c>
      <c r="NS242" s="561">
        <v>0</v>
      </c>
      <c r="NT242" s="561">
        <v>0</v>
      </c>
      <c r="NU242" s="561">
        <v>0</v>
      </c>
      <c r="NV242" s="561">
        <v>0</v>
      </c>
      <c r="NW242" s="561">
        <v>0</v>
      </c>
      <c r="NX242" s="561">
        <v>0</v>
      </c>
      <c r="NY242" s="561">
        <v>0</v>
      </c>
      <c r="NZ242" s="561">
        <v>0</v>
      </c>
      <c r="OA242" s="561">
        <v>0</v>
      </c>
      <c r="OB242" s="561">
        <v>0</v>
      </c>
      <c r="OC242" s="561">
        <v>0</v>
      </c>
      <c r="OD242" s="561">
        <v>0</v>
      </c>
      <c r="OE242" s="561">
        <v>0</v>
      </c>
      <c r="OF242" s="561">
        <v>0</v>
      </c>
      <c r="OG242" s="561">
        <v>0</v>
      </c>
      <c r="OH242" s="561">
        <v>0</v>
      </c>
      <c r="OI242" s="561">
        <v>0</v>
      </c>
      <c r="OJ242" s="561">
        <v>0</v>
      </c>
      <c r="OK242" s="561">
        <v>0</v>
      </c>
      <c r="OL242" s="561">
        <v>0</v>
      </c>
      <c r="OM242" s="561">
        <v>0</v>
      </c>
      <c r="ON242" s="561">
        <v>0</v>
      </c>
      <c r="OO242" s="561">
        <v>0</v>
      </c>
      <c r="OP242" s="561">
        <v>0</v>
      </c>
      <c r="OQ242" s="561">
        <v>0</v>
      </c>
      <c r="OR242" s="561">
        <v>0</v>
      </c>
      <c r="OS242" s="561">
        <v>0</v>
      </c>
      <c r="OT242" s="561">
        <v>0</v>
      </c>
      <c r="OU242" s="561">
        <v>0</v>
      </c>
      <c r="OV242" s="561">
        <v>0</v>
      </c>
      <c r="OW242" s="561">
        <v>0</v>
      </c>
      <c r="OX242" s="561">
        <v>0</v>
      </c>
      <c r="OY242" s="561">
        <v>0</v>
      </c>
      <c r="OZ242" s="561">
        <v>0</v>
      </c>
      <c r="PA242" s="561">
        <v>0</v>
      </c>
      <c r="PB242" s="561">
        <v>0</v>
      </c>
      <c r="PC242" s="561">
        <v>0</v>
      </c>
      <c r="PD242" s="561">
        <v>0</v>
      </c>
      <c r="PE242" s="561">
        <v>0</v>
      </c>
      <c r="PF242" s="561">
        <v>0</v>
      </c>
      <c r="PG242" s="561">
        <v>0</v>
      </c>
      <c r="PH242" s="561">
        <v>0</v>
      </c>
      <c r="PI242" s="561">
        <v>0</v>
      </c>
      <c r="PJ242" s="561">
        <v>0</v>
      </c>
    </row>
    <row r="243" spans="1:426" ht="14" x14ac:dyDescent="0.3">
      <c r="A243" t="s">
        <v>3172</v>
      </c>
      <c r="B243" t="s">
        <v>3173</v>
      </c>
      <c r="C243" t="s">
        <v>3174</v>
      </c>
      <c r="E243" t="s">
        <v>384</v>
      </c>
      <c r="F243" s="561">
        <v>0</v>
      </c>
      <c r="G243" s="561">
        <v>0</v>
      </c>
      <c r="H243" s="561">
        <v>0</v>
      </c>
      <c r="I243" s="561">
        <v>0</v>
      </c>
      <c r="J243" s="561">
        <v>0</v>
      </c>
      <c r="K243" s="561">
        <v>0</v>
      </c>
      <c r="L243" s="561">
        <v>0</v>
      </c>
      <c r="M243" s="561">
        <v>0</v>
      </c>
      <c r="N243" s="561">
        <v>0</v>
      </c>
      <c r="O243" s="561">
        <v>0</v>
      </c>
      <c r="P243" s="561">
        <v>0</v>
      </c>
      <c r="Q243" s="561">
        <v>0</v>
      </c>
      <c r="R243" s="561">
        <v>0</v>
      </c>
      <c r="S243" s="561">
        <v>0</v>
      </c>
      <c r="T243" s="561">
        <v>0</v>
      </c>
      <c r="U243" s="561">
        <v>0</v>
      </c>
      <c r="V243" s="561">
        <v>174</v>
      </c>
      <c r="W243" s="561">
        <v>0</v>
      </c>
      <c r="X243" s="561">
        <v>0</v>
      </c>
      <c r="Y243" s="561">
        <v>0</v>
      </c>
      <c r="Z243" s="561">
        <v>0</v>
      </c>
      <c r="AA243" s="561">
        <v>0</v>
      </c>
      <c r="AB243" s="561">
        <v>6</v>
      </c>
      <c r="AC243" s="561">
        <v>0</v>
      </c>
      <c r="AD243" s="561">
        <v>0</v>
      </c>
      <c r="AE243" s="561">
        <v>20</v>
      </c>
      <c r="AF243" s="561">
        <v>0</v>
      </c>
      <c r="AG243" s="561">
        <v>0</v>
      </c>
      <c r="AH243" s="561">
        <v>0</v>
      </c>
      <c r="AI243" s="561">
        <v>0</v>
      </c>
      <c r="AJ243" s="561">
        <v>200</v>
      </c>
      <c r="AK243" s="561">
        <v>0</v>
      </c>
      <c r="AL243" s="561">
        <v>0</v>
      </c>
      <c r="AM243" s="561">
        <v>0</v>
      </c>
      <c r="AN243" s="561">
        <v>0</v>
      </c>
      <c r="AO243" s="561">
        <v>0</v>
      </c>
      <c r="AP243" s="561">
        <v>0</v>
      </c>
      <c r="AQ243" s="561">
        <v>0</v>
      </c>
      <c r="AR243" s="561">
        <v>0</v>
      </c>
      <c r="AS243" s="561">
        <v>0</v>
      </c>
      <c r="AT243" s="561">
        <v>0</v>
      </c>
      <c r="AU243" s="561">
        <v>0</v>
      </c>
      <c r="AV243" s="561">
        <v>0</v>
      </c>
      <c r="AW243" s="561">
        <v>0</v>
      </c>
      <c r="AX243" s="561">
        <v>0</v>
      </c>
      <c r="AY243" s="561">
        <v>0</v>
      </c>
      <c r="AZ243" s="561">
        <v>0</v>
      </c>
      <c r="BA243" s="561">
        <v>0</v>
      </c>
      <c r="BB243" s="561">
        <v>0</v>
      </c>
      <c r="BC243" s="561">
        <v>0</v>
      </c>
      <c r="BD243" s="561">
        <v>0</v>
      </c>
      <c r="BE243" s="561">
        <v>0</v>
      </c>
      <c r="BF243" s="561">
        <v>0</v>
      </c>
      <c r="BG243" s="561">
        <v>0</v>
      </c>
      <c r="BH243" s="561">
        <v>0</v>
      </c>
      <c r="BI243" s="561">
        <v>0</v>
      </c>
      <c r="BJ243" s="561">
        <v>0</v>
      </c>
      <c r="BK243" s="561">
        <v>0</v>
      </c>
      <c r="BL243" s="561">
        <v>0</v>
      </c>
      <c r="BM243" s="561">
        <v>0</v>
      </c>
      <c r="BN243" s="561">
        <v>0</v>
      </c>
      <c r="BO243" s="561">
        <v>0</v>
      </c>
      <c r="BP243" s="561">
        <v>0</v>
      </c>
      <c r="BQ243" s="561">
        <v>0</v>
      </c>
      <c r="BR243" s="561">
        <v>0</v>
      </c>
      <c r="BS243" s="561">
        <v>4</v>
      </c>
      <c r="BT243" s="561">
        <v>0</v>
      </c>
      <c r="BU243" s="561">
        <v>0</v>
      </c>
      <c r="BV243" s="561">
        <v>0</v>
      </c>
      <c r="BW243" s="561">
        <v>0</v>
      </c>
      <c r="BX243" s="561">
        <v>0</v>
      </c>
      <c r="BY243" s="561">
        <v>0</v>
      </c>
      <c r="BZ243" s="561">
        <v>4</v>
      </c>
      <c r="CA243" s="561">
        <v>0</v>
      </c>
      <c r="CB243" s="561">
        <v>0</v>
      </c>
      <c r="CC243" s="561">
        <v>0</v>
      </c>
      <c r="CD243" s="561">
        <v>0</v>
      </c>
      <c r="CE243" s="561">
        <v>0</v>
      </c>
      <c r="CF243" s="561">
        <v>0</v>
      </c>
      <c r="CG243" s="561">
        <v>0</v>
      </c>
      <c r="CH243" s="561">
        <v>0</v>
      </c>
      <c r="CI243" s="561">
        <v>0</v>
      </c>
      <c r="CJ243" s="561">
        <v>0</v>
      </c>
      <c r="CK243" s="561">
        <v>0</v>
      </c>
      <c r="CL243" s="561">
        <v>0</v>
      </c>
      <c r="CM243" s="561">
        <v>0</v>
      </c>
      <c r="CN243" s="561">
        <v>0</v>
      </c>
      <c r="CO243" s="561">
        <v>0</v>
      </c>
      <c r="CP243" s="561">
        <v>0</v>
      </c>
      <c r="CQ243" s="561">
        <v>0</v>
      </c>
      <c r="CR243" s="561">
        <v>0</v>
      </c>
      <c r="CS243" s="561">
        <v>0</v>
      </c>
      <c r="CT243" s="561">
        <v>0</v>
      </c>
      <c r="CU243" s="561">
        <v>0</v>
      </c>
      <c r="CV243" s="561">
        <v>0</v>
      </c>
      <c r="CW243" s="561">
        <v>0</v>
      </c>
      <c r="CX243" s="561">
        <v>0</v>
      </c>
      <c r="CY243" s="561">
        <v>0</v>
      </c>
      <c r="CZ243" s="561">
        <v>0</v>
      </c>
      <c r="DA243" s="561">
        <v>0</v>
      </c>
      <c r="DB243" s="561">
        <v>0</v>
      </c>
      <c r="DC243" s="561">
        <v>0</v>
      </c>
      <c r="DD243" s="561">
        <v>0</v>
      </c>
      <c r="DE243" s="561">
        <v>0</v>
      </c>
      <c r="DF243" s="561">
        <v>0</v>
      </c>
      <c r="DG243" s="561">
        <v>0</v>
      </c>
      <c r="DH243" s="561">
        <v>187</v>
      </c>
      <c r="DI243" s="561">
        <v>0</v>
      </c>
      <c r="DJ243" s="561">
        <v>51</v>
      </c>
      <c r="DK243" s="561">
        <v>-1027</v>
      </c>
      <c r="DL243" s="561">
        <v>0</v>
      </c>
      <c r="DM243" s="561">
        <v>0</v>
      </c>
      <c r="DN243" s="561">
        <v>0</v>
      </c>
      <c r="DO243" s="561">
        <v>145</v>
      </c>
      <c r="DP243" s="561">
        <v>19</v>
      </c>
      <c r="DQ243" s="561">
        <v>-25</v>
      </c>
      <c r="DR243" s="561">
        <v>0</v>
      </c>
      <c r="DS243" s="561">
        <v>499</v>
      </c>
      <c r="DT243" s="561">
        <v>0</v>
      </c>
      <c r="DU243" s="561">
        <v>638</v>
      </c>
      <c r="DV243" s="561">
        <v>85</v>
      </c>
      <c r="DW243" s="561">
        <v>0</v>
      </c>
      <c r="DX243" s="561">
        <v>0</v>
      </c>
      <c r="DY243" s="561">
        <v>626</v>
      </c>
      <c r="DZ243" s="561">
        <v>-75</v>
      </c>
      <c r="EA243" s="561">
        <v>4</v>
      </c>
      <c r="EB243" s="561">
        <v>0</v>
      </c>
      <c r="EC243" s="561">
        <v>489</v>
      </c>
      <c r="ED243" s="561">
        <v>0</v>
      </c>
      <c r="EE243" s="561">
        <v>19218</v>
      </c>
      <c r="EF243" s="561">
        <v>0</v>
      </c>
      <c r="EG243" s="561">
        <v>366</v>
      </c>
      <c r="EH243" s="561">
        <v>53</v>
      </c>
      <c r="EI243" s="561">
        <v>113</v>
      </c>
      <c r="EJ243" s="561">
        <v>165</v>
      </c>
      <c r="EK243" s="561">
        <v>0</v>
      </c>
      <c r="EL243" s="561">
        <v>0</v>
      </c>
      <c r="EM243" s="561">
        <v>11</v>
      </c>
      <c r="EN243" s="561">
        <v>7705</v>
      </c>
      <c r="EO243" s="561">
        <v>4260</v>
      </c>
      <c r="EP243" s="561">
        <v>557</v>
      </c>
      <c r="EQ243" s="561">
        <v>325</v>
      </c>
      <c r="ER243" s="561">
        <v>1924</v>
      </c>
      <c r="ES243" s="561" t="s">
        <v>4565</v>
      </c>
      <c r="ET243" s="561">
        <v>2085</v>
      </c>
      <c r="EU243" s="561">
        <v>0</v>
      </c>
      <c r="EV243" s="561">
        <v>95</v>
      </c>
      <c r="EW243" s="561">
        <v>0</v>
      </c>
      <c r="EX243" s="561">
        <v>3231</v>
      </c>
      <c r="EY243" s="561">
        <v>112</v>
      </c>
      <c r="EZ243" s="561">
        <v>-368</v>
      </c>
      <c r="FA243" s="561">
        <v>1113</v>
      </c>
      <c r="FB243" s="561">
        <v>0</v>
      </c>
      <c r="FC243" s="561">
        <v>334</v>
      </c>
      <c r="FD243" s="561">
        <v>168</v>
      </c>
      <c r="FE243" s="561">
        <v>242</v>
      </c>
      <c r="FF243" s="561">
        <v>0</v>
      </c>
      <c r="FG243" s="561">
        <v>0</v>
      </c>
      <c r="FH243" s="561">
        <v>0</v>
      </c>
      <c r="FI243" s="561">
        <v>0</v>
      </c>
      <c r="FJ243" s="561">
        <v>23</v>
      </c>
      <c r="FK243" s="561">
        <v>140</v>
      </c>
      <c r="FL243" s="561">
        <v>0</v>
      </c>
      <c r="FM243" s="561">
        <v>450</v>
      </c>
      <c r="FN243" s="561">
        <v>0</v>
      </c>
      <c r="FO243" s="561">
        <v>1357</v>
      </c>
      <c r="FP243" s="561">
        <v>0</v>
      </c>
      <c r="FQ243" s="561">
        <v>1</v>
      </c>
      <c r="FR243" s="561">
        <v>0</v>
      </c>
      <c r="FS243" s="561">
        <v>0</v>
      </c>
      <c r="FT243" s="561">
        <v>247</v>
      </c>
      <c r="FU243" s="561">
        <v>405</v>
      </c>
      <c r="FV243" s="561">
        <v>197</v>
      </c>
      <c r="FW243" s="561">
        <v>120</v>
      </c>
      <c r="FX243" s="561">
        <v>0</v>
      </c>
      <c r="FY243" s="561">
        <v>0</v>
      </c>
      <c r="FZ243" s="561">
        <v>55</v>
      </c>
      <c r="GA243" s="561">
        <v>1</v>
      </c>
      <c r="GB243" s="561">
        <v>23</v>
      </c>
      <c r="GC243" s="561">
        <v>205</v>
      </c>
      <c r="GD243" s="561">
        <v>0</v>
      </c>
      <c r="GE243" s="561">
        <v>202</v>
      </c>
      <c r="GF243" s="561">
        <v>-36</v>
      </c>
      <c r="GG243" s="561">
        <v>13</v>
      </c>
      <c r="GH243" s="561">
        <v>0</v>
      </c>
      <c r="GI243" s="561">
        <v>944</v>
      </c>
      <c r="GJ243" s="561">
        <v>0</v>
      </c>
      <c r="GK243" s="561">
        <v>0</v>
      </c>
      <c r="GL243" s="561">
        <v>421</v>
      </c>
      <c r="GM243" s="561">
        <v>1485</v>
      </c>
      <c r="GN243" s="561">
        <v>0</v>
      </c>
      <c r="GO243" s="561">
        <v>0</v>
      </c>
      <c r="GP243" s="561">
        <v>1651</v>
      </c>
      <c r="GQ243" s="561">
        <v>0</v>
      </c>
      <c r="GR243" s="561">
        <v>0</v>
      </c>
      <c r="GS243" s="561">
        <v>5934</v>
      </c>
      <c r="GT243" s="561">
        <v>102</v>
      </c>
      <c r="GU243" s="561">
        <v>279</v>
      </c>
      <c r="GV243" s="561">
        <v>1082</v>
      </c>
      <c r="GW243" s="561">
        <v>0</v>
      </c>
      <c r="GX243" s="561">
        <v>304</v>
      </c>
      <c r="GY243" s="561">
        <v>314</v>
      </c>
      <c r="GZ243" s="561">
        <v>-111</v>
      </c>
      <c r="HA243" s="561">
        <v>0</v>
      </c>
      <c r="HB243" s="561">
        <v>0</v>
      </c>
      <c r="HC243" s="561">
        <v>387</v>
      </c>
      <c r="HD243" s="561">
        <v>2255</v>
      </c>
      <c r="HE243" s="561">
        <v>0</v>
      </c>
      <c r="HF243" s="561">
        <v>9546</v>
      </c>
      <c r="HG243" s="561">
        <v>102</v>
      </c>
      <c r="HH243" s="561">
        <v>0</v>
      </c>
      <c r="HI243" s="561">
        <v>0</v>
      </c>
      <c r="HJ243" s="561">
        <v>0</v>
      </c>
      <c r="HK243" s="561">
        <v>0</v>
      </c>
      <c r="HL243" s="561">
        <v>0</v>
      </c>
      <c r="HM243" s="561">
        <v>0</v>
      </c>
      <c r="HN243" s="561">
        <v>0</v>
      </c>
      <c r="HO243" s="561">
        <v>4546</v>
      </c>
      <c r="HP243" s="561">
        <v>426</v>
      </c>
      <c r="HQ243" s="561">
        <v>0</v>
      </c>
      <c r="HR243" s="561">
        <v>0</v>
      </c>
      <c r="HS243" s="561">
        <v>0</v>
      </c>
      <c r="HT243" s="561">
        <v>219</v>
      </c>
      <c r="HU243" s="561">
        <v>0</v>
      </c>
      <c r="HV243" s="561">
        <v>0</v>
      </c>
      <c r="HW243" s="561">
        <v>344</v>
      </c>
      <c r="HX243" s="561">
        <v>116</v>
      </c>
      <c r="HY243" s="561">
        <v>247</v>
      </c>
      <c r="HZ243" s="561">
        <v>148</v>
      </c>
      <c r="IA243" s="561">
        <v>0</v>
      </c>
      <c r="IB243" s="561">
        <v>0</v>
      </c>
      <c r="IC243" s="561">
        <v>0</v>
      </c>
      <c r="ID243" s="561">
        <v>0</v>
      </c>
      <c r="IE243" s="561">
        <v>340</v>
      </c>
      <c r="IF243" s="561">
        <v>0</v>
      </c>
      <c r="IG243" s="561">
        <v>0</v>
      </c>
      <c r="IH243" s="561">
        <v>-3</v>
      </c>
      <c r="II243" s="561">
        <v>6383</v>
      </c>
      <c r="IJ243" s="561">
        <v>468</v>
      </c>
      <c r="IK243" s="561">
        <v>6190</v>
      </c>
      <c r="IL243" s="561">
        <v>3600</v>
      </c>
      <c r="IM243" s="561">
        <v>0</v>
      </c>
      <c r="IN243" s="561">
        <v>1556</v>
      </c>
      <c r="IO243" s="561">
        <v>421</v>
      </c>
      <c r="IP243" s="561">
        <v>0</v>
      </c>
      <c r="IQ243" s="561">
        <v>0</v>
      </c>
      <c r="IR243" s="561">
        <v>0</v>
      </c>
      <c r="IS243" s="561">
        <v>200</v>
      </c>
      <c r="IT243" s="561">
        <v>0</v>
      </c>
      <c r="IU243" s="561">
        <v>4</v>
      </c>
      <c r="IV243" s="561">
        <v>0</v>
      </c>
      <c r="IW243" s="561">
        <v>489</v>
      </c>
      <c r="IX243" s="561">
        <v>1357</v>
      </c>
      <c r="IY243" s="561">
        <v>5934</v>
      </c>
      <c r="IZ243" s="561">
        <v>2255</v>
      </c>
      <c r="JA243" s="561">
        <v>0</v>
      </c>
      <c r="JB243" s="561">
        <v>0</v>
      </c>
      <c r="JC243" s="561">
        <v>6383</v>
      </c>
      <c r="JD243" s="561">
        <v>0</v>
      </c>
      <c r="JE243" s="561">
        <v>16622</v>
      </c>
      <c r="JF243" s="561">
        <v>7257</v>
      </c>
      <c r="JG243" s="561">
        <v>0</v>
      </c>
      <c r="JH243" s="561">
        <v>5672</v>
      </c>
      <c r="JI243" s="561">
        <v>0</v>
      </c>
      <c r="JJ243" s="561">
        <v>0</v>
      </c>
      <c r="JK243" s="561">
        <v>4504</v>
      </c>
      <c r="JL243" s="561">
        <v>0</v>
      </c>
      <c r="JM243" s="561">
        <v>0</v>
      </c>
      <c r="JN243" s="561">
        <v>0</v>
      </c>
      <c r="JO243" s="561">
        <v>0</v>
      </c>
      <c r="JP243" s="561">
        <v>0</v>
      </c>
      <c r="JQ243" s="561">
        <v>0</v>
      </c>
      <c r="JR243" s="561">
        <v>0</v>
      </c>
      <c r="JS243" s="561">
        <v>0</v>
      </c>
      <c r="JT243" s="561">
        <v>0</v>
      </c>
      <c r="JU243" s="561">
        <v>0</v>
      </c>
      <c r="JV243" s="561">
        <v>34055</v>
      </c>
      <c r="JW243" s="561">
        <v>0</v>
      </c>
      <c r="JX243" s="561">
        <v>5783</v>
      </c>
      <c r="JY243" s="561">
        <v>0</v>
      </c>
      <c r="JZ243" s="561">
        <v>0</v>
      </c>
      <c r="KA243" s="561">
        <v>0</v>
      </c>
      <c r="KB243" s="561">
        <v>41</v>
      </c>
      <c r="KC243" s="561">
        <v>648</v>
      </c>
      <c r="KD243" s="561">
        <v>0</v>
      </c>
      <c r="KE243" s="561">
        <v>1100</v>
      </c>
      <c r="KF243" s="561">
        <v>0</v>
      </c>
      <c r="KG243" s="561">
        <v>41627</v>
      </c>
      <c r="KH243" s="561">
        <v>-2890</v>
      </c>
      <c r="KI243" s="561">
        <v>0</v>
      </c>
      <c r="KJ243" s="561">
        <v>0</v>
      </c>
      <c r="KK243" s="561">
        <v>0</v>
      </c>
      <c r="KL243" s="561">
        <v>-12516</v>
      </c>
      <c r="KM243" s="561">
        <v>0</v>
      </c>
      <c r="KN243" s="561">
        <v>-939</v>
      </c>
      <c r="KO243" s="561">
        <v>0</v>
      </c>
      <c r="KP243" s="561">
        <v>0</v>
      </c>
      <c r="KQ243" s="561">
        <v>0</v>
      </c>
      <c r="KR243" s="561">
        <v>25282</v>
      </c>
      <c r="KS243" s="561">
        <v>0</v>
      </c>
      <c r="KT243" s="561">
        <v>-5705</v>
      </c>
      <c r="KU243" s="561">
        <v>19577</v>
      </c>
      <c r="KV243" s="561">
        <v>0</v>
      </c>
      <c r="KW243" s="561">
        <v>0</v>
      </c>
      <c r="KX243" s="561">
        <v>0</v>
      </c>
      <c r="KY243" s="561">
        <v>0</v>
      </c>
      <c r="KZ243" s="561">
        <v>4315</v>
      </c>
      <c r="LA243" s="561">
        <v>0</v>
      </c>
      <c r="LB243" s="561">
        <v>-120</v>
      </c>
      <c r="LC243" s="561">
        <v>0</v>
      </c>
      <c r="LD243" s="561">
        <v>-11712</v>
      </c>
      <c r="LE243" s="561">
        <v>-92</v>
      </c>
      <c r="LF243" s="561">
        <v>0</v>
      </c>
      <c r="LG243" s="561">
        <v>11968</v>
      </c>
      <c r="LH243" s="561">
        <v>0</v>
      </c>
      <c r="LI243" s="561">
        <v>0</v>
      </c>
      <c r="LJ243" s="561">
        <v>0</v>
      </c>
      <c r="LK243" s="561">
        <v>0</v>
      </c>
      <c r="LL243" s="561">
        <v>23484</v>
      </c>
      <c r="LM243" s="561">
        <v>1613</v>
      </c>
      <c r="LN243" s="561">
        <v>0</v>
      </c>
      <c r="LO243" s="561">
        <v>0</v>
      </c>
      <c r="LP243" s="561">
        <v>0</v>
      </c>
      <c r="LQ243" s="561">
        <v>0</v>
      </c>
      <c r="LR243" s="561">
        <v>27799</v>
      </c>
      <c r="LS243" s="561">
        <v>1613</v>
      </c>
      <c r="LT243" s="561">
        <v>0</v>
      </c>
      <c r="LU243" s="561">
        <v>1601</v>
      </c>
      <c r="LV243" s="561">
        <v>0</v>
      </c>
      <c r="LW243" s="561">
        <v>1253</v>
      </c>
      <c r="LX243" s="561">
        <v>0</v>
      </c>
      <c r="LY243" s="561">
        <v>2611</v>
      </c>
      <c r="LZ243" s="561">
        <v>5465</v>
      </c>
      <c r="MA243" s="561">
        <v>0</v>
      </c>
      <c r="MB243" s="561">
        <v>0</v>
      </c>
      <c r="MC243" s="561">
        <v>19926</v>
      </c>
      <c r="MD243" s="561">
        <v>20294</v>
      </c>
      <c r="ME243" s="561">
        <v>-368</v>
      </c>
      <c r="MF243" s="561">
        <v>1113</v>
      </c>
      <c r="MG243" s="561">
        <v>745</v>
      </c>
      <c r="MH243" s="561">
        <v>3030</v>
      </c>
      <c r="MI243" s="561">
        <v>3141</v>
      </c>
      <c r="MJ243" s="561">
        <v>6171</v>
      </c>
      <c r="MK243" s="561">
        <v>0</v>
      </c>
      <c r="ML243" s="561">
        <v>0</v>
      </c>
      <c r="MM243" s="561">
        <v>14770</v>
      </c>
      <c r="MN243" s="561">
        <v>1536</v>
      </c>
      <c r="MO243" s="561">
        <v>11493</v>
      </c>
      <c r="MP243" s="561">
        <v>0</v>
      </c>
      <c r="MQ243" s="561">
        <v>0</v>
      </c>
      <c r="MR243" s="561">
        <v>200</v>
      </c>
      <c r="MS243" s="561">
        <v>0</v>
      </c>
      <c r="MT243" s="561">
        <v>4</v>
      </c>
      <c r="MU243" s="561">
        <v>0</v>
      </c>
      <c r="MV243" s="561">
        <v>489</v>
      </c>
      <c r="MW243" s="561">
        <v>1357</v>
      </c>
      <c r="MX243" s="561">
        <v>5934</v>
      </c>
      <c r="MY243" s="561">
        <v>2255</v>
      </c>
      <c r="MZ243" s="561">
        <v>0</v>
      </c>
      <c r="NA243" s="561">
        <v>0</v>
      </c>
      <c r="NB243" s="561">
        <v>6383</v>
      </c>
      <c r="NC243" s="561">
        <v>0</v>
      </c>
      <c r="ND243" s="561">
        <v>16622</v>
      </c>
      <c r="NE243" s="561">
        <v>0</v>
      </c>
      <c r="NF243" s="561">
        <v>0</v>
      </c>
      <c r="NG243" s="561">
        <v>0</v>
      </c>
      <c r="NH243" s="561">
        <v>0</v>
      </c>
      <c r="NI243" s="561">
        <v>0</v>
      </c>
      <c r="NJ243" s="561">
        <v>0</v>
      </c>
      <c r="NK243" s="561">
        <v>0</v>
      </c>
      <c r="NL243" s="561">
        <v>0</v>
      </c>
      <c r="NM243" s="561">
        <v>0</v>
      </c>
      <c r="NN243" s="561">
        <v>0</v>
      </c>
      <c r="NO243" s="561">
        <v>0</v>
      </c>
      <c r="NP243" s="561">
        <v>0</v>
      </c>
      <c r="NQ243" s="561">
        <v>0</v>
      </c>
      <c r="NR243" s="561">
        <v>0</v>
      </c>
      <c r="NS243" s="561">
        <v>0</v>
      </c>
      <c r="NT243" s="561">
        <v>0</v>
      </c>
      <c r="NU243" s="561">
        <v>0</v>
      </c>
      <c r="NV243" s="561">
        <v>0</v>
      </c>
      <c r="NW243" s="561">
        <v>0</v>
      </c>
      <c r="NX243" s="561">
        <v>0</v>
      </c>
      <c r="NY243" s="561">
        <v>0</v>
      </c>
      <c r="NZ243" s="561">
        <v>0</v>
      </c>
      <c r="OA243" s="561">
        <v>0</v>
      </c>
      <c r="OB243" s="561">
        <v>0</v>
      </c>
      <c r="OC243" s="561">
        <v>0</v>
      </c>
      <c r="OD243" s="561">
        <v>0</v>
      </c>
      <c r="OE243" s="561">
        <v>0</v>
      </c>
      <c r="OF243" s="561">
        <v>0</v>
      </c>
      <c r="OG243" s="561">
        <v>0</v>
      </c>
      <c r="OH243" s="561">
        <v>0</v>
      </c>
      <c r="OI243" s="561">
        <v>0</v>
      </c>
      <c r="OJ243" s="561">
        <v>0</v>
      </c>
      <c r="OK243" s="561">
        <v>0</v>
      </c>
      <c r="OL243" s="561">
        <v>0</v>
      </c>
      <c r="OM243" s="561">
        <v>0</v>
      </c>
      <c r="ON243" s="561">
        <v>0</v>
      </c>
      <c r="OO243" s="561">
        <v>0</v>
      </c>
      <c r="OP243" s="561">
        <v>0</v>
      </c>
      <c r="OQ243" s="561">
        <v>0</v>
      </c>
      <c r="OR243" s="561">
        <v>0</v>
      </c>
      <c r="OS243" s="561">
        <v>0</v>
      </c>
      <c r="OT243" s="561">
        <v>0</v>
      </c>
      <c r="OU243" s="561">
        <v>0</v>
      </c>
      <c r="OV243" s="561">
        <v>0</v>
      </c>
      <c r="OW243" s="561">
        <v>0</v>
      </c>
      <c r="OX243" s="561">
        <v>0</v>
      </c>
      <c r="OY243" s="561">
        <v>0</v>
      </c>
      <c r="OZ243" s="561">
        <v>0</v>
      </c>
      <c r="PA243" s="561">
        <v>0</v>
      </c>
      <c r="PB243" s="561">
        <v>0</v>
      </c>
      <c r="PC243" s="561">
        <v>0</v>
      </c>
      <c r="PD243" s="561">
        <v>0</v>
      </c>
      <c r="PE243" s="561">
        <v>0</v>
      </c>
      <c r="PF243" s="561">
        <v>0</v>
      </c>
      <c r="PG243" s="561">
        <v>0</v>
      </c>
      <c r="PH243" s="561">
        <v>0</v>
      </c>
      <c r="PI243" s="561">
        <v>0</v>
      </c>
      <c r="PJ243" s="561">
        <v>0</v>
      </c>
    </row>
    <row r="244" spans="1:426" ht="14" x14ac:dyDescent="0.3">
      <c r="A244" t="s">
        <v>3175</v>
      </c>
      <c r="B244" t="s">
        <v>3176</v>
      </c>
      <c r="C244" t="s">
        <v>4638</v>
      </c>
      <c r="E244" t="s">
        <v>385</v>
      </c>
      <c r="F244" s="561">
        <v>17731.87</v>
      </c>
      <c r="G244" s="561">
        <v>65603.27</v>
      </c>
      <c r="H244" s="561">
        <v>27336.1</v>
      </c>
      <c r="I244" s="561">
        <v>13949.73</v>
      </c>
      <c r="J244" s="561">
        <v>1406.45</v>
      </c>
      <c r="K244" s="561">
        <v>13552.42</v>
      </c>
      <c r="L244" s="561">
        <v>139579.84</v>
      </c>
      <c r="M244" s="561">
        <v>2819.05</v>
      </c>
      <c r="N244" s="561">
        <v>668.22</v>
      </c>
      <c r="O244" s="561">
        <v>2238.35</v>
      </c>
      <c r="P244" s="561">
        <v>-365.39</v>
      </c>
      <c r="Q244" s="561">
        <v>2942.34</v>
      </c>
      <c r="R244" s="561">
        <v>38.43</v>
      </c>
      <c r="S244" s="561">
        <v>0</v>
      </c>
      <c r="T244" s="561">
        <v>489.16</v>
      </c>
      <c r="U244" s="561">
        <v>511.23</v>
      </c>
      <c r="V244" s="561">
        <v>969.25</v>
      </c>
      <c r="W244" s="561">
        <v>0</v>
      </c>
      <c r="X244" s="561">
        <v>0</v>
      </c>
      <c r="Y244" s="561">
        <v>176.63</v>
      </c>
      <c r="Z244" s="561">
        <v>238.46</v>
      </c>
      <c r="AA244" s="561">
        <v>123.94</v>
      </c>
      <c r="AB244" s="561">
        <v>84.07</v>
      </c>
      <c r="AC244" s="561">
        <v>1665.75</v>
      </c>
      <c r="AD244" s="561">
        <v>869.01</v>
      </c>
      <c r="AE244" s="561">
        <v>37.4</v>
      </c>
      <c r="AF244" s="561">
        <v>0</v>
      </c>
      <c r="AG244" s="561">
        <v>32.28</v>
      </c>
      <c r="AH244" s="561">
        <v>1281.24</v>
      </c>
      <c r="AI244" s="561">
        <v>-6.51</v>
      </c>
      <c r="AJ244" s="561">
        <v>11993.86</v>
      </c>
      <c r="AK244" s="561">
        <v>21.83</v>
      </c>
      <c r="AL244" s="561">
        <v>0</v>
      </c>
      <c r="AM244" s="561">
        <v>0</v>
      </c>
      <c r="AN244" s="561">
        <v>0</v>
      </c>
      <c r="AO244" s="561">
        <v>0</v>
      </c>
      <c r="AP244" s="561">
        <v>0</v>
      </c>
      <c r="AQ244" s="561">
        <v>0</v>
      </c>
      <c r="AR244" s="561">
        <v>0</v>
      </c>
      <c r="AS244" s="561">
        <v>88.92</v>
      </c>
      <c r="AT244" s="561">
        <v>0</v>
      </c>
      <c r="AU244" s="561">
        <v>0</v>
      </c>
      <c r="AV244" s="561">
        <v>0</v>
      </c>
      <c r="AW244" s="561">
        <v>0</v>
      </c>
      <c r="AX244" s="561">
        <v>952.24</v>
      </c>
      <c r="AY244" s="561">
        <v>14444.24</v>
      </c>
      <c r="AZ244" s="561">
        <v>118.7</v>
      </c>
      <c r="BA244" s="561">
        <v>7482.53</v>
      </c>
      <c r="BB244" s="561">
        <v>532.66999999999996</v>
      </c>
      <c r="BC244" s="561">
        <v>9064.7999999999993</v>
      </c>
      <c r="BD244" s="561">
        <v>387.64</v>
      </c>
      <c r="BE244" s="561">
        <v>2275.0500000000002</v>
      </c>
      <c r="BF244" s="561">
        <v>35257.870000000003</v>
      </c>
      <c r="BG244" s="561">
        <v>318.3</v>
      </c>
      <c r="BH244" s="561">
        <v>6176.53</v>
      </c>
      <c r="BI244" s="561">
        <v>23785.599999999999</v>
      </c>
      <c r="BJ244" s="561">
        <v>118.41</v>
      </c>
      <c r="BK244" s="561">
        <v>35.43</v>
      </c>
      <c r="BL244" s="561">
        <v>407.99</v>
      </c>
      <c r="BM244" s="561">
        <v>2207.33</v>
      </c>
      <c r="BN244" s="561">
        <v>17846.87</v>
      </c>
      <c r="BO244" s="561">
        <v>2528.8000000000002</v>
      </c>
      <c r="BP244" s="561">
        <v>3026.41</v>
      </c>
      <c r="BQ244" s="561">
        <v>1656.51</v>
      </c>
      <c r="BR244" s="561">
        <v>0</v>
      </c>
      <c r="BS244" s="561">
        <v>388.79</v>
      </c>
      <c r="BT244" s="561">
        <v>1.35</v>
      </c>
      <c r="BU244" s="561">
        <v>316.5</v>
      </c>
      <c r="BV244" s="561">
        <v>578.69000000000005</v>
      </c>
      <c r="BW244" s="561">
        <v>8666.69</v>
      </c>
      <c r="BX244" s="561">
        <v>199.96</v>
      </c>
      <c r="BY244" s="561">
        <v>5668.06</v>
      </c>
      <c r="BZ244" s="561">
        <v>73609.919999999998</v>
      </c>
      <c r="CA244" s="561">
        <v>1396.23</v>
      </c>
      <c r="CB244" s="561">
        <v>611.27</v>
      </c>
      <c r="CC244" s="561">
        <v>392.96</v>
      </c>
      <c r="CD244" s="561">
        <v>97.65</v>
      </c>
      <c r="CE244" s="561">
        <v>86.74</v>
      </c>
      <c r="CF244" s="561">
        <v>421.45</v>
      </c>
      <c r="CG244" s="561">
        <v>146.07</v>
      </c>
      <c r="CH244" s="561">
        <v>297.27</v>
      </c>
      <c r="CI244" s="561">
        <v>216.95</v>
      </c>
      <c r="CJ244" s="561">
        <v>42.96</v>
      </c>
      <c r="CK244" s="561">
        <v>751.95</v>
      </c>
      <c r="CL244" s="561">
        <v>4.88</v>
      </c>
      <c r="CM244" s="561">
        <v>1017.31</v>
      </c>
      <c r="CN244" s="561">
        <v>804.11</v>
      </c>
      <c r="CO244" s="561">
        <v>814.51</v>
      </c>
      <c r="CP244" s="561">
        <v>243.92</v>
      </c>
      <c r="CQ244" s="561">
        <v>254.72</v>
      </c>
      <c r="CR244" s="561">
        <v>420.37</v>
      </c>
      <c r="CS244" s="561">
        <v>141.76</v>
      </c>
      <c r="CT244" s="561">
        <v>974.43</v>
      </c>
      <c r="CU244" s="561">
        <v>1897.51</v>
      </c>
      <c r="CV244" s="561">
        <v>242.1</v>
      </c>
      <c r="CW244" s="561">
        <v>198.45</v>
      </c>
      <c r="CX244" s="561">
        <v>362.26</v>
      </c>
      <c r="CY244" s="561">
        <v>1425.47</v>
      </c>
      <c r="CZ244" s="561">
        <v>11867.07</v>
      </c>
      <c r="DA244" s="561">
        <v>0</v>
      </c>
      <c r="DB244" s="561">
        <v>0</v>
      </c>
      <c r="DC244" s="561">
        <v>0</v>
      </c>
      <c r="DD244" s="561">
        <v>0</v>
      </c>
      <c r="DE244" s="561">
        <v>0</v>
      </c>
      <c r="DF244" s="561">
        <v>0</v>
      </c>
      <c r="DG244" s="561">
        <v>0</v>
      </c>
      <c r="DH244" s="561">
        <v>685.25</v>
      </c>
      <c r="DI244" s="561">
        <v>0</v>
      </c>
      <c r="DJ244" s="561">
        <v>213.45</v>
      </c>
      <c r="DK244" s="561">
        <v>0</v>
      </c>
      <c r="DL244" s="561">
        <v>0</v>
      </c>
      <c r="DM244" s="561">
        <v>931.21</v>
      </c>
      <c r="DN244" s="561">
        <v>91.98</v>
      </c>
      <c r="DO244" s="561">
        <v>976.72</v>
      </c>
      <c r="DP244" s="561">
        <v>0</v>
      </c>
      <c r="DQ244" s="561">
        <v>641.28</v>
      </c>
      <c r="DR244" s="561">
        <v>0</v>
      </c>
      <c r="DS244" s="561">
        <v>355.35</v>
      </c>
      <c r="DT244" s="561">
        <v>0</v>
      </c>
      <c r="DU244" s="561">
        <v>2996.54</v>
      </c>
      <c r="DV244" s="561">
        <v>98.2</v>
      </c>
      <c r="DW244" s="561">
        <v>0</v>
      </c>
      <c r="DX244" s="561">
        <v>0</v>
      </c>
      <c r="DY244" s="561">
        <v>439.62</v>
      </c>
      <c r="DZ244" s="561">
        <v>0</v>
      </c>
      <c r="EA244" s="561">
        <v>895.46</v>
      </c>
      <c r="EB244" s="561">
        <v>0</v>
      </c>
      <c r="EC244" s="561">
        <v>5328.52</v>
      </c>
      <c r="ED244" s="561">
        <v>0</v>
      </c>
      <c r="EE244" s="561">
        <v>0</v>
      </c>
      <c r="EF244" s="561">
        <v>0</v>
      </c>
      <c r="EG244" s="561">
        <v>0</v>
      </c>
      <c r="EH244" s="561">
        <v>0</v>
      </c>
      <c r="EI244" s="561">
        <v>0</v>
      </c>
      <c r="EJ244" s="561">
        <v>0</v>
      </c>
      <c r="EK244" s="561">
        <v>0</v>
      </c>
      <c r="EL244" s="561">
        <v>0</v>
      </c>
      <c r="EM244" s="561">
        <v>0</v>
      </c>
      <c r="EN244" s="561">
        <v>0</v>
      </c>
      <c r="EO244" s="561">
        <v>0</v>
      </c>
      <c r="EP244" s="561">
        <v>0</v>
      </c>
      <c r="EQ244" s="561">
        <v>0</v>
      </c>
      <c r="ER244" s="561">
        <v>0</v>
      </c>
      <c r="ES244" s="561" t="s">
        <v>4565</v>
      </c>
      <c r="ET244" s="561">
        <v>0</v>
      </c>
      <c r="EU244" s="561">
        <v>0</v>
      </c>
      <c r="EV244" s="561">
        <v>0</v>
      </c>
      <c r="EW244" s="561">
        <v>0</v>
      </c>
      <c r="EX244" s="561">
        <v>0</v>
      </c>
      <c r="EY244" s="561">
        <v>0</v>
      </c>
      <c r="EZ244" s="561">
        <v>0</v>
      </c>
      <c r="FA244" s="561">
        <v>0</v>
      </c>
      <c r="FB244" s="561">
        <v>57.33</v>
      </c>
      <c r="FC244" s="561">
        <v>145.77000000000001</v>
      </c>
      <c r="FD244" s="561">
        <v>553.98</v>
      </c>
      <c r="FE244" s="561">
        <v>1039.58</v>
      </c>
      <c r="FF244" s="561">
        <v>2090.4</v>
      </c>
      <c r="FG244" s="561">
        <v>206.6</v>
      </c>
      <c r="FH244" s="561">
        <v>0</v>
      </c>
      <c r="FI244" s="561">
        <v>55.13</v>
      </c>
      <c r="FJ244" s="561">
        <v>3939.03</v>
      </c>
      <c r="FK244" s="561">
        <v>4953.17</v>
      </c>
      <c r="FL244" s="561">
        <v>0.22</v>
      </c>
      <c r="FM244" s="561">
        <v>273.66000000000003</v>
      </c>
      <c r="FN244" s="561">
        <v>1794.17</v>
      </c>
      <c r="FO244" s="561">
        <v>15109.04</v>
      </c>
      <c r="FP244" s="561">
        <v>0</v>
      </c>
      <c r="FQ244" s="561">
        <v>-709.34</v>
      </c>
      <c r="FR244" s="561">
        <v>379.66</v>
      </c>
      <c r="FS244" s="561">
        <v>95.76</v>
      </c>
      <c r="FT244" s="561">
        <v>522.89</v>
      </c>
      <c r="FU244" s="561">
        <v>195.08</v>
      </c>
      <c r="FV244" s="561">
        <v>852.59</v>
      </c>
      <c r="FW244" s="561">
        <v>151.44</v>
      </c>
      <c r="FX244" s="561">
        <v>0</v>
      </c>
      <c r="FY244" s="561">
        <v>70.97</v>
      </c>
      <c r="FZ244" s="561">
        <v>46.18</v>
      </c>
      <c r="GA244" s="561">
        <v>275.55</v>
      </c>
      <c r="GB244" s="561">
        <v>286.87</v>
      </c>
      <c r="GC244" s="561">
        <v>127.4</v>
      </c>
      <c r="GD244" s="561">
        <v>1341.88</v>
      </c>
      <c r="GE244" s="561">
        <v>0</v>
      </c>
      <c r="GF244" s="561">
        <v>335.29</v>
      </c>
      <c r="GG244" s="561">
        <v>-3.5</v>
      </c>
      <c r="GH244" s="561">
        <v>-73.510000000000005</v>
      </c>
      <c r="GI244" s="561">
        <v>1769</v>
      </c>
      <c r="GJ244" s="561">
        <v>0</v>
      </c>
      <c r="GK244" s="561">
        <v>85.4</v>
      </c>
      <c r="GL244" s="561">
        <v>1270.71</v>
      </c>
      <c r="GM244" s="561">
        <v>1267.18</v>
      </c>
      <c r="GN244" s="561">
        <v>9212.85</v>
      </c>
      <c r="GO244" s="561">
        <v>-260.27999999999997</v>
      </c>
      <c r="GP244" s="561">
        <v>5384.73</v>
      </c>
      <c r="GQ244" s="561">
        <v>86.51</v>
      </c>
      <c r="GR244" s="561">
        <v>86.51</v>
      </c>
      <c r="GS244" s="561">
        <v>22797.82</v>
      </c>
      <c r="GT244" s="561">
        <v>549.30999999999995</v>
      </c>
      <c r="GU244" s="561">
        <v>172.8</v>
      </c>
      <c r="GV244" s="561">
        <v>770.4</v>
      </c>
      <c r="GW244" s="561">
        <v>299.04000000000002</v>
      </c>
      <c r="GX244" s="561">
        <v>815.88</v>
      </c>
      <c r="GY244" s="561">
        <v>501.92</v>
      </c>
      <c r="GZ244" s="561">
        <v>-220.28</v>
      </c>
      <c r="HA244" s="561">
        <v>0</v>
      </c>
      <c r="HB244" s="561">
        <v>0</v>
      </c>
      <c r="HC244" s="561">
        <v>2075.0300000000002</v>
      </c>
      <c r="HD244" s="561">
        <v>4414.79</v>
      </c>
      <c r="HE244" s="561">
        <v>269.95</v>
      </c>
      <c r="HF244" s="561">
        <v>42321.65</v>
      </c>
      <c r="HG244" s="561">
        <v>819.26</v>
      </c>
      <c r="HH244" s="561">
        <v>0</v>
      </c>
      <c r="HI244" s="561">
        <v>0</v>
      </c>
      <c r="HJ244" s="561">
        <v>0</v>
      </c>
      <c r="HK244" s="561">
        <v>0</v>
      </c>
      <c r="HL244" s="561">
        <v>0</v>
      </c>
      <c r="HM244" s="561">
        <v>0</v>
      </c>
      <c r="HN244" s="561">
        <v>0</v>
      </c>
      <c r="HO244" s="561">
        <v>2978.51</v>
      </c>
      <c r="HP244" s="561">
        <v>1571.04</v>
      </c>
      <c r="HQ244" s="561">
        <v>0</v>
      </c>
      <c r="HR244" s="561">
        <v>0</v>
      </c>
      <c r="HS244" s="561">
        <v>148.44</v>
      </c>
      <c r="HT244" s="561">
        <v>244.21</v>
      </c>
      <c r="HU244" s="561">
        <v>0</v>
      </c>
      <c r="HV244" s="561">
        <v>21.27</v>
      </c>
      <c r="HW244" s="561">
        <v>291.08</v>
      </c>
      <c r="HX244" s="561">
        <v>599.32000000000005</v>
      </c>
      <c r="HY244" s="561">
        <v>58.59</v>
      </c>
      <c r="HZ244" s="561">
        <v>-16.47</v>
      </c>
      <c r="IA244" s="561">
        <v>2646.01</v>
      </c>
      <c r="IB244" s="561">
        <v>20.61</v>
      </c>
      <c r="IC244" s="561">
        <v>408.11</v>
      </c>
      <c r="ID244" s="561">
        <v>0</v>
      </c>
      <c r="IE244" s="561">
        <v>2813.64</v>
      </c>
      <c r="IF244" s="561">
        <v>0</v>
      </c>
      <c r="IG244" s="561">
        <v>393.84</v>
      </c>
      <c r="IH244" s="561">
        <v>1404.58</v>
      </c>
      <c r="II244" s="561">
        <v>13582.78</v>
      </c>
      <c r="IJ244" s="561">
        <v>199.01</v>
      </c>
      <c r="IK244" s="561">
        <v>0</v>
      </c>
      <c r="IL244" s="561">
        <v>21450.639999999999</v>
      </c>
      <c r="IM244" s="561">
        <v>0</v>
      </c>
      <c r="IN244" s="561">
        <v>0</v>
      </c>
      <c r="IO244" s="561">
        <v>0</v>
      </c>
      <c r="IP244" s="561">
        <v>341.2</v>
      </c>
      <c r="IQ244" s="561">
        <v>0</v>
      </c>
      <c r="IR244" s="561">
        <v>139579.84</v>
      </c>
      <c r="IS244" s="561">
        <v>11993.86</v>
      </c>
      <c r="IT244" s="561">
        <v>35257.870000000003</v>
      </c>
      <c r="IU244" s="561">
        <v>73609.919999999998</v>
      </c>
      <c r="IV244" s="561">
        <v>11867.07</v>
      </c>
      <c r="IW244" s="561">
        <v>5328.52</v>
      </c>
      <c r="IX244" s="561">
        <v>15109.04</v>
      </c>
      <c r="IY244" s="561">
        <v>22797.82</v>
      </c>
      <c r="IZ244" s="561">
        <v>4414.79</v>
      </c>
      <c r="JA244" s="561">
        <v>0</v>
      </c>
      <c r="JB244" s="561">
        <v>0</v>
      </c>
      <c r="JC244" s="561">
        <v>13582.78</v>
      </c>
      <c r="JD244" s="561">
        <v>341.2</v>
      </c>
      <c r="JE244" s="561">
        <v>333882.71000000002</v>
      </c>
      <c r="JF244" s="561">
        <v>23059.86</v>
      </c>
      <c r="JG244" s="561">
        <v>3303.68</v>
      </c>
      <c r="JH244" s="561">
        <v>0</v>
      </c>
      <c r="JI244" s="561">
        <v>0</v>
      </c>
      <c r="JJ244" s="561">
        <v>0</v>
      </c>
      <c r="JK244" s="561">
        <v>1921</v>
      </c>
      <c r="JL244" s="561">
        <v>0</v>
      </c>
      <c r="JM244" s="561">
        <v>0</v>
      </c>
      <c r="JN244" s="561">
        <v>0</v>
      </c>
      <c r="JO244" s="561">
        <v>0</v>
      </c>
      <c r="JP244" s="561">
        <v>215.08</v>
      </c>
      <c r="JQ244" s="561">
        <v>1474.18</v>
      </c>
      <c r="JR244" s="561">
        <v>0</v>
      </c>
      <c r="JS244" s="561">
        <v>0</v>
      </c>
      <c r="JT244" s="561">
        <v>118</v>
      </c>
      <c r="JU244" s="561">
        <v>-199.27</v>
      </c>
      <c r="JV244" s="561">
        <v>363775.24</v>
      </c>
      <c r="JW244" s="561">
        <v>92.26</v>
      </c>
      <c r="JX244" s="561">
        <v>1964.01</v>
      </c>
      <c r="JY244" s="561">
        <v>0</v>
      </c>
      <c r="JZ244" s="561">
        <v>-500</v>
      </c>
      <c r="KA244" s="561">
        <v>0</v>
      </c>
      <c r="KB244" s="561">
        <v>0</v>
      </c>
      <c r="KC244" s="561">
        <v>7729.81</v>
      </c>
      <c r="KD244" s="561">
        <v>773.51</v>
      </c>
      <c r="KE244" s="561">
        <v>5843.33</v>
      </c>
      <c r="KF244" s="561">
        <v>0</v>
      </c>
      <c r="KG244" s="561">
        <v>379678.16</v>
      </c>
      <c r="KH244" s="561">
        <v>-2026.76</v>
      </c>
      <c r="KI244" s="561">
        <v>0</v>
      </c>
      <c r="KJ244" s="561">
        <v>0</v>
      </c>
      <c r="KK244" s="561">
        <v>0</v>
      </c>
      <c r="KL244" s="561">
        <v>-25571.82</v>
      </c>
      <c r="KM244" s="561">
        <v>0</v>
      </c>
      <c r="KN244" s="561">
        <v>0</v>
      </c>
      <c r="KO244" s="561">
        <v>0</v>
      </c>
      <c r="KP244" s="561">
        <v>0</v>
      </c>
      <c r="KQ244" s="561">
        <v>0</v>
      </c>
      <c r="KR244" s="561">
        <v>352079.58</v>
      </c>
      <c r="KS244" s="561">
        <v>0</v>
      </c>
      <c r="KT244" s="561">
        <v>-182129.52</v>
      </c>
      <c r="KU244" s="561">
        <v>169950.06</v>
      </c>
      <c r="KV244" s="561">
        <v>0</v>
      </c>
      <c r="KW244" s="561">
        <v>-484.68</v>
      </c>
      <c r="KX244" s="561">
        <v>-2627.17</v>
      </c>
      <c r="KY244" s="561">
        <v>148.47999999999999</v>
      </c>
      <c r="KZ244" s="561">
        <v>-5601.95</v>
      </c>
      <c r="LA244" s="561">
        <v>200</v>
      </c>
      <c r="LB244" s="561">
        <v>-7763</v>
      </c>
      <c r="LC244" s="561">
        <v>0</v>
      </c>
      <c r="LD244" s="561">
        <v>-64055.82</v>
      </c>
      <c r="LE244" s="561">
        <v>1581.18</v>
      </c>
      <c r="LF244" s="561">
        <v>-461.77</v>
      </c>
      <c r="LG244" s="561">
        <v>90885</v>
      </c>
      <c r="LH244" s="561">
        <v>6187</v>
      </c>
      <c r="LI244" s="561">
        <v>0</v>
      </c>
      <c r="LJ244" s="561">
        <v>6987</v>
      </c>
      <c r="LK244" s="561">
        <v>2658</v>
      </c>
      <c r="LL244" s="561">
        <v>51172</v>
      </c>
      <c r="LM244" s="561">
        <v>10000</v>
      </c>
      <c r="LN244" s="561">
        <v>5702.32</v>
      </c>
      <c r="LO244" s="561">
        <v>0</v>
      </c>
      <c r="LP244" s="561">
        <v>4359.83</v>
      </c>
      <c r="LQ244" s="561">
        <v>2806.48</v>
      </c>
      <c r="LR244" s="561">
        <v>45570.05</v>
      </c>
      <c r="LS244" s="561">
        <v>10200</v>
      </c>
      <c r="LT244" s="561">
        <v>0</v>
      </c>
      <c r="LU244" s="561">
        <v>22339.65</v>
      </c>
      <c r="LV244" s="561">
        <v>570.79</v>
      </c>
      <c r="LW244" s="561">
        <v>5257.06</v>
      </c>
      <c r="LX244" s="561">
        <v>-27749.51</v>
      </c>
      <c r="LY244" s="561">
        <v>14535.87</v>
      </c>
      <c r="LZ244" s="561">
        <v>14982.86</v>
      </c>
      <c r="MA244" s="561">
        <v>0</v>
      </c>
      <c r="MB244" s="561">
        <v>0</v>
      </c>
      <c r="MC244" s="561">
        <v>0</v>
      </c>
      <c r="MD244" s="561">
        <v>0</v>
      </c>
      <c r="ME244" s="561">
        <v>0</v>
      </c>
      <c r="MF244" s="561">
        <v>0</v>
      </c>
      <c r="MG244" s="561">
        <v>0</v>
      </c>
      <c r="MH244" s="561">
        <v>5105.33</v>
      </c>
      <c r="MI244" s="561">
        <v>3880.69</v>
      </c>
      <c r="MJ244" s="561">
        <v>8986.02</v>
      </c>
      <c r="MK244" s="561">
        <v>20.61</v>
      </c>
      <c r="ML244" s="561">
        <v>10950.66</v>
      </c>
      <c r="MM244" s="561">
        <v>6560.81</v>
      </c>
      <c r="MN244" s="561">
        <v>11231</v>
      </c>
      <c r="MO244" s="561">
        <v>16827.580000000002</v>
      </c>
      <c r="MP244" s="561">
        <v>0</v>
      </c>
      <c r="MQ244" s="561">
        <v>139579.84</v>
      </c>
      <c r="MR244" s="561">
        <v>11993.86</v>
      </c>
      <c r="MS244" s="561">
        <v>35257.870000000003</v>
      </c>
      <c r="MT244" s="561">
        <v>73609.919999999998</v>
      </c>
      <c r="MU244" s="561">
        <v>11867.07</v>
      </c>
      <c r="MV244" s="561">
        <v>5328.52</v>
      </c>
      <c r="MW244" s="561">
        <v>15109.04</v>
      </c>
      <c r="MX244" s="561">
        <v>22797.82</v>
      </c>
      <c r="MY244" s="561">
        <v>4414.79</v>
      </c>
      <c r="MZ244" s="561">
        <v>0</v>
      </c>
      <c r="NA244" s="561">
        <v>0</v>
      </c>
      <c r="NB244" s="561">
        <v>13582.78</v>
      </c>
      <c r="NC244" s="561">
        <v>341.2</v>
      </c>
      <c r="ND244" s="561">
        <v>333882.71000000002</v>
      </c>
      <c r="NE244" s="561">
        <v>0</v>
      </c>
      <c r="NF244" s="561">
        <v>0</v>
      </c>
      <c r="NG244" s="561">
        <v>0</v>
      </c>
      <c r="NH244" s="561">
        <v>0</v>
      </c>
      <c r="NI244" s="561">
        <v>0</v>
      </c>
      <c r="NJ244" s="561">
        <v>0</v>
      </c>
      <c r="NK244" s="561">
        <v>0</v>
      </c>
      <c r="NL244" s="561">
        <v>0</v>
      </c>
      <c r="NM244" s="561">
        <v>0</v>
      </c>
      <c r="NN244" s="561">
        <v>0</v>
      </c>
      <c r="NO244" s="561">
        <v>0</v>
      </c>
      <c r="NP244" s="561">
        <v>0</v>
      </c>
      <c r="NQ244" s="561">
        <v>0</v>
      </c>
      <c r="NR244" s="561">
        <v>215.08</v>
      </c>
      <c r="NS244" s="561">
        <v>0</v>
      </c>
      <c r="NT244" s="561">
        <v>0</v>
      </c>
      <c r="NU244" s="561">
        <v>0</v>
      </c>
      <c r="NV244" s="561">
        <v>0</v>
      </c>
      <c r="NW244" s="561">
        <v>215.08</v>
      </c>
      <c r="NX244" s="561">
        <v>0</v>
      </c>
      <c r="NY244" s="561">
        <v>215.08</v>
      </c>
      <c r="NZ244" s="561">
        <v>0</v>
      </c>
      <c r="OA244" s="561">
        <v>0</v>
      </c>
      <c r="OB244" s="561">
        <v>0</v>
      </c>
      <c r="OC244" s="561">
        <v>0</v>
      </c>
      <c r="OD244" s="561">
        <v>0</v>
      </c>
      <c r="OE244" s="561">
        <v>0</v>
      </c>
      <c r="OF244" s="561">
        <v>0</v>
      </c>
      <c r="OG244" s="561">
        <v>0</v>
      </c>
      <c r="OH244" s="561">
        <v>0</v>
      </c>
      <c r="OI244" s="561">
        <v>0</v>
      </c>
      <c r="OJ244" s="561">
        <v>0</v>
      </c>
      <c r="OK244" s="561">
        <v>801.69</v>
      </c>
      <c r="OL244" s="561">
        <v>0</v>
      </c>
      <c r="OM244" s="561">
        <v>0</v>
      </c>
      <c r="ON244" s="561">
        <v>0</v>
      </c>
      <c r="OO244" s="561">
        <v>0</v>
      </c>
      <c r="OP244" s="561">
        <v>0</v>
      </c>
      <c r="OQ244" s="561">
        <v>672.49</v>
      </c>
      <c r="OR244" s="561">
        <v>0</v>
      </c>
      <c r="OS244" s="561">
        <v>0</v>
      </c>
      <c r="OT244" s="561">
        <v>0</v>
      </c>
      <c r="OU244" s="561">
        <v>0</v>
      </c>
      <c r="OV244" s="561">
        <v>0</v>
      </c>
      <c r="OW244" s="561">
        <v>0</v>
      </c>
      <c r="OX244" s="561">
        <v>1474.18</v>
      </c>
      <c r="OY244" s="561">
        <v>0</v>
      </c>
      <c r="OZ244" s="561">
        <v>0</v>
      </c>
      <c r="PA244" s="561">
        <v>0</v>
      </c>
      <c r="PB244" s="561">
        <v>0</v>
      </c>
      <c r="PC244" s="561">
        <v>0</v>
      </c>
      <c r="PD244" s="561">
        <v>0</v>
      </c>
      <c r="PE244" s="561">
        <v>0</v>
      </c>
      <c r="PF244" s="561">
        <v>0</v>
      </c>
      <c r="PG244" s="561">
        <v>0</v>
      </c>
      <c r="PH244" s="561">
        <v>0</v>
      </c>
      <c r="PI244" s="561">
        <v>0</v>
      </c>
      <c r="PJ244" s="561">
        <v>0</v>
      </c>
    </row>
    <row r="245" spans="1:426" ht="14" x14ac:dyDescent="0.3">
      <c r="A245" t="s">
        <v>3178</v>
      </c>
      <c r="B245" t="s">
        <v>3179</v>
      </c>
      <c r="C245" t="s">
        <v>3180</v>
      </c>
      <c r="E245" t="s">
        <v>2466</v>
      </c>
      <c r="F245" s="561">
        <v>0</v>
      </c>
      <c r="G245" s="561">
        <v>0</v>
      </c>
      <c r="H245" s="561">
        <v>0</v>
      </c>
      <c r="I245" s="561">
        <v>0</v>
      </c>
      <c r="J245" s="561">
        <v>0</v>
      </c>
      <c r="K245" s="561">
        <v>0</v>
      </c>
      <c r="L245" s="561">
        <v>0</v>
      </c>
      <c r="M245" s="561">
        <v>0</v>
      </c>
      <c r="N245" s="561">
        <v>0</v>
      </c>
      <c r="O245" s="561">
        <v>0</v>
      </c>
      <c r="P245" s="561">
        <v>0</v>
      </c>
      <c r="Q245" s="561">
        <v>0</v>
      </c>
      <c r="R245" s="561">
        <v>0</v>
      </c>
      <c r="S245" s="561">
        <v>0</v>
      </c>
      <c r="T245" s="561">
        <v>0</v>
      </c>
      <c r="U245" s="561">
        <v>0</v>
      </c>
      <c r="V245" s="561">
        <v>0</v>
      </c>
      <c r="W245" s="561">
        <v>0</v>
      </c>
      <c r="X245" s="561">
        <v>0</v>
      </c>
      <c r="Y245" s="561">
        <v>0</v>
      </c>
      <c r="Z245" s="561">
        <v>0</v>
      </c>
      <c r="AA245" s="561">
        <v>0</v>
      </c>
      <c r="AB245" s="561">
        <v>0</v>
      </c>
      <c r="AC245" s="561">
        <v>0</v>
      </c>
      <c r="AD245" s="561">
        <v>0</v>
      </c>
      <c r="AE245" s="561">
        <v>0</v>
      </c>
      <c r="AF245" s="561">
        <v>0</v>
      </c>
      <c r="AG245" s="561">
        <v>0</v>
      </c>
      <c r="AH245" s="561">
        <v>0</v>
      </c>
      <c r="AI245" s="561">
        <v>0</v>
      </c>
      <c r="AJ245" s="561">
        <v>0</v>
      </c>
      <c r="AK245" s="561">
        <v>0</v>
      </c>
      <c r="AL245" s="561">
        <v>0</v>
      </c>
      <c r="AM245" s="561">
        <v>0</v>
      </c>
      <c r="AN245" s="561">
        <v>0</v>
      </c>
      <c r="AO245" s="561">
        <v>0</v>
      </c>
      <c r="AP245" s="561">
        <v>0</v>
      </c>
      <c r="AQ245" s="561">
        <v>0</v>
      </c>
      <c r="AR245" s="561">
        <v>0</v>
      </c>
      <c r="AS245" s="561">
        <v>0</v>
      </c>
      <c r="AT245" s="561">
        <v>0</v>
      </c>
      <c r="AU245" s="561">
        <v>0</v>
      </c>
      <c r="AV245" s="561">
        <v>0</v>
      </c>
      <c r="AW245" s="561">
        <v>0</v>
      </c>
      <c r="AX245" s="561">
        <v>0</v>
      </c>
      <c r="AY245" s="561">
        <v>0</v>
      </c>
      <c r="AZ245" s="561">
        <v>0</v>
      </c>
      <c r="BA245" s="561">
        <v>0</v>
      </c>
      <c r="BB245" s="561">
        <v>0</v>
      </c>
      <c r="BC245" s="561">
        <v>0</v>
      </c>
      <c r="BD245" s="561">
        <v>0</v>
      </c>
      <c r="BE245" s="561">
        <v>0</v>
      </c>
      <c r="BF245" s="561">
        <v>0</v>
      </c>
      <c r="BG245" s="561">
        <v>0</v>
      </c>
      <c r="BH245" s="561">
        <v>0</v>
      </c>
      <c r="BI245" s="561">
        <v>0</v>
      </c>
      <c r="BJ245" s="561">
        <v>0</v>
      </c>
      <c r="BK245" s="561">
        <v>0</v>
      </c>
      <c r="BL245" s="561">
        <v>0</v>
      </c>
      <c r="BM245" s="561">
        <v>0</v>
      </c>
      <c r="BN245" s="561">
        <v>0</v>
      </c>
      <c r="BO245" s="561">
        <v>0</v>
      </c>
      <c r="BP245" s="561">
        <v>0</v>
      </c>
      <c r="BQ245" s="561">
        <v>0</v>
      </c>
      <c r="BR245" s="561">
        <v>0</v>
      </c>
      <c r="BS245" s="561">
        <v>0</v>
      </c>
      <c r="BT245" s="561">
        <v>0</v>
      </c>
      <c r="BU245" s="561">
        <v>0</v>
      </c>
      <c r="BV245" s="561">
        <v>0</v>
      </c>
      <c r="BW245" s="561">
        <v>0</v>
      </c>
      <c r="BX245" s="561">
        <v>0</v>
      </c>
      <c r="BY245" s="561">
        <v>0</v>
      </c>
      <c r="BZ245" s="561">
        <v>0</v>
      </c>
      <c r="CA245" s="561">
        <v>0</v>
      </c>
      <c r="CB245" s="561">
        <v>0</v>
      </c>
      <c r="CC245" s="561">
        <v>0</v>
      </c>
      <c r="CD245" s="561">
        <v>0</v>
      </c>
      <c r="CE245" s="561">
        <v>0</v>
      </c>
      <c r="CF245" s="561">
        <v>0</v>
      </c>
      <c r="CG245" s="561">
        <v>0</v>
      </c>
      <c r="CH245" s="561">
        <v>0</v>
      </c>
      <c r="CI245" s="561">
        <v>0</v>
      </c>
      <c r="CJ245" s="561">
        <v>0</v>
      </c>
      <c r="CK245" s="561">
        <v>0</v>
      </c>
      <c r="CL245" s="561">
        <v>0</v>
      </c>
      <c r="CM245" s="561">
        <v>0</v>
      </c>
      <c r="CN245" s="561">
        <v>0</v>
      </c>
      <c r="CO245" s="561">
        <v>0</v>
      </c>
      <c r="CP245" s="561">
        <v>0</v>
      </c>
      <c r="CQ245" s="561">
        <v>0</v>
      </c>
      <c r="CR245" s="561">
        <v>0</v>
      </c>
      <c r="CS245" s="561">
        <v>0</v>
      </c>
      <c r="CT245" s="561">
        <v>0</v>
      </c>
      <c r="CU245" s="561">
        <v>0</v>
      </c>
      <c r="CV245" s="561">
        <v>0</v>
      </c>
      <c r="CW245" s="561">
        <v>0</v>
      </c>
      <c r="CX245" s="561">
        <v>0</v>
      </c>
      <c r="CY245" s="561">
        <v>0</v>
      </c>
      <c r="CZ245" s="561">
        <v>0</v>
      </c>
      <c r="DA245" s="561">
        <v>0</v>
      </c>
      <c r="DB245" s="561">
        <v>0</v>
      </c>
      <c r="DC245" s="561">
        <v>0</v>
      </c>
      <c r="DD245" s="561">
        <v>0</v>
      </c>
      <c r="DE245" s="561">
        <v>0</v>
      </c>
      <c r="DF245" s="561">
        <v>0</v>
      </c>
      <c r="DG245" s="561">
        <v>0</v>
      </c>
      <c r="DH245" s="561">
        <v>0</v>
      </c>
      <c r="DI245" s="561">
        <v>0</v>
      </c>
      <c r="DJ245" s="561">
        <v>0</v>
      </c>
      <c r="DK245" s="561">
        <v>0</v>
      </c>
      <c r="DL245" s="561">
        <v>0</v>
      </c>
      <c r="DM245" s="561">
        <v>0</v>
      </c>
      <c r="DN245" s="561">
        <v>0</v>
      </c>
      <c r="DO245" s="561">
        <v>0</v>
      </c>
      <c r="DP245" s="561">
        <v>0</v>
      </c>
      <c r="DQ245" s="561">
        <v>0</v>
      </c>
      <c r="DR245" s="561">
        <v>0</v>
      </c>
      <c r="DS245" s="561">
        <v>0</v>
      </c>
      <c r="DT245" s="561">
        <v>0</v>
      </c>
      <c r="DU245" s="561">
        <v>0</v>
      </c>
      <c r="DV245" s="561">
        <v>0</v>
      </c>
      <c r="DW245" s="561">
        <v>0</v>
      </c>
      <c r="DX245" s="561">
        <v>0</v>
      </c>
      <c r="DY245" s="561">
        <v>0</v>
      </c>
      <c r="DZ245" s="561">
        <v>0</v>
      </c>
      <c r="EA245" s="561">
        <v>0</v>
      </c>
      <c r="EB245" s="561">
        <v>0</v>
      </c>
      <c r="EC245" s="561">
        <v>0</v>
      </c>
      <c r="ED245" s="561">
        <v>0</v>
      </c>
      <c r="EE245" s="561">
        <v>0</v>
      </c>
      <c r="EF245" s="561">
        <v>0</v>
      </c>
      <c r="EG245" s="561">
        <v>0</v>
      </c>
      <c r="EH245" s="561">
        <v>0</v>
      </c>
      <c r="EI245" s="561">
        <v>0</v>
      </c>
      <c r="EJ245" s="561">
        <v>0</v>
      </c>
      <c r="EK245" s="561">
        <v>0</v>
      </c>
      <c r="EL245" s="561">
        <v>0</v>
      </c>
      <c r="EM245" s="561">
        <v>0</v>
      </c>
      <c r="EN245" s="561">
        <v>0</v>
      </c>
      <c r="EO245" s="561">
        <v>0</v>
      </c>
      <c r="EP245" s="561">
        <v>0</v>
      </c>
      <c r="EQ245" s="561">
        <v>0</v>
      </c>
      <c r="ER245" s="561">
        <v>0</v>
      </c>
      <c r="ES245" s="561" t="s">
        <v>4565</v>
      </c>
      <c r="ET245" s="561">
        <v>0</v>
      </c>
      <c r="EU245" s="561">
        <v>0</v>
      </c>
      <c r="EV245" s="561">
        <v>0</v>
      </c>
      <c r="EW245" s="561">
        <v>0</v>
      </c>
      <c r="EX245" s="561">
        <v>0</v>
      </c>
      <c r="EY245" s="561">
        <v>0</v>
      </c>
      <c r="EZ245" s="561">
        <v>0</v>
      </c>
      <c r="FA245" s="561">
        <v>0</v>
      </c>
      <c r="FB245" s="561">
        <v>0</v>
      </c>
      <c r="FC245" s="561">
        <v>0</v>
      </c>
      <c r="FD245" s="561">
        <v>0</v>
      </c>
      <c r="FE245" s="561">
        <v>0</v>
      </c>
      <c r="FF245" s="561">
        <v>0</v>
      </c>
      <c r="FG245" s="561">
        <v>0</v>
      </c>
      <c r="FH245" s="561">
        <v>0</v>
      </c>
      <c r="FI245" s="561">
        <v>0</v>
      </c>
      <c r="FJ245" s="561">
        <v>0</v>
      </c>
      <c r="FK245" s="561">
        <v>0</v>
      </c>
      <c r="FL245" s="561">
        <v>0</v>
      </c>
      <c r="FM245" s="561">
        <v>0</v>
      </c>
      <c r="FN245" s="561">
        <v>0</v>
      </c>
      <c r="FO245" s="561">
        <v>0</v>
      </c>
      <c r="FP245" s="561">
        <v>0</v>
      </c>
      <c r="FQ245" s="561">
        <v>0</v>
      </c>
      <c r="FR245" s="561">
        <v>0</v>
      </c>
      <c r="FS245" s="561">
        <v>0</v>
      </c>
      <c r="FT245" s="561">
        <v>0</v>
      </c>
      <c r="FU245" s="561">
        <v>0</v>
      </c>
      <c r="FV245" s="561">
        <v>0</v>
      </c>
      <c r="FW245" s="561">
        <v>0</v>
      </c>
      <c r="FX245" s="561">
        <v>0</v>
      </c>
      <c r="FY245" s="561">
        <v>0</v>
      </c>
      <c r="FZ245" s="561">
        <v>0</v>
      </c>
      <c r="GA245" s="561">
        <v>0</v>
      </c>
      <c r="GB245" s="561">
        <v>0</v>
      </c>
      <c r="GC245" s="561">
        <v>0</v>
      </c>
      <c r="GD245" s="561">
        <v>0</v>
      </c>
      <c r="GE245" s="561">
        <v>0</v>
      </c>
      <c r="GF245" s="561">
        <v>0</v>
      </c>
      <c r="GG245" s="561">
        <v>0</v>
      </c>
      <c r="GH245" s="561">
        <v>0</v>
      </c>
      <c r="GI245" s="561">
        <v>0</v>
      </c>
      <c r="GJ245" s="561">
        <v>0</v>
      </c>
      <c r="GK245" s="561">
        <v>0</v>
      </c>
      <c r="GL245" s="561">
        <v>0</v>
      </c>
      <c r="GM245" s="561">
        <v>0</v>
      </c>
      <c r="GN245" s="561">
        <v>53884</v>
      </c>
      <c r="GO245" s="561">
        <v>0</v>
      </c>
      <c r="GP245" s="561">
        <v>9537</v>
      </c>
      <c r="GQ245" s="561">
        <v>773</v>
      </c>
      <c r="GR245" s="561">
        <v>0</v>
      </c>
      <c r="GS245" s="561">
        <v>64194</v>
      </c>
      <c r="GT245" s="561">
        <v>0</v>
      </c>
      <c r="GU245" s="561">
        <v>0</v>
      </c>
      <c r="GV245" s="561">
        <v>0</v>
      </c>
      <c r="GW245" s="561">
        <v>0</v>
      </c>
      <c r="GX245" s="561">
        <v>0</v>
      </c>
      <c r="GY245" s="561">
        <v>0</v>
      </c>
      <c r="GZ245" s="561">
        <v>0</v>
      </c>
      <c r="HA245" s="561">
        <v>0</v>
      </c>
      <c r="HB245" s="561">
        <v>0</v>
      </c>
      <c r="HC245" s="561">
        <v>0</v>
      </c>
      <c r="HD245" s="561">
        <v>0</v>
      </c>
      <c r="HE245" s="561">
        <v>0</v>
      </c>
      <c r="HF245" s="561">
        <v>64194</v>
      </c>
      <c r="HG245" s="561">
        <v>0</v>
      </c>
      <c r="HH245" s="561">
        <v>0</v>
      </c>
      <c r="HI245" s="561">
        <v>0</v>
      </c>
      <c r="HJ245" s="561">
        <v>0</v>
      </c>
      <c r="HK245" s="561">
        <v>0</v>
      </c>
      <c r="HL245" s="561">
        <v>0</v>
      </c>
      <c r="HM245" s="561">
        <v>0</v>
      </c>
      <c r="HN245" s="561">
        <v>0</v>
      </c>
      <c r="HO245" s="561">
        <v>0</v>
      </c>
      <c r="HP245" s="561">
        <v>0</v>
      </c>
      <c r="HQ245" s="561">
        <v>0</v>
      </c>
      <c r="HR245" s="561">
        <v>0</v>
      </c>
      <c r="HS245" s="561">
        <v>0</v>
      </c>
      <c r="HT245" s="561">
        <v>0</v>
      </c>
      <c r="HU245" s="561">
        <v>0</v>
      </c>
      <c r="HV245" s="561">
        <v>0</v>
      </c>
      <c r="HW245" s="561">
        <v>0</v>
      </c>
      <c r="HX245" s="561">
        <v>0</v>
      </c>
      <c r="HY245" s="561">
        <v>0</v>
      </c>
      <c r="HZ245" s="561">
        <v>0</v>
      </c>
      <c r="IA245" s="561">
        <v>0</v>
      </c>
      <c r="IB245" s="561">
        <v>0</v>
      </c>
      <c r="IC245" s="561">
        <v>0</v>
      </c>
      <c r="ID245" s="561">
        <v>0</v>
      </c>
      <c r="IE245" s="561">
        <v>0</v>
      </c>
      <c r="IF245" s="561">
        <v>0</v>
      </c>
      <c r="IG245" s="561">
        <v>0</v>
      </c>
      <c r="IH245" s="561">
        <v>0</v>
      </c>
      <c r="II245" s="561">
        <v>0</v>
      </c>
      <c r="IJ245" s="561">
        <v>0</v>
      </c>
      <c r="IK245" s="561">
        <v>0</v>
      </c>
      <c r="IL245" s="561">
        <v>0</v>
      </c>
      <c r="IM245" s="561">
        <v>0</v>
      </c>
      <c r="IN245" s="561">
        <v>0</v>
      </c>
      <c r="IO245" s="561">
        <v>0</v>
      </c>
      <c r="IP245" s="561">
        <v>0</v>
      </c>
      <c r="IQ245" s="561">
        <v>0</v>
      </c>
      <c r="IR245" s="561">
        <v>0</v>
      </c>
      <c r="IS245" s="561">
        <v>0</v>
      </c>
      <c r="IT245" s="561">
        <v>0</v>
      </c>
      <c r="IU245" s="561">
        <v>0</v>
      </c>
      <c r="IV245" s="561">
        <v>0</v>
      </c>
      <c r="IW245" s="561">
        <v>0</v>
      </c>
      <c r="IX245" s="561">
        <v>0</v>
      </c>
      <c r="IY245" s="561">
        <v>64194</v>
      </c>
      <c r="IZ245" s="561">
        <v>0</v>
      </c>
      <c r="JA245" s="561">
        <v>0</v>
      </c>
      <c r="JB245" s="561">
        <v>0</v>
      </c>
      <c r="JC245" s="561">
        <v>0</v>
      </c>
      <c r="JD245" s="561">
        <v>0</v>
      </c>
      <c r="JE245" s="561">
        <v>64194</v>
      </c>
      <c r="JF245" s="561">
        <v>0</v>
      </c>
      <c r="JG245" s="561">
        <v>0</v>
      </c>
      <c r="JH245" s="561">
        <v>0</v>
      </c>
      <c r="JI245" s="561">
        <v>0</v>
      </c>
      <c r="JJ245" s="561">
        <v>0</v>
      </c>
      <c r="JK245" s="561">
        <v>0</v>
      </c>
      <c r="JL245" s="561">
        <v>0</v>
      </c>
      <c r="JM245" s="561">
        <v>-72867.27</v>
      </c>
      <c r="JN245" s="561">
        <v>0</v>
      </c>
      <c r="JO245" s="561">
        <v>0</v>
      </c>
      <c r="JP245" s="561">
        <v>0</v>
      </c>
      <c r="JQ245" s="561">
        <v>0</v>
      </c>
      <c r="JR245" s="561">
        <v>0</v>
      </c>
      <c r="JS245" s="561">
        <v>0</v>
      </c>
      <c r="JT245" s="561">
        <v>0</v>
      </c>
      <c r="JU245" s="561">
        <v>0</v>
      </c>
      <c r="JV245" s="561">
        <v>-8673.27</v>
      </c>
      <c r="JW245" s="561">
        <v>0</v>
      </c>
      <c r="JX245" s="561">
        <v>0</v>
      </c>
      <c r="JY245" s="561">
        <v>0</v>
      </c>
      <c r="JZ245" s="561">
        <v>0</v>
      </c>
      <c r="KA245" s="561">
        <v>0</v>
      </c>
      <c r="KB245" s="561">
        <v>0</v>
      </c>
      <c r="KC245" s="561">
        <v>6303</v>
      </c>
      <c r="KD245" s="561">
        <v>0</v>
      </c>
      <c r="KE245" s="561">
        <v>5581</v>
      </c>
      <c r="KF245" s="561">
        <v>0</v>
      </c>
      <c r="KG245" s="561">
        <v>3210.73</v>
      </c>
      <c r="KH245" s="561">
        <v>-7921</v>
      </c>
      <c r="KI245" s="561">
        <v>0</v>
      </c>
      <c r="KJ245" s="561">
        <v>0</v>
      </c>
      <c r="KK245" s="561">
        <v>0</v>
      </c>
      <c r="KL245" s="561">
        <v>0</v>
      </c>
      <c r="KM245" s="561">
        <v>0</v>
      </c>
      <c r="KN245" s="561">
        <v>0</v>
      </c>
      <c r="KO245" s="561">
        <v>0</v>
      </c>
      <c r="KP245" s="561">
        <v>0</v>
      </c>
      <c r="KQ245" s="561">
        <v>0</v>
      </c>
      <c r="KR245" s="561">
        <v>-4710.2700000000004</v>
      </c>
      <c r="KS245" s="561">
        <v>0</v>
      </c>
      <c r="KT245" s="561">
        <v>0</v>
      </c>
      <c r="KU245" s="561">
        <v>-4710.2700000000004</v>
      </c>
      <c r="KV245" s="561">
        <v>0</v>
      </c>
      <c r="KW245" s="561">
        <v>0</v>
      </c>
      <c r="KX245" s="561">
        <v>0</v>
      </c>
      <c r="KY245" s="561">
        <v>0</v>
      </c>
      <c r="KZ245" s="561">
        <v>7920</v>
      </c>
      <c r="LA245" s="561">
        <v>-3210</v>
      </c>
      <c r="LB245" s="561">
        <v>0</v>
      </c>
      <c r="LC245" s="561">
        <v>0</v>
      </c>
      <c r="LD245" s="561">
        <v>0</v>
      </c>
      <c r="LE245" s="561">
        <v>0</v>
      </c>
      <c r="LF245" s="561">
        <v>0</v>
      </c>
      <c r="LG245" s="561">
        <v>0</v>
      </c>
      <c r="LH245" s="561">
        <v>0</v>
      </c>
      <c r="LI245" s="561">
        <v>0</v>
      </c>
      <c r="LJ245" s="561">
        <v>0</v>
      </c>
      <c r="LK245" s="561">
        <v>0</v>
      </c>
      <c r="LL245" s="561">
        <v>3833</v>
      </c>
      <c r="LM245" s="561">
        <v>10704</v>
      </c>
      <c r="LN245" s="561">
        <v>0</v>
      </c>
      <c r="LO245" s="561">
        <v>0</v>
      </c>
      <c r="LP245" s="561">
        <v>0</v>
      </c>
      <c r="LQ245" s="561">
        <v>0</v>
      </c>
      <c r="LR245" s="561">
        <v>11753</v>
      </c>
      <c r="LS245" s="561">
        <v>7494</v>
      </c>
      <c r="LT245" s="561">
        <v>134</v>
      </c>
      <c r="LU245" s="561">
        <v>0</v>
      </c>
      <c r="LV245" s="561">
        <v>0</v>
      </c>
      <c r="LW245" s="561">
        <v>0</v>
      </c>
      <c r="LX245" s="561">
        <v>0</v>
      </c>
      <c r="LY245" s="561">
        <v>0</v>
      </c>
      <c r="LZ245" s="561">
        <v>0</v>
      </c>
      <c r="MA245" s="561">
        <v>0</v>
      </c>
      <c r="MB245" s="561">
        <v>0</v>
      </c>
      <c r="MC245" s="561">
        <v>0</v>
      </c>
      <c r="MD245" s="561">
        <v>0</v>
      </c>
      <c r="ME245" s="561">
        <v>0</v>
      </c>
      <c r="MF245" s="561">
        <v>0</v>
      </c>
      <c r="MG245" s="561">
        <v>0</v>
      </c>
      <c r="MH245" s="561">
        <v>0</v>
      </c>
      <c r="MI245" s="561">
        <v>0</v>
      </c>
      <c r="MJ245" s="561">
        <v>0</v>
      </c>
      <c r="MK245" s="561">
        <v>0</v>
      </c>
      <c r="ML245" s="561">
        <v>0</v>
      </c>
      <c r="MM245" s="561">
        <v>0</v>
      </c>
      <c r="MN245" s="561">
        <v>11753</v>
      </c>
      <c r="MO245" s="561">
        <v>0</v>
      </c>
      <c r="MP245" s="561">
        <v>0</v>
      </c>
      <c r="MQ245" s="561">
        <v>0</v>
      </c>
      <c r="MR245" s="561">
        <v>0</v>
      </c>
      <c r="MS245" s="561">
        <v>0</v>
      </c>
      <c r="MT245" s="561">
        <v>0</v>
      </c>
      <c r="MU245" s="561">
        <v>0</v>
      </c>
      <c r="MV245" s="561">
        <v>0</v>
      </c>
      <c r="MW245" s="561">
        <v>0</v>
      </c>
      <c r="MX245" s="561">
        <v>64194</v>
      </c>
      <c r="MY245" s="561">
        <v>0</v>
      </c>
      <c r="MZ245" s="561">
        <v>0</v>
      </c>
      <c r="NA245" s="561">
        <v>0</v>
      </c>
      <c r="NB245" s="561">
        <v>0</v>
      </c>
      <c r="NC245" s="561">
        <v>0</v>
      </c>
      <c r="ND245" s="561">
        <v>64194</v>
      </c>
      <c r="NE245" s="561">
        <v>0</v>
      </c>
      <c r="NF245" s="561">
        <v>0</v>
      </c>
      <c r="NG245" s="561">
        <v>0</v>
      </c>
      <c r="NH245" s="561">
        <v>0</v>
      </c>
      <c r="NI245" s="561">
        <v>0</v>
      </c>
      <c r="NJ245" s="561">
        <v>0</v>
      </c>
      <c r="NK245" s="561">
        <v>0</v>
      </c>
      <c r="NL245" s="561">
        <v>0</v>
      </c>
      <c r="NM245" s="561">
        <v>0</v>
      </c>
      <c r="NN245" s="561">
        <v>0</v>
      </c>
      <c r="NO245" s="561">
        <v>0</v>
      </c>
      <c r="NP245" s="561">
        <v>0</v>
      </c>
      <c r="NQ245" s="561">
        <v>0</v>
      </c>
      <c r="NR245" s="561">
        <v>0</v>
      </c>
      <c r="NS245" s="561">
        <v>0</v>
      </c>
      <c r="NT245" s="561">
        <v>0</v>
      </c>
      <c r="NU245" s="561">
        <v>4</v>
      </c>
      <c r="NV245" s="561">
        <v>0</v>
      </c>
      <c r="NW245" s="561">
        <v>0</v>
      </c>
      <c r="NX245" s="561">
        <v>0</v>
      </c>
      <c r="NY245" s="561">
        <v>0</v>
      </c>
      <c r="NZ245" s="561">
        <v>0</v>
      </c>
      <c r="OA245" s="561">
        <v>0</v>
      </c>
      <c r="OB245" s="561">
        <v>0</v>
      </c>
      <c r="OC245" s="561">
        <v>0</v>
      </c>
      <c r="OD245" s="561">
        <v>0</v>
      </c>
      <c r="OE245" s="561">
        <v>0</v>
      </c>
      <c r="OF245" s="561">
        <v>0</v>
      </c>
      <c r="OG245" s="561">
        <v>0</v>
      </c>
      <c r="OH245" s="561">
        <v>0</v>
      </c>
      <c r="OI245" s="561">
        <v>0</v>
      </c>
      <c r="OJ245" s="561">
        <v>0</v>
      </c>
      <c r="OK245" s="561">
        <v>0</v>
      </c>
      <c r="OL245" s="561">
        <v>0</v>
      </c>
      <c r="OM245" s="561">
        <v>0</v>
      </c>
      <c r="ON245" s="561">
        <v>0</v>
      </c>
      <c r="OO245" s="561">
        <v>0</v>
      </c>
      <c r="OP245" s="561">
        <v>0</v>
      </c>
      <c r="OQ245" s="561">
        <v>0</v>
      </c>
      <c r="OR245" s="561">
        <v>0</v>
      </c>
      <c r="OS245" s="561">
        <v>0</v>
      </c>
      <c r="OT245" s="561">
        <v>0</v>
      </c>
      <c r="OU245" s="561">
        <v>0</v>
      </c>
      <c r="OV245" s="561">
        <v>971.29551000000004</v>
      </c>
      <c r="OW245" s="561">
        <v>0</v>
      </c>
      <c r="OX245" s="561">
        <v>0</v>
      </c>
      <c r="OY245" s="561">
        <v>0</v>
      </c>
      <c r="OZ245" s="561">
        <v>0</v>
      </c>
      <c r="PA245" s="561">
        <v>0</v>
      </c>
      <c r="PB245" s="561">
        <v>0</v>
      </c>
      <c r="PC245" s="561">
        <v>0</v>
      </c>
      <c r="PD245" s="561">
        <v>0</v>
      </c>
      <c r="PE245" s="561">
        <v>0</v>
      </c>
      <c r="PF245" s="561">
        <v>0</v>
      </c>
      <c r="PG245" s="561">
        <v>0</v>
      </c>
      <c r="PH245" s="561">
        <v>0</v>
      </c>
      <c r="PI245" s="561">
        <v>0</v>
      </c>
      <c r="PJ245" s="561">
        <v>0</v>
      </c>
    </row>
    <row r="246" spans="1:426" ht="14" x14ac:dyDescent="0.3">
      <c r="A246" t="s">
        <v>3181</v>
      </c>
      <c r="B246" t="s">
        <v>3182</v>
      </c>
      <c r="C246" t="s">
        <v>3183</v>
      </c>
      <c r="E246" t="s">
        <v>384</v>
      </c>
      <c r="F246" s="561">
        <v>0</v>
      </c>
      <c r="G246" s="561">
        <v>0</v>
      </c>
      <c r="H246" s="561">
        <v>0</v>
      </c>
      <c r="I246" s="561">
        <v>0</v>
      </c>
      <c r="J246" s="561">
        <v>0</v>
      </c>
      <c r="K246" s="561">
        <v>0</v>
      </c>
      <c r="L246" s="561">
        <v>0</v>
      </c>
      <c r="M246" s="561">
        <v>0</v>
      </c>
      <c r="N246" s="561">
        <v>108</v>
      </c>
      <c r="O246" s="561">
        <v>0</v>
      </c>
      <c r="P246" s="561">
        <v>0</v>
      </c>
      <c r="Q246" s="561">
        <v>0</v>
      </c>
      <c r="R246" s="561">
        <v>0</v>
      </c>
      <c r="S246" s="561">
        <v>0</v>
      </c>
      <c r="T246" s="561">
        <v>0</v>
      </c>
      <c r="U246" s="561">
        <v>0</v>
      </c>
      <c r="V246" s="561">
        <v>0</v>
      </c>
      <c r="W246" s="561">
        <v>0</v>
      </c>
      <c r="X246" s="561">
        <v>0</v>
      </c>
      <c r="Y246" s="561">
        <v>0</v>
      </c>
      <c r="Z246" s="561">
        <v>0</v>
      </c>
      <c r="AA246" s="561">
        <v>0</v>
      </c>
      <c r="AB246" s="561">
        <v>-2178</v>
      </c>
      <c r="AC246" s="561">
        <v>0</v>
      </c>
      <c r="AD246" s="561">
        <v>0</v>
      </c>
      <c r="AE246" s="561">
        <v>0</v>
      </c>
      <c r="AF246" s="561">
        <v>0</v>
      </c>
      <c r="AG246" s="561">
        <v>0</v>
      </c>
      <c r="AH246" s="561">
        <v>0</v>
      </c>
      <c r="AI246" s="561">
        <v>0</v>
      </c>
      <c r="AJ246" s="561">
        <v>-2070</v>
      </c>
      <c r="AK246" s="561">
        <v>0</v>
      </c>
      <c r="AL246" s="561">
        <v>0</v>
      </c>
      <c r="AM246" s="561">
        <v>0</v>
      </c>
      <c r="AN246" s="561">
        <v>0</v>
      </c>
      <c r="AO246" s="561">
        <v>0</v>
      </c>
      <c r="AP246" s="561">
        <v>0</v>
      </c>
      <c r="AQ246" s="561">
        <v>0</v>
      </c>
      <c r="AR246" s="561">
        <v>0</v>
      </c>
      <c r="AS246" s="561">
        <v>0</v>
      </c>
      <c r="AT246" s="561">
        <v>0</v>
      </c>
      <c r="AU246" s="561">
        <v>0</v>
      </c>
      <c r="AV246" s="561">
        <v>0</v>
      </c>
      <c r="AW246" s="561">
        <v>0</v>
      </c>
      <c r="AX246" s="561">
        <v>0</v>
      </c>
      <c r="AY246" s="561">
        <v>0</v>
      </c>
      <c r="AZ246" s="561">
        <v>0</v>
      </c>
      <c r="BA246" s="561">
        <v>0</v>
      </c>
      <c r="BB246" s="561">
        <v>0</v>
      </c>
      <c r="BC246" s="561">
        <v>0</v>
      </c>
      <c r="BD246" s="561">
        <v>0</v>
      </c>
      <c r="BE246" s="561">
        <v>0</v>
      </c>
      <c r="BF246" s="561">
        <v>0</v>
      </c>
      <c r="BG246" s="561">
        <v>0</v>
      </c>
      <c r="BH246" s="561">
        <v>0</v>
      </c>
      <c r="BI246" s="561">
        <v>0</v>
      </c>
      <c r="BJ246" s="561">
        <v>0</v>
      </c>
      <c r="BK246" s="561">
        <v>0</v>
      </c>
      <c r="BL246" s="561">
        <v>0</v>
      </c>
      <c r="BM246" s="561">
        <v>0</v>
      </c>
      <c r="BN246" s="561">
        <v>0</v>
      </c>
      <c r="BO246" s="561">
        <v>0</v>
      </c>
      <c r="BP246" s="561">
        <v>0</v>
      </c>
      <c r="BQ246" s="561">
        <v>0</v>
      </c>
      <c r="BR246" s="561">
        <v>0</v>
      </c>
      <c r="BS246" s="561">
        <v>0</v>
      </c>
      <c r="BT246" s="561">
        <v>0</v>
      </c>
      <c r="BU246" s="561">
        <v>0</v>
      </c>
      <c r="BV246" s="561">
        <v>0</v>
      </c>
      <c r="BW246" s="561">
        <v>0</v>
      </c>
      <c r="BX246" s="561">
        <v>0</v>
      </c>
      <c r="BY246" s="561">
        <v>0</v>
      </c>
      <c r="BZ246" s="561">
        <v>0</v>
      </c>
      <c r="CA246" s="561">
        <v>0</v>
      </c>
      <c r="CB246" s="561">
        <v>0</v>
      </c>
      <c r="CC246" s="561">
        <v>0</v>
      </c>
      <c r="CD246" s="561">
        <v>0</v>
      </c>
      <c r="CE246" s="561">
        <v>0</v>
      </c>
      <c r="CF246" s="561">
        <v>0</v>
      </c>
      <c r="CG246" s="561">
        <v>0</v>
      </c>
      <c r="CH246" s="561">
        <v>0</v>
      </c>
      <c r="CI246" s="561">
        <v>0</v>
      </c>
      <c r="CJ246" s="561">
        <v>0</v>
      </c>
      <c r="CK246" s="561">
        <v>0</v>
      </c>
      <c r="CL246" s="561">
        <v>0</v>
      </c>
      <c r="CM246" s="561">
        <v>0</v>
      </c>
      <c r="CN246" s="561">
        <v>0</v>
      </c>
      <c r="CO246" s="561">
        <v>0</v>
      </c>
      <c r="CP246" s="561">
        <v>0</v>
      </c>
      <c r="CQ246" s="561">
        <v>0</v>
      </c>
      <c r="CR246" s="561">
        <v>0</v>
      </c>
      <c r="CS246" s="561">
        <v>0</v>
      </c>
      <c r="CT246" s="561">
        <v>0</v>
      </c>
      <c r="CU246" s="561">
        <v>0</v>
      </c>
      <c r="CV246" s="561">
        <v>0</v>
      </c>
      <c r="CW246" s="561">
        <v>0</v>
      </c>
      <c r="CX246" s="561">
        <v>0</v>
      </c>
      <c r="CY246" s="561">
        <v>0</v>
      </c>
      <c r="CZ246" s="561">
        <v>0</v>
      </c>
      <c r="DA246" s="561">
        <v>0</v>
      </c>
      <c r="DB246" s="561">
        <v>0</v>
      </c>
      <c r="DC246" s="561">
        <v>0</v>
      </c>
      <c r="DD246" s="561">
        <v>0</v>
      </c>
      <c r="DE246" s="561">
        <v>0</v>
      </c>
      <c r="DF246" s="561">
        <v>0</v>
      </c>
      <c r="DG246" s="561">
        <v>0</v>
      </c>
      <c r="DH246" s="561">
        <v>619</v>
      </c>
      <c r="DI246" s="561">
        <v>0</v>
      </c>
      <c r="DJ246" s="561">
        <v>406</v>
      </c>
      <c r="DK246" s="561">
        <v>0</v>
      </c>
      <c r="DL246" s="561">
        <v>0</v>
      </c>
      <c r="DM246" s="561">
        <v>52</v>
      </c>
      <c r="DN246" s="561">
        <v>0</v>
      </c>
      <c r="DO246" s="561">
        <v>769</v>
      </c>
      <c r="DP246" s="561">
        <v>110</v>
      </c>
      <c r="DQ246" s="561">
        <v>0</v>
      </c>
      <c r="DR246" s="561">
        <v>0</v>
      </c>
      <c r="DS246" s="561">
        <v>0</v>
      </c>
      <c r="DT246" s="561">
        <v>0</v>
      </c>
      <c r="DU246" s="561">
        <v>931</v>
      </c>
      <c r="DV246" s="561">
        <v>-85</v>
      </c>
      <c r="DW246" s="561">
        <v>0</v>
      </c>
      <c r="DX246" s="561">
        <v>0</v>
      </c>
      <c r="DY246" s="561">
        <v>763</v>
      </c>
      <c r="DZ246" s="561">
        <v>19</v>
      </c>
      <c r="EA246" s="561">
        <v>94</v>
      </c>
      <c r="EB246" s="561">
        <v>0</v>
      </c>
      <c r="EC246" s="561">
        <v>2747</v>
      </c>
      <c r="ED246" s="561">
        <v>0</v>
      </c>
      <c r="EE246" s="561">
        <v>0</v>
      </c>
      <c r="EF246" s="561">
        <v>0</v>
      </c>
      <c r="EG246" s="561">
        <v>0</v>
      </c>
      <c r="EH246" s="561">
        <v>0</v>
      </c>
      <c r="EI246" s="561">
        <v>0</v>
      </c>
      <c r="EJ246" s="561">
        <v>0</v>
      </c>
      <c r="EK246" s="561">
        <v>0</v>
      </c>
      <c r="EL246" s="561">
        <v>0</v>
      </c>
      <c r="EM246" s="561">
        <v>0</v>
      </c>
      <c r="EN246" s="561">
        <v>0</v>
      </c>
      <c r="EO246" s="561">
        <v>0</v>
      </c>
      <c r="EP246" s="561">
        <v>0</v>
      </c>
      <c r="EQ246" s="561">
        <v>0</v>
      </c>
      <c r="ER246" s="561">
        <v>0</v>
      </c>
      <c r="ES246" s="561" t="s">
        <v>4565</v>
      </c>
      <c r="ET246" s="561">
        <v>0</v>
      </c>
      <c r="EU246" s="561">
        <v>0</v>
      </c>
      <c r="EV246" s="561">
        <v>0</v>
      </c>
      <c r="EW246" s="561">
        <v>0</v>
      </c>
      <c r="EX246" s="561">
        <v>0</v>
      </c>
      <c r="EY246" s="561">
        <v>0</v>
      </c>
      <c r="EZ246" s="561">
        <v>0</v>
      </c>
      <c r="FA246" s="561">
        <v>0</v>
      </c>
      <c r="FB246" s="561">
        <v>0</v>
      </c>
      <c r="FC246" s="561">
        <v>0</v>
      </c>
      <c r="FD246" s="561">
        <v>67</v>
      </c>
      <c r="FE246" s="561">
        <v>0</v>
      </c>
      <c r="FF246" s="561">
        <v>0</v>
      </c>
      <c r="FG246" s="561">
        <v>-59</v>
      </c>
      <c r="FH246" s="561">
        <v>1731</v>
      </c>
      <c r="FI246" s="561">
        <v>155</v>
      </c>
      <c r="FJ246" s="561">
        <v>-843</v>
      </c>
      <c r="FK246" s="561">
        <v>896</v>
      </c>
      <c r="FL246" s="561">
        <v>22</v>
      </c>
      <c r="FM246" s="561">
        <v>266</v>
      </c>
      <c r="FN246" s="561">
        <v>0</v>
      </c>
      <c r="FO246" s="561">
        <v>2235</v>
      </c>
      <c r="FP246" s="561">
        <v>0</v>
      </c>
      <c r="FQ246" s="561">
        <v>0</v>
      </c>
      <c r="FR246" s="561">
        <v>0</v>
      </c>
      <c r="FS246" s="561">
        <v>85</v>
      </c>
      <c r="FT246" s="561">
        <v>428</v>
      </c>
      <c r="FU246" s="561">
        <v>598</v>
      </c>
      <c r="FV246" s="561">
        <v>172</v>
      </c>
      <c r="FW246" s="561">
        <v>166</v>
      </c>
      <c r="FX246" s="561">
        <v>0</v>
      </c>
      <c r="FY246" s="561">
        <v>0</v>
      </c>
      <c r="FZ246" s="561">
        <v>29</v>
      </c>
      <c r="GA246" s="561">
        <v>965</v>
      </c>
      <c r="GB246" s="561">
        <v>92</v>
      </c>
      <c r="GC246" s="561">
        <v>-109</v>
      </c>
      <c r="GD246" s="561">
        <v>34</v>
      </c>
      <c r="GE246" s="561">
        <v>0</v>
      </c>
      <c r="GF246" s="561">
        <v>0</v>
      </c>
      <c r="GG246" s="561">
        <v>44</v>
      </c>
      <c r="GH246" s="561">
        <v>0</v>
      </c>
      <c r="GI246" s="561">
        <v>529</v>
      </c>
      <c r="GJ246" s="561">
        <v>1209</v>
      </c>
      <c r="GK246" s="561">
        <v>0</v>
      </c>
      <c r="GL246" s="561">
        <v>883</v>
      </c>
      <c r="GM246" s="561">
        <v>1479</v>
      </c>
      <c r="GN246" s="561">
        <v>0</v>
      </c>
      <c r="GO246" s="561">
        <v>-649</v>
      </c>
      <c r="GP246" s="561">
        <v>1441</v>
      </c>
      <c r="GQ246" s="561">
        <v>-1014</v>
      </c>
      <c r="GR246" s="561">
        <v>0</v>
      </c>
      <c r="GS246" s="561">
        <v>6382</v>
      </c>
      <c r="GT246" s="561">
        <v>58</v>
      </c>
      <c r="GU246" s="561">
        <v>258</v>
      </c>
      <c r="GV246" s="561">
        <v>1258</v>
      </c>
      <c r="GW246" s="561">
        <v>382</v>
      </c>
      <c r="GX246" s="561">
        <v>616</v>
      </c>
      <c r="GY246" s="561">
        <v>224</v>
      </c>
      <c r="GZ246" s="561">
        <v>873</v>
      </c>
      <c r="HA246" s="561">
        <v>0</v>
      </c>
      <c r="HB246" s="561">
        <v>0</v>
      </c>
      <c r="HC246" s="561">
        <v>0</v>
      </c>
      <c r="HD246" s="561">
        <v>3611</v>
      </c>
      <c r="HE246" s="561">
        <v>0</v>
      </c>
      <c r="HF246" s="561">
        <v>12228</v>
      </c>
      <c r="HG246" s="561">
        <v>0</v>
      </c>
      <c r="HH246" s="561">
        <v>0</v>
      </c>
      <c r="HI246" s="561">
        <v>0</v>
      </c>
      <c r="HJ246" s="561">
        <v>0</v>
      </c>
      <c r="HK246" s="561">
        <v>0</v>
      </c>
      <c r="HL246" s="561">
        <v>0</v>
      </c>
      <c r="HM246" s="561">
        <v>0</v>
      </c>
      <c r="HN246" s="561">
        <v>0</v>
      </c>
      <c r="HO246" s="561">
        <v>2610</v>
      </c>
      <c r="HP246" s="561">
        <v>1021</v>
      </c>
      <c r="HQ246" s="561">
        <v>0</v>
      </c>
      <c r="HR246" s="561">
        <v>0</v>
      </c>
      <c r="HS246" s="561">
        <v>971</v>
      </c>
      <c r="HT246" s="561">
        <v>150</v>
      </c>
      <c r="HU246" s="561">
        <v>0</v>
      </c>
      <c r="HV246" s="561">
        <v>0</v>
      </c>
      <c r="HW246" s="561">
        <v>177</v>
      </c>
      <c r="HX246" s="561">
        <v>472</v>
      </c>
      <c r="HY246" s="561">
        <v>131</v>
      </c>
      <c r="HZ246" s="561">
        <v>-11</v>
      </c>
      <c r="IA246" s="561">
        <v>0</v>
      </c>
      <c r="IB246" s="561">
        <v>65</v>
      </c>
      <c r="IC246" s="561">
        <v>0</v>
      </c>
      <c r="ID246" s="561">
        <v>0</v>
      </c>
      <c r="IE246" s="561">
        <v>0</v>
      </c>
      <c r="IF246" s="561">
        <v>0</v>
      </c>
      <c r="IG246" s="561">
        <v>0</v>
      </c>
      <c r="IH246" s="561">
        <v>0</v>
      </c>
      <c r="II246" s="561">
        <v>5586</v>
      </c>
      <c r="IJ246" s="561">
        <v>247</v>
      </c>
      <c r="IK246" s="561">
        <v>3013</v>
      </c>
      <c r="IL246" s="561">
        <v>10134</v>
      </c>
      <c r="IM246" s="561">
        <v>0</v>
      </c>
      <c r="IN246" s="561">
        <v>0</v>
      </c>
      <c r="IO246" s="561">
        <v>548</v>
      </c>
      <c r="IP246" s="561">
        <v>-46</v>
      </c>
      <c r="IQ246" s="561">
        <v>0</v>
      </c>
      <c r="IR246" s="561">
        <v>0</v>
      </c>
      <c r="IS246" s="561">
        <v>-2070</v>
      </c>
      <c r="IT246" s="561">
        <v>0</v>
      </c>
      <c r="IU246" s="561">
        <v>0</v>
      </c>
      <c r="IV246" s="561">
        <v>0</v>
      </c>
      <c r="IW246" s="561">
        <v>2747</v>
      </c>
      <c r="IX246" s="561">
        <v>2235</v>
      </c>
      <c r="IY246" s="561">
        <v>6382</v>
      </c>
      <c r="IZ246" s="561">
        <v>3611</v>
      </c>
      <c r="JA246" s="561">
        <v>0</v>
      </c>
      <c r="JB246" s="561">
        <v>0</v>
      </c>
      <c r="JC246" s="561">
        <v>5586</v>
      </c>
      <c r="JD246" s="561">
        <v>-46</v>
      </c>
      <c r="JE246" s="561">
        <v>18445</v>
      </c>
      <c r="JF246" s="561">
        <v>19144</v>
      </c>
      <c r="JG246" s="561">
        <v>0</v>
      </c>
      <c r="JH246" s="561">
        <v>0</v>
      </c>
      <c r="JI246" s="561">
        <v>0</v>
      </c>
      <c r="JJ246" s="561">
        <v>0</v>
      </c>
      <c r="JK246" s="561">
        <v>3129</v>
      </c>
      <c r="JL246" s="561">
        <v>0</v>
      </c>
      <c r="JM246" s="561">
        <v>0</v>
      </c>
      <c r="JN246" s="561">
        <v>0</v>
      </c>
      <c r="JO246" s="561">
        <v>-27</v>
      </c>
      <c r="JP246" s="561">
        <v>-25</v>
      </c>
      <c r="JQ246" s="561">
        <v>0</v>
      </c>
      <c r="JR246" s="561">
        <v>0</v>
      </c>
      <c r="JS246" s="561">
        <v>0</v>
      </c>
      <c r="JT246" s="561">
        <v>0</v>
      </c>
      <c r="JU246" s="561">
        <v>0</v>
      </c>
      <c r="JV246" s="561">
        <v>40666</v>
      </c>
      <c r="JW246" s="561">
        <v>0</v>
      </c>
      <c r="JX246" s="561">
        <v>1079</v>
      </c>
      <c r="JY246" s="561">
        <v>0</v>
      </c>
      <c r="JZ246" s="561">
        <v>0</v>
      </c>
      <c r="KA246" s="561">
        <v>0</v>
      </c>
      <c r="KB246" s="561">
        <v>-80</v>
      </c>
      <c r="KC246" s="561">
        <v>570</v>
      </c>
      <c r="KD246" s="561">
        <v>0</v>
      </c>
      <c r="KE246" s="561">
        <v>334</v>
      </c>
      <c r="KF246" s="561">
        <v>0</v>
      </c>
      <c r="KG246" s="561">
        <v>42569</v>
      </c>
      <c r="KH246" s="561">
        <v>-1387</v>
      </c>
      <c r="KI246" s="561">
        <v>0</v>
      </c>
      <c r="KJ246" s="561">
        <v>0</v>
      </c>
      <c r="KK246" s="561">
        <v>0</v>
      </c>
      <c r="KL246" s="561">
        <v>-18384</v>
      </c>
      <c r="KM246" s="561">
        <v>0</v>
      </c>
      <c r="KN246" s="561">
        <v>0</v>
      </c>
      <c r="KO246" s="561">
        <v>0</v>
      </c>
      <c r="KP246" s="561">
        <v>0</v>
      </c>
      <c r="KQ246" s="561">
        <v>0</v>
      </c>
      <c r="KR246" s="561">
        <v>22798</v>
      </c>
      <c r="KS246" s="561">
        <v>0</v>
      </c>
      <c r="KT246" s="561">
        <v>-4069</v>
      </c>
      <c r="KU246" s="561">
        <v>18729</v>
      </c>
      <c r="KV246" s="561">
        <v>0</v>
      </c>
      <c r="KW246" s="561">
        <v>0</v>
      </c>
      <c r="KX246" s="561">
        <v>0</v>
      </c>
      <c r="KY246" s="561">
        <v>0</v>
      </c>
      <c r="KZ246" s="561">
        <v>-1572</v>
      </c>
      <c r="LA246" s="561">
        <v>602</v>
      </c>
      <c r="LB246" s="561">
        <v>-309</v>
      </c>
      <c r="LC246" s="561">
        <v>0</v>
      </c>
      <c r="LD246" s="561">
        <v>-7119</v>
      </c>
      <c r="LE246" s="561">
        <v>-108</v>
      </c>
      <c r="LF246" s="561">
        <v>-98</v>
      </c>
      <c r="LG246" s="561">
        <v>10125</v>
      </c>
      <c r="LH246" s="561">
        <v>0</v>
      </c>
      <c r="LI246" s="561">
        <v>0</v>
      </c>
      <c r="LJ246" s="561">
        <v>0</v>
      </c>
      <c r="LK246" s="561">
        <v>0</v>
      </c>
      <c r="LL246" s="561">
        <v>15249</v>
      </c>
      <c r="LM246" s="561">
        <v>2223</v>
      </c>
      <c r="LN246" s="561">
        <v>0</v>
      </c>
      <c r="LO246" s="561">
        <v>0</v>
      </c>
      <c r="LP246" s="561">
        <v>0</v>
      </c>
      <c r="LQ246" s="561">
        <v>0</v>
      </c>
      <c r="LR246" s="561">
        <v>13677</v>
      </c>
      <c r="LS246" s="561">
        <v>2825</v>
      </c>
      <c r="LT246" s="561">
        <v>0</v>
      </c>
      <c r="LU246" s="561">
        <v>3118</v>
      </c>
      <c r="LV246" s="561">
        <v>166</v>
      </c>
      <c r="LW246" s="561">
        <v>0</v>
      </c>
      <c r="LX246" s="561">
        <v>0</v>
      </c>
      <c r="LY246" s="561">
        <v>327</v>
      </c>
      <c r="LZ246" s="561">
        <v>3528</v>
      </c>
      <c r="MA246" s="561">
        <v>0</v>
      </c>
      <c r="MB246" s="561">
        <v>0</v>
      </c>
      <c r="MC246" s="561">
        <v>0</v>
      </c>
      <c r="MD246" s="561">
        <v>0</v>
      </c>
      <c r="ME246" s="561">
        <v>0</v>
      </c>
      <c r="MF246" s="561">
        <v>0</v>
      </c>
      <c r="MG246" s="561">
        <v>0</v>
      </c>
      <c r="MH246" s="561">
        <v>4103</v>
      </c>
      <c r="MI246" s="561">
        <v>3949</v>
      </c>
      <c r="MJ246" s="561">
        <v>8052</v>
      </c>
      <c r="MK246" s="561">
        <v>0</v>
      </c>
      <c r="ML246" s="561">
        <v>0</v>
      </c>
      <c r="MM246" s="561">
        <v>10842</v>
      </c>
      <c r="MN246" s="561">
        <v>2412</v>
      </c>
      <c r="MO246" s="561">
        <v>423</v>
      </c>
      <c r="MP246" s="561">
        <v>0</v>
      </c>
      <c r="MQ246" s="561">
        <v>0</v>
      </c>
      <c r="MR246" s="561">
        <v>-2070</v>
      </c>
      <c r="MS246" s="561">
        <v>0</v>
      </c>
      <c r="MT246" s="561">
        <v>0</v>
      </c>
      <c r="MU246" s="561">
        <v>0</v>
      </c>
      <c r="MV246" s="561">
        <v>2747</v>
      </c>
      <c r="MW246" s="561">
        <v>2235</v>
      </c>
      <c r="MX246" s="561">
        <v>6382</v>
      </c>
      <c r="MY246" s="561">
        <v>3611</v>
      </c>
      <c r="MZ246" s="561">
        <v>0</v>
      </c>
      <c r="NA246" s="561">
        <v>0</v>
      </c>
      <c r="NB246" s="561">
        <v>5586</v>
      </c>
      <c r="NC246" s="561">
        <v>-46</v>
      </c>
      <c r="ND246" s="561">
        <v>18445</v>
      </c>
      <c r="NE246" s="561">
        <v>0</v>
      </c>
      <c r="NF246" s="561">
        <v>0</v>
      </c>
      <c r="NG246" s="561">
        <v>0</v>
      </c>
      <c r="NH246" s="561">
        <v>0</v>
      </c>
      <c r="NI246" s="561">
        <v>0</v>
      </c>
      <c r="NJ246" s="561">
        <v>0</v>
      </c>
      <c r="NK246" s="561">
        <v>0</v>
      </c>
      <c r="NL246" s="561">
        <v>0</v>
      </c>
      <c r="NM246" s="561">
        <v>0</v>
      </c>
      <c r="NN246" s="561">
        <v>0</v>
      </c>
      <c r="NO246" s="561">
        <v>0</v>
      </c>
      <c r="NP246" s="561">
        <v>0</v>
      </c>
      <c r="NQ246" s="561">
        <v>0</v>
      </c>
      <c r="NR246" s="561">
        <v>0</v>
      </c>
      <c r="NS246" s="561">
        <v>0</v>
      </c>
      <c r="NT246" s="561">
        <v>-139</v>
      </c>
      <c r="NU246" s="561">
        <v>0</v>
      </c>
      <c r="NV246" s="561">
        <v>40</v>
      </c>
      <c r="NW246" s="561">
        <v>-25</v>
      </c>
      <c r="NX246" s="561">
        <v>0</v>
      </c>
      <c r="NY246" s="561">
        <v>-25</v>
      </c>
      <c r="NZ246" s="561">
        <v>0</v>
      </c>
      <c r="OA246" s="561">
        <v>0</v>
      </c>
      <c r="OB246" s="561">
        <v>0</v>
      </c>
      <c r="OC246" s="561">
        <v>0</v>
      </c>
      <c r="OD246" s="561">
        <v>0</v>
      </c>
      <c r="OE246" s="561">
        <v>0</v>
      </c>
      <c r="OF246" s="561">
        <v>0</v>
      </c>
      <c r="OG246" s="561">
        <v>0</v>
      </c>
      <c r="OH246" s="561">
        <v>0</v>
      </c>
      <c r="OI246" s="561">
        <v>0</v>
      </c>
      <c r="OJ246" s="561">
        <v>0</v>
      </c>
      <c r="OK246" s="561">
        <v>0</v>
      </c>
      <c r="OL246" s="561">
        <v>0</v>
      </c>
      <c r="OM246" s="561">
        <v>0</v>
      </c>
      <c r="ON246" s="561">
        <v>0</v>
      </c>
      <c r="OO246" s="561">
        <v>0</v>
      </c>
      <c r="OP246" s="561">
        <v>0</v>
      </c>
      <c r="OQ246" s="561">
        <v>0</v>
      </c>
      <c r="OR246" s="561">
        <v>0</v>
      </c>
      <c r="OS246" s="561">
        <v>0</v>
      </c>
      <c r="OT246" s="561">
        <v>0</v>
      </c>
      <c r="OU246" s="561">
        <v>0</v>
      </c>
      <c r="OV246" s="561">
        <v>0</v>
      </c>
      <c r="OW246" s="561">
        <v>0</v>
      </c>
      <c r="OX246" s="561">
        <v>0</v>
      </c>
      <c r="OY246" s="561">
        <v>0</v>
      </c>
      <c r="OZ246" s="561">
        <v>0</v>
      </c>
      <c r="PA246" s="561">
        <v>0</v>
      </c>
      <c r="PB246" s="561">
        <v>0</v>
      </c>
      <c r="PC246" s="561">
        <v>0</v>
      </c>
      <c r="PD246" s="561">
        <v>0</v>
      </c>
      <c r="PE246" s="561">
        <v>0</v>
      </c>
      <c r="PF246" s="561">
        <v>0</v>
      </c>
      <c r="PG246" s="561">
        <v>0</v>
      </c>
      <c r="PH246" s="561">
        <v>0</v>
      </c>
      <c r="PI246" s="561">
        <v>0</v>
      </c>
      <c r="PJ246" s="561">
        <v>0</v>
      </c>
    </row>
    <row r="247" spans="1:426" ht="14" x14ac:dyDescent="0.3">
      <c r="A247" t="s">
        <v>3184</v>
      </c>
      <c r="B247" t="s">
        <v>3185</v>
      </c>
      <c r="C247" t="s">
        <v>3186</v>
      </c>
      <c r="E247" t="s">
        <v>385</v>
      </c>
      <c r="F247" s="561">
        <v>35688</v>
      </c>
      <c r="G247" s="561">
        <v>51739</v>
      </c>
      <c r="H247" s="561">
        <v>2985</v>
      </c>
      <c r="I247" s="561">
        <v>70317</v>
      </c>
      <c r="J247" s="561">
        <v>0</v>
      </c>
      <c r="K247" s="561">
        <v>9373</v>
      </c>
      <c r="L247" s="561">
        <v>170102</v>
      </c>
      <c r="M247" s="561">
        <v>4286</v>
      </c>
      <c r="N247" s="561">
        <v>-845</v>
      </c>
      <c r="O247" s="561">
        <v>24021</v>
      </c>
      <c r="P247" s="561">
        <v>0</v>
      </c>
      <c r="Q247" s="561">
        <v>0</v>
      </c>
      <c r="R247" s="561">
        <v>0</v>
      </c>
      <c r="S247" s="561">
        <v>4487</v>
      </c>
      <c r="T247" s="561">
        <v>0</v>
      </c>
      <c r="U247" s="561">
        <v>962</v>
      </c>
      <c r="V247" s="561">
        <v>3155</v>
      </c>
      <c r="W247" s="561">
        <v>0</v>
      </c>
      <c r="X247" s="561">
        <v>0</v>
      </c>
      <c r="Y247" s="561">
        <v>0</v>
      </c>
      <c r="Z247" s="561">
        <v>831</v>
      </c>
      <c r="AA247" s="561">
        <v>-1065</v>
      </c>
      <c r="AB247" s="561">
        <v>0</v>
      </c>
      <c r="AC247" s="561">
        <v>2487</v>
      </c>
      <c r="AD247" s="561">
        <v>0</v>
      </c>
      <c r="AE247" s="561">
        <v>320</v>
      </c>
      <c r="AF247" s="561">
        <v>0</v>
      </c>
      <c r="AG247" s="561">
        <v>0</v>
      </c>
      <c r="AH247" s="561">
        <v>0</v>
      </c>
      <c r="AI247" s="561">
        <v>0</v>
      </c>
      <c r="AJ247" s="561">
        <v>34353</v>
      </c>
      <c r="AK247" s="561">
        <v>1032</v>
      </c>
      <c r="AL247" s="561">
        <v>0</v>
      </c>
      <c r="AM247" s="561">
        <v>0</v>
      </c>
      <c r="AN247" s="561">
        <v>0</v>
      </c>
      <c r="AO247" s="561">
        <v>0</v>
      </c>
      <c r="AP247" s="561">
        <v>0</v>
      </c>
      <c r="AQ247" s="561">
        <v>0</v>
      </c>
      <c r="AR247" s="561">
        <v>0</v>
      </c>
      <c r="AS247" s="561">
        <v>1296</v>
      </c>
      <c r="AT247" s="561">
        <v>1874</v>
      </c>
      <c r="AU247" s="561">
        <v>0</v>
      </c>
      <c r="AV247" s="561">
        <v>0</v>
      </c>
      <c r="AW247" s="561">
        <v>0</v>
      </c>
      <c r="AX247" s="561">
        <v>226</v>
      </c>
      <c r="AY247" s="561">
        <v>54913</v>
      </c>
      <c r="AZ247" s="561">
        <v>2799</v>
      </c>
      <c r="BA247" s="561">
        <v>4564</v>
      </c>
      <c r="BB247" s="561">
        <v>1280</v>
      </c>
      <c r="BC247" s="561">
        <v>25065</v>
      </c>
      <c r="BD247" s="561">
        <v>939</v>
      </c>
      <c r="BE247" s="561">
        <v>638</v>
      </c>
      <c r="BF247" s="561">
        <v>90424</v>
      </c>
      <c r="BG247" s="561">
        <v>12520</v>
      </c>
      <c r="BH247" s="561">
        <v>17998</v>
      </c>
      <c r="BI247" s="561">
        <v>38644</v>
      </c>
      <c r="BJ247" s="561">
        <v>193</v>
      </c>
      <c r="BK247" s="561">
        <v>246</v>
      </c>
      <c r="BL247" s="561">
        <v>1664</v>
      </c>
      <c r="BM247" s="561">
        <v>21052</v>
      </c>
      <c r="BN247" s="561">
        <v>57576</v>
      </c>
      <c r="BO247" s="561">
        <v>6</v>
      </c>
      <c r="BP247" s="561">
        <v>8508</v>
      </c>
      <c r="BQ247" s="561">
        <v>-95</v>
      </c>
      <c r="BR247" s="561">
        <v>0</v>
      </c>
      <c r="BS247" s="561">
        <v>0</v>
      </c>
      <c r="BT247" s="561">
        <v>0</v>
      </c>
      <c r="BU247" s="561">
        <v>0</v>
      </c>
      <c r="BV247" s="561">
        <v>305</v>
      </c>
      <c r="BW247" s="561">
        <v>11727</v>
      </c>
      <c r="BX247" s="561">
        <v>222</v>
      </c>
      <c r="BY247" s="561">
        <v>-7423</v>
      </c>
      <c r="BZ247" s="561">
        <v>150623</v>
      </c>
      <c r="CA247" s="561">
        <v>1176</v>
      </c>
      <c r="CB247" s="561">
        <v>798</v>
      </c>
      <c r="CC247" s="561">
        <v>870</v>
      </c>
      <c r="CD247" s="561">
        <v>652</v>
      </c>
      <c r="CE247" s="561">
        <v>273</v>
      </c>
      <c r="CF247" s="561">
        <v>584</v>
      </c>
      <c r="CG247" s="561">
        <v>146</v>
      </c>
      <c r="CH247" s="561">
        <v>153</v>
      </c>
      <c r="CI247" s="561">
        <v>238</v>
      </c>
      <c r="CJ247" s="561">
        <v>35</v>
      </c>
      <c r="CK247" s="561">
        <v>395</v>
      </c>
      <c r="CL247" s="561">
        <v>156</v>
      </c>
      <c r="CM247" s="561">
        <v>1116</v>
      </c>
      <c r="CN247" s="561">
        <v>1116</v>
      </c>
      <c r="CO247" s="561">
        <v>554</v>
      </c>
      <c r="CP247" s="561">
        <v>554</v>
      </c>
      <c r="CQ247" s="561">
        <v>195</v>
      </c>
      <c r="CR247" s="561">
        <v>711</v>
      </c>
      <c r="CS247" s="561">
        <v>90</v>
      </c>
      <c r="CT247" s="561">
        <v>2297</v>
      </c>
      <c r="CU247" s="561">
        <v>5494</v>
      </c>
      <c r="CV247" s="561">
        <v>320</v>
      </c>
      <c r="CW247" s="561">
        <v>180</v>
      </c>
      <c r="CX247" s="561">
        <v>598</v>
      </c>
      <c r="CY247" s="561">
        <v>3397</v>
      </c>
      <c r="CZ247" s="561">
        <v>20922</v>
      </c>
      <c r="DA247" s="561">
        <v>180</v>
      </c>
      <c r="DB247" s="561">
        <v>0</v>
      </c>
      <c r="DC247" s="561">
        <v>0</v>
      </c>
      <c r="DD247" s="561">
        <v>0</v>
      </c>
      <c r="DE247" s="561">
        <v>0</v>
      </c>
      <c r="DF247" s="561">
        <v>0</v>
      </c>
      <c r="DG247" s="561">
        <v>0</v>
      </c>
      <c r="DH247" s="561">
        <v>962</v>
      </c>
      <c r="DI247" s="561">
        <v>0</v>
      </c>
      <c r="DJ247" s="561">
        <v>0</v>
      </c>
      <c r="DK247" s="561">
        <v>0</v>
      </c>
      <c r="DL247" s="561">
        <v>3211</v>
      </c>
      <c r="DM247" s="561">
        <v>0</v>
      </c>
      <c r="DN247" s="561">
        <v>0</v>
      </c>
      <c r="DO247" s="561">
        <v>0</v>
      </c>
      <c r="DP247" s="561">
        <v>0</v>
      </c>
      <c r="DQ247" s="561">
        <v>0</v>
      </c>
      <c r="DR247" s="561">
        <v>0</v>
      </c>
      <c r="DS247" s="561">
        <v>0</v>
      </c>
      <c r="DT247" s="561">
        <v>0</v>
      </c>
      <c r="DU247" s="561">
        <v>3211</v>
      </c>
      <c r="DV247" s="561">
        <v>0</v>
      </c>
      <c r="DW247" s="561">
        <v>0</v>
      </c>
      <c r="DX247" s="561">
        <v>0</v>
      </c>
      <c r="DY247" s="561">
        <v>170</v>
      </c>
      <c r="DZ247" s="561">
        <v>-810</v>
      </c>
      <c r="EA247" s="561">
        <v>0</v>
      </c>
      <c r="EB247" s="561">
        <v>-367</v>
      </c>
      <c r="EC247" s="561">
        <v>3166</v>
      </c>
      <c r="ED247" s="561">
        <v>1393</v>
      </c>
      <c r="EE247" s="561">
        <v>41373</v>
      </c>
      <c r="EF247" s="561">
        <v>4</v>
      </c>
      <c r="EG247" s="561">
        <v>1509</v>
      </c>
      <c r="EH247" s="561">
        <v>0</v>
      </c>
      <c r="EI247" s="561">
        <v>0</v>
      </c>
      <c r="EJ247" s="561">
        <v>551</v>
      </c>
      <c r="EK247" s="561">
        <v>0</v>
      </c>
      <c r="EL247" s="561">
        <v>0</v>
      </c>
      <c r="EM247" s="561">
        <v>0</v>
      </c>
      <c r="EN247" s="561">
        <v>11302</v>
      </c>
      <c r="EO247" s="561">
        <v>9051</v>
      </c>
      <c r="EP247" s="561">
        <v>3580</v>
      </c>
      <c r="EQ247" s="561">
        <v>178</v>
      </c>
      <c r="ER247" s="561">
        <v>3656</v>
      </c>
      <c r="ES247" s="561" t="s">
        <v>4565</v>
      </c>
      <c r="ET247" s="561">
        <v>0</v>
      </c>
      <c r="EU247" s="561">
        <v>8094</v>
      </c>
      <c r="EV247" s="561">
        <v>0</v>
      </c>
      <c r="EW247" s="561">
        <v>0</v>
      </c>
      <c r="EX247" s="561">
        <v>0</v>
      </c>
      <c r="EY247" s="561">
        <v>299</v>
      </c>
      <c r="EZ247" s="561">
        <v>7277</v>
      </c>
      <c r="FA247" s="561">
        <v>4724</v>
      </c>
      <c r="FB247" s="561">
        <v>0</v>
      </c>
      <c r="FC247" s="561">
        <v>904</v>
      </c>
      <c r="FD247" s="561">
        <v>1191</v>
      </c>
      <c r="FE247" s="561">
        <v>216</v>
      </c>
      <c r="FF247" s="561">
        <v>0</v>
      </c>
      <c r="FG247" s="561">
        <v>3571</v>
      </c>
      <c r="FH247" s="561">
        <v>700</v>
      </c>
      <c r="FI247" s="561">
        <v>0</v>
      </c>
      <c r="FJ247" s="561">
        <v>120</v>
      </c>
      <c r="FK247" s="561">
        <v>3053</v>
      </c>
      <c r="FL247" s="561">
        <v>0</v>
      </c>
      <c r="FM247" s="561">
        <v>635</v>
      </c>
      <c r="FN247" s="561">
        <v>1999</v>
      </c>
      <c r="FO247" s="561">
        <v>12389</v>
      </c>
      <c r="FP247" s="561">
        <v>71</v>
      </c>
      <c r="FQ247" s="561">
        <v>-1503</v>
      </c>
      <c r="FR247" s="561">
        <v>604</v>
      </c>
      <c r="FS247" s="561">
        <v>0</v>
      </c>
      <c r="FT247" s="561">
        <v>620</v>
      </c>
      <c r="FU247" s="561">
        <v>334</v>
      </c>
      <c r="FV247" s="561">
        <v>0</v>
      </c>
      <c r="FW247" s="561">
        <v>0</v>
      </c>
      <c r="FX247" s="561">
        <v>0</v>
      </c>
      <c r="FY247" s="561">
        <v>0</v>
      </c>
      <c r="FZ247" s="561">
        <v>-4</v>
      </c>
      <c r="GA247" s="561">
        <v>0</v>
      </c>
      <c r="GB247" s="561">
        <v>1175</v>
      </c>
      <c r="GC247" s="561">
        <v>149</v>
      </c>
      <c r="GD247" s="561">
        <v>326</v>
      </c>
      <c r="GE247" s="561">
        <v>0</v>
      </c>
      <c r="GF247" s="561">
        <v>0</v>
      </c>
      <c r="GG247" s="561">
        <v>338</v>
      </c>
      <c r="GH247" s="561">
        <v>0</v>
      </c>
      <c r="GI247" s="561">
        <v>0</v>
      </c>
      <c r="GJ247" s="561">
        <v>0</v>
      </c>
      <c r="GK247" s="561">
        <v>0</v>
      </c>
      <c r="GL247" s="561">
        <v>3560</v>
      </c>
      <c r="GM247" s="561">
        <v>6300</v>
      </c>
      <c r="GN247" s="561">
        <v>15111</v>
      </c>
      <c r="GO247" s="561">
        <v>-844</v>
      </c>
      <c r="GP247" s="561">
        <v>3973</v>
      </c>
      <c r="GQ247" s="561">
        <v>0</v>
      </c>
      <c r="GR247" s="561">
        <v>0</v>
      </c>
      <c r="GS247" s="561">
        <v>30139</v>
      </c>
      <c r="GT247" s="561">
        <v>1747</v>
      </c>
      <c r="GU247" s="561">
        <v>328</v>
      </c>
      <c r="GV247" s="561">
        <v>1317</v>
      </c>
      <c r="GW247" s="561">
        <v>1292</v>
      </c>
      <c r="GX247" s="561">
        <v>0</v>
      </c>
      <c r="GY247" s="561">
        <v>148</v>
      </c>
      <c r="GZ247" s="561">
        <v>374</v>
      </c>
      <c r="HA247" s="561">
        <v>0</v>
      </c>
      <c r="HB247" s="561">
        <v>289</v>
      </c>
      <c r="HC247" s="561">
        <v>766</v>
      </c>
      <c r="HD247" s="561">
        <v>4514</v>
      </c>
      <c r="HE247" s="561">
        <v>2719</v>
      </c>
      <c r="HF247" s="561">
        <v>47042</v>
      </c>
      <c r="HG247" s="561">
        <v>4538</v>
      </c>
      <c r="HH247" s="561">
        <v>0</v>
      </c>
      <c r="HI247" s="561">
        <v>0</v>
      </c>
      <c r="HJ247" s="561">
        <v>0</v>
      </c>
      <c r="HK247" s="561">
        <v>0</v>
      </c>
      <c r="HL247" s="561">
        <v>0</v>
      </c>
      <c r="HM247" s="561">
        <v>0</v>
      </c>
      <c r="HN247" s="561">
        <v>0</v>
      </c>
      <c r="HO247" s="561">
        <v>11784</v>
      </c>
      <c r="HP247" s="561">
        <v>1252</v>
      </c>
      <c r="HQ247" s="561">
        <v>0</v>
      </c>
      <c r="HR247" s="561">
        <v>0</v>
      </c>
      <c r="HS247" s="561">
        <v>0</v>
      </c>
      <c r="HT247" s="561">
        <v>-481</v>
      </c>
      <c r="HU247" s="561">
        <v>0</v>
      </c>
      <c r="HV247" s="561">
        <v>-155</v>
      </c>
      <c r="HW247" s="561">
        <v>482</v>
      </c>
      <c r="HX247" s="561">
        <v>78</v>
      </c>
      <c r="HY247" s="561">
        <v>366</v>
      </c>
      <c r="HZ247" s="561">
        <v>-36</v>
      </c>
      <c r="IA247" s="561">
        <v>0</v>
      </c>
      <c r="IB247" s="561">
        <v>0</v>
      </c>
      <c r="IC247" s="561">
        <v>0</v>
      </c>
      <c r="ID247" s="561">
        <v>0</v>
      </c>
      <c r="IE247" s="561">
        <v>3677</v>
      </c>
      <c r="IF247" s="561">
        <v>0</v>
      </c>
      <c r="IG247" s="561">
        <v>0</v>
      </c>
      <c r="IH247" s="561">
        <v>32427</v>
      </c>
      <c r="II247" s="561">
        <v>49394</v>
      </c>
      <c r="IJ247" s="561">
        <v>3752</v>
      </c>
      <c r="IK247" s="561">
        <v>3009</v>
      </c>
      <c r="IL247" s="561">
        <v>0</v>
      </c>
      <c r="IM247" s="561">
        <v>0</v>
      </c>
      <c r="IN247" s="561">
        <v>0</v>
      </c>
      <c r="IO247" s="561">
        <v>0</v>
      </c>
      <c r="IP247" s="561">
        <v>0</v>
      </c>
      <c r="IQ247" s="561">
        <v>0</v>
      </c>
      <c r="IR247" s="561">
        <v>170102</v>
      </c>
      <c r="IS247" s="561">
        <v>34353</v>
      </c>
      <c r="IT247" s="561">
        <v>90424</v>
      </c>
      <c r="IU247" s="561">
        <v>150623</v>
      </c>
      <c r="IV247" s="561">
        <v>20922</v>
      </c>
      <c r="IW247" s="561">
        <v>3166</v>
      </c>
      <c r="IX247" s="561">
        <v>12389</v>
      </c>
      <c r="IY247" s="561">
        <v>30139</v>
      </c>
      <c r="IZ247" s="561">
        <v>4514</v>
      </c>
      <c r="JA247" s="561">
        <v>0</v>
      </c>
      <c r="JB247" s="561">
        <v>0</v>
      </c>
      <c r="JC247" s="561">
        <v>49394</v>
      </c>
      <c r="JD247" s="561">
        <v>0</v>
      </c>
      <c r="JE247" s="561">
        <v>566026</v>
      </c>
      <c r="JF247" s="561">
        <v>39857</v>
      </c>
      <c r="JG247" s="561">
        <v>1512</v>
      </c>
      <c r="JH247" s="561">
        <v>11866</v>
      </c>
      <c r="JI247" s="561">
        <v>0</v>
      </c>
      <c r="JJ247" s="561">
        <v>0</v>
      </c>
      <c r="JK247" s="561">
        <v>8073</v>
      </c>
      <c r="JL247" s="561">
        <v>0</v>
      </c>
      <c r="JM247" s="561">
        <v>0</v>
      </c>
      <c r="JN247" s="561">
        <v>0</v>
      </c>
      <c r="JO247" s="561">
        <v>0</v>
      </c>
      <c r="JP247" s="561">
        <v>0</v>
      </c>
      <c r="JQ247" s="561">
        <v>0</v>
      </c>
      <c r="JR247" s="561">
        <v>0</v>
      </c>
      <c r="JS247" s="561">
        <v>0</v>
      </c>
      <c r="JT247" s="561">
        <v>0</v>
      </c>
      <c r="JU247" s="561">
        <v>0</v>
      </c>
      <c r="JV247" s="561">
        <v>627334</v>
      </c>
      <c r="JW247" s="561">
        <v>337</v>
      </c>
      <c r="JX247" s="561">
        <v>0</v>
      </c>
      <c r="JY247" s="561">
        <v>0</v>
      </c>
      <c r="JZ247" s="561">
        <v>0</v>
      </c>
      <c r="KA247" s="561">
        <v>0</v>
      </c>
      <c r="KB247" s="561">
        <v>384</v>
      </c>
      <c r="KC247" s="561">
        <v>7327</v>
      </c>
      <c r="KD247" s="561">
        <v>0</v>
      </c>
      <c r="KE247" s="561">
        <v>12124</v>
      </c>
      <c r="KF247" s="561">
        <v>0</v>
      </c>
      <c r="KG247" s="561">
        <v>647506</v>
      </c>
      <c r="KH247" s="561">
        <v>-22267</v>
      </c>
      <c r="KI247" s="561">
        <v>0</v>
      </c>
      <c r="KJ247" s="561">
        <v>0</v>
      </c>
      <c r="KK247" s="561">
        <v>0</v>
      </c>
      <c r="KL247" s="561">
        <v>-56742</v>
      </c>
      <c r="KM247" s="561">
        <v>0</v>
      </c>
      <c r="KN247" s="561">
        <v>0</v>
      </c>
      <c r="KO247" s="561">
        <v>0</v>
      </c>
      <c r="KP247" s="561">
        <v>0</v>
      </c>
      <c r="KQ247" s="561">
        <v>-14501</v>
      </c>
      <c r="KR247" s="561">
        <v>553996</v>
      </c>
      <c r="KS247" s="561">
        <v>0</v>
      </c>
      <c r="KT247" s="561">
        <v>-217057</v>
      </c>
      <c r="KU247" s="561">
        <v>336939</v>
      </c>
      <c r="KV247" s="561">
        <v>0</v>
      </c>
      <c r="KW247" s="561">
        <v>-952</v>
      </c>
      <c r="KX247" s="561">
        <v>0</v>
      </c>
      <c r="KY247" s="561">
        <v>-765</v>
      </c>
      <c r="KZ247" s="561">
        <v>6934</v>
      </c>
      <c r="LA247" s="561">
        <v>-9909</v>
      </c>
      <c r="LB247" s="561">
        <v>-6121</v>
      </c>
      <c r="LC247" s="561">
        <v>0</v>
      </c>
      <c r="LD247" s="561">
        <v>-114468</v>
      </c>
      <c r="LE247" s="561">
        <v>-1986</v>
      </c>
      <c r="LF247" s="561">
        <v>0</v>
      </c>
      <c r="LG247" s="561">
        <v>209672</v>
      </c>
      <c r="LH247" s="561">
        <v>6323</v>
      </c>
      <c r="LI247" s="561">
        <v>-6868</v>
      </c>
      <c r="LJ247" s="561">
        <v>0</v>
      </c>
      <c r="LK247" s="561">
        <v>11355</v>
      </c>
      <c r="LL247" s="561">
        <v>87284</v>
      </c>
      <c r="LM247" s="561">
        <v>33333</v>
      </c>
      <c r="LN247" s="561">
        <v>5371</v>
      </c>
      <c r="LO247" s="561">
        <v>-21369</v>
      </c>
      <c r="LP247" s="561">
        <v>0</v>
      </c>
      <c r="LQ247" s="561">
        <v>10590</v>
      </c>
      <c r="LR247" s="561">
        <v>94218</v>
      </c>
      <c r="LS247" s="561">
        <v>23424</v>
      </c>
      <c r="LT247" s="561">
        <v>0</v>
      </c>
      <c r="LU247" s="561">
        <v>47160</v>
      </c>
      <c r="LV247" s="561">
        <v>51817</v>
      </c>
      <c r="LW247" s="561">
        <v>-451</v>
      </c>
      <c r="LX247" s="561">
        <v>0</v>
      </c>
      <c r="LY247" s="561">
        <v>14828</v>
      </c>
      <c r="LZ247" s="561">
        <v>109543</v>
      </c>
      <c r="MA247" s="561">
        <v>0</v>
      </c>
      <c r="MB247" s="561">
        <v>0</v>
      </c>
      <c r="MC247" s="561">
        <v>43437</v>
      </c>
      <c r="MD247" s="561">
        <v>36160</v>
      </c>
      <c r="ME247" s="561">
        <v>7277</v>
      </c>
      <c r="MF247" s="561">
        <v>4724</v>
      </c>
      <c r="MG247" s="561">
        <v>12001</v>
      </c>
      <c r="MH247" s="561">
        <v>8415</v>
      </c>
      <c r="MI247" s="561">
        <v>9350</v>
      </c>
      <c r="MJ247" s="561">
        <v>17765</v>
      </c>
      <c r="MK247" s="561">
        <v>0</v>
      </c>
      <c r="ML247" s="561">
        <v>0</v>
      </c>
      <c r="MM247" s="561">
        <v>25337</v>
      </c>
      <c r="MN247" s="561">
        <v>11371</v>
      </c>
      <c r="MO247" s="561">
        <v>57510</v>
      </c>
      <c r="MP247" s="561">
        <v>0</v>
      </c>
      <c r="MQ247" s="561">
        <v>170102</v>
      </c>
      <c r="MR247" s="561">
        <v>34353</v>
      </c>
      <c r="MS247" s="561">
        <v>90424</v>
      </c>
      <c r="MT247" s="561">
        <v>150623</v>
      </c>
      <c r="MU247" s="561">
        <v>20922</v>
      </c>
      <c r="MV247" s="561">
        <v>3166</v>
      </c>
      <c r="MW247" s="561">
        <v>12389</v>
      </c>
      <c r="MX247" s="561">
        <v>30139</v>
      </c>
      <c r="MY247" s="561">
        <v>4514</v>
      </c>
      <c r="MZ247" s="561">
        <v>0</v>
      </c>
      <c r="NA247" s="561">
        <v>0</v>
      </c>
      <c r="NB247" s="561">
        <v>49394</v>
      </c>
      <c r="NC247" s="561">
        <v>0</v>
      </c>
      <c r="ND247" s="561">
        <v>566026</v>
      </c>
      <c r="NE247" s="561">
        <v>0</v>
      </c>
      <c r="NF247" s="561">
        <v>0</v>
      </c>
      <c r="NG247" s="561">
        <v>0</v>
      </c>
      <c r="NH247" s="561">
        <v>0</v>
      </c>
      <c r="NI247" s="561">
        <v>0</v>
      </c>
      <c r="NJ247" s="561">
        <v>0</v>
      </c>
      <c r="NK247" s="561">
        <v>0</v>
      </c>
      <c r="NL247" s="561">
        <v>0</v>
      </c>
      <c r="NM247" s="561">
        <v>0</v>
      </c>
      <c r="NN247" s="561">
        <v>0</v>
      </c>
      <c r="NO247" s="561">
        <v>0</v>
      </c>
      <c r="NP247" s="561">
        <v>0</v>
      </c>
      <c r="NQ247" s="561">
        <v>0</v>
      </c>
      <c r="NR247" s="561">
        <v>0</v>
      </c>
      <c r="NS247" s="561">
        <v>0</v>
      </c>
      <c r="NT247" s="561">
        <v>0</v>
      </c>
      <c r="NU247" s="561">
        <v>149</v>
      </c>
      <c r="NV247" s="561">
        <v>0</v>
      </c>
      <c r="NW247" s="561">
        <v>0</v>
      </c>
      <c r="NX247" s="561">
        <v>0</v>
      </c>
      <c r="NY247" s="561">
        <v>0</v>
      </c>
      <c r="NZ247" s="561">
        <v>0</v>
      </c>
      <c r="OA247" s="561">
        <v>0</v>
      </c>
      <c r="OB247" s="561">
        <v>0</v>
      </c>
      <c r="OC247" s="561">
        <v>0</v>
      </c>
      <c r="OD247" s="561">
        <v>0</v>
      </c>
      <c r="OE247" s="561">
        <v>0</v>
      </c>
      <c r="OF247" s="561">
        <v>0</v>
      </c>
      <c r="OG247" s="561">
        <v>0</v>
      </c>
      <c r="OH247" s="561">
        <v>0</v>
      </c>
      <c r="OI247" s="561">
        <v>0</v>
      </c>
      <c r="OJ247" s="561">
        <v>0</v>
      </c>
      <c r="OK247" s="561">
        <v>0</v>
      </c>
      <c r="OL247" s="561">
        <v>0</v>
      </c>
      <c r="OM247" s="561">
        <v>0</v>
      </c>
      <c r="ON247" s="561">
        <v>0</v>
      </c>
      <c r="OO247" s="561">
        <v>0</v>
      </c>
      <c r="OP247" s="561">
        <v>0</v>
      </c>
      <c r="OQ247" s="561">
        <v>0</v>
      </c>
      <c r="OR247" s="561">
        <v>0</v>
      </c>
      <c r="OS247" s="561">
        <v>0</v>
      </c>
      <c r="OT247" s="561">
        <v>0</v>
      </c>
      <c r="OU247" s="561">
        <v>0</v>
      </c>
      <c r="OV247" s="561">
        <v>0</v>
      </c>
      <c r="OW247" s="561">
        <v>0</v>
      </c>
      <c r="OX247" s="561">
        <v>0</v>
      </c>
      <c r="OY247" s="561">
        <v>0</v>
      </c>
      <c r="OZ247" s="561">
        <v>0</v>
      </c>
      <c r="PA247" s="561">
        <v>0</v>
      </c>
      <c r="PB247" s="561">
        <v>0</v>
      </c>
      <c r="PC247" s="561">
        <v>0</v>
      </c>
      <c r="PD247" s="561">
        <v>0</v>
      </c>
      <c r="PE247" s="561">
        <v>0</v>
      </c>
      <c r="PF247" s="561">
        <v>0</v>
      </c>
      <c r="PG247" s="561">
        <v>0</v>
      </c>
      <c r="PH247" s="561">
        <v>0</v>
      </c>
      <c r="PI247" s="561">
        <v>0</v>
      </c>
      <c r="PJ247" s="561">
        <v>0</v>
      </c>
    </row>
    <row r="248" spans="1:426" ht="14" x14ac:dyDescent="0.3">
      <c r="A248" t="s">
        <v>3187</v>
      </c>
      <c r="B248" t="s">
        <v>3188</v>
      </c>
      <c r="C248" t="s">
        <v>4639</v>
      </c>
      <c r="E248" t="s">
        <v>385</v>
      </c>
      <c r="F248" s="561">
        <v>21342</v>
      </c>
      <c r="G248" s="561">
        <v>15074</v>
      </c>
      <c r="H248" s="561">
        <v>16317</v>
      </c>
      <c r="I248" s="561">
        <v>35607</v>
      </c>
      <c r="J248" s="561">
        <v>737</v>
      </c>
      <c r="K248" s="561">
        <v>7890</v>
      </c>
      <c r="L248" s="561">
        <v>96967</v>
      </c>
      <c r="M248" s="561">
        <v>645</v>
      </c>
      <c r="N248" s="561">
        <v>241</v>
      </c>
      <c r="O248" s="561">
        <v>1974</v>
      </c>
      <c r="P248" s="561">
        <v>258</v>
      </c>
      <c r="Q248" s="561">
        <v>551</v>
      </c>
      <c r="R248" s="561">
        <v>35</v>
      </c>
      <c r="S248" s="561">
        <v>232</v>
      </c>
      <c r="T248" s="561">
        <v>2346</v>
      </c>
      <c r="U248" s="561">
        <v>541</v>
      </c>
      <c r="V248" s="561">
        <v>1291</v>
      </c>
      <c r="W248" s="561">
        <v>0</v>
      </c>
      <c r="X248" s="561">
        <v>0</v>
      </c>
      <c r="Y248" s="561">
        <v>-169</v>
      </c>
      <c r="Z248" s="561">
        <v>102</v>
      </c>
      <c r="AA248" s="561">
        <v>242</v>
      </c>
      <c r="AB248" s="561">
        <v>-1620</v>
      </c>
      <c r="AC248" s="561">
        <v>1904</v>
      </c>
      <c r="AD248" s="561">
        <v>101</v>
      </c>
      <c r="AE248" s="561">
        <v>0</v>
      </c>
      <c r="AF248" s="561">
        <v>0</v>
      </c>
      <c r="AG248" s="561">
        <v>-98</v>
      </c>
      <c r="AH248" s="561">
        <v>5</v>
      </c>
      <c r="AI248" s="561">
        <v>0</v>
      </c>
      <c r="AJ248" s="561">
        <v>7936</v>
      </c>
      <c r="AK248" s="561">
        <v>554</v>
      </c>
      <c r="AL248" s="561">
        <v>0</v>
      </c>
      <c r="AM248" s="561">
        <v>0</v>
      </c>
      <c r="AN248" s="561">
        <v>0</v>
      </c>
      <c r="AO248" s="561">
        <v>0</v>
      </c>
      <c r="AP248" s="561">
        <v>0</v>
      </c>
      <c r="AQ248" s="561">
        <v>0</v>
      </c>
      <c r="AR248" s="561">
        <v>0</v>
      </c>
      <c r="AS248" s="561">
        <v>0</v>
      </c>
      <c r="AT248" s="561">
        <v>1484</v>
      </c>
      <c r="AU248" s="561">
        <v>0</v>
      </c>
      <c r="AV248" s="561">
        <v>0</v>
      </c>
      <c r="AW248" s="561">
        <v>0</v>
      </c>
      <c r="AX248" s="561">
        <v>2732</v>
      </c>
      <c r="AY248" s="561">
        <v>36678</v>
      </c>
      <c r="AZ248" s="561">
        <v>1179</v>
      </c>
      <c r="BA248" s="561">
        <v>8812</v>
      </c>
      <c r="BB248" s="561">
        <v>1112</v>
      </c>
      <c r="BC248" s="561">
        <v>6155</v>
      </c>
      <c r="BD248" s="561">
        <v>786</v>
      </c>
      <c r="BE248" s="561">
        <v>1753</v>
      </c>
      <c r="BF248" s="561">
        <v>59207</v>
      </c>
      <c r="BG248" s="561">
        <v>2135</v>
      </c>
      <c r="BH248" s="561">
        <v>10569</v>
      </c>
      <c r="BI248" s="561">
        <v>21582</v>
      </c>
      <c r="BJ248" s="561">
        <v>67</v>
      </c>
      <c r="BK248" s="561">
        <v>35</v>
      </c>
      <c r="BL248" s="561">
        <v>974</v>
      </c>
      <c r="BM248" s="561">
        <v>6068</v>
      </c>
      <c r="BN248" s="561">
        <v>35596</v>
      </c>
      <c r="BO248" s="561">
        <v>3225</v>
      </c>
      <c r="BP248" s="561">
        <v>8280</v>
      </c>
      <c r="BQ248" s="561">
        <v>2962</v>
      </c>
      <c r="BR248" s="561">
        <v>397</v>
      </c>
      <c r="BS248" s="561">
        <v>97</v>
      </c>
      <c r="BT248" s="561">
        <v>0</v>
      </c>
      <c r="BU248" s="561">
        <v>1459</v>
      </c>
      <c r="BV248" s="561">
        <v>427</v>
      </c>
      <c r="BW248" s="561">
        <v>11132</v>
      </c>
      <c r="BX248" s="561">
        <v>815</v>
      </c>
      <c r="BY248" s="561">
        <v>3008</v>
      </c>
      <c r="BZ248" s="561">
        <v>106693</v>
      </c>
      <c r="CA248" s="561">
        <v>1289</v>
      </c>
      <c r="CB248" s="561">
        <v>200</v>
      </c>
      <c r="CC248" s="561">
        <v>1295</v>
      </c>
      <c r="CD248" s="561">
        <v>94</v>
      </c>
      <c r="CE248" s="561">
        <v>73</v>
      </c>
      <c r="CF248" s="561">
        <v>73</v>
      </c>
      <c r="CG248" s="561">
        <v>39</v>
      </c>
      <c r="CH248" s="561">
        <v>257</v>
      </c>
      <c r="CI248" s="561">
        <v>5</v>
      </c>
      <c r="CJ248" s="561">
        <v>161</v>
      </c>
      <c r="CK248" s="561">
        <v>115</v>
      </c>
      <c r="CL248" s="561">
        <v>0</v>
      </c>
      <c r="CM248" s="561">
        <v>2421</v>
      </c>
      <c r="CN248" s="561">
        <v>535</v>
      </c>
      <c r="CO248" s="561">
        <v>74</v>
      </c>
      <c r="CP248" s="561">
        <v>0</v>
      </c>
      <c r="CQ248" s="561">
        <v>0</v>
      </c>
      <c r="CR248" s="561">
        <v>543</v>
      </c>
      <c r="CS248" s="561">
        <v>10</v>
      </c>
      <c r="CT248" s="561">
        <v>419</v>
      </c>
      <c r="CU248" s="561">
        <v>2818</v>
      </c>
      <c r="CV248" s="561">
        <v>1208</v>
      </c>
      <c r="CW248" s="561">
        <v>117</v>
      </c>
      <c r="CX248" s="561">
        <v>285</v>
      </c>
      <c r="CY248" s="561">
        <v>1708</v>
      </c>
      <c r="CZ248" s="561">
        <v>12450</v>
      </c>
      <c r="DA248" s="561">
        <v>63</v>
      </c>
      <c r="DB248" s="561">
        <v>0</v>
      </c>
      <c r="DC248" s="561">
        <v>0</v>
      </c>
      <c r="DD248" s="561">
        <v>0</v>
      </c>
      <c r="DE248" s="561">
        <v>0</v>
      </c>
      <c r="DF248" s="561">
        <v>0</v>
      </c>
      <c r="DG248" s="561">
        <v>0</v>
      </c>
      <c r="DH248" s="561">
        <v>188</v>
      </c>
      <c r="DI248" s="561">
        <v>0</v>
      </c>
      <c r="DJ248" s="561">
        <v>30</v>
      </c>
      <c r="DK248" s="561">
        <v>0</v>
      </c>
      <c r="DL248" s="561">
        <v>0</v>
      </c>
      <c r="DM248" s="561">
        <v>0</v>
      </c>
      <c r="DN248" s="561">
        <v>0</v>
      </c>
      <c r="DO248" s="561">
        <v>252</v>
      </c>
      <c r="DP248" s="561">
        <v>0</v>
      </c>
      <c r="DQ248" s="561">
        <v>0</v>
      </c>
      <c r="DR248" s="561">
        <v>0</v>
      </c>
      <c r="DS248" s="561">
        <v>865</v>
      </c>
      <c r="DT248" s="561">
        <v>735</v>
      </c>
      <c r="DU248" s="561">
        <v>1852</v>
      </c>
      <c r="DV248" s="561">
        <v>271</v>
      </c>
      <c r="DW248" s="561">
        <v>0</v>
      </c>
      <c r="DX248" s="561">
        <v>0</v>
      </c>
      <c r="DY248" s="561">
        <v>2425</v>
      </c>
      <c r="DZ248" s="561">
        <v>-157</v>
      </c>
      <c r="EA248" s="561">
        <v>1764</v>
      </c>
      <c r="EB248" s="561">
        <v>0</v>
      </c>
      <c r="EC248" s="561">
        <v>6373</v>
      </c>
      <c r="ED248" s="561">
        <v>11</v>
      </c>
      <c r="EE248" s="561">
        <v>0</v>
      </c>
      <c r="EF248" s="561">
        <v>0</v>
      </c>
      <c r="EG248" s="561">
        <v>0</v>
      </c>
      <c r="EH248" s="561">
        <v>0</v>
      </c>
      <c r="EI248" s="561">
        <v>0</v>
      </c>
      <c r="EJ248" s="561">
        <v>0</v>
      </c>
      <c r="EK248" s="561">
        <v>0</v>
      </c>
      <c r="EL248" s="561">
        <v>0</v>
      </c>
      <c r="EM248" s="561">
        <v>0</v>
      </c>
      <c r="EN248" s="561">
        <v>0</v>
      </c>
      <c r="EO248" s="561">
        <v>0</v>
      </c>
      <c r="EP248" s="561">
        <v>0</v>
      </c>
      <c r="EQ248" s="561">
        <v>0</v>
      </c>
      <c r="ER248" s="561">
        <v>0</v>
      </c>
      <c r="ES248" s="561" t="s">
        <v>4565</v>
      </c>
      <c r="ET248" s="561">
        <v>0</v>
      </c>
      <c r="EU248" s="561">
        <v>0</v>
      </c>
      <c r="EV248" s="561">
        <v>0</v>
      </c>
      <c r="EW248" s="561">
        <v>0</v>
      </c>
      <c r="EX248" s="561">
        <v>0</v>
      </c>
      <c r="EY248" s="561">
        <v>0</v>
      </c>
      <c r="EZ248" s="561">
        <v>0</v>
      </c>
      <c r="FA248" s="561">
        <v>0</v>
      </c>
      <c r="FB248" s="561">
        <v>194</v>
      </c>
      <c r="FC248" s="561">
        <v>0</v>
      </c>
      <c r="FD248" s="561">
        <v>-16</v>
      </c>
      <c r="FE248" s="561">
        <v>0</v>
      </c>
      <c r="FF248" s="561">
        <v>-15</v>
      </c>
      <c r="FG248" s="561">
        <v>475</v>
      </c>
      <c r="FH248" s="561">
        <v>359</v>
      </c>
      <c r="FI248" s="561">
        <v>0</v>
      </c>
      <c r="FJ248" s="561">
        <v>167</v>
      </c>
      <c r="FK248" s="561">
        <v>3551</v>
      </c>
      <c r="FL248" s="561">
        <v>0</v>
      </c>
      <c r="FM248" s="561">
        <v>-54</v>
      </c>
      <c r="FN248" s="561">
        <v>2334</v>
      </c>
      <c r="FO248" s="561">
        <v>6995</v>
      </c>
      <c r="FP248" s="561">
        <v>11</v>
      </c>
      <c r="FQ248" s="561">
        <v>-633</v>
      </c>
      <c r="FR248" s="561">
        <v>807</v>
      </c>
      <c r="FS248" s="561">
        <v>11</v>
      </c>
      <c r="FT248" s="561">
        <v>687</v>
      </c>
      <c r="FU248" s="561">
        <v>469</v>
      </c>
      <c r="FV248" s="561">
        <v>265</v>
      </c>
      <c r="FW248" s="561">
        <v>216</v>
      </c>
      <c r="FX248" s="561">
        <v>0</v>
      </c>
      <c r="FY248" s="561">
        <v>0</v>
      </c>
      <c r="FZ248" s="561">
        <v>328</v>
      </c>
      <c r="GA248" s="561">
        <v>273</v>
      </c>
      <c r="GB248" s="561">
        <v>56</v>
      </c>
      <c r="GC248" s="561">
        <v>131</v>
      </c>
      <c r="GD248" s="561">
        <v>815</v>
      </c>
      <c r="GE248" s="561">
        <v>-77</v>
      </c>
      <c r="GF248" s="561">
        <v>418</v>
      </c>
      <c r="GG248" s="561">
        <v>169</v>
      </c>
      <c r="GH248" s="561">
        <v>0</v>
      </c>
      <c r="GI248" s="561">
        <v>667</v>
      </c>
      <c r="GJ248" s="561">
        <v>0</v>
      </c>
      <c r="GK248" s="561">
        <v>-27</v>
      </c>
      <c r="GL248" s="561">
        <v>1544</v>
      </c>
      <c r="GM248" s="561">
        <v>7757</v>
      </c>
      <c r="GN248" s="561">
        <v>9570</v>
      </c>
      <c r="GO248" s="561">
        <v>-62</v>
      </c>
      <c r="GP248" s="561">
        <v>242</v>
      </c>
      <c r="GQ248" s="561">
        <v>95</v>
      </c>
      <c r="GR248" s="561">
        <v>189</v>
      </c>
      <c r="GS248" s="561">
        <v>23910</v>
      </c>
      <c r="GT248" s="561">
        <v>87</v>
      </c>
      <c r="GU248" s="561">
        <v>229</v>
      </c>
      <c r="GV248" s="561">
        <v>762</v>
      </c>
      <c r="GW248" s="561">
        <v>-2</v>
      </c>
      <c r="GX248" s="561">
        <v>568</v>
      </c>
      <c r="GY248" s="561">
        <v>-21</v>
      </c>
      <c r="GZ248" s="561">
        <v>1182</v>
      </c>
      <c r="HA248" s="561">
        <v>-158</v>
      </c>
      <c r="HB248" s="561">
        <v>-941</v>
      </c>
      <c r="HC248" s="561">
        <v>945</v>
      </c>
      <c r="HD248" s="561">
        <v>2564</v>
      </c>
      <c r="HE248" s="561">
        <v>173</v>
      </c>
      <c r="HF248" s="561">
        <v>33469</v>
      </c>
      <c r="HG248" s="561">
        <v>271</v>
      </c>
      <c r="HH248" s="561">
        <v>0</v>
      </c>
      <c r="HI248" s="561">
        <v>0</v>
      </c>
      <c r="HJ248" s="561">
        <v>0</v>
      </c>
      <c r="HK248" s="561">
        <v>0</v>
      </c>
      <c r="HL248" s="561">
        <v>0</v>
      </c>
      <c r="HM248" s="561">
        <v>0</v>
      </c>
      <c r="HN248" s="561">
        <v>0</v>
      </c>
      <c r="HO248" s="561">
        <v>5557</v>
      </c>
      <c r="HP248" s="561">
        <v>4470</v>
      </c>
      <c r="HQ248" s="561">
        <v>0</v>
      </c>
      <c r="HR248" s="561">
        <v>0</v>
      </c>
      <c r="HS248" s="561">
        <v>108</v>
      </c>
      <c r="HT248" s="561">
        <v>93</v>
      </c>
      <c r="HU248" s="561">
        <v>0</v>
      </c>
      <c r="HV248" s="561">
        <v>-6</v>
      </c>
      <c r="HW248" s="561">
        <v>406</v>
      </c>
      <c r="HX248" s="561">
        <v>3</v>
      </c>
      <c r="HY248" s="561">
        <v>0</v>
      </c>
      <c r="HZ248" s="561">
        <v>-213</v>
      </c>
      <c r="IA248" s="561">
        <v>0</v>
      </c>
      <c r="IB248" s="561">
        <v>86</v>
      </c>
      <c r="IC248" s="561">
        <v>641</v>
      </c>
      <c r="ID248" s="561">
        <v>7</v>
      </c>
      <c r="IE248" s="561">
        <v>1212</v>
      </c>
      <c r="IF248" s="561">
        <v>0</v>
      </c>
      <c r="IG248" s="561">
        <v>0</v>
      </c>
      <c r="IH248" s="561">
        <v>641</v>
      </c>
      <c r="II248" s="561">
        <v>13005</v>
      </c>
      <c r="IJ248" s="561">
        <v>81</v>
      </c>
      <c r="IK248" s="561">
        <v>0</v>
      </c>
      <c r="IL248" s="561">
        <v>0</v>
      </c>
      <c r="IM248" s="561">
        <v>0</v>
      </c>
      <c r="IN248" s="561">
        <v>0</v>
      </c>
      <c r="IO248" s="561">
        <v>302</v>
      </c>
      <c r="IP248" s="561">
        <v>0</v>
      </c>
      <c r="IQ248" s="561">
        <v>0</v>
      </c>
      <c r="IR248" s="561">
        <v>96967</v>
      </c>
      <c r="IS248" s="561">
        <v>7936</v>
      </c>
      <c r="IT248" s="561">
        <v>59207</v>
      </c>
      <c r="IU248" s="561">
        <v>106693</v>
      </c>
      <c r="IV248" s="561">
        <v>12450</v>
      </c>
      <c r="IW248" s="561">
        <v>6373</v>
      </c>
      <c r="IX248" s="561">
        <v>6995</v>
      </c>
      <c r="IY248" s="561">
        <v>23910</v>
      </c>
      <c r="IZ248" s="561">
        <v>2564</v>
      </c>
      <c r="JA248" s="561">
        <v>0</v>
      </c>
      <c r="JB248" s="561">
        <v>0</v>
      </c>
      <c r="JC248" s="561">
        <v>13005</v>
      </c>
      <c r="JD248" s="561">
        <v>0</v>
      </c>
      <c r="JE248" s="561">
        <v>336100</v>
      </c>
      <c r="JF248" s="561">
        <v>42798</v>
      </c>
      <c r="JG248" s="561">
        <v>389</v>
      </c>
      <c r="JH248" s="561">
        <v>0</v>
      </c>
      <c r="JI248" s="561">
        <v>0</v>
      </c>
      <c r="JJ248" s="561">
        <v>0</v>
      </c>
      <c r="JK248" s="561">
        <v>7512</v>
      </c>
      <c r="JL248" s="561">
        <v>0</v>
      </c>
      <c r="JM248" s="561">
        <v>0</v>
      </c>
      <c r="JN248" s="561">
        <v>0</v>
      </c>
      <c r="JO248" s="561">
        <v>0</v>
      </c>
      <c r="JP248" s="561">
        <v>0</v>
      </c>
      <c r="JQ248" s="561">
        <v>0</v>
      </c>
      <c r="JR248" s="561">
        <v>0</v>
      </c>
      <c r="JS248" s="561">
        <v>0</v>
      </c>
      <c r="JT248" s="561">
        <v>24</v>
      </c>
      <c r="JU248" s="561">
        <v>11</v>
      </c>
      <c r="JV248" s="561">
        <v>386834</v>
      </c>
      <c r="JW248" s="561">
        <v>308</v>
      </c>
      <c r="JX248" s="561">
        <v>1951</v>
      </c>
      <c r="JY248" s="561">
        <v>0</v>
      </c>
      <c r="JZ248" s="561">
        <v>0</v>
      </c>
      <c r="KA248" s="561">
        <v>0</v>
      </c>
      <c r="KB248" s="561">
        <v>-214</v>
      </c>
      <c r="KC248" s="561">
        <v>7972</v>
      </c>
      <c r="KD248" s="561">
        <v>1222</v>
      </c>
      <c r="KE248" s="561">
        <v>3718</v>
      </c>
      <c r="KF248" s="561">
        <v>0</v>
      </c>
      <c r="KG248" s="561">
        <v>401791</v>
      </c>
      <c r="KH248" s="561">
        <v>-12244</v>
      </c>
      <c r="KI248" s="561">
        <v>0</v>
      </c>
      <c r="KJ248" s="561">
        <v>-4</v>
      </c>
      <c r="KK248" s="561">
        <v>0</v>
      </c>
      <c r="KL248" s="561">
        <v>-42257</v>
      </c>
      <c r="KM248" s="561">
        <v>0</v>
      </c>
      <c r="KN248" s="561">
        <v>-2705</v>
      </c>
      <c r="KO248" s="561">
        <v>0</v>
      </c>
      <c r="KP248" s="561">
        <v>0</v>
      </c>
      <c r="KQ248" s="561">
        <v>0</v>
      </c>
      <c r="KR248" s="561">
        <v>344581</v>
      </c>
      <c r="KS248" s="561">
        <v>-280</v>
      </c>
      <c r="KT248" s="561">
        <v>-119011</v>
      </c>
      <c r="KU248" s="561">
        <v>225290</v>
      </c>
      <c r="KV248" s="561">
        <v>0</v>
      </c>
      <c r="KW248" s="561">
        <v>-99.97</v>
      </c>
      <c r="KX248" s="561">
        <v>0</v>
      </c>
      <c r="KY248" s="561">
        <v>-692.31</v>
      </c>
      <c r="KZ248" s="561">
        <v>-12616</v>
      </c>
      <c r="LA248" s="561">
        <v>0.31</v>
      </c>
      <c r="LB248" s="561">
        <v>-2892</v>
      </c>
      <c r="LC248" s="561">
        <v>0</v>
      </c>
      <c r="LD248" s="561">
        <v>-50853</v>
      </c>
      <c r="LE248" s="561">
        <v>-2237</v>
      </c>
      <c r="LF248" s="561">
        <v>3515</v>
      </c>
      <c r="LG248" s="561">
        <v>146667</v>
      </c>
      <c r="LH248" s="561">
        <v>2673.07</v>
      </c>
      <c r="LI248" s="561">
        <v>0</v>
      </c>
      <c r="LJ248" s="561">
        <v>0</v>
      </c>
      <c r="LK248" s="561">
        <v>3683.57</v>
      </c>
      <c r="LL248" s="561">
        <v>85294</v>
      </c>
      <c r="LM248" s="561">
        <v>10470</v>
      </c>
      <c r="LN248" s="561">
        <v>2573.1</v>
      </c>
      <c r="LO248" s="561">
        <v>0</v>
      </c>
      <c r="LP248" s="561">
        <v>0</v>
      </c>
      <c r="LQ248" s="561">
        <v>2991.26</v>
      </c>
      <c r="LR248" s="561">
        <v>72678</v>
      </c>
      <c r="LS248" s="561">
        <v>10470.31</v>
      </c>
      <c r="LT248" s="561">
        <v>0</v>
      </c>
      <c r="LU248" s="561">
        <v>14190</v>
      </c>
      <c r="LV248" s="561">
        <v>19145</v>
      </c>
      <c r="LW248" s="561">
        <v>1361</v>
      </c>
      <c r="LX248" s="561">
        <v>-9328</v>
      </c>
      <c r="LY248" s="561">
        <v>10139</v>
      </c>
      <c r="LZ248" s="561">
        <v>28059</v>
      </c>
      <c r="MA248" s="561">
        <v>0</v>
      </c>
      <c r="MB248" s="561">
        <v>0</v>
      </c>
      <c r="MC248" s="561">
        <v>0</v>
      </c>
      <c r="MD248" s="561">
        <v>0</v>
      </c>
      <c r="ME248" s="561">
        <v>0</v>
      </c>
      <c r="MF248" s="561">
        <v>0</v>
      </c>
      <c r="MG248" s="561">
        <v>0</v>
      </c>
      <c r="MH248" s="561">
        <v>5889</v>
      </c>
      <c r="MI248" s="561">
        <v>6035</v>
      </c>
      <c r="MJ248" s="561">
        <v>11924</v>
      </c>
      <c r="MK248" s="561">
        <v>0</v>
      </c>
      <c r="ML248" s="561">
        <v>244</v>
      </c>
      <c r="MM248" s="561">
        <v>36980</v>
      </c>
      <c r="MN248" s="561">
        <v>21441</v>
      </c>
      <c r="MO248" s="561">
        <v>14013</v>
      </c>
      <c r="MP248" s="561">
        <v>0</v>
      </c>
      <c r="MQ248" s="561">
        <v>96967</v>
      </c>
      <c r="MR248" s="561">
        <v>7936</v>
      </c>
      <c r="MS248" s="561">
        <v>59207</v>
      </c>
      <c r="MT248" s="561">
        <v>106693</v>
      </c>
      <c r="MU248" s="561">
        <v>12450</v>
      </c>
      <c r="MV248" s="561">
        <v>6373</v>
      </c>
      <c r="MW248" s="561">
        <v>6995</v>
      </c>
      <c r="MX248" s="561">
        <v>23910</v>
      </c>
      <c r="MY248" s="561">
        <v>2564</v>
      </c>
      <c r="MZ248" s="561">
        <v>0</v>
      </c>
      <c r="NA248" s="561">
        <v>0</v>
      </c>
      <c r="NB248" s="561">
        <v>13005</v>
      </c>
      <c r="NC248" s="561">
        <v>0</v>
      </c>
      <c r="ND248" s="561">
        <v>336100</v>
      </c>
      <c r="NE248" s="561">
        <v>0</v>
      </c>
      <c r="NF248" s="561">
        <v>0</v>
      </c>
      <c r="NG248" s="561">
        <v>0</v>
      </c>
      <c r="NH248" s="561">
        <v>0</v>
      </c>
      <c r="NI248" s="561">
        <v>0</v>
      </c>
      <c r="NJ248" s="561">
        <v>0</v>
      </c>
      <c r="NK248" s="561">
        <v>0</v>
      </c>
      <c r="NL248" s="561">
        <v>0</v>
      </c>
      <c r="NM248" s="561">
        <v>0</v>
      </c>
      <c r="NN248" s="561">
        <v>0</v>
      </c>
      <c r="NO248" s="561">
        <v>0</v>
      </c>
      <c r="NP248" s="561">
        <v>0</v>
      </c>
      <c r="NQ248" s="561">
        <v>0</v>
      </c>
      <c r="NR248" s="561">
        <v>0</v>
      </c>
      <c r="NS248" s="561">
        <v>0</v>
      </c>
      <c r="NT248" s="561">
        <v>0</v>
      </c>
      <c r="NU248" s="561">
        <v>0</v>
      </c>
      <c r="NV248" s="561">
        <v>0</v>
      </c>
      <c r="NW248" s="561">
        <v>0</v>
      </c>
      <c r="NX248" s="561">
        <v>0</v>
      </c>
      <c r="NY248" s="561">
        <v>0</v>
      </c>
      <c r="NZ248" s="561">
        <v>0</v>
      </c>
      <c r="OA248" s="561">
        <v>0</v>
      </c>
      <c r="OB248" s="561">
        <v>0</v>
      </c>
      <c r="OC248" s="561">
        <v>0</v>
      </c>
      <c r="OD248" s="561">
        <v>0</v>
      </c>
      <c r="OE248" s="561">
        <v>0</v>
      </c>
      <c r="OF248" s="561">
        <v>0</v>
      </c>
      <c r="OG248" s="561">
        <v>0</v>
      </c>
      <c r="OH248" s="561">
        <v>0</v>
      </c>
      <c r="OI248" s="561">
        <v>0</v>
      </c>
      <c r="OJ248" s="561">
        <v>0</v>
      </c>
      <c r="OK248" s="561">
        <v>0</v>
      </c>
      <c r="OL248" s="561">
        <v>0</v>
      </c>
      <c r="OM248" s="561">
        <v>0</v>
      </c>
      <c r="ON248" s="561">
        <v>0</v>
      </c>
      <c r="OO248" s="561">
        <v>0</v>
      </c>
      <c r="OP248" s="561">
        <v>0</v>
      </c>
      <c r="OQ248" s="561">
        <v>0</v>
      </c>
      <c r="OR248" s="561">
        <v>0</v>
      </c>
      <c r="OS248" s="561">
        <v>0</v>
      </c>
      <c r="OT248" s="561">
        <v>0</v>
      </c>
      <c r="OU248" s="561">
        <v>0</v>
      </c>
      <c r="OV248" s="561">
        <v>0</v>
      </c>
      <c r="OW248" s="561">
        <v>0</v>
      </c>
      <c r="OX248" s="561">
        <v>0</v>
      </c>
      <c r="OY248" s="561">
        <v>0</v>
      </c>
      <c r="OZ248" s="561">
        <v>0</v>
      </c>
      <c r="PA248" s="561">
        <v>0</v>
      </c>
      <c r="PB248" s="561">
        <v>0</v>
      </c>
      <c r="PC248" s="561">
        <v>0</v>
      </c>
      <c r="PD248" s="561">
        <v>0</v>
      </c>
      <c r="PE248" s="561">
        <v>0</v>
      </c>
      <c r="PF248" s="561">
        <v>0</v>
      </c>
      <c r="PG248" s="561">
        <v>0</v>
      </c>
      <c r="PH248" s="561">
        <v>0</v>
      </c>
      <c r="PI248" s="561">
        <v>0</v>
      </c>
      <c r="PJ248" s="561">
        <v>0</v>
      </c>
    </row>
    <row r="249" spans="1:426" ht="14" x14ac:dyDescent="0.3">
      <c r="A249" t="s">
        <v>3190</v>
      </c>
      <c r="B249" t="s">
        <v>3191</v>
      </c>
      <c r="C249" t="s">
        <v>3192</v>
      </c>
      <c r="E249" t="s">
        <v>379</v>
      </c>
      <c r="F249" s="561">
        <v>18995</v>
      </c>
      <c r="G249" s="561">
        <v>70611.38</v>
      </c>
      <c r="H249" s="561">
        <v>83918</v>
      </c>
      <c r="I249" s="561">
        <v>35494</v>
      </c>
      <c r="J249" s="561">
        <v>5422</v>
      </c>
      <c r="K249" s="561">
        <v>16365</v>
      </c>
      <c r="L249" s="561">
        <v>230805.38</v>
      </c>
      <c r="M249" s="561">
        <v>44</v>
      </c>
      <c r="N249" s="561">
        <v>3382</v>
      </c>
      <c r="O249" s="561">
        <v>0</v>
      </c>
      <c r="P249" s="561">
        <v>-496</v>
      </c>
      <c r="Q249" s="561">
        <v>1175</v>
      </c>
      <c r="R249" s="561">
        <v>0</v>
      </c>
      <c r="S249" s="561">
        <v>581</v>
      </c>
      <c r="T249" s="561">
        <v>581</v>
      </c>
      <c r="U249" s="561">
        <v>563</v>
      </c>
      <c r="V249" s="561">
        <v>5262</v>
      </c>
      <c r="W249" s="561">
        <v>0</v>
      </c>
      <c r="X249" s="561">
        <v>0</v>
      </c>
      <c r="Y249" s="561">
        <v>598</v>
      </c>
      <c r="Z249" s="561">
        <v>383</v>
      </c>
      <c r="AA249" s="561">
        <v>-1174</v>
      </c>
      <c r="AB249" s="561">
        <v>-1174</v>
      </c>
      <c r="AC249" s="561">
        <v>0</v>
      </c>
      <c r="AD249" s="561">
        <v>0</v>
      </c>
      <c r="AE249" s="561">
        <v>327</v>
      </c>
      <c r="AF249" s="561">
        <v>0</v>
      </c>
      <c r="AG249" s="561">
        <v>0</v>
      </c>
      <c r="AH249" s="561">
        <v>0</v>
      </c>
      <c r="AI249" s="561">
        <v>0</v>
      </c>
      <c r="AJ249" s="561">
        <v>10008</v>
      </c>
      <c r="AK249" s="561">
        <v>0</v>
      </c>
      <c r="AL249" s="561">
        <v>0</v>
      </c>
      <c r="AM249" s="561">
        <v>0</v>
      </c>
      <c r="AN249" s="561">
        <v>0</v>
      </c>
      <c r="AO249" s="561">
        <v>0</v>
      </c>
      <c r="AP249" s="561">
        <v>0</v>
      </c>
      <c r="AQ249" s="561">
        <v>0</v>
      </c>
      <c r="AR249" s="561">
        <v>0</v>
      </c>
      <c r="AS249" s="561">
        <v>811</v>
      </c>
      <c r="AT249" s="561">
        <v>593</v>
      </c>
      <c r="AU249" s="561">
        <v>0</v>
      </c>
      <c r="AV249" s="561">
        <v>0</v>
      </c>
      <c r="AW249" s="561">
        <v>0</v>
      </c>
      <c r="AX249" s="561">
        <v>2839</v>
      </c>
      <c r="AY249" s="561">
        <v>36259</v>
      </c>
      <c r="AZ249" s="561">
        <v>4056</v>
      </c>
      <c r="BA249" s="561">
        <v>3400</v>
      </c>
      <c r="BB249" s="561">
        <v>149</v>
      </c>
      <c r="BC249" s="561">
        <v>15419</v>
      </c>
      <c r="BD249" s="561">
        <v>181</v>
      </c>
      <c r="BE249" s="561">
        <v>147</v>
      </c>
      <c r="BF249" s="561">
        <v>62450</v>
      </c>
      <c r="BG249" s="561">
        <v>1641</v>
      </c>
      <c r="BH249" s="561">
        <v>5908</v>
      </c>
      <c r="BI249" s="561">
        <v>16947</v>
      </c>
      <c r="BJ249" s="561">
        <v>181</v>
      </c>
      <c r="BK249" s="561">
        <v>486</v>
      </c>
      <c r="BL249" s="561">
        <v>3</v>
      </c>
      <c r="BM249" s="561">
        <v>6776</v>
      </c>
      <c r="BN249" s="561">
        <v>31561</v>
      </c>
      <c r="BO249" s="561">
        <v>3510</v>
      </c>
      <c r="BP249" s="561">
        <v>1518</v>
      </c>
      <c r="BQ249" s="561">
        <v>3246</v>
      </c>
      <c r="BR249" s="561">
        <v>-23</v>
      </c>
      <c r="BS249" s="561">
        <v>3</v>
      </c>
      <c r="BT249" s="561">
        <v>5</v>
      </c>
      <c r="BU249" s="561">
        <v>392</v>
      </c>
      <c r="BV249" s="561">
        <v>162</v>
      </c>
      <c r="BW249" s="561">
        <v>11048</v>
      </c>
      <c r="BX249" s="561">
        <v>206</v>
      </c>
      <c r="BY249" s="561">
        <v>5810</v>
      </c>
      <c r="BZ249" s="561">
        <v>87739</v>
      </c>
      <c r="CA249" s="561">
        <v>70</v>
      </c>
      <c r="CB249" s="561">
        <v>2016</v>
      </c>
      <c r="CC249" s="561">
        <v>843</v>
      </c>
      <c r="CD249" s="561">
        <v>80</v>
      </c>
      <c r="CE249" s="561">
        <v>260</v>
      </c>
      <c r="CF249" s="561">
        <v>0</v>
      </c>
      <c r="CG249" s="561">
        <v>7</v>
      </c>
      <c r="CH249" s="561">
        <v>14</v>
      </c>
      <c r="CI249" s="561">
        <v>221</v>
      </c>
      <c r="CJ249" s="561">
        <v>128</v>
      </c>
      <c r="CK249" s="561">
        <v>489</v>
      </c>
      <c r="CL249" s="561">
        <v>609</v>
      </c>
      <c r="CM249" s="561">
        <v>1164</v>
      </c>
      <c r="CN249" s="561">
        <v>1116</v>
      </c>
      <c r="CO249" s="561">
        <v>48</v>
      </c>
      <c r="CP249" s="561">
        <v>48</v>
      </c>
      <c r="CQ249" s="561">
        <v>231</v>
      </c>
      <c r="CR249" s="561">
        <v>107</v>
      </c>
      <c r="CS249" s="561">
        <v>27</v>
      </c>
      <c r="CT249" s="561">
        <v>296</v>
      </c>
      <c r="CU249" s="561">
        <v>4423</v>
      </c>
      <c r="CV249" s="561">
        <v>401</v>
      </c>
      <c r="CW249" s="561">
        <v>61</v>
      </c>
      <c r="CX249" s="561">
        <v>876</v>
      </c>
      <c r="CY249" s="561">
        <v>2650</v>
      </c>
      <c r="CZ249" s="561">
        <v>16115</v>
      </c>
      <c r="DA249" s="561">
        <v>0</v>
      </c>
      <c r="DB249" s="561">
        <v>0</v>
      </c>
      <c r="DC249" s="561">
        <v>0</v>
      </c>
      <c r="DD249" s="561">
        <v>0</v>
      </c>
      <c r="DE249" s="561">
        <v>0</v>
      </c>
      <c r="DF249" s="561">
        <v>0</v>
      </c>
      <c r="DG249" s="561">
        <v>0</v>
      </c>
      <c r="DH249" s="561">
        <v>1107</v>
      </c>
      <c r="DI249" s="561">
        <v>0</v>
      </c>
      <c r="DJ249" s="561">
        <v>0</v>
      </c>
      <c r="DK249" s="561">
        <v>0</v>
      </c>
      <c r="DL249" s="561">
        <v>-3</v>
      </c>
      <c r="DM249" s="561">
        <v>0</v>
      </c>
      <c r="DN249" s="561">
        <v>0</v>
      </c>
      <c r="DO249" s="561">
        <v>942</v>
      </c>
      <c r="DP249" s="561">
        <v>0</v>
      </c>
      <c r="DQ249" s="561">
        <v>-54</v>
      </c>
      <c r="DR249" s="561">
        <v>0</v>
      </c>
      <c r="DS249" s="561">
        <v>0</v>
      </c>
      <c r="DT249" s="561">
        <v>1580</v>
      </c>
      <c r="DU249" s="561">
        <v>2465</v>
      </c>
      <c r="DV249" s="561">
        <v>0</v>
      </c>
      <c r="DW249" s="561">
        <v>0</v>
      </c>
      <c r="DX249" s="561">
        <v>0</v>
      </c>
      <c r="DY249" s="561">
        <v>1744</v>
      </c>
      <c r="DZ249" s="561">
        <v>0</v>
      </c>
      <c r="EA249" s="561">
        <v>1123</v>
      </c>
      <c r="EB249" s="561">
        <v>517</v>
      </c>
      <c r="EC249" s="561">
        <v>6956</v>
      </c>
      <c r="ED249" s="561">
        <v>0</v>
      </c>
      <c r="EE249" s="561">
        <v>67112</v>
      </c>
      <c r="EF249" s="561">
        <v>797</v>
      </c>
      <c r="EG249" s="561">
        <v>4500</v>
      </c>
      <c r="EH249" s="561">
        <v>2715</v>
      </c>
      <c r="EI249" s="561">
        <v>7693</v>
      </c>
      <c r="EJ249" s="561">
        <v>0</v>
      </c>
      <c r="EK249" s="561">
        <v>0</v>
      </c>
      <c r="EL249" s="561">
        <v>0</v>
      </c>
      <c r="EM249" s="561">
        <v>0</v>
      </c>
      <c r="EN249" s="561">
        <v>16259</v>
      </c>
      <c r="EO249" s="561">
        <v>11987</v>
      </c>
      <c r="EP249" s="561">
        <v>0</v>
      </c>
      <c r="EQ249" s="561">
        <v>635</v>
      </c>
      <c r="ER249" s="561">
        <v>8501</v>
      </c>
      <c r="ES249" s="561" t="s">
        <v>4565</v>
      </c>
      <c r="ET249" s="561">
        <v>2393</v>
      </c>
      <c r="EU249" s="561">
        <v>0</v>
      </c>
      <c r="EV249" s="561">
        <v>0</v>
      </c>
      <c r="EW249" s="561">
        <v>0</v>
      </c>
      <c r="EX249" s="561">
        <v>39943</v>
      </c>
      <c r="EY249" s="561">
        <v>885</v>
      </c>
      <c r="EZ249" s="561">
        <v>2214</v>
      </c>
      <c r="FA249" s="561">
        <v>28285</v>
      </c>
      <c r="FB249" s="561">
        <v>0</v>
      </c>
      <c r="FC249" s="561">
        <v>34</v>
      </c>
      <c r="FD249" s="561">
        <v>230</v>
      </c>
      <c r="FE249" s="561">
        <v>514</v>
      </c>
      <c r="FF249" s="561">
        <v>378</v>
      </c>
      <c r="FG249" s="561">
        <v>111</v>
      </c>
      <c r="FH249" s="561">
        <v>1</v>
      </c>
      <c r="FI249" s="561">
        <v>-89</v>
      </c>
      <c r="FJ249" s="561">
        <v>4719</v>
      </c>
      <c r="FK249" s="561">
        <v>5416</v>
      </c>
      <c r="FL249" s="561">
        <v>-78</v>
      </c>
      <c r="FM249" s="561">
        <v>233</v>
      </c>
      <c r="FN249" s="561">
        <v>5082</v>
      </c>
      <c r="FO249" s="561">
        <v>16551</v>
      </c>
      <c r="FP249" s="561">
        <v>137</v>
      </c>
      <c r="FQ249" s="561">
        <v>-782</v>
      </c>
      <c r="FR249" s="561">
        <v>267</v>
      </c>
      <c r="FS249" s="561">
        <v>0</v>
      </c>
      <c r="FT249" s="561">
        <v>14</v>
      </c>
      <c r="FU249" s="561">
        <v>584</v>
      </c>
      <c r="FV249" s="561">
        <v>544</v>
      </c>
      <c r="FW249" s="561">
        <v>51</v>
      </c>
      <c r="FX249" s="561">
        <v>78</v>
      </c>
      <c r="FY249" s="561">
        <v>57</v>
      </c>
      <c r="FZ249" s="561">
        <v>0</v>
      </c>
      <c r="GA249" s="561">
        <v>154</v>
      </c>
      <c r="GB249" s="561">
        <v>0</v>
      </c>
      <c r="GC249" s="561">
        <v>541</v>
      </c>
      <c r="GD249" s="561">
        <v>0</v>
      </c>
      <c r="GE249" s="561">
        <v>361</v>
      </c>
      <c r="GF249" s="561">
        <v>0</v>
      </c>
      <c r="GG249" s="561">
        <v>0</v>
      </c>
      <c r="GH249" s="561">
        <v>0</v>
      </c>
      <c r="GI249" s="561">
        <v>0</v>
      </c>
      <c r="GJ249" s="561">
        <v>0</v>
      </c>
      <c r="GK249" s="561">
        <v>0</v>
      </c>
      <c r="GL249" s="561">
        <v>4038</v>
      </c>
      <c r="GM249" s="561">
        <v>3897</v>
      </c>
      <c r="GN249" s="561">
        <v>11489</v>
      </c>
      <c r="GO249" s="561">
        <v>1242</v>
      </c>
      <c r="GP249" s="561">
        <v>-328</v>
      </c>
      <c r="GQ249" s="561">
        <v>0</v>
      </c>
      <c r="GR249" s="561">
        <v>-15</v>
      </c>
      <c r="GS249" s="561">
        <v>22192</v>
      </c>
      <c r="GT249" s="561">
        <v>614</v>
      </c>
      <c r="GU249" s="561">
        <v>421</v>
      </c>
      <c r="GV249" s="561">
        <v>-440</v>
      </c>
      <c r="GW249" s="561">
        <v>0</v>
      </c>
      <c r="GX249" s="561">
        <v>1298</v>
      </c>
      <c r="GY249" s="561">
        <v>519</v>
      </c>
      <c r="GZ249" s="561">
        <v>-489</v>
      </c>
      <c r="HA249" s="561">
        <v>0</v>
      </c>
      <c r="HB249" s="561">
        <v>1469</v>
      </c>
      <c r="HC249" s="561">
        <v>-9</v>
      </c>
      <c r="HD249" s="561">
        <v>2769</v>
      </c>
      <c r="HE249" s="561">
        <v>0</v>
      </c>
      <c r="HF249" s="561">
        <v>41512</v>
      </c>
      <c r="HG249" s="561">
        <v>0</v>
      </c>
      <c r="HH249" s="561">
        <v>0</v>
      </c>
      <c r="HI249" s="561">
        <v>0</v>
      </c>
      <c r="HJ249" s="561">
        <v>0</v>
      </c>
      <c r="HK249" s="561">
        <v>0</v>
      </c>
      <c r="HL249" s="561">
        <v>0</v>
      </c>
      <c r="HM249" s="561">
        <v>0</v>
      </c>
      <c r="HN249" s="561">
        <v>0</v>
      </c>
      <c r="HO249" s="561">
        <v>4255</v>
      </c>
      <c r="HP249" s="561">
        <v>2113</v>
      </c>
      <c r="HQ249" s="561">
        <v>0</v>
      </c>
      <c r="HR249" s="561">
        <v>0</v>
      </c>
      <c r="HS249" s="561">
        <v>1489</v>
      </c>
      <c r="HT249" s="561">
        <v>42</v>
      </c>
      <c r="HU249" s="561">
        <v>0</v>
      </c>
      <c r="HV249" s="561">
        <v>-66</v>
      </c>
      <c r="HW249" s="561">
        <v>188</v>
      </c>
      <c r="HX249" s="561">
        <v>-220</v>
      </c>
      <c r="HY249" s="561">
        <v>807</v>
      </c>
      <c r="HZ249" s="561">
        <v>-92</v>
      </c>
      <c r="IA249" s="561">
        <v>1846</v>
      </c>
      <c r="IB249" s="561">
        <v>1</v>
      </c>
      <c r="IC249" s="561">
        <v>746</v>
      </c>
      <c r="ID249" s="561">
        <v>0</v>
      </c>
      <c r="IE249" s="561">
        <v>1863</v>
      </c>
      <c r="IF249" s="561">
        <v>-918</v>
      </c>
      <c r="IG249" s="561">
        <v>-131</v>
      </c>
      <c r="IH249" s="561">
        <v>2435</v>
      </c>
      <c r="II249" s="561">
        <v>14358</v>
      </c>
      <c r="IJ249" s="561">
        <v>120</v>
      </c>
      <c r="IK249" s="561">
        <v>1381</v>
      </c>
      <c r="IL249" s="561">
        <v>1642</v>
      </c>
      <c r="IM249" s="561">
        <v>0</v>
      </c>
      <c r="IN249" s="561">
        <v>402</v>
      </c>
      <c r="IO249" s="561">
        <v>0</v>
      </c>
      <c r="IP249" s="561">
        <v>0</v>
      </c>
      <c r="IQ249" s="561">
        <v>0</v>
      </c>
      <c r="IR249" s="561">
        <v>230805.38</v>
      </c>
      <c r="IS249" s="561">
        <v>10008</v>
      </c>
      <c r="IT249" s="561">
        <v>62450</v>
      </c>
      <c r="IU249" s="561">
        <v>87739</v>
      </c>
      <c r="IV249" s="561">
        <v>16115</v>
      </c>
      <c r="IW249" s="561">
        <v>6956</v>
      </c>
      <c r="IX249" s="561">
        <v>16551</v>
      </c>
      <c r="IY249" s="561">
        <v>22192</v>
      </c>
      <c r="IZ249" s="561">
        <v>2769</v>
      </c>
      <c r="JA249" s="561">
        <v>0</v>
      </c>
      <c r="JB249" s="561">
        <v>0</v>
      </c>
      <c r="JC249" s="561">
        <v>14358</v>
      </c>
      <c r="JD249" s="561">
        <v>0</v>
      </c>
      <c r="JE249" s="561">
        <v>469943.38</v>
      </c>
      <c r="JF249" s="561">
        <v>26885</v>
      </c>
      <c r="JG249" s="561">
        <v>246</v>
      </c>
      <c r="JH249" s="561">
        <v>19918</v>
      </c>
      <c r="JI249" s="561">
        <v>0</v>
      </c>
      <c r="JJ249" s="561">
        <v>0</v>
      </c>
      <c r="JK249" s="561">
        <v>0</v>
      </c>
      <c r="JL249" s="561">
        <v>12960</v>
      </c>
      <c r="JM249" s="561">
        <v>0</v>
      </c>
      <c r="JN249" s="561">
        <v>0</v>
      </c>
      <c r="JO249" s="561">
        <v>157</v>
      </c>
      <c r="JP249" s="561">
        <v>0</v>
      </c>
      <c r="JQ249" s="561">
        <v>0</v>
      </c>
      <c r="JR249" s="561">
        <v>0</v>
      </c>
      <c r="JS249" s="561">
        <v>0</v>
      </c>
      <c r="JT249" s="561">
        <v>-4678</v>
      </c>
      <c r="JU249" s="561">
        <v>0</v>
      </c>
      <c r="JV249" s="561">
        <v>525431.38</v>
      </c>
      <c r="JW249" s="561">
        <v>230.43</v>
      </c>
      <c r="JX249" s="561">
        <v>107</v>
      </c>
      <c r="JY249" s="561">
        <v>0</v>
      </c>
      <c r="JZ249" s="561">
        <v>-5856</v>
      </c>
      <c r="KA249" s="561">
        <v>0</v>
      </c>
      <c r="KB249" s="561">
        <v>665</v>
      </c>
      <c r="KC249" s="561">
        <v>8715</v>
      </c>
      <c r="KD249" s="561">
        <v>0</v>
      </c>
      <c r="KE249" s="561">
        <v>11052</v>
      </c>
      <c r="KF249" s="561">
        <v>0</v>
      </c>
      <c r="KG249" s="561">
        <v>540344.81000000006</v>
      </c>
      <c r="KH249" s="561">
        <v>-599</v>
      </c>
      <c r="KI249" s="561">
        <v>7479</v>
      </c>
      <c r="KJ249" s="561">
        <v>-33</v>
      </c>
      <c r="KK249" s="561">
        <v>0</v>
      </c>
      <c r="KL249" s="561">
        <v>-84016</v>
      </c>
      <c r="KM249" s="561">
        <v>0</v>
      </c>
      <c r="KN249" s="561">
        <v>-723</v>
      </c>
      <c r="KO249" s="561">
        <v>0</v>
      </c>
      <c r="KP249" s="561">
        <v>0</v>
      </c>
      <c r="KQ249" s="561">
        <v>0</v>
      </c>
      <c r="KR249" s="561">
        <v>462452.81</v>
      </c>
      <c r="KS249" s="561">
        <v>-57</v>
      </c>
      <c r="KT249" s="561">
        <v>-280808</v>
      </c>
      <c r="KU249" s="561">
        <v>181587.81</v>
      </c>
      <c r="KV249" s="561">
        <v>0</v>
      </c>
      <c r="KW249" s="561">
        <v>461</v>
      </c>
      <c r="KX249" s="561">
        <v>-145</v>
      </c>
      <c r="KY249" s="561">
        <v>-161</v>
      </c>
      <c r="KZ249" s="561">
        <v>-5060</v>
      </c>
      <c r="LA249" s="561">
        <v>0</v>
      </c>
      <c r="LB249" s="561">
        <v>-14164</v>
      </c>
      <c r="LC249" s="561">
        <v>0</v>
      </c>
      <c r="LD249" s="561">
        <v>-32922</v>
      </c>
      <c r="LE249" s="561">
        <v>-4296</v>
      </c>
      <c r="LF249" s="561">
        <v>0</v>
      </c>
      <c r="LG249" s="561">
        <v>125301</v>
      </c>
      <c r="LH249" s="561">
        <v>-4798</v>
      </c>
      <c r="LI249" s="561">
        <v>-12851</v>
      </c>
      <c r="LJ249" s="561">
        <v>4511</v>
      </c>
      <c r="LK249" s="561">
        <v>621</v>
      </c>
      <c r="LL249" s="561">
        <v>33657</v>
      </c>
      <c r="LM249" s="561">
        <v>7000</v>
      </c>
      <c r="LN249" s="561">
        <v>-4337</v>
      </c>
      <c r="LO249" s="561">
        <v>-12851</v>
      </c>
      <c r="LP249" s="561">
        <v>4366</v>
      </c>
      <c r="LQ249" s="561">
        <v>460</v>
      </c>
      <c r="LR249" s="561">
        <v>28597</v>
      </c>
      <c r="LS249" s="561">
        <v>7000</v>
      </c>
      <c r="LT249" s="561">
        <v>0</v>
      </c>
      <c r="LU249" s="561">
        <v>21141</v>
      </c>
      <c r="LV249" s="561">
        <v>2297</v>
      </c>
      <c r="LW249" s="561">
        <v>1907</v>
      </c>
      <c r="LX249" s="561">
        <v>-4320</v>
      </c>
      <c r="LY249" s="561">
        <v>20684</v>
      </c>
      <c r="LZ249" s="561">
        <v>41713</v>
      </c>
      <c r="MA249" s="561">
        <v>0</v>
      </c>
      <c r="MB249" s="561">
        <v>0</v>
      </c>
      <c r="MC249" s="561">
        <v>82817</v>
      </c>
      <c r="MD249" s="561">
        <v>80603</v>
      </c>
      <c r="ME249" s="561">
        <v>2214</v>
      </c>
      <c r="MF249" s="561">
        <v>28285</v>
      </c>
      <c r="MG249" s="561">
        <v>30499</v>
      </c>
      <c r="MH249" s="561">
        <v>7822</v>
      </c>
      <c r="MI249" s="561">
        <v>8642</v>
      </c>
      <c r="MJ249" s="561">
        <v>16464</v>
      </c>
      <c r="MK249" s="561">
        <v>0</v>
      </c>
      <c r="ML249" s="561">
        <v>0</v>
      </c>
      <c r="MM249" s="561">
        <v>11451</v>
      </c>
      <c r="MN249" s="561">
        <v>8052</v>
      </c>
      <c r="MO249" s="561">
        <v>0</v>
      </c>
      <c r="MP249" s="561">
        <v>9094</v>
      </c>
      <c r="MQ249" s="561">
        <v>230805.38</v>
      </c>
      <c r="MR249" s="561">
        <v>10008</v>
      </c>
      <c r="MS249" s="561">
        <v>62450</v>
      </c>
      <c r="MT249" s="561">
        <v>87739</v>
      </c>
      <c r="MU249" s="561">
        <v>16115</v>
      </c>
      <c r="MV249" s="561">
        <v>6956</v>
      </c>
      <c r="MW249" s="561">
        <v>16551</v>
      </c>
      <c r="MX249" s="561">
        <v>22192</v>
      </c>
      <c r="MY249" s="561">
        <v>2769</v>
      </c>
      <c r="MZ249" s="561">
        <v>0</v>
      </c>
      <c r="NA249" s="561">
        <v>0</v>
      </c>
      <c r="NB249" s="561">
        <v>14358</v>
      </c>
      <c r="NC249" s="561">
        <v>0</v>
      </c>
      <c r="ND249" s="561">
        <v>469943.38</v>
      </c>
      <c r="NE249" s="561">
        <v>0</v>
      </c>
      <c r="NF249" s="561">
        <v>0</v>
      </c>
      <c r="NG249" s="561">
        <v>0</v>
      </c>
      <c r="NH249" s="561">
        <v>0</v>
      </c>
      <c r="NI249" s="561">
        <v>0</v>
      </c>
      <c r="NJ249" s="561">
        <v>0</v>
      </c>
      <c r="NK249" s="561">
        <v>0</v>
      </c>
      <c r="NL249" s="561">
        <v>0</v>
      </c>
      <c r="NM249" s="561">
        <v>0</v>
      </c>
      <c r="NN249" s="561">
        <v>0</v>
      </c>
      <c r="NO249" s="561">
        <v>0</v>
      </c>
      <c r="NP249" s="561">
        <v>0</v>
      </c>
      <c r="NQ249" s="561">
        <v>0</v>
      </c>
      <c r="NR249" s="561">
        <v>0</v>
      </c>
      <c r="NS249" s="561">
        <v>0</v>
      </c>
      <c r="NT249" s="561">
        <v>0</v>
      </c>
      <c r="NU249" s="561">
        <v>0</v>
      </c>
      <c r="NV249" s="561">
        <v>0</v>
      </c>
      <c r="NW249" s="561">
        <v>0</v>
      </c>
      <c r="NX249" s="561">
        <v>0</v>
      </c>
      <c r="NY249" s="561">
        <v>0</v>
      </c>
      <c r="NZ249" s="561">
        <v>0</v>
      </c>
      <c r="OA249" s="561">
        <v>0</v>
      </c>
      <c r="OB249" s="561">
        <v>0</v>
      </c>
      <c r="OC249" s="561">
        <v>0</v>
      </c>
      <c r="OD249" s="561">
        <v>0</v>
      </c>
      <c r="OE249" s="561">
        <v>0</v>
      </c>
      <c r="OF249" s="561">
        <v>0</v>
      </c>
      <c r="OG249" s="561">
        <v>0</v>
      </c>
      <c r="OH249" s="561">
        <v>0</v>
      </c>
      <c r="OI249" s="561">
        <v>0</v>
      </c>
      <c r="OJ249" s="561">
        <v>0</v>
      </c>
      <c r="OK249" s="561">
        <v>0</v>
      </c>
      <c r="OL249" s="561">
        <v>0</v>
      </c>
      <c r="OM249" s="561">
        <v>0</v>
      </c>
      <c r="ON249" s="561">
        <v>0</v>
      </c>
      <c r="OO249" s="561">
        <v>0</v>
      </c>
      <c r="OP249" s="561">
        <v>0</v>
      </c>
      <c r="OQ249" s="561">
        <v>0</v>
      </c>
      <c r="OR249" s="561">
        <v>0</v>
      </c>
      <c r="OS249" s="561">
        <v>0</v>
      </c>
      <c r="OT249" s="561">
        <v>0</v>
      </c>
      <c r="OU249" s="561">
        <v>0</v>
      </c>
      <c r="OV249" s="561">
        <v>0</v>
      </c>
      <c r="OW249" s="561">
        <v>0</v>
      </c>
      <c r="OX249" s="561">
        <v>0</v>
      </c>
      <c r="OY249" s="561">
        <v>0</v>
      </c>
      <c r="OZ249" s="561">
        <v>0</v>
      </c>
      <c r="PA249" s="561">
        <v>0</v>
      </c>
      <c r="PB249" s="561">
        <v>0</v>
      </c>
      <c r="PC249" s="561">
        <v>0</v>
      </c>
      <c r="PD249" s="561">
        <v>0</v>
      </c>
      <c r="PE249" s="561">
        <v>0</v>
      </c>
      <c r="PF249" s="561">
        <v>0</v>
      </c>
      <c r="PG249" s="561">
        <v>0</v>
      </c>
      <c r="PH249" s="561">
        <v>0</v>
      </c>
      <c r="PI249" s="561">
        <v>0</v>
      </c>
      <c r="PJ249" s="561">
        <v>0</v>
      </c>
    </row>
    <row r="250" spans="1:426" ht="14" x14ac:dyDescent="0.3">
      <c r="A250" t="s">
        <v>3193</v>
      </c>
      <c r="B250" t="s">
        <v>3194</v>
      </c>
      <c r="C250" t="s">
        <v>3195</v>
      </c>
      <c r="E250" t="s">
        <v>384</v>
      </c>
      <c r="F250" s="561" t="s">
        <v>2453</v>
      </c>
      <c r="G250" s="561" t="s">
        <v>2453</v>
      </c>
      <c r="H250" s="561" t="s">
        <v>2453</v>
      </c>
      <c r="I250" s="561" t="s">
        <v>2453</v>
      </c>
      <c r="J250" s="561" t="s">
        <v>2453</v>
      </c>
      <c r="K250" s="561" t="s">
        <v>2453</v>
      </c>
      <c r="L250" s="561" t="s">
        <v>2453</v>
      </c>
      <c r="M250" s="561" t="s">
        <v>2453</v>
      </c>
      <c r="N250" s="561" t="s">
        <v>2453</v>
      </c>
      <c r="O250" s="561" t="s">
        <v>2453</v>
      </c>
      <c r="P250" s="561" t="s">
        <v>2453</v>
      </c>
      <c r="Q250" s="561" t="s">
        <v>2453</v>
      </c>
      <c r="R250" s="561" t="s">
        <v>2453</v>
      </c>
      <c r="S250" s="561" t="s">
        <v>2453</v>
      </c>
      <c r="T250" s="561" t="s">
        <v>2453</v>
      </c>
      <c r="U250" s="561" t="s">
        <v>2453</v>
      </c>
      <c r="V250" s="561" t="s">
        <v>2453</v>
      </c>
      <c r="W250" s="561" t="s">
        <v>2453</v>
      </c>
      <c r="X250" s="561" t="s">
        <v>2453</v>
      </c>
      <c r="Y250" s="561" t="s">
        <v>2453</v>
      </c>
      <c r="Z250" s="561" t="s">
        <v>2453</v>
      </c>
      <c r="AA250" s="561" t="s">
        <v>2453</v>
      </c>
      <c r="AB250" s="561" t="s">
        <v>2453</v>
      </c>
      <c r="AC250" s="561" t="s">
        <v>2453</v>
      </c>
      <c r="AD250" s="561" t="s">
        <v>2453</v>
      </c>
      <c r="AE250" s="561" t="s">
        <v>2453</v>
      </c>
      <c r="AF250" s="561" t="s">
        <v>2453</v>
      </c>
      <c r="AG250" s="561" t="s">
        <v>2453</v>
      </c>
      <c r="AH250" s="561" t="s">
        <v>2453</v>
      </c>
      <c r="AI250" s="561" t="s">
        <v>2453</v>
      </c>
      <c r="AJ250" s="561" t="s">
        <v>2453</v>
      </c>
      <c r="AK250" s="561" t="s">
        <v>2453</v>
      </c>
      <c r="AL250" s="561" t="s">
        <v>2453</v>
      </c>
      <c r="AM250" s="561" t="s">
        <v>2453</v>
      </c>
      <c r="AN250" s="561" t="s">
        <v>2453</v>
      </c>
      <c r="AO250" s="561" t="s">
        <v>2453</v>
      </c>
      <c r="AP250" s="561" t="s">
        <v>2453</v>
      </c>
      <c r="AQ250" s="561" t="s">
        <v>2453</v>
      </c>
      <c r="AR250" s="561" t="s">
        <v>2453</v>
      </c>
      <c r="AS250" s="561" t="s">
        <v>2453</v>
      </c>
      <c r="AT250" s="561" t="s">
        <v>2453</v>
      </c>
      <c r="AU250" s="561" t="s">
        <v>2453</v>
      </c>
      <c r="AV250" s="561" t="s">
        <v>2453</v>
      </c>
      <c r="AW250" s="561" t="s">
        <v>2453</v>
      </c>
      <c r="AX250" s="561" t="s">
        <v>2453</v>
      </c>
      <c r="AY250" s="561" t="s">
        <v>2453</v>
      </c>
      <c r="AZ250" s="561" t="s">
        <v>2453</v>
      </c>
      <c r="BA250" s="561" t="s">
        <v>2453</v>
      </c>
      <c r="BB250" s="561" t="s">
        <v>2453</v>
      </c>
      <c r="BC250" s="561" t="s">
        <v>2453</v>
      </c>
      <c r="BD250" s="561" t="s">
        <v>2453</v>
      </c>
      <c r="BE250" s="561" t="s">
        <v>2453</v>
      </c>
      <c r="BF250" s="561" t="s">
        <v>2453</v>
      </c>
      <c r="BG250" s="561" t="s">
        <v>2453</v>
      </c>
      <c r="BH250" s="561" t="s">
        <v>2453</v>
      </c>
      <c r="BI250" s="561" t="s">
        <v>2453</v>
      </c>
      <c r="BJ250" s="561" t="s">
        <v>2453</v>
      </c>
      <c r="BK250" s="561" t="s">
        <v>2453</v>
      </c>
      <c r="BL250" s="561" t="s">
        <v>2453</v>
      </c>
      <c r="BM250" s="561" t="s">
        <v>2453</v>
      </c>
      <c r="BN250" s="561" t="s">
        <v>2453</v>
      </c>
      <c r="BO250" s="561" t="s">
        <v>2453</v>
      </c>
      <c r="BP250" s="561" t="s">
        <v>2453</v>
      </c>
      <c r="BQ250" s="561" t="s">
        <v>2453</v>
      </c>
      <c r="BR250" s="561" t="s">
        <v>2453</v>
      </c>
      <c r="BS250" s="561" t="s">
        <v>2453</v>
      </c>
      <c r="BT250" s="561" t="s">
        <v>2453</v>
      </c>
      <c r="BU250" s="561" t="s">
        <v>2453</v>
      </c>
      <c r="BV250" s="561" t="s">
        <v>2453</v>
      </c>
      <c r="BW250" s="561" t="s">
        <v>2453</v>
      </c>
      <c r="BX250" s="561" t="s">
        <v>2453</v>
      </c>
      <c r="BY250" s="561" t="s">
        <v>2453</v>
      </c>
      <c r="BZ250" s="561" t="s">
        <v>2453</v>
      </c>
      <c r="CA250" s="561" t="s">
        <v>2453</v>
      </c>
      <c r="CB250" s="561" t="s">
        <v>2453</v>
      </c>
      <c r="CC250" s="561" t="s">
        <v>2453</v>
      </c>
      <c r="CD250" s="561" t="s">
        <v>2453</v>
      </c>
      <c r="CE250" s="561" t="s">
        <v>2453</v>
      </c>
      <c r="CF250" s="561" t="s">
        <v>2453</v>
      </c>
      <c r="CG250" s="561" t="s">
        <v>2453</v>
      </c>
      <c r="CH250" s="561" t="s">
        <v>2453</v>
      </c>
      <c r="CI250" s="561" t="s">
        <v>2453</v>
      </c>
      <c r="CJ250" s="561" t="s">
        <v>2453</v>
      </c>
      <c r="CK250" s="561" t="s">
        <v>2453</v>
      </c>
      <c r="CL250" s="561" t="s">
        <v>2453</v>
      </c>
      <c r="CM250" s="561" t="s">
        <v>2453</v>
      </c>
      <c r="CN250" s="561" t="s">
        <v>2453</v>
      </c>
      <c r="CO250" s="561" t="s">
        <v>2453</v>
      </c>
      <c r="CP250" s="561" t="s">
        <v>2453</v>
      </c>
      <c r="CQ250" s="561" t="s">
        <v>2453</v>
      </c>
      <c r="CR250" s="561" t="s">
        <v>2453</v>
      </c>
      <c r="CS250" s="561" t="s">
        <v>2453</v>
      </c>
      <c r="CT250" s="561" t="s">
        <v>2453</v>
      </c>
      <c r="CU250" s="561" t="s">
        <v>2453</v>
      </c>
      <c r="CV250" s="561" t="s">
        <v>2453</v>
      </c>
      <c r="CW250" s="561" t="s">
        <v>2453</v>
      </c>
      <c r="CX250" s="561" t="s">
        <v>2453</v>
      </c>
      <c r="CY250" s="561" t="s">
        <v>2453</v>
      </c>
      <c r="CZ250" s="561" t="s">
        <v>2453</v>
      </c>
      <c r="DA250" s="561" t="s">
        <v>2453</v>
      </c>
      <c r="DB250" s="561" t="s">
        <v>2453</v>
      </c>
      <c r="DC250" s="561" t="s">
        <v>2453</v>
      </c>
      <c r="DD250" s="561" t="s">
        <v>2453</v>
      </c>
      <c r="DE250" s="561" t="s">
        <v>2453</v>
      </c>
      <c r="DF250" s="561" t="s">
        <v>2453</v>
      </c>
      <c r="DG250" s="561" t="s">
        <v>2453</v>
      </c>
      <c r="DH250" s="561" t="s">
        <v>2453</v>
      </c>
      <c r="DI250" s="561" t="s">
        <v>2453</v>
      </c>
      <c r="DJ250" s="561" t="s">
        <v>2453</v>
      </c>
      <c r="DK250" s="561" t="s">
        <v>2453</v>
      </c>
      <c r="DL250" s="561" t="s">
        <v>2453</v>
      </c>
      <c r="DM250" s="561" t="s">
        <v>2453</v>
      </c>
      <c r="DN250" s="561" t="s">
        <v>2453</v>
      </c>
      <c r="DO250" s="561" t="s">
        <v>2453</v>
      </c>
      <c r="DP250" s="561" t="s">
        <v>2453</v>
      </c>
      <c r="DQ250" s="561" t="s">
        <v>2453</v>
      </c>
      <c r="DR250" s="561" t="s">
        <v>2453</v>
      </c>
      <c r="DS250" s="561" t="s">
        <v>2453</v>
      </c>
      <c r="DT250" s="561" t="s">
        <v>2453</v>
      </c>
      <c r="DU250" s="561" t="s">
        <v>2453</v>
      </c>
      <c r="DV250" s="561" t="s">
        <v>2453</v>
      </c>
      <c r="DW250" s="561" t="s">
        <v>2453</v>
      </c>
      <c r="DX250" s="561" t="s">
        <v>2453</v>
      </c>
      <c r="DY250" s="561" t="s">
        <v>2453</v>
      </c>
      <c r="DZ250" s="561" t="s">
        <v>2453</v>
      </c>
      <c r="EA250" s="561" t="s">
        <v>2453</v>
      </c>
      <c r="EB250" s="561" t="s">
        <v>2453</v>
      </c>
      <c r="EC250" s="561" t="s">
        <v>2453</v>
      </c>
      <c r="ED250" s="561" t="s">
        <v>2453</v>
      </c>
      <c r="EE250" s="561" t="s">
        <v>2453</v>
      </c>
      <c r="EF250" s="561" t="s">
        <v>2453</v>
      </c>
      <c r="EG250" s="561" t="s">
        <v>2453</v>
      </c>
      <c r="EH250" s="561" t="s">
        <v>2453</v>
      </c>
      <c r="EI250" s="561" t="s">
        <v>2453</v>
      </c>
      <c r="EJ250" s="561" t="s">
        <v>2453</v>
      </c>
      <c r="EK250" s="561" t="s">
        <v>2453</v>
      </c>
      <c r="EL250" s="561" t="s">
        <v>2453</v>
      </c>
      <c r="EM250" s="561" t="s">
        <v>2453</v>
      </c>
      <c r="EN250" s="561" t="s">
        <v>2453</v>
      </c>
      <c r="EO250" s="561" t="s">
        <v>2453</v>
      </c>
      <c r="EP250" s="561" t="s">
        <v>2453</v>
      </c>
      <c r="EQ250" s="561" t="s">
        <v>2453</v>
      </c>
      <c r="ER250" s="561" t="s">
        <v>2453</v>
      </c>
      <c r="ES250" s="561" t="s">
        <v>4565</v>
      </c>
      <c r="ET250" s="561" t="s">
        <v>2453</v>
      </c>
      <c r="EU250" s="561" t="s">
        <v>2453</v>
      </c>
      <c r="EV250" s="561" t="s">
        <v>2453</v>
      </c>
      <c r="EW250" s="561" t="s">
        <v>2453</v>
      </c>
      <c r="EX250" s="561" t="s">
        <v>2453</v>
      </c>
      <c r="EY250" s="561" t="s">
        <v>2453</v>
      </c>
      <c r="EZ250" s="561" t="s">
        <v>2453</v>
      </c>
      <c r="FA250" s="561" t="s">
        <v>2453</v>
      </c>
      <c r="FB250" s="561" t="s">
        <v>2453</v>
      </c>
      <c r="FC250" s="561" t="s">
        <v>2453</v>
      </c>
      <c r="FD250" s="561" t="s">
        <v>2453</v>
      </c>
      <c r="FE250" s="561" t="s">
        <v>2453</v>
      </c>
      <c r="FF250" s="561" t="s">
        <v>2453</v>
      </c>
      <c r="FG250" s="561" t="s">
        <v>2453</v>
      </c>
      <c r="FH250" s="561" t="s">
        <v>2453</v>
      </c>
      <c r="FI250" s="561" t="s">
        <v>2453</v>
      </c>
      <c r="FJ250" s="561" t="s">
        <v>2453</v>
      </c>
      <c r="FK250" s="561" t="s">
        <v>2453</v>
      </c>
      <c r="FL250" s="561" t="s">
        <v>2453</v>
      </c>
      <c r="FM250" s="561" t="s">
        <v>2453</v>
      </c>
      <c r="FN250" s="561" t="s">
        <v>2453</v>
      </c>
      <c r="FO250" s="561" t="s">
        <v>2453</v>
      </c>
      <c r="FP250" s="561" t="s">
        <v>2453</v>
      </c>
      <c r="FQ250" s="561" t="s">
        <v>2453</v>
      </c>
      <c r="FR250" s="561" t="s">
        <v>2453</v>
      </c>
      <c r="FS250" s="561" t="s">
        <v>2453</v>
      </c>
      <c r="FT250" s="561" t="s">
        <v>2453</v>
      </c>
      <c r="FU250" s="561" t="s">
        <v>2453</v>
      </c>
      <c r="FV250" s="561" t="s">
        <v>2453</v>
      </c>
      <c r="FW250" s="561" t="s">
        <v>2453</v>
      </c>
      <c r="FX250" s="561" t="s">
        <v>2453</v>
      </c>
      <c r="FY250" s="561" t="s">
        <v>2453</v>
      </c>
      <c r="FZ250" s="561" t="s">
        <v>2453</v>
      </c>
      <c r="GA250" s="561" t="s">
        <v>2453</v>
      </c>
      <c r="GB250" s="561" t="s">
        <v>2453</v>
      </c>
      <c r="GC250" s="561" t="s">
        <v>2453</v>
      </c>
      <c r="GD250" s="561" t="s">
        <v>2453</v>
      </c>
      <c r="GE250" s="561" t="s">
        <v>2453</v>
      </c>
      <c r="GF250" s="561" t="s">
        <v>2453</v>
      </c>
      <c r="GG250" s="561" t="s">
        <v>2453</v>
      </c>
      <c r="GH250" s="561" t="s">
        <v>2453</v>
      </c>
      <c r="GI250" s="561" t="s">
        <v>2453</v>
      </c>
      <c r="GJ250" s="561" t="s">
        <v>2453</v>
      </c>
      <c r="GK250" s="561" t="s">
        <v>2453</v>
      </c>
      <c r="GL250" s="561" t="s">
        <v>2453</v>
      </c>
      <c r="GM250" s="561" t="s">
        <v>2453</v>
      </c>
      <c r="GN250" s="561" t="s">
        <v>2453</v>
      </c>
      <c r="GO250" s="561" t="s">
        <v>2453</v>
      </c>
      <c r="GP250" s="561" t="s">
        <v>2453</v>
      </c>
      <c r="GQ250" s="561" t="s">
        <v>2453</v>
      </c>
      <c r="GR250" s="561" t="s">
        <v>2453</v>
      </c>
      <c r="GS250" s="561" t="s">
        <v>2453</v>
      </c>
      <c r="GT250" s="561" t="s">
        <v>2453</v>
      </c>
      <c r="GU250" s="561" t="s">
        <v>2453</v>
      </c>
      <c r="GV250" s="561" t="s">
        <v>2453</v>
      </c>
      <c r="GW250" s="561" t="s">
        <v>2453</v>
      </c>
      <c r="GX250" s="561" t="s">
        <v>2453</v>
      </c>
      <c r="GY250" s="561" t="s">
        <v>2453</v>
      </c>
      <c r="GZ250" s="561" t="s">
        <v>2453</v>
      </c>
      <c r="HA250" s="561" t="s">
        <v>2453</v>
      </c>
      <c r="HB250" s="561" t="s">
        <v>2453</v>
      </c>
      <c r="HC250" s="561" t="s">
        <v>2453</v>
      </c>
      <c r="HD250" s="561" t="s">
        <v>2453</v>
      </c>
      <c r="HE250" s="561" t="s">
        <v>2453</v>
      </c>
      <c r="HF250" s="561" t="s">
        <v>2453</v>
      </c>
      <c r="HG250" s="561" t="s">
        <v>2453</v>
      </c>
      <c r="HH250" s="561" t="s">
        <v>2453</v>
      </c>
      <c r="HI250" s="561" t="s">
        <v>2453</v>
      </c>
      <c r="HJ250" s="561" t="s">
        <v>2453</v>
      </c>
      <c r="HK250" s="561" t="s">
        <v>2453</v>
      </c>
      <c r="HL250" s="561" t="s">
        <v>2453</v>
      </c>
      <c r="HM250" s="561" t="s">
        <v>2453</v>
      </c>
      <c r="HN250" s="561" t="s">
        <v>2453</v>
      </c>
      <c r="HO250" s="561" t="s">
        <v>2453</v>
      </c>
      <c r="HP250" s="561" t="s">
        <v>2453</v>
      </c>
      <c r="HQ250" s="561" t="s">
        <v>2453</v>
      </c>
      <c r="HR250" s="561" t="s">
        <v>2453</v>
      </c>
      <c r="HS250" s="561" t="s">
        <v>2453</v>
      </c>
      <c r="HT250" s="561" t="s">
        <v>2453</v>
      </c>
      <c r="HU250" s="561" t="s">
        <v>2453</v>
      </c>
      <c r="HV250" s="561" t="s">
        <v>2453</v>
      </c>
      <c r="HW250" s="561" t="s">
        <v>2453</v>
      </c>
      <c r="HX250" s="561" t="s">
        <v>2453</v>
      </c>
      <c r="HY250" s="561" t="s">
        <v>2453</v>
      </c>
      <c r="HZ250" s="561" t="s">
        <v>2453</v>
      </c>
      <c r="IA250" s="561" t="s">
        <v>2453</v>
      </c>
      <c r="IB250" s="561" t="s">
        <v>2453</v>
      </c>
      <c r="IC250" s="561" t="s">
        <v>2453</v>
      </c>
      <c r="ID250" s="561" t="s">
        <v>2453</v>
      </c>
      <c r="IE250" s="561" t="s">
        <v>2453</v>
      </c>
      <c r="IF250" s="561" t="s">
        <v>2453</v>
      </c>
      <c r="IG250" s="561" t="s">
        <v>2453</v>
      </c>
      <c r="IH250" s="561" t="s">
        <v>2453</v>
      </c>
      <c r="II250" s="561" t="s">
        <v>2453</v>
      </c>
      <c r="IJ250" s="561" t="s">
        <v>2453</v>
      </c>
      <c r="IK250" s="561" t="s">
        <v>2453</v>
      </c>
      <c r="IL250" s="561" t="s">
        <v>2453</v>
      </c>
      <c r="IM250" s="561" t="s">
        <v>2453</v>
      </c>
      <c r="IN250" s="561" t="s">
        <v>2453</v>
      </c>
      <c r="IO250" s="561" t="s">
        <v>2453</v>
      </c>
      <c r="IP250" s="561" t="s">
        <v>2453</v>
      </c>
      <c r="IQ250" s="561" t="s">
        <v>2453</v>
      </c>
      <c r="IR250" s="561" t="s">
        <v>2453</v>
      </c>
      <c r="IS250" s="561" t="s">
        <v>2453</v>
      </c>
      <c r="IT250" s="561" t="s">
        <v>2453</v>
      </c>
      <c r="IU250" s="561" t="s">
        <v>2453</v>
      </c>
      <c r="IV250" s="561" t="s">
        <v>2453</v>
      </c>
      <c r="IW250" s="561" t="s">
        <v>2453</v>
      </c>
      <c r="IX250" s="561" t="s">
        <v>2453</v>
      </c>
      <c r="IY250" s="561" t="s">
        <v>2453</v>
      </c>
      <c r="IZ250" s="561" t="s">
        <v>2453</v>
      </c>
      <c r="JA250" s="561" t="s">
        <v>2453</v>
      </c>
      <c r="JB250" s="561" t="s">
        <v>2453</v>
      </c>
      <c r="JC250" s="561" t="s">
        <v>2453</v>
      </c>
      <c r="JD250" s="561" t="s">
        <v>2453</v>
      </c>
      <c r="JE250" s="561" t="s">
        <v>2453</v>
      </c>
      <c r="JF250" s="561" t="s">
        <v>2453</v>
      </c>
      <c r="JG250" s="561" t="s">
        <v>2453</v>
      </c>
      <c r="JH250" s="561" t="s">
        <v>2453</v>
      </c>
      <c r="JI250" s="561" t="s">
        <v>2453</v>
      </c>
      <c r="JJ250" s="561" t="s">
        <v>2453</v>
      </c>
      <c r="JK250" s="561" t="s">
        <v>2453</v>
      </c>
      <c r="JL250" s="561" t="s">
        <v>2453</v>
      </c>
      <c r="JM250" s="561" t="s">
        <v>2453</v>
      </c>
      <c r="JN250" s="561" t="s">
        <v>2453</v>
      </c>
      <c r="JO250" s="561" t="s">
        <v>2453</v>
      </c>
      <c r="JP250" s="561" t="s">
        <v>2453</v>
      </c>
      <c r="JQ250" s="561" t="s">
        <v>2453</v>
      </c>
      <c r="JR250" s="561" t="s">
        <v>2453</v>
      </c>
      <c r="JS250" s="561" t="s">
        <v>2453</v>
      </c>
      <c r="JT250" s="561" t="s">
        <v>2453</v>
      </c>
      <c r="JU250" s="561" t="s">
        <v>2453</v>
      </c>
      <c r="JV250" s="561" t="s">
        <v>2453</v>
      </c>
      <c r="JW250" s="561" t="s">
        <v>2453</v>
      </c>
      <c r="JX250" s="561" t="s">
        <v>2453</v>
      </c>
      <c r="JY250" s="561" t="s">
        <v>2453</v>
      </c>
      <c r="JZ250" s="561" t="s">
        <v>2453</v>
      </c>
      <c r="KA250" s="561" t="s">
        <v>2453</v>
      </c>
      <c r="KB250" s="561" t="s">
        <v>2453</v>
      </c>
      <c r="KC250" s="561" t="s">
        <v>2453</v>
      </c>
      <c r="KD250" s="561" t="s">
        <v>2453</v>
      </c>
      <c r="KE250" s="561" t="s">
        <v>2453</v>
      </c>
      <c r="KF250" s="561" t="s">
        <v>2453</v>
      </c>
      <c r="KG250" s="561" t="s">
        <v>2453</v>
      </c>
      <c r="KH250" s="561" t="s">
        <v>2453</v>
      </c>
      <c r="KI250" s="561" t="s">
        <v>2453</v>
      </c>
      <c r="KJ250" s="561" t="s">
        <v>2453</v>
      </c>
      <c r="KK250" s="561" t="s">
        <v>2453</v>
      </c>
      <c r="KL250" s="561" t="s">
        <v>2453</v>
      </c>
      <c r="KM250" s="561" t="s">
        <v>2453</v>
      </c>
      <c r="KN250" s="561" t="s">
        <v>2453</v>
      </c>
      <c r="KO250" s="561" t="s">
        <v>2453</v>
      </c>
      <c r="KP250" s="561" t="s">
        <v>2453</v>
      </c>
      <c r="KQ250" s="561" t="s">
        <v>2453</v>
      </c>
      <c r="KR250" s="561" t="s">
        <v>2453</v>
      </c>
      <c r="KS250" s="561" t="s">
        <v>2453</v>
      </c>
      <c r="KT250" s="561" t="s">
        <v>2453</v>
      </c>
      <c r="KU250" s="561" t="s">
        <v>2453</v>
      </c>
      <c r="KV250" s="561" t="s">
        <v>2453</v>
      </c>
      <c r="KW250" s="561" t="s">
        <v>2453</v>
      </c>
      <c r="KX250" s="561" t="s">
        <v>2453</v>
      </c>
      <c r="KY250" s="561" t="s">
        <v>2453</v>
      </c>
      <c r="KZ250" s="561" t="s">
        <v>2453</v>
      </c>
      <c r="LA250" s="561" t="s">
        <v>2453</v>
      </c>
      <c r="LB250" s="561" t="s">
        <v>2453</v>
      </c>
      <c r="LC250" s="561" t="s">
        <v>2453</v>
      </c>
      <c r="LD250" s="561" t="s">
        <v>2453</v>
      </c>
      <c r="LE250" s="561" t="s">
        <v>2453</v>
      </c>
      <c r="LF250" s="561" t="s">
        <v>2453</v>
      </c>
      <c r="LG250" s="561" t="s">
        <v>2453</v>
      </c>
      <c r="LH250" s="561" t="s">
        <v>2453</v>
      </c>
      <c r="LI250" s="561" t="s">
        <v>2453</v>
      </c>
      <c r="LJ250" s="561" t="s">
        <v>2453</v>
      </c>
      <c r="LK250" s="561" t="s">
        <v>2453</v>
      </c>
      <c r="LL250" s="561" t="s">
        <v>2453</v>
      </c>
      <c r="LM250" s="561" t="s">
        <v>2453</v>
      </c>
      <c r="LN250" s="561" t="s">
        <v>2453</v>
      </c>
      <c r="LO250" s="561" t="s">
        <v>2453</v>
      </c>
      <c r="LP250" s="561" t="s">
        <v>2453</v>
      </c>
      <c r="LQ250" s="561" t="s">
        <v>2453</v>
      </c>
      <c r="LR250" s="561" t="s">
        <v>2453</v>
      </c>
      <c r="LS250" s="561" t="s">
        <v>2453</v>
      </c>
      <c r="LT250" s="561" t="s">
        <v>2453</v>
      </c>
      <c r="LU250" s="561" t="s">
        <v>2453</v>
      </c>
      <c r="LV250" s="561" t="s">
        <v>2453</v>
      </c>
      <c r="LW250" s="561" t="s">
        <v>2453</v>
      </c>
      <c r="LX250" s="561" t="s">
        <v>2453</v>
      </c>
      <c r="LY250" s="561" t="s">
        <v>2453</v>
      </c>
      <c r="LZ250" s="561" t="s">
        <v>2453</v>
      </c>
      <c r="MA250" s="561" t="s">
        <v>2453</v>
      </c>
      <c r="MB250" s="561" t="s">
        <v>2453</v>
      </c>
      <c r="MC250" s="561" t="s">
        <v>2453</v>
      </c>
      <c r="MD250" s="561" t="s">
        <v>2453</v>
      </c>
      <c r="ME250" s="561" t="s">
        <v>2453</v>
      </c>
      <c r="MF250" s="561" t="s">
        <v>2453</v>
      </c>
      <c r="MG250" s="561" t="s">
        <v>2453</v>
      </c>
      <c r="MH250" s="561" t="s">
        <v>2453</v>
      </c>
      <c r="MI250" s="561" t="s">
        <v>2453</v>
      </c>
      <c r="MJ250" s="561" t="s">
        <v>2453</v>
      </c>
      <c r="MK250" s="561" t="s">
        <v>2453</v>
      </c>
      <c r="ML250" s="561" t="s">
        <v>2453</v>
      </c>
      <c r="MM250" s="561" t="s">
        <v>2453</v>
      </c>
      <c r="MN250" s="561" t="s">
        <v>2453</v>
      </c>
      <c r="MO250" s="561" t="s">
        <v>2453</v>
      </c>
      <c r="MP250" s="561" t="s">
        <v>2453</v>
      </c>
      <c r="MQ250" s="561" t="s">
        <v>2453</v>
      </c>
      <c r="MR250" s="561" t="s">
        <v>2453</v>
      </c>
      <c r="MS250" s="561" t="s">
        <v>2453</v>
      </c>
      <c r="MT250" s="561" t="s">
        <v>2453</v>
      </c>
      <c r="MU250" s="561" t="s">
        <v>2453</v>
      </c>
      <c r="MV250" s="561" t="s">
        <v>2453</v>
      </c>
      <c r="MW250" s="561" t="s">
        <v>2453</v>
      </c>
      <c r="MX250" s="561" t="s">
        <v>2453</v>
      </c>
      <c r="MY250" s="561" t="s">
        <v>2453</v>
      </c>
      <c r="MZ250" s="561" t="s">
        <v>2453</v>
      </c>
      <c r="NA250" s="561" t="s">
        <v>2453</v>
      </c>
      <c r="NB250" s="561" t="s">
        <v>2453</v>
      </c>
      <c r="NC250" s="561" t="s">
        <v>2453</v>
      </c>
      <c r="ND250" s="561" t="s">
        <v>2453</v>
      </c>
      <c r="NE250" s="561" t="s">
        <v>2453</v>
      </c>
      <c r="NF250" s="561" t="s">
        <v>2453</v>
      </c>
      <c r="NG250" s="561" t="s">
        <v>2453</v>
      </c>
      <c r="NH250" s="561" t="s">
        <v>2453</v>
      </c>
      <c r="NI250" s="561" t="s">
        <v>2453</v>
      </c>
      <c r="NJ250" s="561" t="s">
        <v>2453</v>
      </c>
      <c r="NK250" s="561" t="s">
        <v>2453</v>
      </c>
      <c r="NL250" s="561" t="s">
        <v>2453</v>
      </c>
      <c r="NM250" s="561" t="s">
        <v>2453</v>
      </c>
      <c r="NN250" s="561" t="s">
        <v>2453</v>
      </c>
      <c r="NO250" s="561" t="s">
        <v>2453</v>
      </c>
      <c r="NP250" s="561" t="s">
        <v>2453</v>
      </c>
      <c r="NQ250" s="561" t="s">
        <v>2453</v>
      </c>
      <c r="NR250" s="561" t="s">
        <v>2453</v>
      </c>
      <c r="NS250" s="561" t="s">
        <v>2453</v>
      </c>
      <c r="NT250" s="561" t="s">
        <v>2453</v>
      </c>
      <c r="NU250" s="561">
        <v>0</v>
      </c>
      <c r="NV250" s="561" t="s">
        <v>2453</v>
      </c>
      <c r="NW250" s="561" t="s">
        <v>2453</v>
      </c>
      <c r="NX250" s="561" t="s">
        <v>2453</v>
      </c>
      <c r="NY250" s="561" t="s">
        <v>2453</v>
      </c>
      <c r="NZ250" s="561" t="s">
        <v>2453</v>
      </c>
      <c r="OA250" s="561" t="s">
        <v>2453</v>
      </c>
      <c r="OB250" s="561" t="s">
        <v>2453</v>
      </c>
      <c r="OC250" s="561" t="s">
        <v>2453</v>
      </c>
      <c r="OD250" s="561" t="s">
        <v>2453</v>
      </c>
      <c r="OE250" s="561" t="s">
        <v>2453</v>
      </c>
      <c r="OF250" s="561" t="s">
        <v>2453</v>
      </c>
      <c r="OG250" s="561" t="s">
        <v>2453</v>
      </c>
      <c r="OH250" s="561" t="s">
        <v>2453</v>
      </c>
      <c r="OI250" s="561" t="s">
        <v>2453</v>
      </c>
      <c r="OJ250" s="561" t="s">
        <v>2453</v>
      </c>
      <c r="OK250" s="561" t="s">
        <v>2453</v>
      </c>
      <c r="OL250" s="561" t="s">
        <v>2453</v>
      </c>
      <c r="OM250" s="561" t="s">
        <v>2453</v>
      </c>
      <c r="ON250" s="561" t="s">
        <v>2453</v>
      </c>
      <c r="OO250" s="561" t="s">
        <v>2453</v>
      </c>
      <c r="OP250" s="561" t="s">
        <v>2453</v>
      </c>
      <c r="OQ250" s="561" t="s">
        <v>2453</v>
      </c>
      <c r="OR250" s="561" t="s">
        <v>2453</v>
      </c>
      <c r="OS250" s="561" t="s">
        <v>2453</v>
      </c>
      <c r="OT250" s="561" t="s">
        <v>2453</v>
      </c>
      <c r="OU250" s="561" t="s">
        <v>2453</v>
      </c>
      <c r="OV250" s="561">
        <v>0</v>
      </c>
      <c r="OW250" s="561" t="s">
        <v>2453</v>
      </c>
      <c r="OX250" s="561" t="s">
        <v>2453</v>
      </c>
      <c r="OY250" s="561" t="s">
        <v>2453</v>
      </c>
      <c r="OZ250" s="561" t="s">
        <v>2453</v>
      </c>
      <c r="PA250" s="561" t="s">
        <v>2453</v>
      </c>
      <c r="PB250" s="561" t="s">
        <v>2453</v>
      </c>
      <c r="PC250" s="561" t="s">
        <v>2453</v>
      </c>
      <c r="PD250" s="561" t="s">
        <v>2453</v>
      </c>
      <c r="PE250" s="561" t="s">
        <v>2453</v>
      </c>
      <c r="PF250" s="561" t="s">
        <v>2453</v>
      </c>
      <c r="PG250" s="561" t="s">
        <v>2453</v>
      </c>
      <c r="PH250" s="561" t="s">
        <v>2453</v>
      </c>
      <c r="PI250" s="561" t="s">
        <v>2453</v>
      </c>
      <c r="PJ250" s="561" t="s">
        <v>2453</v>
      </c>
    </row>
    <row r="251" spans="1:426" ht="14" x14ac:dyDescent="0.3">
      <c r="A251" t="s">
        <v>3196</v>
      </c>
      <c r="B251" t="s">
        <v>3197</v>
      </c>
      <c r="C251" t="s">
        <v>3198</v>
      </c>
      <c r="E251" t="s">
        <v>384</v>
      </c>
      <c r="F251" s="561" t="s">
        <v>2453</v>
      </c>
      <c r="G251" s="561" t="s">
        <v>2453</v>
      </c>
      <c r="H251" s="561" t="s">
        <v>2453</v>
      </c>
      <c r="I251" s="561" t="s">
        <v>2453</v>
      </c>
      <c r="J251" s="561" t="s">
        <v>2453</v>
      </c>
      <c r="K251" s="561" t="s">
        <v>2453</v>
      </c>
      <c r="L251" s="561" t="s">
        <v>2453</v>
      </c>
      <c r="M251" s="561" t="s">
        <v>2453</v>
      </c>
      <c r="N251" s="561" t="s">
        <v>2453</v>
      </c>
      <c r="O251" s="561" t="s">
        <v>2453</v>
      </c>
      <c r="P251" s="561" t="s">
        <v>2453</v>
      </c>
      <c r="Q251" s="561" t="s">
        <v>2453</v>
      </c>
      <c r="R251" s="561" t="s">
        <v>2453</v>
      </c>
      <c r="S251" s="561" t="s">
        <v>2453</v>
      </c>
      <c r="T251" s="561" t="s">
        <v>2453</v>
      </c>
      <c r="U251" s="561" t="s">
        <v>2453</v>
      </c>
      <c r="V251" s="561" t="s">
        <v>2453</v>
      </c>
      <c r="W251" s="561" t="s">
        <v>2453</v>
      </c>
      <c r="X251" s="561" t="s">
        <v>2453</v>
      </c>
      <c r="Y251" s="561" t="s">
        <v>2453</v>
      </c>
      <c r="Z251" s="561" t="s">
        <v>2453</v>
      </c>
      <c r="AA251" s="561" t="s">
        <v>2453</v>
      </c>
      <c r="AB251" s="561" t="s">
        <v>2453</v>
      </c>
      <c r="AC251" s="561" t="s">
        <v>2453</v>
      </c>
      <c r="AD251" s="561" t="s">
        <v>2453</v>
      </c>
      <c r="AE251" s="561" t="s">
        <v>2453</v>
      </c>
      <c r="AF251" s="561" t="s">
        <v>2453</v>
      </c>
      <c r="AG251" s="561" t="s">
        <v>2453</v>
      </c>
      <c r="AH251" s="561" t="s">
        <v>2453</v>
      </c>
      <c r="AI251" s="561" t="s">
        <v>2453</v>
      </c>
      <c r="AJ251" s="561" t="s">
        <v>2453</v>
      </c>
      <c r="AK251" s="561" t="s">
        <v>2453</v>
      </c>
      <c r="AL251" s="561" t="s">
        <v>2453</v>
      </c>
      <c r="AM251" s="561" t="s">
        <v>2453</v>
      </c>
      <c r="AN251" s="561" t="s">
        <v>2453</v>
      </c>
      <c r="AO251" s="561" t="s">
        <v>2453</v>
      </c>
      <c r="AP251" s="561" t="s">
        <v>2453</v>
      </c>
      <c r="AQ251" s="561" t="s">
        <v>2453</v>
      </c>
      <c r="AR251" s="561" t="s">
        <v>2453</v>
      </c>
      <c r="AS251" s="561" t="s">
        <v>2453</v>
      </c>
      <c r="AT251" s="561" t="s">
        <v>2453</v>
      </c>
      <c r="AU251" s="561" t="s">
        <v>2453</v>
      </c>
      <c r="AV251" s="561" t="s">
        <v>2453</v>
      </c>
      <c r="AW251" s="561" t="s">
        <v>2453</v>
      </c>
      <c r="AX251" s="561" t="s">
        <v>2453</v>
      </c>
      <c r="AY251" s="561" t="s">
        <v>2453</v>
      </c>
      <c r="AZ251" s="561" t="s">
        <v>2453</v>
      </c>
      <c r="BA251" s="561" t="s">
        <v>2453</v>
      </c>
      <c r="BB251" s="561" t="s">
        <v>2453</v>
      </c>
      <c r="BC251" s="561" t="s">
        <v>2453</v>
      </c>
      <c r="BD251" s="561" t="s">
        <v>2453</v>
      </c>
      <c r="BE251" s="561" t="s">
        <v>2453</v>
      </c>
      <c r="BF251" s="561" t="s">
        <v>2453</v>
      </c>
      <c r="BG251" s="561" t="s">
        <v>2453</v>
      </c>
      <c r="BH251" s="561" t="s">
        <v>2453</v>
      </c>
      <c r="BI251" s="561" t="s">
        <v>2453</v>
      </c>
      <c r="BJ251" s="561" t="s">
        <v>2453</v>
      </c>
      <c r="BK251" s="561" t="s">
        <v>2453</v>
      </c>
      <c r="BL251" s="561" t="s">
        <v>2453</v>
      </c>
      <c r="BM251" s="561" t="s">
        <v>2453</v>
      </c>
      <c r="BN251" s="561" t="s">
        <v>2453</v>
      </c>
      <c r="BO251" s="561" t="s">
        <v>2453</v>
      </c>
      <c r="BP251" s="561" t="s">
        <v>2453</v>
      </c>
      <c r="BQ251" s="561" t="s">
        <v>2453</v>
      </c>
      <c r="BR251" s="561" t="s">
        <v>2453</v>
      </c>
      <c r="BS251" s="561" t="s">
        <v>2453</v>
      </c>
      <c r="BT251" s="561" t="s">
        <v>2453</v>
      </c>
      <c r="BU251" s="561" t="s">
        <v>2453</v>
      </c>
      <c r="BV251" s="561" t="s">
        <v>2453</v>
      </c>
      <c r="BW251" s="561" t="s">
        <v>2453</v>
      </c>
      <c r="BX251" s="561" t="s">
        <v>2453</v>
      </c>
      <c r="BY251" s="561" t="s">
        <v>2453</v>
      </c>
      <c r="BZ251" s="561" t="s">
        <v>2453</v>
      </c>
      <c r="CA251" s="561" t="s">
        <v>2453</v>
      </c>
      <c r="CB251" s="561" t="s">
        <v>2453</v>
      </c>
      <c r="CC251" s="561" t="s">
        <v>2453</v>
      </c>
      <c r="CD251" s="561" t="s">
        <v>2453</v>
      </c>
      <c r="CE251" s="561" t="s">
        <v>2453</v>
      </c>
      <c r="CF251" s="561" t="s">
        <v>2453</v>
      </c>
      <c r="CG251" s="561" t="s">
        <v>2453</v>
      </c>
      <c r="CH251" s="561" t="s">
        <v>2453</v>
      </c>
      <c r="CI251" s="561" t="s">
        <v>2453</v>
      </c>
      <c r="CJ251" s="561" t="s">
        <v>2453</v>
      </c>
      <c r="CK251" s="561" t="s">
        <v>2453</v>
      </c>
      <c r="CL251" s="561" t="s">
        <v>2453</v>
      </c>
      <c r="CM251" s="561" t="s">
        <v>2453</v>
      </c>
      <c r="CN251" s="561" t="s">
        <v>2453</v>
      </c>
      <c r="CO251" s="561" t="s">
        <v>2453</v>
      </c>
      <c r="CP251" s="561" t="s">
        <v>2453</v>
      </c>
      <c r="CQ251" s="561" t="s">
        <v>2453</v>
      </c>
      <c r="CR251" s="561" t="s">
        <v>2453</v>
      </c>
      <c r="CS251" s="561" t="s">
        <v>2453</v>
      </c>
      <c r="CT251" s="561" t="s">
        <v>2453</v>
      </c>
      <c r="CU251" s="561" t="s">
        <v>2453</v>
      </c>
      <c r="CV251" s="561" t="s">
        <v>2453</v>
      </c>
      <c r="CW251" s="561" t="s">
        <v>2453</v>
      </c>
      <c r="CX251" s="561" t="s">
        <v>2453</v>
      </c>
      <c r="CY251" s="561" t="s">
        <v>2453</v>
      </c>
      <c r="CZ251" s="561" t="s">
        <v>2453</v>
      </c>
      <c r="DA251" s="561" t="s">
        <v>2453</v>
      </c>
      <c r="DB251" s="561" t="s">
        <v>2453</v>
      </c>
      <c r="DC251" s="561" t="s">
        <v>2453</v>
      </c>
      <c r="DD251" s="561" t="s">
        <v>2453</v>
      </c>
      <c r="DE251" s="561" t="s">
        <v>2453</v>
      </c>
      <c r="DF251" s="561" t="s">
        <v>2453</v>
      </c>
      <c r="DG251" s="561" t="s">
        <v>2453</v>
      </c>
      <c r="DH251" s="561" t="s">
        <v>2453</v>
      </c>
      <c r="DI251" s="561" t="s">
        <v>2453</v>
      </c>
      <c r="DJ251" s="561" t="s">
        <v>2453</v>
      </c>
      <c r="DK251" s="561" t="s">
        <v>2453</v>
      </c>
      <c r="DL251" s="561" t="s">
        <v>2453</v>
      </c>
      <c r="DM251" s="561" t="s">
        <v>2453</v>
      </c>
      <c r="DN251" s="561" t="s">
        <v>2453</v>
      </c>
      <c r="DO251" s="561" t="s">
        <v>2453</v>
      </c>
      <c r="DP251" s="561" t="s">
        <v>2453</v>
      </c>
      <c r="DQ251" s="561" t="s">
        <v>2453</v>
      </c>
      <c r="DR251" s="561" t="s">
        <v>2453</v>
      </c>
      <c r="DS251" s="561" t="s">
        <v>2453</v>
      </c>
      <c r="DT251" s="561" t="s">
        <v>2453</v>
      </c>
      <c r="DU251" s="561" t="s">
        <v>2453</v>
      </c>
      <c r="DV251" s="561" t="s">
        <v>2453</v>
      </c>
      <c r="DW251" s="561" t="s">
        <v>2453</v>
      </c>
      <c r="DX251" s="561" t="s">
        <v>2453</v>
      </c>
      <c r="DY251" s="561" t="s">
        <v>2453</v>
      </c>
      <c r="DZ251" s="561" t="s">
        <v>2453</v>
      </c>
      <c r="EA251" s="561" t="s">
        <v>2453</v>
      </c>
      <c r="EB251" s="561" t="s">
        <v>2453</v>
      </c>
      <c r="EC251" s="561" t="s">
        <v>2453</v>
      </c>
      <c r="ED251" s="561" t="s">
        <v>2453</v>
      </c>
      <c r="EE251" s="561" t="s">
        <v>2453</v>
      </c>
      <c r="EF251" s="561" t="s">
        <v>2453</v>
      </c>
      <c r="EG251" s="561" t="s">
        <v>2453</v>
      </c>
      <c r="EH251" s="561" t="s">
        <v>2453</v>
      </c>
      <c r="EI251" s="561" t="s">
        <v>2453</v>
      </c>
      <c r="EJ251" s="561" t="s">
        <v>2453</v>
      </c>
      <c r="EK251" s="561" t="s">
        <v>2453</v>
      </c>
      <c r="EL251" s="561" t="s">
        <v>2453</v>
      </c>
      <c r="EM251" s="561" t="s">
        <v>2453</v>
      </c>
      <c r="EN251" s="561" t="s">
        <v>2453</v>
      </c>
      <c r="EO251" s="561" t="s">
        <v>2453</v>
      </c>
      <c r="EP251" s="561" t="s">
        <v>2453</v>
      </c>
      <c r="EQ251" s="561" t="s">
        <v>2453</v>
      </c>
      <c r="ER251" s="561" t="s">
        <v>2453</v>
      </c>
      <c r="ES251" s="561" t="s">
        <v>4565</v>
      </c>
      <c r="ET251" s="561" t="s">
        <v>2453</v>
      </c>
      <c r="EU251" s="561" t="s">
        <v>2453</v>
      </c>
      <c r="EV251" s="561" t="s">
        <v>2453</v>
      </c>
      <c r="EW251" s="561" t="s">
        <v>2453</v>
      </c>
      <c r="EX251" s="561" t="s">
        <v>2453</v>
      </c>
      <c r="EY251" s="561" t="s">
        <v>2453</v>
      </c>
      <c r="EZ251" s="561" t="s">
        <v>2453</v>
      </c>
      <c r="FA251" s="561" t="s">
        <v>2453</v>
      </c>
      <c r="FB251" s="561" t="s">
        <v>2453</v>
      </c>
      <c r="FC251" s="561" t="s">
        <v>2453</v>
      </c>
      <c r="FD251" s="561" t="s">
        <v>2453</v>
      </c>
      <c r="FE251" s="561" t="s">
        <v>2453</v>
      </c>
      <c r="FF251" s="561" t="s">
        <v>2453</v>
      </c>
      <c r="FG251" s="561" t="s">
        <v>2453</v>
      </c>
      <c r="FH251" s="561" t="s">
        <v>2453</v>
      </c>
      <c r="FI251" s="561" t="s">
        <v>2453</v>
      </c>
      <c r="FJ251" s="561" t="s">
        <v>2453</v>
      </c>
      <c r="FK251" s="561" t="s">
        <v>2453</v>
      </c>
      <c r="FL251" s="561" t="s">
        <v>2453</v>
      </c>
      <c r="FM251" s="561" t="s">
        <v>2453</v>
      </c>
      <c r="FN251" s="561" t="s">
        <v>2453</v>
      </c>
      <c r="FO251" s="561" t="s">
        <v>2453</v>
      </c>
      <c r="FP251" s="561" t="s">
        <v>2453</v>
      </c>
      <c r="FQ251" s="561" t="s">
        <v>2453</v>
      </c>
      <c r="FR251" s="561" t="s">
        <v>2453</v>
      </c>
      <c r="FS251" s="561" t="s">
        <v>2453</v>
      </c>
      <c r="FT251" s="561" t="s">
        <v>2453</v>
      </c>
      <c r="FU251" s="561" t="s">
        <v>2453</v>
      </c>
      <c r="FV251" s="561" t="s">
        <v>2453</v>
      </c>
      <c r="FW251" s="561" t="s">
        <v>2453</v>
      </c>
      <c r="FX251" s="561" t="s">
        <v>2453</v>
      </c>
      <c r="FY251" s="561" t="s">
        <v>2453</v>
      </c>
      <c r="FZ251" s="561" t="s">
        <v>2453</v>
      </c>
      <c r="GA251" s="561" t="s">
        <v>2453</v>
      </c>
      <c r="GB251" s="561" t="s">
        <v>2453</v>
      </c>
      <c r="GC251" s="561" t="s">
        <v>2453</v>
      </c>
      <c r="GD251" s="561" t="s">
        <v>2453</v>
      </c>
      <c r="GE251" s="561" t="s">
        <v>2453</v>
      </c>
      <c r="GF251" s="561" t="s">
        <v>2453</v>
      </c>
      <c r="GG251" s="561" t="s">
        <v>2453</v>
      </c>
      <c r="GH251" s="561" t="s">
        <v>2453</v>
      </c>
      <c r="GI251" s="561" t="s">
        <v>2453</v>
      </c>
      <c r="GJ251" s="561" t="s">
        <v>2453</v>
      </c>
      <c r="GK251" s="561" t="s">
        <v>2453</v>
      </c>
      <c r="GL251" s="561" t="s">
        <v>2453</v>
      </c>
      <c r="GM251" s="561" t="s">
        <v>2453</v>
      </c>
      <c r="GN251" s="561" t="s">
        <v>2453</v>
      </c>
      <c r="GO251" s="561" t="s">
        <v>2453</v>
      </c>
      <c r="GP251" s="561" t="s">
        <v>2453</v>
      </c>
      <c r="GQ251" s="561" t="s">
        <v>2453</v>
      </c>
      <c r="GR251" s="561" t="s">
        <v>2453</v>
      </c>
      <c r="GS251" s="561" t="s">
        <v>2453</v>
      </c>
      <c r="GT251" s="561" t="s">
        <v>2453</v>
      </c>
      <c r="GU251" s="561" t="s">
        <v>2453</v>
      </c>
      <c r="GV251" s="561" t="s">
        <v>2453</v>
      </c>
      <c r="GW251" s="561" t="s">
        <v>2453</v>
      </c>
      <c r="GX251" s="561" t="s">
        <v>2453</v>
      </c>
      <c r="GY251" s="561" t="s">
        <v>2453</v>
      </c>
      <c r="GZ251" s="561" t="s">
        <v>2453</v>
      </c>
      <c r="HA251" s="561" t="s">
        <v>2453</v>
      </c>
      <c r="HB251" s="561" t="s">
        <v>2453</v>
      </c>
      <c r="HC251" s="561" t="s">
        <v>2453</v>
      </c>
      <c r="HD251" s="561" t="s">
        <v>2453</v>
      </c>
      <c r="HE251" s="561" t="s">
        <v>2453</v>
      </c>
      <c r="HF251" s="561" t="s">
        <v>2453</v>
      </c>
      <c r="HG251" s="561" t="s">
        <v>2453</v>
      </c>
      <c r="HH251" s="561" t="s">
        <v>2453</v>
      </c>
      <c r="HI251" s="561" t="s">
        <v>2453</v>
      </c>
      <c r="HJ251" s="561" t="s">
        <v>2453</v>
      </c>
      <c r="HK251" s="561" t="s">
        <v>2453</v>
      </c>
      <c r="HL251" s="561" t="s">
        <v>2453</v>
      </c>
      <c r="HM251" s="561" t="s">
        <v>2453</v>
      </c>
      <c r="HN251" s="561" t="s">
        <v>2453</v>
      </c>
      <c r="HO251" s="561" t="s">
        <v>2453</v>
      </c>
      <c r="HP251" s="561" t="s">
        <v>2453</v>
      </c>
      <c r="HQ251" s="561" t="s">
        <v>2453</v>
      </c>
      <c r="HR251" s="561" t="s">
        <v>2453</v>
      </c>
      <c r="HS251" s="561" t="s">
        <v>2453</v>
      </c>
      <c r="HT251" s="561" t="s">
        <v>2453</v>
      </c>
      <c r="HU251" s="561" t="s">
        <v>2453</v>
      </c>
      <c r="HV251" s="561" t="s">
        <v>2453</v>
      </c>
      <c r="HW251" s="561" t="s">
        <v>2453</v>
      </c>
      <c r="HX251" s="561" t="s">
        <v>2453</v>
      </c>
      <c r="HY251" s="561" t="s">
        <v>2453</v>
      </c>
      <c r="HZ251" s="561" t="s">
        <v>2453</v>
      </c>
      <c r="IA251" s="561" t="s">
        <v>2453</v>
      </c>
      <c r="IB251" s="561" t="s">
        <v>2453</v>
      </c>
      <c r="IC251" s="561" t="s">
        <v>2453</v>
      </c>
      <c r="ID251" s="561" t="s">
        <v>2453</v>
      </c>
      <c r="IE251" s="561" t="s">
        <v>2453</v>
      </c>
      <c r="IF251" s="561" t="s">
        <v>2453</v>
      </c>
      <c r="IG251" s="561" t="s">
        <v>2453</v>
      </c>
      <c r="IH251" s="561" t="s">
        <v>2453</v>
      </c>
      <c r="II251" s="561" t="s">
        <v>2453</v>
      </c>
      <c r="IJ251" s="561" t="s">
        <v>2453</v>
      </c>
      <c r="IK251" s="561" t="s">
        <v>2453</v>
      </c>
      <c r="IL251" s="561" t="s">
        <v>2453</v>
      </c>
      <c r="IM251" s="561" t="s">
        <v>2453</v>
      </c>
      <c r="IN251" s="561" t="s">
        <v>2453</v>
      </c>
      <c r="IO251" s="561" t="s">
        <v>2453</v>
      </c>
      <c r="IP251" s="561" t="s">
        <v>2453</v>
      </c>
      <c r="IQ251" s="561" t="s">
        <v>2453</v>
      </c>
      <c r="IR251" s="561" t="s">
        <v>2453</v>
      </c>
      <c r="IS251" s="561" t="s">
        <v>2453</v>
      </c>
      <c r="IT251" s="561" t="s">
        <v>2453</v>
      </c>
      <c r="IU251" s="561" t="s">
        <v>2453</v>
      </c>
      <c r="IV251" s="561" t="s">
        <v>2453</v>
      </c>
      <c r="IW251" s="561" t="s">
        <v>2453</v>
      </c>
      <c r="IX251" s="561" t="s">
        <v>2453</v>
      </c>
      <c r="IY251" s="561" t="s">
        <v>2453</v>
      </c>
      <c r="IZ251" s="561" t="s">
        <v>2453</v>
      </c>
      <c r="JA251" s="561" t="s">
        <v>2453</v>
      </c>
      <c r="JB251" s="561" t="s">
        <v>2453</v>
      </c>
      <c r="JC251" s="561" t="s">
        <v>2453</v>
      </c>
      <c r="JD251" s="561" t="s">
        <v>2453</v>
      </c>
      <c r="JE251" s="561" t="s">
        <v>2453</v>
      </c>
      <c r="JF251" s="561" t="s">
        <v>2453</v>
      </c>
      <c r="JG251" s="561" t="s">
        <v>2453</v>
      </c>
      <c r="JH251" s="561" t="s">
        <v>2453</v>
      </c>
      <c r="JI251" s="561" t="s">
        <v>2453</v>
      </c>
      <c r="JJ251" s="561" t="s">
        <v>2453</v>
      </c>
      <c r="JK251" s="561" t="s">
        <v>2453</v>
      </c>
      <c r="JL251" s="561" t="s">
        <v>2453</v>
      </c>
      <c r="JM251" s="561" t="s">
        <v>2453</v>
      </c>
      <c r="JN251" s="561" t="s">
        <v>2453</v>
      </c>
      <c r="JO251" s="561" t="s">
        <v>2453</v>
      </c>
      <c r="JP251" s="561" t="s">
        <v>2453</v>
      </c>
      <c r="JQ251" s="561" t="s">
        <v>2453</v>
      </c>
      <c r="JR251" s="561" t="s">
        <v>2453</v>
      </c>
      <c r="JS251" s="561" t="s">
        <v>2453</v>
      </c>
      <c r="JT251" s="561" t="s">
        <v>2453</v>
      </c>
      <c r="JU251" s="561" t="s">
        <v>2453</v>
      </c>
      <c r="JV251" s="561" t="s">
        <v>2453</v>
      </c>
      <c r="JW251" s="561" t="s">
        <v>2453</v>
      </c>
      <c r="JX251" s="561" t="s">
        <v>2453</v>
      </c>
      <c r="JY251" s="561" t="s">
        <v>2453</v>
      </c>
      <c r="JZ251" s="561" t="s">
        <v>2453</v>
      </c>
      <c r="KA251" s="561" t="s">
        <v>2453</v>
      </c>
      <c r="KB251" s="561" t="s">
        <v>2453</v>
      </c>
      <c r="KC251" s="561" t="s">
        <v>2453</v>
      </c>
      <c r="KD251" s="561" t="s">
        <v>2453</v>
      </c>
      <c r="KE251" s="561" t="s">
        <v>2453</v>
      </c>
      <c r="KF251" s="561" t="s">
        <v>2453</v>
      </c>
      <c r="KG251" s="561" t="s">
        <v>2453</v>
      </c>
      <c r="KH251" s="561" t="s">
        <v>2453</v>
      </c>
      <c r="KI251" s="561" t="s">
        <v>2453</v>
      </c>
      <c r="KJ251" s="561" t="s">
        <v>2453</v>
      </c>
      <c r="KK251" s="561" t="s">
        <v>2453</v>
      </c>
      <c r="KL251" s="561" t="s">
        <v>2453</v>
      </c>
      <c r="KM251" s="561" t="s">
        <v>2453</v>
      </c>
      <c r="KN251" s="561" t="s">
        <v>2453</v>
      </c>
      <c r="KO251" s="561" t="s">
        <v>2453</v>
      </c>
      <c r="KP251" s="561" t="s">
        <v>2453</v>
      </c>
      <c r="KQ251" s="561" t="s">
        <v>2453</v>
      </c>
      <c r="KR251" s="561" t="s">
        <v>2453</v>
      </c>
      <c r="KS251" s="561" t="s">
        <v>2453</v>
      </c>
      <c r="KT251" s="561" t="s">
        <v>2453</v>
      </c>
      <c r="KU251" s="561" t="s">
        <v>2453</v>
      </c>
      <c r="KV251" s="561" t="s">
        <v>2453</v>
      </c>
      <c r="KW251" s="561" t="s">
        <v>2453</v>
      </c>
      <c r="KX251" s="561" t="s">
        <v>2453</v>
      </c>
      <c r="KY251" s="561" t="s">
        <v>2453</v>
      </c>
      <c r="KZ251" s="561" t="s">
        <v>2453</v>
      </c>
      <c r="LA251" s="561" t="s">
        <v>2453</v>
      </c>
      <c r="LB251" s="561" t="s">
        <v>2453</v>
      </c>
      <c r="LC251" s="561" t="s">
        <v>2453</v>
      </c>
      <c r="LD251" s="561" t="s">
        <v>2453</v>
      </c>
      <c r="LE251" s="561" t="s">
        <v>2453</v>
      </c>
      <c r="LF251" s="561" t="s">
        <v>2453</v>
      </c>
      <c r="LG251" s="561" t="s">
        <v>2453</v>
      </c>
      <c r="LH251" s="561" t="s">
        <v>2453</v>
      </c>
      <c r="LI251" s="561" t="s">
        <v>2453</v>
      </c>
      <c r="LJ251" s="561" t="s">
        <v>2453</v>
      </c>
      <c r="LK251" s="561" t="s">
        <v>2453</v>
      </c>
      <c r="LL251" s="561" t="s">
        <v>2453</v>
      </c>
      <c r="LM251" s="561" t="s">
        <v>2453</v>
      </c>
      <c r="LN251" s="561" t="s">
        <v>2453</v>
      </c>
      <c r="LO251" s="561" t="s">
        <v>2453</v>
      </c>
      <c r="LP251" s="561" t="s">
        <v>2453</v>
      </c>
      <c r="LQ251" s="561" t="s">
        <v>2453</v>
      </c>
      <c r="LR251" s="561" t="s">
        <v>2453</v>
      </c>
      <c r="LS251" s="561" t="s">
        <v>2453</v>
      </c>
      <c r="LT251" s="561" t="s">
        <v>2453</v>
      </c>
      <c r="LU251" s="561" t="s">
        <v>2453</v>
      </c>
      <c r="LV251" s="561" t="s">
        <v>2453</v>
      </c>
      <c r="LW251" s="561" t="s">
        <v>2453</v>
      </c>
      <c r="LX251" s="561" t="s">
        <v>2453</v>
      </c>
      <c r="LY251" s="561" t="s">
        <v>2453</v>
      </c>
      <c r="LZ251" s="561" t="s">
        <v>2453</v>
      </c>
      <c r="MA251" s="561" t="s">
        <v>2453</v>
      </c>
      <c r="MB251" s="561" t="s">
        <v>2453</v>
      </c>
      <c r="MC251" s="561" t="s">
        <v>2453</v>
      </c>
      <c r="MD251" s="561" t="s">
        <v>2453</v>
      </c>
      <c r="ME251" s="561" t="s">
        <v>2453</v>
      </c>
      <c r="MF251" s="561" t="s">
        <v>2453</v>
      </c>
      <c r="MG251" s="561" t="s">
        <v>2453</v>
      </c>
      <c r="MH251" s="561" t="s">
        <v>2453</v>
      </c>
      <c r="MI251" s="561" t="s">
        <v>2453</v>
      </c>
      <c r="MJ251" s="561" t="s">
        <v>2453</v>
      </c>
      <c r="MK251" s="561" t="s">
        <v>2453</v>
      </c>
      <c r="ML251" s="561" t="s">
        <v>2453</v>
      </c>
      <c r="MM251" s="561" t="s">
        <v>2453</v>
      </c>
      <c r="MN251" s="561" t="s">
        <v>2453</v>
      </c>
      <c r="MO251" s="561" t="s">
        <v>2453</v>
      </c>
      <c r="MP251" s="561" t="s">
        <v>2453</v>
      </c>
      <c r="MQ251" s="561" t="s">
        <v>2453</v>
      </c>
      <c r="MR251" s="561" t="s">
        <v>2453</v>
      </c>
      <c r="MS251" s="561" t="s">
        <v>2453</v>
      </c>
      <c r="MT251" s="561" t="s">
        <v>2453</v>
      </c>
      <c r="MU251" s="561" t="s">
        <v>2453</v>
      </c>
      <c r="MV251" s="561" t="s">
        <v>2453</v>
      </c>
      <c r="MW251" s="561" t="s">
        <v>2453</v>
      </c>
      <c r="MX251" s="561" t="s">
        <v>2453</v>
      </c>
      <c r="MY251" s="561" t="s">
        <v>2453</v>
      </c>
      <c r="MZ251" s="561" t="s">
        <v>2453</v>
      </c>
      <c r="NA251" s="561" t="s">
        <v>2453</v>
      </c>
      <c r="NB251" s="561" t="s">
        <v>2453</v>
      </c>
      <c r="NC251" s="561" t="s">
        <v>2453</v>
      </c>
      <c r="ND251" s="561" t="s">
        <v>2453</v>
      </c>
      <c r="NE251" s="561" t="s">
        <v>2453</v>
      </c>
      <c r="NF251" s="561" t="s">
        <v>2453</v>
      </c>
      <c r="NG251" s="561" t="s">
        <v>2453</v>
      </c>
      <c r="NH251" s="561" t="s">
        <v>2453</v>
      </c>
      <c r="NI251" s="561" t="s">
        <v>2453</v>
      </c>
      <c r="NJ251" s="561" t="s">
        <v>2453</v>
      </c>
      <c r="NK251" s="561" t="s">
        <v>2453</v>
      </c>
      <c r="NL251" s="561" t="s">
        <v>2453</v>
      </c>
      <c r="NM251" s="561" t="s">
        <v>2453</v>
      </c>
      <c r="NN251" s="561" t="s">
        <v>2453</v>
      </c>
      <c r="NO251" s="561" t="s">
        <v>2453</v>
      </c>
      <c r="NP251" s="561" t="s">
        <v>2453</v>
      </c>
      <c r="NQ251" s="561" t="s">
        <v>2453</v>
      </c>
      <c r="NR251" s="561" t="s">
        <v>2453</v>
      </c>
      <c r="NS251" s="561" t="s">
        <v>2453</v>
      </c>
      <c r="NT251" s="561" t="s">
        <v>2453</v>
      </c>
      <c r="NU251" s="561">
        <v>0</v>
      </c>
      <c r="NV251" s="561" t="s">
        <v>2453</v>
      </c>
      <c r="NW251" s="561" t="s">
        <v>2453</v>
      </c>
      <c r="NX251" s="561" t="s">
        <v>2453</v>
      </c>
      <c r="NY251" s="561" t="s">
        <v>2453</v>
      </c>
      <c r="NZ251" s="561" t="s">
        <v>2453</v>
      </c>
      <c r="OA251" s="561" t="s">
        <v>2453</v>
      </c>
      <c r="OB251" s="561" t="s">
        <v>2453</v>
      </c>
      <c r="OC251" s="561" t="s">
        <v>2453</v>
      </c>
      <c r="OD251" s="561" t="s">
        <v>2453</v>
      </c>
      <c r="OE251" s="561" t="s">
        <v>2453</v>
      </c>
      <c r="OF251" s="561" t="s">
        <v>2453</v>
      </c>
      <c r="OG251" s="561" t="s">
        <v>2453</v>
      </c>
      <c r="OH251" s="561" t="s">
        <v>2453</v>
      </c>
      <c r="OI251" s="561" t="s">
        <v>2453</v>
      </c>
      <c r="OJ251" s="561" t="s">
        <v>2453</v>
      </c>
      <c r="OK251" s="561" t="s">
        <v>2453</v>
      </c>
      <c r="OL251" s="561" t="s">
        <v>2453</v>
      </c>
      <c r="OM251" s="561" t="s">
        <v>2453</v>
      </c>
      <c r="ON251" s="561" t="s">
        <v>2453</v>
      </c>
      <c r="OO251" s="561" t="s">
        <v>2453</v>
      </c>
      <c r="OP251" s="561" t="s">
        <v>2453</v>
      </c>
      <c r="OQ251" s="561" t="s">
        <v>2453</v>
      </c>
      <c r="OR251" s="561" t="s">
        <v>2453</v>
      </c>
      <c r="OS251" s="561" t="s">
        <v>2453</v>
      </c>
      <c r="OT251" s="561" t="s">
        <v>2453</v>
      </c>
      <c r="OU251" s="561" t="s">
        <v>2453</v>
      </c>
      <c r="OV251" s="561">
        <v>0</v>
      </c>
      <c r="OW251" s="561" t="s">
        <v>2453</v>
      </c>
      <c r="OX251" s="561" t="s">
        <v>2453</v>
      </c>
      <c r="OY251" s="561" t="s">
        <v>2453</v>
      </c>
      <c r="OZ251" s="561" t="s">
        <v>2453</v>
      </c>
      <c r="PA251" s="561" t="s">
        <v>2453</v>
      </c>
      <c r="PB251" s="561" t="s">
        <v>2453</v>
      </c>
      <c r="PC251" s="561" t="s">
        <v>2453</v>
      </c>
      <c r="PD251" s="561" t="s">
        <v>2453</v>
      </c>
      <c r="PE251" s="561" t="s">
        <v>2453</v>
      </c>
      <c r="PF251" s="561" t="s">
        <v>2453</v>
      </c>
      <c r="PG251" s="561" t="s">
        <v>2453</v>
      </c>
      <c r="PH251" s="561" t="s">
        <v>2453</v>
      </c>
      <c r="PI251" s="561" t="s">
        <v>2453</v>
      </c>
      <c r="PJ251" s="561" t="s">
        <v>2453</v>
      </c>
    </row>
    <row r="252" spans="1:426" ht="14" x14ac:dyDescent="0.3">
      <c r="A252" t="s">
        <v>3199</v>
      </c>
      <c r="B252" t="s">
        <v>3200</v>
      </c>
      <c r="C252" t="s">
        <v>3201</v>
      </c>
      <c r="E252" t="s">
        <v>2466</v>
      </c>
      <c r="F252" s="561">
        <v>0</v>
      </c>
      <c r="G252" s="561">
        <v>0</v>
      </c>
      <c r="H252" s="561">
        <v>0</v>
      </c>
      <c r="I252" s="561">
        <v>0</v>
      </c>
      <c r="J252" s="561">
        <v>0</v>
      </c>
      <c r="K252" s="561">
        <v>0</v>
      </c>
      <c r="L252" s="561">
        <v>0</v>
      </c>
      <c r="M252" s="561">
        <v>0</v>
      </c>
      <c r="N252" s="561">
        <v>0</v>
      </c>
      <c r="O252" s="561">
        <v>0</v>
      </c>
      <c r="P252" s="561">
        <v>0</v>
      </c>
      <c r="Q252" s="561">
        <v>0</v>
      </c>
      <c r="R252" s="561">
        <v>0</v>
      </c>
      <c r="S252" s="561">
        <v>0</v>
      </c>
      <c r="T252" s="561">
        <v>0</v>
      </c>
      <c r="U252" s="561">
        <v>0</v>
      </c>
      <c r="V252" s="561">
        <v>0</v>
      </c>
      <c r="W252" s="561">
        <v>0</v>
      </c>
      <c r="X252" s="561">
        <v>0</v>
      </c>
      <c r="Y252" s="561">
        <v>0</v>
      </c>
      <c r="Z252" s="561">
        <v>0</v>
      </c>
      <c r="AA252" s="561">
        <v>0</v>
      </c>
      <c r="AB252" s="561">
        <v>-179</v>
      </c>
      <c r="AC252" s="561">
        <v>0</v>
      </c>
      <c r="AD252" s="561">
        <v>0</v>
      </c>
      <c r="AE252" s="561">
        <v>0</v>
      </c>
      <c r="AF252" s="561">
        <v>0</v>
      </c>
      <c r="AG252" s="561">
        <v>0</v>
      </c>
      <c r="AH252" s="561">
        <v>0</v>
      </c>
      <c r="AI252" s="561">
        <v>0</v>
      </c>
      <c r="AJ252" s="561">
        <v>-179</v>
      </c>
      <c r="AK252" s="561">
        <v>0</v>
      </c>
      <c r="AL252" s="561">
        <v>0</v>
      </c>
      <c r="AM252" s="561">
        <v>0</v>
      </c>
      <c r="AN252" s="561">
        <v>0</v>
      </c>
      <c r="AO252" s="561">
        <v>0</v>
      </c>
      <c r="AP252" s="561">
        <v>0</v>
      </c>
      <c r="AQ252" s="561">
        <v>0</v>
      </c>
      <c r="AR252" s="561">
        <v>0</v>
      </c>
      <c r="AS252" s="561">
        <v>0</v>
      </c>
      <c r="AT252" s="561">
        <v>0</v>
      </c>
      <c r="AU252" s="561">
        <v>0</v>
      </c>
      <c r="AV252" s="561">
        <v>0</v>
      </c>
      <c r="AW252" s="561">
        <v>0</v>
      </c>
      <c r="AX252" s="561">
        <v>0</v>
      </c>
      <c r="AY252" s="561">
        <v>0</v>
      </c>
      <c r="AZ252" s="561">
        <v>0</v>
      </c>
      <c r="BA252" s="561">
        <v>0</v>
      </c>
      <c r="BB252" s="561">
        <v>0</v>
      </c>
      <c r="BC252" s="561">
        <v>0</v>
      </c>
      <c r="BD252" s="561">
        <v>0</v>
      </c>
      <c r="BE252" s="561">
        <v>0</v>
      </c>
      <c r="BF252" s="561">
        <v>0</v>
      </c>
      <c r="BG252" s="561">
        <v>0</v>
      </c>
      <c r="BH252" s="561">
        <v>0</v>
      </c>
      <c r="BI252" s="561">
        <v>0</v>
      </c>
      <c r="BJ252" s="561">
        <v>0</v>
      </c>
      <c r="BK252" s="561">
        <v>0</v>
      </c>
      <c r="BL252" s="561">
        <v>0</v>
      </c>
      <c r="BM252" s="561">
        <v>0</v>
      </c>
      <c r="BN252" s="561">
        <v>0</v>
      </c>
      <c r="BO252" s="561">
        <v>0</v>
      </c>
      <c r="BP252" s="561">
        <v>0</v>
      </c>
      <c r="BQ252" s="561">
        <v>0</v>
      </c>
      <c r="BR252" s="561">
        <v>0</v>
      </c>
      <c r="BS252" s="561">
        <v>0</v>
      </c>
      <c r="BT252" s="561">
        <v>0</v>
      </c>
      <c r="BU252" s="561">
        <v>0</v>
      </c>
      <c r="BV252" s="561">
        <v>0</v>
      </c>
      <c r="BW252" s="561">
        <v>0</v>
      </c>
      <c r="BX252" s="561">
        <v>0</v>
      </c>
      <c r="BY252" s="561">
        <v>0</v>
      </c>
      <c r="BZ252" s="561">
        <v>0</v>
      </c>
      <c r="CA252" s="561">
        <v>0</v>
      </c>
      <c r="CB252" s="561">
        <v>0</v>
      </c>
      <c r="CC252" s="561">
        <v>0</v>
      </c>
      <c r="CD252" s="561">
        <v>0</v>
      </c>
      <c r="CE252" s="561">
        <v>0</v>
      </c>
      <c r="CF252" s="561">
        <v>0</v>
      </c>
      <c r="CG252" s="561">
        <v>0</v>
      </c>
      <c r="CH252" s="561">
        <v>0</v>
      </c>
      <c r="CI252" s="561">
        <v>0</v>
      </c>
      <c r="CJ252" s="561">
        <v>0</v>
      </c>
      <c r="CK252" s="561">
        <v>0</v>
      </c>
      <c r="CL252" s="561">
        <v>0</v>
      </c>
      <c r="CM252" s="561">
        <v>0</v>
      </c>
      <c r="CN252" s="561">
        <v>0</v>
      </c>
      <c r="CO252" s="561">
        <v>0</v>
      </c>
      <c r="CP252" s="561">
        <v>0</v>
      </c>
      <c r="CQ252" s="561">
        <v>0</v>
      </c>
      <c r="CR252" s="561">
        <v>0</v>
      </c>
      <c r="CS252" s="561">
        <v>0</v>
      </c>
      <c r="CT252" s="561">
        <v>0</v>
      </c>
      <c r="CU252" s="561">
        <v>0</v>
      </c>
      <c r="CV252" s="561">
        <v>0</v>
      </c>
      <c r="CW252" s="561">
        <v>0</v>
      </c>
      <c r="CX252" s="561">
        <v>0</v>
      </c>
      <c r="CY252" s="561">
        <v>0</v>
      </c>
      <c r="CZ252" s="561">
        <v>0</v>
      </c>
      <c r="DA252" s="561">
        <v>0</v>
      </c>
      <c r="DB252" s="561">
        <v>0</v>
      </c>
      <c r="DC252" s="561">
        <v>0</v>
      </c>
      <c r="DD252" s="561">
        <v>0</v>
      </c>
      <c r="DE252" s="561">
        <v>0</v>
      </c>
      <c r="DF252" s="561">
        <v>0</v>
      </c>
      <c r="DG252" s="561">
        <v>0</v>
      </c>
      <c r="DH252" s="561">
        <v>0</v>
      </c>
      <c r="DI252" s="561">
        <v>0</v>
      </c>
      <c r="DJ252" s="561">
        <v>0</v>
      </c>
      <c r="DK252" s="561">
        <v>0</v>
      </c>
      <c r="DL252" s="561">
        <v>0</v>
      </c>
      <c r="DM252" s="561">
        <v>0</v>
      </c>
      <c r="DN252" s="561">
        <v>0</v>
      </c>
      <c r="DO252" s="561">
        <v>0</v>
      </c>
      <c r="DP252" s="561">
        <v>0</v>
      </c>
      <c r="DQ252" s="561">
        <v>0</v>
      </c>
      <c r="DR252" s="561">
        <v>0</v>
      </c>
      <c r="DS252" s="561">
        <v>0</v>
      </c>
      <c r="DT252" s="561">
        <v>0</v>
      </c>
      <c r="DU252" s="561">
        <v>0</v>
      </c>
      <c r="DV252" s="561">
        <v>0</v>
      </c>
      <c r="DW252" s="561">
        <v>0</v>
      </c>
      <c r="DX252" s="561">
        <v>0</v>
      </c>
      <c r="DY252" s="561">
        <v>0</v>
      </c>
      <c r="DZ252" s="561">
        <v>0</v>
      </c>
      <c r="EA252" s="561">
        <v>0</v>
      </c>
      <c r="EB252" s="561">
        <v>0</v>
      </c>
      <c r="EC252" s="561">
        <v>0</v>
      </c>
      <c r="ED252" s="561">
        <v>0</v>
      </c>
      <c r="EE252" s="561">
        <v>0</v>
      </c>
      <c r="EF252" s="561">
        <v>0</v>
      </c>
      <c r="EG252" s="561">
        <v>0</v>
      </c>
      <c r="EH252" s="561">
        <v>0</v>
      </c>
      <c r="EI252" s="561">
        <v>0</v>
      </c>
      <c r="EJ252" s="561">
        <v>0</v>
      </c>
      <c r="EK252" s="561">
        <v>0</v>
      </c>
      <c r="EL252" s="561">
        <v>0</v>
      </c>
      <c r="EM252" s="561">
        <v>0</v>
      </c>
      <c r="EN252" s="561">
        <v>0</v>
      </c>
      <c r="EO252" s="561">
        <v>0</v>
      </c>
      <c r="EP252" s="561">
        <v>0</v>
      </c>
      <c r="EQ252" s="561">
        <v>0</v>
      </c>
      <c r="ER252" s="561">
        <v>0</v>
      </c>
      <c r="ES252" s="561" t="s">
        <v>4565</v>
      </c>
      <c r="ET252" s="561">
        <v>0</v>
      </c>
      <c r="EU252" s="561">
        <v>0</v>
      </c>
      <c r="EV252" s="561">
        <v>0</v>
      </c>
      <c r="EW252" s="561">
        <v>0</v>
      </c>
      <c r="EX252" s="561">
        <v>0</v>
      </c>
      <c r="EY252" s="561">
        <v>0</v>
      </c>
      <c r="EZ252" s="561">
        <v>0</v>
      </c>
      <c r="FA252" s="561">
        <v>0</v>
      </c>
      <c r="FB252" s="561">
        <v>0</v>
      </c>
      <c r="FC252" s="561">
        <v>0</v>
      </c>
      <c r="FD252" s="561">
        <v>487</v>
      </c>
      <c r="FE252" s="561">
        <v>0</v>
      </c>
      <c r="FF252" s="561">
        <v>0</v>
      </c>
      <c r="FG252" s="561">
        <v>0</v>
      </c>
      <c r="FH252" s="561">
        <v>0</v>
      </c>
      <c r="FI252" s="561">
        <v>0</v>
      </c>
      <c r="FJ252" s="561">
        <v>0</v>
      </c>
      <c r="FK252" s="561">
        <v>3777</v>
      </c>
      <c r="FL252" s="561">
        <v>0</v>
      </c>
      <c r="FM252" s="561">
        <v>568</v>
      </c>
      <c r="FN252" s="561">
        <v>0</v>
      </c>
      <c r="FO252" s="561">
        <v>4832</v>
      </c>
      <c r="FP252" s="561">
        <v>0</v>
      </c>
      <c r="FQ252" s="561">
        <v>0</v>
      </c>
      <c r="FR252" s="561">
        <v>0</v>
      </c>
      <c r="FS252" s="561">
        <v>0</v>
      </c>
      <c r="FT252" s="561">
        <v>0</v>
      </c>
      <c r="FU252" s="561">
        <v>0</v>
      </c>
      <c r="FV252" s="561">
        <v>0</v>
      </c>
      <c r="FW252" s="561">
        <v>0</v>
      </c>
      <c r="FX252" s="561">
        <v>0</v>
      </c>
      <c r="FY252" s="561">
        <v>0</v>
      </c>
      <c r="FZ252" s="561">
        <v>0</v>
      </c>
      <c r="GA252" s="561">
        <v>405</v>
      </c>
      <c r="GB252" s="561">
        <v>0</v>
      </c>
      <c r="GC252" s="561">
        <v>0</v>
      </c>
      <c r="GD252" s="561">
        <v>0</v>
      </c>
      <c r="GE252" s="561">
        <v>0</v>
      </c>
      <c r="GF252" s="561">
        <v>0</v>
      </c>
      <c r="GG252" s="561">
        <v>0</v>
      </c>
      <c r="GH252" s="561">
        <v>0</v>
      </c>
      <c r="GI252" s="561">
        <v>0</v>
      </c>
      <c r="GJ252" s="561">
        <v>0</v>
      </c>
      <c r="GK252" s="561">
        <v>0</v>
      </c>
      <c r="GL252" s="561">
        <v>0</v>
      </c>
      <c r="GM252" s="561">
        <v>0</v>
      </c>
      <c r="GN252" s="561">
        <v>0</v>
      </c>
      <c r="GO252" s="561">
        <v>0</v>
      </c>
      <c r="GP252" s="561">
        <v>0</v>
      </c>
      <c r="GQ252" s="561">
        <v>0</v>
      </c>
      <c r="GR252" s="561">
        <v>0</v>
      </c>
      <c r="GS252" s="561">
        <v>405</v>
      </c>
      <c r="GT252" s="561">
        <v>0</v>
      </c>
      <c r="GU252" s="561">
        <v>0</v>
      </c>
      <c r="GV252" s="561">
        <v>528</v>
      </c>
      <c r="GW252" s="561">
        <v>0</v>
      </c>
      <c r="GX252" s="561">
        <v>206</v>
      </c>
      <c r="GY252" s="561">
        <v>0</v>
      </c>
      <c r="GZ252" s="561">
        <v>0</v>
      </c>
      <c r="HA252" s="561">
        <v>0</v>
      </c>
      <c r="HB252" s="561">
        <v>0</v>
      </c>
      <c r="HC252" s="561">
        <v>0</v>
      </c>
      <c r="HD252" s="561">
        <v>734</v>
      </c>
      <c r="HE252" s="561">
        <v>0</v>
      </c>
      <c r="HF252" s="561">
        <v>5971</v>
      </c>
      <c r="HG252" s="561">
        <v>0</v>
      </c>
      <c r="HH252" s="561">
        <v>0</v>
      </c>
      <c r="HI252" s="561">
        <v>0</v>
      </c>
      <c r="HJ252" s="561">
        <v>0</v>
      </c>
      <c r="HK252" s="561">
        <v>0</v>
      </c>
      <c r="HL252" s="561">
        <v>0</v>
      </c>
      <c r="HM252" s="561">
        <v>0</v>
      </c>
      <c r="HN252" s="561">
        <v>0</v>
      </c>
      <c r="HO252" s="561">
        <v>325</v>
      </c>
      <c r="HP252" s="561">
        <v>0</v>
      </c>
      <c r="HQ252" s="561">
        <v>0</v>
      </c>
      <c r="HR252" s="561">
        <v>0</v>
      </c>
      <c r="HS252" s="561">
        <v>0</v>
      </c>
      <c r="HT252" s="561">
        <v>0</v>
      </c>
      <c r="HU252" s="561">
        <v>0</v>
      </c>
      <c r="HV252" s="561">
        <v>0</v>
      </c>
      <c r="HW252" s="561">
        <v>0</v>
      </c>
      <c r="HX252" s="561">
        <v>0</v>
      </c>
      <c r="HY252" s="561">
        <v>0</v>
      </c>
      <c r="HZ252" s="561">
        <v>0</v>
      </c>
      <c r="IA252" s="561">
        <v>0</v>
      </c>
      <c r="IB252" s="561">
        <v>0</v>
      </c>
      <c r="IC252" s="561">
        <v>0</v>
      </c>
      <c r="ID252" s="561">
        <v>0</v>
      </c>
      <c r="IE252" s="561">
        <v>0</v>
      </c>
      <c r="IF252" s="561">
        <v>0</v>
      </c>
      <c r="IG252" s="561">
        <v>0</v>
      </c>
      <c r="IH252" s="561">
        <v>0</v>
      </c>
      <c r="II252" s="561">
        <v>325</v>
      </c>
      <c r="IJ252" s="561">
        <v>0</v>
      </c>
      <c r="IK252" s="561">
        <v>0</v>
      </c>
      <c r="IL252" s="561">
        <v>0</v>
      </c>
      <c r="IM252" s="561">
        <v>0</v>
      </c>
      <c r="IN252" s="561">
        <v>0</v>
      </c>
      <c r="IO252" s="561">
        <v>0</v>
      </c>
      <c r="IP252" s="561">
        <v>-97</v>
      </c>
      <c r="IQ252" s="561">
        <v>0</v>
      </c>
      <c r="IR252" s="561">
        <v>0</v>
      </c>
      <c r="IS252" s="561">
        <v>-179</v>
      </c>
      <c r="IT252" s="561">
        <v>0</v>
      </c>
      <c r="IU252" s="561">
        <v>0</v>
      </c>
      <c r="IV252" s="561">
        <v>0</v>
      </c>
      <c r="IW252" s="561">
        <v>0</v>
      </c>
      <c r="IX252" s="561">
        <v>4832</v>
      </c>
      <c r="IY252" s="561">
        <v>405</v>
      </c>
      <c r="IZ252" s="561">
        <v>734</v>
      </c>
      <c r="JA252" s="561">
        <v>0</v>
      </c>
      <c r="JB252" s="561">
        <v>0</v>
      </c>
      <c r="JC252" s="561">
        <v>325</v>
      </c>
      <c r="JD252" s="561">
        <v>-97</v>
      </c>
      <c r="JE252" s="561">
        <v>6020</v>
      </c>
      <c r="JF252" s="561">
        <v>0</v>
      </c>
      <c r="JG252" s="561">
        <v>0</v>
      </c>
      <c r="JH252" s="561">
        <v>0</v>
      </c>
      <c r="JI252" s="561">
        <v>0</v>
      </c>
      <c r="JJ252" s="561">
        <v>0</v>
      </c>
      <c r="JK252" s="561">
        <v>0</v>
      </c>
      <c r="JL252" s="561">
        <v>0</v>
      </c>
      <c r="JM252" s="561">
        <v>0</v>
      </c>
      <c r="JN252" s="561">
        <v>0</v>
      </c>
      <c r="JO252" s="561">
        <v>0</v>
      </c>
      <c r="JP252" s="561">
        <v>0</v>
      </c>
      <c r="JQ252" s="561">
        <v>0</v>
      </c>
      <c r="JR252" s="561">
        <v>0</v>
      </c>
      <c r="JS252" s="561">
        <v>0</v>
      </c>
      <c r="JT252" s="561">
        <v>0</v>
      </c>
      <c r="JU252" s="561">
        <v>0</v>
      </c>
      <c r="JV252" s="561">
        <v>6020</v>
      </c>
      <c r="JW252" s="561">
        <v>0</v>
      </c>
      <c r="JX252" s="561">
        <v>2540</v>
      </c>
      <c r="JY252" s="561">
        <v>0</v>
      </c>
      <c r="JZ252" s="561">
        <v>0</v>
      </c>
      <c r="KA252" s="561">
        <v>0</v>
      </c>
      <c r="KB252" s="561">
        <v>0</v>
      </c>
      <c r="KC252" s="561">
        <v>0</v>
      </c>
      <c r="KD252" s="561">
        <v>0</v>
      </c>
      <c r="KE252" s="561">
        <v>0</v>
      </c>
      <c r="KF252" s="561">
        <v>0</v>
      </c>
      <c r="KG252" s="561">
        <v>8560</v>
      </c>
      <c r="KH252" s="561">
        <v>-428</v>
      </c>
      <c r="KI252" s="561">
        <v>0</v>
      </c>
      <c r="KJ252" s="561">
        <v>0</v>
      </c>
      <c r="KK252" s="561">
        <v>0</v>
      </c>
      <c r="KL252" s="561">
        <v>-3180</v>
      </c>
      <c r="KM252" s="561">
        <v>0</v>
      </c>
      <c r="KN252" s="561">
        <v>0</v>
      </c>
      <c r="KO252" s="561">
        <v>0</v>
      </c>
      <c r="KP252" s="561">
        <v>0</v>
      </c>
      <c r="KQ252" s="561">
        <v>0</v>
      </c>
      <c r="KR252" s="561">
        <v>4952</v>
      </c>
      <c r="KS252" s="561">
        <v>0</v>
      </c>
      <c r="KT252" s="561">
        <v>-4978</v>
      </c>
      <c r="KU252" s="561">
        <v>-26</v>
      </c>
      <c r="KV252" s="561">
        <v>0</v>
      </c>
      <c r="KW252" s="561">
        <v>0</v>
      </c>
      <c r="KX252" s="561">
        <v>0</v>
      </c>
      <c r="KY252" s="561">
        <v>0</v>
      </c>
      <c r="KZ252" s="561">
        <v>26</v>
      </c>
      <c r="LA252" s="561">
        <v>0</v>
      </c>
      <c r="LB252" s="561">
        <v>0</v>
      </c>
      <c r="LC252" s="561">
        <v>0</v>
      </c>
      <c r="LD252" s="561">
        <v>0</v>
      </c>
      <c r="LE252" s="561">
        <v>0</v>
      </c>
      <c r="LF252" s="561">
        <v>0</v>
      </c>
      <c r="LG252" s="561">
        <v>0</v>
      </c>
      <c r="LH252" s="561">
        <v>0</v>
      </c>
      <c r="LI252" s="561">
        <v>0</v>
      </c>
      <c r="LJ252" s="561">
        <v>0</v>
      </c>
      <c r="LK252" s="561">
        <v>0</v>
      </c>
      <c r="LL252" s="561">
        <v>7167</v>
      </c>
      <c r="LM252" s="561">
        <v>0</v>
      </c>
      <c r="LN252" s="561">
        <v>0</v>
      </c>
      <c r="LO252" s="561">
        <v>0</v>
      </c>
      <c r="LP252" s="561">
        <v>0</v>
      </c>
      <c r="LQ252" s="561">
        <v>0</v>
      </c>
      <c r="LR252" s="561">
        <v>7193</v>
      </c>
      <c r="LS252" s="561">
        <v>0</v>
      </c>
      <c r="LT252" s="561">
        <v>0</v>
      </c>
      <c r="LU252" s="561">
        <v>0</v>
      </c>
      <c r="LV252" s="561">
        <v>0</v>
      </c>
      <c r="LW252" s="561">
        <v>0</v>
      </c>
      <c r="LX252" s="561">
        <v>0</v>
      </c>
      <c r="LY252" s="561">
        <v>0</v>
      </c>
      <c r="LZ252" s="561">
        <v>0</v>
      </c>
      <c r="MA252" s="561">
        <v>0</v>
      </c>
      <c r="MB252" s="561">
        <v>0</v>
      </c>
      <c r="MC252" s="561">
        <v>0</v>
      </c>
      <c r="MD252" s="561">
        <v>0</v>
      </c>
      <c r="ME252" s="561">
        <v>0</v>
      </c>
      <c r="MF252" s="561">
        <v>0</v>
      </c>
      <c r="MG252" s="561">
        <v>0</v>
      </c>
      <c r="MH252" s="561">
        <v>0</v>
      </c>
      <c r="MI252" s="561">
        <v>0</v>
      </c>
      <c r="MJ252" s="561">
        <v>0</v>
      </c>
      <c r="MK252" s="561">
        <v>0</v>
      </c>
      <c r="ML252" s="561">
        <v>0</v>
      </c>
      <c r="MM252" s="561">
        <v>7193</v>
      </c>
      <c r="MN252" s="561">
        <v>0</v>
      </c>
      <c r="MO252" s="561">
        <v>0</v>
      </c>
      <c r="MP252" s="561">
        <v>0</v>
      </c>
      <c r="MQ252" s="561">
        <v>0</v>
      </c>
      <c r="MR252" s="561">
        <v>-179</v>
      </c>
      <c r="MS252" s="561">
        <v>0</v>
      </c>
      <c r="MT252" s="561">
        <v>0</v>
      </c>
      <c r="MU252" s="561">
        <v>0</v>
      </c>
      <c r="MV252" s="561">
        <v>0</v>
      </c>
      <c r="MW252" s="561">
        <v>4832</v>
      </c>
      <c r="MX252" s="561">
        <v>405</v>
      </c>
      <c r="MY252" s="561">
        <v>734</v>
      </c>
      <c r="MZ252" s="561">
        <v>0</v>
      </c>
      <c r="NA252" s="561">
        <v>0</v>
      </c>
      <c r="NB252" s="561">
        <v>325</v>
      </c>
      <c r="NC252" s="561">
        <v>-97</v>
      </c>
      <c r="ND252" s="561">
        <v>6020</v>
      </c>
      <c r="NE252" s="561">
        <v>0</v>
      </c>
      <c r="NF252" s="561">
        <v>0</v>
      </c>
      <c r="NG252" s="561">
        <v>0</v>
      </c>
      <c r="NH252" s="561">
        <v>0</v>
      </c>
      <c r="NI252" s="561">
        <v>0</v>
      </c>
      <c r="NJ252" s="561">
        <v>0</v>
      </c>
      <c r="NK252" s="561">
        <v>0</v>
      </c>
      <c r="NL252" s="561">
        <v>0</v>
      </c>
      <c r="NM252" s="561">
        <v>0</v>
      </c>
      <c r="NN252" s="561">
        <v>0</v>
      </c>
      <c r="NO252" s="561">
        <v>0</v>
      </c>
      <c r="NP252" s="561">
        <v>0</v>
      </c>
      <c r="NQ252" s="561">
        <v>0</v>
      </c>
      <c r="NR252" s="561">
        <v>0</v>
      </c>
      <c r="NS252" s="561">
        <v>0</v>
      </c>
      <c r="NT252" s="561">
        <v>0</v>
      </c>
      <c r="NU252" s="561">
        <v>0</v>
      </c>
      <c r="NV252" s="561">
        <v>0</v>
      </c>
      <c r="NW252" s="561">
        <v>0</v>
      </c>
      <c r="NX252" s="561">
        <v>0</v>
      </c>
      <c r="NY252" s="561">
        <v>0</v>
      </c>
      <c r="NZ252" s="561">
        <v>0</v>
      </c>
      <c r="OA252" s="561">
        <v>0</v>
      </c>
      <c r="OB252" s="561">
        <v>0</v>
      </c>
      <c r="OC252" s="561">
        <v>0</v>
      </c>
      <c r="OD252" s="561">
        <v>0</v>
      </c>
      <c r="OE252" s="561">
        <v>0</v>
      </c>
      <c r="OF252" s="561">
        <v>0</v>
      </c>
      <c r="OG252" s="561">
        <v>0</v>
      </c>
      <c r="OH252" s="561">
        <v>0</v>
      </c>
      <c r="OI252" s="561">
        <v>0</v>
      </c>
      <c r="OJ252" s="561">
        <v>0</v>
      </c>
      <c r="OK252" s="561">
        <v>0</v>
      </c>
      <c r="OL252" s="561">
        <v>0</v>
      </c>
      <c r="OM252" s="561">
        <v>0</v>
      </c>
      <c r="ON252" s="561">
        <v>0</v>
      </c>
      <c r="OO252" s="561">
        <v>0</v>
      </c>
      <c r="OP252" s="561">
        <v>0</v>
      </c>
      <c r="OQ252" s="561">
        <v>0</v>
      </c>
      <c r="OR252" s="561">
        <v>0</v>
      </c>
      <c r="OS252" s="561">
        <v>0</v>
      </c>
      <c r="OT252" s="561">
        <v>0</v>
      </c>
      <c r="OU252" s="561">
        <v>0</v>
      </c>
      <c r="OV252" s="561">
        <v>0</v>
      </c>
      <c r="OW252" s="561">
        <v>0</v>
      </c>
      <c r="OX252" s="561">
        <v>0</v>
      </c>
      <c r="OY252" s="561">
        <v>0</v>
      </c>
      <c r="OZ252" s="561">
        <v>0</v>
      </c>
      <c r="PA252" s="561">
        <v>0</v>
      </c>
      <c r="PB252" s="561">
        <v>0</v>
      </c>
      <c r="PC252" s="561">
        <v>0</v>
      </c>
      <c r="PD252" s="561">
        <v>0</v>
      </c>
      <c r="PE252" s="561">
        <v>0</v>
      </c>
      <c r="PF252" s="561">
        <v>0</v>
      </c>
      <c r="PG252" s="561">
        <v>0</v>
      </c>
      <c r="PH252" s="561">
        <v>0</v>
      </c>
      <c r="PI252" s="561">
        <v>0</v>
      </c>
      <c r="PJ252" s="561">
        <v>0</v>
      </c>
    </row>
    <row r="253" spans="1:426" ht="14" x14ac:dyDescent="0.3">
      <c r="A253" t="s">
        <v>3202</v>
      </c>
      <c r="B253" t="s">
        <v>3203</v>
      </c>
      <c r="C253" t="s">
        <v>3204</v>
      </c>
      <c r="E253" t="s">
        <v>385</v>
      </c>
      <c r="F253" s="561">
        <v>61711</v>
      </c>
      <c r="G253" s="561">
        <v>149813</v>
      </c>
      <c r="H253" s="561">
        <v>68963</v>
      </c>
      <c r="I253" s="561">
        <v>51096</v>
      </c>
      <c r="J253" s="561">
        <v>16311</v>
      </c>
      <c r="K253" s="561">
        <v>82561</v>
      </c>
      <c r="L253" s="561">
        <v>430455</v>
      </c>
      <c r="M253" s="561">
        <v>0</v>
      </c>
      <c r="N253" s="561">
        <v>-1547.07</v>
      </c>
      <c r="O253" s="561">
        <v>247</v>
      </c>
      <c r="P253" s="561">
        <v>166</v>
      </c>
      <c r="Q253" s="561">
        <v>1599</v>
      </c>
      <c r="R253" s="561">
        <v>2198</v>
      </c>
      <c r="S253" s="561">
        <v>1494</v>
      </c>
      <c r="T253" s="561">
        <v>14381</v>
      </c>
      <c r="U253" s="561">
        <v>8530</v>
      </c>
      <c r="V253" s="561">
        <v>5451</v>
      </c>
      <c r="W253" s="561">
        <v>0</v>
      </c>
      <c r="X253" s="561">
        <v>0</v>
      </c>
      <c r="Y253" s="561">
        <v>608</v>
      </c>
      <c r="Z253" s="561">
        <v>230</v>
      </c>
      <c r="AA253" s="561">
        <v>-1035</v>
      </c>
      <c r="AB253" s="561">
        <v>-14198</v>
      </c>
      <c r="AC253" s="561">
        <v>9309</v>
      </c>
      <c r="AD253" s="561">
        <v>0</v>
      </c>
      <c r="AE253" s="561">
        <v>8981</v>
      </c>
      <c r="AF253" s="561">
        <v>0</v>
      </c>
      <c r="AG253" s="561">
        <v>0</v>
      </c>
      <c r="AH253" s="561">
        <v>5</v>
      </c>
      <c r="AI253" s="561">
        <v>0</v>
      </c>
      <c r="AJ253" s="561">
        <v>36418.93</v>
      </c>
      <c r="AK253" s="561">
        <v>0</v>
      </c>
      <c r="AL253" s="561">
        <v>0</v>
      </c>
      <c r="AM253" s="561">
        <v>0</v>
      </c>
      <c r="AN253" s="561">
        <v>0</v>
      </c>
      <c r="AO253" s="561">
        <v>0</v>
      </c>
      <c r="AP253" s="561">
        <v>0</v>
      </c>
      <c r="AQ253" s="561">
        <v>81</v>
      </c>
      <c r="AR253" s="561">
        <v>726</v>
      </c>
      <c r="AS253" s="561">
        <v>1516</v>
      </c>
      <c r="AT253" s="561">
        <v>4841</v>
      </c>
      <c r="AU253" s="561">
        <v>0</v>
      </c>
      <c r="AV253" s="561">
        <v>0</v>
      </c>
      <c r="AW253" s="561">
        <v>0</v>
      </c>
      <c r="AX253" s="561">
        <v>1164</v>
      </c>
      <c r="AY253" s="561">
        <v>40923</v>
      </c>
      <c r="AZ253" s="561">
        <v>0</v>
      </c>
      <c r="BA253" s="561">
        <v>18623</v>
      </c>
      <c r="BB253" s="561">
        <v>2194</v>
      </c>
      <c r="BC253" s="561">
        <v>17676</v>
      </c>
      <c r="BD253" s="561">
        <v>2</v>
      </c>
      <c r="BE253" s="561">
        <v>5688</v>
      </c>
      <c r="BF253" s="561">
        <v>86270</v>
      </c>
      <c r="BG253" s="561">
        <v>0</v>
      </c>
      <c r="BH253" s="561">
        <v>9645</v>
      </c>
      <c r="BI253" s="561">
        <v>107379</v>
      </c>
      <c r="BJ253" s="561">
        <v>1638</v>
      </c>
      <c r="BK253" s="561">
        <v>3898</v>
      </c>
      <c r="BL253" s="561">
        <v>213</v>
      </c>
      <c r="BM253" s="561">
        <v>15463</v>
      </c>
      <c r="BN253" s="561">
        <v>58286</v>
      </c>
      <c r="BO253" s="561">
        <v>10628</v>
      </c>
      <c r="BP253" s="561">
        <v>6143</v>
      </c>
      <c r="BQ253" s="561">
        <v>9908</v>
      </c>
      <c r="BR253" s="561">
        <v>0</v>
      </c>
      <c r="BS253" s="561">
        <v>0</v>
      </c>
      <c r="BT253" s="561">
        <v>2378</v>
      </c>
      <c r="BU253" s="561">
        <v>5005</v>
      </c>
      <c r="BV253" s="561">
        <v>2471</v>
      </c>
      <c r="BW253" s="561">
        <v>58706</v>
      </c>
      <c r="BX253" s="561">
        <v>1137</v>
      </c>
      <c r="BY253" s="561">
        <v>10970</v>
      </c>
      <c r="BZ253" s="561">
        <v>303868</v>
      </c>
      <c r="CA253" s="561">
        <v>268</v>
      </c>
      <c r="CB253" s="561">
        <v>2490</v>
      </c>
      <c r="CC253" s="561">
        <v>1667</v>
      </c>
      <c r="CD253" s="561">
        <v>371</v>
      </c>
      <c r="CE253" s="561">
        <v>442</v>
      </c>
      <c r="CF253" s="561">
        <v>539</v>
      </c>
      <c r="CG253" s="561">
        <v>146</v>
      </c>
      <c r="CH253" s="561">
        <v>623</v>
      </c>
      <c r="CI253" s="561">
        <v>543</v>
      </c>
      <c r="CJ253" s="561">
        <v>44</v>
      </c>
      <c r="CK253" s="561">
        <v>620</v>
      </c>
      <c r="CL253" s="561">
        <v>0</v>
      </c>
      <c r="CM253" s="561">
        <v>4346</v>
      </c>
      <c r="CN253" s="561">
        <v>13</v>
      </c>
      <c r="CO253" s="561">
        <v>420</v>
      </c>
      <c r="CP253" s="561">
        <v>55</v>
      </c>
      <c r="CQ253" s="561">
        <v>304</v>
      </c>
      <c r="CR253" s="561">
        <v>777</v>
      </c>
      <c r="CS253" s="561">
        <v>69</v>
      </c>
      <c r="CT253" s="561">
        <v>3838</v>
      </c>
      <c r="CU253" s="561">
        <v>5941</v>
      </c>
      <c r="CV253" s="561">
        <v>0</v>
      </c>
      <c r="CW253" s="561">
        <v>0</v>
      </c>
      <c r="CX253" s="561">
        <v>2189</v>
      </c>
      <c r="CY253" s="561">
        <v>2570</v>
      </c>
      <c r="CZ253" s="561">
        <v>28007</v>
      </c>
      <c r="DA253" s="561">
        <v>0</v>
      </c>
      <c r="DB253" s="561">
        <v>826</v>
      </c>
      <c r="DC253" s="561">
        <v>39</v>
      </c>
      <c r="DD253" s="561">
        <v>982</v>
      </c>
      <c r="DE253" s="561">
        <v>0</v>
      </c>
      <c r="DF253" s="561">
        <v>0</v>
      </c>
      <c r="DG253" s="561">
        <v>0</v>
      </c>
      <c r="DH253" s="561">
        <v>1470</v>
      </c>
      <c r="DI253" s="561">
        <v>0</v>
      </c>
      <c r="DJ253" s="561">
        <v>0</v>
      </c>
      <c r="DK253" s="561">
        <v>2364</v>
      </c>
      <c r="DL253" s="561">
        <v>0</v>
      </c>
      <c r="DM253" s="561">
        <v>26</v>
      </c>
      <c r="DN253" s="561">
        <v>2766</v>
      </c>
      <c r="DO253" s="561">
        <v>0</v>
      </c>
      <c r="DP253" s="561">
        <v>183</v>
      </c>
      <c r="DQ253" s="561">
        <v>0</v>
      </c>
      <c r="DR253" s="561">
        <v>1442</v>
      </c>
      <c r="DS253" s="561">
        <v>4662</v>
      </c>
      <c r="DT253" s="561">
        <v>0</v>
      </c>
      <c r="DU253" s="561">
        <v>9079</v>
      </c>
      <c r="DV253" s="561">
        <v>777.84</v>
      </c>
      <c r="DW253" s="561">
        <v>0</v>
      </c>
      <c r="DX253" s="561">
        <v>0</v>
      </c>
      <c r="DY253" s="561">
        <v>1046.2</v>
      </c>
      <c r="DZ253" s="561">
        <v>328</v>
      </c>
      <c r="EA253" s="561">
        <v>14</v>
      </c>
      <c r="EB253" s="561">
        <v>0</v>
      </c>
      <c r="EC253" s="561">
        <v>15079.04</v>
      </c>
      <c r="ED253" s="561">
        <v>11</v>
      </c>
      <c r="EE253" s="561">
        <v>41725</v>
      </c>
      <c r="EF253" s="561">
        <v>425</v>
      </c>
      <c r="EG253" s="561">
        <v>1447</v>
      </c>
      <c r="EH253" s="561">
        <v>0</v>
      </c>
      <c r="EI253" s="561">
        <v>50</v>
      </c>
      <c r="EJ253" s="561">
        <v>1975</v>
      </c>
      <c r="EK253" s="561">
        <v>189</v>
      </c>
      <c r="EL253" s="561">
        <v>9865</v>
      </c>
      <c r="EM253" s="561">
        <v>0</v>
      </c>
      <c r="EN253" s="561">
        <v>12282</v>
      </c>
      <c r="EO253" s="561">
        <v>5591</v>
      </c>
      <c r="EP253" s="561">
        <v>0</v>
      </c>
      <c r="EQ253" s="561">
        <v>25</v>
      </c>
      <c r="ER253" s="561">
        <v>3477</v>
      </c>
      <c r="ES253" s="561" t="s">
        <v>4565</v>
      </c>
      <c r="ET253" s="561">
        <v>8515</v>
      </c>
      <c r="EU253" s="561">
        <v>18283</v>
      </c>
      <c r="EV253" s="561">
        <v>1205</v>
      </c>
      <c r="EW253" s="561">
        <v>3745</v>
      </c>
      <c r="EX253" s="561">
        <v>0</v>
      </c>
      <c r="EY253" s="561">
        <v>0</v>
      </c>
      <c r="EZ253" s="561">
        <v>2553</v>
      </c>
      <c r="FA253" s="561">
        <v>19284</v>
      </c>
      <c r="FB253" s="561">
        <v>662</v>
      </c>
      <c r="FC253" s="561">
        <v>401</v>
      </c>
      <c r="FD253" s="561">
        <v>0</v>
      </c>
      <c r="FE253" s="561">
        <v>2160</v>
      </c>
      <c r="FF253" s="561">
        <v>4302</v>
      </c>
      <c r="FG253" s="561">
        <v>0</v>
      </c>
      <c r="FH253" s="561">
        <v>0</v>
      </c>
      <c r="FI253" s="561">
        <v>420</v>
      </c>
      <c r="FJ253" s="561">
        <v>3472</v>
      </c>
      <c r="FK253" s="561">
        <v>10817</v>
      </c>
      <c r="FL253" s="561">
        <v>1</v>
      </c>
      <c r="FM253" s="561">
        <v>2216</v>
      </c>
      <c r="FN253" s="561">
        <v>6502</v>
      </c>
      <c r="FO253" s="561">
        <v>30953</v>
      </c>
      <c r="FP253" s="561">
        <v>419</v>
      </c>
      <c r="FQ253" s="561">
        <v>-2581</v>
      </c>
      <c r="FR253" s="561">
        <v>900</v>
      </c>
      <c r="FS253" s="561">
        <v>-8</v>
      </c>
      <c r="FT253" s="561">
        <v>1952</v>
      </c>
      <c r="FU253" s="561">
        <v>4157</v>
      </c>
      <c r="FV253" s="561">
        <v>0</v>
      </c>
      <c r="FW253" s="561">
        <v>0</v>
      </c>
      <c r="FX253" s="561">
        <v>0</v>
      </c>
      <c r="FY253" s="561">
        <v>0</v>
      </c>
      <c r="FZ253" s="561">
        <v>58</v>
      </c>
      <c r="GA253" s="561">
        <v>1441</v>
      </c>
      <c r="GB253" s="561">
        <v>1028</v>
      </c>
      <c r="GC253" s="561">
        <v>-330</v>
      </c>
      <c r="GD253" s="561">
        <v>4961.51</v>
      </c>
      <c r="GE253" s="561">
        <v>0</v>
      </c>
      <c r="GF253" s="561">
        <v>19.579999999999998</v>
      </c>
      <c r="GG253" s="561">
        <v>1114</v>
      </c>
      <c r="GH253" s="561">
        <v>37</v>
      </c>
      <c r="GI253" s="561">
        <v>3623</v>
      </c>
      <c r="GJ253" s="561">
        <v>527</v>
      </c>
      <c r="GK253" s="561">
        <v>196</v>
      </c>
      <c r="GL253" s="561">
        <v>5844</v>
      </c>
      <c r="GM253" s="561">
        <v>17660</v>
      </c>
      <c r="GN253" s="561">
        <v>39368</v>
      </c>
      <c r="GO253" s="561">
        <v>-3607</v>
      </c>
      <c r="GP253" s="561">
        <v>12015</v>
      </c>
      <c r="GQ253" s="561">
        <v>57</v>
      </c>
      <c r="GR253" s="561">
        <v>0</v>
      </c>
      <c r="GS253" s="561">
        <v>88432.09</v>
      </c>
      <c r="GT253" s="561">
        <v>326</v>
      </c>
      <c r="GU253" s="561">
        <v>666</v>
      </c>
      <c r="GV253" s="561">
        <v>4190</v>
      </c>
      <c r="GW253" s="561">
        <v>706</v>
      </c>
      <c r="GX253" s="561">
        <v>5218.3</v>
      </c>
      <c r="GY253" s="561">
        <v>6459</v>
      </c>
      <c r="GZ253" s="561">
        <v>9977.2999999999993</v>
      </c>
      <c r="HA253" s="561">
        <v>0</v>
      </c>
      <c r="HB253" s="561">
        <v>0</v>
      </c>
      <c r="HC253" s="561">
        <v>0</v>
      </c>
      <c r="HD253" s="561">
        <v>27216.6</v>
      </c>
      <c r="HE253" s="561">
        <v>0</v>
      </c>
      <c r="HF253" s="561">
        <v>146601.69</v>
      </c>
      <c r="HG253" s="561">
        <v>1215</v>
      </c>
      <c r="HH253" s="561">
        <v>0</v>
      </c>
      <c r="HI253" s="561">
        <v>0</v>
      </c>
      <c r="HJ253" s="561">
        <v>0</v>
      </c>
      <c r="HK253" s="561">
        <v>0</v>
      </c>
      <c r="HL253" s="561">
        <v>0</v>
      </c>
      <c r="HM253" s="561">
        <v>0</v>
      </c>
      <c r="HN253" s="561">
        <v>0</v>
      </c>
      <c r="HO253" s="561">
        <v>9650.51</v>
      </c>
      <c r="HP253" s="561">
        <v>1447.25</v>
      </c>
      <c r="HQ253" s="561">
        <v>0</v>
      </c>
      <c r="HR253" s="561">
        <v>383.61</v>
      </c>
      <c r="HS253" s="561">
        <v>2447.12</v>
      </c>
      <c r="HT253" s="561">
        <v>1005.84</v>
      </c>
      <c r="HU253" s="561">
        <v>0</v>
      </c>
      <c r="HV253" s="561">
        <v>61</v>
      </c>
      <c r="HW253" s="561">
        <v>252.26</v>
      </c>
      <c r="HX253" s="561">
        <v>681.95</v>
      </c>
      <c r="HY253" s="561">
        <v>965.05</v>
      </c>
      <c r="HZ253" s="561">
        <v>-206</v>
      </c>
      <c r="IA253" s="561">
        <v>8551.25</v>
      </c>
      <c r="IB253" s="561">
        <v>8724.07</v>
      </c>
      <c r="IC253" s="561">
        <v>1280</v>
      </c>
      <c r="ID253" s="561">
        <v>0</v>
      </c>
      <c r="IE253" s="561">
        <v>0</v>
      </c>
      <c r="IF253" s="561">
        <v>-14</v>
      </c>
      <c r="IG253" s="561">
        <v>362.98</v>
      </c>
      <c r="IH253" s="561">
        <v>2616.63</v>
      </c>
      <c r="II253" s="561">
        <v>38209.519999999997</v>
      </c>
      <c r="IJ253" s="561">
        <v>0</v>
      </c>
      <c r="IK253" s="561">
        <v>0</v>
      </c>
      <c r="IL253" s="561">
        <v>0</v>
      </c>
      <c r="IM253" s="561">
        <v>0</v>
      </c>
      <c r="IN253" s="561">
        <v>0</v>
      </c>
      <c r="IO253" s="561">
        <v>0</v>
      </c>
      <c r="IP253" s="561">
        <v>0</v>
      </c>
      <c r="IQ253" s="561">
        <v>0</v>
      </c>
      <c r="IR253" s="561">
        <v>430455</v>
      </c>
      <c r="IS253" s="561">
        <v>36418.93</v>
      </c>
      <c r="IT253" s="561">
        <v>86270</v>
      </c>
      <c r="IU253" s="561">
        <v>303868</v>
      </c>
      <c r="IV253" s="561">
        <v>28007</v>
      </c>
      <c r="IW253" s="561">
        <v>15079.04</v>
      </c>
      <c r="IX253" s="561">
        <v>30953</v>
      </c>
      <c r="IY253" s="561">
        <v>88432.09</v>
      </c>
      <c r="IZ253" s="561">
        <v>27216.6</v>
      </c>
      <c r="JA253" s="561">
        <v>0</v>
      </c>
      <c r="JB253" s="561">
        <v>0</v>
      </c>
      <c r="JC253" s="561">
        <v>38209.519999999997</v>
      </c>
      <c r="JD253" s="561">
        <v>0</v>
      </c>
      <c r="JE253" s="561">
        <v>1084909.18</v>
      </c>
      <c r="JF253" s="561">
        <v>76462</v>
      </c>
      <c r="JG253" s="561">
        <v>438</v>
      </c>
      <c r="JH253" s="561">
        <v>12628</v>
      </c>
      <c r="JI253" s="561">
        <v>0</v>
      </c>
      <c r="JJ253" s="561">
        <v>0</v>
      </c>
      <c r="JK253" s="561">
        <v>11182</v>
      </c>
      <c r="JL253" s="561">
        <v>0</v>
      </c>
      <c r="JM253" s="561">
        <v>0</v>
      </c>
      <c r="JN253" s="561">
        <v>0</v>
      </c>
      <c r="JO253" s="561">
        <v>404</v>
      </c>
      <c r="JP253" s="561">
        <v>-1229</v>
      </c>
      <c r="JQ253" s="561">
        <v>0</v>
      </c>
      <c r="JR253" s="561">
        <v>0</v>
      </c>
      <c r="JS253" s="561">
        <v>0</v>
      </c>
      <c r="JT253" s="561">
        <v>0</v>
      </c>
      <c r="JU253" s="561">
        <v>0</v>
      </c>
      <c r="JV253" s="561">
        <v>1184794.18</v>
      </c>
      <c r="JW253" s="561">
        <v>432</v>
      </c>
      <c r="JX253" s="561">
        <v>20028</v>
      </c>
      <c r="JY253" s="561">
        <v>0</v>
      </c>
      <c r="JZ253" s="561">
        <v>0</v>
      </c>
      <c r="KA253" s="561">
        <v>0</v>
      </c>
      <c r="KB253" s="561">
        <v>0</v>
      </c>
      <c r="KC253" s="561">
        <v>14436</v>
      </c>
      <c r="KD253" s="561">
        <v>0</v>
      </c>
      <c r="KE253" s="561">
        <v>13650</v>
      </c>
      <c r="KF253" s="561">
        <v>0</v>
      </c>
      <c r="KG253" s="561">
        <v>1233340.18</v>
      </c>
      <c r="KH253" s="561">
        <v>-40926</v>
      </c>
      <c r="KI253" s="561">
        <v>0</v>
      </c>
      <c r="KJ253" s="561">
        <v>0</v>
      </c>
      <c r="KK253" s="561">
        <v>0</v>
      </c>
      <c r="KL253" s="561">
        <v>-104906</v>
      </c>
      <c r="KM253" s="561">
        <v>0</v>
      </c>
      <c r="KN253" s="561">
        <v>-2517</v>
      </c>
      <c r="KO253" s="561">
        <v>0</v>
      </c>
      <c r="KP253" s="561">
        <v>0</v>
      </c>
      <c r="KQ253" s="561">
        <v>0</v>
      </c>
      <c r="KR253" s="561">
        <v>1084991.18</v>
      </c>
      <c r="KS253" s="561">
        <v>0</v>
      </c>
      <c r="KT253" s="561">
        <v>-509713.76</v>
      </c>
      <c r="KU253" s="561">
        <v>575277.42000000004</v>
      </c>
      <c r="KV253" s="561">
        <v>0</v>
      </c>
      <c r="KW253" s="561">
        <v>-1136</v>
      </c>
      <c r="KX253" s="561">
        <v>226</v>
      </c>
      <c r="KY253" s="561">
        <v>-1141</v>
      </c>
      <c r="KZ253" s="561">
        <v>59539</v>
      </c>
      <c r="LA253" s="561">
        <v>-19831</v>
      </c>
      <c r="LB253" s="561">
        <v>-1042</v>
      </c>
      <c r="LC253" s="561">
        <v>0</v>
      </c>
      <c r="LD253" s="561">
        <v>-138682</v>
      </c>
      <c r="LE253" s="561">
        <v>-6803</v>
      </c>
      <c r="LF253" s="561">
        <v>-692</v>
      </c>
      <c r="LG253" s="561">
        <v>465715</v>
      </c>
      <c r="LH253" s="561">
        <v>16112</v>
      </c>
      <c r="LI253" s="561">
        <v>0</v>
      </c>
      <c r="LJ253" s="561">
        <v>3015</v>
      </c>
      <c r="LK253" s="561">
        <v>5126</v>
      </c>
      <c r="LL253" s="561">
        <v>426812</v>
      </c>
      <c r="LM253" s="561">
        <v>75157</v>
      </c>
      <c r="LN253" s="561">
        <v>14976</v>
      </c>
      <c r="LO253" s="561">
        <v>0</v>
      </c>
      <c r="LP253" s="561">
        <v>3241</v>
      </c>
      <c r="LQ253" s="561">
        <v>3985</v>
      </c>
      <c r="LR253" s="561">
        <v>486351</v>
      </c>
      <c r="LS253" s="561">
        <v>55326</v>
      </c>
      <c r="LT253" s="561">
        <v>0</v>
      </c>
      <c r="LU253" s="561">
        <v>133789</v>
      </c>
      <c r="LV253" s="561">
        <v>21706</v>
      </c>
      <c r="LW253" s="561">
        <v>36227</v>
      </c>
      <c r="LX253" s="561">
        <v>-31151</v>
      </c>
      <c r="LY253" s="561">
        <v>31151</v>
      </c>
      <c r="LZ253" s="561">
        <v>191722</v>
      </c>
      <c r="MA253" s="561">
        <v>0</v>
      </c>
      <c r="MB253" s="561">
        <v>0</v>
      </c>
      <c r="MC253" s="561">
        <v>55676</v>
      </c>
      <c r="MD253" s="561">
        <v>53123</v>
      </c>
      <c r="ME253" s="561">
        <v>2553</v>
      </c>
      <c r="MF253" s="561">
        <v>19284</v>
      </c>
      <c r="MG253" s="561">
        <v>21837</v>
      </c>
      <c r="MH253" s="561">
        <v>18324</v>
      </c>
      <c r="MI253" s="561">
        <v>22409</v>
      </c>
      <c r="MJ253" s="561">
        <v>40733</v>
      </c>
      <c r="MK253" s="561">
        <v>0</v>
      </c>
      <c r="ML253" s="561">
        <v>2557</v>
      </c>
      <c r="MM253" s="561">
        <v>478794</v>
      </c>
      <c r="MN253" s="561">
        <v>5000</v>
      </c>
      <c r="MO253" s="561">
        <v>0</v>
      </c>
      <c r="MP253" s="561">
        <v>0</v>
      </c>
      <c r="MQ253" s="561">
        <v>430455</v>
      </c>
      <c r="MR253" s="561">
        <v>36418.93</v>
      </c>
      <c r="MS253" s="561">
        <v>86270</v>
      </c>
      <c r="MT253" s="561">
        <v>303868</v>
      </c>
      <c r="MU253" s="561">
        <v>28007</v>
      </c>
      <c r="MV253" s="561">
        <v>15079.04</v>
      </c>
      <c r="MW253" s="561">
        <v>30953</v>
      </c>
      <c r="MX253" s="561">
        <v>88432.09</v>
      </c>
      <c r="MY253" s="561">
        <v>27216.6</v>
      </c>
      <c r="MZ253" s="561">
        <v>0</v>
      </c>
      <c r="NA253" s="561">
        <v>0</v>
      </c>
      <c r="NB253" s="561">
        <v>38209.519999999997</v>
      </c>
      <c r="NC253" s="561">
        <v>0</v>
      </c>
      <c r="ND253" s="561">
        <v>1084909.18</v>
      </c>
      <c r="NE253" s="561">
        <v>0</v>
      </c>
      <c r="NF253" s="561">
        <v>0</v>
      </c>
      <c r="NG253" s="561">
        <v>0</v>
      </c>
      <c r="NH253" s="561">
        <v>0</v>
      </c>
      <c r="NI253" s="561">
        <v>0</v>
      </c>
      <c r="NJ253" s="561">
        <v>0</v>
      </c>
      <c r="NK253" s="561">
        <v>0</v>
      </c>
      <c r="NL253" s="561">
        <v>0</v>
      </c>
      <c r="NM253" s="561">
        <v>0</v>
      </c>
      <c r="NN253" s="561">
        <v>0</v>
      </c>
      <c r="NO253" s="561">
        <v>0</v>
      </c>
      <c r="NP253" s="561">
        <v>0</v>
      </c>
      <c r="NQ253" s="561">
        <v>0</v>
      </c>
      <c r="NR253" s="561">
        <v>0</v>
      </c>
      <c r="NS253" s="561">
        <v>0</v>
      </c>
      <c r="NT253" s="561">
        <v>0</v>
      </c>
      <c r="NU253" s="561">
        <v>0</v>
      </c>
      <c r="NV253" s="561">
        <v>0</v>
      </c>
      <c r="NW253" s="561">
        <v>-1229</v>
      </c>
      <c r="NX253" s="561">
        <v>0</v>
      </c>
      <c r="NY253" s="561">
        <v>-1229</v>
      </c>
      <c r="NZ253" s="561">
        <v>0</v>
      </c>
      <c r="OA253" s="561">
        <v>0</v>
      </c>
      <c r="OB253" s="561">
        <v>0</v>
      </c>
      <c r="OC253" s="561">
        <v>0</v>
      </c>
      <c r="OD253" s="561">
        <v>0</v>
      </c>
      <c r="OE253" s="561">
        <v>0</v>
      </c>
      <c r="OF253" s="561">
        <v>0</v>
      </c>
      <c r="OG253" s="561">
        <v>0</v>
      </c>
      <c r="OH253" s="561">
        <v>0</v>
      </c>
      <c r="OI253" s="561">
        <v>0</v>
      </c>
      <c r="OJ253" s="561">
        <v>0</v>
      </c>
      <c r="OK253" s="561">
        <v>0</v>
      </c>
      <c r="OL253" s="561">
        <v>0</v>
      </c>
      <c r="OM253" s="561">
        <v>0</v>
      </c>
      <c r="ON253" s="561">
        <v>0</v>
      </c>
      <c r="OO253" s="561">
        <v>0</v>
      </c>
      <c r="OP253" s="561">
        <v>0</v>
      </c>
      <c r="OQ253" s="561">
        <v>0</v>
      </c>
      <c r="OR253" s="561">
        <v>0</v>
      </c>
      <c r="OS253" s="561">
        <v>0</v>
      </c>
      <c r="OT253" s="561">
        <v>0</v>
      </c>
      <c r="OU253" s="561">
        <v>0</v>
      </c>
      <c r="OV253" s="561">
        <v>0</v>
      </c>
      <c r="OW253" s="561">
        <v>0</v>
      </c>
      <c r="OX253" s="561">
        <v>0</v>
      </c>
      <c r="OY253" s="561">
        <v>0</v>
      </c>
      <c r="OZ253" s="561">
        <v>0</v>
      </c>
      <c r="PA253" s="561">
        <v>0</v>
      </c>
      <c r="PB253" s="561">
        <v>0</v>
      </c>
      <c r="PC253" s="561">
        <v>0</v>
      </c>
      <c r="PD253" s="561">
        <v>0</v>
      </c>
      <c r="PE253" s="561">
        <v>0</v>
      </c>
      <c r="PF253" s="561">
        <v>0</v>
      </c>
      <c r="PG253" s="561">
        <v>0</v>
      </c>
      <c r="PH253" s="561">
        <v>0</v>
      </c>
      <c r="PI253" s="561">
        <v>0</v>
      </c>
      <c r="PJ253" s="561">
        <v>0</v>
      </c>
    </row>
    <row r="254" spans="1:426" ht="14" x14ac:dyDescent="0.3">
      <c r="A254" t="s">
        <v>3208</v>
      </c>
      <c r="B254" t="s">
        <v>3209</v>
      </c>
      <c r="C254" t="s">
        <v>4640</v>
      </c>
      <c r="E254" t="s">
        <v>2466</v>
      </c>
      <c r="F254" s="561">
        <v>0</v>
      </c>
      <c r="G254" s="561">
        <v>0</v>
      </c>
      <c r="H254" s="561">
        <v>0</v>
      </c>
      <c r="I254" s="561">
        <v>0</v>
      </c>
      <c r="J254" s="561">
        <v>0</v>
      </c>
      <c r="K254" s="561">
        <v>0</v>
      </c>
      <c r="L254" s="561">
        <v>0</v>
      </c>
      <c r="M254" s="561">
        <v>0</v>
      </c>
      <c r="N254" s="561">
        <v>0</v>
      </c>
      <c r="O254" s="561">
        <v>0</v>
      </c>
      <c r="P254" s="561">
        <v>0</v>
      </c>
      <c r="Q254" s="561">
        <v>0</v>
      </c>
      <c r="R254" s="561">
        <v>0</v>
      </c>
      <c r="S254" s="561">
        <v>0</v>
      </c>
      <c r="T254" s="561">
        <v>0</v>
      </c>
      <c r="U254" s="561">
        <v>0</v>
      </c>
      <c r="V254" s="561">
        <v>0</v>
      </c>
      <c r="W254" s="561">
        <v>0</v>
      </c>
      <c r="X254" s="561">
        <v>0</v>
      </c>
      <c r="Y254" s="561">
        <v>0</v>
      </c>
      <c r="Z254" s="561">
        <v>0</v>
      </c>
      <c r="AA254" s="561">
        <v>0</v>
      </c>
      <c r="AB254" s="561">
        <v>0</v>
      </c>
      <c r="AC254" s="561">
        <v>0</v>
      </c>
      <c r="AD254" s="561">
        <v>0</v>
      </c>
      <c r="AE254" s="561">
        <v>0</v>
      </c>
      <c r="AF254" s="561">
        <v>0</v>
      </c>
      <c r="AG254" s="561">
        <v>0</v>
      </c>
      <c r="AH254" s="561">
        <v>0</v>
      </c>
      <c r="AI254" s="561">
        <v>0</v>
      </c>
      <c r="AJ254" s="561">
        <v>0</v>
      </c>
      <c r="AK254" s="561">
        <v>0</v>
      </c>
      <c r="AL254" s="561">
        <v>0</v>
      </c>
      <c r="AM254" s="561">
        <v>0</v>
      </c>
      <c r="AN254" s="561">
        <v>0</v>
      </c>
      <c r="AO254" s="561">
        <v>0</v>
      </c>
      <c r="AP254" s="561">
        <v>0</v>
      </c>
      <c r="AQ254" s="561">
        <v>0</v>
      </c>
      <c r="AR254" s="561">
        <v>0</v>
      </c>
      <c r="AS254" s="561">
        <v>0</v>
      </c>
      <c r="AT254" s="561">
        <v>0</v>
      </c>
      <c r="AU254" s="561">
        <v>0</v>
      </c>
      <c r="AV254" s="561">
        <v>0</v>
      </c>
      <c r="AW254" s="561">
        <v>0</v>
      </c>
      <c r="AX254" s="561">
        <v>0</v>
      </c>
      <c r="AY254" s="561">
        <v>0</v>
      </c>
      <c r="AZ254" s="561">
        <v>0</v>
      </c>
      <c r="BA254" s="561">
        <v>0</v>
      </c>
      <c r="BB254" s="561">
        <v>0</v>
      </c>
      <c r="BC254" s="561">
        <v>0</v>
      </c>
      <c r="BD254" s="561">
        <v>0</v>
      </c>
      <c r="BE254" s="561">
        <v>0</v>
      </c>
      <c r="BF254" s="561">
        <v>0</v>
      </c>
      <c r="BG254" s="561">
        <v>0</v>
      </c>
      <c r="BH254" s="561">
        <v>0</v>
      </c>
      <c r="BI254" s="561">
        <v>0</v>
      </c>
      <c r="BJ254" s="561">
        <v>0</v>
      </c>
      <c r="BK254" s="561">
        <v>0</v>
      </c>
      <c r="BL254" s="561">
        <v>0</v>
      </c>
      <c r="BM254" s="561">
        <v>0</v>
      </c>
      <c r="BN254" s="561">
        <v>0</v>
      </c>
      <c r="BO254" s="561">
        <v>0</v>
      </c>
      <c r="BP254" s="561">
        <v>0</v>
      </c>
      <c r="BQ254" s="561">
        <v>0</v>
      </c>
      <c r="BR254" s="561">
        <v>0</v>
      </c>
      <c r="BS254" s="561">
        <v>0</v>
      </c>
      <c r="BT254" s="561">
        <v>0</v>
      </c>
      <c r="BU254" s="561">
        <v>0</v>
      </c>
      <c r="BV254" s="561">
        <v>0</v>
      </c>
      <c r="BW254" s="561">
        <v>0</v>
      </c>
      <c r="BX254" s="561">
        <v>0</v>
      </c>
      <c r="BY254" s="561">
        <v>0</v>
      </c>
      <c r="BZ254" s="561">
        <v>0</v>
      </c>
      <c r="CA254" s="561">
        <v>0</v>
      </c>
      <c r="CB254" s="561">
        <v>0</v>
      </c>
      <c r="CC254" s="561">
        <v>0</v>
      </c>
      <c r="CD254" s="561">
        <v>0</v>
      </c>
      <c r="CE254" s="561">
        <v>0</v>
      </c>
      <c r="CF254" s="561">
        <v>0</v>
      </c>
      <c r="CG254" s="561">
        <v>0</v>
      </c>
      <c r="CH254" s="561">
        <v>0</v>
      </c>
      <c r="CI254" s="561">
        <v>0</v>
      </c>
      <c r="CJ254" s="561">
        <v>0</v>
      </c>
      <c r="CK254" s="561">
        <v>0</v>
      </c>
      <c r="CL254" s="561">
        <v>0</v>
      </c>
      <c r="CM254" s="561">
        <v>0</v>
      </c>
      <c r="CN254" s="561">
        <v>0</v>
      </c>
      <c r="CO254" s="561">
        <v>0</v>
      </c>
      <c r="CP254" s="561">
        <v>0</v>
      </c>
      <c r="CQ254" s="561">
        <v>0</v>
      </c>
      <c r="CR254" s="561">
        <v>0</v>
      </c>
      <c r="CS254" s="561">
        <v>0</v>
      </c>
      <c r="CT254" s="561">
        <v>0</v>
      </c>
      <c r="CU254" s="561">
        <v>0</v>
      </c>
      <c r="CV254" s="561">
        <v>0</v>
      </c>
      <c r="CW254" s="561">
        <v>0</v>
      </c>
      <c r="CX254" s="561">
        <v>0</v>
      </c>
      <c r="CY254" s="561">
        <v>0</v>
      </c>
      <c r="CZ254" s="561">
        <v>0</v>
      </c>
      <c r="DA254" s="561">
        <v>0</v>
      </c>
      <c r="DB254" s="561">
        <v>0</v>
      </c>
      <c r="DC254" s="561">
        <v>0</v>
      </c>
      <c r="DD254" s="561">
        <v>0</v>
      </c>
      <c r="DE254" s="561">
        <v>0</v>
      </c>
      <c r="DF254" s="561">
        <v>0</v>
      </c>
      <c r="DG254" s="561">
        <v>0</v>
      </c>
      <c r="DH254" s="561">
        <v>0</v>
      </c>
      <c r="DI254" s="561">
        <v>0</v>
      </c>
      <c r="DJ254" s="561">
        <v>0</v>
      </c>
      <c r="DK254" s="561">
        <v>0</v>
      </c>
      <c r="DL254" s="561">
        <v>0</v>
      </c>
      <c r="DM254" s="561">
        <v>0</v>
      </c>
      <c r="DN254" s="561">
        <v>0</v>
      </c>
      <c r="DO254" s="561">
        <v>0</v>
      </c>
      <c r="DP254" s="561">
        <v>0</v>
      </c>
      <c r="DQ254" s="561">
        <v>0</v>
      </c>
      <c r="DR254" s="561">
        <v>0</v>
      </c>
      <c r="DS254" s="561">
        <v>0</v>
      </c>
      <c r="DT254" s="561">
        <v>0</v>
      </c>
      <c r="DU254" s="561">
        <v>0</v>
      </c>
      <c r="DV254" s="561">
        <v>0</v>
      </c>
      <c r="DW254" s="561">
        <v>0</v>
      </c>
      <c r="DX254" s="561">
        <v>0</v>
      </c>
      <c r="DY254" s="561">
        <v>0</v>
      </c>
      <c r="DZ254" s="561">
        <v>0</v>
      </c>
      <c r="EA254" s="561">
        <v>0</v>
      </c>
      <c r="EB254" s="561">
        <v>0</v>
      </c>
      <c r="EC254" s="561">
        <v>0</v>
      </c>
      <c r="ED254" s="561">
        <v>0</v>
      </c>
      <c r="EE254" s="561">
        <v>0</v>
      </c>
      <c r="EF254" s="561">
        <v>0</v>
      </c>
      <c r="EG254" s="561">
        <v>0</v>
      </c>
      <c r="EH254" s="561">
        <v>0</v>
      </c>
      <c r="EI254" s="561">
        <v>0</v>
      </c>
      <c r="EJ254" s="561">
        <v>0</v>
      </c>
      <c r="EK254" s="561">
        <v>0</v>
      </c>
      <c r="EL254" s="561">
        <v>0</v>
      </c>
      <c r="EM254" s="561">
        <v>0</v>
      </c>
      <c r="EN254" s="561">
        <v>0</v>
      </c>
      <c r="EO254" s="561">
        <v>0</v>
      </c>
      <c r="EP254" s="561">
        <v>0</v>
      </c>
      <c r="EQ254" s="561">
        <v>0</v>
      </c>
      <c r="ER254" s="561">
        <v>0</v>
      </c>
      <c r="ES254" s="561" t="s">
        <v>4565</v>
      </c>
      <c r="ET254" s="561">
        <v>0</v>
      </c>
      <c r="EU254" s="561">
        <v>0</v>
      </c>
      <c r="EV254" s="561">
        <v>0</v>
      </c>
      <c r="EW254" s="561">
        <v>0</v>
      </c>
      <c r="EX254" s="561">
        <v>0</v>
      </c>
      <c r="EY254" s="561">
        <v>0</v>
      </c>
      <c r="EZ254" s="561">
        <v>0</v>
      </c>
      <c r="FA254" s="561">
        <v>0</v>
      </c>
      <c r="FB254" s="561">
        <v>0</v>
      </c>
      <c r="FC254" s="561">
        <v>0</v>
      </c>
      <c r="FD254" s="561">
        <v>0</v>
      </c>
      <c r="FE254" s="561">
        <v>0</v>
      </c>
      <c r="FF254" s="561">
        <v>0</v>
      </c>
      <c r="FG254" s="561">
        <v>0</v>
      </c>
      <c r="FH254" s="561">
        <v>0</v>
      </c>
      <c r="FI254" s="561">
        <v>0</v>
      </c>
      <c r="FJ254" s="561">
        <v>0</v>
      </c>
      <c r="FK254" s="561">
        <v>0</v>
      </c>
      <c r="FL254" s="561">
        <v>0</v>
      </c>
      <c r="FM254" s="561">
        <v>0</v>
      </c>
      <c r="FN254" s="561">
        <v>0</v>
      </c>
      <c r="FO254" s="561">
        <v>0</v>
      </c>
      <c r="FP254" s="561">
        <v>0</v>
      </c>
      <c r="FQ254" s="561">
        <v>0</v>
      </c>
      <c r="FR254" s="561">
        <v>0</v>
      </c>
      <c r="FS254" s="561">
        <v>0</v>
      </c>
      <c r="FT254" s="561">
        <v>0</v>
      </c>
      <c r="FU254" s="561">
        <v>0</v>
      </c>
      <c r="FV254" s="561">
        <v>0</v>
      </c>
      <c r="FW254" s="561">
        <v>0</v>
      </c>
      <c r="FX254" s="561">
        <v>0</v>
      </c>
      <c r="FY254" s="561">
        <v>0</v>
      </c>
      <c r="FZ254" s="561">
        <v>0</v>
      </c>
      <c r="GA254" s="561">
        <v>0</v>
      </c>
      <c r="GB254" s="561">
        <v>0</v>
      </c>
      <c r="GC254" s="561">
        <v>0</v>
      </c>
      <c r="GD254" s="561">
        <v>0</v>
      </c>
      <c r="GE254" s="561">
        <v>0</v>
      </c>
      <c r="GF254" s="561">
        <v>0</v>
      </c>
      <c r="GG254" s="561">
        <v>0</v>
      </c>
      <c r="GH254" s="561">
        <v>0</v>
      </c>
      <c r="GI254" s="561">
        <v>0</v>
      </c>
      <c r="GJ254" s="561">
        <v>0</v>
      </c>
      <c r="GK254" s="561">
        <v>0</v>
      </c>
      <c r="GL254" s="561">
        <v>0</v>
      </c>
      <c r="GM254" s="561">
        <v>0</v>
      </c>
      <c r="GN254" s="561">
        <v>0</v>
      </c>
      <c r="GO254" s="561">
        <v>0</v>
      </c>
      <c r="GP254" s="561">
        <v>0</v>
      </c>
      <c r="GQ254" s="561">
        <v>0</v>
      </c>
      <c r="GR254" s="561">
        <v>0</v>
      </c>
      <c r="GS254" s="561">
        <v>0</v>
      </c>
      <c r="GT254" s="561">
        <v>0</v>
      </c>
      <c r="GU254" s="561">
        <v>0</v>
      </c>
      <c r="GV254" s="561">
        <v>0</v>
      </c>
      <c r="GW254" s="561">
        <v>0</v>
      </c>
      <c r="GX254" s="561">
        <v>0</v>
      </c>
      <c r="GY254" s="561">
        <v>0</v>
      </c>
      <c r="GZ254" s="561">
        <v>0</v>
      </c>
      <c r="HA254" s="561">
        <v>0</v>
      </c>
      <c r="HB254" s="561">
        <v>0</v>
      </c>
      <c r="HC254" s="561">
        <v>0</v>
      </c>
      <c r="HD254" s="561">
        <v>0</v>
      </c>
      <c r="HE254" s="561">
        <v>0</v>
      </c>
      <c r="HF254" s="561">
        <v>0</v>
      </c>
      <c r="HG254" s="561">
        <v>0</v>
      </c>
      <c r="HH254" s="561">
        <v>187404</v>
      </c>
      <c r="HI254" s="561">
        <v>0</v>
      </c>
      <c r="HJ254" s="561">
        <v>0</v>
      </c>
      <c r="HK254" s="561">
        <v>0</v>
      </c>
      <c r="HL254" s="561">
        <v>0</v>
      </c>
      <c r="HM254" s="561">
        <v>0</v>
      </c>
      <c r="HN254" s="561">
        <v>0</v>
      </c>
      <c r="HO254" s="561">
        <v>13474</v>
      </c>
      <c r="HP254" s="561">
        <v>0</v>
      </c>
      <c r="HQ254" s="561">
        <v>0</v>
      </c>
      <c r="HR254" s="561">
        <v>0</v>
      </c>
      <c r="HS254" s="561">
        <v>0</v>
      </c>
      <c r="HT254" s="561">
        <v>0</v>
      </c>
      <c r="HU254" s="561">
        <v>0</v>
      </c>
      <c r="HV254" s="561">
        <v>0</v>
      </c>
      <c r="HW254" s="561">
        <v>0</v>
      </c>
      <c r="HX254" s="561">
        <v>0</v>
      </c>
      <c r="HY254" s="561">
        <v>0</v>
      </c>
      <c r="HZ254" s="561">
        <v>0</v>
      </c>
      <c r="IA254" s="561">
        <v>0</v>
      </c>
      <c r="IB254" s="561">
        <v>0</v>
      </c>
      <c r="IC254" s="561">
        <v>0</v>
      </c>
      <c r="ID254" s="561">
        <v>0</v>
      </c>
      <c r="IE254" s="561">
        <v>0</v>
      </c>
      <c r="IF254" s="561">
        <v>0</v>
      </c>
      <c r="IG254" s="561">
        <v>0</v>
      </c>
      <c r="IH254" s="561">
        <v>0</v>
      </c>
      <c r="II254" s="561">
        <v>13474</v>
      </c>
      <c r="IJ254" s="561">
        <v>0</v>
      </c>
      <c r="IK254" s="561">
        <v>0</v>
      </c>
      <c r="IL254" s="561">
        <v>0</v>
      </c>
      <c r="IM254" s="561">
        <v>0</v>
      </c>
      <c r="IN254" s="561">
        <v>0</v>
      </c>
      <c r="IO254" s="561">
        <v>0</v>
      </c>
      <c r="IP254" s="561">
        <v>0</v>
      </c>
      <c r="IQ254" s="561">
        <v>0</v>
      </c>
      <c r="IR254" s="561">
        <v>0</v>
      </c>
      <c r="IS254" s="561">
        <v>0</v>
      </c>
      <c r="IT254" s="561">
        <v>0</v>
      </c>
      <c r="IU254" s="561">
        <v>0</v>
      </c>
      <c r="IV254" s="561">
        <v>0</v>
      </c>
      <c r="IW254" s="561">
        <v>0</v>
      </c>
      <c r="IX254" s="561">
        <v>0</v>
      </c>
      <c r="IY254" s="561">
        <v>0</v>
      </c>
      <c r="IZ254" s="561">
        <v>0</v>
      </c>
      <c r="JA254" s="561">
        <v>187404</v>
      </c>
      <c r="JB254" s="561">
        <v>0</v>
      </c>
      <c r="JC254" s="561">
        <v>13474</v>
      </c>
      <c r="JD254" s="561">
        <v>0</v>
      </c>
      <c r="JE254" s="561">
        <v>200878</v>
      </c>
      <c r="JF254" s="561">
        <v>0</v>
      </c>
      <c r="JG254" s="561">
        <v>0</v>
      </c>
      <c r="JH254" s="561">
        <v>0</v>
      </c>
      <c r="JI254" s="561">
        <v>0</v>
      </c>
      <c r="JJ254" s="561">
        <v>0</v>
      </c>
      <c r="JK254" s="561">
        <v>0</v>
      </c>
      <c r="JL254" s="561">
        <v>0</v>
      </c>
      <c r="JM254" s="561">
        <v>0</v>
      </c>
      <c r="JN254" s="561">
        <v>0</v>
      </c>
      <c r="JO254" s="561">
        <v>0</v>
      </c>
      <c r="JP254" s="561">
        <v>0</v>
      </c>
      <c r="JQ254" s="561">
        <v>0</v>
      </c>
      <c r="JR254" s="561">
        <v>0</v>
      </c>
      <c r="JS254" s="561">
        <v>0</v>
      </c>
      <c r="JT254" s="561">
        <v>0</v>
      </c>
      <c r="JU254" s="561">
        <v>839</v>
      </c>
      <c r="JV254" s="561">
        <v>201717</v>
      </c>
      <c r="JW254" s="561">
        <v>0</v>
      </c>
      <c r="JX254" s="561">
        <v>2116</v>
      </c>
      <c r="JY254" s="561">
        <v>0</v>
      </c>
      <c r="JZ254" s="561">
        <v>0</v>
      </c>
      <c r="KA254" s="561">
        <v>0</v>
      </c>
      <c r="KB254" s="561">
        <v>0</v>
      </c>
      <c r="KC254" s="561">
        <v>1772</v>
      </c>
      <c r="KD254" s="561">
        <v>0</v>
      </c>
      <c r="KE254" s="561">
        <v>452</v>
      </c>
      <c r="KF254" s="561">
        <v>0</v>
      </c>
      <c r="KG254" s="561">
        <v>206057</v>
      </c>
      <c r="KH254" s="561">
        <v>-856</v>
      </c>
      <c r="KI254" s="561">
        <v>0</v>
      </c>
      <c r="KJ254" s="561">
        <v>0</v>
      </c>
      <c r="KK254" s="561">
        <v>0</v>
      </c>
      <c r="KL254" s="561">
        <v>0</v>
      </c>
      <c r="KM254" s="561">
        <v>0</v>
      </c>
      <c r="KN254" s="561">
        <v>0</v>
      </c>
      <c r="KO254" s="561">
        <v>0</v>
      </c>
      <c r="KP254" s="561">
        <v>0</v>
      </c>
      <c r="KQ254" s="561">
        <v>0</v>
      </c>
      <c r="KR254" s="561">
        <v>205201</v>
      </c>
      <c r="KS254" s="561">
        <v>0</v>
      </c>
      <c r="KT254" s="561">
        <v>-38100.99</v>
      </c>
      <c r="KU254" s="561">
        <v>167100.01</v>
      </c>
      <c r="KV254" s="561">
        <v>0</v>
      </c>
      <c r="KW254" s="561">
        <v>0</v>
      </c>
      <c r="KX254" s="561">
        <v>0</v>
      </c>
      <c r="KY254" s="561">
        <v>0</v>
      </c>
      <c r="KZ254" s="561">
        <v>83</v>
      </c>
      <c r="LA254" s="561">
        <v>0</v>
      </c>
      <c r="LB254" s="561">
        <v>0</v>
      </c>
      <c r="LC254" s="561">
        <v>-86809</v>
      </c>
      <c r="LD254" s="561">
        <v>0</v>
      </c>
      <c r="LE254" s="561">
        <v>-1259</v>
      </c>
      <c r="LF254" s="561">
        <v>0</v>
      </c>
      <c r="LG254" s="561">
        <v>79115</v>
      </c>
      <c r="LH254" s="561">
        <v>0</v>
      </c>
      <c r="LI254" s="561">
        <v>0</v>
      </c>
      <c r="LJ254" s="561">
        <v>0</v>
      </c>
      <c r="LK254" s="561">
        <v>0</v>
      </c>
      <c r="LL254" s="561">
        <v>18515</v>
      </c>
      <c r="LM254" s="561">
        <v>5300</v>
      </c>
      <c r="LN254" s="561">
        <v>0</v>
      </c>
      <c r="LO254" s="561">
        <v>0</v>
      </c>
      <c r="LP254" s="561">
        <v>0</v>
      </c>
      <c r="LQ254" s="561">
        <v>0</v>
      </c>
      <c r="LR254" s="561">
        <v>18598</v>
      </c>
      <c r="LS254" s="561">
        <v>5300</v>
      </c>
      <c r="LT254" s="561">
        <v>0</v>
      </c>
      <c r="LU254" s="561">
        <v>5837</v>
      </c>
      <c r="LV254" s="561">
        <v>0</v>
      </c>
      <c r="LW254" s="561">
        <v>132</v>
      </c>
      <c r="LX254" s="561">
        <v>0</v>
      </c>
      <c r="LY254" s="561">
        <v>0</v>
      </c>
      <c r="LZ254" s="561">
        <v>5969</v>
      </c>
      <c r="MA254" s="561">
        <v>0</v>
      </c>
      <c r="MB254" s="561">
        <v>0</v>
      </c>
      <c r="MC254" s="561">
        <v>0</v>
      </c>
      <c r="MD254" s="561">
        <v>0</v>
      </c>
      <c r="ME254" s="561">
        <v>0</v>
      </c>
      <c r="MF254" s="561">
        <v>0</v>
      </c>
      <c r="MG254" s="561">
        <v>0</v>
      </c>
      <c r="MH254" s="561">
        <v>0</v>
      </c>
      <c r="MI254" s="561">
        <v>0</v>
      </c>
      <c r="MJ254" s="561">
        <v>0</v>
      </c>
      <c r="MK254" s="561">
        <v>0</v>
      </c>
      <c r="ML254" s="561">
        <v>0</v>
      </c>
      <c r="MM254" s="561">
        <v>18598</v>
      </c>
      <c r="MN254" s="561">
        <v>0</v>
      </c>
      <c r="MO254" s="561">
        <v>0</v>
      </c>
      <c r="MP254" s="561">
        <v>0</v>
      </c>
      <c r="MQ254" s="561">
        <v>0</v>
      </c>
      <c r="MR254" s="561">
        <v>0</v>
      </c>
      <c r="MS254" s="561">
        <v>0</v>
      </c>
      <c r="MT254" s="561">
        <v>0</v>
      </c>
      <c r="MU254" s="561">
        <v>0</v>
      </c>
      <c r="MV254" s="561">
        <v>0</v>
      </c>
      <c r="MW254" s="561">
        <v>0</v>
      </c>
      <c r="MX254" s="561">
        <v>0</v>
      </c>
      <c r="MY254" s="561">
        <v>0</v>
      </c>
      <c r="MZ254" s="561">
        <v>187404</v>
      </c>
      <c r="NA254" s="561">
        <v>0</v>
      </c>
      <c r="NB254" s="561">
        <v>13474</v>
      </c>
      <c r="NC254" s="561">
        <v>0</v>
      </c>
      <c r="ND254" s="561">
        <v>200878</v>
      </c>
      <c r="NE254" s="561">
        <v>0</v>
      </c>
      <c r="NF254" s="561">
        <v>0</v>
      </c>
      <c r="NG254" s="561">
        <v>0</v>
      </c>
      <c r="NH254" s="561">
        <v>0</v>
      </c>
      <c r="NI254" s="561">
        <v>0</v>
      </c>
      <c r="NJ254" s="561">
        <v>0</v>
      </c>
      <c r="NK254" s="561">
        <v>0</v>
      </c>
      <c r="NL254" s="561">
        <v>0</v>
      </c>
      <c r="NM254" s="561">
        <v>0</v>
      </c>
      <c r="NN254" s="561">
        <v>0</v>
      </c>
      <c r="NO254" s="561">
        <v>0</v>
      </c>
      <c r="NP254" s="561">
        <v>0</v>
      </c>
      <c r="NQ254" s="561">
        <v>0</v>
      </c>
      <c r="NR254" s="561">
        <v>0</v>
      </c>
      <c r="NS254" s="561">
        <v>0</v>
      </c>
      <c r="NT254" s="561">
        <v>0</v>
      </c>
      <c r="NU254" s="561">
        <v>-2579</v>
      </c>
      <c r="NV254" s="561">
        <v>0</v>
      </c>
      <c r="NW254" s="561">
        <v>0</v>
      </c>
      <c r="NX254" s="561">
        <v>0</v>
      </c>
      <c r="NY254" s="561">
        <v>0</v>
      </c>
      <c r="NZ254" s="561">
        <v>0</v>
      </c>
      <c r="OA254" s="561">
        <v>0</v>
      </c>
      <c r="OB254" s="561">
        <v>0</v>
      </c>
      <c r="OC254" s="561">
        <v>0</v>
      </c>
      <c r="OD254" s="561">
        <v>0</v>
      </c>
      <c r="OE254" s="561">
        <v>0</v>
      </c>
      <c r="OF254" s="561">
        <v>0</v>
      </c>
      <c r="OG254" s="561">
        <v>0</v>
      </c>
      <c r="OH254" s="561">
        <v>0</v>
      </c>
      <c r="OI254" s="561">
        <v>0</v>
      </c>
      <c r="OJ254" s="561">
        <v>0</v>
      </c>
      <c r="OK254" s="561">
        <v>0</v>
      </c>
      <c r="OL254" s="561">
        <v>0</v>
      </c>
      <c r="OM254" s="561">
        <v>0</v>
      </c>
      <c r="ON254" s="561">
        <v>0</v>
      </c>
      <c r="OO254" s="561">
        <v>0</v>
      </c>
      <c r="OP254" s="561">
        <v>0</v>
      </c>
      <c r="OQ254" s="561">
        <v>0</v>
      </c>
      <c r="OR254" s="561">
        <v>0</v>
      </c>
      <c r="OS254" s="561">
        <v>0</v>
      </c>
      <c r="OT254" s="561">
        <v>0</v>
      </c>
      <c r="OU254" s="561">
        <v>0</v>
      </c>
      <c r="OV254" s="561">
        <v>-1</v>
      </c>
      <c r="OW254" s="561">
        <v>0</v>
      </c>
      <c r="OX254" s="561">
        <v>0</v>
      </c>
      <c r="OY254" s="561">
        <v>0</v>
      </c>
      <c r="OZ254" s="561">
        <v>0</v>
      </c>
      <c r="PA254" s="561">
        <v>0</v>
      </c>
      <c r="PB254" s="561">
        <v>0</v>
      </c>
      <c r="PC254" s="561">
        <v>0</v>
      </c>
      <c r="PD254" s="561">
        <v>0</v>
      </c>
      <c r="PE254" s="561">
        <v>0</v>
      </c>
      <c r="PF254" s="561">
        <v>0</v>
      </c>
      <c r="PG254" s="561">
        <v>0</v>
      </c>
      <c r="PH254" s="561">
        <v>0</v>
      </c>
      <c r="PI254" s="561">
        <v>0</v>
      </c>
      <c r="PJ254" s="561">
        <v>0</v>
      </c>
    </row>
    <row r="255" spans="1:426" ht="14" x14ac:dyDescent="0.3">
      <c r="A255" t="s">
        <v>3205</v>
      </c>
      <c r="B255" t="s">
        <v>3206</v>
      </c>
      <c r="C255" t="s">
        <v>3207</v>
      </c>
      <c r="E255" t="s">
        <v>2466</v>
      </c>
      <c r="F255" s="561">
        <v>0</v>
      </c>
      <c r="G255" s="561">
        <v>0</v>
      </c>
      <c r="H255" s="561">
        <v>0</v>
      </c>
      <c r="I255" s="561">
        <v>0</v>
      </c>
      <c r="J255" s="561">
        <v>0</v>
      </c>
      <c r="K255" s="561">
        <v>0</v>
      </c>
      <c r="L255" s="561">
        <v>0</v>
      </c>
      <c r="M255" s="561">
        <v>0</v>
      </c>
      <c r="N255" s="561">
        <v>0</v>
      </c>
      <c r="O255" s="561">
        <v>0</v>
      </c>
      <c r="P255" s="561">
        <v>0</v>
      </c>
      <c r="Q255" s="561">
        <v>0</v>
      </c>
      <c r="R255" s="561">
        <v>0</v>
      </c>
      <c r="S255" s="561">
        <v>0</v>
      </c>
      <c r="T255" s="561">
        <v>0</v>
      </c>
      <c r="U255" s="561">
        <v>0</v>
      </c>
      <c r="V255" s="561">
        <v>0</v>
      </c>
      <c r="W255" s="561">
        <v>0</v>
      </c>
      <c r="X255" s="561">
        <v>0</v>
      </c>
      <c r="Y255" s="561">
        <v>0</v>
      </c>
      <c r="Z255" s="561">
        <v>0</v>
      </c>
      <c r="AA255" s="561">
        <v>0</v>
      </c>
      <c r="AB255" s="561">
        <v>0</v>
      </c>
      <c r="AC255" s="561">
        <v>0</v>
      </c>
      <c r="AD255" s="561">
        <v>0</v>
      </c>
      <c r="AE255" s="561">
        <v>0</v>
      </c>
      <c r="AF255" s="561">
        <v>0</v>
      </c>
      <c r="AG255" s="561">
        <v>0</v>
      </c>
      <c r="AH255" s="561">
        <v>0</v>
      </c>
      <c r="AI255" s="561">
        <v>0</v>
      </c>
      <c r="AJ255" s="561">
        <v>0</v>
      </c>
      <c r="AK255" s="561">
        <v>0</v>
      </c>
      <c r="AL255" s="561">
        <v>0</v>
      </c>
      <c r="AM255" s="561">
        <v>0</v>
      </c>
      <c r="AN255" s="561">
        <v>0</v>
      </c>
      <c r="AO255" s="561">
        <v>0</v>
      </c>
      <c r="AP255" s="561">
        <v>0</v>
      </c>
      <c r="AQ255" s="561">
        <v>0</v>
      </c>
      <c r="AR255" s="561">
        <v>0</v>
      </c>
      <c r="AS255" s="561">
        <v>0</v>
      </c>
      <c r="AT255" s="561">
        <v>0</v>
      </c>
      <c r="AU255" s="561">
        <v>0</v>
      </c>
      <c r="AV255" s="561">
        <v>0</v>
      </c>
      <c r="AW255" s="561">
        <v>0</v>
      </c>
      <c r="AX255" s="561">
        <v>0</v>
      </c>
      <c r="AY255" s="561">
        <v>0</v>
      </c>
      <c r="AZ255" s="561">
        <v>0</v>
      </c>
      <c r="BA255" s="561">
        <v>0</v>
      </c>
      <c r="BB255" s="561">
        <v>0</v>
      </c>
      <c r="BC255" s="561">
        <v>0</v>
      </c>
      <c r="BD255" s="561">
        <v>0</v>
      </c>
      <c r="BE255" s="561">
        <v>0</v>
      </c>
      <c r="BF255" s="561">
        <v>0</v>
      </c>
      <c r="BG255" s="561">
        <v>0</v>
      </c>
      <c r="BH255" s="561">
        <v>0</v>
      </c>
      <c r="BI255" s="561">
        <v>0</v>
      </c>
      <c r="BJ255" s="561">
        <v>0</v>
      </c>
      <c r="BK255" s="561">
        <v>0</v>
      </c>
      <c r="BL255" s="561">
        <v>0</v>
      </c>
      <c r="BM255" s="561">
        <v>0</v>
      </c>
      <c r="BN255" s="561">
        <v>0</v>
      </c>
      <c r="BO255" s="561">
        <v>0</v>
      </c>
      <c r="BP255" s="561">
        <v>0</v>
      </c>
      <c r="BQ255" s="561">
        <v>0</v>
      </c>
      <c r="BR255" s="561">
        <v>0</v>
      </c>
      <c r="BS255" s="561">
        <v>0</v>
      </c>
      <c r="BT255" s="561">
        <v>0</v>
      </c>
      <c r="BU255" s="561">
        <v>0</v>
      </c>
      <c r="BV255" s="561">
        <v>0</v>
      </c>
      <c r="BW255" s="561">
        <v>0</v>
      </c>
      <c r="BX255" s="561">
        <v>0</v>
      </c>
      <c r="BY255" s="561">
        <v>0</v>
      </c>
      <c r="BZ255" s="561">
        <v>0</v>
      </c>
      <c r="CA255" s="561">
        <v>0</v>
      </c>
      <c r="CB255" s="561">
        <v>0</v>
      </c>
      <c r="CC255" s="561">
        <v>0</v>
      </c>
      <c r="CD255" s="561">
        <v>0</v>
      </c>
      <c r="CE255" s="561">
        <v>0</v>
      </c>
      <c r="CF255" s="561">
        <v>0</v>
      </c>
      <c r="CG255" s="561">
        <v>0</v>
      </c>
      <c r="CH255" s="561">
        <v>0</v>
      </c>
      <c r="CI255" s="561">
        <v>0</v>
      </c>
      <c r="CJ255" s="561">
        <v>0</v>
      </c>
      <c r="CK255" s="561">
        <v>0</v>
      </c>
      <c r="CL255" s="561">
        <v>0</v>
      </c>
      <c r="CM255" s="561">
        <v>0</v>
      </c>
      <c r="CN255" s="561">
        <v>0</v>
      </c>
      <c r="CO255" s="561">
        <v>0</v>
      </c>
      <c r="CP255" s="561">
        <v>0</v>
      </c>
      <c r="CQ255" s="561">
        <v>0</v>
      </c>
      <c r="CR255" s="561">
        <v>0</v>
      </c>
      <c r="CS255" s="561">
        <v>0</v>
      </c>
      <c r="CT255" s="561">
        <v>0</v>
      </c>
      <c r="CU255" s="561">
        <v>0</v>
      </c>
      <c r="CV255" s="561">
        <v>0</v>
      </c>
      <c r="CW255" s="561">
        <v>0</v>
      </c>
      <c r="CX255" s="561">
        <v>0</v>
      </c>
      <c r="CY255" s="561">
        <v>0</v>
      </c>
      <c r="CZ255" s="561">
        <v>0</v>
      </c>
      <c r="DA255" s="561">
        <v>0</v>
      </c>
      <c r="DB255" s="561">
        <v>0</v>
      </c>
      <c r="DC255" s="561">
        <v>0</v>
      </c>
      <c r="DD255" s="561">
        <v>0</v>
      </c>
      <c r="DE255" s="561">
        <v>0</v>
      </c>
      <c r="DF255" s="561">
        <v>0</v>
      </c>
      <c r="DG255" s="561">
        <v>0</v>
      </c>
      <c r="DH255" s="561">
        <v>0</v>
      </c>
      <c r="DI255" s="561">
        <v>0</v>
      </c>
      <c r="DJ255" s="561">
        <v>0</v>
      </c>
      <c r="DK255" s="561">
        <v>0</v>
      </c>
      <c r="DL255" s="561">
        <v>0</v>
      </c>
      <c r="DM255" s="561">
        <v>0</v>
      </c>
      <c r="DN255" s="561">
        <v>0</v>
      </c>
      <c r="DO255" s="561">
        <v>0</v>
      </c>
      <c r="DP255" s="561">
        <v>0</v>
      </c>
      <c r="DQ255" s="561">
        <v>0</v>
      </c>
      <c r="DR255" s="561">
        <v>0</v>
      </c>
      <c r="DS255" s="561">
        <v>0</v>
      </c>
      <c r="DT255" s="561">
        <v>0</v>
      </c>
      <c r="DU255" s="561">
        <v>0</v>
      </c>
      <c r="DV255" s="561">
        <v>0</v>
      </c>
      <c r="DW255" s="561">
        <v>0</v>
      </c>
      <c r="DX255" s="561">
        <v>0</v>
      </c>
      <c r="DY255" s="561">
        <v>0</v>
      </c>
      <c r="DZ255" s="561">
        <v>0</v>
      </c>
      <c r="EA255" s="561">
        <v>0</v>
      </c>
      <c r="EB255" s="561">
        <v>0</v>
      </c>
      <c r="EC255" s="561">
        <v>0</v>
      </c>
      <c r="ED255" s="561">
        <v>0</v>
      </c>
      <c r="EE255" s="561">
        <v>0</v>
      </c>
      <c r="EF255" s="561">
        <v>0</v>
      </c>
      <c r="EG255" s="561">
        <v>0</v>
      </c>
      <c r="EH255" s="561">
        <v>0</v>
      </c>
      <c r="EI255" s="561">
        <v>0</v>
      </c>
      <c r="EJ255" s="561">
        <v>0</v>
      </c>
      <c r="EK255" s="561">
        <v>0</v>
      </c>
      <c r="EL255" s="561">
        <v>0</v>
      </c>
      <c r="EM255" s="561">
        <v>0</v>
      </c>
      <c r="EN255" s="561">
        <v>0</v>
      </c>
      <c r="EO255" s="561">
        <v>0</v>
      </c>
      <c r="EP255" s="561">
        <v>0</v>
      </c>
      <c r="EQ255" s="561">
        <v>0</v>
      </c>
      <c r="ER255" s="561">
        <v>0</v>
      </c>
      <c r="ES255" s="561" t="s">
        <v>4565</v>
      </c>
      <c r="ET255" s="561">
        <v>0</v>
      </c>
      <c r="EU255" s="561">
        <v>0</v>
      </c>
      <c r="EV255" s="561">
        <v>0</v>
      </c>
      <c r="EW255" s="561">
        <v>0</v>
      </c>
      <c r="EX255" s="561">
        <v>0</v>
      </c>
      <c r="EY255" s="561">
        <v>0</v>
      </c>
      <c r="EZ255" s="561">
        <v>0</v>
      </c>
      <c r="FA255" s="561">
        <v>0</v>
      </c>
      <c r="FB255" s="561">
        <v>0</v>
      </c>
      <c r="FC255" s="561">
        <v>0</v>
      </c>
      <c r="FD255" s="561">
        <v>0</v>
      </c>
      <c r="FE255" s="561">
        <v>0</v>
      </c>
      <c r="FF255" s="561">
        <v>0</v>
      </c>
      <c r="FG255" s="561">
        <v>0</v>
      </c>
      <c r="FH255" s="561">
        <v>0</v>
      </c>
      <c r="FI255" s="561">
        <v>0</v>
      </c>
      <c r="FJ255" s="561">
        <v>0</v>
      </c>
      <c r="FK255" s="561">
        <v>0</v>
      </c>
      <c r="FL255" s="561">
        <v>0</v>
      </c>
      <c r="FM255" s="561">
        <v>0</v>
      </c>
      <c r="FN255" s="561">
        <v>0</v>
      </c>
      <c r="FO255" s="561">
        <v>0</v>
      </c>
      <c r="FP255" s="561">
        <v>0</v>
      </c>
      <c r="FQ255" s="561">
        <v>0</v>
      </c>
      <c r="FR255" s="561">
        <v>0</v>
      </c>
      <c r="FS255" s="561">
        <v>0</v>
      </c>
      <c r="FT255" s="561">
        <v>0</v>
      </c>
      <c r="FU255" s="561">
        <v>0</v>
      </c>
      <c r="FV255" s="561">
        <v>0</v>
      </c>
      <c r="FW255" s="561">
        <v>0</v>
      </c>
      <c r="FX255" s="561">
        <v>0</v>
      </c>
      <c r="FY255" s="561">
        <v>0</v>
      </c>
      <c r="FZ255" s="561">
        <v>0</v>
      </c>
      <c r="GA255" s="561">
        <v>0</v>
      </c>
      <c r="GB255" s="561">
        <v>0</v>
      </c>
      <c r="GC255" s="561">
        <v>0</v>
      </c>
      <c r="GD255" s="561">
        <v>0</v>
      </c>
      <c r="GE255" s="561">
        <v>0</v>
      </c>
      <c r="GF255" s="561">
        <v>0</v>
      </c>
      <c r="GG255" s="561">
        <v>0</v>
      </c>
      <c r="GH255" s="561">
        <v>0</v>
      </c>
      <c r="GI255" s="561">
        <v>0</v>
      </c>
      <c r="GJ255" s="561">
        <v>0</v>
      </c>
      <c r="GK255" s="561">
        <v>0</v>
      </c>
      <c r="GL255" s="561">
        <v>0</v>
      </c>
      <c r="GM255" s="561">
        <v>0</v>
      </c>
      <c r="GN255" s="561">
        <v>0</v>
      </c>
      <c r="GO255" s="561">
        <v>0</v>
      </c>
      <c r="GP255" s="561">
        <v>0</v>
      </c>
      <c r="GQ255" s="561">
        <v>0</v>
      </c>
      <c r="GR255" s="561">
        <v>0</v>
      </c>
      <c r="GS255" s="561">
        <v>0</v>
      </c>
      <c r="GT255" s="561">
        <v>0</v>
      </c>
      <c r="GU255" s="561">
        <v>0</v>
      </c>
      <c r="GV255" s="561">
        <v>0</v>
      </c>
      <c r="GW255" s="561">
        <v>0</v>
      </c>
      <c r="GX255" s="561">
        <v>0</v>
      </c>
      <c r="GY255" s="561">
        <v>0</v>
      </c>
      <c r="GZ255" s="561">
        <v>0</v>
      </c>
      <c r="HA255" s="561">
        <v>0</v>
      </c>
      <c r="HB255" s="561">
        <v>0</v>
      </c>
      <c r="HC255" s="561">
        <v>0</v>
      </c>
      <c r="HD255" s="561">
        <v>0</v>
      </c>
      <c r="HE255" s="561">
        <v>0</v>
      </c>
      <c r="HF255" s="561">
        <v>0</v>
      </c>
      <c r="HG255" s="561">
        <v>0</v>
      </c>
      <c r="HH255" s="561">
        <v>0</v>
      </c>
      <c r="HI255" s="561">
        <v>0</v>
      </c>
      <c r="HJ255" s="561">
        <v>1478</v>
      </c>
      <c r="HK255" s="561">
        <v>33058</v>
      </c>
      <c r="HL255" s="561">
        <v>0</v>
      </c>
      <c r="HM255" s="561">
        <v>34536</v>
      </c>
      <c r="HN255" s="561">
        <v>0</v>
      </c>
      <c r="HO255" s="561">
        <v>0</v>
      </c>
      <c r="HP255" s="561">
        <v>0</v>
      </c>
      <c r="HQ255" s="561">
        <v>0</v>
      </c>
      <c r="HR255" s="561">
        <v>0</v>
      </c>
      <c r="HS255" s="561">
        <v>0</v>
      </c>
      <c r="HT255" s="561">
        <v>0</v>
      </c>
      <c r="HU255" s="561">
        <v>0</v>
      </c>
      <c r="HV255" s="561">
        <v>0</v>
      </c>
      <c r="HW255" s="561">
        <v>0</v>
      </c>
      <c r="HX255" s="561">
        <v>0</v>
      </c>
      <c r="HY255" s="561">
        <v>0</v>
      </c>
      <c r="HZ255" s="561">
        <v>0</v>
      </c>
      <c r="IA255" s="561">
        <v>0</v>
      </c>
      <c r="IB255" s="561">
        <v>0</v>
      </c>
      <c r="IC255" s="561">
        <v>0</v>
      </c>
      <c r="ID255" s="561">
        <v>0</v>
      </c>
      <c r="IE255" s="561">
        <v>0</v>
      </c>
      <c r="IF255" s="561">
        <v>0</v>
      </c>
      <c r="IG255" s="561">
        <v>0</v>
      </c>
      <c r="IH255" s="561">
        <v>0</v>
      </c>
      <c r="II255" s="561">
        <v>0</v>
      </c>
      <c r="IJ255" s="561">
        <v>0</v>
      </c>
      <c r="IK255" s="561">
        <v>0</v>
      </c>
      <c r="IL255" s="561">
        <v>0</v>
      </c>
      <c r="IM255" s="561">
        <v>0</v>
      </c>
      <c r="IN255" s="561">
        <v>0</v>
      </c>
      <c r="IO255" s="561">
        <v>0</v>
      </c>
      <c r="IP255" s="561">
        <v>0</v>
      </c>
      <c r="IQ255" s="561">
        <v>0</v>
      </c>
      <c r="IR255" s="561">
        <v>0</v>
      </c>
      <c r="IS255" s="561">
        <v>0</v>
      </c>
      <c r="IT255" s="561">
        <v>0</v>
      </c>
      <c r="IU255" s="561">
        <v>0</v>
      </c>
      <c r="IV255" s="561">
        <v>0</v>
      </c>
      <c r="IW255" s="561">
        <v>0</v>
      </c>
      <c r="IX255" s="561">
        <v>0</v>
      </c>
      <c r="IY255" s="561">
        <v>0</v>
      </c>
      <c r="IZ255" s="561">
        <v>0</v>
      </c>
      <c r="JA255" s="561">
        <v>0</v>
      </c>
      <c r="JB255" s="561">
        <v>34536</v>
      </c>
      <c r="JC255" s="561">
        <v>0</v>
      </c>
      <c r="JD255" s="561">
        <v>0</v>
      </c>
      <c r="JE255" s="561">
        <v>34536</v>
      </c>
      <c r="JF255" s="561">
        <v>0</v>
      </c>
      <c r="JG255" s="561">
        <v>0</v>
      </c>
      <c r="JH255" s="561">
        <v>0</v>
      </c>
      <c r="JI255" s="561">
        <v>0</v>
      </c>
      <c r="JJ255" s="561">
        <v>0</v>
      </c>
      <c r="JK255" s="561">
        <v>0</v>
      </c>
      <c r="JL255" s="561">
        <v>0</v>
      </c>
      <c r="JM255" s="561">
        <v>0</v>
      </c>
      <c r="JN255" s="561">
        <v>0</v>
      </c>
      <c r="JO255" s="561">
        <v>0</v>
      </c>
      <c r="JP255" s="561">
        <v>0</v>
      </c>
      <c r="JQ255" s="561">
        <v>0</v>
      </c>
      <c r="JR255" s="561">
        <v>0</v>
      </c>
      <c r="JS255" s="561">
        <v>0</v>
      </c>
      <c r="JT255" s="561">
        <v>0</v>
      </c>
      <c r="JU255" s="561">
        <v>0</v>
      </c>
      <c r="JV255" s="561">
        <v>34536</v>
      </c>
      <c r="JW255" s="561">
        <v>0</v>
      </c>
      <c r="JX255" s="561">
        <v>0</v>
      </c>
      <c r="JY255" s="561">
        <v>0</v>
      </c>
      <c r="JZ255" s="561">
        <v>0</v>
      </c>
      <c r="KA255" s="561">
        <v>0</v>
      </c>
      <c r="KB255" s="561">
        <v>0</v>
      </c>
      <c r="KC255" s="561">
        <v>259</v>
      </c>
      <c r="KD255" s="561">
        <v>0</v>
      </c>
      <c r="KE255" s="561">
        <v>60</v>
      </c>
      <c r="KF255" s="561">
        <v>0</v>
      </c>
      <c r="KG255" s="561">
        <v>34855</v>
      </c>
      <c r="KH255" s="561">
        <v>-388</v>
      </c>
      <c r="KI255" s="561">
        <v>0</v>
      </c>
      <c r="KJ255" s="561">
        <v>0</v>
      </c>
      <c r="KK255" s="561">
        <v>0</v>
      </c>
      <c r="KL255" s="561">
        <v>0</v>
      </c>
      <c r="KM255" s="561">
        <v>0</v>
      </c>
      <c r="KN255" s="561">
        <v>0</v>
      </c>
      <c r="KO255" s="561">
        <v>0</v>
      </c>
      <c r="KP255" s="561">
        <v>0</v>
      </c>
      <c r="KQ255" s="561">
        <v>0</v>
      </c>
      <c r="KR255" s="561">
        <v>34467</v>
      </c>
      <c r="KS255" s="561">
        <v>0</v>
      </c>
      <c r="KT255" s="561">
        <v>-6353.67</v>
      </c>
      <c r="KU255" s="561">
        <v>28113.33</v>
      </c>
      <c r="KV255" s="561">
        <v>0</v>
      </c>
      <c r="KW255" s="561">
        <v>0</v>
      </c>
      <c r="KX255" s="561">
        <v>0</v>
      </c>
      <c r="KY255" s="561">
        <v>0</v>
      </c>
      <c r="KZ255" s="561">
        <v>62</v>
      </c>
      <c r="LA255" s="561">
        <v>0</v>
      </c>
      <c r="LB255" s="561">
        <v>-3944</v>
      </c>
      <c r="LC255" s="561">
        <v>0</v>
      </c>
      <c r="LD255" s="561">
        <v>-4426</v>
      </c>
      <c r="LE255" s="561">
        <v>-316</v>
      </c>
      <c r="LF255" s="561">
        <v>0</v>
      </c>
      <c r="LG255" s="561">
        <v>19489</v>
      </c>
      <c r="LH255" s="561">
        <v>0</v>
      </c>
      <c r="LI255" s="561">
        <v>0</v>
      </c>
      <c r="LJ255" s="561">
        <v>0</v>
      </c>
      <c r="LK255" s="561">
        <v>0</v>
      </c>
      <c r="LL255" s="561">
        <v>3044</v>
      </c>
      <c r="LM255" s="561">
        <v>2000</v>
      </c>
      <c r="LN255" s="561">
        <v>0</v>
      </c>
      <c r="LO255" s="561">
        <v>0</v>
      </c>
      <c r="LP255" s="561">
        <v>0</v>
      </c>
      <c r="LQ255" s="561">
        <v>0</v>
      </c>
      <c r="LR255" s="561">
        <v>3106</v>
      </c>
      <c r="LS255" s="561">
        <v>2000</v>
      </c>
      <c r="LT255" s="561">
        <v>0</v>
      </c>
      <c r="LU255" s="561">
        <v>1923</v>
      </c>
      <c r="LV255" s="561">
        <v>0</v>
      </c>
      <c r="LW255" s="561">
        <v>45</v>
      </c>
      <c r="LX255" s="561">
        <v>0</v>
      </c>
      <c r="LY255" s="561">
        <v>0</v>
      </c>
      <c r="LZ255" s="561">
        <v>1968</v>
      </c>
      <c r="MA255" s="561">
        <v>0</v>
      </c>
      <c r="MB255" s="561">
        <v>0</v>
      </c>
      <c r="MC255" s="561">
        <v>0</v>
      </c>
      <c r="MD255" s="561">
        <v>0</v>
      </c>
      <c r="ME255" s="561">
        <v>0</v>
      </c>
      <c r="MF255" s="561">
        <v>0</v>
      </c>
      <c r="MG255" s="561">
        <v>0</v>
      </c>
      <c r="MH255" s="561">
        <v>0</v>
      </c>
      <c r="MI255" s="561">
        <v>0</v>
      </c>
      <c r="MJ255" s="561">
        <v>0</v>
      </c>
      <c r="MK255" s="561">
        <v>0</v>
      </c>
      <c r="ML255" s="561">
        <v>0</v>
      </c>
      <c r="MM255" s="561">
        <v>3106</v>
      </c>
      <c r="MN255" s="561">
        <v>0</v>
      </c>
      <c r="MO255" s="561">
        <v>0</v>
      </c>
      <c r="MP255" s="561">
        <v>0</v>
      </c>
      <c r="MQ255" s="561">
        <v>0</v>
      </c>
      <c r="MR255" s="561">
        <v>0</v>
      </c>
      <c r="MS255" s="561">
        <v>0</v>
      </c>
      <c r="MT255" s="561">
        <v>0</v>
      </c>
      <c r="MU255" s="561">
        <v>0</v>
      </c>
      <c r="MV255" s="561">
        <v>0</v>
      </c>
      <c r="MW255" s="561">
        <v>0</v>
      </c>
      <c r="MX255" s="561">
        <v>0</v>
      </c>
      <c r="MY255" s="561">
        <v>0</v>
      </c>
      <c r="MZ255" s="561">
        <v>0</v>
      </c>
      <c r="NA255" s="561">
        <v>34536</v>
      </c>
      <c r="NB255" s="561">
        <v>0</v>
      </c>
      <c r="NC255" s="561">
        <v>0</v>
      </c>
      <c r="ND255" s="561">
        <v>34536</v>
      </c>
      <c r="NE255" s="561">
        <v>0</v>
      </c>
      <c r="NF255" s="561">
        <v>0</v>
      </c>
      <c r="NG255" s="561">
        <v>0</v>
      </c>
      <c r="NH255" s="561">
        <v>0</v>
      </c>
      <c r="NI255" s="561">
        <v>0</v>
      </c>
      <c r="NJ255" s="561">
        <v>0</v>
      </c>
      <c r="NK255" s="561">
        <v>0</v>
      </c>
      <c r="NL255" s="561">
        <v>0</v>
      </c>
      <c r="NM255" s="561">
        <v>0</v>
      </c>
      <c r="NN255" s="561">
        <v>0</v>
      </c>
      <c r="NO255" s="561">
        <v>0</v>
      </c>
      <c r="NP255" s="561">
        <v>0</v>
      </c>
      <c r="NQ255" s="561">
        <v>0</v>
      </c>
      <c r="NR255" s="561">
        <v>0</v>
      </c>
      <c r="NS255" s="561">
        <v>0</v>
      </c>
      <c r="NT255" s="561">
        <v>0</v>
      </c>
      <c r="NU255" s="561">
        <v>0</v>
      </c>
      <c r="NV255" s="561">
        <v>0</v>
      </c>
      <c r="NW255" s="561">
        <v>0</v>
      </c>
      <c r="NX255" s="561">
        <v>0</v>
      </c>
      <c r="NY255" s="561">
        <v>0</v>
      </c>
      <c r="NZ255" s="561">
        <v>0</v>
      </c>
      <c r="OA255" s="561">
        <v>0</v>
      </c>
      <c r="OB255" s="561">
        <v>0</v>
      </c>
      <c r="OC255" s="561">
        <v>0</v>
      </c>
      <c r="OD255" s="561">
        <v>0</v>
      </c>
      <c r="OE255" s="561">
        <v>0</v>
      </c>
      <c r="OF255" s="561">
        <v>0</v>
      </c>
      <c r="OG255" s="561">
        <v>0</v>
      </c>
      <c r="OH255" s="561">
        <v>0</v>
      </c>
      <c r="OI255" s="561">
        <v>0</v>
      </c>
      <c r="OJ255" s="561">
        <v>0</v>
      </c>
      <c r="OK255" s="561">
        <v>0</v>
      </c>
      <c r="OL255" s="561">
        <v>0</v>
      </c>
      <c r="OM255" s="561">
        <v>0</v>
      </c>
      <c r="ON255" s="561">
        <v>0</v>
      </c>
      <c r="OO255" s="561">
        <v>0</v>
      </c>
      <c r="OP255" s="561">
        <v>0</v>
      </c>
      <c r="OQ255" s="561">
        <v>0</v>
      </c>
      <c r="OR255" s="561">
        <v>0</v>
      </c>
      <c r="OS255" s="561">
        <v>0</v>
      </c>
      <c r="OT255" s="561">
        <v>0</v>
      </c>
      <c r="OU255" s="561">
        <v>0</v>
      </c>
      <c r="OV255" s="561">
        <v>0</v>
      </c>
      <c r="OW255" s="561">
        <v>0</v>
      </c>
      <c r="OX255" s="561">
        <v>0</v>
      </c>
      <c r="OY255" s="561">
        <v>0</v>
      </c>
      <c r="OZ255" s="561">
        <v>0</v>
      </c>
      <c r="PA255" s="561">
        <v>0</v>
      </c>
      <c r="PB255" s="561">
        <v>0</v>
      </c>
      <c r="PC255" s="561">
        <v>0</v>
      </c>
      <c r="PD255" s="561">
        <v>0</v>
      </c>
      <c r="PE255" s="561">
        <v>0</v>
      </c>
      <c r="PF255" s="561">
        <v>0</v>
      </c>
      <c r="PG255" s="561">
        <v>0</v>
      </c>
      <c r="PH255" s="561">
        <v>0</v>
      </c>
      <c r="PI255" s="561">
        <v>0</v>
      </c>
      <c r="PJ255" s="561">
        <v>0</v>
      </c>
    </row>
    <row r="256" spans="1:426" ht="14" x14ac:dyDescent="0.3">
      <c r="A256" t="s">
        <v>3214</v>
      </c>
      <c r="B256" t="s">
        <v>3215</v>
      </c>
      <c r="C256" t="s">
        <v>3216</v>
      </c>
      <c r="E256" t="s">
        <v>2466</v>
      </c>
      <c r="F256" s="561">
        <v>0</v>
      </c>
      <c r="G256" s="561">
        <v>0</v>
      </c>
      <c r="H256" s="561">
        <v>0</v>
      </c>
      <c r="I256" s="561">
        <v>0</v>
      </c>
      <c r="J256" s="561">
        <v>0</v>
      </c>
      <c r="K256" s="561">
        <v>0</v>
      </c>
      <c r="L256" s="561">
        <v>0</v>
      </c>
      <c r="M256" s="561">
        <v>0</v>
      </c>
      <c r="N256" s="561">
        <v>0</v>
      </c>
      <c r="O256" s="561">
        <v>0</v>
      </c>
      <c r="P256" s="561">
        <v>0</v>
      </c>
      <c r="Q256" s="561">
        <v>0</v>
      </c>
      <c r="R256" s="561">
        <v>0</v>
      </c>
      <c r="S256" s="561">
        <v>0</v>
      </c>
      <c r="T256" s="561">
        <v>0</v>
      </c>
      <c r="U256" s="561">
        <v>0</v>
      </c>
      <c r="V256" s="561">
        <v>0</v>
      </c>
      <c r="W256" s="561">
        <v>0</v>
      </c>
      <c r="X256" s="561">
        <v>0</v>
      </c>
      <c r="Y256" s="561">
        <v>0</v>
      </c>
      <c r="Z256" s="561">
        <v>0</v>
      </c>
      <c r="AA256" s="561">
        <v>0</v>
      </c>
      <c r="AB256" s="561">
        <v>0</v>
      </c>
      <c r="AC256" s="561">
        <v>0</v>
      </c>
      <c r="AD256" s="561">
        <v>0</v>
      </c>
      <c r="AE256" s="561">
        <v>0</v>
      </c>
      <c r="AF256" s="561">
        <v>0</v>
      </c>
      <c r="AG256" s="561">
        <v>0</v>
      </c>
      <c r="AH256" s="561">
        <v>0</v>
      </c>
      <c r="AI256" s="561">
        <v>0</v>
      </c>
      <c r="AJ256" s="561">
        <v>0</v>
      </c>
      <c r="AK256" s="561">
        <v>0</v>
      </c>
      <c r="AL256" s="561">
        <v>0</v>
      </c>
      <c r="AM256" s="561">
        <v>0</v>
      </c>
      <c r="AN256" s="561">
        <v>0</v>
      </c>
      <c r="AO256" s="561">
        <v>0</v>
      </c>
      <c r="AP256" s="561">
        <v>0</v>
      </c>
      <c r="AQ256" s="561">
        <v>0</v>
      </c>
      <c r="AR256" s="561">
        <v>0</v>
      </c>
      <c r="AS256" s="561">
        <v>0</v>
      </c>
      <c r="AT256" s="561">
        <v>0</v>
      </c>
      <c r="AU256" s="561">
        <v>0</v>
      </c>
      <c r="AV256" s="561">
        <v>0</v>
      </c>
      <c r="AW256" s="561">
        <v>0</v>
      </c>
      <c r="AX256" s="561">
        <v>0</v>
      </c>
      <c r="AY256" s="561">
        <v>0</v>
      </c>
      <c r="AZ256" s="561">
        <v>0</v>
      </c>
      <c r="BA256" s="561">
        <v>0</v>
      </c>
      <c r="BB256" s="561">
        <v>0</v>
      </c>
      <c r="BC256" s="561">
        <v>0</v>
      </c>
      <c r="BD256" s="561">
        <v>0</v>
      </c>
      <c r="BE256" s="561">
        <v>0</v>
      </c>
      <c r="BF256" s="561">
        <v>0</v>
      </c>
      <c r="BG256" s="561">
        <v>0</v>
      </c>
      <c r="BH256" s="561">
        <v>0</v>
      </c>
      <c r="BI256" s="561">
        <v>0</v>
      </c>
      <c r="BJ256" s="561">
        <v>0</v>
      </c>
      <c r="BK256" s="561">
        <v>0</v>
      </c>
      <c r="BL256" s="561">
        <v>0</v>
      </c>
      <c r="BM256" s="561">
        <v>0</v>
      </c>
      <c r="BN256" s="561">
        <v>0</v>
      </c>
      <c r="BO256" s="561">
        <v>0</v>
      </c>
      <c r="BP256" s="561">
        <v>0</v>
      </c>
      <c r="BQ256" s="561">
        <v>0</v>
      </c>
      <c r="BR256" s="561">
        <v>0</v>
      </c>
      <c r="BS256" s="561">
        <v>0</v>
      </c>
      <c r="BT256" s="561">
        <v>0</v>
      </c>
      <c r="BU256" s="561">
        <v>0</v>
      </c>
      <c r="BV256" s="561">
        <v>0</v>
      </c>
      <c r="BW256" s="561">
        <v>0</v>
      </c>
      <c r="BX256" s="561">
        <v>0</v>
      </c>
      <c r="BY256" s="561">
        <v>0</v>
      </c>
      <c r="BZ256" s="561">
        <v>0</v>
      </c>
      <c r="CA256" s="561">
        <v>0</v>
      </c>
      <c r="CB256" s="561">
        <v>0</v>
      </c>
      <c r="CC256" s="561">
        <v>0</v>
      </c>
      <c r="CD256" s="561">
        <v>0</v>
      </c>
      <c r="CE256" s="561">
        <v>0</v>
      </c>
      <c r="CF256" s="561">
        <v>0</v>
      </c>
      <c r="CG256" s="561">
        <v>0</v>
      </c>
      <c r="CH256" s="561">
        <v>0</v>
      </c>
      <c r="CI256" s="561">
        <v>0</v>
      </c>
      <c r="CJ256" s="561">
        <v>0</v>
      </c>
      <c r="CK256" s="561">
        <v>0</v>
      </c>
      <c r="CL256" s="561">
        <v>0</v>
      </c>
      <c r="CM256" s="561">
        <v>0</v>
      </c>
      <c r="CN256" s="561">
        <v>0</v>
      </c>
      <c r="CO256" s="561">
        <v>0</v>
      </c>
      <c r="CP256" s="561">
        <v>0</v>
      </c>
      <c r="CQ256" s="561">
        <v>0</v>
      </c>
      <c r="CR256" s="561">
        <v>0</v>
      </c>
      <c r="CS256" s="561">
        <v>0</v>
      </c>
      <c r="CT256" s="561">
        <v>0</v>
      </c>
      <c r="CU256" s="561">
        <v>0</v>
      </c>
      <c r="CV256" s="561">
        <v>0</v>
      </c>
      <c r="CW256" s="561">
        <v>0</v>
      </c>
      <c r="CX256" s="561">
        <v>0</v>
      </c>
      <c r="CY256" s="561">
        <v>0</v>
      </c>
      <c r="CZ256" s="561">
        <v>0</v>
      </c>
      <c r="DA256" s="561">
        <v>0</v>
      </c>
      <c r="DB256" s="561">
        <v>0</v>
      </c>
      <c r="DC256" s="561">
        <v>0</v>
      </c>
      <c r="DD256" s="561">
        <v>0</v>
      </c>
      <c r="DE256" s="561">
        <v>0</v>
      </c>
      <c r="DF256" s="561">
        <v>0</v>
      </c>
      <c r="DG256" s="561">
        <v>0</v>
      </c>
      <c r="DH256" s="561">
        <v>0</v>
      </c>
      <c r="DI256" s="561">
        <v>0</v>
      </c>
      <c r="DJ256" s="561">
        <v>0</v>
      </c>
      <c r="DK256" s="561">
        <v>0</v>
      </c>
      <c r="DL256" s="561">
        <v>0</v>
      </c>
      <c r="DM256" s="561">
        <v>0</v>
      </c>
      <c r="DN256" s="561">
        <v>0</v>
      </c>
      <c r="DO256" s="561">
        <v>0</v>
      </c>
      <c r="DP256" s="561">
        <v>0</v>
      </c>
      <c r="DQ256" s="561">
        <v>0</v>
      </c>
      <c r="DR256" s="561">
        <v>0</v>
      </c>
      <c r="DS256" s="561">
        <v>0</v>
      </c>
      <c r="DT256" s="561">
        <v>0</v>
      </c>
      <c r="DU256" s="561">
        <v>0</v>
      </c>
      <c r="DV256" s="561">
        <v>0</v>
      </c>
      <c r="DW256" s="561">
        <v>0</v>
      </c>
      <c r="DX256" s="561">
        <v>0</v>
      </c>
      <c r="DY256" s="561">
        <v>0</v>
      </c>
      <c r="DZ256" s="561">
        <v>0</v>
      </c>
      <c r="EA256" s="561">
        <v>0</v>
      </c>
      <c r="EB256" s="561">
        <v>0</v>
      </c>
      <c r="EC256" s="561">
        <v>0</v>
      </c>
      <c r="ED256" s="561">
        <v>0</v>
      </c>
      <c r="EE256" s="561">
        <v>0</v>
      </c>
      <c r="EF256" s="561">
        <v>0</v>
      </c>
      <c r="EG256" s="561">
        <v>0</v>
      </c>
      <c r="EH256" s="561">
        <v>0</v>
      </c>
      <c r="EI256" s="561">
        <v>0</v>
      </c>
      <c r="EJ256" s="561">
        <v>0</v>
      </c>
      <c r="EK256" s="561">
        <v>0</v>
      </c>
      <c r="EL256" s="561">
        <v>0</v>
      </c>
      <c r="EM256" s="561">
        <v>0</v>
      </c>
      <c r="EN256" s="561">
        <v>0</v>
      </c>
      <c r="EO256" s="561">
        <v>0</v>
      </c>
      <c r="EP256" s="561">
        <v>0</v>
      </c>
      <c r="EQ256" s="561">
        <v>0</v>
      </c>
      <c r="ER256" s="561">
        <v>0</v>
      </c>
      <c r="ES256" s="561" t="s">
        <v>4565</v>
      </c>
      <c r="ET256" s="561">
        <v>0</v>
      </c>
      <c r="EU256" s="561">
        <v>0</v>
      </c>
      <c r="EV256" s="561">
        <v>0</v>
      </c>
      <c r="EW256" s="561">
        <v>0</v>
      </c>
      <c r="EX256" s="561">
        <v>0</v>
      </c>
      <c r="EY256" s="561">
        <v>0</v>
      </c>
      <c r="EZ256" s="561">
        <v>0</v>
      </c>
      <c r="FA256" s="561">
        <v>0</v>
      </c>
      <c r="FB256" s="561">
        <v>0</v>
      </c>
      <c r="FC256" s="561">
        <v>0</v>
      </c>
      <c r="FD256" s="561">
        <v>135</v>
      </c>
      <c r="FE256" s="561">
        <v>0</v>
      </c>
      <c r="FF256" s="561">
        <v>0</v>
      </c>
      <c r="FG256" s="561">
        <v>0</v>
      </c>
      <c r="FH256" s="561">
        <v>0</v>
      </c>
      <c r="FI256" s="561">
        <v>0</v>
      </c>
      <c r="FJ256" s="561">
        <v>0</v>
      </c>
      <c r="FK256" s="561">
        <v>2126</v>
      </c>
      <c r="FL256" s="561">
        <v>0</v>
      </c>
      <c r="FM256" s="561">
        <v>1051</v>
      </c>
      <c r="FN256" s="561">
        <v>0</v>
      </c>
      <c r="FO256" s="561">
        <v>3312</v>
      </c>
      <c r="FP256" s="561">
        <v>0</v>
      </c>
      <c r="FQ256" s="561">
        <v>0</v>
      </c>
      <c r="FR256" s="561">
        <v>0</v>
      </c>
      <c r="FS256" s="561">
        <v>0</v>
      </c>
      <c r="FT256" s="561">
        <v>0</v>
      </c>
      <c r="FU256" s="561">
        <v>0</v>
      </c>
      <c r="FV256" s="561">
        <v>0</v>
      </c>
      <c r="FW256" s="561">
        <v>0</v>
      </c>
      <c r="FX256" s="561">
        <v>0</v>
      </c>
      <c r="FY256" s="561">
        <v>0</v>
      </c>
      <c r="FZ256" s="561">
        <v>0</v>
      </c>
      <c r="GA256" s="561">
        <v>0</v>
      </c>
      <c r="GB256" s="561">
        <v>0</v>
      </c>
      <c r="GC256" s="561">
        <v>0</v>
      </c>
      <c r="GD256" s="561">
        <v>0</v>
      </c>
      <c r="GE256" s="561">
        <v>0</v>
      </c>
      <c r="GF256" s="561">
        <v>0</v>
      </c>
      <c r="GG256" s="561">
        <v>0</v>
      </c>
      <c r="GH256" s="561">
        <v>0</v>
      </c>
      <c r="GI256" s="561">
        <v>0</v>
      </c>
      <c r="GJ256" s="561">
        <v>0</v>
      </c>
      <c r="GK256" s="561">
        <v>0</v>
      </c>
      <c r="GL256" s="561">
        <v>0</v>
      </c>
      <c r="GM256" s="561">
        <v>0</v>
      </c>
      <c r="GN256" s="561">
        <v>0</v>
      </c>
      <c r="GO256" s="561">
        <v>0</v>
      </c>
      <c r="GP256" s="561">
        <v>0</v>
      </c>
      <c r="GQ256" s="561">
        <v>0</v>
      </c>
      <c r="GR256" s="561">
        <v>0</v>
      </c>
      <c r="GS256" s="561">
        <v>0</v>
      </c>
      <c r="GT256" s="561">
        <v>0</v>
      </c>
      <c r="GU256" s="561">
        <v>0</v>
      </c>
      <c r="GV256" s="561">
        <v>243</v>
      </c>
      <c r="GW256" s="561">
        <v>0</v>
      </c>
      <c r="GX256" s="561">
        <v>0</v>
      </c>
      <c r="GY256" s="561">
        <v>0</v>
      </c>
      <c r="GZ256" s="561">
        <v>0</v>
      </c>
      <c r="HA256" s="561">
        <v>0</v>
      </c>
      <c r="HB256" s="561">
        <v>-63</v>
      </c>
      <c r="HC256" s="561">
        <v>0</v>
      </c>
      <c r="HD256" s="561">
        <v>180</v>
      </c>
      <c r="HE256" s="561">
        <v>0</v>
      </c>
      <c r="HF256" s="561">
        <v>3492</v>
      </c>
      <c r="HG256" s="561">
        <v>0</v>
      </c>
      <c r="HH256" s="561">
        <v>0</v>
      </c>
      <c r="HI256" s="561">
        <v>0</v>
      </c>
      <c r="HJ256" s="561">
        <v>0</v>
      </c>
      <c r="HK256" s="561">
        <v>0</v>
      </c>
      <c r="HL256" s="561">
        <v>0</v>
      </c>
      <c r="HM256" s="561">
        <v>0</v>
      </c>
      <c r="HN256" s="561">
        <v>0</v>
      </c>
      <c r="HO256" s="561">
        <v>396</v>
      </c>
      <c r="HP256" s="561">
        <v>0</v>
      </c>
      <c r="HQ256" s="561">
        <v>0</v>
      </c>
      <c r="HR256" s="561">
        <v>0</v>
      </c>
      <c r="HS256" s="561">
        <v>0</v>
      </c>
      <c r="HT256" s="561">
        <v>0</v>
      </c>
      <c r="HU256" s="561">
        <v>0</v>
      </c>
      <c r="HV256" s="561">
        <v>0</v>
      </c>
      <c r="HW256" s="561">
        <v>0</v>
      </c>
      <c r="HX256" s="561">
        <v>0</v>
      </c>
      <c r="HY256" s="561">
        <v>0</v>
      </c>
      <c r="HZ256" s="561">
        <v>0</v>
      </c>
      <c r="IA256" s="561">
        <v>0</v>
      </c>
      <c r="IB256" s="561">
        <v>0</v>
      </c>
      <c r="IC256" s="561">
        <v>0</v>
      </c>
      <c r="ID256" s="561">
        <v>0</v>
      </c>
      <c r="IE256" s="561">
        <v>0</v>
      </c>
      <c r="IF256" s="561">
        <v>0</v>
      </c>
      <c r="IG256" s="561">
        <v>0</v>
      </c>
      <c r="IH256" s="561">
        <v>-1</v>
      </c>
      <c r="II256" s="561">
        <v>395</v>
      </c>
      <c r="IJ256" s="561">
        <v>0</v>
      </c>
      <c r="IK256" s="561">
        <v>92</v>
      </c>
      <c r="IL256" s="561">
        <v>1135</v>
      </c>
      <c r="IM256" s="561">
        <v>0</v>
      </c>
      <c r="IN256" s="561">
        <v>0</v>
      </c>
      <c r="IO256" s="561">
        <v>0</v>
      </c>
      <c r="IP256" s="561">
        <v>0</v>
      </c>
      <c r="IQ256" s="561">
        <v>0</v>
      </c>
      <c r="IR256" s="561">
        <v>0</v>
      </c>
      <c r="IS256" s="561">
        <v>0</v>
      </c>
      <c r="IT256" s="561">
        <v>0</v>
      </c>
      <c r="IU256" s="561">
        <v>0</v>
      </c>
      <c r="IV256" s="561">
        <v>0</v>
      </c>
      <c r="IW256" s="561">
        <v>0</v>
      </c>
      <c r="IX256" s="561">
        <v>3312</v>
      </c>
      <c r="IY256" s="561">
        <v>0</v>
      </c>
      <c r="IZ256" s="561">
        <v>180</v>
      </c>
      <c r="JA256" s="561">
        <v>0</v>
      </c>
      <c r="JB256" s="561">
        <v>0</v>
      </c>
      <c r="JC256" s="561">
        <v>395</v>
      </c>
      <c r="JD256" s="561">
        <v>0</v>
      </c>
      <c r="JE256" s="561">
        <v>3887</v>
      </c>
      <c r="JF256" s="561">
        <v>0</v>
      </c>
      <c r="JG256" s="561">
        <v>0</v>
      </c>
      <c r="JH256" s="561">
        <v>0</v>
      </c>
      <c r="JI256" s="561">
        <v>0</v>
      </c>
      <c r="JJ256" s="561">
        <v>0</v>
      </c>
      <c r="JK256" s="561">
        <v>0</v>
      </c>
      <c r="JL256" s="561">
        <v>0</v>
      </c>
      <c r="JM256" s="561">
        <v>0</v>
      </c>
      <c r="JN256" s="561">
        <v>0</v>
      </c>
      <c r="JO256" s="561">
        <v>0</v>
      </c>
      <c r="JP256" s="561">
        <v>0</v>
      </c>
      <c r="JQ256" s="561">
        <v>0</v>
      </c>
      <c r="JR256" s="561">
        <v>0</v>
      </c>
      <c r="JS256" s="561">
        <v>0</v>
      </c>
      <c r="JT256" s="561">
        <v>6</v>
      </c>
      <c r="JU256" s="561">
        <v>0</v>
      </c>
      <c r="JV256" s="561">
        <v>3893</v>
      </c>
      <c r="JW256" s="561">
        <v>0</v>
      </c>
      <c r="JX256" s="561">
        <v>0</v>
      </c>
      <c r="JY256" s="561">
        <v>0</v>
      </c>
      <c r="JZ256" s="561">
        <v>-904</v>
      </c>
      <c r="KA256" s="561">
        <v>0</v>
      </c>
      <c r="KB256" s="561">
        <v>0</v>
      </c>
      <c r="KC256" s="561">
        <v>74</v>
      </c>
      <c r="KD256" s="561">
        <v>0</v>
      </c>
      <c r="KE256" s="561">
        <v>37</v>
      </c>
      <c r="KF256" s="561">
        <v>0</v>
      </c>
      <c r="KG256" s="561">
        <v>3100</v>
      </c>
      <c r="KH256" s="561">
        <v>-60</v>
      </c>
      <c r="KI256" s="561">
        <v>0</v>
      </c>
      <c r="KJ256" s="561">
        <v>0</v>
      </c>
      <c r="KK256" s="561">
        <v>0</v>
      </c>
      <c r="KL256" s="561">
        <v>0</v>
      </c>
      <c r="KM256" s="561">
        <v>0</v>
      </c>
      <c r="KN256" s="561">
        <v>0</v>
      </c>
      <c r="KO256" s="561">
        <v>0</v>
      </c>
      <c r="KP256" s="561">
        <v>0</v>
      </c>
      <c r="KQ256" s="561">
        <v>0</v>
      </c>
      <c r="KR256" s="561">
        <v>3040</v>
      </c>
      <c r="KS256" s="561">
        <v>0</v>
      </c>
      <c r="KT256" s="561">
        <v>-3418</v>
      </c>
      <c r="KU256" s="561">
        <v>-378</v>
      </c>
      <c r="KV256" s="561">
        <v>0</v>
      </c>
      <c r="KW256" s="561">
        <v>0</v>
      </c>
      <c r="KX256" s="561">
        <v>0</v>
      </c>
      <c r="KY256" s="561">
        <v>0</v>
      </c>
      <c r="KZ256" s="561">
        <v>399</v>
      </c>
      <c r="LA256" s="561">
        <v>-21</v>
      </c>
      <c r="LB256" s="561">
        <v>0</v>
      </c>
      <c r="LC256" s="561">
        <v>0</v>
      </c>
      <c r="LD256" s="561">
        <v>0</v>
      </c>
      <c r="LE256" s="561">
        <v>0</v>
      </c>
      <c r="LF256" s="561">
        <v>0</v>
      </c>
      <c r="LG256" s="561">
        <v>0</v>
      </c>
      <c r="LH256" s="561">
        <v>0</v>
      </c>
      <c r="LI256" s="561">
        <v>0</v>
      </c>
      <c r="LJ256" s="561">
        <v>0</v>
      </c>
      <c r="LK256" s="561">
        <v>0</v>
      </c>
      <c r="LL256" s="561">
        <v>1442</v>
      </c>
      <c r="LM256" s="561">
        <v>551</v>
      </c>
      <c r="LN256" s="561">
        <v>0</v>
      </c>
      <c r="LO256" s="561">
        <v>0</v>
      </c>
      <c r="LP256" s="561">
        <v>0</v>
      </c>
      <c r="LQ256" s="561">
        <v>0</v>
      </c>
      <c r="LR256" s="561">
        <v>1841</v>
      </c>
      <c r="LS256" s="561">
        <v>530</v>
      </c>
      <c r="LT256" s="561">
        <v>0</v>
      </c>
      <c r="LU256" s="561">
        <v>512</v>
      </c>
      <c r="LV256" s="561">
        <v>606</v>
      </c>
      <c r="LW256" s="561">
        <v>0</v>
      </c>
      <c r="LX256" s="561">
        <v>-1808</v>
      </c>
      <c r="LY256" s="561">
        <v>904</v>
      </c>
      <c r="LZ256" s="561">
        <v>214</v>
      </c>
      <c r="MA256" s="561">
        <v>0</v>
      </c>
      <c r="MB256" s="561">
        <v>0</v>
      </c>
      <c r="MC256" s="561">
        <v>0</v>
      </c>
      <c r="MD256" s="561">
        <v>0</v>
      </c>
      <c r="ME256" s="561">
        <v>0</v>
      </c>
      <c r="MF256" s="561">
        <v>0</v>
      </c>
      <c r="MG256" s="561">
        <v>0</v>
      </c>
      <c r="MH256" s="561">
        <v>0</v>
      </c>
      <c r="MI256" s="561">
        <v>0</v>
      </c>
      <c r="MJ256" s="561">
        <v>0</v>
      </c>
      <c r="MK256" s="561">
        <v>0</v>
      </c>
      <c r="ML256" s="561">
        <v>0</v>
      </c>
      <c r="MM256" s="561">
        <v>1841</v>
      </c>
      <c r="MN256" s="561">
        <v>0</v>
      </c>
      <c r="MO256" s="561">
        <v>0</v>
      </c>
      <c r="MP256" s="561">
        <v>0</v>
      </c>
      <c r="MQ256" s="561">
        <v>0</v>
      </c>
      <c r="MR256" s="561">
        <v>0</v>
      </c>
      <c r="MS256" s="561">
        <v>0</v>
      </c>
      <c r="MT256" s="561">
        <v>0</v>
      </c>
      <c r="MU256" s="561">
        <v>0</v>
      </c>
      <c r="MV256" s="561">
        <v>0</v>
      </c>
      <c r="MW256" s="561">
        <v>3312</v>
      </c>
      <c r="MX256" s="561">
        <v>0</v>
      </c>
      <c r="MY256" s="561">
        <v>180</v>
      </c>
      <c r="MZ256" s="561">
        <v>0</v>
      </c>
      <c r="NA256" s="561">
        <v>0</v>
      </c>
      <c r="NB256" s="561">
        <v>395</v>
      </c>
      <c r="NC256" s="561">
        <v>0</v>
      </c>
      <c r="ND256" s="561">
        <v>3887</v>
      </c>
      <c r="NE256" s="561">
        <v>0</v>
      </c>
      <c r="NF256" s="561">
        <v>0</v>
      </c>
      <c r="NG256" s="561">
        <v>0</v>
      </c>
      <c r="NH256" s="561">
        <v>0</v>
      </c>
      <c r="NI256" s="561">
        <v>0</v>
      </c>
      <c r="NJ256" s="561">
        <v>0</v>
      </c>
      <c r="NK256" s="561">
        <v>0</v>
      </c>
      <c r="NL256" s="561">
        <v>0</v>
      </c>
      <c r="NM256" s="561">
        <v>0</v>
      </c>
      <c r="NN256" s="561">
        <v>0</v>
      </c>
      <c r="NO256" s="561">
        <v>0</v>
      </c>
      <c r="NP256" s="561">
        <v>0</v>
      </c>
      <c r="NQ256" s="561">
        <v>0</v>
      </c>
      <c r="NR256" s="561">
        <v>0</v>
      </c>
      <c r="NS256" s="561">
        <v>0</v>
      </c>
      <c r="NT256" s="561">
        <v>0</v>
      </c>
      <c r="NU256" s="561">
        <v>0</v>
      </c>
      <c r="NV256" s="561">
        <v>0</v>
      </c>
      <c r="NW256" s="561">
        <v>0</v>
      </c>
      <c r="NX256" s="561">
        <v>0</v>
      </c>
      <c r="NY256" s="561">
        <v>0</v>
      </c>
      <c r="NZ256" s="561">
        <v>0</v>
      </c>
      <c r="OA256" s="561">
        <v>0</v>
      </c>
      <c r="OB256" s="561">
        <v>0</v>
      </c>
      <c r="OC256" s="561">
        <v>0</v>
      </c>
      <c r="OD256" s="561">
        <v>0</v>
      </c>
      <c r="OE256" s="561">
        <v>0</v>
      </c>
      <c r="OF256" s="561">
        <v>0</v>
      </c>
      <c r="OG256" s="561">
        <v>0</v>
      </c>
      <c r="OH256" s="561">
        <v>0</v>
      </c>
      <c r="OI256" s="561">
        <v>0</v>
      </c>
      <c r="OJ256" s="561">
        <v>0</v>
      </c>
      <c r="OK256" s="561">
        <v>0</v>
      </c>
      <c r="OL256" s="561">
        <v>0</v>
      </c>
      <c r="OM256" s="561">
        <v>0</v>
      </c>
      <c r="ON256" s="561">
        <v>0</v>
      </c>
      <c r="OO256" s="561">
        <v>0</v>
      </c>
      <c r="OP256" s="561">
        <v>0</v>
      </c>
      <c r="OQ256" s="561">
        <v>0</v>
      </c>
      <c r="OR256" s="561">
        <v>0</v>
      </c>
      <c r="OS256" s="561">
        <v>0</v>
      </c>
      <c r="OT256" s="561">
        <v>0</v>
      </c>
      <c r="OU256" s="561">
        <v>0</v>
      </c>
      <c r="OV256" s="561">
        <v>0</v>
      </c>
      <c r="OW256" s="561">
        <v>0</v>
      </c>
      <c r="OX256" s="561">
        <v>0</v>
      </c>
      <c r="OY256" s="561">
        <v>0</v>
      </c>
      <c r="OZ256" s="561">
        <v>0</v>
      </c>
      <c r="PA256" s="561">
        <v>0</v>
      </c>
      <c r="PB256" s="561">
        <v>0</v>
      </c>
      <c r="PC256" s="561">
        <v>0</v>
      </c>
      <c r="PD256" s="561">
        <v>0</v>
      </c>
      <c r="PE256" s="561">
        <v>0</v>
      </c>
      <c r="PF256" s="561">
        <v>0</v>
      </c>
      <c r="PG256" s="561">
        <v>0</v>
      </c>
      <c r="PH256" s="561">
        <v>0</v>
      </c>
      <c r="PI256" s="561">
        <v>0</v>
      </c>
      <c r="PJ256" s="561">
        <v>0</v>
      </c>
    </row>
    <row r="257" spans="1:426" ht="14" x14ac:dyDescent="0.3">
      <c r="A257" t="s">
        <v>3211</v>
      </c>
      <c r="B257" t="s">
        <v>3212</v>
      </c>
      <c r="C257" t="s">
        <v>4641</v>
      </c>
      <c r="E257" t="s">
        <v>385</v>
      </c>
      <c r="F257" s="561">
        <v>32995</v>
      </c>
      <c r="G257" s="561">
        <v>85153</v>
      </c>
      <c r="H257" s="561">
        <v>38876</v>
      </c>
      <c r="I257" s="561">
        <v>43628</v>
      </c>
      <c r="J257" s="561">
        <v>434</v>
      </c>
      <c r="K257" s="561">
        <v>34063</v>
      </c>
      <c r="L257" s="561">
        <v>235149</v>
      </c>
      <c r="M257" s="561">
        <v>0</v>
      </c>
      <c r="N257" s="561">
        <v>14</v>
      </c>
      <c r="O257" s="561">
        <v>135</v>
      </c>
      <c r="P257" s="561">
        <v>457</v>
      </c>
      <c r="Q257" s="561">
        <v>3579</v>
      </c>
      <c r="R257" s="561">
        <v>107</v>
      </c>
      <c r="S257" s="561">
        <v>28</v>
      </c>
      <c r="T257" s="561">
        <v>198</v>
      </c>
      <c r="U257" s="561">
        <v>5263</v>
      </c>
      <c r="V257" s="561">
        <v>3274</v>
      </c>
      <c r="W257" s="561">
        <v>0</v>
      </c>
      <c r="X257" s="561">
        <v>0</v>
      </c>
      <c r="Y257" s="561">
        <v>129</v>
      </c>
      <c r="Z257" s="561">
        <v>0</v>
      </c>
      <c r="AA257" s="561">
        <v>0</v>
      </c>
      <c r="AB257" s="561">
        <v>-1079</v>
      </c>
      <c r="AC257" s="561">
        <v>-281</v>
      </c>
      <c r="AD257" s="561">
        <v>-29</v>
      </c>
      <c r="AE257" s="561">
        <v>536</v>
      </c>
      <c r="AF257" s="561">
        <v>0</v>
      </c>
      <c r="AG257" s="561">
        <v>0</v>
      </c>
      <c r="AH257" s="561">
        <v>1276</v>
      </c>
      <c r="AI257" s="561">
        <v>0</v>
      </c>
      <c r="AJ257" s="561">
        <v>13607</v>
      </c>
      <c r="AK257" s="561">
        <v>0</v>
      </c>
      <c r="AL257" s="561">
        <v>0</v>
      </c>
      <c r="AM257" s="561">
        <v>0</v>
      </c>
      <c r="AN257" s="561">
        <v>0</v>
      </c>
      <c r="AO257" s="561">
        <v>0</v>
      </c>
      <c r="AP257" s="561">
        <v>0</v>
      </c>
      <c r="AQ257" s="561">
        <v>0</v>
      </c>
      <c r="AR257" s="561">
        <v>0</v>
      </c>
      <c r="AS257" s="561">
        <v>0</v>
      </c>
      <c r="AT257" s="561">
        <v>0</v>
      </c>
      <c r="AU257" s="561">
        <v>0</v>
      </c>
      <c r="AV257" s="561">
        <v>0</v>
      </c>
      <c r="AW257" s="561">
        <v>0</v>
      </c>
      <c r="AX257" s="561">
        <v>455</v>
      </c>
      <c r="AY257" s="561">
        <v>49858</v>
      </c>
      <c r="AZ257" s="561">
        <v>0</v>
      </c>
      <c r="BA257" s="561">
        <v>12870</v>
      </c>
      <c r="BB257" s="561">
        <v>-684</v>
      </c>
      <c r="BC257" s="561">
        <v>16136</v>
      </c>
      <c r="BD257" s="561">
        <v>0</v>
      </c>
      <c r="BE257" s="561">
        <v>112</v>
      </c>
      <c r="BF257" s="561">
        <v>78747</v>
      </c>
      <c r="BG257" s="561">
        <v>0</v>
      </c>
      <c r="BH257" s="561">
        <v>8931</v>
      </c>
      <c r="BI257" s="561">
        <v>30927</v>
      </c>
      <c r="BJ257" s="561">
        <v>45</v>
      </c>
      <c r="BK257" s="561">
        <v>154</v>
      </c>
      <c r="BL257" s="561">
        <v>899</v>
      </c>
      <c r="BM257" s="561">
        <v>26928</v>
      </c>
      <c r="BN257" s="561">
        <v>49289</v>
      </c>
      <c r="BO257" s="561">
        <v>7174</v>
      </c>
      <c r="BP257" s="561">
        <v>8363</v>
      </c>
      <c r="BQ257" s="561">
        <v>4556</v>
      </c>
      <c r="BR257" s="561">
        <v>0</v>
      </c>
      <c r="BS257" s="561">
        <v>0</v>
      </c>
      <c r="BT257" s="561">
        <v>0</v>
      </c>
      <c r="BU257" s="561">
        <v>230</v>
      </c>
      <c r="BV257" s="561">
        <v>2484</v>
      </c>
      <c r="BW257" s="561">
        <v>891</v>
      </c>
      <c r="BX257" s="561">
        <v>1201</v>
      </c>
      <c r="BY257" s="561">
        <v>6107</v>
      </c>
      <c r="BZ257" s="561">
        <v>148179</v>
      </c>
      <c r="CA257" s="561">
        <v>0</v>
      </c>
      <c r="CB257" s="561">
        <v>1017</v>
      </c>
      <c r="CC257" s="561">
        <v>950</v>
      </c>
      <c r="CD257" s="561">
        <v>493</v>
      </c>
      <c r="CE257" s="561">
        <v>237</v>
      </c>
      <c r="CF257" s="561">
        <v>22</v>
      </c>
      <c r="CG257" s="561">
        <v>254</v>
      </c>
      <c r="CH257" s="561">
        <v>123</v>
      </c>
      <c r="CI257" s="561">
        <v>45</v>
      </c>
      <c r="CJ257" s="561">
        <v>227</v>
      </c>
      <c r="CK257" s="561">
        <v>63</v>
      </c>
      <c r="CL257" s="561">
        <v>68</v>
      </c>
      <c r="CM257" s="561">
        <v>2459</v>
      </c>
      <c r="CN257" s="561">
        <v>1698</v>
      </c>
      <c r="CO257" s="561">
        <v>863</v>
      </c>
      <c r="CP257" s="561">
        <v>413</v>
      </c>
      <c r="CQ257" s="561">
        <v>428</v>
      </c>
      <c r="CR257" s="561">
        <v>715</v>
      </c>
      <c r="CS257" s="561">
        <v>74</v>
      </c>
      <c r="CT257" s="561">
        <v>571</v>
      </c>
      <c r="CU257" s="561">
        <v>3955</v>
      </c>
      <c r="CV257" s="561">
        <v>2482</v>
      </c>
      <c r="CW257" s="561">
        <v>118</v>
      </c>
      <c r="CX257" s="561">
        <v>1087</v>
      </c>
      <c r="CY257" s="561">
        <v>2577</v>
      </c>
      <c r="CZ257" s="561">
        <v>20939</v>
      </c>
      <c r="DA257" s="561">
        <v>0</v>
      </c>
      <c r="DB257" s="561">
        <v>120</v>
      </c>
      <c r="DC257" s="561">
        <v>0</v>
      </c>
      <c r="DD257" s="561">
        <v>306</v>
      </c>
      <c r="DE257" s="561">
        <v>46</v>
      </c>
      <c r="DF257" s="561">
        <v>1372</v>
      </c>
      <c r="DG257" s="561">
        <v>0</v>
      </c>
      <c r="DH257" s="561">
        <v>2644</v>
      </c>
      <c r="DI257" s="561">
        <v>452</v>
      </c>
      <c r="DJ257" s="561">
        <v>0</v>
      </c>
      <c r="DK257" s="561">
        <v>0</v>
      </c>
      <c r="DL257" s="561">
        <v>0</v>
      </c>
      <c r="DM257" s="561">
        <v>0</v>
      </c>
      <c r="DN257" s="561">
        <v>0</v>
      </c>
      <c r="DO257" s="561">
        <v>0</v>
      </c>
      <c r="DP257" s="561">
        <v>0</v>
      </c>
      <c r="DQ257" s="561">
        <v>0</v>
      </c>
      <c r="DR257" s="561">
        <v>0</v>
      </c>
      <c r="DS257" s="561">
        <v>0</v>
      </c>
      <c r="DT257" s="561">
        <v>1784</v>
      </c>
      <c r="DU257" s="561">
        <v>1784</v>
      </c>
      <c r="DV257" s="561">
        <v>0</v>
      </c>
      <c r="DW257" s="561">
        <v>0</v>
      </c>
      <c r="DX257" s="561">
        <v>0</v>
      </c>
      <c r="DY257" s="561">
        <v>1332</v>
      </c>
      <c r="DZ257" s="561">
        <v>256</v>
      </c>
      <c r="EA257" s="561">
        <v>0</v>
      </c>
      <c r="EB257" s="561">
        <v>0</v>
      </c>
      <c r="EC257" s="561">
        <v>6468</v>
      </c>
      <c r="ED257" s="561">
        <v>0</v>
      </c>
      <c r="EE257" s="561">
        <v>34152</v>
      </c>
      <c r="EF257" s="561">
        <v>307</v>
      </c>
      <c r="EG257" s="561">
        <v>3177</v>
      </c>
      <c r="EH257" s="561">
        <v>701</v>
      </c>
      <c r="EI257" s="561">
        <v>0</v>
      </c>
      <c r="EJ257" s="561">
        <v>2312</v>
      </c>
      <c r="EK257" s="561">
        <v>0</v>
      </c>
      <c r="EL257" s="561">
        <v>0</v>
      </c>
      <c r="EM257" s="561">
        <v>56</v>
      </c>
      <c r="EN257" s="561">
        <v>13611</v>
      </c>
      <c r="EO257" s="561">
        <v>7482</v>
      </c>
      <c r="EP257" s="561">
        <v>1393</v>
      </c>
      <c r="EQ257" s="561">
        <v>4061</v>
      </c>
      <c r="ER257" s="561">
        <v>4703</v>
      </c>
      <c r="ES257" s="561" t="s">
        <v>4565</v>
      </c>
      <c r="ET257" s="561">
        <v>10779</v>
      </c>
      <c r="EU257" s="561">
        <v>1002</v>
      </c>
      <c r="EV257" s="561">
        <v>7</v>
      </c>
      <c r="EW257" s="561">
        <v>0</v>
      </c>
      <c r="EX257" s="561">
        <v>0</v>
      </c>
      <c r="EY257" s="561">
        <v>201</v>
      </c>
      <c r="EZ257" s="561">
        <v>-2534</v>
      </c>
      <c r="FA257" s="561">
        <v>30146</v>
      </c>
      <c r="FB257" s="561">
        <v>801</v>
      </c>
      <c r="FC257" s="561">
        <v>579</v>
      </c>
      <c r="FD257" s="561">
        <v>17</v>
      </c>
      <c r="FE257" s="561">
        <v>653</v>
      </c>
      <c r="FF257" s="561">
        <v>89</v>
      </c>
      <c r="FG257" s="561">
        <v>0</v>
      </c>
      <c r="FH257" s="561">
        <v>0</v>
      </c>
      <c r="FI257" s="561">
        <v>924</v>
      </c>
      <c r="FJ257" s="561">
        <v>423</v>
      </c>
      <c r="FK257" s="561">
        <v>6917</v>
      </c>
      <c r="FL257" s="561">
        <v>0</v>
      </c>
      <c r="FM257" s="561">
        <v>514</v>
      </c>
      <c r="FN257" s="561">
        <v>2701</v>
      </c>
      <c r="FO257" s="561">
        <v>13618</v>
      </c>
      <c r="FP257" s="561">
        <v>0</v>
      </c>
      <c r="FQ257" s="561">
        <v>-325</v>
      </c>
      <c r="FR257" s="561">
        <v>408</v>
      </c>
      <c r="FS257" s="561">
        <v>0</v>
      </c>
      <c r="FT257" s="561">
        <v>714</v>
      </c>
      <c r="FU257" s="561">
        <v>807</v>
      </c>
      <c r="FV257" s="561">
        <v>0</v>
      </c>
      <c r="FW257" s="561">
        <v>0</v>
      </c>
      <c r="FX257" s="561">
        <v>173</v>
      </c>
      <c r="FY257" s="561">
        <v>0</v>
      </c>
      <c r="FZ257" s="561">
        <v>237</v>
      </c>
      <c r="GA257" s="561">
        <v>475</v>
      </c>
      <c r="GB257" s="561">
        <v>611</v>
      </c>
      <c r="GC257" s="561">
        <v>25</v>
      </c>
      <c r="GD257" s="561">
        <v>9</v>
      </c>
      <c r="GE257" s="561">
        <v>378</v>
      </c>
      <c r="GF257" s="561">
        <v>20</v>
      </c>
      <c r="GG257" s="561">
        <v>0</v>
      </c>
      <c r="GH257" s="561">
        <v>0</v>
      </c>
      <c r="GI257" s="561">
        <v>0</v>
      </c>
      <c r="GJ257" s="561">
        <v>342</v>
      </c>
      <c r="GK257" s="561">
        <v>0</v>
      </c>
      <c r="GL257" s="561">
        <v>5143</v>
      </c>
      <c r="GM257" s="561">
        <v>12206</v>
      </c>
      <c r="GN257" s="561">
        <v>18323</v>
      </c>
      <c r="GO257" s="561">
        <v>-3211</v>
      </c>
      <c r="GP257" s="561">
        <v>-38</v>
      </c>
      <c r="GQ257" s="561">
        <v>57</v>
      </c>
      <c r="GR257" s="561">
        <v>0</v>
      </c>
      <c r="GS257" s="561">
        <v>36354</v>
      </c>
      <c r="GT257" s="561">
        <v>0</v>
      </c>
      <c r="GU257" s="561">
        <v>298</v>
      </c>
      <c r="GV257" s="561">
        <v>-5342</v>
      </c>
      <c r="GW257" s="561">
        <v>652</v>
      </c>
      <c r="GX257" s="561">
        <v>1262</v>
      </c>
      <c r="GY257" s="561">
        <v>996</v>
      </c>
      <c r="GZ257" s="561">
        <v>1868</v>
      </c>
      <c r="HA257" s="561">
        <v>0</v>
      </c>
      <c r="HB257" s="561">
        <v>0</v>
      </c>
      <c r="HC257" s="561">
        <v>1196</v>
      </c>
      <c r="HD257" s="561">
        <v>930</v>
      </c>
      <c r="HE257" s="561">
        <v>0</v>
      </c>
      <c r="HF257" s="561">
        <v>50902</v>
      </c>
      <c r="HG257" s="561">
        <v>0</v>
      </c>
      <c r="HH257" s="561">
        <v>0</v>
      </c>
      <c r="HI257" s="561">
        <v>0</v>
      </c>
      <c r="HJ257" s="561">
        <v>1446</v>
      </c>
      <c r="HK257" s="561">
        <v>21020</v>
      </c>
      <c r="HL257" s="561">
        <v>128</v>
      </c>
      <c r="HM257" s="561">
        <v>22594</v>
      </c>
      <c r="HN257" s="561">
        <v>0</v>
      </c>
      <c r="HO257" s="561">
        <v>11036</v>
      </c>
      <c r="HP257" s="561">
        <v>3569</v>
      </c>
      <c r="HQ257" s="561">
        <v>0</v>
      </c>
      <c r="HR257" s="561">
        <v>0</v>
      </c>
      <c r="HS257" s="561">
        <v>755</v>
      </c>
      <c r="HT257" s="561">
        <v>15</v>
      </c>
      <c r="HU257" s="561">
        <v>0</v>
      </c>
      <c r="HV257" s="561">
        <v>-463</v>
      </c>
      <c r="HW257" s="561">
        <v>1124</v>
      </c>
      <c r="HX257" s="561">
        <v>16</v>
      </c>
      <c r="HY257" s="561">
        <v>128</v>
      </c>
      <c r="HZ257" s="561">
        <v>-16</v>
      </c>
      <c r="IA257" s="561">
        <v>4929</v>
      </c>
      <c r="IB257" s="561">
        <v>365</v>
      </c>
      <c r="IC257" s="561">
        <v>914</v>
      </c>
      <c r="ID257" s="561">
        <v>0</v>
      </c>
      <c r="IE257" s="561">
        <v>4518</v>
      </c>
      <c r="IF257" s="561">
        <v>0</v>
      </c>
      <c r="IG257" s="561">
        <v>367</v>
      </c>
      <c r="IH257" s="561">
        <v>0</v>
      </c>
      <c r="II257" s="561">
        <v>27257</v>
      </c>
      <c r="IJ257" s="561">
        <v>0</v>
      </c>
      <c r="IK257" s="561">
        <v>0</v>
      </c>
      <c r="IL257" s="561">
        <v>0</v>
      </c>
      <c r="IM257" s="561">
        <v>0</v>
      </c>
      <c r="IN257" s="561">
        <v>0</v>
      </c>
      <c r="IO257" s="561">
        <v>0</v>
      </c>
      <c r="IP257" s="561">
        <v>256</v>
      </c>
      <c r="IQ257" s="561">
        <v>0</v>
      </c>
      <c r="IR257" s="561">
        <v>235149</v>
      </c>
      <c r="IS257" s="561">
        <v>13607</v>
      </c>
      <c r="IT257" s="561">
        <v>78747</v>
      </c>
      <c r="IU257" s="561">
        <v>148179</v>
      </c>
      <c r="IV257" s="561">
        <v>20939</v>
      </c>
      <c r="IW257" s="561">
        <v>6468</v>
      </c>
      <c r="IX257" s="561">
        <v>13618</v>
      </c>
      <c r="IY257" s="561">
        <v>36354</v>
      </c>
      <c r="IZ257" s="561">
        <v>930</v>
      </c>
      <c r="JA257" s="561">
        <v>0</v>
      </c>
      <c r="JB257" s="561">
        <v>22594</v>
      </c>
      <c r="JC257" s="561">
        <v>27257</v>
      </c>
      <c r="JD257" s="561">
        <v>256</v>
      </c>
      <c r="JE257" s="561">
        <v>604098</v>
      </c>
      <c r="JF257" s="561">
        <v>43973</v>
      </c>
      <c r="JG257" s="561">
        <v>266</v>
      </c>
      <c r="JH257" s="561">
        <v>8783</v>
      </c>
      <c r="JI257" s="561">
        <v>0</v>
      </c>
      <c r="JJ257" s="561">
        <v>0</v>
      </c>
      <c r="JK257" s="561">
        <v>10879</v>
      </c>
      <c r="JL257" s="561">
        <v>6562</v>
      </c>
      <c r="JM257" s="561">
        <v>0</v>
      </c>
      <c r="JN257" s="561">
        <v>0</v>
      </c>
      <c r="JO257" s="561">
        <v>400</v>
      </c>
      <c r="JP257" s="561">
        <v>149</v>
      </c>
      <c r="JQ257" s="561">
        <v>41225</v>
      </c>
      <c r="JR257" s="561">
        <v>0</v>
      </c>
      <c r="JS257" s="561">
        <v>-6062</v>
      </c>
      <c r="JT257" s="561">
        <v>843</v>
      </c>
      <c r="JU257" s="561">
        <v>0</v>
      </c>
      <c r="JV257" s="561">
        <v>711116</v>
      </c>
      <c r="JW257" s="561">
        <v>789</v>
      </c>
      <c r="JX257" s="561">
        <v>15145</v>
      </c>
      <c r="JY257" s="561">
        <v>0</v>
      </c>
      <c r="JZ257" s="561">
        <v>0</v>
      </c>
      <c r="KA257" s="561">
        <v>0</v>
      </c>
      <c r="KB257" s="561">
        <v>-2129</v>
      </c>
      <c r="KC257" s="561">
        <v>33388</v>
      </c>
      <c r="KD257" s="561">
        <v>0</v>
      </c>
      <c r="KE257" s="561">
        <v>29319</v>
      </c>
      <c r="KF257" s="561">
        <v>-4709</v>
      </c>
      <c r="KG257" s="561">
        <v>782919</v>
      </c>
      <c r="KH257" s="561">
        <v>-27813</v>
      </c>
      <c r="KI257" s="561">
        <v>0</v>
      </c>
      <c r="KJ257" s="561">
        <v>249</v>
      </c>
      <c r="KK257" s="561">
        <v>0</v>
      </c>
      <c r="KL257" s="561">
        <v>-56479</v>
      </c>
      <c r="KM257" s="561">
        <v>0</v>
      </c>
      <c r="KN257" s="561">
        <v>0</v>
      </c>
      <c r="KO257" s="561">
        <v>0</v>
      </c>
      <c r="KP257" s="561">
        <v>0</v>
      </c>
      <c r="KQ257" s="561">
        <v>-8053</v>
      </c>
      <c r="KR257" s="561">
        <v>690823</v>
      </c>
      <c r="KS257" s="561">
        <v>-640</v>
      </c>
      <c r="KT257" s="561">
        <v>-295207</v>
      </c>
      <c r="KU257" s="561">
        <v>394976</v>
      </c>
      <c r="KV257" s="561">
        <v>0</v>
      </c>
      <c r="KW257" s="561">
        <v>-2138</v>
      </c>
      <c r="KX257" s="561">
        <v>-1159</v>
      </c>
      <c r="KY257" s="561">
        <v>157</v>
      </c>
      <c r="KZ257" s="561">
        <v>-22242</v>
      </c>
      <c r="LA257" s="561">
        <v>0</v>
      </c>
      <c r="LB257" s="561">
        <v>-14020</v>
      </c>
      <c r="LC257" s="561">
        <v>0</v>
      </c>
      <c r="LD257" s="561">
        <v>-108833</v>
      </c>
      <c r="LE257" s="561">
        <v>-4149</v>
      </c>
      <c r="LF257" s="561">
        <v>1240</v>
      </c>
      <c r="LG257" s="561">
        <v>243832</v>
      </c>
      <c r="LH257" s="561">
        <v>7791</v>
      </c>
      <c r="LI257" s="561">
        <v>0</v>
      </c>
      <c r="LJ257" s="561">
        <v>1159</v>
      </c>
      <c r="LK257" s="561">
        <v>3674</v>
      </c>
      <c r="LL257" s="561">
        <v>153372</v>
      </c>
      <c r="LM257" s="561">
        <v>51310</v>
      </c>
      <c r="LN257" s="561">
        <v>5653</v>
      </c>
      <c r="LO257" s="561">
        <v>-8053</v>
      </c>
      <c r="LP257" s="561">
        <v>0</v>
      </c>
      <c r="LQ257" s="561">
        <v>3831</v>
      </c>
      <c r="LR257" s="561">
        <v>131130</v>
      </c>
      <c r="LS257" s="561">
        <v>51310</v>
      </c>
      <c r="LT257" s="561">
        <v>0</v>
      </c>
      <c r="LU257" s="561">
        <v>51619</v>
      </c>
      <c r="LV257" s="561">
        <v>0</v>
      </c>
      <c r="LW257" s="561">
        <v>37514</v>
      </c>
      <c r="LX257" s="561">
        <v>-68338</v>
      </c>
      <c r="LY257" s="561">
        <v>98121</v>
      </c>
      <c r="LZ257" s="561">
        <v>113821</v>
      </c>
      <c r="MA257" s="561">
        <v>0</v>
      </c>
      <c r="MB257" s="561">
        <v>0</v>
      </c>
      <c r="MC257" s="561">
        <v>40705</v>
      </c>
      <c r="MD257" s="561">
        <v>43239</v>
      </c>
      <c r="ME257" s="561">
        <v>-2534</v>
      </c>
      <c r="MF257" s="561">
        <v>30146</v>
      </c>
      <c r="MG257" s="561">
        <v>27612</v>
      </c>
      <c r="MH257" s="561">
        <v>11823</v>
      </c>
      <c r="MI257" s="561">
        <v>16002</v>
      </c>
      <c r="MJ257" s="561">
        <v>27825</v>
      </c>
      <c r="MK257" s="561">
        <v>0</v>
      </c>
      <c r="ML257" s="561">
        <v>0</v>
      </c>
      <c r="MM257" s="561">
        <v>101344</v>
      </c>
      <c r="MN257" s="561">
        <v>13358</v>
      </c>
      <c r="MO257" s="561">
        <v>0</v>
      </c>
      <c r="MP257" s="561">
        <v>16428</v>
      </c>
      <c r="MQ257" s="561">
        <v>235149</v>
      </c>
      <c r="MR257" s="561">
        <v>13607</v>
      </c>
      <c r="MS257" s="561">
        <v>78747</v>
      </c>
      <c r="MT257" s="561">
        <v>148179</v>
      </c>
      <c r="MU257" s="561">
        <v>20939</v>
      </c>
      <c r="MV257" s="561">
        <v>6468</v>
      </c>
      <c r="MW257" s="561">
        <v>13618</v>
      </c>
      <c r="MX257" s="561">
        <v>36354</v>
      </c>
      <c r="MY257" s="561">
        <v>930</v>
      </c>
      <c r="MZ257" s="561">
        <v>0</v>
      </c>
      <c r="NA257" s="561">
        <v>22594</v>
      </c>
      <c r="NB257" s="561">
        <v>27257</v>
      </c>
      <c r="NC257" s="561">
        <v>256</v>
      </c>
      <c r="ND257" s="561">
        <v>604098</v>
      </c>
      <c r="NE257" s="561">
        <v>0</v>
      </c>
      <c r="NF257" s="561">
        <v>0</v>
      </c>
      <c r="NG257" s="561">
        <v>0</v>
      </c>
      <c r="NH257" s="561">
        <v>0</v>
      </c>
      <c r="NI257" s="561">
        <v>0</v>
      </c>
      <c r="NJ257" s="561">
        <v>0</v>
      </c>
      <c r="NK257" s="561">
        <v>0</v>
      </c>
      <c r="NL257" s="561">
        <v>0</v>
      </c>
      <c r="NM257" s="561">
        <v>150</v>
      </c>
      <c r="NN257" s="561">
        <v>0</v>
      </c>
      <c r="NO257" s="561">
        <v>0</v>
      </c>
      <c r="NP257" s="561">
        <v>0</v>
      </c>
      <c r="NQ257" s="561">
        <v>0</v>
      </c>
      <c r="NR257" s="561">
        <v>0</v>
      </c>
      <c r="NS257" s="561">
        <v>0</v>
      </c>
      <c r="NT257" s="561">
        <v>-1</v>
      </c>
      <c r="NU257" s="561">
        <v>10</v>
      </c>
      <c r="NV257" s="561">
        <v>0</v>
      </c>
      <c r="NW257" s="561">
        <v>149</v>
      </c>
      <c r="NX257" s="561">
        <v>0</v>
      </c>
      <c r="NY257" s="561">
        <v>149</v>
      </c>
      <c r="NZ257" s="561">
        <v>0</v>
      </c>
      <c r="OA257" s="561">
        <v>626</v>
      </c>
      <c r="OB257" s="561">
        <v>0</v>
      </c>
      <c r="OC257" s="561">
        <v>0</v>
      </c>
      <c r="OD257" s="561">
        <v>0</v>
      </c>
      <c r="OE257" s="561">
        <v>0</v>
      </c>
      <c r="OF257" s="561">
        <v>0</v>
      </c>
      <c r="OG257" s="561">
        <v>0</v>
      </c>
      <c r="OH257" s="561">
        <v>0</v>
      </c>
      <c r="OI257" s="561">
        <v>6914</v>
      </c>
      <c r="OJ257" s="561">
        <v>-10</v>
      </c>
      <c r="OK257" s="561">
        <v>7</v>
      </c>
      <c r="OL257" s="561">
        <v>0</v>
      </c>
      <c r="OM257" s="561">
        <v>-4249</v>
      </c>
      <c r="ON257" s="561">
        <v>0</v>
      </c>
      <c r="OO257" s="561">
        <v>0</v>
      </c>
      <c r="OP257" s="561">
        <v>0</v>
      </c>
      <c r="OQ257" s="561">
        <v>2057</v>
      </c>
      <c r="OR257" s="561">
        <v>11521</v>
      </c>
      <c r="OS257" s="561">
        <v>10562</v>
      </c>
      <c r="OT257" s="561">
        <v>3342</v>
      </c>
      <c r="OU257" s="561">
        <v>4393</v>
      </c>
      <c r="OV257" s="561">
        <v>31470</v>
      </c>
      <c r="OW257" s="561">
        <v>6062</v>
      </c>
      <c r="OX257" s="561">
        <v>41225</v>
      </c>
      <c r="OY257" s="561">
        <v>0</v>
      </c>
      <c r="OZ257" s="561">
        <v>0</v>
      </c>
      <c r="PA257" s="561">
        <v>0</v>
      </c>
      <c r="PB257" s="561">
        <v>0</v>
      </c>
      <c r="PC257" s="561">
        <v>0</v>
      </c>
      <c r="PD257" s="561">
        <v>0</v>
      </c>
      <c r="PE257" s="561">
        <v>2093</v>
      </c>
      <c r="PF257" s="561">
        <v>0</v>
      </c>
      <c r="PG257" s="561">
        <v>1254</v>
      </c>
      <c r="PH257" s="561">
        <v>0</v>
      </c>
      <c r="PI257" s="561">
        <v>2715</v>
      </c>
      <c r="PJ257" s="561">
        <v>6062</v>
      </c>
    </row>
    <row r="258" spans="1:426" ht="14" x14ac:dyDescent="0.3">
      <c r="A258" t="s">
        <v>3217</v>
      </c>
      <c r="B258" t="s">
        <v>3218</v>
      </c>
      <c r="C258" t="s">
        <v>3219</v>
      </c>
      <c r="E258" t="s">
        <v>2466</v>
      </c>
      <c r="F258" s="561">
        <v>0</v>
      </c>
      <c r="G258" s="561">
        <v>0</v>
      </c>
      <c r="H258" s="561">
        <v>0</v>
      </c>
      <c r="I258" s="561">
        <v>0</v>
      </c>
      <c r="J258" s="561">
        <v>0</v>
      </c>
      <c r="K258" s="561">
        <v>0</v>
      </c>
      <c r="L258" s="561">
        <v>0</v>
      </c>
      <c r="M258" s="561">
        <v>0</v>
      </c>
      <c r="N258" s="561">
        <v>0</v>
      </c>
      <c r="O258" s="561">
        <v>0</v>
      </c>
      <c r="P258" s="561">
        <v>0</v>
      </c>
      <c r="Q258" s="561">
        <v>0</v>
      </c>
      <c r="R258" s="561">
        <v>0</v>
      </c>
      <c r="S258" s="561">
        <v>0</v>
      </c>
      <c r="T258" s="561">
        <v>0</v>
      </c>
      <c r="U258" s="561">
        <v>0</v>
      </c>
      <c r="V258" s="561">
        <v>0</v>
      </c>
      <c r="W258" s="561">
        <v>0</v>
      </c>
      <c r="X258" s="561">
        <v>0</v>
      </c>
      <c r="Y258" s="561">
        <v>0</v>
      </c>
      <c r="Z258" s="561">
        <v>0</v>
      </c>
      <c r="AA258" s="561">
        <v>0</v>
      </c>
      <c r="AB258" s="561">
        <v>0</v>
      </c>
      <c r="AC258" s="561">
        <v>0</v>
      </c>
      <c r="AD258" s="561">
        <v>0</v>
      </c>
      <c r="AE258" s="561">
        <v>0</v>
      </c>
      <c r="AF258" s="561">
        <v>0</v>
      </c>
      <c r="AG258" s="561">
        <v>0</v>
      </c>
      <c r="AH258" s="561">
        <v>0</v>
      </c>
      <c r="AI258" s="561">
        <v>0</v>
      </c>
      <c r="AJ258" s="561">
        <v>0</v>
      </c>
      <c r="AK258" s="561">
        <v>0</v>
      </c>
      <c r="AL258" s="561">
        <v>0</v>
      </c>
      <c r="AM258" s="561">
        <v>0</v>
      </c>
      <c r="AN258" s="561">
        <v>0</v>
      </c>
      <c r="AO258" s="561">
        <v>0</v>
      </c>
      <c r="AP258" s="561">
        <v>0</v>
      </c>
      <c r="AQ258" s="561">
        <v>0</v>
      </c>
      <c r="AR258" s="561">
        <v>0</v>
      </c>
      <c r="AS258" s="561">
        <v>0</v>
      </c>
      <c r="AT258" s="561">
        <v>0</v>
      </c>
      <c r="AU258" s="561">
        <v>0</v>
      </c>
      <c r="AV258" s="561">
        <v>0</v>
      </c>
      <c r="AW258" s="561">
        <v>0</v>
      </c>
      <c r="AX258" s="561">
        <v>0</v>
      </c>
      <c r="AY258" s="561">
        <v>0</v>
      </c>
      <c r="AZ258" s="561">
        <v>0</v>
      </c>
      <c r="BA258" s="561">
        <v>0</v>
      </c>
      <c r="BB258" s="561">
        <v>0</v>
      </c>
      <c r="BC258" s="561">
        <v>0</v>
      </c>
      <c r="BD258" s="561">
        <v>0</v>
      </c>
      <c r="BE258" s="561">
        <v>0</v>
      </c>
      <c r="BF258" s="561">
        <v>0</v>
      </c>
      <c r="BG258" s="561">
        <v>0</v>
      </c>
      <c r="BH258" s="561">
        <v>0</v>
      </c>
      <c r="BI258" s="561">
        <v>0</v>
      </c>
      <c r="BJ258" s="561">
        <v>0</v>
      </c>
      <c r="BK258" s="561">
        <v>0</v>
      </c>
      <c r="BL258" s="561">
        <v>0</v>
      </c>
      <c r="BM258" s="561">
        <v>0</v>
      </c>
      <c r="BN258" s="561">
        <v>0</v>
      </c>
      <c r="BO258" s="561">
        <v>0</v>
      </c>
      <c r="BP258" s="561">
        <v>0</v>
      </c>
      <c r="BQ258" s="561">
        <v>0</v>
      </c>
      <c r="BR258" s="561">
        <v>0</v>
      </c>
      <c r="BS258" s="561">
        <v>0</v>
      </c>
      <c r="BT258" s="561">
        <v>0</v>
      </c>
      <c r="BU258" s="561">
        <v>0</v>
      </c>
      <c r="BV258" s="561">
        <v>0</v>
      </c>
      <c r="BW258" s="561">
        <v>0</v>
      </c>
      <c r="BX258" s="561">
        <v>0</v>
      </c>
      <c r="BY258" s="561">
        <v>0</v>
      </c>
      <c r="BZ258" s="561">
        <v>0</v>
      </c>
      <c r="CA258" s="561">
        <v>0</v>
      </c>
      <c r="CB258" s="561">
        <v>0</v>
      </c>
      <c r="CC258" s="561">
        <v>0</v>
      </c>
      <c r="CD258" s="561">
        <v>0</v>
      </c>
      <c r="CE258" s="561">
        <v>0</v>
      </c>
      <c r="CF258" s="561">
        <v>0</v>
      </c>
      <c r="CG258" s="561">
        <v>0</v>
      </c>
      <c r="CH258" s="561">
        <v>0</v>
      </c>
      <c r="CI258" s="561">
        <v>0</v>
      </c>
      <c r="CJ258" s="561">
        <v>0</v>
      </c>
      <c r="CK258" s="561">
        <v>0</v>
      </c>
      <c r="CL258" s="561">
        <v>0</v>
      </c>
      <c r="CM258" s="561">
        <v>0</v>
      </c>
      <c r="CN258" s="561">
        <v>0</v>
      </c>
      <c r="CO258" s="561">
        <v>0</v>
      </c>
      <c r="CP258" s="561">
        <v>0</v>
      </c>
      <c r="CQ258" s="561">
        <v>0</v>
      </c>
      <c r="CR258" s="561">
        <v>0</v>
      </c>
      <c r="CS258" s="561">
        <v>0</v>
      </c>
      <c r="CT258" s="561">
        <v>0</v>
      </c>
      <c r="CU258" s="561">
        <v>0</v>
      </c>
      <c r="CV258" s="561">
        <v>0</v>
      </c>
      <c r="CW258" s="561">
        <v>0</v>
      </c>
      <c r="CX258" s="561">
        <v>0</v>
      </c>
      <c r="CY258" s="561">
        <v>0</v>
      </c>
      <c r="CZ258" s="561">
        <v>0</v>
      </c>
      <c r="DA258" s="561">
        <v>0</v>
      </c>
      <c r="DB258" s="561">
        <v>0</v>
      </c>
      <c r="DC258" s="561">
        <v>0</v>
      </c>
      <c r="DD258" s="561">
        <v>0</v>
      </c>
      <c r="DE258" s="561">
        <v>0</v>
      </c>
      <c r="DF258" s="561">
        <v>0</v>
      </c>
      <c r="DG258" s="561">
        <v>0</v>
      </c>
      <c r="DH258" s="561">
        <v>0</v>
      </c>
      <c r="DI258" s="561">
        <v>0</v>
      </c>
      <c r="DJ258" s="561">
        <v>0</v>
      </c>
      <c r="DK258" s="561">
        <v>0</v>
      </c>
      <c r="DL258" s="561">
        <v>0</v>
      </c>
      <c r="DM258" s="561">
        <v>0</v>
      </c>
      <c r="DN258" s="561">
        <v>0</v>
      </c>
      <c r="DO258" s="561">
        <v>0</v>
      </c>
      <c r="DP258" s="561">
        <v>0</v>
      </c>
      <c r="DQ258" s="561">
        <v>0</v>
      </c>
      <c r="DR258" s="561">
        <v>0</v>
      </c>
      <c r="DS258" s="561">
        <v>0</v>
      </c>
      <c r="DT258" s="561">
        <v>0</v>
      </c>
      <c r="DU258" s="561">
        <v>0</v>
      </c>
      <c r="DV258" s="561">
        <v>0</v>
      </c>
      <c r="DW258" s="561">
        <v>0</v>
      </c>
      <c r="DX258" s="561">
        <v>0</v>
      </c>
      <c r="DY258" s="561">
        <v>0</v>
      </c>
      <c r="DZ258" s="561">
        <v>0</v>
      </c>
      <c r="EA258" s="561">
        <v>0</v>
      </c>
      <c r="EB258" s="561">
        <v>0</v>
      </c>
      <c r="EC258" s="561">
        <v>0</v>
      </c>
      <c r="ED258" s="561">
        <v>0</v>
      </c>
      <c r="EE258" s="561">
        <v>0</v>
      </c>
      <c r="EF258" s="561">
        <v>0</v>
      </c>
      <c r="EG258" s="561">
        <v>0</v>
      </c>
      <c r="EH258" s="561">
        <v>0</v>
      </c>
      <c r="EI258" s="561">
        <v>0</v>
      </c>
      <c r="EJ258" s="561">
        <v>0</v>
      </c>
      <c r="EK258" s="561">
        <v>0</v>
      </c>
      <c r="EL258" s="561">
        <v>0</v>
      </c>
      <c r="EM258" s="561">
        <v>0</v>
      </c>
      <c r="EN258" s="561">
        <v>0</v>
      </c>
      <c r="EO258" s="561">
        <v>0</v>
      </c>
      <c r="EP258" s="561">
        <v>0</v>
      </c>
      <c r="EQ258" s="561">
        <v>0</v>
      </c>
      <c r="ER258" s="561">
        <v>0</v>
      </c>
      <c r="ES258" s="561" t="s">
        <v>4565</v>
      </c>
      <c r="ET258" s="561">
        <v>0</v>
      </c>
      <c r="EU258" s="561">
        <v>0</v>
      </c>
      <c r="EV258" s="561">
        <v>0</v>
      </c>
      <c r="EW258" s="561">
        <v>0</v>
      </c>
      <c r="EX258" s="561">
        <v>0</v>
      </c>
      <c r="EY258" s="561">
        <v>0</v>
      </c>
      <c r="EZ258" s="561">
        <v>0</v>
      </c>
      <c r="FA258" s="561">
        <v>0</v>
      </c>
      <c r="FB258" s="561">
        <v>0</v>
      </c>
      <c r="FC258" s="561">
        <v>0</v>
      </c>
      <c r="FD258" s="561">
        <v>0</v>
      </c>
      <c r="FE258" s="561">
        <v>0</v>
      </c>
      <c r="FF258" s="561">
        <v>0</v>
      </c>
      <c r="FG258" s="561">
        <v>0</v>
      </c>
      <c r="FH258" s="561">
        <v>0</v>
      </c>
      <c r="FI258" s="561">
        <v>0</v>
      </c>
      <c r="FJ258" s="561">
        <v>0</v>
      </c>
      <c r="FK258" s="561">
        <v>0</v>
      </c>
      <c r="FL258" s="561">
        <v>0</v>
      </c>
      <c r="FM258" s="561">
        <v>0</v>
      </c>
      <c r="FN258" s="561">
        <v>0</v>
      </c>
      <c r="FO258" s="561">
        <v>0</v>
      </c>
      <c r="FP258" s="561">
        <v>0</v>
      </c>
      <c r="FQ258" s="561">
        <v>0</v>
      </c>
      <c r="FR258" s="561">
        <v>0</v>
      </c>
      <c r="FS258" s="561">
        <v>0</v>
      </c>
      <c r="FT258" s="561">
        <v>0</v>
      </c>
      <c r="FU258" s="561">
        <v>0</v>
      </c>
      <c r="FV258" s="561">
        <v>0</v>
      </c>
      <c r="FW258" s="561">
        <v>0</v>
      </c>
      <c r="FX258" s="561">
        <v>0</v>
      </c>
      <c r="FY258" s="561">
        <v>0</v>
      </c>
      <c r="FZ258" s="561">
        <v>0</v>
      </c>
      <c r="GA258" s="561">
        <v>0</v>
      </c>
      <c r="GB258" s="561">
        <v>0</v>
      </c>
      <c r="GC258" s="561">
        <v>0</v>
      </c>
      <c r="GD258" s="561">
        <v>0</v>
      </c>
      <c r="GE258" s="561">
        <v>0</v>
      </c>
      <c r="GF258" s="561">
        <v>0</v>
      </c>
      <c r="GG258" s="561">
        <v>0</v>
      </c>
      <c r="GH258" s="561">
        <v>0</v>
      </c>
      <c r="GI258" s="561">
        <v>0</v>
      </c>
      <c r="GJ258" s="561">
        <v>0</v>
      </c>
      <c r="GK258" s="561">
        <v>0</v>
      </c>
      <c r="GL258" s="561">
        <v>0</v>
      </c>
      <c r="GM258" s="561">
        <v>0</v>
      </c>
      <c r="GN258" s="561">
        <v>0</v>
      </c>
      <c r="GO258" s="561">
        <v>0</v>
      </c>
      <c r="GP258" s="561">
        <v>0</v>
      </c>
      <c r="GQ258" s="561">
        <v>0</v>
      </c>
      <c r="GR258" s="561">
        <v>0</v>
      </c>
      <c r="GS258" s="561">
        <v>0</v>
      </c>
      <c r="GT258" s="561">
        <v>0</v>
      </c>
      <c r="GU258" s="561">
        <v>0</v>
      </c>
      <c r="GV258" s="561">
        <v>0</v>
      </c>
      <c r="GW258" s="561">
        <v>0</v>
      </c>
      <c r="GX258" s="561">
        <v>0</v>
      </c>
      <c r="GY258" s="561">
        <v>0</v>
      </c>
      <c r="GZ258" s="561">
        <v>0</v>
      </c>
      <c r="HA258" s="561">
        <v>0</v>
      </c>
      <c r="HB258" s="561">
        <v>0</v>
      </c>
      <c r="HC258" s="561">
        <v>0</v>
      </c>
      <c r="HD258" s="561">
        <v>0</v>
      </c>
      <c r="HE258" s="561">
        <v>0</v>
      </c>
      <c r="HF258" s="561">
        <v>0</v>
      </c>
      <c r="HG258" s="561">
        <v>0</v>
      </c>
      <c r="HH258" s="561">
        <v>391627</v>
      </c>
      <c r="HI258" s="561">
        <v>304</v>
      </c>
      <c r="HJ258" s="561">
        <v>0</v>
      </c>
      <c r="HK258" s="561">
        <v>0</v>
      </c>
      <c r="HL258" s="561">
        <v>0</v>
      </c>
      <c r="HM258" s="561">
        <v>0</v>
      </c>
      <c r="HN258" s="561">
        <v>0</v>
      </c>
      <c r="HO258" s="561">
        <v>1856</v>
      </c>
      <c r="HP258" s="561">
        <v>0</v>
      </c>
      <c r="HQ258" s="561">
        <v>0</v>
      </c>
      <c r="HR258" s="561">
        <v>0</v>
      </c>
      <c r="HS258" s="561">
        <v>0</v>
      </c>
      <c r="HT258" s="561">
        <v>0</v>
      </c>
      <c r="HU258" s="561">
        <v>0</v>
      </c>
      <c r="HV258" s="561">
        <v>0</v>
      </c>
      <c r="HW258" s="561">
        <v>0</v>
      </c>
      <c r="HX258" s="561">
        <v>0</v>
      </c>
      <c r="HY258" s="561">
        <v>0</v>
      </c>
      <c r="HZ258" s="561">
        <v>0</v>
      </c>
      <c r="IA258" s="561">
        <v>0</v>
      </c>
      <c r="IB258" s="561">
        <v>0</v>
      </c>
      <c r="IC258" s="561">
        <v>0</v>
      </c>
      <c r="ID258" s="561">
        <v>0</v>
      </c>
      <c r="IE258" s="561">
        <v>5879</v>
      </c>
      <c r="IF258" s="561">
        <v>0</v>
      </c>
      <c r="IG258" s="561">
        <v>0</v>
      </c>
      <c r="IH258" s="561">
        <v>0</v>
      </c>
      <c r="II258" s="561">
        <v>7735</v>
      </c>
      <c r="IJ258" s="561">
        <v>0</v>
      </c>
      <c r="IK258" s="561">
        <v>0</v>
      </c>
      <c r="IL258" s="561">
        <v>0</v>
      </c>
      <c r="IM258" s="561">
        <v>0</v>
      </c>
      <c r="IN258" s="561">
        <v>0</v>
      </c>
      <c r="IO258" s="561">
        <v>0</v>
      </c>
      <c r="IP258" s="561">
        <v>0</v>
      </c>
      <c r="IQ258" s="561">
        <v>0</v>
      </c>
      <c r="IR258" s="561">
        <v>0</v>
      </c>
      <c r="IS258" s="561">
        <v>0</v>
      </c>
      <c r="IT258" s="561">
        <v>0</v>
      </c>
      <c r="IU258" s="561">
        <v>0</v>
      </c>
      <c r="IV258" s="561">
        <v>0</v>
      </c>
      <c r="IW258" s="561">
        <v>0</v>
      </c>
      <c r="IX258" s="561">
        <v>0</v>
      </c>
      <c r="IY258" s="561">
        <v>0</v>
      </c>
      <c r="IZ258" s="561">
        <v>0</v>
      </c>
      <c r="JA258" s="561">
        <v>391627</v>
      </c>
      <c r="JB258" s="561">
        <v>0</v>
      </c>
      <c r="JC258" s="561">
        <v>7735</v>
      </c>
      <c r="JD258" s="561">
        <v>0</v>
      </c>
      <c r="JE258" s="561">
        <v>399362</v>
      </c>
      <c r="JF258" s="561">
        <v>0</v>
      </c>
      <c r="JG258" s="561">
        <v>0</v>
      </c>
      <c r="JH258" s="561">
        <v>0</v>
      </c>
      <c r="JI258" s="561">
        <v>0</v>
      </c>
      <c r="JJ258" s="561">
        <v>0</v>
      </c>
      <c r="JK258" s="561">
        <v>0</v>
      </c>
      <c r="JL258" s="561">
        <v>0</v>
      </c>
      <c r="JM258" s="561">
        <v>0</v>
      </c>
      <c r="JN258" s="561">
        <v>0</v>
      </c>
      <c r="JO258" s="561">
        <v>0</v>
      </c>
      <c r="JP258" s="561">
        <v>0</v>
      </c>
      <c r="JQ258" s="561">
        <v>0</v>
      </c>
      <c r="JR258" s="561">
        <v>0</v>
      </c>
      <c r="JS258" s="561">
        <v>0</v>
      </c>
      <c r="JT258" s="561">
        <v>3455</v>
      </c>
      <c r="JU258" s="561">
        <v>0</v>
      </c>
      <c r="JV258" s="561">
        <v>402817</v>
      </c>
      <c r="JW258" s="561">
        <v>0</v>
      </c>
      <c r="JX258" s="561">
        <v>41</v>
      </c>
      <c r="JY258" s="561">
        <v>0</v>
      </c>
      <c r="JZ258" s="561">
        <v>0</v>
      </c>
      <c r="KA258" s="561">
        <v>0</v>
      </c>
      <c r="KB258" s="561">
        <v>3</v>
      </c>
      <c r="KC258" s="561">
        <v>10554</v>
      </c>
      <c r="KD258" s="561">
        <v>0</v>
      </c>
      <c r="KE258" s="561">
        <v>2411</v>
      </c>
      <c r="KF258" s="561">
        <v>0</v>
      </c>
      <c r="KG258" s="561">
        <v>415826</v>
      </c>
      <c r="KH258" s="561">
        <v>-1873</v>
      </c>
      <c r="KI258" s="561">
        <v>0</v>
      </c>
      <c r="KJ258" s="561">
        <v>0</v>
      </c>
      <c r="KK258" s="561">
        <v>0</v>
      </c>
      <c r="KL258" s="561">
        <v>-1042</v>
      </c>
      <c r="KM258" s="561">
        <v>0</v>
      </c>
      <c r="KN258" s="561">
        <v>0</v>
      </c>
      <c r="KO258" s="561">
        <v>0</v>
      </c>
      <c r="KP258" s="561">
        <v>0</v>
      </c>
      <c r="KQ258" s="561">
        <v>0</v>
      </c>
      <c r="KR258" s="561">
        <v>412911</v>
      </c>
      <c r="KS258" s="561">
        <v>0</v>
      </c>
      <c r="KT258" s="561">
        <v>-51470</v>
      </c>
      <c r="KU258" s="561">
        <v>361441</v>
      </c>
      <c r="KV258" s="561">
        <v>0</v>
      </c>
      <c r="KW258" s="561">
        <v>0</v>
      </c>
      <c r="KX258" s="561">
        <v>0</v>
      </c>
      <c r="KY258" s="561">
        <v>0</v>
      </c>
      <c r="KZ258" s="561">
        <v>3981</v>
      </c>
      <c r="LA258" s="561">
        <v>1329</v>
      </c>
      <c r="LB258" s="561">
        <v>0</v>
      </c>
      <c r="LC258" s="561">
        <v>-290152</v>
      </c>
      <c r="LD258" s="561">
        <v>0</v>
      </c>
      <c r="LE258" s="561">
        <v>-1290</v>
      </c>
      <c r="LF258" s="561">
        <v>0</v>
      </c>
      <c r="LG258" s="561">
        <v>75309</v>
      </c>
      <c r="LH258" s="561">
        <v>0</v>
      </c>
      <c r="LI258" s="561">
        <v>0</v>
      </c>
      <c r="LJ258" s="561">
        <v>0</v>
      </c>
      <c r="LK258" s="561">
        <v>0</v>
      </c>
      <c r="LL258" s="561">
        <v>34209</v>
      </c>
      <c r="LM258" s="561">
        <v>11031</v>
      </c>
      <c r="LN258" s="561">
        <v>0</v>
      </c>
      <c r="LO258" s="561">
        <v>0</v>
      </c>
      <c r="LP258" s="561">
        <v>0</v>
      </c>
      <c r="LQ258" s="561">
        <v>0</v>
      </c>
      <c r="LR258" s="561">
        <v>38190</v>
      </c>
      <c r="LS258" s="561">
        <v>12360</v>
      </c>
      <c r="LT258" s="561">
        <v>0</v>
      </c>
      <c r="LU258" s="561">
        <v>12157</v>
      </c>
      <c r="LV258" s="561">
        <v>0</v>
      </c>
      <c r="LW258" s="561">
        <v>1798</v>
      </c>
      <c r="LX258" s="561">
        <v>0</v>
      </c>
      <c r="LY258" s="561">
        <v>540</v>
      </c>
      <c r="LZ258" s="561">
        <v>14495</v>
      </c>
      <c r="MA258" s="561">
        <v>0</v>
      </c>
      <c r="MB258" s="561">
        <v>0</v>
      </c>
      <c r="MC258" s="561">
        <v>0</v>
      </c>
      <c r="MD258" s="561">
        <v>0</v>
      </c>
      <c r="ME258" s="561">
        <v>0</v>
      </c>
      <c r="MF258" s="561">
        <v>0</v>
      </c>
      <c r="MG258" s="561">
        <v>0</v>
      </c>
      <c r="MH258" s="561">
        <v>0</v>
      </c>
      <c r="MI258" s="561">
        <v>0</v>
      </c>
      <c r="MJ258" s="561">
        <v>0</v>
      </c>
      <c r="MK258" s="561">
        <v>0</v>
      </c>
      <c r="ML258" s="561">
        <v>0</v>
      </c>
      <c r="MM258" s="561">
        <v>31817</v>
      </c>
      <c r="MN258" s="561">
        <v>6373</v>
      </c>
      <c r="MO258" s="561">
        <v>0</v>
      </c>
      <c r="MP258" s="561">
        <v>0</v>
      </c>
      <c r="MQ258" s="561">
        <v>0</v>
      </c>
      <c r="MR258" s="561">
        <v>0</v>
      </c>
      <c r="MS258" s="561">
        <v>0</v>
      </c>
      <c r="MT258" s="561">
        <v>0</v>
      </c>
      <c r="MU258" s="561">
        <v>0</v>
      </c>
      <c r="MV258" s="561">
        <v>0</v>
      </c>
      <c r="MW258" s="561">
        <v>0</v>
      </c>
      <c r="MX258" s="561">
        <v>0</v>
      </c>
      <c r="MY258" s="561">
        <v>0</v>
      </c>
      <c r="MZ258" s="561">
        <v>391627</v>
      </c>
      <c r="NA258" s="561">
        <v>0</v>
      </c>
      <c r="NB258" s="561">
        <v>7735</v>
      </c>
      <c r="NC258" s="561">
        <v>0</v>
      </c>
      <c r="ND258" s="561">
        <v>399362</v>
      </c>
      <c r="NE258" s="561">
        <v>0</v>
      </c>
      <c r="NF258" s="561">
        <v>0</v>
      </c>
      <c r="NG258" s="561">
        <v>0</v>
      </c>
      <c r="NH258" s="561">
        <v>0</v>
      </c>
      <c r="NI258" s="561">
        <v>0</v>
      </c>
      <c r="NJ258" s="561">
        <v>0</v>
      </c>
      <c r="NK258" s="561">
        <v>0</v>
      </c>
      <c r="NL258" s="561">
        <v>0</v>
      </c>
      <c r="NM258" s="561">
        <v>0</v>
      </c>
      <c r="NN258" s="561">
        <v>0</v>
      </c>
      <c r="NO258" s="561">
        <v>0</v>
      </c>
      <c r="NP258" s="561">
        <v>0</v>
      </c>
      <c r="NQ258" s="561">
        <v>0</v>
      </c>
      <c r="NR258" s="561">
        <v>0</v>
      </c>
      <c r="NS258" s="561">
        <v>0</v>
      </c>
      <c r="NT258" s="561">
        <v>0</v>
      </c>
      <c r="NU258" s="561">
        <v>0</v>
      </c>
      <c r="NV258" s="561">
        <v>0</v>
      </c>
      <c r="NW258" s="561">
        <v>0</v>
      </c>
      <c r="NX258" s="561">
        <v>0</v>
      </c>
      <c r="NY258" s="561">
        <v>0</v>
      </c>
      <c r="NZ258" s="561">
        <v>0</v>
      </c>
      <c r="OA258" s="561">
        <v>0</v>
      </c>
      <c r="OB258" s="561">
        <v>0</v>
      </c>
      <c r="OC258" s="561">
        <v>0</v>
      </c>
      <c r="OD258" s="561">
        <v>0</v>
      </c>
      <c r="OE258" s="561">
        <v>0</v>
      </c>
      <c r="OF258" s="561">
        <v>0</v>
      </c>
      <c r="OG258" s="561">
        <v>0</v>
      </c>
      <c r="OH258" s="561">
        <v>0</v>
      </c>
      <c r="OI258" s="561">
        <v>0</v>
      </c>
      <c r="OJ258" s="561">
        <v>0</v>
      </c>
      <c r="OK258" s="561">
        <v>0</v>
      </c>
      <c r="OL258" s="561">
        <v>0</v>
      </c>
      <c r="OM258" s="561">
        <v>0</v>
      </c>
      <c r="ON258" s="561">
        <v>0</v>
      </c>
      <c r="OO258" s="561">
        <v>0</v>
      </c>
      <c r="OP258" s="561">
        <v>0</v>
      </c>
      <c r="OQ258" s="561">
        <v>0</v>
      </c>
      <c r="OR258" s="561">
        <v>0</v>
      </c>
      <c r="OS258" s="561">
        <v>0</v>
      </c>
      <c r="OT258" s="561">
        <v>0</v>
      </c>
      <c r="OU258" s="561">
        <v>0</v>
      </c>
      <c r="OV258" s="561">
        <v>0</v>
      </c>
      <c r="OW258" s="561">
        <v>0</v>
      </c>
      <c r="OX258" s="561">
        <v>0</v>
      </c>
      <c r="OY258" s="561">
        <v>0</v>
      </c>
      <c r="OZ258" s="561">
        <v>0</v>
      </c>
      <c r="PA258" s="561">
        <v>0</v>
      </c>
      <c r="PB258" s="561">
        <v>0</v>
      </c>
      <c r="PC258" s="561">
        <v>0</v>
      </c>
      <c r="PD258" s="561">
        <v>0</v>
      </c>
      <c r="PE258" s="561">
        <v>0</v>
      </c>
      <c r="PF258" s="561">
        <v>0</v>
      </c>
      <c r="PG258" s="561">
        <v>0</v>
      </c>
      <c r="PH258" s="561">
        <v>0</v>
      </c>
      <c r="PI258" s="561">
        <v>0</v>
      </c>
      <c r="PJ258" s="561">
        <v>0</v>
      </c>
    </row>
    <row r="259" spans="1:426" ht="14" x14ac:dyDescent="0.3">
      <c r="A259" t="s">
        <v>3220</v>
      </c>
      <c r="B259" t="s">
        <v>3221</v>
      </c>
      <c r="C259" t="s">
        <v>4642</v>
      </c>
      <c r="E259" t="s">
        <v>384</v>
      </c>
      <c r="F259" s="561">
        <v>0</v>
      </c>
      <c r="G259" s="561">
        <v>0</v>
      </c>
      <c r="H259" s="561">
        <v>0</v>
      </c>
      <c r="I259" s="561">
        <v>0</v>
      </c>
      <c r="J259" s="561">
        <v>0</v>
      </c>
      <c r="K259" s="561">
        <v>0</v>
      </c>
      <c r="L259" s="561">
        <v>0</v>
      </c>
      <c r="M259" s="561">
        <v>0</v>
      </c>
      <c r="N259" s="561">
        <v>0</v>
      </c>
      <c r="O259" s="561">
        <v>112</v>
      </c>
      <c r="P259" s="561">
        <v>0</v>
      </c>
      <c r="Q259" s="561">
        <v>0</v>
      </c>
      <c r="R259" s="561">
        <v>0</v>
      </c>
      <c r="S259" s="561">
        <v>0</v>
      </c>
      <c r="T259" s="561">
        <v>-5</v>
      </c>
      <c r="U259" s="561">
        <v>0</v>
      </c>
      <c r="V259" s="561">
        <v>220</v>
      </c>
      <c r="W259" s="561">
        <v>0</v>
      </c>
      <c r="X259" s="561">
        <v>0</v>
      </c>
      <c r="Y259" s="561">
        <v>0</v>
      </c>
      <c r="Z259" s="561">
        <v>0</v>
      </c>
      <c r="AA259" s="561">
        <v>5</v>
      </c>
      <c r="AB259" s="561">
        <v>-4395</v>
      </c>
      <c r="AC259" s="561">
        <v>0</v>
      </c>
      <c r="AD259" s="561">
        <v>0</v>
      </c>
      <c r="AE259" s="561">
        <v>0</v>
      </c>
      <c r="AF259" s="561">
        <v>0</v>
      </c>
      <c r="AG259" s="561">
        <v>0</v>
      </c>
      <c r="AH259" s="561">
        <v>0</v>
      </c>
      <c r="AI259" s="561">
        <v>0</v>
      </c>
      <c r="AJ259" s="561">
        <v>-4063</v>
      </c>
      <c r="AK259" s="561">
        <v>0</v>
      </c>
      <c r="AL259" s="561">
        <v>0</v>
      </c>
      <c r="AM259" s="561">
        <v>0</v>
      </c>
      <c r="AN259" s="561">
        <v>0</v>
      </c>
      <c r="AO259" s="561">
        <v>0</v>
      </c>
      <c r="AP259" s="561">
        <v>0</v>
      </c>
      <c r="AQ259" s="561">
        <v>0</v>
      </c>
      <c r="AR259" s="561">
        <v>0</v>
      </c>
      <c r="AS259" s="561">
        <v>942</v>
      </c>
      <c r="AT259" s="561">
        <v>482</v>
      </c>
      <c r="AU259" s="561">
        <v>0</v>
      </c>
      <c r="AV259" s="561">
        <v>0</v>
      </c>
      <c r="AW259" s="561">
        <v>0</v>
      </c>
      <c r="AX259" s="561">
        <v>0</v>
      </c>
      <c r="AY259" s="561">
        <v>0</v>
      </c>
      <c r="AZ259" s="561">
        <v>0</v>
      </c>
      <c r="BA259" s="561">
        <v>0</v>
      </c>
      <c r="BB259" s="561">
        <v>0</v>
      </c>
      <c r="BC259" s="561">
        <v>0</v>
      </c>
      <c r="BD259" s="561">
        <v>0</v>
      </c>
      <c r="BE259" s="561">
        <v>0</v>
      </c>
      <c r="BF259" s="561">
        <v>0</v>
      </c>
      <c r="BG259" s="561">
        <v>0</v>
      </c>
      <c r="BH259" s="561">
        <v>0</v>
      </c>
      <c r="BI259" s="561">
        <v>0</v>
      </c>
      <c r="BJ259" s="561">
        <v>0</v>
      </c>
      <c r="BK259" s="561">
        <v>0</v>
      </c>
      <c r="BL259" s="561">
        <v>0</v>
      </c>
      <c r="BM259" s="561">
        <v>0</v>
      </c>
      <c r="BN259" s="561">
        <v>0</v>
      </c>
      <c r="BO259" s="561">
        <v>0</v>
      </c>
      <c r="BP259" s="561">
        <v>0</v>
      </c>
      <c r="BQ259" s="561">
        <v>0</v>
      </c>
      <c r="BR259" s="561">
        <v>0</v>
      </c>
      <c r="BS259" s="561">
        <v>0</v>
      </c>
      <c r="BT259" s="561">
        <v>0</v>
      </c>
      <c r="BU259" s="561">
        <v>0</v>
      </c>
      <c r="BV259" s="561">
        <v>0</v>
      </c>
      <c r="BW259" s="561">
        <v>0</v>
      </c>
      <c r="BX259" s="561">
        <v>0</v>
      </c>
      <c r="BY259" s="561">
        <v>0</v>
      </c>
      <c r="BZ259" s="561">
        <v>0</v>
      </c>
      <c r="CA259" s="561">
        <v>0</v>
      </c>
      <c r="CB259" s="561">
        <v>0</v>
      </c>
      <c r="CC259" s="561">
        <v>0</v>
      </c>
      <c r="CD259" s="561">
        <v>0</v>
      </c>
      <c r="CE259" s="561">
        <v>0</v>
      </c>
      <c r="CF259" s="561">
        <v>0</v>
      </c>
      <c r="CG259" s="561">
        <v>0</v>
      </c>
      <c r="CH259" s="561">
        <v>0</v>
      </c>
      <c r="CI259" s="561">
        <v>0</v>
      </c>
      <c r="CJ259" s="561">
        <v>0</v>
      </c>
      <c r="CK259" s="561">
        <v>0</v>
      </c>
      <c r="CL259" s="561">
        <v>0</v>
      </c>
      <c r="CM259" s="561">
        <v>0</v>
      </c>
      <c r="CN259" s="561">
        <v>0</v>
      </c>
      <c r="CO259" s="561">
        <v>0</v>
      </c>
      <c r="CP259" s="561">
        <v>0</v>
      </c>
      <c r="CQ259" s="561">
        <v>0</v>
      </c>
      <c r="CR259" s="561">
        <v>0</v>
      </c>
      <c r="CS259" s="561">
        <v>0</v>
      </c>
      <c r="CT259" s="561">
        <v>0</v>
      </c>
      <c r="CU259" s="561">
        <v>0</v>
      </c>
      <c r="CV259" s="561">
        <v>0</v>
      </c>
      <c r="CW259" s="561">
        <v>0</v>
      </c>
      <c r="CX259" s="561">
        <v>0</v>
      </c>
      <c r="CY259" s="561">
        <v>347</v>
      </c>
      <c r="CZ259" s="561">
        <v>347</v>
      </c>
      <c r="DA259" s="561">
        <v>0</v>
      </c>
      <c r="DB259" s="561">
        <v>0</v>
      </c>
      <c r="DC259" s="561">
        <v>0</v>
      </c>
      <c r="DD259" s="561">
        <v>0</v>
      </c>
      <c r="DE259" s="561">
        <v>0</v>
      </c>
      <c r="DF259" s="561">
        <v>0</v>
      </c>
      <c r="DG259" s="561">
        <v>0</v>
      </c>
      <c r="DH259" s="561">
        <v>1572</v>
      </c>
      <c r="DI259" s="561">
        <v>0</v>
      </c>
      <c r="DJ259" s="561">
        <v>0</v>
      </c>
      <c r="DK259" s="561">
        <v>456</v>
      </c>
      <c r="DL259" s="561">
        <v>0</v>
      </c>
      <c r="DM259" s="561">
        <v>19</v>
      </c>
      <c r="DN259" s="561">
        <v>0</v>
      </c>
      <c r="DO259" s="561">
        <v>0</v>
      </c>
      <c r="DP259" s="561">
        <v>0</v>
      </c>
      <c r="DQ259" s="561">
        <v>0</v>
      </c>
      <c r="DR259" s="561">
        <v>1218</v>
      </c>
      <c r="DS259" s="561">
        <v>286</v>
      </c>
      <c r="DT259" s="561">
        <v>0</v>
      </c>
      <c r="DU259" s="561">
        <v>1523</v>
      </c>
      <c r="DV259" s="561">
        <v>259</v>
      </c>
      <c r="DW259" s="561">
        <v>0</v>
      </c>
      <c r="DX259" s="561">
        <v>0</v>
      </c>
      <c r="DY259" s="561">
        <v>576</v>
      </c>
      <c r="DZ259" s="561">
        <v>-27</v>
      </c>
      <c r="EA259" s="561">
        <v>0</v>
      </c>
      <c r="EB259" s="561">
        <v>82</v>
      </c>
      <c r="EC259" s="561">
        <v>4441</v>
      </c>
      <c r="ED259" s="561">
        <v>0</v>
      </c>
      <c r="EE259" s="561">
        <v>66861</v>
      </c>
      <c r="EF259" s="561">
        <v>2227</v>
      </c>
      <c r="EG259" s="561">
        <v>10025</v>
      </c>
      <c r="EH259" s="561">
        <v>1100</v>
      </c>
      <c r="EI259" s="561">
        <v>35</v>
      </c>
      <c r="EJ259" s="561">
        <v>2457</v>
      </c>
      <c r="EK259" s="561">
        <v>338</v>
      </c>
      <c r="EL259" s="561">
        <v>0</v>
      </c>
      <c r="EM259" s="561">
        <v>-31</v>
      </c>
      <c r="EN259" s="561">
        <v>13089</v>
      </c>
      <c r="EO259" s="561">
        <v>19586</v>
      </c>
      <c r="EP259" s="561">
        <v>9348</v>
      </c>
      <c r="EQ259" s="561">
        <v>8449</v>
      </c>
      <c r="ER259" s="561">
        <v>2708</v>
      </c>
      <c r="ES259" s="561" t="s">
        <v>4565</v>
      </c>
      <c r="ET259" s="561">
        <v>21229</v>
      </c>
      <c r="EU259" s="561">
        <v>0</v>
      </c>
      <c r="EV259" s="561">
        <v>96</v>
      </c>
      <c r="EW259" s="561">
        <v>0</v>
      </c>
      <c r="EX259" s="561">
        <v>0</v>
      </c>
      <c r="EY259" s="561">
        <v>132</v>
      </c>
      <c r="EZ259" s="561">
        <v>8375</v>
      </c>
      <c r="FA259" s="561">
        <v>44386</v>
      </c>
      <c r="FB259" s="561">
        <v>0</v>
      </c>
      <c r="FC259" s="561">
        <v>0</v>
      </c>
      <c r="FD259" s="561">
        <v>341</v>
      </c>
      <c r="FE259" s="561">
        <v>0</v>
      </c>
      <c r="FF259" s="561">
        <v>308</v>
      </c>
      <c r="FG259" s="561">
        <v>360</v>
      </c>
      <c r="FH259" s="561">
        <v>0</v>
      </c>
      <c r="FI259" s="561">
        <v>184</v>
      </c>
      <c r="FJ259" s="561">
        <v>-67</v>
      </c>
      <c r="FK259" s="561">
        <v>3273</v>
      </c>
      <c r="FL259" s="561">
        <v>6</v>
      </c>
      <c r="FM259" s="561">
        <v>63</v>
      </c>
      <c r="FN259" s="561">
        <v>0</v>
      </c>
      <c r="FO259" s="561">
        <v>4468</v>
      </c>
      <c r="FP259" s="561">
        <v>0</v>
      </c>
      <c r="FQ259" s="561">
        <v>-2</v>
      </c>
      <c r="FR259" s="561">
        <v>0</v>
      </c>
      <c r="FS259" s="561">
        <v>15</v>
      </c>
      <c r="FT259" s="561">
        <v>455</v>
      </c>
      <c r="FU259" s="561">
        <v>287</v>
      </c>
      <c r="FV259" s="561">
        <v>0</v>
      </c>
      <c r="FW259" s="561">
        <v>228</v>
      </c>
      <c r="FX259" s="561">
        <v>23</v>
      </c>
      <c r="FY259" s="561">
        <v>0</v>
      </c>
      <c r="FZ259" s="561">
        <v>0</v>
      </c>
      <c r="GA259" s="561">
        <v>123</v>
      </c>
      <c r="GB259" s="561">
        <v>0</v>
      </c>
      <c r="GC259" s="561">
        <v>-93</v>
      </c>
      <c r="GD259" s="561">
        <v>0</v>
      </c>
      <c r="GE259" s="561">
        <v>984</v>
      </c>
      <c r="GF259" s="561">
        <v>74</v>
      </c>
      <c r="GG259" s="561">
        <v>0</v>
      </c>
      <c r="GH259" s="561">
        <v>0</v>
      </c>
      <c r="GI259" s="561">
        <v>0</v>
      </c>
      <c r="GJ259" s="561">
        <v>0</v>
      </c>
      <c r="GK259" s="561">
        <v>0</v>
      </c>
      <c r="GL259" s="561">
        <v>2117</v>
      </c>
      <c r="GM259" s="561">
        <v>1969</v>
      </c>
      <c r="GN259" s="561">
        <v>0</v>
      </c>
      <c r="GO259" s="561">
        <v>0</v>
      </c>
      <c r="GP259" s="561">
        <v>2975</v>
      </c>
      <c r="GQ259" s="561">
        <v>0</v>
      </c>
      <c r="GR259" s="561">
        <v>0</v>
      </c>
      <c r="GS259" s="561">
        <v>9155</v>
      </c>
      <c r="GT259" s="561">
        <v>0</v>
      </c>
      <c r="GU259" s="561">
        <v>218</v>
      </c>
      <c r="GV259" s="561">
        <v>588</v>
      </c>
      <c r="GW259" s="561">
        <v>207</v>
      </c>
      <c r="GX259" s="561">
        <v>1394</v>
      </c>
      <c r="GY259" s="561">
        <v>-4</v>
      </c>
      <c r="GZ259" s="561">
        <v>1292</v>
      </c>
      <c r="HA259" s="561">
        <v>0</v>
      </c>
      <c r="HB259" s="561">
        <v>0</v>
      </c>
      <c r="HC259" s="561">
        <v>139</v>
      </c>
      <c r="HD259" s="561">
        <v>3834</v>
      </c>
      <c r="HE259" s="561">
        <v>0</v>
      </c>
      <c r="HF259" s="561">
        <v>17457</v>
      </c>
      <c r="HG259" s="561">
        <v>0</v>
      </c>
      <c r="HH259" s="561">
        <v>0</v>
      </c>
      <c r="HI259" s="561">
        <v>0</v>
      </c>
      <c r="HJ259" s="561">
        <v>0</v>
      </c>
      <c r="HK259" s="561">
        <v>0</v>
      </c>
      <c r="HL259" s="561">
        <v>0</v>
      </c>
      <c r="HM259" s="561">
        <v>0</v>
      </c>
      <c r="HN259" s="561">
        <v>0</v>
      </c>
      <c r="HO259" s="561">
        <v>-2031</v>
      </c>
      <c r="HP259" s="561">
        <v>861</v>
      </c>
      <c r="HQ259" s="561">
        <v>0</v>
      </c>
      <c r="HR259" s="561">
        <v>0</v>
      </c>
      <c r="HS259" s="561">
        <v>1002</v>
      </c>
      <c r="HT259" s="561">
        <v>-58</v>
      </c>
      <c r="HU259" s="561">
        <v>0</v>
      </c>
      <c r="HV259" s="561">
        <v>0</v>
      </c>
      <c r="HW259" s="561">
        <v>206</v>
      </c>
      <c r="HX259" s="561">
        <v>492</v>
      </c>
      <c r="HY259" s="561">
        <v>-12</v>
      </c>
      <c r="HZ259" s="561">
        <v>-179</v>
      </c>
      <c r="IA259" s="561">
        <v>0</v>
      </c>
      <c r="IB259" s="561">
        <v>0</v>
      </c>
      <c r="IC259" s="561">
        <v>0</v>
      </c>
      <c r="ID259" s="561">
        <v>0</v>
      </c>
      <c r="IE259" s="561">
        <v>0</v>
      </c>
      <c r="IF259" s="561">
        <v>0</v>
      </c>
      <c r="IG259" s="561">
        <v>0</v>
      </c>
      <c r="IH259" s="561">
        <v>11764</v>
      </c>
      <c r="II259" s="561">
        <v>12045</v>
      </c>
      <c r="IJ259" s="561">
        <v>0</v>
      </c>
      <c r="IK259" s="561">
        <v>194</v>
      </c>
      <c r="IL259" s="561">
        <v>2017</v>
      </c>
      <c r="IM259" s="561">
        <v>0</v>
      </c>
      <c r="IN259" s="561">
        <v>6039</v>
      </c>
      <c r="IO259" s="561">
        <v>1153</v>
      </c>
      <c r="IP259" s="561">
        <v>0</v>
      </c>
      <c r="IQ259" s="561">
        <v>0</v>
      </c>
      <c r="IR259" s="561">
        <v>0</v>
      </c>
      <c r="IS259" s="561">
        <v>-4063</v>
      </c>
      <c r="IT259" s="561">
        <v>0</v>
      </c>
      <c r="IU259" s="561">
        <v>0</v>
      </c>
      <c r="IV259" s="561">
        <v>347</v>
      </c>
      <c r="IW259" s="561">
        <v>4441</v>
      </c>
      <c r="IX259" s="561">
        <v>4468</v>
      </c>
      <c r="IY259" s="561">
        <v>9155</v>
      </c>
      <c r="IZ259" s="561">
        <v>3834</v>
      </c>
      <c r="JA259" s="561">
        <v>0</v>
      </c>
      <c r="JB259" s="561">
        <v>0</v>
      </c>
      <c r="JC259" s="561">
        <v>12045</v>
      </c>
      <c r="JD259" s="561">
        <v>0</v>
      </c>
      <c r="JE259" s="561">
        <v>30227</v>
      </c>
      <c r="JF259" s="561">
        <v>23361</v>
      </c>
      <c r="JG259" s="561">
        <v>0</v>
      </c>
      <c r="JH259" s="561">
        <v>18679</v>
      </c>
      <c r="JI259" s="561">
        <v>0</v>
      </c>
      <c r="JJ259" s="561">
        <v>140</v>
      </c>
      <c r="JK259" s="561">
        <v>0</v>
      </c>
      <c r="JL259" s="561">
        <v>0</v>
      </c>
      <c r="JM259" s="561">
        <v>0</v>
      </c>
      <c r="JN259" s="561">
        <v>0</v>
      </c>
      <c r="JO259" s="561">
        <v>0</v>
      </c>
      <c r="JP259" s="561">
        <v>3766</v>
      </c>
      <c r="JQ259" s="561">
        <v>0</v>
      </c>
      <c r="JR259" s="561">
        <v>-2991</v>
      </c>
      <c r="JS259" s="561">
        <v>0</v>
      </c>
      <c r="JT259" s="561">
        <v>105</v>
      </c>
      <c r="JU259" s="561">
        <v>132</v>
      </c>
      <c r="JV259" s="561">
        <v>73419</v>
      </c>
      <c r="JW259" s="561">
        <v>0</v>
      </c>
      <c r="JX259" s="561">
        <v>9</v>
      </c>
      <c r="JY259" s="561">
        <v>0</v>
      </c>
      <c r="JZ259" s="561">
        <v>0</v>
      </c>
      <c r="KA259" s="561">
        <v>0</v>
      </c>
      <c r="KB259" s="561">
        <v>569</v>
      </c>
      <c r="KC259" s="561">
        <v>3179</v>
      </c>
      <c r="KD259" s="561">
        <v>0</v>
      </c>
      <c r="KE259" s="561">
        <v>9386</v>
      </c>
      <c r="KF259" s="561">
        <v>-6532</v>
      </c>
      <c r="KG259" s="561">
        <v>80030</v>
      </c>
      <c r="KH259" s="561">
        <v>-9795</v>
      </c>
      <c r="KI259" s="561">
        <v>0</v>
      </c>
      <c r="KJ259" s="561">
        <v>110</v>
      </c>
      <c r="KK259" s="561">
        <v>0</v>
      </c>
      <c r="KL259" s="561">
        <v>-40231</v>
      </c>
      <c r="KM259" s="561">
        <v>0</v>
      </c>
      <c r="KN259" s="561">
        <v>-1</v>
      </c>
      <c r="KO259" s="561">
        <v>0</v>
      </c>
      <c r="KP259" s="561">
        <v>0</v>
      </c>
      <c r="KQ259" s="561">
        <v>0</v>
      </c>
      <c r="KR259" s="561">
        <v>30113</v>
      </c>
      <c r="KS259" s="561">
        <v>0</v>
      </c>
      <c r="KT259" s="561">
        <v>-6103.01</v>
      </c>
      <c r="KU259" s="561">
        <v>24009.99</v>
      </c>
      <c r="KV259" s="561">
        <v>0</v>
      </c>
      <c r="KW259" s="561">
        <v>0</v>
      </c>
      <c r="KX259" s="561">
        <v>0</v>
      </c>
      <c r="KY259" s="561">
        <v>0</v>
      </c>
      <c r="KZ259" s="561">
        <v>-3220</v>
      </c>
      <c r="LA259" s="561">
        <v>0</v>
      </c>
      <c r="LB259" s="561">
        <v>-523</v>
      </c>
      <c r="LC259" s="561">
        <v>0</v>
      </c>
      <c r="LD259" s="561">
        <v>-8848</v>
      </c>
      <c r="LE259" s="561">
        <v>-65</v>
      </c>
      <c r="LF259" s="561">
        <v>170</v>
      </c>
      <c r="LG259" s="561">
        <v>11524</v>
      </c>
      <c r="LH259" s="561">
        <v>0</v>
      </c>
      <c r="LI259" s="561">
        <v>0</v>
      </c>
      <c r="LJ259" s="561">
        <v>0</v>
      </c>
      <c r="LK259" s="561">
        <v>0</v>
      </c>
      <c r="LL259" s="561">
        <v>21682</v>
      </c>
      <c r="LM259" s="561">
        <v>8249</v>
      </c>
      <c r="LN259" s="561">
        <v>0</v>
      </c>
      <c r="LO259" s="561">
        <v>0</v>
      </c>
      <c r="LP259" s="561">
        <v>0</v>
      </c>
      <c r="LQ259" s="561">
        <v>0</v>
      </c>
      <c r="LR259" s="561">
        <v>18462</v>
      </c>
      <c r="LS259" s="561">
        <v>8249</v>
      </c>
      <c r="LT259" s="561">
        <v>0</v>
      </c>
      <c r="LU259" s="561">
        <v>3858</v>
      </c>
      <c r="LV259" s="561">
        <v>2771</v>
      </c>
      <c r="LW259" s="561">
        <v>0</v>
      </c>
      <c r="LX259" s="561">
        <v>-17095</v>
      </c>
      <c r="LY259" s="561">
        <v>2810</v>
      </c>
      <c r="LZ259" s="561">
        <v>-6357</v>
      </c>
      <c r="MA259" s="561">
        <v>0</v>
      </c>
      <c r="MB259" s="561">
        <v>0</v>
      </c>
      <c r="MC259" s="561">
        <v>83012</v>
      </c>
      <c r="MD259" s="561">
        <v>74637</v>
      </c>
      <c r="ME259" s="561">
        <v>8375</v>
      </c>
      <c r="MF259" s="561">
        <v>44386</v>
      </c>
      <c r="MG259" s="561">
        <v>52761</v>
      </c>
      <c r="MH259" s="561">
        <v>5109</v>
      </c>
      <c r="MI259" s="561">
        <v>9991</v>
      </c>
      <c r="MJ259" s="561">
        <v>15100</v>
      </c>
      <c r="MK259" s="561">
        <v>0</v>
      </c>
      <c r="ML259" s="561">
        <v>0</v>
      </c>
      <c r="MM259" s="561">
        <v>6586</v>
      </c>
      <c r="MN259" s="561">
        <v>4547</v>
      </c>
      <c r="MO259" s="561">
        <v>6591</v>
      </c>
      <c r="MP259" s="561">
        <v>738</v>
      </c>
      <c r="MQ259" s="561">
        <v>0</v>
      </c>
      <c r="MR259" s="561">
        <v>-4063</v>
      </c>
      <c r="MS259" s="561">
        <v>0</v>
      </c>
      <c r="MT259" s="561">
        <v>0</v>
      </c>
      <c r="MU259" s="561">
        <v>347</v>
      </c>
      <c r="MV259" s="561">
        <v>4441</v>
      </c>
      <c r="MW259" s="561">
        <v>4468</v>
      </c>
      <c r="MX259" s="561">
        <v>9155</v>
      </c>
      <c r="MY259" s="561">
        <v>3834</v>
      </c>
      <c r="MZ259" s="561">
        <v>0</v>
      </c>
      <c r="NA259" s="561">
        <v>0</v>
      </c>
      <c r="NB259" s="561">
        <v>12045</v>
      </c>
      <c r="NC259" s="561">
        <v>0</v>
      </c>
      <c r="ND259" s="561">
        <v>30227</v>
      </c>
      <c r="NE259" s="561">
        <v>0</v>
      </c>
      <c r="NF259" s="561">
        <v>0</v>
      </c>
      <c r="NG259" s="561">
        <v>0</v>
      </c>
      <c r="NH259" s="561">
        <v>0</v>
      </c>
      <c r="NI259" s="561">
        <v>0</v>
      </c>
      <c r="NJ259" s="561">
        <v>0</v>
      </c>
      <c r="NK259" s="561">
        <v>0</v>
      </c>
      <c r="NL259" s="561">
        <v>647</v>
      </c>
      <c r="NM259" s="561">
        <v>0</v>
      </c>
      <c r="NN259" s="561">
        <v>0</v>
      </c>
      <c r="NO259" s="561">
        <v>0</v>
      </c>
      <c r="NP259" s="561">
        <v>0</v>
      </c>
      <c r="NQ259" s="561">
        <v>0</v>
      </c>
      <c r="NR259" s="561">
        <v>0</v>
      </c>
      <c r="NS259" s="561">
        <v>197</v>
      </c>
      <c r="NT259" s="561">
        <v>-38</v>
      </c>
      <c r="NU259" s="561">
        <v>0</v>
      </c>
      <c r="NV259" s="561">
        <v>43</v>
      </c>
      <c r="NW259" s="561">
        <v>775</v>
      </c>
      <c r="NX259" s="561">
        <v>2991</v>
      </c>
      <c r="NY259" s="561">
        <v>3766</v>
      </c>
      <c r="NZ259" s="561">
        <v>0</v>
      </c>
      <c r="OA259" s="561">
        <v>0</v>
      </c>
      <c r="OB259" s="561">
        <v>0</v>
      </c>
      <c r="OC259" s="561">
        <v>0</v>
      </c>
      <c r="OD259" s="561">
        <v>0</v>
      </c>
      <c r="OE259" s="561">
        <v>0</v>
      </c>
      <c r="OF259" s="561">
        <v>0</v>
      </c>
      <c r="OG259" s="561">
        <v>0</v>
      </c>
      <c r="OH259" s="561">
        <v>0</v>
      </c>
      <c r="OI259" s="561">
        <v>0</v>
      </c>
      <c r="OJ259" s="561">
        <v>0</v>
      </c>
      <c r="OK259" s="561">
        <v>0</v>
      </c>
      <c r="OL259" s="561">
        <v>0</v>
      </c>
      <c r="OM259" s="561">
        <v>0</v>
      </c>
      <c r="ON259" s="561">
        <v>0</v>
      </c>
      <c r="OO259" s="561">
        <v>0</v>
      </c>
      <c r="OP259" s="561">
        <v>0</v>
      </c>
      <c r="OQ259" s="561">
        <v>0</v>
      </c>
      <c r="OR259" s="561">
        <v>0</v>
      </c>
      <c r="OS259" s="561">
        <v>0</v>
      </c>
      <c r="OT259" s="561">
        <v>0</v>
      </c>
      <c r="OU259" s="561">
        <v>0</v>
      </c>
      <c r="OV259" s="561">
        <v>0</v>
      </c>
      <c r="OW259" s="561">
        <v>0</v>
      </c>
      <c r="OX259" s="561">
        <v>0</v>
      </c>
      <c r="OY259" s="561">
        <v>654</v>
      </c>
      <c r="OZ259" s="561">
        <v>2526</v>
      </c>
      <c r="PA259" s="561">
        <v>-189</v>
      </c>
      <c r="PB259" s="561">
        <v>0</v>
      </c>
      <c r="PC259" s="561">
        <v>0</v>
      </c>
      <c r="PD259" s="561">
        <v>2991</v>
      </c>
      <c r="PE259" s="561">
        <v>0</v>
      </c>
      <c r="PF259" s="561">
        <v>0</v>
      </c>
      <c r="PG259" s="561">
        <v>0</v>
      </c>
      <c r="PH259" s="561">
        <v>0</v>
      </c>
      <c r="PI259" s="561">
        <v>0</v>
      </c>
      <c r="PJ259" s="561">
        <v>0</v>
      </c>
    </row>
    <row r="260" spans="1:426" ht="14" x14ac:dyDescent="0.3">
      <c r="A260" t="s">
        <v>3223</v>
      </c>
      <c r="B260" t="s">
        <v>3224</v>
      </c>
      <c r="C260" t="s">
        <v>4643</v>
      </c>
      <c r="E260" t="s">
        <v>385</v>
      </c>
      <c r="F260" s="561">
        <v>26902</v>
      </c>
      <c r="G260" s="561">
        <v>87400</v>
      </c>
      <c r="H260" s="561">
        <v>2346</v>
      </c>
      <c r="I260" s="561">
        <v>41635</v>
      </c>
      <c r="J260" s="561">
        <v>2342</v>
      </c>
      <c r="K260" s="561">
        <v>19083</v>
      </c>
      <c r="L260" s="561">
        <v>179708</v>
      </c>
      <c r="M260" s="561">
        <v>3008</v>
      </c>
      <c r="N260" s="561">
        <v>0</v>
      </c>
      <c r="O260" s="561">
        <v>2424</v>
      </c>
      <c r="P260" s="561">
        <v>0</v>
      </c>
      <c r="Q260" s="561">
        <v>3417</v>
      </c>
      <c r="R260" s="561">
        <v>0</v>
      </c>
      <c r="S260" s="561">
        <v>0</v>
      </c>
      <c r="T260" s="561">
        <v>2735</v>
      </c>
      <c r="U260" s="561">
        <v>238</v>
      </c>
      <c r="V260" s="561">
        <v>2003</v>
      </c>
      <c r="W260" s="561">
        <v>0</v>
      </c>
      <c r="X260" s="561">
        <v>-687</v>
      </c>
      <c r="Y260" s="561">
        <v>-16</v>
      </c>
      <c r="Z260" s="561">
        <v>1267</v>
      </c>
      <c r="AA260" s="561">
        <v>-6183</v>
      </c>
      <c r="AB260" s="561">
        <v>-13783</v>
      </c>
      <c r="AC260" s="561">
        <v>9771</v>
      </c>
      <c r="AD260" s="561">
        <v>1291</v>
      </c>
      <c r="AE260" s="561">
        <v>1774</v>
      </c>
      <c r="AF260" s="561">
        <v>0</v>
      </c>
      <c r="AG260" s="561">
        <v>24111</v>
      </c>
      <c r="AH260" s="561">
        <v>3258</v>
      </c>
      <c r="AI260" s="561">
        <v>0</v>
      </c>
      <c r="AJ260" s="561">
        <v>31620</v>
      </c>
      <c r="AK260" s="561">
        <v>704</v>
      </c>
      <c r="AL260" s="561">
        <v>0</v>
      </c>
      <c r="AM260" s="561">
        <v>0</v>
      </c>
      <c r="AN260" s="561">
        <v>0</v>
      </c>
      <c r="AO260" s="561">
        <v>0</v>
      </c>
      <c r="AP260" s="561">
        <v>0</v>
      </c>
      <c r="AQ260" s="561">
        <v>0</v>
      </c>
      <c r="AR260" s="561">
        <v>0</v>
      </c>
      <c r="AS260" s="561">
        <v>3253</v>
      </c>
      <c r="AT260" s="561">
        <v>6708</v>
      </c>
      <c r="AU260" s="561">
        <v>0</v>
      </c>
      <c r="AV260" s="561">
        <v>0</v>
      </c>
      <c r="AW260" s="561">
        <v>0</v>
      </c>
      <c r="AX260" s="561">
        <v>603</v>
      </c>
      <c r="AY260" s="561">
        <v>88628</v>
      </c>
      <c r="AZ260" s="561">
        <v>548</v>
      </c>
      <c r="BA260" s="561">
        <v>5244</v>
      </c>
      <c r="BB260" s="561">
        <v>1737</v>
      </c>
      <c r="BC260" s="561">
        <v>31720</v>
      </c>
      <c r="BD260" s="561">
        <v>1358</v>
      </c>
      <c r="BE260" s="561">
        <v>1092</v>
      </c>
      <c r="BF260" s="561">
        <v>130930</v>
      </c>
      <c r="BG260" s="561">
        <v>4389</v>
      </c>
      <c r="BH260" s="561">
        <v>17569</v>
      </c>
      <c r="BI260" s="561">
        <v>39777</v>
      </c>
      <c r="BJ260" s="561">
        <v>976</v>
      </c>
      <c r="BK260" s="561">
        <v>337</v>
      </c>
      <c r="BL260" s="561">
        <v>2256</v>
      </c>
      <c r="BM260" s="561">
        <v>5419</v>
      </c>
      <c r="BN260" s="561">
        <v>43501</v>
      </c>
      <c r="BO260" s="561">
        <v>5576</v>
      </c>
      <c r="BP260" s="561">
        <v>15383</v>
      </c>
      <c r="BQ260" s="561">
        <v>6514</v>
      </c>
      <c r="BR260" s="561">
        <v>726</v>
      </c>
      <c r="BS260" s="561">
        <v>121</v>
      </c>
      <c r="BT260" s="561">
        <v>3689</v>
      </c>
      <c r="BU260" s="561">
        <v>737</v>
      </c>
      <c r="BV260" s="561">
        <v>628</v>
      </c>
      <c r="BW260" s="561">
        <v>8574</v>
      </c>
      <c r="BX260" s="561">
        <v>982</v>
      </c>
      <c r="BY260" s="561">
        <v>3115</v>
      </c>
      <c r="BZ260" s="561">
        <v>155880</v>
      </c>
      <c r="CA260" s="561">
        <v>2336</v>
      </c>
      <c r="CB260" s="561">
        <v>2371</v>
      </c>
      <c r="CC260" s="561">
        <v>1792</v>
      </c>
      <c r="CD260" s="561">
        <v>389</v>
      </c>
      <c r="CE260" s="561">
        <v>180</v>
      </c>
      <c r="CF260" s="561">
        <v>486</v>
      </c>
      <c r="CG260" s="561">
        <v>141</v>
      </c>
      <c r="CH260" s="561">
        <v>446</v>
      </c>
      <c r="CI260" s="561">
        <v>496</v>
      </c>
      <c r="CJ260" s="561">
        <v>346</v>
      </c>
      <c r="CK260" s="561">
        <v>999</v>
      </c>
      <c r="CL260" s="561">
        <v>801</v>
      </c>
      <c r="CM260" s="561">
        <v>6964</v>
      </c>
      <c r="CN260" s="561">
        <v>2502</v>
      </c>
      <c r="CO260" s="561">
        <v>854</v>
      </c>
      <c r="CP260" s="561">
        <v>429</v>
      </c>
      <c r="CQ260" s="561">
        <v>1012</v>
      </c>
      <c r="CR260" s="561">
        <v>1618</v>
      </c>
      <c r="CS260" s="561">
        <v>268</v>
      </c>
      <c r="CT260" s="561">
        <v>1937</v>
      </c>
      <c r="CU260" s="561">
        <v>6077</v>
      </c>
      <c r="CV260" s="561">
        <v>3929</v>
      </c>
      <c r="CW260" s="561">
        <v>356</v>
      </c>
      <c r="CX260" s="561">
        <v>1304</v>
      </c>
      <c r="CY260" s="561">
        <v>2842</v>
      </c>
      <c r="CZ260" s="561">
        <v>38539</v>
      </c>
      <c r="DA260" s="561">
        <v>0</v>
      </c>
      <c r="DB260" s="561">
        <v>0</v>
      </c>
      <c r="DC260" s="561">
        <v>0</v>
      </c>
      <c r="DD260" s="561">
        <v>0</v>
      </c>
      <c r="DE260" s="561">
        <v>0</v>
      </c>
      <c r="DF260" s="561">
        <v>0</v>
      </c>
      <c r="DG260" s="561">
        <v>0</v>
      </c>
      <c r="DH260" s="561">
        <v>383</v>
      </c>
      <c r="DI260" s="561">
        <v>0</v>
      </c>
      <c r="DJ260" s="561">
        <v>0</v>
      </c>
      <c r="DK260" s="561">
        <v>0</v>
      </c>
      <c r="DL260" s="561">
        <v>1371</v>
      </c>
      <c r="DM260" s="561">
        <v>609</v>
      </c>
      <c r="DN260" s="561">
        <v>3414</v>
      </c>
      <c r="DO260" s="561">
        <v>1523</v>
      </c>
      <c r="DP260" s="561">
        <v>4085</v>
      </c>
      <c r="DQ260" s="561">
        <v>213</v>
      </c>
      <c r="DR260" s="561">
        <v>-639</v>
      </c>
      <c r="DS260" s="561">
        <v>5535</v>
      </c>
      <c r="DT260" s="561">
        <v>2794</v>
      </c>
      <c r="DU260" s="561">
        <v>18905</v>
      </c>
      <c r="DV260" s="561">
        <v>0</v>
      </c>
      <c r="DW260" s="561">
        <v>599</v>
      </c>
      <c r="DX260" s="561">
        <v>0</v>
      </c>
      <c r="DY260" s="561">
        <v>5161</v>
      </c>
      <c r="DZ260" s="561">
        <v>0</v>
      </c>
      <c r="EA260" s="561">
        <v>150</v>
      </c>
      <c r="EB260" s="561">
        <v>0</v>
      </c>
      <c r="EC260" s="561">
        <v>25198</v>
      </c>
      <c r="ED260" s="561">
        <v>68</v>
      </c>
      <c r="EE260" s="561">
        <v>119980</v>
      </c>
      <c r="EF260" s="561">
        <v>3758</v>
      </c>
      <c r="EG260" s="561">
        <v>11485</v>
      </c>
      <c r="EH260" s="561">
        <v>3197</v>
      </c>
      <c r="EI260" s="561">
        <v>159</v>
      </c>
      <c r="EJ260" s="561">
        <v>0</v>
      </c>
      <c r="EK260" s="561">
        <v>6274</v>
      </c>
      <c r="EL260" s="561">
        <v>0</v>
      </c>
      <c r="EM260" s="561">
        <v>0</v>
      </c>
      <c r="EN260" s="561">
        <v>24820</v>
      </c>
      <c r="EO260" s="561">
        <v>36160</v>
      </c>
      <c r="EP260" s="561">
        <v>10882</v>
      </c>
      <c r="EQ260" s="561">
        <v>2750</v>
      </c>
      <c r="ER260" s="561">
        <v>0</v>
      </c>
      <c r="ES260" s="561" t="s">
        <v>4565</v>
      </c>
      <c r="ET260" s="561">
        <v>28762</v>
      </c>
      <c r="EU260" s="561">
        <v>12616</v>
      </c>
      <c r="EV260" s="561">
        <v>63</v>
      </c>
      <c r="EW260" s="561">
        <v>11649</v>
      </c>
      <c r="EX260" s="561">
        <v>0</v>
      </c>
      <c r="EY260" s="561">
        <v>567</v>
      </c>
      <c r="EZ260" s="561">
        <v>16584</v>
      </c>
      <c r="FA260" s="561">
        <v>60750</v>
      </c>
      <c r="FB260" s="561">
        <v>0</v>
      </c>
      <c r="FC260" s="561">
        <v>74</v>
      </c>
      <c r="FD260" s="561">
        <v>236</v>
      </c>
      <c r="FE260" s="561">
        <v>1476</v>
      </c>
      <c r="FF260" s="561">
        <v>-1972</v>
      </c>
      <c r="FG260" s="561">
        <v>531</v>
      </c>
      <c r="FH260" s="561">
        <v>0</v>
      </c>
      <c r="FI260" s="561">
        <v>490</v>
      </c>
      <c r="FJ260" s="561">
        <v>-804</v>
      </c>
      <c r="FK260" s="561">
        <v>5248</v>
      </c>
      <c r="FL260" s="561">
        <v>8</v>
      </c>
      <c r="FM260" s="561">
        <v>2</v>
      </c>
      <c r="FN260" s="561">
        <v>4075</v>
      </c>
      <c r="FO260" s="561">
        <v>9364</v>
      </c>
      <c r="FP260" s="561">
        <v>28</v>
      </c>
      <c r="FQ260" s="561">
        <v>-1151</v>
      </c>
      <c r="FR260" s="561">
        <v>100</v>
      </c>
      <c r="FS260" s="561">
        <v>0</v>
      </c>
      <c r="FT260" s="561">
        <v>806</v>
      </c>
      <c r="FU260" s="561">
        <v>492</v>
      </c>
      <c r="FV260" s="561">
        <v>3305</v>
      </c>
      <c r="FW260" s="561">
        <v>295</v>
      </c>
      <c r="FX260" s="561">
        <v>0</v>
      </c>
      <c r="FY260" s="561">
        <v>0</v>
      </c>
      <c r="FZ260" s="561">
        <v>89</v>
      </c>
      <c r="GA260" s="561">
        <v>82</v>
      </c>
      <c r="GB260" s="561">
        <v>170</v>
      </c>
      <c r="GC260" s="561">
        <v>205</v>
      </c>
      <c r="GD260" s="561">
        <v>4229</v>
      </c>
      <c r="GE260" s="561">
        <v>2886</v>
      </c>
      <c r="GF260" s="561">
        <v>380</v>
      </c>
      <c r="GG260" s="561">
        <v>0</v>
      </c>
      <c r="GH260" s="561">
        <v>0</v>
      </c>
      <c r="GI260" s="561">
        <v>0</v>
      </c>
      <c r="GJ260" s="561">
        <v>0</v>
      </c>
      <c r="GK260" s="561">
        <v>0</v>
      </c>
      <c r="GL260" s="561">
        <v>9773</v>
      </c>
      <c r="GM260" s="561">
        <v>2275</v>
      </c>
      <c r="GN260" s="561">
        <v>4902</v>
      </c>
      <c r="GO260" s="561">
        <v>-3942</v>
      </c>
      <c r="GP260" s="561">
        <v>6985</v>
      </c>
      <c r="GQ260" s="561">
        <v>0</v>
      </c>
      <c r="GR260" s="561">
        <v>1142</v>
      </c>
      <c r="GS260" s="561">
        <v>33023</v>
      </c>
      <c r="GT260" s="561">
        <v>206</v>
      </c>
      <c r="GU260" s="561">
        <v>487</v>
      </c>
      <c r="GV260" s="561">
        <v>1088</v>
      </c>
      <c r="GW260" s="561">
        <v>0</v>
      </c>
      <c r="GX260" s="561">
        <v>1376</v>
      </c>
      <c r="GY260" s="561">
        <v>0</v>
      </c>
      <c r="GZ260" s="561">
        <v>14545</v>
      </c>
      <c r="HA260" s="561">
        <v>0</v>
      </c>
      <c r="HB260" s="561">
        <v>-4762</v>
      </c>
      <c r="HC260" s="561">
        <v>1817</v>
      </c>
      <c r="HD260" s="561">
        <v>14551</v>
      </c>
      <c r="HE260" s="561">
        <v>93</v>
      </c>
      <c r="HF260" s="561">
        <v>56938</v>
      </c>
      <c r="HG260" s="561">
        <v>327</v>
      </c>
      <c r="HH260" s="561">
        <v>0</v>
      </c>
      <c r="HI260" s="561">
        <v>0</v>
      </c>
      <c r="HJ260" s="561">
        <v>0</v>
      </c>
      <c r="HK260" s="561">
        <v>0</v>
      </c>
      <c r="HL260" s="561">
        <v>0</v>
      </c>
      <c r="HM260" s="561">
        <v>0</v>
      </c>
      <c r="HN260" s="561">
        <v>0</v>
      </c>
      <c r="HO260" s="561">
        <v>6798</v>
      </c>
      <c r="HP260" s="561">
        <v>3588</v>
      </c>
      <c r="HQ260" s="561">
        <v>0</v>
      </c>
      <c r="HR260" s="561">
        <v>0</v>
      </c>
      <c r="HS260" s="561">
        <v>0</v>
      </c>
      <c r="HT260" s="561">
        <v>198</v>
      </c>
      <c r="HU260" s="561">
        <v>0</v>
      </c>
      <c r="HV260" s="561">
        <v>-403</v>
      </c>
      <c r="HW260" s="561">
        <v>524</v>
      </c>
      <c r="HX260" s="561">
        <v>945</v>
      </c>
      <c r="HY260" s="561">
        <v>694</v>
      </c>
      <c r="HZ260" s="561">
        <v>-88</v>
      </c>
      <c r="IA260" s="561">
        <v>0</v>
      </c>
      <c r="IB260" s="561">
        <v>0</v>
      </c>
      <c r="IC260" s="561">
        <v>1930</v>
      </c>
      <c r="ID260" s="561">
        <v>0</v>
      </c>
      <c r="IE260" s="561">
        <v>4189</v>
      </c>
      <c r="IF260" s="561">
        <v>0</v>
      </c>
      <c r="IG260" s="561">
        <v>55</v>
      </c>
      <c r="IH260" s="561">
        <v>0</v>
      </c>
      <c r="II260" s="561">
        <v>18430</v>
      </c>
      <c r="IJ260" s="561">
        <v>4590</v>
      </c>
      <c r="IK260" s="561">
        <v>2642</v>
      </c>
      <c r="IL260" s="561">
        <v>46185</v>
      </c>
      <c r="IM260" s="561">
        <v>0</v>
      </c>
      <c r="IN260" s="561">
        <v>0</v>
      </c>
      <c r="IO260" s="561">
        <v>7192</v>
      </c>
      <c r="IP260" s="561">
        <v>23504</v>
      </c>
      <c r="IQ260" s="561">
        <v>0</v>
      </c>
      <c r="IR260" s="561">
        <v>179708</v>
      </c>
      <c r="IS260" s="561">
        <v>31620</v>
      </c>
      <c r="IT260" s="561">
        <v>130930</v>
      </c>
      <c r="IU260" s="561">
        <v>155880</v>
      </c>
      <c r="IV260" s="561">
        <v>38539</v>
      </c>
      <c r="IW260" s="561">
        <v>25198</v>
      </c>
      <c r="IX260" s="561">
        <v>9364</v>
      </c>
      <c r="IY260" s="561">
        <v>33023</v>
      </c>
      <c r="IZ260" s="561">
        <v>14551</v>
      </c>
      <c r="JA260" s="561">
        <v>0</v>
      </c>
      <c r="JB260" s="561">
        <v>0</v>
      </c>
      <c r="JC260" s="561">
        <v>18430</v>
      </c>
      <c r="JD260" s="561">
        <v>23504</v>
      </c>
      <c r="JE260" s="561">
        <v>660747</v>
      </c>
      <c r="JF260" s="561">
        <v>73137</v>
      </c>
      <c r="JG260" s="561">
        <v>0</v>
      </c>
      <c r="JH260" s="561">
        <v>37321</v>
      </c>
      <c r="JI260" s="561">
        <v>0</v>
      </c>
      <c r="JJ260" s="561">
        <v>0</v>
      </c>
      <c r="JK260" s="561">
        <v>0</v>
      </c>
      <c r="JL260" s="561">
        <v>0</v>
      </c>
      <c r="JM260" s="561">
        <v>0</v>
      </c>
      <c r="JN260" s="561">
        <v>0</v>
      </c>
      <c r="JO260" s="561">
        <v>0</v>
      </c>
      <c r="JP260" s="561">
        <v>-6285</v>
      </c>
      <c r="JQ260" s="561">
        <v>-330</v>
      </c>
      <c r="JR260" s="561">
        <v>0</v>
      </c>
      <c r="JS260" s="561">
        <v>0</v>
      </c>
      <c r="JT260" s="561">
        <v>0</v>
      </c>
      <c r="JU260" s="561">
        <v>0</v>
      </c>
      <c r="JV260" s="561">
        <v>764590</v>
      </c>
      <c r="JW260" s="561">
        <v>83</v>
      </c>
      <c r="JX260" s="561">
        <v>3473</v>
      </c>
      <c r="JY260" s="561">
        <v>0</v>
      </c>
      <c r="JZ260" s="561">
        <v>0</v>
      </c>
      <c r="KA260" s="561">
        <v>-7737</v>
      </c>
      <c r="KB260" s="561">
        <v>1166</v>
      </c>
      <c r="KC260" s="561">
        <v>32252</v>
      </c>
      <c r="KD260" s="561">
        <v>113</v>
      </c>
      <c r="KE260" s="561">
        <v>27310</v>
      </c>
      <c r="KF260" s="561">
        <v>-11649</v>
      </c>
      <c r="KG260" s="561">
        <v>809601</v>
      </c>
      <c r="KH260" s="561">
        <v>-25757</v>
      </c>
      <c r="KI260" s="561">
        <v>29688</v>
      </c>
      <c r="KJ260" s="561">
        <v>-1334</v>
      </c>
      <c r="KK260" s="561">
        <v>0</v>
      </c>
      <c r="KL260" s="561">
        <v>-108352</v>
      </c>
      <c r="KM260" s="561">
        <v>0</v>
      </c>
      <c r="KN260" s="561">
        <v>0</v>
      </c>
      <c r="KO260" s="561">
        <v>0</v>
      </c>
      <c r="KP260" s="561">
        <v>0</v>
      </c>
      <c r="KQ260" s="561">
        <v>0</v>
      </c>
      <c r="KR260" s="561">
        <v>703846</v>
      </c>
      <c r="KS260" s="561">
        <v>0</v>
      </c>
      <c r="KT260" s="561">
        <v>-424117</v>
      </c>
      <c r="KU260" s="561">
        <v>279729</v>
      </c>
      <c r="KV260" s="561">
        <v>0</v>
      </c>
      <c r="KW260" s="561">
        <v>-2993</v>
      </c>
      <c r="KX260" s="561">
        <v>-1311</v>
      </c>
      <c r="KY260" s="561">
        <v>4622</v>
      </c>
      <c r="KZ260" s="561">
        <v>-5088</v>
      </c>
      <c r="LA260" s="561">
        <v>40815</v>
      </c>
      <c r="LB260" s="561">
        <v>-31931</v>
      </c>
      <c r="LC260" s="561">
        <v>0</v>
      </c>
      <c r="LD260" s="561">
        <v>-131761</v>
      </c>
      <c r="LE260" s="561">
        <v>-3203</v>
      </c>
      <c r="LF260" s="561">
        <v>0</v>
      </c>
      <c r="LG260" s="561">
        <v>148879</v>
      </c>
      <c r="LH260" s="561">
        <v>19028</v>
      </c>
      <c r="LI260" s="561">
        <v>0</v>
      </c>
      <c r="LJ260" s="561">
        <v>7412</v>
      </c>
      <c r="LK260" s="561">
        <v>8872</v>
      </c>
      <c r="LL260" s="561">
        <v>161973</v>
      </c>
      <c r="LM260" s="561">
        <v>22719</v>
      </c>
      <c r="LN260" s="561">
        <v>16035</v>
      </c>
      <c r="LO260" s="561">
        <v>0</v>
      </c>
      <c r="LP260" s="561">
        <v>6101</v>
      </c>
      <c r="LQ260" s="561">
        <v>13494</v>
      </c>
      <c r="LR260" s="561">
        <v>156885</v>
      </c>
      <c r="LS260" s="561">
        <v>63534</v>
      </c>
      <c r="LT260" s="561">
        <v>0</v>
      </c>
      <c r="LU260" s="561">
        <v>63810</v>
      </c>
      <c r="LV260" s="561">
        <v>0</v>
      </c>
      <c r="LW260" s="561">
        <v>0</v>
      </c>
      <c r="LX260" s="561">
        <v>-39886</v>
      </c>
      <c r="LY260" s="561">
        <v>118718</v>
      </c>
      <c r="LZ260" s="561">
        <v>140445</v>
      </c>
      <c r="MA260" s="561">
        <v>0</v>
      </c>
      <c r="MB260" s="561">
        <v>0</v>
      </c>
      <c r="MC260" s="561">
        <v>144853</v>
      </c>
      <c r="MD260" s="561">
        <v>128269</v>
      </c>
      <c r="ME260" s="561">
        <v>16584</v>
      </c>
      <c r="MF260" s="561">
        <v>60750</v>
      </c>
      <c r="MG260" s="561">
        <v>77334</v>
      </c>
      <c r="MH260" s="561">
        <v>11833</v>
      </c>
      <c r="MI260" s="561">
        <v>21454</v>
      </c>
      <c r="MJ260" s="561">
        <v>33287</v>
      </c>
      <c r="MK260" s="561">
        <v>0</v>
      </c>
      <c r="ML260" s="561">
        <v>56822</v>
      </c>
      <c r="MM260" s="561">
        <v>88835</v>
      </c>
      <c r="MN260" s="561">
        <v>9268</v>
      </c>
      <c r="MO260" s="561">
        <v>1960</v>
      </c>
      <c r="MP260" s="561">
        <v>0</v>
      </c>
      <c r="MQ260" s="561">
        <v>179708</v>
      </c>
      <c r="MR260" s="561">
        <v>31620</v>
      </c>
      <c r="MS260" s="561">
        <v>130930</v>
      </c>
      <c r="MT260" s="561">
        <v>155880</v>
      </c>
      <c r="MU260" s="561">
        <v>38539</v>
      </c>
      <c r="MV260" s="561">
        <v>25198</v>
      </c>
      <c r="MW260" s="561">
        <v>9364</v>
      </c>
      <c r="MX260" s="561">
        <v>33023</v>
      </c>
      <c r="MY260" s="561">
        <v>14551</v>
      </c>
      <c r="MZ260" s="561">
        <v>0</v>
      </c>
      <c r="NA260" s="561">
        <v>0</v>
      </c>
      <c r="NB260" s="561">
        <v>18430</v>
      </c>
      <c r="NC260" s="561">
        <v>23504</v>
      </c>
      <c r="ND260" s="561">
        <v>660747</v>
      </c>
      <c r="NE260" s="561">
        <v>0</v>
      </c>
      <c r="NF260" s="561">
        <v>0</v>
      </c>
      <c r="NG260" s="561">
        <v>0</v>
      </c>
      <c r="NH260" s="561">
        <v>0</v>
      </c>
      <c r="NI260" s="561">
        <v>0</v>
      </c>
      <c r="NJ260" s="561">
        <v>0</v>
      </c>
      <c r="NK260" s="561">
        <v>0</v>
      </c>
      <c r="NL260" s="561">
        <v>0</v>
      </c>
      <c r="NM260" s="561">
        <v>0</v>
      </c>
      <c r="NN260" s="561">
        <v>0</v>
      </c>
      <c r="NO260" s="561">
        <v>0</v>
      </c>
      <c r="NP260" s="561">
        <v>0</v>
      </c>
      <c r="NQ260" s="561">
        <v>0</v>
      </c>
      <c r="NR260" s="561">
        <v>0</v>
      </c>
      <c r="NS260" s="561">
        <v>0</v>
      </c>
      <c r="NT260" s="561">
        <v>0</v>
      </c>
      <c r="NU260" s="561">
        <v>-1928</v>
      </c>
      <c r="NV260" s="561">
        <v>0</v>
      </c>
      <c r="NW260" s="561">
        <v>-6285</v>
      </c>
      <c r="NX260" s="561">
        <v>0</v>
      </c>
      <c r="NY260" s="561">
        <v>-6285</v>
      </c>
      <c r="NZ260" s="561">
        <v>0</v>
      </c>
      <c r="OA260" s="561">
        <v>0</v>
      </c>
      <c r="OB260" s="561">
        <v>0</v>
      </c>
      <c r="OC260" s="561">
        <v>0</v>
      </c>
      <c r="OD260" s="561">
        <v>0</v>
      </c>
      <c r="OE260" s="561">
        <v>0</v>
      </c>
      <c r="OF260" s="561">
        <v>0</v>
      </c>
      <c r="OG260" s="561">
        <v>0</v>
      </c>
      <c r="OH260" s="561">
        <v>0</v>
      </c>
      <c r="OI260" s="561">
        <v>0</v>
      </c>
      <c r="OJ260" s="561">
        <v>0</v>
      </c>
      <c r="OK260" s="561">
        <v>0</v>
      </c>
      <c r="OL260" s="561">
        <v>0</v>
      </c>
      <c r="OM260" s="561">
        <v>0</v>
      </c>
      <c r="ON260" s="561">
        <v>0</v>
      </c>
      <c r="OO260" s="561">
        <v>0</v>
      </c>
      <c r="OP260" s="561">
        <v>-330</v>
      </c>
      <c r="OQ260" s="561">
        <v>0</v>
      </c>
      <c r="OR260" s="561">
        <v>0</v>
      </c>
      <c r="OS260" s="561">
        <v>0</v>
      </c>
      <c r="OT260" s="561">
        <v>0</v>
      </c>
      <c r="OU260" s="561">
        <v>0</v>
      </c>
      <c r="OV260" s="561">
        <v>0</v>
      </c>
      <c r="OW260" s="561">
        <v>0</v>
      </c>
      <c r="OX260" s="561">
        <v>-330</v>
      </c>
      <c r="OY260" s="561">
        <v>0</v>
      </c>
      <c r="OZ260" s="561">
        <v>0</v>
      </c>
      <c r="PA260" s="561">
        <v>0</v>
      </c>
      <c r="PB260" s="561">
        <v>0</v>
      </c>
      <c r="PC260" s="561">
        <v>0</v>
      </c>
      <c r="PD260" s="561">
        <v>0</v>
      </c>
      <c r="PE260" s="561">
        <v>0</v>
      </c>
      <c r="PF260" s="561">
        <v>0</v>
      </c>
      <c r="PG260" s="561">
        <v>0</v>
      </c>
      <c r="PH260" s="561">
        <v>0</v>
      </c>
      <c r="PI260" s="561">
        <v>0</v>
      </c>
      <c r="PJ260" s="561">
        <v>0</v>
      </c>
    </row>
    <row r="261" spans="1:426" ht="14" x14ac:dyDescent="0.3">
      <c r="A261" t="s">
        <v>3226</v>
      </c>
      <c r="B261" t="s">
        <v>3227</v>
      </c>
      <c r="C261" t="s">
        <v>4644</v>
      </c>
      <c r="E261" t="s">
        <v>2595</v>
      </c>
      <c r="F261" s="561">
        <v>86935</v>
      </c>
      <c r="G261" s="561">
        <v>245058</v>
      </c>
      <c r="H261" s="561">
        <v>43373</v>
      </c>
      <c r="I261" s="561">
        <v>88630</v>
      </c>
      <c r="J261" s="561">
        <v>13763</v>
      </c>
      <c r="K261" s="561">
        <v>35500</v>
      </c>
      <c r="L261" s="561">
        <v>513259</v>
      </c>
      <c r="M261" s="561">
        <v>8028</v>
      </c>
      <c r="N261" s="561">
        <v>-52.59</v>
      </c>
      <c r="O261" s="561">
        <v>-22.11</v>
      </c>
      <c r="P261" s="561">
        <v>1675.21</v>
      </c>
      <c r="Q261" s="561">
        <v>12284.9</v>
      </c>
      <c r="R261" s="561">
        <v>423.67</v>
      </c>
      <c r="S261" s="561">
        <v>309.27</v>
      </c>
      <c r="T261" s="561">
        <v>2267.98</v>
      </c>
      <c r="U261" s="561">
        <v>2771.87</v>
      </c>
      <c r="V261" s="561">
        <v>5173.93</v>
      </c>
      <c r="W261" s="561">
        <v>0</v>
      </c>
      <c r="X261" s="561">
        <v>769.07</v>
      </c>
      <c r="Y261" s="561">
        <v>847.34</v>
      </c>
      <c r="Z261" s="561">
        <v>143.05000000000001</v>
      </c>
      <c r="AA261" s="561">
        <v>-513.04999999999995</v>
      </c>
      <c r="AB261" s="561">
        <v>0.1</v>
      </c>
      <c r="AC261" s="561">
        <v>11007.18</v>
      </c>
      <c r="AD261" s="561">
        <v>-14.05</v>
      </c>
      <c r="AE261" s="561">
        <v>9537.5300000000007</v>
      </c>
      <c r="AF261" s="561">
        <v>0</v>
      </c>
      <c r="AG261" s="561">
        <v>0</v>
      </c>
      <c r="AH261" s="561">
        <v>4109.2</v>
      </c>
      <c r="AI261" s="561">
        <v>0</v>
      </c>
      <c r="AJ261" s="561">
        <v>50718.5</v>
      </c>
      <c r="AK261" s="561">
        <v>1281</v>
      </c>
      <c r="AL261" s="561">
        <v>0</v>
      </c>
      <c r="AM261" s="561">
        <v>0</v>
      </c>
      <c r="AN261" s="561">
        <v>0</v>
      </c>
      <c r="AO261" s="561">
        <v>0</v>
      </c>
      <c r="AP261" s="561">
        <v>0</v>
      </c>
      <c r="AQ261" s="561">
        <v>0</v>
      </c>
      <c r="AR261" s="561">
        <v>0</v>
      </c>
      <c r="AS261" s="561">
        <v>2086.31</v>
      </c>
      <c r="AT261" s="561">
        <v>0</v>
      </c>
      <c r="AU261" s="561">
        <v>0</v>
      </c>
      <c r="AV261" s="561">
        <v>0</v>
      </c>
      <c r="AW261" s="561">
        <v>0</v>
      </c>
      <c r="AX261" s="561">
        <v>8625.0400000000009</v>
      </c>
      <c r="AY261" s="561">
        <v>132796.51</v>
      </c>
      <c r="AZ261" s="561">
        <v>611.46</v>
      </c>
      <c r="BA261" s="561">
        <v>23685.4</v>
      </c>
      <c r="BB261" s="561">
        <v>1658.08</v>
      </c>
      <c r="BC261" s="561">
        <v>37494.5</v>
      </c>
      <c r="BD261" s="561">
        <v>327.08999999999997</v>
      </c>
      <c r="BE261" s="561">
        <v>9456.85</v>
      </c>
      <c r="BF261" s="561">
        <v>214654.93</v>
      </c>
      <c r="BG261" s="561">
        <v>7302</v>
      </c>
      <c r="BH261" s="561">
        <v>30217</v>
      </c>
      <c r="BI261" s="561">
        <v>79936</v>
      </c>
      <c r="BJ261" s="561">
        <v>1674</v>
      </c>
      <c r="BK261" s="561">
        <v>3316</v>
      </c>
      <c r="BL261" s="561">
        <v>2767</v>
      </c>
      <c r="BM261" s="561">
        <v>23724</v>
      </c>
      <c r="BN261" s="561">
        <v>105415</v>
      </c>
      <c r="BO261" s="561">
        <v>15837</v>
      </c>
      <c r="BP261" s="561">
        <v>20184</v>
      </c>
      <c r="BQ261" s="561">
        <v>9587</v>
      </c>
      <c r="BR261" s="561">
        <v>234</v>
      </c>
      <c r="BS261" s="561">
        <v>0</v>
      </c>
      <c r="BT261" s="561">
        <v>4724</v>
      </c>
      <c r="BU261" s="561">
        <v>958</v>
      </c>
      <c r="BV261" s="561">
        <v>2872.39</v>
      </c>
      <c r="BW261" s="561">
        <v>39804.94</v>
      </c>
      <c r="BX261" s="561">
        <v>1760.72</v>
      </c>
      <c r="BY261" s="561">
        <v>44276</v>
      </c>
      <c r="BZ261" s="561">
        <v>387287.05</v>
      </c>
      <c r="CA261" s="561">
        <v>5919</v>
      </c>
      <c r="CB261" s="561">
        <v>3347</v>
      </c>
      <c r="CC261" s="561">
        <v>3738</v>
      </c>
      <c r="CD261" s="561">
        <v>639</v>
      </c>
      <c r="CE261" s="561">
        <v>461</v>
      </c>
      <c r="CF261" s="561">
        <v>203</v>
      </c>
      <c r="CG261" s="561">
        <v>86</v>
      </c>
      <c r="CH261" s="561">
        <v>1298</v>
      </c>
      <c r="CI261" s="561">
        <v>851</v>
      </c>
      <c r="CJ261" s="561">
        <v>264</v>
      </c>
      <c r="CK261" s="561">
        <v>345</v>
      </c>
      <c r="CL261" s="561">
        <v>13</v>
      </c>
      <c r="CM261" s="561">
        <v>6366</v>
      </c>
      <c r="CN261" s="561">
        <v>1959</v>
      </c>
      <c r="CO261" s="561">
        <v>245</v>
      </c>
      <c r="CP261" s="561">
        <v>245</v>
      </c>
      <c r="CQ261" s="561">
        <v>979</v>
      </c>
      <c r="CR261" s="561">
        <v>3095</v>
      </c>
      <c r="CS261" s="561">
        <v>195</v>
      </c>
      <c r="CT261" s="561">
        <v>3453</v>
      </c>
      <c r="CU261" s="561">
        <v>11828</v>
      </c>
      <c r="CV261" s="561">
        <v>6070</v>
      </c>
      <c r="CW261" s="561">
        <v>63</v>
      </c>
      <c r="CX261" s="561">
        <v>364</v>
      </c>
      <c r="CY261" s="561">
        <v>3883</v>
      </c>
      <c r="CZ261" s="561">
        <v>49990</v>
      </c>
      <c r="DA261" s="561">
        <v>0</v>
      </c>
      <c r="DB261" s="561">
        <v>0</v>
      </c>
      <c r="DC261" s="561">
        <v>0</v>
      </c>
      <c r="DD261" s="561">
        <v>0</v>
      </c>
      <c r="DE261" s="561">
        <v>0</v>
      </c>
      <c r="DF261" s="561">
        <v>0</v>
      </c>
      <c r="DG261" s="561">
        <v>0</v>
      </c>
      <c r="DH261" s="561">
        <v>0</v>
      </c>
      <c r="DI261" s="561">
        <v>0</v>
      </c>
      <c r="DJ261" s="561">
        <v>0</v>
      </c>
      <c r="DK261" s="561">
        <v>0</v>
      </c>
      <c r="DL261" s="561">
        <v>0</v>
      </c>
      <c r="DM261" s="561">
        <v>0</v>
      </c>
      <c r="DN261" s="561">
        <v>0</v>
      </c>
      <c r="DO261" s="561">
        <v>0</v>
      </c>
      <c r="DP261" s="561">
        <v>0</v>
      </c>
      <c r="DQ261" s="561">
        <v>0</v>
      </c>
      <c r="DR261" s="561">
        <v>0</v>
      </c>
      <c r="DS261" s="561">
        <v>0</v>
      </c>
      <c r="DT261" s="561">
        <v>0</v>
      </c>
      <c r="DU261" s="561">
        <v>0</v>
      </c>
      <c r="DV261" s="561">
        <v>0</v>
      </c>
      <c r="DW261" s="561">
        <v>0</v>
      </c>
      <c r="DX261" s="561">
        <v>0</v>
      </c>
      <c r="DY261" s="561">
        <v>0</v>
      </c>
      <c r="DZ261" s="561">
        <v>-9.5</v>
      </c>
      <c r="EA261" s="561">
        <v>0</v>
      </c>
      <c r="EB261" s="561">
        <v>0</v>
      </c>
      <c r="EC261" s="561">
        <v>-9.5</v>
      </c>
      <c r="ED261" s="561">
        <v>0</v>
      </c>
      <c r="EE261" s="561">
        <v>0</v>
      </c>
      <c r="EF261" s="561">
        <v>0</v>
      </c>
      <c r="EG261" s="561">
        <v>0</v>
      </c>
      <c r="EH261" s="561">
        <v>0</v>
      </c>
      <c r="EI261" s="561">
        <v>0</v>
      </c>
      <c r="EJ261" s="561">
        <v>0</v>
      </c>
      <c r="EK261" s="561">
        <v>0</v>
      </c>
      <c r="EL261" s="561">
        <v>0</v>
      </c>
      <c r="EM261" s="561">
        <v>0</v>
      </c>
      <c r="EN261" s="561">
        <v>0</v>
      </c>
      <c r="EO261" s="561">
        <v>0</v>
      </c>
      <c r="EP261" s="561">
        <v>0</v>
      </c>
      <c r="EQ261" s="561">
        <v>0</v>
      </c>
      <c r="ER261" s="561">
        <v>0</v>
      </c>
      <c r="ES261" s="561" t="s">
        <v>4565</v>
      </c>
      <c r="ET261" s="561">
        <v>0</v>
      </c>
      <c r="EU261" s="561">
        <v>0</v>
      </c>
      <c r="EV261" s="561">
        <v>0</v>
      </c>
      <c r="EW261" s="561">
        <v>0</v>
      </c>
      <c r="EX261" s="561">
        <v>0</v>
      </c>
      <c r="EY261" s="561">
        <v>0</v>
      </c>
      <c r="EZ261" s="561">
        <v>0</v>
      </c>
      <c r="FA261" s="561">
        <v>0</v>
      </c>
      <c r="FB261" s="561">
        <v>0</v>
      </c>
      <c r="FC261" s="561">
        <v>0</v>
      </c>
      <c r="FD261" s="561">
        <v>3.92</v>
      </c>
      <c r="FE261" s="561">
        <v>0</v>
      </c>
      <c r="FF261" s="561">
        <v>0</v>
      </c>
      <c r="FG261" s="561">
        <v>0</v>
      </c>
      <c r="FH261" s="561">
        <v>0</v>
      </c>
      <c r="FI261" s="561">
        <v>0</v>
      </c>
      <c r="FJ261" s="561">
        <v>0</v>
      </c>
      <c r="FK261" s="561">
        <v>1926.74</v>
      </c>
      <c r="FL261" s="561">
        <v>0</v>
      </c>
      <c r="FM261" s="561">
        <v>0</v>
      </c>
      <c r="FN261" s="561">
        <v>13374.09</v>
      </c>
      <c r="FO261" s="561">
        <v>15304.75</v>
      </c>
      <c r="FP261" s="561">
        <v>0</v>
      </c>
      <c r="FQ261" s="561">
        <v>0</v>
      </c>
      <c r="FR261" s="561">
        <v>1990.05</v>
      </c>
      <c r="FS261" s="561">
        <v>0</v>
      </c>
      <c r="FT261" s="561">
        <v>0</v>
      </c>
      <c r="FU261" s="561">
        <v>0</v>
      </c>
      <c r="FV261" s="561">
        <v>0</v>
      </c>
      <c r="FW261" s="561">
        <v>0</v>
      </c>
      <c r="FX261" s="561">
        <v>0</v>
      </c>
      <c r="FY261" s="561">
        <v>0</v>
      </c>
      <c r="FZ261" s="561">
        <v>0</v>
      </c>
      <c r="GA261" s="561">
        <v>0</v>
      </c>
      <c r="GB261" s="561">
        <v>0</v>
      </c>
      <c r="GC261" s="561">
        <v>0</v>
      </c>
      <c r="GD261" s="561">
        <v>0</v>
      </c>
      <c r="GE261" s="561">
        <v>0</v>
      </c>
      <c r="GF261" s="561">
        <v>0</v>
      </c>
      <c r="GG261" s="561">
        <v>442.46</v>
      </c>
      <c r="GH261" s="561">
        <v>0</v>
      </c>
      <c r="GI261" s="561">
        <v>0</v>
      </c>
      <c r="GJ261" s="561">
        <v>0</v>
      </c>
      <c r="GK261" s="561">
        <v>-142</v>
      </c>
      <c r="GL261" s="561">
        <v>906</v>
      </c>
      <c r="GM261" s="561">
        <v>0</v>
      </c>
      <c r="GN261" s="561">
        <v>36174.04</v>
      </c>
      <c r="GO261" s="561">
        <v>-1570.78</v>
      </c>
      <c r="GP261" s="561">
        <v>9747.2000000000007</v>
      </c>
      <c r="GQ261" s="561">
        <v>0</v>
      </c>
      <c r="GR261" s="561">
        <v>251.18</v>
      </c>
      <c r="GS261" s="561">
        <v>47798.15</v>
      </c>
      <c r="GT261" s="561">
        <v>137</v>
      </c>
      <c r="GU261" s="561">
        <v>-237</v>
      </c>
      <c r="GV261" s="561">
        <v>326</v>
      </c>
      <c r="GW261" s="561">
        <v>817</v>
      </c>
      <c r="GX261" s="561">
        <v>910</v>
      </c>
      <c r="GY261" s="561">
        <v>0</v>
      </c>
      <c r="GZ261" s="561">
        <v>1635</v>
      </c>
      <c r="HA261" s="561">
        <v>0</v>
      </c>
      <c r="HB261" s="561">
        <v>3823</v>
      </c>
      <c r="HC261" s="561">
        <v>16416</v>
      </c>
      <c r="HD261" s="561">
        <v>23690</v>
      </c>
      <c r="HE261" s="561">
        <v>323</v>
      </c>
      <c r="HF261" s="561">
        <v>86792.9</v>
      </c>
      <c r="HG261" s="561">
        <v>460</v>
      </c>
      <c r="HH261" s="561">
        <v>0</v>
      </c>
      <c r="HI261" s="561">
        <v>0</v>
      </c>
      <c r="HJ261" s="561">
        <v>0</v>
      </c>
      <c r="HK261" s="561">
        <v>0</v>
      </c>
      <c r="HL261" s="561">
        <v>0</v>
      </c>
      <c r="HM261" s="561">
        <v>0</v>
      </c>
      <c r="HN261" s="561">
        <v>0</v>
      </c>
      <c r="HO261" s="561">
        <v>5471</v>
      </c>
      <c r="HP261" s="561">
        <v>0</v>
      </c>
      <c r="HQ261" s="561">
        <v>0</v>
      </c>
      <c r="HR261" s="561">
        <v>0</v>
      </c>
      <c r="HS261" s="561">
        <v>0</v>
      </c>
      <c r="HT261" s="561">
        <v>0</v>
      </c>
      <c r="HU261" s="561">
        <v>0</v>
      </c>
      <c r="HV261" s="561">
        <v>-40.11</v>
      </c>
      <c r="HW261" s="561">
        <v>0</v>
      </c>
      <c r="HX261" s="561">
        <v>0</v>
      </c>
      <c r="HY261" s="561">
        <v>443.6</v>
      </c>
      <c r="HZ261" s="561">
        <v>0</v>
      </c>
      <c r="IA261" s="561">
        <v>0</v>
      </c>
      <c r="IB261" s="561">
        <v>0</v>
      </c>
      <c r="IC261" s="561">
        <v>2279</v>
      </c>
      <c r="ID261" s="561">
        <v>0</v>
      </c>
      <c r="IE261" s="561">
        <v>1749</v>
      </c>
      <c r="IF261" s="561">
        <v>0</v>
      </c>
      <c r="IG261" s="561">
        <v>0</v>
      </c>
      <c r="IH261" s="561">
        <v>-740.15</v>
      </c>
      <c r="II261" s="561">
        <v>9162.34</v>
      </c>
      <c r="IJ261" s="561">
        <v>2904</v>
      </c>
      <c r="IK261" s="561">
        <v>53739.18</v>
      </c>
      <c r="IL261" s="561">
        <v>0</v>
      </c>
      <c r="IM261" s="561">
        <v>0</v>
      </c>
      <c r="IN261" s="561">
        <v>0</v>
      </c>
      <c r="IO261" s="561">
        <v>6592.97</v>
      </c>
      <c r="IP261" s="561">
        <v>13088.6</v>
      </c>
      <c r="IQ261" s="561">
        <v>0</v>
      </c>
      <c r="IR261" s="561">
        <v>513259</v>
      </c>
      <c r="IS261" s="561">
        <v>50718.5</v>
      </c>
      <c r="IT261" s="561">
        <v>214654.93</v>
      </c>
      <c r="IU261" s="561">
        <v>387287.05</v>
      </c>
      <c r="IV261" s="561">
        <v>49990</v>
      </c>
      <c r="IW261" s="561">
        <v>-9.5</v>
      </c>
      <c r="IX261" s="561">
        <v>15304.75</v>
      </c>
      <c r="IY261" s="561">
        <v>47798.15</v>
      </c>
      <c r="IZ261" s="561">
        <v>23690</v>
      </c>
      <c r="JA261" s="561">
        <v>0</v>
      </c>
      <c r="JB261" s="561">
        <v>0</v>
      </c>
      <c r="JC261" s="561">
        <v>9162.34</v>
      </c>
      <c r="JD261" s="561">
        <v>13088.6</v>
      </c>
      <c r="JE261" s="561">
        <v>1324943.82</v>
      </c>
      <c r="JF261" s="561">
        <v>0</v>
      </c>
      <c r="JG261" s="561">
        <v>0</v>
      </c>
      <c r="JH261" s="561">
        <v>0</v>
      </c>
      <c r="JI261" s="561">
        <v>0</v>
      </c>
      <c r="JJ261" s="561">
        <v>0</v>
      </c>
      <c r="JK261" s="561">
        <v>0</v>
      </c>
      <c r="JL261" s="561">
        <v>0</v>
      </c>
      <c r="JM261" s="561">
        <v>0</v>
      </c>
      <c r="JN261" s="561">
        <v>0</v>
      </c>
      <c r="JO261" s="561">
        <v>0</v>
      </c>
      <c r="JP261" s="561">
        <v>0</v>
      </c>
      <c r="JQ261" s="561">
        <v>5961.64</v>
      </c>
      <c r="JR261" s="561">
        <v>0</v>
      </c>
      <c r="JS261" s="561">
        <v>-4844.1400000000003</v>
      </c>
      <c r="JT261" s="561">
        <v>0</v>
      </c>
      <c r="JU261" s="561">
        <v>563</v>
      </c>
      <c r="JV261" s="561">
        <v>1326624.32</v>
      </c>
      <c r="JW261" s="561">
        <v>321</v>
      </c>
      <c r="JX261" s="561">
        <v>20257</v>
      </c>
      <c r="JY261" s="561">
        <v>0</v>
      </c>
      <c r="JZ261" s="561">
        <v>0</v>
      </c>
      <c r="KA261" s="561">
        <v>0</v>
      </c>
      <c r="KB261" s="561">
        <v>-1356</v>
      </c>
      <c r="KC261" s="561">
        <v>13285</v>
      </c>
      <c r="KD261" s="561">
        <v>528</v>
      </c>
      <c r="KE261" s="561">
        <v>18818</v>
      </c>
      <c r="KF261" s="561">
        <v>0</v>
      </c>
      <c r="KG261" s="561">
        <v>1378477.32</v>
      </c>
      <c r="KH261" s="561">
        <v>-13177</v>
      </c>
      <c r="KI261" s="561">
        <v>0</v>
      </c>
      <c r="KJ261" s="561">
        <v>0</v>
      </c>
      <c r="KK261" s="561">
        <v>0</v>
      </c>
      <c r="KL261" s="561">
        <v>-704</v>
      </c>
      <c r="KM261" s="561">
        <v>0</v>
      </c>
      <c r="KN261" s="561">
        <v>0</v>
      </c>
      <c r="KO261" s="561">
        <v>0</v>
      </c>
      <c r="KP261" s="561">
        <v>0</v>
      </c>
      <c r="KQ261" s="561">
        <v>0</v>
      </c>
      <c r="KR261" s="561">
        <v>1364596.32</v>
      </c>
      <c r="KS261" s="561">
        <v>0</v>
      </c>
      <c r="KT261" s="561">
        <v>-675079.36</v>
      </c>
      <c r="KU261" s="561">
        <v>689516.96</v>
      </c>
      <c r="KV261" s="561">
        <v>0</v>
      </c>
      <c r="KW261" s="561">
        <v>-2005</v>
      </c>
      <c r="KX261" s="561">
        <v>-17954</v>
      </c>
      <c r="KY261" s="561">
        <v>-1665</v>
      </c>
      <c r="KZ261" s="561">
        <v>-22978</v>
      </c>
      <c r="LA261" s="561">
        <v>-1853</v>
      </c>
      <c r="LB261" s="561">
        <v>-8634</v>
      </c>
      <c r="LC261" s="561">
        <v>0</v>
      </c>
      <c r="LD261" s="561">
        <v>-148534</v>
      </c>
      <c r="LE261" s="561">
        <v>-3334</v>
      </c>
      <c r="LF261" s="561">
        <v>0</v>
      </c>
      <c r="LG261" s="561">
        <v>482559</v>
      </c>
      <c r="LH261" s="561">
        <v>23351</v>
      </c>
      <c r="LI261" s="561">
        <v>0</v>
      </c>
      <c r="LJ261" s="561">
        <v>19078</v>
      </c>
      <c r="LK261" s="561">
        <v>10125</v>
      </c>
      <c r="LL261" s="561">
        <v>229332</v>
      </c>
      <c r="LM261" s="561">
        <v>36862</v>
      </c>
      <c r="LN261" s="561">
        <v>21346</v>
      </c>
      <c r="LO261" s="561">
        <v>0</v>
      </c>
      <c r="LP261" s="561">
        <v>1124</v>
      </c>
      <c r="LQ261" s="561">
        <v>8460</v>
      </c>
      <c r="LR261" s="561">
        <v>206354</v>
      </c>
      <c r="LS261" s="561">
        <v>35009</v>
      </c>
      <c r="LT261" s="561">
        <v>0</v>
      </c>
      <c r="LU261" s="561">
        <v>42483</v>
      </c>
      <c r="LV261" s="561">
        <v>18824</v>
      </c>
      <c r="LW261" s="561">
        <v>-8439</v>
      </c>
      <c r="LX261" s="561">
        <v>-26657</v>
      </c>
      <c r="LY261" s="561">
        <v>59434</v>
      </c>
      <c r="LZ261" s="561">
        <v>89583</v>
      </c>
      <c r="MA261" s="561">
        <v>0</v>
      </c>
      <c r="MB261" s="561">
        <v>0</v>
      </c>
      <c r="MC261" s="561">
        <v>0</v>
      </c>
      <c r="MD261" s="561">
        <v>0</v>
      </c>
      <c r="ME261" s="561">
        <v>0</v>
      </c>
      <c r="MF261" s="561">
        <v>0</v>
      </c>
      <c r="MG261" s="561">
        <v>0</v>
      </c>
      <c r="MH261" s="561">
        <v>0</v>
      </c>
      <c r="MI261" s="561">
        <v>0</v>
      </c>
      <c r="MJ261" s="561">
        <v>0</v>
      </c>
      <c r="MK261" s="561">
        <v>0</v>
      </c>
      <c r="ML261" s="561">
        <v>24123</v>
      </c>
      <c r="MM261" s="561">
        <v>125747</v>
      </c>
      <c r="MN261" s="561">
        <v>44457</v>
      </c>
      <c r="MO261" s="561">
        <v>12027</v>
      </c>
      <c r="MP261" s="561">
        <v>0</v>
      </c>
      <c r="MQ261" s="561">
        <v>513259</v>
      </c>
      <c r="MR261" s="561">
        <v>50718.5</v>
      </c>
      <c r="MS261" s="561">
        <v>214654.93</v>
      </c>
      <c r="MT261" s="561">
        <v>387287.05</v>
      </c>
      <c r="MU261" s="561">
        <v>49990</v>
      </c>
      <c r="MV261" s="561">
        <v>-9.5</v>
      </c>
      <c r="MW261" s="561">
        <v>15304.75</v>
      </c>
      <c r="MX261" s="561">
        <v>47798.15</v>
      </c>
      <c r="MY261" s="561">
        <v>23690</v>
      </c>
      <c r="MZ261" s="561">
        <v>0</v>
      </c>
      <c r="NA261" s="561">
        <v>0</v>
      </c>
      <c r="NB261" s="561">
        <v>9162.34</v>
      </c>
      <c r="NC261" s="561">
        <v>13088.6</v>
      </c>
      <c r="ND261" s="561">
        <v>1324943.82</v>
      </c>
      <c r="NE261" s="561">
        <v>0</v>
      </c>
      <c r="NF261" s="561">
        <v>0</v>
      </c>
      <c r="NG261" s="561">
        <v>0</v>
      </c>
      <c r="NH261" s="561">
        <v>0</v>
      </c>
      <c r="NI261" s="561">
        <v>0</v>
      </c>
      <c r="NJ261" s="561">
        <v>0</v>
      </c>
      <c r="NK261" s="561">
        <v>0</v>
      </c>
      <c r="NL261" s="561">
        <v>0</v>
      </c>
      <c r="NM261" s="561">
        <v>0</v>
      </c>
      <c r="NN261" s="561">
        <v>0</v>
      </c>
      <c r="NO261" s="561">
        <v>0</v>
      </c>
      <c r="NP261" s="561">
        <v>0</v>
      </c>
      <c r="NQ261" s="561">
        <v>0</v>
      </c>
      <c r="NR261" s="561">
        <v>0</v>
      </c>
      <c r="NS261" s="561">
        <v>0</v>
      </c>
      <c r="NT261" s="561">
        <v>0</v>
      </c>
      <c r="NU261" s="561">
        <v>0</v>
      </c>
      <c r="NV261" s="561">
        <v>0</v>
      </c>
      <c r="NW261" s="561">
        <v>0</v>
      </c>
      <c r="NX261" s="561">
        <v>0</v>
      </c>
      <c r="NY261" s="561">
        <v>0</v>
      </c>
      <c r="NZ261" s="561">
        <v>0</v>
      </c>
      <c r="OA261" s="561">
        <v>0</v>
      </c>
      <c r="OB261" s="561">
        <v>0</v>
      </c>
      <c r="OC261" s="561">
        <v>0</v>
      </c>
      <c r="OD261" s="561">
        <v>0</v>
      </c>
      <c r="OE261" s="561">
        <v>0</v>
      </c>
      <c r="OF261" s="561">
        <v>0</v>
      </c>
      <c r="OG261" s="561">
        <v>0</v>
      </c>
      <c r="OH261" s="561">
        <v>0</v>
      </c>
      <c r="OI261" s="561">
        <v>0</v>
      </c>
      <c r="OJ261" s="561">
        <v>0</v>
      </c>
      <c r="OK261" s="561">
        <v>-215.34</v>
      </c>
      <c r="OL261" s="561">
        <v>0</v>
      </c>
      <c r="OM261" s="561">
        <v>147.83000000000001</v>
      </c>
      <c r="ON261" s="561">
        <v>0</v>
      </c>
      <c r="OO261" s="561">
        <v>0</v>
      </c>
      <c r="OP261" s="561">
        <v>0</v>
      </c>
      <c r="OQ261" s="561">
        <v>1512.6</v>
      </c>
      <c r="OR261" s="561">
        <v>0</v>
      </c>
      <c r="OS261" s="561">
        <v>0</v>
      </c>
      <c r="OT261" s="561">
        <v>0</v>
      </c>
      <c r="OU261" s="561">
        <v>0</v>
      </c>
      <c r="OV261" s="561">
        <v>581</v>
      </c>
      <c r="OW261" s="561">
        <v>4844.1400000000003</v>
      </c>
      <c r="OX261" s="561">
        <v>5961.64</v>
      </c>
      <c r="OY261" s="561">
        <v>0</v>
      </c>
      <c r="OZ261" s="561">
        <v>0</v>
      </c>
      <c r="PA261" s="561">
        <v>0</v>
      </c>
      <c r="PB261" s="561">
        <v>0</v>
      </c>
      <c r="PC261" s="561">
        <v>0</v>
      </c>
      <c r="PD261" s="561">
        <v>0</v>
      </c>
      <c r="PE261" s="561">
        <v>342</v>
      </c>
      <c r="PF261" s="561">
        <v>0</v>
      </c>
      <c r="PG261" s="561">
        <v>4502.1400000000003</v>
      </c>
      <c r="PH261" s="561">
        <v>0</v>
      </c>
      <c r="PI261" s="561">
        <v>0</v>
      </c>
      <c r="PJ261" s="561">
        <v>4844.1400000000003</v>
      </c>
    </row>
    <row r="262" spans="1:426" ht="14" x14ac:dyDescent="0.3">
      <c r="A262" t="s">
        <v>3229</v>
      </c>
      <c r="B262" t="s">
        <v>3230</v>
      </c>
      <c r="C262" t="s">
        <v>4645</v>
      </c>
      <c r="E262" t="s">
        <v>2466</v>
      </c>
      <c r="F262" s="561">
        <v>0</v>
      </c>
      <c r="G262" s="561">
        <v>0</v>
      </c>
      <c r="H262" s="561">
        <v>0</v>
      </c>
      <c r="I262" s="561">
        <v>0</v>
      </c>
      <c r="J262" s="561">
        <v>0</v>
      </c>
      <c r="K262" s="561">
        <v>0</v>
      </c>
      <c r="L262" s="561">
        <v>0</v>
      </c>
      <c r="M262" s="561">
        <v>0</v>
      </c>
      <c r="N262" s="561">
        <v>0</v>
      </c>
      <c r="O262" s="561">
        <v>0</v>
      </c>
      <c r="P262" s="561">
        <v>0</v>
      </c>
      <c r="Q262" s="561">
        <v>0</v>
      </c>
      <c r="R262" s="561">
        <v>0</v>
      </c>
      <c r="S262" s="561">
        <v>0</v>
      </c>
      <c r="T262" s="561">
        <v>0</v>
      </c>
      <c r="U262" s="561">
        <v>0</v>
      </c>
      <c r="V262" s="561">
        <v>0</v>
      </c>
      <c r="W262" s="561">
        <v>0</v>
      </c>
      <c r="X262" s="561">
        <v>0</v>
      </c>
      <c r="Y262" s="561">
        <v>0</v>
      </c>
      <c r="Z262" s="561">
        <v>0</v>
      </c>
      <c r="AA262" s="561">
        <v>0</v>
      </c>
      <c r="AB262" s="561">
        <v>0</v>
      </c>
      <c r="AC262" s="561">
        <v>0</v>
      </c>
      <c r="AD262" s="561">
        <v>0</v>
      </c>
      <c r="AE262" s="561">
        <v>0</v>
      </c>
      <c r="AF262" s="561">
        <v>0</v>
      </c>
      <c r="AG262" s="561">
        <v>0</v>
      </c>
      <c r="AH262" s="561">
        <v>0</v>
      </c>
      <c r="AI262" s="561">
        <v>0</v>
      </c>
      <c r="AJ262" s="561">
        <v>0</v>
      </c>
      <c r="AK262" s="561">
        <v>0</v>
      </c>
      <c r="AL262" s="561">
        <v>0</v>
      </c>
      <c r="AM262" s="561">
        <v>0</v>
      </c>
      <c r="AN262" s="561">
        <v>0</v>
      </c>
      <c r="AO262" s="561">
        <v>0</v>
      </c>
      <c r="AP262" s="561">
        <v>0</v>
      </c>
      <c r="AQ262" s="561">
        <v>0</v>
      </c>
      <c r="AR262" s="561">
        <v>0</v>
      </c>
      <c r="AS262" s="561">
        <v>0</v>
      </c>
      <c r="AT262" s="561">
        <v>0</v>
      </c>
      <c r="AU262" s="561">
        <v>0</v>
      </c>
      <c r="AV262" s="561">
        <v>0</v>
      </c>
      <c r="AW262" s="561">
        <v>0</v>
      </c>
      <c r="AX262" s="561">
        <v>0</v>
      </c>
      <c r="AY262" s="561">
        <v>0</v>
      </c>
      <c r="AZ262" s="561">
        <v>0</v>
      </c>
      <c r="BA262" s="561">
        <v>0</v>
      </c>
      <c r="BB262" s="561">
        <v>0</v>
      </c>
      <c r="BC262" s="561">
        <v>0</v>
      </c>
      <c r="BD262" s="561">
        <v>0</v>
      </c>
      <c r="BE262" s="561">
        <v>0</v>
      </c>
      <c r="BF262" s="561">
        <v>0</v>
      </c>
      <c r="BG262" s="561">
        <v>0</v>
      </c>
      <c r="BH262" s="561">
        <v>0</v>
      </c>
      <c r="BI262" s="561">
        <v>0</v>
      </c>
      <c r="BJ262" s="561">
        <v>0</v>
      </c>
      <c r="BK262" s="561">
        <v>0</v>
      </c>
      <c r="BL262" s="561">
        <v>0</v>
      </c>
      <c r="BM262" s="561">
        <v>0</v>
      </c>
      <c r="BN262" s="561">
        <v>0</v>
      </c>
      <c r="BO262" s="561">
        <v>0</v>
      </c>
      <c r="BP262" s="561">
        <v>0</v>
      </c>
      <c r="BQ262" s="561">
        <v>0</v>
      </c>
      <c r="BR262" s="561">
        <v>0</v>
      </c>
      <c r="BS262" s="561">
        <v>0</v>
      </c>
      <c r="BT262" s="561">
        <v>0</v>
      </c>
      <c r="BU262" s="561">
        <v>0</v>
      </c>
      <c r="BV262" s="561">
        <v>0</v>
      </c>
      <c r="BW262" s="561">
        <v>0</v>
      </c>
      <c r="BX262" s="561">
        <v>0</v>
      </c>
      <c r="BY262" s="561">
        <v>0</v>
      </c>
      <c r="BZ262" s="561">
        <v>0</v>
      </c>
      <c r="CA262" s="561">
        <v>0</v>
      </c>
      <c r="CB262" s="561">
        <v>0</v>
      </c>
      <c r="CC262" s="561">
        <v>0</v>
      </c>
      <c r="CD262" s="561">
        <v>0</v>
      </c>
      <c r="CE262" s="561">
        <v>0</v>
      </c>
      <c r="CF262" s="561">
        <v>0</v>
      </c>
      <c r="CG262" s="561">
        <v>0</v>
      </c>
      <c r="CH262" s="561">
        <v>0</v>
      </c>
      <c r="CI262" s="561">
        <v>0</v>
      </c>
      <c r="CJ262" s="561">
        <v>0</v>
      </c>
      <c r="CK262" s="561">
        <v>0</v>
      </c>
      <c r="CL262" s="561">
        <v>0</v>
      </c>
      <c r="CM262" s="561">
        <v>0</v>
      </c>
      <c r="CN262" s="561">
        <v>0</v>
      </c>
      <c r="CO262" s="561">
        <v>0</v>
      </c>
      <c r="CP262" s="561">
        <v>0</v>
      </c>
      <c r="CQ262" s="561">
        <v>0</v>
      </c>
      <c r="CR262" s="561">
        <v>0</v>
      </c>
      <c r="CS262" s="561">
        <v>0</v>
      </c>
      <c r="CT262" s="561">
        <v>0</v>
      </c>
      <c r="CU262" s="561">
        <v>0</v>
      </c>
      <c r="CV262" s="561">
        <v>0</v>
      </c>
      <c r="CW262" s="561">
        <v>0</v>
      </c>
      <c r="CX262" s="561">
        <v>0</v>
      </c>
      <c r="CY262" s="561">
        <v>0</v>
      </c>
      <c r="CZ262" s="561">
        <v>0</v>
      </c>
      <c r="DA262" s="561">
        <v>0</v>
      </c>
      <c r="DB262" s="561">
        <v>0</v>
      </c>
      <c r="DC262" s="561">
        <v>0</v>
      </c>
      <c r="DD262" s="561">
        <v>0</v>
      </c>
      <c r="DE262" s="561">
        <v>0</v>
      </c>
      <c r="DF262" s="561">
        <v>0</v>
      </c>
      <c r="DG262" s="561">
        <v>0</v>
      </c>
      <c r="DH262" s="561">
        <v>0</v>
      </c>
      <c r="DI262" s="561">
        <v>0</v>
      </c>
      <c r="DJ262" s="561">
        <v>0</v>
      </c>
      <c r="DK262" s="561">
        <v>0</v>
      </c>
      <c r="DL262" s="561">
        <v>0</v>
      </c>
      <c r="DM262" s="561">
        <v>0</v>
      </c>
      <c r="DN262" s="561">
        <v>0</v>
      </c>
      <c r="DO262" s="561">
        <v>0</v>
      </c>
      <c r="DP262" s="561">
        <v>0</v>
      </c>
      <c r="DQ262" s="561">
        <v>0</v>
      </c>
      <c r="DR262" s="561">
        <v>0</v>
      </c>
      <c r="DS262" s="561">
        <v>0</v>
      </c>
      <c r="DT262" s="561">
        <v>0</v>
      </c>
      <c r="DU262" s="561">
        <v>0</v>
      </c>
      <c r="DV262" s="561">
        <v>0</v>
      </c>
      <c r="DW262" s="561">
        <v>0</v>
      </c>
      <c r="DX262" s="561">
        <v>0</v>
      </c>
      <c r="DY262" s="561">
        <v>0</v>
      </c>
      <c r="DZ262" s="561">
        <v>0</v>
      </c>
      <c r="EA262" s="561">
        <v>0</v>
      </c>
      <c r="EB262" s="561">
        <v>0</v>
      </c>
      <c r="EC262" s="561">
        <v>0</v>
      </c>
      <c r="ED262" s="561">
        <v>0</v>
      </c>
      <c r="EE262" s="561">
        <v>0</v>
      </c>
      <c r="EF262" s="561">
        <v>0</v>
      </c>
      <c r="EG262" s="561">
        <v>0</v>
      </c>
      <c r="EH262" s="561">
        <v>0</v>
      </c>
      <c r="EI262" s="561">
        <v>0</v>
      </c>
      <c r="EJ262" s="561">
        <v>0</v>
      </c>
      <c r="EK262" s="561">
        <v>0</v>
      </c>
      <c r="EL262" s="561">
        <v>0</v>
      </c>
      <c r="EM262" s="561">
        <v>0</v>
      </c>
      <c r="EN262" s="561">
        <v>0</v>
      </c>
      <c r="EO262" s="561">
        <v>0</v>
      </c>
      <c r="EP262" s="561">
        <v>0</v>
      </c>
      <c r="EQ262" s="561">
        <v>0</v>
      </c>
      <c r="ER262" s="561">
        <v>0</v>
      </c>
      <c r="ES262" s="561" t="s">
        <v>4565</v>
      </c>
      <c r="ET262" s="561">
        <v>0</v>
      </c>
      <c r="EU262" s="561">
        <v>0</v>
      </c>
      <c r="EV262" s="561">
        <v>0</v>
      </c>
      <c r="EW262" s="561">
        <v>0</v>
      </c>
      <c r="EX262" s="561">
        <v>0</v>
      </c>
      <c r="EY262" s="561">
        <v>0</v>
      </c>
      <c r="EZ262" s="561">
        <v>0</v>
      </c>
      <c r="FA262" s="561">
        <v>0</v>
      </c>
      <c r="FB262" s="561">
        <v>0</v>
      </c>
      <c r="FC262" s="561">
        <v>0</v>
      </c>
      <c r="FD262" s="561">
        <v>0</v>
      </c>
      <c r="FE262" s="561">
        <v>0</v>
      </c>
      <c r="FF262" s="561">
        <v>0</v>
      </c>
      <c r="FG262" s="561">
        <v>0</v>
      </c>
      <c r="FH262" s="561">
        <v>0</v>
      </c>
      <c r="FI262" s="561">
        <v>0</v>
      </c>
      <c r="FJ262" s="561">
        <v>0</v>
      </c>
      <c r="FK262" s="561">
        <v>0</v>
      </c>
      <c r="FL262" s="561">
        <v>0</v>
      </c>
      <c r="FM262" s="561">
        <v>0</v>
      </c>
      <c r="FN262" s="561">
        <v>0</v>
      </c>
      <c r="FO262" s="561">
        <v>0</v>
      </c>
      <c r="FP262" s="561">
        <v>0</v>
      </c>
      <c r="FQ262" s="561">
        <v>0</v>
      </c>
      <c r="FR262" s="561">
        <v>0</v>
      </c>
      <c r="FS262" s="561">
        <v>0</v>
      </c>
      <c r="FT262" s="561">
        <v>0</v>
      </c>
      <c r="FU262" s="561">
        <v>0</v>
      </c>
      <c r="FV262" s="561">
        <v>0</v>
      </c>
      <c r="FW262" s="561">
        <v>0</v>
      </c>
      <c r="FX262" s="561">
        <v>0</v>
      </c>
      <c r="FY262" s="561">
        <v>0</v>
      </c>
      <c r="FZ262" s="561">
        <v>0</v>
      </c>
      <c r="GA262" s="561">
        <v>0</v>
      </c>
      <c r="GB262" s="561">
        <v>0</v>
      </c>
      <c r="GC262" s="561">
        <v>0</v>
      </c>
      <c r="GD262" s="561">
        <v>0</v>
      </c>
      <c r="GE262" s="561">
        <v>0</v>
      </c>
      <c r="GF262" s="561">
        <v>0</v>
      </c>
      <c r="GG262" s="561">
        <v>0</v>
      </c>
      <c r="GH262" s="561">
        <v>0</v>
      </c>
      <c r="GI262" s="561">
        <v>0</v>
      </c>
      <c r="GJ262" s="561">
        <v>0</v>
      </c>
      <c r="GK262" s="561">
        <v>0</v>
      </c>
      <c r="GL262" s="561">
        <v>0</v>
      </c>
      <c r="GM262" s="561">
        <v>0</v>
      </c>
      <c r="GN262" s="561">
        <v>0</v>
      </c>
      <c r="GO262" s="561">
        <v>0</v>
      </c>
      <c r="GP262" s="561">
        <v>0</v>
      </c>
      <c r="GQ262" s="561">
        <v>0</v>
      </c>
      <c r="GR262" s="561">
        <v>0</v>
      </c>
      <c r="GS262" s="561">
        <v>0</v>
      </c>
      <c r="GT262" s="561">
        <v>0</v>
      </c>
      <c r="GU262" s="561">
        <v>0</v>
      </c>
      <c r="GV262" s="561">
        <v>0</v>
      </c>
      <c r="GW262" s="561">
        <v>0</v>
      </c>
      <c r="GX262" s="561">
        <v>0</v>
      </c>
      <c r="GY262" s="561">
        <v>0</v>
      </c>
      <c r="GZ262" s="561">
        <v>0</v>
      </c>
      <c r="HA262" s="561">
        <v>0</v>
      </c>
      <c r="HB262" s="561">
        <v>0</v>
      </c>
      <c r="HC262" s="561">
        <v>0</v>
      </c>
      <c r="HD262" s="561">
        <v>0</v>
      </c>
      <c r="HE262" s="561">
        <v>0</v>
      </c>
      <c r="HF262" s="561">
        <v>0</v>
      </c>
      <c r="HG262" s="561">
        <v>0</v>
      </c>
      <c r="HH262" s="561">
        <v>0</v>
      </c>
      <c r="HI262" s="561">
        <v>0</v>
      </c>
      <c r="HJ262" s="561">
        <v>5495</v>
      </c>
      <c r="HK262" s="561">
        <v>47498</v>
      </c>
      <c r="HL262" s="561">
        <v>654</v>
      </c>
      <c r="HM262" s="561">
        <v>53647</v>
      </c>
      <c r="HN262" s="561">
        <v>0</v>
      </c>
      <c r="HO262" s="561">
        <v>255</v>
      </c>
      <c r="HP262" s="561">
        <v>0</v>
      </c>
      <c r="HQ262" s="561">
        <v>0</v>
      </c>
      <c r="HR262" s="561">
        <v>0</v>
      </c>
      <c r="HS262" s="561">
        <v>0</v>
      </c>
      <c r="HT262" s="561">
        <v>0</v>
      </c>
      <c r="HU262" s="561">
        <v>0</v>
      </c>
      <c r="HV262" s="561">
        <v>0</v>
      </c>
      <c r="HW262" s="561">
        <v>0</v>
      </c>
      <c r="HX262" s="561">
        <v>0</v>
      </c>
      <c r="HY262" s="561">
        <v>0</v>
      </c>
      <c r="HZ262" s="561">
        <v>0</v>
      </c>
      <c r="IA262" s="561">
        <v>0</v>
      </c>
      <c r="IB262" s="561">
        <v>0</v>
      </c>
      <c r="IC262" s="561">
        <v>0</v>
      </c>
      <c r="ID262" s="561">
        <v>0</v>
      </c>
      <c r="IE262" s="561">
        <v>0</v>
      </c>
      <c r="IF262" s="561">
        <v>0</v>
      </c>
      <c r="IG262" s="561">
        <v>0</v>
      </c>
      <c r="IH262" s="561">
        <v>0</v>
      </c>
      <c r="II262" s="561">
        <v>255</v>
      </c>
      <c r="IJ262" s="561">
        <v>0</v>
      </c>
      <c r="IK262" s="561">
        <v>0</v>
      </c>
      <c r="IL262" s="561">
        <v>0</v>
      </c>
      <c r="IM262" s="561">
        <v>0</v>
      </c>
      <c r="IN262" s="561">
        <v>17176</v>
      </c>
      <c r="IO262" s="561">
        <v>0</v>
      </c>
      <c r="IP262" s="561">
        <v>0</v>
      </c>
      <c r="IQ262" s="561">
        <v>0</v>
      </c>
      <c r="IR262" s="561">
        <v>0</v>
      </c>
      <c r="IS262" s="561">
        <v>0</v>
      </c>
      <c r="IT262" s="561">
        <v>0</v>
      </c>
      <c r="IU262" s="561">
        <v>0</v>
      </c>
      <c r="IV262" s="561">
        <v>0</v>
      </c>
      <c r="IW262" s="561">
        <v>0</v>
      </c>
      <c r="IX262" s="561">
        <v>0</v>
      </c>
      <c r="IY262" s="561">
        <v>0</v>
      </c>
      <c r="IZ262" s="561">
        <v>0</v>
      </c>
      <c r="JA262" s="561">
        <v>0</v>
      </c>
      <c r="JB262" s="561">
        <v>53647</v>
      </c>
      <c r="JC262" s="561">
        <v>255</v>
      </c>
      <c r="JD262" s="561">
        <v>0</v>
      </c>
      <c r="JE262" s="561">
        <v>53902</v>
      </c>
      <c r="JF262" s="561">
        <v>0</v>
      </c>
      <c r="JG262" s="561">
        <v>0</v>
      </c>
      <c r="JH262" s="561">
        <v>0</v>
      </c>
      <c r="JI262" s="561">
        <v>0</v>
      </c>
      <c r="JJ262" s="561">
        <v>0</v>
      </c>
      <c r="JK262" s="561">
        <v>0</v>
      </c>
      <c r="JL262" s="561">
        <v>0</v>
      </c>
      <c r="JM262" s="561">
        <v>0</v>
      </c>
      <c r="JN262" s="561">
        <v>0</v>
      </c>
      <c r="JO262" s="561">
        <v>0</v>
      </c>
      <c r="JP262" s="561">
        <v>0</v>
      </c>
      <c r="JQ262" s="561">
        <v>0</v>
      </c>
      <c r="JR262" s="561">
        <v>0</v>
      </c>
      <c r="JS262" s="561">
        <v>0</v>
      </c>
      <c r="JT262" s="561">
        <v>52</v>
      </c>
      <c r="JU262" s="561">
        <v>0</v>
      </c>
      <c r="JV262" s="561">
        <v>53954</v>
      </c>
      <c r="JW262" s="561">
        <v>0</v>
      </c>
      <c r="JX262" s="561">
        <v>408</v>
      </c>
      <c r="JY262" s="561">
        <v>0</v>
      </c>
      <c r="JZ262" s="561">
        <v>0</v>
      </c>
      <c r="KA262" s="561">
        <v>0</v>
      </c>
      <c r="KB262" s="561">
        <v>0</v>
      </c>
      <c r="KC262" s="561">
        <v>2915</v>
      </c>
      <c r="KD262" s="561">
        <v>0</v>
      </c>
      <c r="KE262" s="561">
        <v>983</v>
      </c>
      <c r="KF262" s="561">
        <v>0</v>
      </c>
      <c r="KG262" s="561">
        <v>58260</v>
      </c>
      <c r="KH262" s="561">
        <v>-695</v>
      </c>
      <c r="KI262" s="561">
        <v>0</v>
      </c>
      <c r="KJ262" s="561">
        <v>0</v>
      </c>
      <c r="KK262" s="561">
        <v>0</v>
      </c>
      <c r="KL262" s="561">
        <v>0</v>
      </c>
      <c r="KM262" s="561">
        <v>0</v>
      </c>
      <c r="KN262" s="561">
        <v>0</v>
      </c>
      <c r="KO262" s="561">
        <v>0</v>
      </c>
      <c r="KP262" s="561">
        <v>0</v>
      </c>
      <c r="KQ262" s="561">
        <v>0</v>
      </c>
      <c r="KR262" s="561">
        <v>57565</v>
      </c>
      <c r="KS262" s="561">
        <v>0</v>
      </c>
      <c r="KT262" s="561">
        <v>-6042</v>
      </c>
      <c r="KU262" s="561">
        <v>51523</v>
      </c>
      <c r="KV262" s="561">
        <v>0</v>
      </c>
      <c r="KW262" s="561">
        <v>0</v>
      </c>
      <c r="KX262" s="561">
        <v>0</v>
      </c>
      <c r="KY262" s="561">
        <v>0</v>
      </c>
      <c r="KZ262" s="561">
        <v>589</v>
      </c>
      <c r="LA262" s="561">
        <v>-13</v>
      </c>
      <c r="LB262" s="561">
        <v>-8939</v>
      </c>
      <c r="LC262" s="561">
        <v>0</v>
      </c>
      <c r="LD262" s="561">
        <v>-11916</v>
      </c>
      <c r="LE262" s="561">
        <v>-251</v>
      </c>
      <c r="LF262" s="561">
        <v>0</v>
      </c>
      <c r="LG262" s="561">
        <v>30993</v>
      </c>
      <c r="LH262" s="561">
        <v>0</v>
      </c>
      <c r="LI262" s="561">
        <v>0</v>
      </c>
      <c r="LJ262" s="561">
        <v>0</v>
      </c>
      <c r="LK262" s="561">
        <v>0</v>
      </c>
      <c r="LL262" s="561">
        <v>5846</v>
      </c>
      <c r="LM262" s="561">
        <v>5082</v>
      </c>
      <c r="LN262" s="561">
        <v>0</v>
      </c>
      <c r="LO262" s="561">
        <v>0</v>
      </c>
      <c r="LP262" s="561">
        <v>0</v>
      </c>
      <c r="LQ262" s="561">
        <v>0</v>
      </c>
      <c r="LR262" s="561">
        <v>6435</v>
      </c>
      <c r="LS262" s="561">
        <v>5069</v>
      </c>
      <c r="LT262" s="561">
        <v>0</v>
      </c>
      <c r="LU262" s="561">
        <v>2707</v>
      </c>
      <c r="LV262" s="561">
        <v>21</v>
      </c>
      <c r="LW262" s="561">
        <v>-32</v>
      </c>
      <c r="LX262" s="561">
        <v>0</v>
      </c>
      <c r="LY262" s="561">
        <v>0</v>
      </c>
      <c r="LZ262" s="561">
        <v>2696</v>
      </c>
      <c r="MA262" s="561">
        <v>0</v>
      </c>
      <c r="MB262" s="561">
        <v>0</v>
      </c>
      <c r="MC262" s="561">
        <v>0</v>
      </c>
      <c r="MD262" s="561">
        <v>0</v>
      </c>
      <c r="ME262" s="561">
        <v>0</v>
      </c>
      <c r="MF262" s="561">
        <v>0</v>
      </c>
      <c r="MG262" s="561">
        <v>0</v>
      </c>
      <c r="MH262" s="561">
        <v>0</v>
      </c>
      <c r="MI262" s="561">
        <v>0</v>
      </c>
      <c r="MJ262" s="561">
        <v>0</v>
      </c>
      <c r="MK262" s="561">
        <v>0</v>
      </c>
      <c r="ML262" s="561">
        <v>0</v>
      </c>
      <c r="MM262" s="561">
        <v>5109</v>
      </c>
      <c r="MN262" s="561">
        <v>200</v>
      </c>
      <c r="MO262" s="561">
        <v>1126</v>
      </c>
      <c r="MP262" s="561">
        <v>0</v>
      </c>
      <c r="MQ262" s="561">
        <v>0</v>
      </c>
      <c r="MR262" s="561">
        <v>0</v>
      </c>
      <c r="MS262" s="561">
        <v>0</v>
      </c>
      <c r="MT262" s="561">
        <v>0</v>
      </c>
      <c r="MU262" s="561">
        <v>0</v>
      </c>
      <c r="MV262" s="561">
        <v>0</v>
      </c>
      <c r="MW262" s="561">
        <v>0</v>
      </c>
      <c r="MX262" s="561">
        <v>0</v>
      </c>
      <c r="MY262" s="561">
        <v>0</v>
      </c>
      <c r="MZ262" s="561">
        <v>0</v>
      </c>
      <c r="NA262" s="561">
        <v>53647</v>
      </c>
      <c r="NB262" s="561">
        <v>255</v>
      </c>
      <c r="NC262" s="561">
        <v>0</v>
      </c>
      <c r="ND262" s="561">
        <v>53902</v>
      </c>
      <c r="NE262" s="561">
        <v>0</v>
      </c>
      <c r="NF262" s="561">
        <v>0</v>
      </c>
      <c r="NG262" s="561">
        <v>0</v>
      </c>
      <c r="NH262" s="561">
        <v>0</v>
      </c>
      <c r="NI262" s="561">
        <v>0</v>
      </c>
      <c r="NJ262" s="561">
        <v>0</v>
      </c>
      <c r="NK262" s="561">
        <v>0</v>
      </c>
      <c r="NL262" s="561">
        <v>0</v>
      </c>
      <c r="NM262" s="561">
        <v>0</v>
      </c>
      <c r="NN262" s="561">
        <v>0</v>
      </c>
      <c r="NO262" s="561">
        <v>0</v>
      </c>
      <c r="NP262" s="561">
        <v>0</v>
      </c>
      <c r="NQ262" s="561">
        <v>0</v>
      </c>
      <c r="NR262" s="561">
        <v>0</v>
      </c>
      <c r="NS262" s="561">
        <v>0</v>
      </c>
      <c r="NT262" s="561">
        <v>0</v>
      </c>
      <c r="NU262" s="561">
        <v>-568</v>
      </c>
      <c r="NV262" s="561">
        <v>0</v>
      </c>
      <c r="NW262" s="561">
        <v>0</v>
      </c>
      <c r="NX262" s="561">
        <v>0</v>
      </c>
      <c r="NY262" s="561">
        <v>0</v>
      </c>
      <c r="NZ262" s="561">
        <v>0</v>
      </c>
      <c r="OA262" s="561">
        <v>0</v>
      </c>
      <c r="OB262" s="561">
        <v>0</v>
      </c>
      <c r="OC262" s="561">
        <v>0</v>
      </c>
      <c r="OD262" s="561">
        <v>0</v>
      </c>
      <c r="OE262" s="561">
        <v>0</v>
      </c>
      <c r="OF262" s="561">
        <v>0</v>
      </c>
      <c r="OG262" s="561">
        <v>0</v>
      </c>
      <c r="OH262" s="561">
        <v>0</v>
      </c>
      <c r="OI262" s="561">
        <v>0</v>
      </c>
      <c r="OJ262" s="561">
        <v>0</v>
      </c>
      <c r="OK262" s="561">
        <v>0</v>
      </c>
      <c r="OL262" s="561">
        <v>0</v>
      </c>
      <c r="OM262" s="561">
        <v>0</v>
      </c>
      <c r="ON262" s="561">
        <v>0</v>
      </c>
      <c r="OO262" s="561">
        <v>0</v>
      </c>
      <c r="OP262" s="561">
        <v>0</v>
      </c>
      <c r="OQ262" s="561">
        <v>0</v>
      </c>
      <c r="OR262" s="561">
        <v>0</v>
      </c>
      <c r="OS262" s="561">
        <v>0</v>
      </c>
      <c r="OT262" s="561">
        <v>0</v>
      </c>
      <c r="OU262" s="561">
        <v>0</v>
      </c>
      <c r="OV262" s="561">
        <v>1770</v>
      </c>
      <c r="OW262" s="561">
        <v>0</v>
      </c>
      <c r="OX262" s="561">
        <v>0</v>
      </c>
      <c r="OY262" s="561">
        <v>0</v>
      </c>
      <c r="OZ262" s="561">
        <v>0</v>
      </c>
      <c r="PA262" s="561">
        <v>0</v>
      </c>
      <c r="PB262" s="561">
        <v>0</v>
      </c>
      <c r="PC262" s="561">
        <v>0</v>
      </c>
      <c r="PD262" s="561">
        <v>0</v>
      </c>
      <c r="PE262" s="561">
        <v>0</v>
      </c>
      <c r="PF262" s="561">
        <v>0</v>
      </c>
      <c r="PG262" s="561">
        <v>0</v>
      </c>
      <c r="PH262" s="561">
        <v>0</v>
      </c>
      <c r="PI262" s="561">
        <v>0</v>
      </c>
      <c r="PJ262" s="561">
        <v>0</v>
      </c>
    </row>
    <row r="263" spans="1:426" ht="14" x14ac:dyDescent="0.3">
      <c r="A263" t="s">
        <v>3232</v>
      </c>
      <c r="B263" t="s">
        <v>3233</v>
      </c>
      <c r="C263" t="s">
        <v>3234</v>
      </c>
      <c r="E263" t="s">
        <v>2466</v>
      </c>
      <c r="F263" s="561">
        <v>0</v>
      </c>
      <c r="G263" s="561">
        <v>0</v>
      </c>
      <c r="H263" s="561">
        <v>0</v>
      </c>
      <c r="I263" s="561">
        <v>0</v>
      </c>
      <c r="J263" s="561">
        <v>0</v>
      </c>
      <c r="K263" s="561">
        <v>0</v>
      </c>
      <c r="L263" s="561">
        <v>0</v>
      </c>
      <c r="M263" s="561">
        <v>0</v>
      </c>
      <c r="N263" s="561">
        <v>0</v>
      </c>
      <c r="O263" s="561">
        <v>0</v>
      </c>
      <c r="P263" s="561">
        <v>0</v>
      </c>
      <c r="Q263" s="561">
        <v>0</v>
      </c>
      <c r="R263" s="561">
        <v>0</v>
      </c>
      <c r="S263" s="561">
        <v>0</v>
      </c>
      <c r="T263" s="561">
        <v>0</v>
      </c>
      <c r="U263" s="561">
        <v>0</v>
      </c>
      <c r="V263" s="561">
        <v>0</v>
      </c>
      <c r="W263" s="561">
        <v>0</v>
      </c>
      <c r="X263" s="561">
        <v>0</v>
      </c>
      <c r="Y263" s="561">
        <v>0</v>
      </c>
      <c r="Z263" s="561">
        <v>0</v>
      </c>
      <c r="AA263" s="561">
        <v>0</v>
      </c>
      <c r="AB263" s="561">
        <v>0</v>
      </c>
      <c r="AC263" s="561">
        <v>0</v>
      </c>
      <c r="AD263" s="561">
        <v>0</v>
      </c>
      <c r="AE263" s="561">
        <v>0</v>
      </c>
      <c r="AF263" s="561">
        <v>0</v>
      </c>
      <c r="AG263" s="561">
        <v>0</v>
      </c>
      <c r="AH263" s="561">
        <v>0</v>
      </c>
      <c r="AI263" s="561">
        <v>0</v>
      </c>
      <c r="AJ263" s="561">
        <v>0</v>
      </c>
      <c r="AK263" s="561">
        <v>0</v>
      </c>
      <c r="AL263" s="561">
        <v>0</v>
      </c>
      <c r="AM263" s="561">
        <v>0</v>
      </c>
      <c r="AN263" s="561">
        <v>0</v>
      </c>
      <c r="AO263" s="561">
        <v>0</v>
      </c>
      <c r="AP263" s="561">
        <v>0</v>
      </c>
      <c r="AQ263" s="561">
        <v>0</v>
      </c>
      <c r="AR263" s="561">
        <v>0</v>
      </c>
      <c r="AS263" s="561">
        <v>0</v>
      </c>
      <c r="AT263" s="561">
        <v>0</v>
      </c>
      <c r="AU263" s="561">
        <v>0</v>
      </c>
      <c r="AV263" s="561">
        <v>0</v>
      </c>
      <c r="AW263" s="561">
        <v>0</v>
      </c>
      <c r="AX263" s="561">
        <v>0</v>
      </c>
      <c r="AY263" s="561">
        <v>0</v>
      </c>
      <c r="AZ263" s="561">
        <v>0</v>
      </c>
      <c r="BA263" s="561">
        <v>0</v>
      </c>
      <c r="BB263" s="561">
        <v>0</v>
      </c>
      <c r="BC263" s="561">
        <v>0</v>
      </c>
      <c r="BD263" s="561">
        <v>0</v>
      </c>
      <c r="BE263" s="561">
        <v>0</v>
      </c>
      <c r="BF263" s="561">
        <v>0</v>
      </c>
      <c r="BG263" s="561">
        <v>0</v>
      </c>
      <c r="BH263" s="561">
        <v>0</v>
      </c>
      <c r="BI263" s="561">
        <v>0</v>
      </c>
      <c r="BJ263" s="561">
        <v>0</v>
      </c>
      <c r="BK263" s="561">
        <v>0</v>
      </c>
      <c r="BL263" s="561">
        <v>0</v>
      </c>
      <c r="BM263" s="561">
        <v>0</v>
      </c>
      <c r="BN263" s="561">
        <v>0</v>
      </c>
      <c r="BO263" s="561">
        <v>0</v>
      </c>
      <c r="BP263" s="561">
        <v>0</v>
      </c>
      <c r="BQ263" s="561">
        <v>0</v>
      </c>
      <c r="BR263" s="561">
        <v>0</v>
      </c>
      <c r="BS263" s="561">
        <v>0</v>
      </c>
      <c r="BT263" s="561">
        <v>0</v>
      </c>
      <c r="BU263" s="561">
        <v>0</v>
      </c>
      <c r="BV263" s="561">
        <v>0</v>
      </c>
      <c r="BW263" s="561">
        <v>0</v>
      </c>
      <c r="BX263" s="561">
        <v>0</v>
      </c>
      <c r="BY263" s="561">
        <v>0</v>
      </c>
      <c r="BZ263" s="561">
        <v>0</v>
      </c>
      <c r="CA263" s="561">
        <v>0</v>
      </c>
      <c r="CB263" s="561">
        <v>0</v>
      </c>
      <c r="CC263" s="561">
        <v>0</v>
      </c>
      <c r="CD263" s="561">
        <v>0</v>
      </c>
      <c r="CE263" s="561">
        <v>0</v>
      </c>
      <c r="CF263" s="561">
        <v>0</v>
      </c>
      <c r="CG263" s="561">
        <v>0</v>
      </c>
      <c r="CH263" s="561">
        <v>0</v>
      </c>
      <c r="CI263" s="561">
        <v>0</v>
      </c>
      <c r="CJ263" s="561">
        <v>0</v>
      </c>
      <c r="CK263" s="561">
        <v>0</v>
      </c>
      <c r="CL263" s="561">
        <v>0</v>
      </c>
      <c r="CM263" s="561">
        <v>0</v>
      </c>
      <c r="CN263" s="561">
        <v>0</v>
      </c>
      <c r="CO263" s="561">
        <v>0</v>
      </c>
      <c r="CP263" s="561">
        <v>0</v>
      </c>
      <c r="CQ263" s="561">
        <v>0</v>
      </c>
      <c r="CR263" s="561">
        <v>0</v>
      </c>
      <c r="CS263" s="561">
        <v>0</v>
      </c>
      <c r="CT263" s="561">
        <v>0</v>
      </c>
      <c r="CU263" s="561">
        <v>0</v>
      </c>
      <c r="CV263" s="561">
        <v>0</v>
      </c>
      <c r="CW263" s="561">
        <v>0</v>
      </c>
      <c r="CX263" s="561">
        <v>0</v>
      </c>
      <c r="CY263" s="561">
        <v>0</v>
      </c>
      <c r="CZ263" s="561">
        <v>0</v>
      </c>
      <c r="DA263" s="561">
        <v>0</v>
      </c>
      <c r="DB263" s="561">
        <v>0</v>
      </c>
      <c r="DC263" s="561">
        <v>0</v>
      </c>
      <c r="DD263" s="561">
        <v>0</v>
      </c>
      <c r="DE263" s="561">
        <v>0</v>
      </c>
      <c r="DF263" s="561">
        <v>0</v>
      </c>
      <c r="DG263" s="561">
        <v>0</v>
      </c>
      <c r="DH263" s="561">
        <v>0</v>
      </c>
      <c r="DI263" s="561">
        <v>0</v>
      </c>
      <c r="DJ263" s="561">
        <v>0</v>
      </c>
      <c r="DK263" s="561">
        <v>0</v>
      </c>
      <c r="DL263" s="561">
        <v>0</v>
      </c>
      <c r="DM263" s="561">
        <v>0</v>
      </c>
      <c r="DN263" s="561">
        <v>0</v>
      </c>
      <c r="DO263" s="561">
        <v>0</v>
      </c>
      <c r="DP263" s="561">
        <v>0</v>
      </c>
      <c r="DQ263" s="561">
        <v>0</v>
      </c>
      <c r="DR263" s="561">
        <v>0</v>
      </c>
      <c r="DS263" s="561">
        <v>0</v>
      </c>
      <c r="DT263" s="561">
        <v>0</v>
      </c>
      <c r="DU263" s="561">
        <v>0</v>
      </c>
      <c r="DV263" s="561">
        <v>0</v>
      </c>
      <c r="DW263" s="561">
        <v>0</v>
      </c>
      <c r="DX263" s="561">
        <v>0</v>
      </c>
      <c r="DY263" s="561">
        <v>0</v>
      </c>
      <c r="DZ263" s="561">
        <v>0</v>
      </c>
      <c r="EA263" s="561">
        <v>0</v>
      </c>
      <c r="EB263" s="561">
        <v>0</v>
      </c>
      <c r="EC263" s="561">
        <v>0</v>
      </c>
      <c r="ED263" s="561">
        <v>0</v>
      </c>
      <c r="EE263" s="561">
        <v>0</v>
      </c>
      <c r="EF263" s="561">
        <v>0</v>
      </c>
      <c r="EG263" s="561">
        <v>0</v>
      </c>
      <c r="EH263" s="561">
        <v>0</v>
      </c>
      <c r="EI263" s="561">
        <v>0</v>
      </c>
      <c r="EJ263" s="561">
        <v>0</v>
      </c>
      <c r="EK263" s="561">
        <v>0</v>
      </c>
      <c r="EL263" s="561">
        <v>0</v>
      </c>
      <c r="EM263" s="561">
        <v>0</v>
      </c>
      <c r="EN263" s="561">
        <v>0</v>
      </c>
      <c r="EO263" s="561">
        <v>0</v>
      </c>
      <c r="EP263" s="561">
        <v>0</v>
      </c>
      <c r="EQ263" s="561">
        <v>0</v>
      </c>
      <c r="ER263" s="561">
        <v>0</v>
      </c>
      <c r="ES263" s="561" t="s">
        <v>4565</v>
      </c>
      <c r="ET263" s="561">
        <v>0</v>
      </c>
      <c r="EU263" s="561">
        <v>0</v>
      </c>
      <c r="EV263" s="561">
        <v>0</v>
      </c>
      <c r="EW263" s="561">
        <v>0</v>
      </c>
      <c r="EX263" s="561">
        <v>0</v>
      </c>
      <c r="EY263" s="561">
        <v>0</v>
      </c>
      <c r="EZ263" s="561">
        <v>0</v>
      </c>
      <c r="FA263" s="561">
        <v>0</v>
      </c>
      <c r="FB263" s="561">
        <v>0</v>
      </c>
      <c r="FC263" s="561">
        <v>0</v>
      </c>
      <c r="FD263" s="561">
        <v>0</v>
      </c>
      <c r="FE263" s="561">
        <v>0</v>
      </c>
      <c r="FF263" s="561">
        <v>0</v>
      </c>
      <c r="FG263" s="561">
        <v>0</v>
      </c>
      <c r="FH263" s="561">
        <v>0</v>
      </c>
      <c r="FI263" s="561">
        <v>0</v>
      </c>
      <c r="FJ263" s="561">
        <v>0</v>
      </c>
      <c r="FK263" s="561">
        <v>0</v>
      </c>
      <c r="FL263" s="561">
        <v>0</v>
      </c>
      <c r="FM263" s="561">
        <v>0</v>
      </c>
      <c r="FN263" s="561">
        <v>0</v>
      </c>
      <c r="FO263" s="561">
        <v>0</v>
      </c>
      <c r="FP263" s="561">
        <v>0</v>
      </c>
      <c r="FQ263" s="561">
        <v>0</v>
      </c>
      <c r="FR263" s="561">
        <v>0</v>
      </c>
      <c r="FS263" s="561">
        <v>0</v>
      </c>
      <c r="FT263" s="561">
        <v>0</v>
      </c>
      <c r="FU263" s="561">
        <v>0</v>
      </c>
      <c r="FV263" s="561">
        <v>0</v>
      </c>
      <c r="FW263" s="561">
        <v>0</v>
      </c>
      <c r="FX263" s="561">
        <v>0</v>
      </c>
      <c r="FY263" s="561">
        <v>0</v>
      </c>
      <c r="FZ263" s="561">
        <v>0</v>
      </c>
      <c r="GA263" s="561">
        <v>0</v>
      </c>
      <c r="GB263" s="561">
        <v>0</v>
      </c>
      <c r="GC263" s="561">
        <v>0</v>
      </c>
      <c r="GD263" s="561">
        <v>0</v>
      </c>
      <c r="GE263" s="561">
        <v>0</v>
      </c>
      <c r="GF263" s="561">
        <v>0</v>
      </c>
      <c r="GG263" s="561">
        <v>0</v>
      </c>
      <c r="GH263" s="561">
        <v>0</v>
      </c>
      <c r="GI263" s="561">
        <v>0</v>
      </c>
      <c r="GJ263" s="561">
        <v>0</v>
      </c>
      <c r="GK263" s="561">
        <v>0</v>
      </c>
      <c r="GL263" s="561">
        <v>0</v>
      </c>
      <c r="GM263" s="561">
        <v>0</v>
      </c>
      <c r="GN263" s="561">
        <v>0</v>
      </c>
      <c r="GO263" s="561">
        <v>0</v>
      </c>
      <c r="GP263" s="561">
        <v>0</v>
      </c>
      <c r="GQ263" s="561">
        <v>0</v>
      </c>
      <c r="GR263" s="561">
        <v>0</v>
      </c>
      <c r="GS263" s="561">
        <v>0</v>
      </c>
      <c r="GT263" s="561">
        <v>0</v>
      </c>
      <c r="GU263" s="561">
        <v>0</v>
      </c>
      <c r="GV263" s="561">
        <v>0</v>
      </c>
      <c r="GW263" s="561">
        <v>0</v>
      </c>
      <c r="GX263" s="561">
        <v>0</v>
      </c>
      <c r="GY263" s="561">
        <v>0</v>
      </c>
      <c r="GZ263" s="561">
        <v>0</v>
      </c>
      <c r="HA263" s="561">
        <v>0</v>
      </c>
      <c r="HB263" s="561">
        <v>0</v>
      </c>
      <c r="HC263" s="561">
        <v>0</v>
      </c>
      <c r="HD263" s="561">
        <v>0</v>
      </c>
      <c r="HE263" s="561">
        <v>0</v>
      </c>
      <c r="HF263" s="561">
        <v>0</v>
      </c>
      <c r="HG263" s="561">
        <v>0</v>
      </c>
      <c r="HH263" s="561">
        <v>267941</v>
      </c>
      <c r="HI263" s="561">
        <v>197</v>
      </c>
      <c r="HJ263" s="561">
        <v>0</v>
      </c>
      <c r="HK263" s="561">
        <v>0</v>
      </c>
      <c r="HL263" s="561">
        <v>0</v>
      </c>
      <c r="HM263" s="561">
        <v>0</v>
      </c>
      <c r="HN263" s="561">
        <v>0</v>
      </c>
      <c r="HO263" s="561">
        <v>5788</v>
      </c>
      <c r="HP263" s="561">
        <v>0</v>
      </c>
      <c r="HQ263" s="561">
        <v>0</v>
      </c>
      <c r="HR263" s="561">
        <v>0</v>
      </c>
      <c r="HS263" s="561">
        <v>0</v>
      </c>
      <c r="HT263" s="561">
        <v>0</v>
      </c>
      <c r="HU263" s="561">
        <v>0</v>
      </c>
      <c r="HV263" s="561">
        <v>0</v>
      </c>
      <c r="HW263" s="561">
        <v>0</v>
      </c>
      <c r="HX263" s="561">
        <v>0</v>
      </c>
      <c r="HY263" s="561">
        <v>0</v>
      </c>
      <c r="HZ263" s="561">
        <v>0</v>
      </c>
      <c r="IA263" s="561">
        <v>0</v>
      </c>
      <c r="IB263" s="561">
        <v>0</v>
      </c>
      <c r="IC263" s="561">
        <v>0</v>
      </c>
      <c r="ID263" s="561">
        <v>0</v>
      </c>
      <c r="IE263" s="561">
        <v>0</v>
      </c>
      <c r="IF263" s="561">
        <v>0</v>
      </c>
      <c r="IG263" s="561">
        <v>0</v>
      </c>
      <c r="IH263" s="561">
        <v>0</v>
      </c>
      <c r="II263" s="561">
        <v>5788</v>
      </c>
      <c r="IJ263" s="561">
        <v>3</v>
      </c>
      <c r="IK263" s="561">
        <v>0</v>
      </c>
      <c r="IL263" s="561">
        <v>0</v>
      </c>
      <c r="IM263" s="561">
        <v>0</v>
      </c>
      <c r="IN263" s="561">
        <v>0</v>
      </c>
      <c r="IO263" s="561">
        <v>0</v>
      </c>
      <c r="IP263" s="561">
        <v>0</v>
      </c>
      <c r="IQ263" s="561">
        <v>0</v>
      </c>
      <c r="IR263" s="561">
        <v>0</v>
      </c>
      <c r="IS263" s="561">
        <v>0</v>
      </c>
      <c r="IT263" s="561">
        <v>0</v>
      </c>
      <c r="IU263" s="561">
        <v>0</v>
      </c>
      <c r="IV263" s="561">
        <v>0</v>
      </c>
      <c r="IW263" s="561">
        <v>0</v>
      </c>
      <c r="IX263" s="561">
        <v>0</v>
      </c>
      <c r="IY263" s="561">
        <v>0</v>
      </c>
      <c r="IZ263" s="561">
        <v>0</v>
      </c>
      <c r="JA263" s="561">
        <v>267941</v>
      </c>
      <c r="JB263" s="561">
        <v>0</v>
      </c>
      <c r="JC263" s="561">
        <v>5788</v>
      </c>
      <c r="JD263" s="561">
        <v>0</v>
      </c>
      <c r="JE263" s="561">
        <v>273729</v>
      </c>
      <c r="JF263" s="561">
        <v>0</v>
      </c>
      <c r="JG263" s="561">
        <v>0</v>
      </c>
      <c r="JH263" s="561">
        <v>0</v>
      </c>
      <c r="JI263" s="561">
        <v>0</v>
      </c>
      <c r="JJ263" s="561">
        <v>0</v>
      </c>
      <c r="JK263" s="561">
        <v>0</v>
      </c>
      <c r="JL263" s="561">
        <v>0</v>
      </c>
      <c r="JM263" s="561">
        <v>0</v>
      </c>
      <c r="JN263" s="561">
        <v>0</v>
      </c>
      <c r="JO263" s="561">
        <v>0</v>
      </c>
      <c r="JP263" s="561">
        <v>0</v>
      </c>
      <c r="JQ263" s="561">
        <v>0</v>
      </c>
      <c r="JR263" s="561">
        <v>0</v>
      </c>
      <c r="JS263" s="561">
        <v>0</v>
      </c>
      <c r="JT263" s="561">
        <v>1172</v>
      </c>
      <c r="JU263" s="561">
        <v>0</v>
      </c>
      <c r="JV263" s="561">
        <v>274901</v>
      </c>
      <c r="JW263" s="561">
        <v>0</v>
      </c>
      <c r="JX263" s="561">
        <v>0</v>
      </c>
      <c r="JY263" s="561">
        <v>0</v>
      </c>
      <c r="JZ263" s="561">
        <v>0</v>
      </c>
      <c r="KA263" s="561">
        <v>0</v>
      </c>
      <c r="KB263" s="561">
        <v>0</v>
      </c>
      <c r="KC263" s="561">
        <v>4685</v>
      </c>
      <c r="KD263" s="561">
        <v>0</v>
      </c>
      <c r="KE263" s="561">
        <v>1683</v>
      </c>
      <c r="KF263" s="561">
        <v>0</v>
      </c>
      <c r="KG263" s="561">
        <v>281269</v>
      </c>
      <c r="KH263" s="561">
        <v>-3731</v>
      </c>
      <c r="KI263" s="561">
        <v>0</v>
      </c>
      <c r="KJ263" s="561">
        <v>0</v>
      </c>
      <c r="KK263" s="561">
        <v>0</v>
      </c>
      <c r="KL263" s="561">
        <v>0</v>
      </c>
      <c r="KM263" s="561">
        <v>0</v>
      </c>
      <c r="KN263" s="561">
        <v>0</v>
      </c>
      <c r="KO263" s="561">
        <v>0</v>
      </c>
      <c r="KP263" s="561">
        <v>0</v>
      </c>
      <c r="KQ263" s="561">
        <v>0</v>
      </c>
      <c r="KR263" s="561">
        <v>277538</v>
      </c>
      <c r="KS263" s="561">
        <v>0</v>
      </c>
      <c r="KT263" s="561">
        <v>-12564.32</v>
      </c>
      <c r="KU263" s="561">
        <v>264973.68</v>
      </c>
      <c r="KV263" s="561">
        <v>0</v>
      </c>
      <c r="KW263" s="561">
        <v>0</v>
      </c>
      <c r="KX263" s="561">
        <v>0</v>
      </c>
      <c r="KY263" s="561">
        <v>0</v>
      </c>
      <c r="KZ263" s="561">
        <v>3816</v>
      </c>
      <c r="LA263" s="561">
        <v>289</v>
      </c>
      <c r="LB263" s="561">
        <v>0</v>
      </c>
      <c r="LC263" s="561">
        <v>-172898</v>
      </c>
      <c r="LD263" s="561">
        <v>0</v>
      </c>
      <c r="LE263" s="561">
        <v>-1347</v>
      </c>
      <c r="LF263" s="561">
        <v>0</v>
      </c>
      <c r="LG263" s="561">
        <v>94834</v>
      </c>
      <c r="LH263" s="561">
        <v>0</v>
      </c>
      <c r="LI263" s="561">
        <v>0</v>
      </c>
      <c r="LJ263" s="561">
        <v>0</v>
      </c>
      <c r="LK263" s="561">
        <v>0</v>
      </c>
      <c r="LL263" s="561">
        <v>32232</v>
      </c>
      <c r="LM263" s="561">
        <v>9238</v>
      </c>
      <c r="LN263" s="561">
        <v>0</v>
      </c>
      <c r="LO263" s="561">
        <v>0</v>
      </c>
      <c r="LP263" s="561">
        <v>0</v>
      </c>
      <c r="LQ263" s="561">
        <v>0</v>
      </c>
      <c r="LR263" s="561">
        <v>36048</v>
      </c>
      <c r="LS263" s="561">
        <v>9527</v>
      </c>
      <c r="LT263" s="561">
        <v>0</v>
      </c>
      <c r="LU263" s="561">
        <v>7180</v>
      </c>
      <c r="LV263" s="561">
        <v>2318</v>
      </c>
      <c r="LW263" s="561">
        <v>0</v>
      </c>
      <c r="LX263" s="561">
        <v>0</v>
      </c>
      <c r="LY263" s="561">
        <v>0</v>
      </c>
      <c r="LZ263" s="561">
        <v>9498</v>
      </c>
      <c r="MA263" s="561">
        <v>0</v>
      </c>
      <c r="MB263" s="561">
        <v>0</v>
      </c>
      <c r="MC263" s="561">
        <v>0</v>
      </c>
      <c r="MD263" s="561">
        <v>0</v>
      </c>
      <c r="ME263" s="561">
        <v>0</v>
      </c>
      <c r="MF263" s="561">
        <v>0</v>
      </c>
      <c r="MG263" s="561">
        <v>0</v>
      </c>
      <c r="MH263" s="561">
        <v>0</v>
      </c>
      <c r="MI263" s="561">
        <v>0</v>
      </c>
      <c r="MJ263" s="561">
        <v>0</v>
      </c>
      <c r="MK263" s="561">
        <v>0</v>
      </c>
      <c r="ML263" s="561">
        <v>0</v>
      </c>
      <c r="MM263" s="561">
        <v>5386</v>
      </c>
      <c r="MN263" s="561">
        <v>0</v>
      </c>
      <c r="MO263" s="561">
        <v>30662</v>
      </c>
      <c r="MP263" s="561">
        <v>0</v>
      </c>
      <c r="MQ263" s="561">
        <v>0</v>
      </c>
      <c r="MR263" s="561">
        <v>0</v>
      </c>
      <c r="MS263" s="561">
        <v>0</v>
      </c>
      <c r="MT263" s="561">
        <v>0</v>
      </c>
      <c r="MU263" s="561">
        <v>0</v>
      </c>
      <c r="MV263" s="561">
        <v>0</v>
      </c>
      <c r="MW263" s="561">
        <v>0</v>
      </c>
      <c r="MX263" s="561">
        <v>0</v>
      </c>
      <c r="MY263" s="561">
        <v>0</v>
      </c>
      <c r="MZ263" s="561">
        <v>267941</v>
      </c>
      <c r="NA263" s="561">
        <v>0</v>
      </c>
      <c r="NB263" s="561">
        <v>5788</v>
      </c>
      <c r="NC263" s="561">
        <v>0</v>
      </c>
      <c r="ND263" s="561">
        <v>273729</v>
      </c>
      <c r="NE263" s="561">
        <v>0</v>
      </c>
      <c r="NF263" s="561">
        <v>0</v>
      </c>
      <c r="NG263" s="561">
        <v>0</v>
      </c>
      <c r="NH263" s="561">
        <v>0</v>
      </c>
      <c r="NI263" s="561">
        <v>0</v>
      </c>
      <c r="NJ263" s="561">
        <v>0</v>
      </c>
      <c r="NK263" s="561">
        <v>0</v>
      </c>
      <c r="NL263" s="561">
        <v>0</v>
      </c>
      <c r="NM263" s="561">
        <v>0</v>
      </c>
      <c r="NN263" s="561">
        <v>0</v>
      </c>
      <c r="NO263" s="561">
        <v>0</v>
      </c>
      <c r="NP263" s="561">
        <v>0</v>
      </c>
      <c r="NQ263" s="561">
        <v>0</v>
      </c>
      <c r="NR263" s="561">
        <v>0</v>
      </c>
      <c r="NS263" s="561">
        <v>0</v>
      </c>
      <c r="NT263" s="561">
        <v>0</v>
      </c>
      <c r="NU263" s="561">
        <v>0</v>
      </c>
      <c r="NV263" s="561">
        <v>0</v>
      </c>
      <c r="NW263" s="561">
        <v>0</v>
      </c>
      <c r="NX263" s="561">
        <v>0</v>
      </c>
      <c r="NY263" s="561">
        <v>0</v>
      </c>
      <c r="NZ263" s="561">
        <v>0</v>
      </c>
      <c r="OA263" s="561">
        <v>0</v>
      </c>
      <c r="OB263" s="561">
        <v>0</v>
      </c>
      <c r="OC263" s="561">
        <v>0</v>
      </c>
      <c r="OD263" s="561">
        <v>0</v>
      </c>
      <c r="OE263" s="561">
        <v>0</v>
      </c>
      <c r="OF263" s="561">
        <v>0</v>
      </c>
      <c r="OG263" s="561">
        <v>0</v>
      </c>
      <c r="OH263" s="561">
        <v>0</v>
      </c>
      <c r="OI263" s="561">
        <v>0</v>
      </c>
      <c r="OJ263" s="561">
        <v>0</v>
      </c>
      <c r="OK263" s="561">
        <v>0</v>
      </c>
      <c r="OL263" s="561">
        <v>0</v>
      </c>
      <c r="OM263" s="561">
        <v>0</v>
      </c>
      <c r="ON263" s="561">
        <v>0</v>
      </c>
      <c r="OO263" s="561">
        <v>0</v>
      </c>
      <c r="OP263" s="561">
        <v>0</v>
      </c>
      <c r="OQ263" s="561">
        <v>0</v>
      </c>
      <c r="OR263" s="561">
        <v>0</v>
      </c>
      <c r="OS263" s="561">
        <v>0</v>
      </c>
      <c r="OT263" s="561">
        <v>0</v>
      </c>
      <c r="OU263" s="561">
        <v>0</v>
      </c>
      <c r="OV263" s="561">
        <v>0</v>
      </c>
      <c r="OW263" s="561">
        <v>0</v>
      </c>
      <c r="OX263" s="561">
        <v>0</v>
      </c>
      <c r="OY263" s="561">
        <v>0</v>
      </c>
      <c r="OZ263" s="561">
        <v>0</v>
      </c>
      <c r="PA263" s="561">
        <v>0</v>
      </c>
      <c r="PB263" s="561">
        <v>0</v>
      </c>
      <c r="PC263" s="561">
        <v>0</v>
      </c>
      <c r="PD263" s="561">
        <v>0</v>
      </c>
      <c r="PE263" s="561">
        <v>0</v>
      </c>
      <c r="PF263" s="561">
        <v>0</v>
      </c>
      <c r="PG263" s="561">
        <v>0</v>
      </c>
      <c r="PH263" s="561">
        <v>0</v>
      </c>
      <c r="PI263" s="561">
        <v>0</v>
      </c>
      <c r="PJ263" s="561">
        <v>0</v>
      </c>
    </row>
    <row r="264" spans="1:426" ht="14" x14ac:dyDescent="0.3">
      <c r="A264" t="s">
        <v>3235</v>
      </c>
      <c r="B264" t="s">
        <v>3236</v>
      </c>
      <c r="C264" t="s">
        <v>3237</v>
      </c>
      <c r="E264" t="s">
        <v>384</v>
      </c>
      <c r="F264" s="561">
        <v>0</v>
      </c>
      <c r="G264" s="561">
        <v>0</v>
      </c>
      <c r="H264" s="561">
        <v>0</v>
      </c>
      <c r="I264" s="561">
        <v>0</v>
      </c>
      <c r="J264" s="561">
        <v>0</v>
      </c>
      <c r="K264" s="561">
        <v>0</v>
      </c>
      <c r="L264" s="561">
        <v>0</v>
      </c>
      <c r="M264" s="561">
        <v>0</v>
      </c>
      <c r="N264" s="561">
        <v>0</v>
      </c>
      <c r="O264" s="561">
        <v>0</v>
      </c>
      <c r="P264" s="561">
        <v>0</v>
      </c>
      <c r="Q264" s="561">
        <v>0</v>
      </c>
      <c r="R264" s="561">
        <v>0</v>
      </c>
      <c r="S264" s="561">
        <v>0</v>
      </c>
      <c r="T264" s="561">
        <v>0</v>
      </c>
      <c r="U264" s="561">
        <v>0</v>
      </c>
      <c r="V264" s="561">
        <v>0</v>
      </c>
      <c r="W264" s="561">
        <v>0</v>
      </c>
      <c r="X264" s="561">
        <v>0</v>
      </c>
      <c r="Y264" s="561">
        <v>0</v>
      </c>
      <c r="Z264" s="561">
        <v>0</v>
      </c>
      <c r="AA264" s="561">
        <v>0</v>
      </c>
      <c r="AB264" s="561">
        <v>-181</v>
      </c>
      <c r="AC264" s="561">
        <v>0</v>
      </c>
      <c r="AD264" s="561">
        <v>0</v>
      </c>
      <c r="AE264" s="561">
        <v>0</v>
      </c>
      <c r="AF264" s="561">
        <v>0</v>
      </c>
      <c r="AG264" s="561">
        <v>0</v>
      </c>
      <c r="AH264" s="561">
        <v>77</v>
      </c>
      <c r="AI264" s="561">
        <v>0</v>
      </c>
      <c r="AJ264" s="561">
        <v>-104</v>
      </c>
      <c r="AK264" s="561">
        <v>0</v>
      </c>
      <c r="AL264" s="561">
        <v>0</v>
      </c>
      <c r="AM264" s="561">
        <v>0</v>
      </c>
      <c r="AN264" s="561">
        <v>0</v>
      </c>
      <c r="AO264" s="561">
        <v>0</v>
      </c>
      <c r="AP264" s="561">
        <v>0</v>
      </c>
      <c r="AQ264" s="561">
        <v>0</v>
      </c>
      <c r="AR264" s="561">
        <v>0</v>
      </c>
      <c r="AS264" s="561">
        <v>0</v>
      </c>
      <c r="AT264" s="561">
        <v>0</v>
      </c>
      <c r="AU264" s="561">
        <v>0</v>
      </c>
      <c r="AV264" s="561">
        <v>0</v>
      </c>
      <c r="AW264" s="561">
        <v>0</v>
      </c>
      <c r="AX264" s="561">
        <v>0</v>
      </c>
      <c r="AY264" s="561">
        <v>0</v>
      </c>
      <c r="AZ264" s="561">
        <v>0</v>
      </c>
      <c r="BA264" s="561">
        <v>0</v>
      </c>
      <c r="BB264" s="561">
        <v>0</v>
      </c>
      <c r="BC264" s="561">
        <v>0</v>
      </c>
      <c r="BD264" s="561">
        <v>0</v>
      </c>
      <c r="BE264" s="561">
        <v>0</v>
      </c>
      <c r="BF264" s="561">
        <v>0</v>
      </c>
      <c r="BG264" s="561">
        <v>0</v>
      </c>
      <c r="BH264" s="561">
        <v>0</v>
      </c>
      <c r="BI264" s="561">
        <v>0</v>
      </c>
      <c r="BJ264" s="561">
        <v>0</v>
      </c>
      <c r="BK264" s="561">
        <v>0</v>
      </c>
      <c r="BL264" s="561">
        <v>0</v>
      </c>
      <c r="BM264" s="561">
        <v>0</v>
      </c>
      <c r="BN264" s="561">
        <v>0</v>
      </c>
      <c r="BO264" s="561">
        <v>0</v>
      </c>
      <c r="BP264" s="561">
        <v>0</v>
      </c>
      <c r="BQ264" s="561">
        <v>0</v>
      </c>
      <c r="BR264" s="561">
        <v>0</v>
      </c>
      <c r="BS264" s="561">
        <v>0</v>
      </c>
      <c r="BT264" s="561">
        <v>0</v>
      </c>
      <c r="BU264" s="561">
        <v>0</v>
      </c>
      <c r="BV264" s="561">
        <v>0</v>
      </c>
      <c r="BW264" s="561">
        <v>0</v>
      </c>
      <c r="BX264" s="561">
        <v>0</v>
      </c>
      <c r="BY264" s="561">
        <v>0</v>
      </c>
      <c r="BZ264" s="561">
        <v>0</v>
      </c>
      <c r="CA264" s="561">
        <v>0</v>
      </c>
      <c r="CB264" s="561">
        <v>0</v>
      </c>
      <c r="CC264" s="561">
        <v>0</v>
      </c>
      <c r="CD264" s="561">
        <v>0</v>
      </c>
      <c r="CE264" s="561">
        <v>0</v>
      </c>
      <c r="CF264" s="561">
        <v>0</v>
      </c>
      <c r="CG264" s="561">
        <v>0</v>
      </c>
      <c r="CH264" s="561">
        <v>0</v>
      </c>
      <c r="CI264" s="561">
        <v>0</v>
      </c>
      <c r="CJ264" s="561">
        <v>0</v>
      </c>
      <c r="CK264" s="561">
        <v>0</v>
      </c>
      <c r="CL264" s="561">
        <v>0</v>
      </c>
      <c r="CM264" s="561">
        <v>0</v>
      </c>
      <c r="CN264" s="561">
        <v>0</v>
      </c>
      <c r="CO264" s="561">
        <v>0</v>
      </c>
      <c r="CP264" s="561">
        <v>0</v>
      </c>
      <c r="CQ264" s="561">
        <v>0</v>
      </c>
      <c r="CR264" s="561">
        <v>0</v>
      </c>
      <c r="CS264" s="561">
        <v>0</v>
      </c>
      <c r="CT264" s="561">
        <v>0</v>
      </c>
      <c r="CU264" s="561">
        <v>0</v>
      </c>
      <c r="CV264" s="561">
        <v>0</v>
      </c>
      <c r="CW264" s="561">
        <v>0</v>
      </c>
      <c r="CX264" s="561">
        <v>0</v>
      </c>
      <c r="CY264" s="561">
        <v>0</v>
      </c>
      <c r="CZ264" s="561">
        <v>0</v>
      </c>
      <c r="DA264" s="561">
        <v>0</v>
      </c>
      <c r="DB264" s="561">
        <v>0</v>
      </c>
      <c r="DC264" s="561">
        <v>0</v>
      </c>
      <c r="DD264" s="561">
        <v>0</v>
      </c>
      <c r="DE264" s="561">
        <v>0</v>
      </c>
      <c r="DF264" s="561">
        <v>0</v>
      </c>
      <c r="DG264" s="561">
        <v>0</v>
      </c>
      <c r="DH264" s="561">
        <v>0</v>
      </c>
      <c r="DI264" s="561">
        <v>0</v>
      </c>
      <c r="DJ264" s="561">
        <v>0</v>
      </c>
      <c r="DK264" s="561">
        <v>0</v>
      </c>
      <c r="DL264" s="561">
        <v>0</v>
      </c>
      <c r="DM264" s="561">
        <v>-38</v>
      </c>
      <c r="DN264" s="561">
        <v>-288</v>
      </c>
      <c r="DO264" s="561">
        <v>927</v>
      </c>
      <c r="DP264" s="561">
        <v>74</v>
      </c>
      <c r="DQ264" s="561">
        <v>0</v>
      </c>
      <c r="DR264" s="561">
        <v>0</v>
      </c>
      <c r="DS264" s="561">
        <v>276</v>
      </c>
      <c r="DT264" s="561">
        <v>0</v>
      </c>
      <c r="DU264" s="561">
        <v>951</v>
      </c>
      <c r="DV264" s="561">
        <v>0</v>
      </c>
      <c r="DW264" s="561">
        <v>0</v>
      </c>
      <c r="DX264" s="561">
        <v>0</v>
      </c>
      <c r="DY264" s="561">
        <v>-691</v>
      </c>
      <c r="DZ264" s="561">
        <v>-170</v>
      </c>
      <c r="EA264" s="561">
        <v>-174</v>
      </c>
      <c r="EB264" s="561">
        <v>0</v>
      </c>
      <c r="EC264" s="561">
        <v>-84</v>
      </c>
      <c r="ED264" s="561">
        <v>0</v>
      </c>
      <c r="EE264" s="561">
        <v>28851</v>
      </c>
      <c r="EF264" s="561">
        <v>724</v>
      </c>
      <c r="EG264" s="561">
        <v>2610</v>
      </c>
      <c r="EH264" s="561">
        <v>0</v>
      </c>
      <c r="EI264" s="561">
        <v>0</v>
      </c>
      <c r="EJ264" s="561">
        <v>164</v>
      </c>
      <c r="EK264" s="561">
        <v>0</v>
      </c>
      <c r="EL264" s="561">
        <v>0</v>
      </c>
      <c r="EM264" s="561">
        <v>0</v>
      </c>
      <c r="EN264" s="561">
        <v>6957</v>
      </c>
      <c r="EO264" s="561">
        <v>6782</v>
      </c>
      <c r="EP264" s="561">
        <v>3778</v>
      </c>
      <c r="EQ264" s="561">
        <v>0</v>
      </c>
      <c r="ER264" s="561">
        <v>1988</v>
      </c>
      <c r="ES264" s="561" t="s">
        <v>4565</v>
      </c>
      <c r="ET264" s="561">
        <v>0</v>
      </c>
      <c r="EU264" s="561">
        <v>389</v>
      </c>
      <c r="EV264" s="561">
        <v>136</v>
      </c>
      <c r="EW264" s="561">
        <v>210</v>
      </c>
      <c r="EX264" s="561">
        <v>11477</v>
      </c>
      <c r="EY264" s="561">
        <v>224</v>
      </c>
      <c r="EZ264" s="561">
        <v>408</v>
      </c>
      <c r="FA264" s="561">
        <v>49</v>
      </c>
      <c r="FB264" s="561">
        <v>0</v>
      </c>
      <c r="FC264" s="561">
        <v>42</v>
      </c>
      <c r="FD264" s="561">
        <v>0</v>
      </c>
      <c r="FE264" s="561">
        <v>132</v>
      </c>
      <c r="FF264" s="561">
        <v>160</v>
      </c>
      <c r="FG264" s="561">
        <v>-3</v>
      </c>
      <c r="FH264" s="561">
        <v>0</v>
      </c>
      <c r="FI264" s="561">
        <v>18</v>
      </c>
      <c r="FJ264" s="561">
        <v>467</v>
      </c>
      <c r="FK264" s="561">
        <v>1636</v>
      </c>
      <c r="FL264" s="561">
        <v>0</v>
      </c>
      <c r="FM264" s="561">
        <v>31</v>
      </c>
      <c r="FN264" s="561">
        <v>0</v>
      </c>
      <c r="FO264" s="561">
        <v>2483</v>
      </c>
      <c r="FP264" s="561">
        <v>0</v>
      </c>
      <c r="FQ264" s="561">
        <v>33</v>
      </c>
      <c r="FR264" s="561">
        <v>0</v>
      </c>
      <c r="FS264" s="561">
        <v>0</v>
      </c>
      <c r="FT264" s="561">
        <v>209</v>
      </c>
      <c r="FU264" s="561">
        <v>107</v>
      </c>
      <c r="FV264" s="561">
        <v>88</v>
      </c>
      <c r="FW264" s="561">
        <v>0</v>
      </c>
      <c r="FX264" s="561">
        <v>0</v>
      </c>
      <c r="FY264" s="561">
        <v>0</v>
      </c>
      <c r="FZ264" s="561">
        <v>0</v>
      </c>
      <c r="GA264" s="561">
        <v>115</v>
      </c>
      <c r="GB264" s="561">
        <v>64</v>
      </c>
      <c r="GC264" s="561">
        <v>-139</v>
      </c>
      <c r="GD264" s="561">
        <v>72</v>
      </c>
      <c r="GE264" s="561">
        <v>5</v>
      </c>
      <c r="GF264" s="561">
        <v>0</v>
      </c>
      <c r="GG264" s="561">
        <v>0</v>
      </c>
      <c r="GH264" s="561">
        <v>0</v>
      </c>
      <c r="GI264" s="561">
        <v>0</v>
      </c>
      <c r="GJ264" s="561">
        <v>0</v>
      </c>
      <c r="GK264" s="561">
        <v>0</v>
      </c>
      <c r="GL264" s="561">
        <v>1326</v>
      </c>
      <c r="GM264" s="561">
        <v>2233</v>
      </c>
      <c r="GN264" s="561">
        <v>0</v>
      </c>
      <c r="GO264" s="561">
        <v>-62</v>
      </c>
      <c r="GP264" s="561">
        <v>1835</v>
      </c>
      <c r="GQ264" s="561">
        <v>0</v>
      </c>
      <c r="GR264" s="561">
        <v>0</v>
      </c>
      <c r="GS264" s="561">
        <v>5886</v>
      </c>
      <c r="GT264" s="561">
        <v>0</v>
      </c>
      <c r="GU264" s="561">
        <v>62</v>
      </c>
      <c r="GV264" s="561">
        <v>-892</v>
      </c>
      <c r="GW264" s="561">
        <v>0</v>
      </c>
      <c r="GX264" s="561">
        <v>363</v>
      </c>
      <c r="GY264" s="561">
        <v>54</v>
      </c>
      <c r="GZ264" s="561">
        <v>278</v>
      </c>
      <c r="HA264" s="561">
        <v>0</v>
      </c>
      <c r="HB264" s="561">
        <v>0</v>
      </c>
      <c r="HC264" s="561">
        <v>-4</v>
      </c>
      <c r="HD264" s="561">
        <v>-139</v>
      </c>
      <c r="HE264" s="561">
        <v>0</v>
      </c>
      <c r="HF264" s="561">
        <v>8230</v>
      </c>
      <c r="HG264" s="561">
        <v>0</v>
      </c>
      <c r="HH264" s="561">
        <v>0</v>
      </c>
      <c r="HI264" s="561">
        <v>0</v>
      </c>
      <c r="HJ264" s="561">
        <v>0</v>
      </c>
      <c r="HK264" s="561">
        <v>0</v>
      </c>
      <c r="HL264" s="561">
        <v>0</v>
      </c>
      <c r="HM264" s="561">
        <v>0</v>
      </c>
      <c r="HN264" s="561">
        <v>0</v>
      </c>
      <c r="HO264" s="561">
        <v>477</v>
      </c>
      <c r="HP264" s="561">
        <v>223</v>
      </c>
      <c r="HQ264" s="561">
        <v>0</v>
      </c>
      <c r="HR264" s="561">
        <v>0</v>
      </c>
      <c r="HS264" s="561">
        <v>0</v>
      </c>
      <c r="HT264" s="561">
        <v>896</v>
      </c>
      <c r="HU264" s="561">
        <v>0</v>
      </c>
      <c r="HV264" s="561">
        <v>0</v>
      </c>
      <c r="HW264" s="561">
        <v>98</v>
      </c>
      <c r="HX264" s="561">
        <v>454</v>
      </c>
      <c r="HY264" s="561">
        <v>20</v>
      </c>
      <c r="HZ264" s="561">
        <v>-60</v>
      </c>
      <c r="IA264" s="561">
        <v>0</v>
      </c>
      <c r="IB264" s="561">
        <v>141</v>
      </c>
      <c r="IC264" s="561">
        <v>0</v>
      </c>
      <c r="ID264" s="561">
        <v>0</v>
      </c>
      <c r="IE264" s="561">
        <v>379</v>
      </c>
      <c r="IF264" s="561">
        <v>0</v>
      </c>
      <c r="IG264" s="561">
        <v>0</v>
      </c>
      <c r="IH264" s="561">
        <v>0</v>
      </c>
      <c r="II264" s="561">
        <v>2628</v>
      </c>
      <c r="IJ264" s="561">
        <v>0</v>
      </c>
      <c r="IK264" s="561">
        <v>0</v>
      </c>
      <c r="IL264" s="561">
        <v>0</v>
      </c>
      <c r="IM264" s="561">
        <v>0</v>
      </c>
      <c r="IN264" s="561">
        <v>0</v>
      </c>
      <c r="IO264" s="561">
        <v>0</v>
      </c>
      <c r="IP264" s="561">
        <v>0</v>
      </c>
      <c r="IQ264" s="561">
        <v>0</v>
      </c>
      <c r="IR264" s="561">
        <v>0</v>
      </c>
      <c r="IS264" s="561">
        <v>-104</v>
      </c>
      <c r="IT264" s="561">
        <v>0</v>
      </c>
      <c r="IU264" s="561">
        <v>0</v>
      </c>
      <c r="IV264" s="561">
        <v>0</v>
      </c>
      <c r="IW264" s="561">
        <v>-84</v>
      </c>
      <c r="IX264" s="561">
        <v>2483</v>
      </c>
      <c r="IY264" s="561">
        <v>5886</v>
      </c>
      <c r="IZ264" s="561">
        <v>-139</v>
      </c>
      <c r="JA264" s="561">
        <v>0</v>
      </c>
      <c r="JB264" s="561">
        <v>0</v>
      </c>
      <c r="JC264" s="561">
        <v>2628</v>
      </c>
      <c r="JD264" s="561">
        <v>0</v>
      </c>
      <c r="JE264" s="561">
        <v>10670</v>
      </c>
      <c r="JF264" s="561">
        <v>14162</v>
      </c>
      <c r="JG264" s="561">
        <v>611</v>
      </c>
      <c r="JH264" s="561">
        <v>10284</v>
      </c>
      <c r="JI264" s="561">
        <v>0</v>
      </c>
      <c r="JJ264" s="561">
        <v>0</v>
      </c>
      <c r="JK264" s="561">
        <v>0</v>
      </c>
      <c r="JL264" s="561">
        <v>0</v>
      </c>
      <c r="JM264" s="561">
        <v>0</v>
      </c>
      <c r="JN264" s="561">
        <v>0</v>
      </c>
      <c r="JO264" s="561">
        <v>0</v>
      </c>
      <c r="JP264" s="561">
        <v>-248</v>
      </c>
      <c r="JQ264" s="561">
        <v>0</v>
      </c>
      <c r="JR264" s="561">
        <v>0</v>
      </c>
      <c r="JS264" s="561">
        <v>0</v>
      </c>
      <c r="JT264" s="561">
        <v>0</v>
      </c>
      <c r="JU264" s="561">
        <v>0</v>
      </c>
      <c r="JV264" s="561">
        <v>35479</v>
      </c>
      <c r="JW264" s="561">
        <v>0</v>
      </c>
      <c r="JX264" s="561">
        <v>1025</v>
      </c>
      <c r="JY264" s="561">
        <v>0</v>
      </c>
      <c r="JZ264" s="561">
        <v>0</v>
      </c>
      <c r="KA264" s="561">
        <v>0</v>
      </c>
      <c r="KB264" s="561">
        <v>-143</v>
      </c>
      <c r="KC264" s="561">
        <v>459</v>
      </c>
      <c r="KD264" s="561">
        <v>0</v>
      </c>
      <c r="KE264" s="561">
        <v>2168</v>
      </c>
      <c r="KF264" s="561">
        <v>-165</v>
      </c>
      <c r="KG264" s="561">
        <v>38823</v>
      </c>
      <c r="KH264" s="561">
        <v>0</v>
      </c>
      <c r="KI264" s="561">
        <v>0</v>
      </c>
      <c r="KJ264" s="561">
        <v>-34</v>
      </c>
      <c r="KK264" s="561">
        <v>0</v>
      </c>
      <c r="KL264" s="561">
        <v>-23873</v>
      </c>
      <c r="KM264" s="561">
        <v>0</v>
      </c>
      <c r="KN264" s="561">
        <v>0</v>
      </c>
      <c r="KO264" s="561">
        <v>0</v>
      </c>
      <c r="KP264" s="561">
        <v>0</v>
      </c>
      <c r="KQ264" s="561">
        <v>0</v>
      </c>
      <c r="KR264" s="561">
        <v>14916</v>
      </c>
      <c r="KS264" s="561">
        <v>0</v>
      </c>
      <c r="KT264" s="561">
        <v>-2481</v>
      </c>
      <c r="KU264" s="561">
        <v>12435</v>
      </c>
      <c r="KV264" s="561">
        <v>0</v>
      </c>
      <c r="KW264" s="561">
        <v>0</v>
      </c>
      <c r="KX264" s="561">
        <v>0</v>
      </c>
      <c r="KY264" s="561">
        <v>0</v>
      </c>
      <c r="KZ264" s="561">
        <v>4667</v>
      </c>
      <c r="LA264" s="561">
        <v>0</v>
      </c>
      <c r="LB264" s="561">
        <v>-169</v>
      </c>
      <c r="LC264" s="561">
        <v>0</v>
      </c>
      <c r="LD264" s="561">
        <v>0</v>
      </c>
      <c r="LE264" s="561">
        <v>0</v>
      </c>
      <c r="LF264" s="561">
        <v>-6367</v>
      </c>
      <c r="LG264" s="561">
        <v>10566</v>
      </c>
      <c r="LH264" s="561">
        <v>0</v>
      </c>
      <c r="LI264" s="561">
        <v>0</v>
      </c>
      <c r="LJ264" s="561">
        <v>0</v>
      </c>
      <c r="LK264" s="561">
        <v>0</v>
      </c>
      <c r="LL264" s="561">
        <v>12667</v>
      </c>
      <c r="LM264" s="561">
        <v>0</v>
      </c>
      <c r="LN264" s="561">
        <v>0</v>
      </c>
      <c r="LO264" s="561">
        <v>0</v>
      </c>
      <c r="LP264" s="561">
        <v>0</v>
      </c>
      <c r="LQ264" s="561">
        <v>0</v>
      </c>
      <c r="LR264" s="561">
        <v>17334</v>
      </c>
      <c r="LS264" s="561">
        <v>0</v>
      </c>
      <c r="LT264" s="561">
        <v>0</v>
      </c>
      <c r="LU264" s="561">
        <v>2765</v>
      </c>
      <c r="LV264" s="561">
        <v>77</v>
      </c>
      <c r="LW264" s="561">
        <v>9385</v>
      </c>
      <c r="LX264" s="561">
        <v>0</v>
      </c>
      <c r="LY264" s="561">
        <v>7451</v>
      </c>
      <c r="LZ264" s="561">
        <v>19678</v>
      </c>
      <c r="MA264" s="561">
        <v>0</v>
      </c>
      <c r="MB264" s="561">
        <v>0</v>
      </c>
      <c r="MC264" s="561">
        <v>32349</v>
      </c>
      <c r="MD264" s="561">
        <v>31941</v>
      </c>
      <c r="ME264" s="561">
        <v>408</v>
      </c>
      <c r="MF264" s="561">
        <v>49</v>
      </c>
      <c r="MG264" s="561">
        <v>457</v>
      </c>
      <c r="MH264" s="561" t="s">
        <v>4566</v>
      </c>
      <c r="MI264" s="561" t="s">
        <v>4566</v>
      </c>
      <c r="MJ264" s="561" t="s">
        <v>4566</v>
      </c>
      <c r="MK264" s="561">
        <v>0</v>
      </c>
      <c r="ML264" s="561">
        <v>0</v>
      </c>
      <c r="MM264" s="561">
        <v>17334</v>
      </c>
      <c r="MN264" s="561">
        <v>0</v>
      </c>
      <c r="MO264" s="561">
        <v>0</v>
      </c>
      <c r="MP264" s="561">
        <v>0</v>
      </c>
      <c r="MQ264" s="561">
        <v>0</v>
      </c>
      <c r="MR264" s="561">
        <v>-104</v>
      </c>
      <c r="MS264" s="561">
        <v>0</v>
      </c>
      <c r="MT264" s="561">
        <v>0</v>
      </c>
      <c r="MU264" s="561">
        <v>0</v>
      </c>
      <c r="MV264" s="561">
        <v>-84</v>
      </c>
      <c r="MW264" s="561">
        <v>2483</v>
      </c>
      <c r="MX264" s="561">
        <v>5886</v>
      </c>
      <c r="MY264" s="561">
        <v>-139</v>
      </c>
      <c r="MZ264" s="561">
        <v>0</v>
      </c>
      <c r="NA264" s="561">
        <v>0</v>
      </c>
      <c r="NB264" s="561">
        <v>2628</v>
      </c>
      <c r="NC264" s="561">
        <v>0</v>
      </c>
      <c r="ND264" s="561">
        <v>10670</v>
      </c>
      <c r="NE264" s="561">
        <v>0</v>
      </c>
      <c r="NF264" s="561">
        <v>0</v>
      </c>
      <c r="NG264" s="561">
        <v>0</v>
      </c>
      <c r="NH264" s="561">
        <v>0</v>
      </c>
      <c r="NI264" s="561">
        <v>0</v>
      </c>
      <c r="NJ264" s="561">
        <v>0</v>
      </c>
      <c r="NK264" s="561">
        <v>0</v>
      </c>
      <c r="NL264" s="561">
        <v>0</v>
      </c>
      <c r="NM264" s="561">
        <v>0</v>
      </c>
      <c r="NN264" s="561">
        <v>0</v>
      </c>
      <c r="NO264" s="561">
        <v>0</v>
      </c>
      <c r="NP264" s="561">
        <v>0</v>
      </c>
      <c r="NQ264" s="561">
        <v>0</v>
      </c>
      <c r="NR264" s="561">
        <v>0</v>
      </c>
      <c r="NS264" s="561">
        <v>0</v>
      </c>
      <c r="NT264" s="561">
        <v>-248</v>
      </c>
      <c r="NU264" s="561">
        <v>0</v>
      </c>
      <c r="NV264" s="561">
        <v>0</v>
      </c>
      <c r="NW264" s="561">
        <v>-248</v>
      </c>
      <c r="NX264" s="561">
        <v>0</v>
      </c>
      <c r="NY264" s="561">
        <v>-248</v>
      </c>
      <c r="NZ264" s="561">
        <v>0</v>
      </c>
      <c r="OA264" s="561">
        <v>0</v>
      </c>
      <c r="OB264" s="561">
        <v>0</v>
      </c>
      <c r="OC264" s="561">
        <v>0</v>
      </c>
      <c r="OD264" s="561">
        <v>0</v>
      </c>
      <c r="OE264" s="561">
        <v>0</v>
      </c>
      <c r="OF264" s="561">
        <v>0</v>
      </c>
      <c r="OG264" s="561">
        <v>0</v>
      </c>
      <c r="OH264" s="561">
        <v>0</v>
      </c>
      <c r="OI264" s="561">
        <v>0</v>
      </c>
      <c r="OJ264" s="561">
        <v>0</v>
      </c>
      <c r="OK264" s="561">
        <v>0</v>
      </c>
      <c r="OL264" s="561">
        <v>0</v>
      </c>
      <c r="OM264" s="561">
        <v>0</v>
      </c>
      <c r="ON264" s="561">
        <v>0</v>
      </c>
      <c r="OO264" s="561">
        <v>0</v>
      </c>
      <c r="OP264" s="561">
        <v>0</v>
      </c>
      <c r="OQ264" s="561">
        <v>0</v>
      </c>
      <c r="OR264" s="561">
        <v>0</v>
      </c>
      <c r="OS264" s="561">
        <v>0</v>
      </c>
      <c r="OT264" s="561">
        <v>0</v>
      </c>
      <c r="OU264" s="561">
        <v>0</v>
      </c>
      <c r="OV264" s="561">
        <v>0</v>
      </c>
      <c r="OW264" s="561">
        <v>0</v>
      </c>
      <c r="OX264" s="561">
        <v>0</v>
      </c>
      <c r="OY264" s="561">
        <v>0</v>
      </c>
      <c r="OZ264" s="561">
        <v>0</v>
      </c>
      <c r="PA264" s="561">
        <v>0</v>
      </c>
      <c r="PB264" s="561">
        <v>0</v>
      </c>
      <c r="PC264" s="561">
        <v>0</v>
      </c>
      <c r="PD264" s="561">
        <v>0</v>
      </c>
      <c r="PE264" s="561">
        <v>0</v>
      </c>
      <c r="PF264" s="561">
        <v>0</v>
      </c>
      <c r="PG264" s="561">
        <v>0</v>
      </c>
      <c r="PH264" s="561">
        <v>0</v>
      </c>
      <c r="PI264" s="561">
        <v>0</v>
      </c>
      <c r="PJ264" s="561">
        <v>0</v>
      </c>
    </row>
    <row r="265" spans="1:426" ht="14" x14ac:dyDescent="0.3">
      <c r="A265" t="s">
        <v>3238</v>
      </c>
      <c r="B265" t="s">
        <v>3239</v>
      </c>
      <c r="C265" t="s">
        <v>3240</v>
      </c>
      <c r="E265" t="s">
        <v>384</v>
      </c>
      <c r="F265" s="561">
        <v>0</v>
      </c>
      <c r="G265" s="561">
        <v>0</v>
      </c>
      <c r="H265" s="561">
        <v>0</v>
      </c>
      <c r="I265" s="561">
        <v>0</v>
      </c>
      <c r="J265" s="561">
        <v>0</v>
      </c>
      <c r="K265" s="561">
        <v>0</v>
      </c>
      <c r="L265" s="561">
        <v>0</v>
      </c>
      <c r="M265" s="561">
        <v>0</v>
      </c>
      <c r="N265" s="561">
        <v>0</v>
      </c>
      <c r="O265" s="561">
        <v>0</v>
      </c>
      <c r="P265" s="561">
        <v>0</v>
      </c>
      <c r="Q265" s="561">
        <v>0</v>
      </c>
      <c r="R265" s="561">
        <v>0</v>
      </c>
      <c r="S265" s="561">
        <v>0</v>
      </c>
      <c r="T265" s="561">
        <v>0</v>
      </c>
      <c r="U265" s="561">
        <v>0</v>
      </c>
      <c r="V265" s="561">
        <v>0</v>
      </c>
      <c r="W265" s="561">
        <v>0</v>
      </c>
      <c r="X265" s="561">
        <v>0</v>
      </c>
      <c r="Y265" s="561">
        <v>0</v>
      </c>
      <c r="Z265" s="561">
        <v>0</v>
      </c>
      <c r="AA265" s="561">
        <v>0</v>
      </c>
      <c r="AB265" s="561">
        <v>-587</v>
      </c>
      <c r="AC265" s="561">
        <v>0</v>
      </c>
      <c r="AD265" s="561">
        <v>0</v>
      </c>
      <c r="AE265" s="561">
        <v>0</v>
      </c>
      <c r="AF265" s="561">
        <v>0</v>
      </c>
      <c r="AG265" s="561">
        <v>0</v>
      </c>
      <c r="AH265" s="561">
        <v>0</v>
      </c>
      <c r="AI265" s="561">
        <v>0</v>
      </c>
      <c r="AJ265" s="561">
        <v>-587</v>
      </c>
      <c r="AK265" s="561">
        <v>0</v>
      </c>
      <c r="AL265" s="561">
        <v>0</v>
      </c>
      <c r="AM265" s="561">
        <v>0</v>
      </c>
      <c r="AN265" s="561">
        <v>0</v>
      </c>
      <c r="AO265" s="561">
        <v>0</v>
      </c>
      <c r="AP265" s="561">
        <v>0</v>
      </c>
      <c r="AQ265" s="561">
        <v>0</v>
      </c>
      <c r="AR265" s="561">
        <v>0</v>
      </c>
      <c r="AS265" s="561">
        <v>0</v>
      </c>
      <c r="AT265" s="561">
        <v>0</v>
      </c>
      <c r="AU265" s="561">
        <v>0</v>
      </c>
      <c r="AV265" s="561">
        <v>0</v>
      </c>
      <c r="AW265" s="561">
        <v>0</v>
      </c>
      <c r="AX265" s="561">
        <v>0</v>
      </c>
      <c r="AY265" s="561">
        <v>0</v>
      </c>
      <c r="AZ265" s="561">
        <v>0</v>
      </c>
      <c r="BA265" s="561">
        <v>0</v>
      </c>
      <c r="BB265" s="561">
        <v>0</v>
      </c>
      <c r="BC265" s="561">
        <v>0</v>
      </c>
      <c r="BD265" s="561">
        <v>0</v>
      </c>
      <c r="BE265" s="561">
        <v>0</v>
      </c>
      <c r="BF265" s="561">
        <v>0</v>
      </c>
      <c r="BG265" s="561">
        <v>0</v>
      </c>
      <c r="BH265" s="561">
        <v>0</v>
      </c>
      <c r="BI265" s="561">
        <v>0</v>
      </c>
      <c r="BJ265" s="561">
        <v>0</v>
      </c>
      <c r="BK265" s="561">
        <v>0</v>
      </c>
      <c r="BL265" s="561">
        <v>0</v>
      </c>
      <c r="BM265" s="561">
        <v>0</v>
      </c>
      <c r="BN265" s="561">
        <v>0</v>
      </c>
      <c r="BO265" s="561">
        <v>0</v>
      </c>
      <c r="BP265" s="561">
        <v>0</v>
      </c>
      <c r="BQ265" s="561">
        <v>0</v>
      </c>
      <c r="BR265" s="561">
        <v>0</v>
      </c>
      <c r="BS265" s="561">
        <v>0</v>
      </c>
      <c r="BT265" s="561">
        <v>0</v>
      </c>
      <c r="BU265" s="561">
        <v>0</v>
      </c>
      <c r="BV265" s="561">
        <v>0</v>
      </c>
      <c r="BW265" s="561">
        <v>0</v>
      </c>
      <c r="BX265" s="561">
        <v>0</v>
      </c>
      <c r="BY265" s="561">
        <v>0</v>
      </c>
      <c r="BZ265" s="561">
        <v>0</v>
      </c>
      <c r="CA265" s="561">
        <v>0</v>
      </c>
      <c r="CB265" s="561">
        <v>0</v>
      </c>
      <c r="CC265" s="561">
        <v>0</v>
      </c>
      <c r="CD265" s="561">
        <v>0</v>
      </c>
      <c r="CE265" s="561">
        <v>0</v>
      </c>
      <c r="CF265" s="561">
        <v>0</v>
      </c>
      <c r="CG265" s="561">
        <v>0</v>
      </c>
      <c r="CH265" s="561">
        <v>0</v>
      </c>
      <c r="CI265" s="561">
        <v>0</v>
      </c>
      <c r="CJ265" s="561">
        <v>0</v>
      </c>
      <c r="CK265" s="561">
        <v>0</v>
      </c>
      <c r="CL265" s="561">
        <v>0</v>
      </c>
      <c r="CM265" s="561">
        <v>0</v>
      </c>
      <c r="CN265" s="561">
        <v>0</v>
      </c>
      <c r="CO265" s="561">
        <v>0</v>
      </c>
      <c r="CP265" s="561">
        <v>0</v>
      </c>
      <c r="CQ265" s="561">
        <v>0</v>
      </c>
      <c r="CR265" s="561">
        <v>0</v>
      </c>
      <c r="CS265" s="561">
        <v>0</v>
      </c>
      <c r="CT265" s="561">
        <v>0</v>
      </c>
      <c r="CU265" s="561">
        <v>0</v>
      </c>
      <c r="CV265" s="561">
        <v>0</v>
      </c>
      <c r="CW265" s="561">
        <v>0</v>
      </c>
      <c r="CX265" s="561">
        <v>0</v>
      </c>
      <c r="CY265" s="561">
        <v>0</v>
      </c>
      <c r="CZ265" s="561">
        <v>0</v>
      </c>
      <c r="DA265" s="561">
        <v>0</v>
      </c>
      <c r="DB265" s="561">
        <v>0</v>
      </c>
      <c r="DC265" s="561">
        <v>0</v>
      </c>
      <c r="DD265" s="561">
        <v>0</v>
      </c>
      <c r="DE265" s="561">
        <v>0</v>
      </c>
      <c r="DF265" s="561">
        <v>0</v>
      </c>
      <c r="DG265" s="561">
        <v>0</v>
      </c>
      <c r="DH265" s="561">
        <v>10</v>
      </c>
      <c r="DI265" s="561">
        <v>-9</v>
      </c>
      <c r="DJ265" s="561">
        <v>51</v>
      </c>
      <c r="DK265" s="561">
        <v>0</v>
      </c>
      <c r="DL265" s="561">
        <v>65</v>
      </c>
      <c r="DM265" s="561">
        <v>-5</v>
      </c>
      <c r="DN265" s="561">
        <v>-19</v>
      </c>
      <c r="DO265" s="561">
        <v>59.2</v>
      </c>
      <c r="DP265" s="561">
        <v>-6</v>
      </c>
      <c r="DQ265" s="561">
        <v>-7</v>
      </c>
      <c r="DR265" s="561">
        <v>-59</v>
      </c>
      <c r="DS265" s="561">
        <v>154</v>
      </c>
      <c r="DT265" s="561">
        <v>0</v>
      </c>
      <c r="DU265" s="561">
        <v>182.2</v>
      </c>
      <c r="DV265" s="561">
        <v>0</v>
      </c>
      <c r="DW265" s="561">
        <v>0</v>
      </c>
      <c r="DX265" s="561">
        <v>0</v>
      </c>
      <c r="DY265" s="561">
        <v>139</v>
      </c>
      <c r="DZ265" s="561">
        <v>0</v>
      </c>
      <c r="EA265" s="561">
        <v>0</v>
      </c>
      <c r="EB265" s="561">
        <v>0</v>
      </c>
      <c r="EC265" s="561">
        <v>373.2</v>
      </c>
      <c r="ED265" s="561">
        <v>0</v>
      </c>
      <c r="EE265" s="561">
        <v>6002</v>
      </c>
      <c r="EF265" s="561">
        <v>83</v>
      </c>
      <c r="EG265" s="561">
        <v>145</v>
      </c>
      <c r="EH265" s="561">
        <v>5</v>
      </c>
      <c r="EI265" s="561">
        <v>10</v>
      </c>
      <c r="EJ265" s="561">
        <v>99</v>
      </c>
      <c r="EK265" s="561">
        <v>0</v>
      </c>
      <c r="EL265" s="561">
        <v>0</v>
      </c>
      <c r="EM265" s="561">
        <v>9</v>
      </c>
      <c r="EN265" s="561">
        <v>1305</v>
      </c>
      <c r="EO265" s="561">
        <v>1196</v>
      </c>
      <c r="EP265" s="561">
        <v>0</v>
      </c>
      <c r="EQ265" s="561">
        <v>7</v>
      </c>
      <c r="ER265" s="561">
        <v>727</v>
      </c>
      <c r="ES265" s="561" t="s">
        <v>4565</v>
      </c>
      <c r="ET265" s="561">
        <v>0</v>
      </c>
      <c r="EU265" s="561">
        <v>0</v>
      </c>
      <c r="EV265" s="561">
        <v>9</v>
      </c>
      <c r="EW265" s="561">
        <v>1342</v>
      </c>
      <c r="EX265" s="561">
        <v>1559</v>
      </c>
      <c r="EY265" s="561">
        <v>-140</v>
      </c>
      <c r="EZ265" s="561">
        <v>348</v>
      </c>
      <c r="FA265" s="561">
        <v>1865</v>
      </c>
      <c r="FB265" s="561">
        <v>0</v>
      </c>
      <c r="FC265" s="561">
        <v>0</v>
      </c>
      <c r="FD265" s="561">
        <v>0</v>
      </c>
      <c r="FE265" s="561">
        <v>0</v>
      </c>
      <c r="FF265" s="561">
        <v>0</v>
      </c>
      <c r="FG265" s="561">
        <v>-17</v>
      </c>
      <c r="FH265" s="561">
        <v>0</v>
      </c>
      <c r="FI265" s="561">
        <v>139</v>
      </c>
      <c r="FJ265" s="561">
        <v>-587</v>
      </c>
      <c r="FK265" s="561">
        <v>53</v>
      </c>
      <c r="FL265" s="561">
        <v>-7</v>
      </c>
      <c r="FM265" s="561">
        <v>0</v>
      </c>
      <c r="FN265" s="561">
        <v>0</v>
      </c>
      <c r="FO265" s="561">
        <v>-419</v>
      </c>
      <c r="FP265" s="561">
        <v>0</v>
      </c>
      <c r="FQ265" s="561">
        <v>-24</v>
      </c>
      <c r="FR265" s="561">
        <v>100</v>
      </c>
      <c r="FS265" s="561">
        <v>0</v>
      </c>
      <c r="FT265" s="561">
        <v>65</v>
      </c>
      <c r="FU265" s="561">
        <v>-2</v>
      </c>
      <c r="FV265" s="561">
        <v>111</v>
      </c>
      <c r="FW265" s="561">
        <v>0</v>
      </c>
      <c r="FX265" s="561">
        <v>0</v>
      </c>
      <c r="FY265" s="561">
        <v>0</v>
      </c>
      <c r="FZ265" s="561">
        <v>0</v>
      </c>
      <c r="GA265" s="561">
        <v>1</v>
      </c>
      <c r="GB265" s="561">
        <v>60</v>
      </c>
      <c r="GC265" s="561">
        <v>-275</v>
      </c>
      <c r="GD265" s="561">
        <v>129</v>
      </c>
      <c r="GE265" s="561">
        <v>0</v>
      </c>
      <c r="GF265" s="561">
        <v>0</v>
      </c>
      <c r="GG265" s="561">
        <v>0</v>
      </c>
      <c r="GH265" s="561">
        <v>0</v>
      </c>
      <c r="GI265" s="561">
        <v>0</v>
      </c>
      <c r="GJ265" s="561">
        <v>0</v>
      </c>
      <c r="GK265" s="561">
        <v>0</v>
      </c>
      <c r="GL265" s="561">
        <v>255</v>
      </c>
      <c r="GM265" s="561">
        <v>498</v>
      </c>
      <c r="GN265" s="561">
        <v>0</v>
      </c>
      <c r="GO265" s="561">
        <v>0</v>
      </c>
      <c r="GP265" s="561">
        <v>547</v>
      </c>
      <c r="GQ265" s="561">
        <v>-479</v>
      </c>
      <c r="GR265" s="561">
        <v>0</v>
      </c>
      <c r="GS265" s="561">
        <v>986</v>
      </c>
      <c r="GT265" s="561">
        <v>0</v>
      </c>
      <c r="GU265" s="561">
        <v>0</v>
      </c>
      <c r="GV265" s="561">
        <v>272</v>
      </c>
      <c r="GW265" s="561">
        <v>0</v>
      </c>
      <c r="GX265" s="561">
        <v>326</v>
      </c>
      <c r="GY265" s="561">
        <v>0</v>
      </c>
      <c r="GZ265" s="561">
        <v>488</v>
      </c>
      <c r="HA265" s="561">
        <v>0</v>
      </c>
      <c r="HB265" s="561">
        <v>0</v>
      </c>
      <c r="HC265" s="561">
        <v>1</v>
      </c>
      <c r="HD265" s="561">
        <v>1087</v>
      </c>
      <c r="HE265" s="561">
        <v>0</v>
      </c>
      <c r="HF265" s="561">
        <v>1654</v>
      </c>
      <c r="HG265" s="561">
        <v>0</v>
      </c>
      <c r="HH265" s="561">
        <v>0</v>
      </c>
      <c r="HI265" s="561">
        <v>0</v>
      </c>
      <c r="HJ265" s="561">
        <v>0</v>
      </c>
      <c r="HK265" s="561">
        <v>0</v>
      </c>
      <c r="HL265" s="561">
        <v>0</v>
      </c>
      <c r="HM265" s="561">
        <v>0</v>
      </c>
      <c r="HN265" s="561">
        <v>0</v>
      </c>
      <c r="HO265" s="561">
        <v>283</v>
      </c>
      <c r="HP265" s="561">
        <v>366</v>
      </c>
      <c r="HQ265" s="561">
        <v>0</v>
      </c>
      <c r="HR265" s="561">
        <v>56</v>
      </c>
      <c r="HS265" s="561">
        <v>0</v>
      </c>
      <c r="HT265" s="561">
        <v>64</v>
      </c>
      <c r="HU265" s="561">
        <v>0</v>
      </c>
      <c r="HV265" s="561">
        <v>0</v>
      </c>
      <c r="HW265" s="561">
        <v>49</v>
      </c>
      <c r="HX265" s="561">
        <v>1</v>
      </c>
      <c r="HY265" s="561">
        <v>32</v>
      </c>
      <c r="HZ265" s="561">
        <v>13</v>
      </c>
      <c r="IA265" s="561">
        <v>0</v>
      </c>
      <c r="IB265" s="561">
        <v>43</v>
      </c>
      <c r="IC265" s="561">
        <v>0</v>
      </c>
      <c r="ID265" s="561">
        <v>0</v>
      </c>
      <c r="IE265" s="561">
        <v>41</v>
      </c>
      <c r="IF265" s="561">
        <v>0</v>
      </c>
      <c r="IG265" s="561">
        <v>0</v>
      </c>
      <c r="IH265" s="561">
        <v>4562</v>
      </c>
      <c r="II265" s="561">
        <v>5510</v>
      </c>
      <c r="IJ265" s="561">
        <v>0</v>
      </c>
      <c r="IK265" s="561">
        <v>0</v>
      </c>
      <c r="IL265" s="561">
        <v>37</v>
      </c>
      <c r="IM265" s="561">
        <v>0</v>
      </c>
      <c r="IN265" s="561">
        <v>0</v>
      </c>
      <c r="IO265" s="561">
        <v>75</v>
      </c>
      <c r="IP265" s="561">
        <v>0</v>
      </c>
      <c r="IQ265" s="561">
        <v>0</v>
      </c>
      <c r="IR265" s="561">
        <v>0</v>
      </c>
      <c r="IS265" s="561">
        <v>-587</v>
      </c>
      <c r="IT265" s="561">
        <v>0</v>
      </c>
      <c r="IU265" s="561">
        <v>0</v>
      </c>
      <c r="IV265" s="561">
        <v>0</v>
      </c>
      <c r="IW265" s="561">
        <v>373.2</v>
      </c>
      <c r="IX265" s="561">
        <v>-419</v>
      </c>
      <c r="IY265" s="561">
        <v>986</v>
      </c>
      <c r="IZ265" s="561">
        <v>1087</v>
      </c>
      <c r="JA265" s="561">
        <v>0</v>
      </c>
      <c r="JB265" s="561">
        <v>0</v>
      </c>
      <c r="JC265" s="561">
        <v>5510</v>
      </c>
      <c r="JD265" s="561">
        <v>0</v>
      </c>
      <c r="JE265" s="561">
        <v>6950.2</v>
      </c>
      <c r="JF265" s="561">
        <v>3950</v>
      </c>
      <c r="JG265" s="561">
        <v>1377</v>
      </c>
      <c r="JH265" s="561">
        <v>2006</v>
      </c>
      <c r="JI265" s="561">
        <v>0</v>
      </c>
      <c r="JJ265" s="561">
        <v>0</v>
      </c>
      <c r="JK265" s="561">
        <v>0</v>
      </c>
      <c r="JL265" s="561">
        <v>0</v>
      </c>
      <c r="JM265" s="561">
        <v>0</v>
      </c>
      <c r="JN265" s="561">
        <v>0</v>
      </c>
      <c r="JO265" s="561">
        <v>0</v>
      </c>
      <c r="JP265" s="561">
        <v>0</v>
      </c>
      <c r="JQ265" s="561">
        <v>0</v>
      </c>
      <c r="JR265" s="561">
        <v>0</v>
      </c>
      <c r="JS265" s="561">
        <v>0</v>
      </c>
      <c r="JT265" s="561">
        <v>0</v>
      </c>
      <c r="JU265" s="561">
        <v>0</v>
      </c>
      <c r="JV265" s="561">
        <v>14283.2</v>
      </c>
      <c r="JW265" s="561">
        <v>0</v>
      </c>
      <c r="JX265" s="561">
        <v>457</v>
      </c>
      <c r="JY265" s="561">
        <v>0</v>
      </c>
      <c r="JZ265" s="561">
        <v>-293</v>
      </c>
      <c r="KA265" s="561">
        <v>-164</v>
      </c>
      <c r="KB265" s="561">
        <v>0</v>
      </c>
      <c r="KC265" s="561">
        <v>303</v>
      </c>
      <c r="KD265" s="561">
        <v>0</v>
      </c>
      <c r="KE265" s="561">
        <v>1474</v>
      </c>
      <c r="KF265" s="561">
        <v>-627</v>
      </c>
      <c r="KG265" s="561">
        <v>15433.2</v>
      </c>
      <c r="KH265" s="561">
        <v>-195</v>
      </c>
      <c r="KI265" s="561">
        <v>0</v>
      </c>
      <c r="KJ265" s="561">
        <v>0</v>
      </c>
      <c r="KK265" s="561">
        <v>0</v>
      </c>
      <c r="KL265" s="561">
        <v>-6156</v>
      </c>
      <c r="KM265" s="561">
        <v>0</v>
      </c>
      <c r="KN265" s="561">
        <v>0</v>
      </c>
      <c r="KO265" s="561">
        <v>0</v>
      </c>
      <c r="KP265" s="561">
        <v>0</v>
      </c>
      <c r="KQ265" s="561">
        <v>0</v>
      </c>
      <c r="KR265" s="561">
        <v>9082.2000000000007</v>
      </c>
      <c r="KS265" s="561">
        <v>0</v>
      </c>
      <c r="KT265" s="561">
        <v>-1884</v>
      </c>
      <c r="KU265" s="561">
        <v>7198.2</v>
      </c>
      <c r="KV265" s="561">
        <v>0</v>
      </c>
      <c r="KW265" s="561">
        <v>0</v>
      </c>
      <c r="KX265" s="561">
        <v>0</v>
      </c>
      <c r="KY265" s="561">
        <v>0</v>
      </c>
      <c r="KZ265" s="561">
        <v>196</v>
      </c>
      <c r="LA265" s="561">
        <v>-225</v>
      </c>
      <c r="LB265" s="561">
        <v>-48</v>
      </c>
      <c r="LC265" s="561">
        <v>0</v>
      </c>
      <c r="LD265" s="561">
        <v>-2618</v>
      </c>
      <c r="LE265" s="561">
        <v>-54</v>
      </c>
      <c r="LF265" s="561">
        <v>217</v>
      </c>
      <c r="LG265" s="561">
        <v>4666</v>
      </c>
      <c r="LH265" s="561">
        <v>0</v>
      </c>
      <c r="LI265" s="561">
        <v>0</v>
      </c>
      <c r="LJ265" s="561">
        <v>0</v>
      </c>
      <c r="LK265" s="561">
        <v>0</v>
      </c>
      <c r="LL265" s="561">
        <v>1500</v>
      </c>
      <c r="LM265" s="561">
        <v>1765</v>
      </c>
      <c r="LN265" s="561">
        <v>0</v>
      </c>
      <c r="LO265" s="561">
        <v>0</v>
      </c>
      <c r="LP265" s="561">
        <v>0</v>
      </c>
      <c r="LQ265" s="561">
        <v>0</v>
      </c>
      <c r="LR265" s="561">
        <v>1696</v>
      </c>
      <c r="LS265" s="561">
        <v>1540</v>
      </c>
      <c r="LT265" s="561">
        <v>0</v>
      </c>
      <c r="LU265" s="561">
        <v>2221</v>
      </c>
      <c r="LV265" s="561">
        <v>0</v>
      </c>
      <c r="LW265" s="561">
        <v>127</v>
      </c>
      <c r="LX265" s="561">
        <v>-359</v>
      </c>
      <c r="LY265" s="561">
        <v>948</v>
      </c>
      <c r="LZ265" s="561">
        <v>2931</v>
      </c>
      <c r="MA265" s="561">
        <v>0</v>
      </c>
      <c r="MB265" s="561">
        <v>0</v>
      </c>
      <c r="MC265" s="561">
        <v>6353</v>
      </c>
      <c r="MD265" s="561">
        <v>6005</v>
      </c>
      <c r="ME265" s="561">
        <v>348</v>
      </c>
      <c r="MF265" s="561">
        <v>1865</v>
      </c>
      <c r="MG265" s="561">
        <v>2213</v>
      </c>
      <c r="MH265" s="561">
        <v>1393</v>
      </c>
      <c r="MI265" s="561">
        <v>1391</v>
      </c>
      <c r="MJ265" s="561">
        <v>2784</v>
      </c>
      <c r="MK265" s="561">
        <v>0</v>
      </c>
      <c r="ML265" s="561">
        <v>0</v>
      </c>
      <c r="MM265" s="561">
        <v>1556</v>
      </c>
      <c r="MN265" s="561">
        <v>140</v>
      </c>
      <c r="MO265" s="561">
        <v>0</v>
      </c>
      <c r="MP265" s="561">
        <v>0</v>
      </c>
      <c r="MQ265" s="561">
        <v>0</v>
      </c>
      <c r="MR265" s="561">
        <v>-587</v>
      </c>
      <c r="MS265" s="561">
        <v>0</v>
      </c>
      <c r="MT265" s="561">
        <v>0</v>
      </c>
      <c r="MU265" s="561">
        <v>0</v>
      </c>
      <c r="MV265" s="561">
        <v>373.2</v>
      </c>
      <c r="MW265" s="561">
        <v>-419</v>
      </c>
      <c r="MX265" s="561">
        <v>986</v>
      </c>
      <c r="MY265" s="561">
        <v>1087</v>
      </c>
      <c r="MZ265" s="561">
        <v>0</v>
      </c>
      <c r="NA265" s="561">
        <v>0</v>
      </c>
      <c r="NB265" s="561">
        <v>5510</v>
      </c>
      <c r="NC265" s="561">
        <v>0</v>
      </c>
      <c r="ND265" s="561">
        <v>6950.2</v>
      </c>
      <c r="NE265" s="561">
        <v>0</v>
      </c>
      <c r="NF265" s="561">
        <v>0</v>
      </c>
      <c r="NG265" s="561">
        <v>0</v>
      </c>
      <c r="NH265" s="561">
        <v>0</v>
      </c>
      <c r="NI265" s="561">
        <v>0</v>
      </c>
      <c r="NJ265" s="561">
        <v>0</v>
      </c>
      <c r="NK265" s="561">
        <v>0</v>
      </c>
      <c r="NL265" s="561">
        <v>0</v>
      </c>
      <c r="NM265" s="561">
        <v>0</v>
      </c>
      <c r="NN265" s="561">
        <v>0</v>
      </c>
      <c r="NO265" s="561">
        <v>0</v>
      </c>
      <c r="NP265" s="561">
        <v>0</v>
      </c>
      <c r="NQ265" s="561">
        <v>0</v>
      </c>
      <c r="NR265" s="561">
        <v>0</v>
      </c>
      <c r="NS265" s="561">
        <v>0</v>
      </c>
      <c r="NT265" s="561">
        <v>0</v>
      </c>
      <c r="NU265" s="561">
        <v>-853</v>
      </c>
      <c r="NV265" s="561">
        <v>0</v>
      </c>
      <c r="NW265" s="561">
        <v>0</v>
      </c>
      <c r="NX265" s="561">
        <v>0</v>
      </c>
      <c r="NY265" s="561">
        <v>0</v>
      </c>
      <c r="NZ265" s="561">
        <v>0</v>
      </c>
      <c r="OA265" s="561">
        <v>0</v>
      </c>
      <c r="OB265" s="561">
        <v>0</v>
      </c>
      <c r="OC265" s="561">
        <v>0</v>
      </c>
      <c r="OD265" s="561">
        <v>0</v>
      </c>
      <c r="OE265" s="561">
        <v>0</v>
      </c>
      <c r="OF265" s="561">
        <v>0</v>
      </c>
      <c r="OG265" s="561">
        <v>0</v>
      </c>
      <c r="OH265" s="561">
        <v>0</v>
      </c>
      <c r="OI265" s="561">
        <v>0</v>
      </c>
      <c r="OJ265" s="561">
        <v>0</v>
      </c>
      <c r="OK265" s="561">
        <v>0</v>
      </c>
      <c r="OL265" s="561">
        <v>0</v>
      </c>
      <c r="OM265" s="561">
        <v>0</v>
      </c>
      <c r="ON265" s="561">
        <v>0</v>
      </c>
      <c r="OO265" s="561">
        <v>0</v>
      </c>
      <c r="OP265" s="561">
        <v>0</v>
      </c>
      <c r="OQ265" s="561">
        <v>0</v>
      </c>
      <c r="OR265" s="561">
        <v>0</v>
      </c>
      <c r="OS265" s="561">
        <v>0</v>
      </c>
      <c r="OT265" s="561">
        <v>0</v>
      </c>
      <c r="OU265" s="561">
        <v>0</v>
      </c>
      <c r="OV265" s="561">
        <v>0</v>
      </c>
      <c r="OW265" s="561">
        <v>0</v>
      </c>
      <c r="OX265" s="561">
        <v>0</v>
      </c>
      <c r="OY265" s="561">
        <v>0</v>
      </c>
      <c r="OZ265" s="561">
        <v>0</v>
      </c>
      <c r="PA265" s="561">
        <v>0</v>
      </c>
      <c r="PB265" s="561">
        <v>0</v>
      </c>
      <c r="PC265" s="561">
        <v>0</v>
      </c>
      <c r="PD265" s="561">
        <v>0</v>
      </c>
      <c r="PE265" s="561">
        <v>0</v>
      </c>
      <c r="PF265" s="561">
        <v>0</v>
      </c>
      <c r="PG265" s="561">
        <v>0</v>
      </c>
      <c r="PH265" s="561">
        <v>0</v>
      </c>
      <c r="PI265" s="561">
        <v>0</v>
      </c>
      <c r="PJ265" s="561">
        <v>0</v>
      </c>
    </row>
    <row r="266" spans="1:426" ht="14" x14ac:dyDescent="0.3">
      <c r="A266" t="s">
        <v>3241</v>
      </c>
      <c r="B266" t="s">
        <v>3242</v>
      </c>
      <c r="C266" t="s">
        <v>3243</v>
      </c>
      <c r="E266" t="s">
        <v>379</v>
      </c>
      <c r="F266" s="561">
        <v>28430</v>
      </c>
      <c r="G266" s="561">
        <v>103093</v>
      </c>
      <c r="H266" s="561">
        <v>40781</v>
      </c>
      <c r="I266" s="561">
        <v>29802</v>
      </c>
      <c r="J266" s="561">
        <v>5135</v>
      </c>
      <c r="K266" s="561">
        <v>22673</v>
      </c>
      <c r="L266" s="561">
        <v>229914</v>
      </c>
      <c r="M266" s="561">
        <v>5886</v>
      </c>
      <c r="N266" s="561">
        <v>2119</v>
      </c>
      <c r="O266" s="561">
        <v>0</v>
      </c>
      <c r="P266" s="561">
        <v>174</v>
      </c>
      <c r="Q266" s="561">
        <v>369</v>
      </c>
      <c r="R266" s="561">
        <v>0</v>
      </c>
      <c r="S266" s="561">
        <v>344</v>
      </c>
      <c r="T266" s="561">
        <v>795</v>
      </c>
      <c r="U266" s="561">
        <v>959</v>
      </c>
      <c r="V266" s="561">
        <v>5476</v>
      </c>
      <c r="W266" s="561">
        <v>0</v>
      </c>
      <c r="X266" s="561">
        <v>-180</v>
      </c>
      <c r="Y266" s="561">
        <v>85</v>
      </c>
      <c r="Z266" s="561">
        <v>0</v>
      </c>
      <c r="AA266" s="561">
        <v>474</v>
      </c>
      <c r="AB266" s="561">
        <v>-653</v>
      </c>
      <c r="AC266" s="561">
        <v>0</v>
      </c>
      <c r="AD266" s="561">
        <v>0</v>
      </c>
      <c r="AE266" s="561">
        <v>0</v>
      </c>
      <c r="AF266" s="561">
        <v>0</v>
      </c>
      <c r="AG266" s="561">
        <v>0</v>
      </c>
      <c r="AH266" s="561">
        <v>0</v>
      </c>
      <c r="AI266" s="561">
        <v>0</v>
      </c>
      <c r="AJ266" s="561">
        <v>9962</v>
      </c>
      <c r="AK266" s="561">
        <v>1986</v>
      </c>
      <c r="AL266" s="561">
        <v>0</v>
      </c>
      <c r="AM266" s="561">
        <v>0</v>
      </c>
      <c r="AN266" s="561">
        <v>0</v>
      </c>
      <c r="AO266" s="561">
        <v>0</v>
      </c>
      <c r="AP266" s="561">
        <v>0</v>
      </c>
      <c r="AQ266" s="561">
        <v>0</v>
      </c>
      <c r="AR266" s="561">
        <v>0</v>
      </c>
      <c r="AS266" s="561">
        <v>903</v>
      </c>
      <c r="AT266" s="561">
        <v>65</v>
      </c>
      <c r="AU266" s="561">
        <v>0</v>
      </c>
      <c r="AV266" s="561">
        <v>0</v>
      </c>
      <c r="AW266" s="561">
        <v>0</v>
      </c>
      <c r="AX266" s="561">
        <v>354</v>
      </c>
      <c r="AY266" s="561">
        <v>50233</v>
      </c>
      <c r="AZ266" s="561">
        <v>0</v>
      </c>
      <c r="BA266" s="561">
        <v>9106</v>
      </c>
      <c r="BB266" s="561">
        <v>64</v>
      </c>
      <c r="BC266" s="561">
        <v>23987</v>
      </c>
      <c r="BD266" s="561">
        <v>178</v>
      </c>
      <c r="BE266" s="561">
        <v>2241</v>
      </c>
      <c r="BF266" s="561">
        <v>86163</v>
      </c>
      <c r="BG266" s="561">
        <v>7810</v>
      </c>
      <c r="BH266" s="561">
        <v>7662</v>
      </c>
      <c r="BI266" s="561">
        <v>29378</v>
      </c>
      <c r="BJ266" s="561">
        <v>187</v>
      </c>
      <c r="BK266" s="561">
        <v>187</v>
      </c>
      <c r="BL266" s="561">
        <v>684</v>
      </c>
      <c r="BM266" s="561">
        <v>1596</v>
      </c>
      <c r="BN266" s="561">
        <v>30351</v>
      </c>
      <c r="BO266" s="561">
        <v>3436</v>
      </c>
      <c r="BP266" s="561">
        <v>5249</v>
      </c>
      <c r="BQ266" s="561">
        <v>7772</v>
      </c>
      <c r="BR266" s="561">
        <v>0</v>
      </c>
      <c r="BS266" s="561">
        <v>0</v>
      </c>
      <c r="BT266" s="561">
        <v>0</v>
      </c>
      <c r="BU266" s="561">
        <v>0</v>
      </c>
      <c r="BV266" s="561">
        <v>1379</v>
      </c>
      <c r="BW266" s="561">
        <v>14064</v>
      </c>
      <c r="BX266" s="561">
        <v>399</v>
      </c>
      <c r="BY266" s="561">
        <v>2388</v>
      </c>
      <c r="BZ266" s="561">
        <v>104732</v>
      </c>
      <c r="CA266" s="561">
        <v>1471</v>
      </c>
      <c r="CB266" s="561">
        <v>778</v>
      </c>
      <c r="CC266" s="561">
        <v>819</v>
      </c>
      <c r="CD266" s="561">
        <v>208</v>
      </c>
      <c r="CE266" s="561">
        <v>249</v>
      </c>
      <c r="CF266" s="561">
        <v>212</v>
      </c>
      <c r="CG266" s="561">
        <v>232</v>
      </c>
      <c r="CH266" s="561">
        <v>212</v>
      </c>
      <c r="CI266" s="561">
        <v>260</v>
      </c>
      <c r="CJ266" s="561">
        <v>259</v>
      </c>
      <c r="CK266" s="561">
        <v>223</v>
      </c>
      <c r="CL266" s="561">
        <v>326</v>
      </c>
      <c r="CM266" s="561">
        <v>1726</v>
      </c>
      <c r="CN266" s="561">
        <v>1726</v>
      </c>
      <c r="CO266" s="561">
        <v>432</v>
      </c>
      <c r="CP266" s="561">
        <v>550</v>
      </c>
      <c r="CQ266" s="561">
        <v>231</v>
      </c>
      <c r="CR266" s="561">
        <v>500</v>
      </c>
      <c r="CS266" s="561">
        <v>164</v>
      </c>
      <c r="CT266" s="561">
        <v>1880</v>
      </c>
      <c r="CU266" s="561">
        <v>4599</v>
      </c>
      <c r="CV266" s="561">
        <v>1230</v>
      </c>
      <c r="CW266" s="561">
        <v>240</v>
      </c>
      <c r="CX266" s="561">
        <v>623</v>
      </c>
      <c r="CY266" s="561">
        <v>2097</v>
      </c>
      <c r="CZ266" s="561">
        <v>19776</v>
      </c>
      <c r="DA266" s="561">
        <v>0</v>
      </c>
      <c r="DB266" s="561">
        <v>0</v>
      </c>
      <c r="DC266" s="561">
        <v>0</v>
      </c>
      <c r="DD266" s="561">
        <v>0</v>
      </c>
      <c r="DE266" s="561">
        <v>0</v>
      </c>
      <c r="DF266" s="561">
        <v>0</v>
      </c>
      <c r="DG266" s="561">
        <v>0</v>
      </c>
      <c r="DH266" s="561">
        <v>517</v>
      </c>
      <c r="DI266" s="561">
        <v>0</v>
      </c>
      <c r="DJ266" s="561">
        <v>0</v>
      </c>
      <c r="DK266" s="561">
        <v>0</v>
      </c>
      <c r="DL266" s="561">
        <v>3495</v>
      </c>
      <c r="DM266" s="561">
        <v>0</v>
      </c>
      <c r="DN266" s="561">
        <v>0</v>
      </c>
      <c r="DO266" s="561">
        <v>2817</v>
      </c>
      <c r="DP266" s="561">
        <v>-54</v>
      </c>
      <c r="DQ266" s="561">
        <v>0</v>
      </c>
      <c r="DR266" s="561">
        <v>3183</v>
      </c>
      <c r="DS266" s="561">
        <v>0</v>
      </c>
      <c r="DT266" s="561">
        <v>253</v>
      </c>
      <c r="DU266" s="561">
        <v>9694</v>
      </c>
      <c r="DV266" s="561">
        <v>425</v>
      </c>
      <c r="DW266" s="561">
        <v>0</v>
      </c>
      <c r="DX266" s="561">
        <v>0</v>
      </c>
      <c r="DY266" s="561">
        <v>3451</v>
      </c>
      <c r="DZ266" s="561">
        <v>0</v>
      </c>
      <c r="EA266" s="561">
        <v>0</v>
      </c>
      <c r="EB266" s="561">
        <v>0</v>
      </c>
      <c r="EC266" s="561">
        <v>14087</v>
      </c>
      <c r="ED266" s="561">
        <v>334</v>
      </c>
      <c r="EE266" s="561">
        <v>11281</v>
      </c>
      <c r="EF266" s="561">
        <v>29</v>
      </c>
      <c r="EG266" s="561">
        <v>1273</v>
      </c>
      <c r="EH266" s="561">
        <v>59</v>
      </c>
      <c r="EI266" s="561">
        <v>18799</v>
      </c>
      <c r="EJ266" s="561">
        <v>375</v>
      </c>
      <c r="EK266" s="561">
        <v>0</v>
      </c>
      <c r="EL266" s="561">
        <v>0</v>
      </c>
      <c r="EM266" s="561">
        <v>0</v>
      </c>
      <c r="EN266" s="561">
        <v>4862</v>
      </c>
      <c r="EO266" s="561">
        <v>6190</v>
      </c>
      <c r="EP266" s="561">
        <v>0</v>
      </c>
      <c r="EQ266" s="561">
        <v>3388</v>
      </c>
      <c r="ER266" s="561">
        <v>9632</v>
      </c>
      <c r="ES266" s="561" t="s">
        <v>4565</v>
      </c>
      <c r="ET266" s="561">
        <v>4148</v>
      </c>
      <c r="EU266" s="561">
        <v>1</v>
      </c>
      <c r="EV266" s="561">
        <v>0</v>
      </c>
      <c r="EW266" s="561">
        <v>0</v>
      </c>
      <c r="EX266" s="561">
        <v>121</v>
      </c>
      <c r="EY266" s="561">
        <v>132</v>
      </c>
      <c r="EZ266" s="561">
        <v>3342</v>
      </c>
      <c r="FA266" s="561">
        <v>21105</v>
      </c>
      <c r="FB266" s="561">
        <v>0</v>
      </c>
      <c r="FC266" s="561">
        <v>123</v>
      </c>
      <c r="FD266" s="561">
        <v>0</v>
      </c>
      <c r="FE266" s="561">
        <v>2034</v>
      </c>
      <c r="FF266" s="561">
        <v>276</v>
      </c>
      <c r="FG266" s="561">
        <v>0</v>
      </c>
      <c r="FH266" s="561">
        <v>0</v>
      </c>
      <c r="FI266" s="561">
        <v>119</v>
      </c>
      <c r="FJ266" s="561">
        <v>2397</v>
      </c>
      <c r="FK266" s="561">
        <v>6351</v>
      </c>
      <c r="FL266" s="561">
        <v>0</v>
      </c>
      <c r="FM266" s="561">
        <v>0</v>
      </c>
      <c r="FN266" s="561">
        <v>4693</v>
      </c>
      <c r="FO266" s="561">
        <v>15993</v>
      </c>
      <c r="FP266" s="561">
        <v>212</v>
      </c>
      <c r="FQ266" s="561">
        <v>0</v>
      </c>
      <c r="FR266" s="561">
        <v>290</v>
      </c>
      <c r="FS266" s="561">
        <v>0</v>
      </c>
      <c r="FT266" s="561">
        <v>197</v>
      </c>
      <c r="FU266" s="561">
        <v>598</v>
      </c>
      <c r="FV266" s="561">
        <v>0</v>
      </c>
      <c r="FW266" s="561">
        <v>65</v>
      </c>
      <c r="FX266" s="561">
        <v>0</v>
      </c>
      <c r="FY266" s="561">
        <v>0</v>
      </c>
      <c r="FZ266" s="561">
        <v>287</v>
      </c>
      <c r="GA266" s="561">
        <v>0</v>
      </c>
      <c r="GB266" s="561">
        <v>545</v>
      </c>
      <c r="GC266" s="561">
        <v>-366</v>
      </c>
      <c r="GD266" s="561">
        <v>644</v>
      </c>
      <c r="GE266" s="561">
        <v>0</v>
      </c>
      <c r="GF266" s="561">
        <v>433</v>
      </c>
      <c r="GG266" s="561">
        <v>21</v>
      </c>
      <c r="GH266" s="561">
        <v>0</v>
      </c>
      <c r="GI266" s="561">
        <v>0</v>
      </c>
      <c r="GJ266" s="561">
        <v>0</v>
      </c>
      <c r="GK266" s="561">
        <v>0</v>
      </c>
      <c r="GL266" s="561">
        <v>3888</v>
      </c>
      <c r="GM266" s="561">
        <v>2617</v>
      </c>
      <c r="GN266" s="561">
        <v>112</v>
      </c>
      <c r="GO266" s="561">
        <v>0</v>
      </c>
      <c r="GP266" s="561">
        <v>5201</v>
      </c>
      <c r="GQ266" s="561">
        <v>0</v>
      </c>
      <c r="GR266" s="561">
        <v>0</v>
      </c>
      <c r="GS266" s="561">
        <v>14532</v>
      </c>
      <c r="GT266" s="561">
        <v>1447</v>
      </c>
      <c r="GU266" s="561">
        <v>0</v>
      </c>
      <c r="GV266" s="561">
        <v>18</v>
      </c>
      <c r="GW266" s="561">
        <v>303</v>
      </c>
      <c r="GX266" s="561">
        <v>0</v>
      </c>
      <c r="GY266" s="561">
        <v>-70</v>
      </c>
      <c r="GZ266" s="561">
        <v>3643</v>
      </c>
      <c r="HA266" s="561">
        <v>0</v>
      </c>
      <c r="HB266" s="561">
        <v>0</v>
      </c>
      <c r="HC266" s="561">
        <v>2666</v>
      </c>
      <c r="HD266" s="561">
        <v>6560</v>
      </c>
      <c r="HE266" s="561">
        <v>95</v>
      </c>
      <c r="HF266" s="561">
        <v>37085</v>
      </c>
      <c r="HG266" s="561">
        <v>1754</v>
      </c>
      <c r="HH266" s="561">
        <v>0</v>
      </c>
      <c r="HI266" s="561">
        <v>0</v>
      </c>
      <c r="HJ266" s="561">
        <v>0</v>
      </c>
      <c r="HK266" s="561">
        <v>0</v>
      </c>
      <c r="HL266" s="561">
        <v>0</v>
      </c>
      <c r="HM266" s="561">
        <v>0</v>
      </c>
      <c r="HN266" s="561">
        <v>0</v>
      </c>
      <c r="HO266" s="561">
        <v>11270</v>
      </c>
      <c r="HP266" s="561">
        <v>654</v>
      </c>
      <c r="HQ266" s="561">
        <v>0</v>
      </c>
      <c r="HR266" s="561">
        <v>218</v>
      </c>
      <c r="HS266" s="561">
        <v>0</v>
      </c>
      <c r="HT266" s="561">
        <v>-271</v>
      </c>
      <c r="HU266" s="561">
        <v>0</v>
      </c>
      <c r="HV266" s="561">
        <v>-11</v>
      </c>
      <c r="HW266" s="561">
        <v>417</v>
      </c>
      <c r="HX266" s="561">
        <v>411</v>
      </c>
      <c r="HY266" s="561">
        <v>96</v>
      </c>
      <c r="HZ266" s="561">
        <v>-14</v>
      </c>
      <c r="IA266" s="561">
        <v>5160</v>
      </c>
      <c r="IB266" s="561">
        <v>0</v>
      </c>
      <c r="IC266" s="561">
        <v>1162</v>
      </c>
      <c r="ID266" s="561">
        <v>0</v>
      </c>
      <c r="IE266" s="561">
        <v>3537</v>
      </c>
      <c r="IF266" s="561">
        <v>0</v>
      </c>
      <c r="IG266" s="561">
        <v>0</v>
      </c>
      <c r="IH266" s="561">
        <v>1507</v>
      </c>
      <c r="II266" s="561">
        <v>24136</v>
      </c>
      <c r="IJ266" s="561">
        <v>3068</v>
      </c>
      <c r="IK266" s="561">
        <v>28225</v>
      </c>
      <c r="IL266" s="561">
        <v>14742</v>
      </c>
      <c r="IM266" s="561">
        <v>0</v>
      </c>
      <c r="IN266" s="561">
        <v>0</v>
      </c>
      <c r="IO266" s="561">
        <v>5787</v>
      </c>
      <c r="IP266" s="561">
        <v>0</v>
      </c>
      <c r="IQ266" s="561">
        <v>0</v>
      </c>
      <c r="IR266" s="561">
        <v>229914</v>
      </c>
      <c r="IS266" s="561">
        <v>9962</v>
      </c>
      <c r="IT266" s="561">
        <v>86163</v>
      </c>
      <c r="IU266" s="561">
        <v>104732</v>
      </c>
      <c r="IV266" s="561">
        <v>19776</v>
      </c>
      <c r="IW266" s="561">
        <v>14087</v>
      </c>
      <c r="IX266" s="561">
        <v>15993</v>
      </c>
      <c r="IY266" s="561">
        <v>14532</v>
      </c>
      <c r="IZ266" s="561">
        <v>6560</v>
      </c>
      <c r="JA266" s="561">
        <v>0</v>
      </c>
      <c r="JB266" s="561">
        <v>0</v>
      </c>
      <c r="JC266" s="561">
        <v>24136</v>
      </c>
      <c r="JD266" s="561">
        <v>0</v>
      </c>
      <c r="JE266" s="561">
        <v>525855</v>
      </c>
      <c r="JF266" s="561">
        <v>40066</v>
      </c>
      <c r="JG266" s="561">
        <v>0</v>
      </c>
      <c r="JH266" s="561">
        <v>4694</v>
      </c>
      <c r="JI266" s="561">
        <v>0</v>
      </c>
      <c r="JJ266" s="561">
        <v>0</v>
      </c>
      <c r="JK266" s="561">
        <v>355</v>
      </c>
      <c r="JL266" s="561">
        <v>17271</v>
      </c>
      <c r="JM266" s="561">
        <v>17680</v>
      </c>
      <c r="JN266" s="561">
        <v>0</v>
      </c>
      <c r="JO266" s="561">
        <v>439</v>
      </c>
      <c r="JP266" s="561">
        <v>1551</v>
      </c>
      <c r="JQ266" s="561">
        <v>-1344</v>
      </c>
      <c r="JR266" s="561">
        <v>-4032</v>
      </c>
      <c r="JS266" s="561">
        <v>-75</v>
      </c>
      <c r="JT266" s="561">
        <v>249</v>
      </c>
      <c r="JU266" s="561">
        <v>0</v>
      </c>
      <c r="JV266" s="561">
        <v>602709</v>
      </c>
      <c r="JW266" s="561">
        <v>118</v>
      </c>
      <c r="JX266" s="561">
        <v>12</v>
      </c>
      <c r="JY266" s="561">
        <v>0</v>
      </c>
      <c r="JZ266" s="561">
        <v>-3216</v>
      </c>
      <c r="KA266" s="561">
        <v>0</v>
      </c>
      <c r="KB266" s="561">
        <v>0</v>
      </c>
      <c r="KC266" s="561">
        <v>8880</v>
      </c>
      <c r="KD266" s="561">
        <v>7898</v>
      </c>
      <c r="KE266" s="561">
        <v>8719</v>
      </c>
      <c r="KF266" s="561">
        <v>0</v>
      </c>
      <c r="KG266" s="561">
        <v>625120</v>
      </c>
      <c r="KH266" s="561">
        <v>-9622</v>
      </c>
      <c r="KI266" s="561">
        <v>0</v>
      </c>
      <c r="KJ266" s="561">
        <v>294</v>
      </c>
      <c r="KK266" s="561">
        <v>0</v>
      </c>
      <c r="KL266" s="561">
        <v>-45650</v>
      </c>
      <c r="KM266" s="561">
        <v>0</v>
      </c>
      <c r="KN266" s="561">
        <v>0</v>
      </c>
      <c r="KO266" s="561">
        <v>0</v>
      </c>
      <c r="KP266" s="561">
        <v>0</v>
      </c>
      <c r="KQ266" s="561">
        <v>0</v>
      </c>
      <c r="KR266" s="561">
        <v>570142</v>
      </c>
      <c r="KS266" s="561">
        <v>0</v>
      </c>
      <c r="KT266" s="561">
        <v>-291704</v>
      </c>
      <c r="KU266" s="561">
        <v>278438</v>
      </c>
      <c r="KV266" s="561">
        <v>0</v>
      </c>
      <c r="KW266" s="561">
        <v>-1418</v>
      </c>
      <c r="KX266" s="561">
        <v>-2520</v>
      </c>
      <c r="KY266" s="561">
        <v>0</v>
      </c>
      <c r="KZ266" s="561">
        <v>-23672</v>
      </c>
      <c r="LA266" s="561">
        <v>0</v>
      </c>
      <c r="LB266" s="561">
        <v>0</v>
      </c>
      <c r="LC266" s="561">
        <v>0</v>
      </c>
      <c r="LD266" s="561">
        <v>-133568</v>
      </c>
      <c r="LE266" s="561">
        <v>-750</v>
      </c>
      <c r="LF266" s="561">
        <v>0</v>
      </c>
      <c r="LG266" s="561">
        <v>116510</v>
      </c>
      <c r="LH266" s="561">
        <v>8578</v>
      </c>
      <c r="LI266" s="561">
        <v>-2814</v>
      </c>
      <c r="LJ266" s="561">
        <v>6516</v>
      </c>
      <c r="LK266" s="561">
        <v>0</v>
      </c>
      <c r="LL266" s="561">
        <v>57445</v>
      </c>
      <c r="LM266" s="561">
        <v>18866</v>
      </c>
      <c r="LN266" s="561">
        <v>7160</v>
      </c>
      <c r="LO266" s="561">
        <v>-2814</v>
      </c>
      <c r="LP266" s="561">
        <v>3996</v>
      </c>
      <c r="LQ266" s="561">
        <v>0</v>
      </c>
      <c r="LR266" s="561">
        <v>33773</v>
      </c>
      <c r="LS266" s="561">
        <v>18866</v>
      </c>
      <c r="LT266" s="561">
        <v>0</v>
      </c>
      <c r="LU266" s="561">
        <v>47817</v>
      </c>
      <c r="LV266" s="561">
        <v>28492</v>
      </c>
      <c r="LW266" s="561">
        <v>19027</v>
      </c>
      <c r="LX266" s="561">
        <v>-45120</v>
      </c>
      <c r="LY266" s="561">
        <v>8986</v>
      </c>
      <c r="LZ266" s="561">
        <v>64905</v>
      </c>
      <c r="MA266" s="561">
        <v>0</v>
      </c>
      <c r="MB266" s="561">
        <v>0</v>
      </c>
      <c r="MC266" s="561">
        <v>31816</v>
      </c>
      <c r="MD266" s="561">
        <v>28474</v>
      </c>
      <c r="ME266" s="561">
        <v>3342</v>
      </c>
      <c r="MF266" s="561">
        <v>21105</v>
      </c>
      <c r="MG266" s="561">
        <v>24447</v>
      </c>
      <c r="MH266" s="561">
        <v>8029</v>
      </c>
      <c r="MI266" s="561">
        <v>13139</v>
      </c>
      <c r="MJ266" s="561">
        <v>21168</v>
      </c>
      <c r="MK266" s="561">
        <v>18</v>
      </c>
      <c r="ML266" s="561">
        <v>0</v>
      </c>
      <c r="MM266" s="561">
        <v>10119</v>
      </c>
      <c r="MN266" s="561">
        <v>4740</v>
      </c>
      <c r="MO266" s="561">
        <v>13425</v>
      </c>
      <c r="MP266" s="561">
        <v>5489</v>
      </c>
      <c r="MQ266" s="561">
        <v>229914</v>
      </c>
      <c r="MR266" s="561">
        <v>9962</v>
      </c>
      <c r="MS266" s="561">
        <v>86163</v>
      </c>
      <c r="MT266" s="561">
        <v>104732</v>
      </c>
      <c r="MU266" s="561">
        <v>19776</v>
      </c>
      <c r="MV266" s="561">
        <v>14087</v>
      </c>
      <c r="MW266" s="561">
        <v>15993</v>
      </c>
      <c r="MX266" s="561">
        <v>14532</v>
      </c>
      <c r="MY266" s="561">
        <v>6560</v>
      </c>
      <c r="MZ266" s="561">
        <v>0</v>
      </c>
      <c r="NA266" s="561">
        <v>0</v>
      </c>
      <c r="NB266" s="561">
        <v>24136</v>
      </c>
      <c r="NC266" s="561">
        <v>0</v>
      </c>
      <c r="ND266" s="561">
        <v>525855</v>
      </c>
      <c r="NE266" s="561">
        <v>0</v>
      </c>
      <c r="NF266" s="561">
        <v>0</v>
      </c>
      <c r="NG266" s="561">
        <v>0</v>
      </c>
      <c r="NH266" s="561">
        <v>0</v>
      </c>
      <c r="NI266" s="561">
        <v>0</v>
      </c>
      <c r="NJ266" s="561">
        <v>0</v>
      </c>
      <c r="NK266" s="561">
        <v>0</v>
      </c>
      <c r="NL266" s="561">
        <v>133</v>
      </c>
      <c r="NM266" s="561">
        <v>0</v>
      </c>
      <c r="NN266" s="561">
        <v>0</v>
      </c>
      <c r="NO266" s="561">
        <v>-1252</v>
      </c>
      <c r="NP266" s="561">
        <v>0</v>
      </c>
      <c r="NQ266" s="561">
        <v>-1423</v>
      </c>
      <c r="NR266" s="561">
        <v>305</v>
      </c>
      <c r="NS266" s="561">
        <v>0</v>
      </c>
      <c r="NT266" s="561">
        <v>-1455</v>
      </c>
      <c r="NU266" s="561">
        <v>0</v>
      </c>
      <c r="NV266" s="561">
        <v>683</v>
      </c>
      <c r="NW266" s="561">
        <v>-2481</v>
      </c>
      <c r="NX266" s="561">
        <v>4032</v>
      </c>
      <c r="NY266" s="561">
        <v>1551</v>
      </c>
      <c r="NZ266" s="561">
        <v>0</v>
      </c>
      <c r="OA266" s="561">
        <v>0</v>
      </c>
      <c r="OB266" s="561">
        <v>0</v>
      </c>
      <c r="OC266" s="561">
        <v>0</v>
      </c>
      <c r="OD266" s="561">
        <v>0</v>
      </c>
      <c r="OE266" s="561">
        <v>0</v>
      </c>
      <c r="OF266" s="561">
        <v>0</v>
      </c>
      <c r="OG266" s="561">
        <v>0</v>
      </c>
      <c r="OH266" s="561">
        <v>0</v>
      </c>
      <c r="OI266" s="561">
        <v>0</v>
      </c>
      <c r="OJ266" s="561">
        <v>139</v>
      </c>
      <c r="OK266" s="561">
        <v>0</v>
      </c>
      <c r="OL266" s="561">
        <v>0</v>
      </c>
      <c r="OM266" s="561">
        <v>-1059</v>
      </c>
      <c r="ON266" s="561">
        <v>-234</v>
      </c>
      <c r="OO266" s="561">
        <v>0</v>
      </c>
      <c r="OP266" s="561">
        <v>173</v>
      </c>
      <c r="OQ266" s="561">
        <v>0</v>
      </c>
      <c r="OR266" s="561">
        <v>0</v>
      </c>
      <c r="OS266" s="561">
        <v>0</v>
      </c>
      <c r="OT266" s="561">
        <v>0</v>
      </c>
      <c r="OU266" s="561">
        <v>0</v>
      </c>
      <c r="OV266" s="561">
        <v>0</v>
      </c>
      <c r="OW266" s="561">
        <v>75</v>
      </c>
      <c r="OX266" s="561">
        <v>-1344</v>
      </c>
      <c r="OY266" s="561">
        <v>2435</v>
      </c>
      <c r="OZ266" s="561">
        <v>-29</v>
      </c>
      <c r="PA266" s="561">
        <v>1626</v>
      </c>
      <c r="PB266" s="561">
        <v>0</v>
      </c>
      <c r="PC266" s="561">
        <v>0</v>
      </c>
      <c r="PD266" s="561">
        <v>4032</v>
      </c>
      <c r="PE266" s="561">
        <v>75</v>
      </c>
      <c r="PF266" s="561">
        <v>0</v>
      </c>
      <c r="PG266" s="561">
        <v>0</v>
      </c>
      <c r="PH266" s="561">
        <v>0</v>
      </c>
      <c r="PI266" s="561">
        <v>0</v>
      </c>
      <c r="PJ266" s="561">
        <v>75</v>
      </c>
    </row>
    <row r="267" spans="1:426" ht="14" x14ac:dyDescent="0.3">
      <c r="A267" t="s">
        <v>3244</v>
      </c>
      <c r="B267" t="s">
        <v>3245</v>
      </c>
      <c r="C267" t="s">
        <v>3246</v>
      </c>
      <c r="E267" t="s">
        <v>384</v>
      </c>
      <c r="F267" s="561">
        <v>0</v>
      </c>
      <c r="G267" s="561">
        <v>0</v>
      </c>
      <c r="H267" s="561">
        <v>0</v>
      </c>
      <c r="I267" s="561">
        <v>0</v>
      </c>
      <c r="J267" s="561">
        <v>0</v>
      </c>
      <c r="K267" s="561">
        <v>0</v>
      </c>
      <c r="L267" s="561">
        <v>0</v>
      </c>
      <c r="M267" s="561">
        <v>0</v>
      </c>
      <c r="N267" s="561">
        <v>0</v>
      </c>
      <c r="O267" s="561">
        <v>0</v>
      </c>
      <c r="P267" s="561">
        <v>0</v>
      </c>
      <c r="Q267" s="561">
        <v>0</v>
      </c>
      <c r="R267" s="561">
        <v>0</v>
      </c>
      <c r="S267" s="561">
        <v>0</v>
      </c>
      <c r="T267" s="561">
        <v>0</v>
      </c>
      <c r="U267" s="561">
        <v>0</v>
      </c>
      <c r="V267" s="561">
        <v>0</v>
      </c>
      <c r="W267" s="561">
        <v>0</v>
      </c>
      <c r="X267" s="561">
        <v>0</v>
      </c>
      <c r="Y267" s="561">
        <v>0</v>
      </c>
      <c r="Z267" s="561">
        <v>0</v>
      </c>
      <c r="AA267" s="561">
        <v>0</v>
      </c>
      <c r="AB267" s="561">
        <v>-4215</v>
      </c>
      <c r="AC267" s="561">
        <v>0</v>
      </c>
      <c r="AD267" s="561">
        <v>0</v>
      </c>
      <c r="AE267" s="561">
        <v>0</v>
      </c>
      <c r="AF267" s="561">
        <v>0</v>
      </c>
      <c r="AG267" s="561">
        <v>0</v>
      </c>
      <c r="AH267" s="561">
        <v>-133</v>
      </c>
      <c r="AI267" s="561">
        <v>0</v>
      </c>
      <c r="AJ267" s="561">
        <v>-4348</v>
      </c>
      <c r="AK267" s="561">
        <v>0</v>
      </c>
      <c r="AL267" s="561">
        <v>0</v>
      </c>
      <c r="AM267" s="561">
        <v>0</v>
      </c>
      <c r="AN267" s="561">
        <v>0</v>
      </c>
      <c r="AO267" s="561">
        <v>0</v>
      </c>
      <c r="AP267" s="561">
        <v>0</v>
      </c>
      <c r="AQ267" s="561">
        <v>0</v>
      </c>
      <c r="AR267" s="561">
        <v>0</v>
      </c>
      <c r="AS267" s="561">
        <v>0</v>
      </c>
      <c r="AT267" s="561">
        <v>0</v>
      </c>
      <c r="AU267" s="561">
        <v>0</v>
      </c>
      <c r="AV267" s="561">
        <v>0</v>
      </c>
      <c r="AW267" s="561">
        <v>0</v>
      </c>
      <c r="AX267" s="561">
        <v>0</v>
      </c>
      <c r="AY267" s="561">
        <v>0</v>
      </c>
      <c r="AZ267" s="561">
        <v>0</v>
      </c>
      <c r="BA267" s="561">
        <v>0</v>
      </c>
      <c r="BB267" s="561">
        <v>0</v>
      </c>
      <c r="BC267" s="561">
        <v>0</v>
      </c>
      <c r="BD267" s="561">
        <v>0</v>
      </c>
      <c r="BE267" s="561">
        <v>0</v>
      </c>
      <c r="BF267" s="561">
        <v>0</v>
      </c>
      <c r="BG267" s="561">
        <v>0</v>
      </c>
      <c r="BH267" s="561">
        <v>0</v>
      </c>
      <c r="BI267" s="561">
        <v>0</v>
      </c>
      <c r="BJ267" s="561">
        <v>0</v>
      </c>
      <c r="BK267" s="561">
        <v>0</v>
      </c>
      <c r="BL267" s="561">
        <v>0</v>
      </c>
      <c r="BM267" s="561">
        <v>0</v>
      </c>
      <c r="BN267" s="561">
        <v>0</v>
      </c>
      <c r="BO267" s="561">
        <v>0</v>
      </c>
      <c r="BP267" s="561">
        <v>0</v>
      </c>
      <c r="BQ267" s="561">
        <v>0</v>
      </c>
      <c r="BR267" s="561">
        <v>0</v>
      </c>
      <c r="BS267" s="561">
        <v>0</v>
      </c>
      <c r="BT267" s="561">
        <v>0</v>
      </c>
      <c r="BU267" s="561">
        <v>0</v>
      </c>
      <c r="BV267" s="561">
        <v>0</v>
      </c>
      <c r="BW267" s="561">
        <v>0</v>
      </c>
      <c r="BX267" s="561">
        <v>0</v>
      </c>
      <c r="BY267" s="561">
        <v>0</v>
      </c>
      <c r="BZ267" s="561">
        <v>0</v>
      </c>
      <c r="CA267" s="561">
        <v>0</v>
      </c>
      <c r="CB267" s="561">
        <v>0</v>
      </c>
      <c r="CC267" s="561">
        <v>0</v>
      </c>
      <c r="CD267" s="561">
        <v>0</v>
      </c>
      <c r="CE267" s="561">
        <v>0</v>
      </c>
      <c r="CF267" s="561">
        <v>0</v>
      </c>
      <c r="CG267" s="561">
        <v>0</v>
      </c>
      <c r="CH267" s="561">
        <v>0</v>
      </c>
      <c r="CI267" s="561">
        <v>0</v>
      </c>
      <c r="CJ267" s="561">
        <v>0</v>
      </c>
      <c r="CK267" s="561">
        <v>0</v>
      </c>
      <c r="CL267" s="561">
        <v>0</v>
      </c>
      <c r="CM267" s="561">
        <v>0</v>
      </c>
      <c r="CN267" s="561">
        <v>0</v>
      </c>
      <c r="CO267" s="561">
        <v>0</v>
      </c>
      <c r="CP267" s="561">
        <v>0</v>
      </c>
      <c r="CQ267" s="561">
        <v>0</v>
      </c>
      <c r="CR267" s="561">
        <v>0</v>
      </c>
      <c r="CS267" s="561">
        <v>0</v>
      </c>
      <c r="CT267" s="561">
        <v>0</v>
      </c>
      <c r="CU267" s="561">
        <v>0</v>
      </c>
      <c r="CV267" s="561">
        <v>0</v>
      </c>
      <c r="CW267" s="561">
        <v>0</v>
      </c>
      <c r="CX267" s="561">
        <v>0</v>
      </c>
      <c r="CY267" s="561">
        <v>0</v>
      </c>
      <c r="CZ267" s="561">
        <v>0</v>
      </c>
      <c r="DA267" s="561">
        <v>0</v>
      </c>
      <c r="DB267" s="561">
        <v>0</v>
      </c>
      <c r="DC267" s="561">
        <v>0</v>
      </c>
      <c r="DD267" s="561">
        <v>0</v>
      </c>
      <c r="DE267" s="561">
        <v>0</v>
      </c>
      <c r="DF267" s="561">
        <v>0</v>
      </c>
      <c r="DG267" s="561">
        <v>0</v>
      </c>
      <c r="DH267" s="561">
        <v>3620</v>
      </c>
      <c r="DI267" s="561">
        <v>0</v>
      </c>
      <c r="DJ267" s="561">
        <v>0</v>
      </c>
      <c r="DK267" s="561">
        <v>-84</v>
      </c>
      <c r="DL267" s="561">
        <v>0</v>
      </c>
      <c r="DM267" s="561">
        <v>-194</v>
      </c>
      <c r="DN267" s="561">
        <v>0</v>
      </c>
      <c r="DO267" s="561">
        <v>0</v>
      </c>
      <c r="DP267" s="561">
        <v>20</v>
      </c>
      <c r="DQ267" s="561">
        <v>0</v>
      </c>
      <c r="DR267" s="561">
        <v>0</v>
      </c>
      <c r="DS267" s="561">
        <v>2350</v>
      </c>
      <c r="DT267" s="561">
        <v>10621</v>
      </c>
      <c r="DU267" s="561">
        <v>12797</v>
      </c>
      <c r="DV267" s="561">
        <v>0</v>
      </c>
      <c r="DW267" s="561">
        <v>0</v>
      </c>
      <c r="DX267" s="561">
        <v>0</v>
      </c>
      <c r="DY267" s="561">
        <v>722</v>
      </c>
      <c r="DZ267" s="561">
        <v>102</v>
      </c>
      <c r="EA267" s="561">
        <v>0</v>
      </c>
      <c r="EB267" s="561">
        <v>0</v>
      </c>
      <c r="EC267" s="561">
        <v>17157</v>
      </c>
      <c r="ED267" s="561">
        <v>0</v>
      </c>
      <c r="EE267" s="561">
        <v>53309</v>
      </c>
      <c r="EF267" s="561">
        <v>228</v>
      </c>
      <c r="EG267" s="561">
        <v>3643</v>
      </c>
      <c r="EH267" s="561">
        <v>0</v>
      </c>
      <c r="EI267" s="561">
        <v>0</v>
      </c>
      <c r="EJ267" s="561">
        <v>0</v>
      </c>
      <c r="EK267" s="561">
        <v>0</v>
      </c>
      <c r="EL267" s="561">
        <v>0</v>
      </c>
      <c r="EM267" s="561">
        <v>0</v>
      </c>
      <c r="EN267" s="561">
        <v>12735</v>
      </c>
      <c r="EO267" s="561">
        <v>14050</v>
      </c>
      <c r="EP267" s="561">
        <v>897</v>
      </c>
      <c r="EQ267" s="561">
        <v>826</v>
      </c>
      <c r="ER267" s="561">
        <v>12191</v>
      </c>
      <c r="ES267" s="561" t="s">
        <v>4565</v>
      </c>
      <c r="ET267" s="561">
        <v>0</v>
      </c>
      <c r="EU267" s="561">
        <v>9706</v>
      </c>
      <c r="EV267" s="561">
        <v>0</v>
      </c>
      <c r="EW267" s="561">
        <v>0</v>
      </c>
      <c r="EX267" s="561">
        <v>0</v>
      </c>
      <c r="EY267" s="561">
        <v>931</v>
      </c>
      <c r="EZ267" s="561">
        <v>5844</v>
      </c>
      <c r="FA267" s="561">
        <v>38946</v>
      </c>
      <c r="FB267" s="561">
        <v>0</v>
      </c>
      <c r="FC267" s="561">
        <v>310</v>
      </c>
      <c r="FD267" s="561">
        <v>0</v>
      </c>
      <c r="FE267" s="561">
        <v>534</v>
      </c>
      <c r="FF267" s="561">
        <v>35</v>
      </c>
      <c r="FG267" s="561">
        <v>556</v>
      </c>
      <c r="FH267" s="561">
        <v>0</v>
      </c>
      <c r="FI267" s="561">
        <v>927</v>
      </c>
      <c r="FJ267" s="561">
        <v>868</v>
      </c>
      <c r="FK267" s="561">
        <v>3969</v>
      </c>
      <c r="FL267" s="561">
        <v>0</v>
      </c>
      <c r="FM267" s="561">
        <v>-10</v>
      </c>
      <c r="FN267" s="561">
        <v>0</v>
      </c>
      <c r="FO267" s="561">
        <v>7189</v>
      </c>
      <c r="FP267" s="561">
        <v>0</v>
      </c>
      <c r="FQ267" s="561">
        <v>-6</v>
      </c>
      <c r="FR267" s="561">
        <v>0</v>
      </c>
      <c r="FS267" s="561">
        <v>0</v>
      </c>
      <c r="FT267" s="561">
        <v>400</v>
      </c>
      <c r="FU267" s="561">
        <v>619</v>
      </c>
      <c r="FV267" s="561">
        <v>154</v>
      </c>
      <c r="FW267" s="561">
        <v>0</v>
      </c>
      <c r="FX267" s="561">
        <v>0</v>
      </c>
      <c r="FY267" s="561">
        <v>0</v>
      </c>
      <c r="FZ267" s="561">
        <v>309</v>
      </c>
      <c r="GA267" s="561">
        <v>-8</v>
      </c>
      <c r="GB267" s="561">
        <v>54</v>
      </c>
      <c r="GC267" s="561">
        <v>-223</v>
      </c>
      <c r="GD267" s="561">
        <v>888</v>
      </c>
      <c r="GE267" s="561">
        <v>731</v>
      </c>
      <c r="GF267" s="561">
        <v>89</v>
      </c>
      <c r="GG267" s="561">
        <v>16</v>
      </c>
      <c r="GH267" s="561">
        <v>0</v>
      </c>
      <c r="GI267" s="561">
        <v>0</v>
      </c>
      <c r="GJ267" s="561">
        <v>0</v>
      </c>
      <c r="GK267" s="561">
        <v>0</v>
      </c>
      <c r="GL267" s="561">
        <v>6408</v>
      </c>
      <c r="GM267" s="561">
        <v>7562</v>
      </c>
      <c r="GN267" s="561">
        <v>0</v>
      </c>
      <c r="GO267" s="561">
        <v>0</v>
      </c>
      <c r="GP267" s="561">
        <v>-616</v>
      </c>
      <c r="GQ267" s="561">
        <v>0</v>
      </c>
      <c r="GR267" s="561">
        <v>838</v>
      </c>
      <c r="GS267" s="561">
        <v>17215</v>
      </c>
      <c r="GT267" s="561">
        <v>0</v>
      </c>
      <c r="GU267" s="561">
        <v>0</v>
      </c>
      <c r="GV267" s="561">
        <v>1401</v>
      </c>
      <c r="GW267" s="561">
        <v>0</v>
      </c>
      <c r="GX267" s="561">
        <v>0</v>
      </c>
      <c r="GY267" s="561">
        <v>2108</v>
      </c>
      <c r="GZ267" s="561">
        <v>-6353</v>
      </c>
      <c r="HA267" s="561">
        <v>0</v>
      </c>
      <c r="HB267" s="561">
        <v>0</v>
      </c>
      <c r="HC267" s="561">
        <v>947</v>
      </c>
      <c r="HD267" s="561">
        <v>-1897</v>
      </c>
      <c r="HE267" s="561">
        <v>0</v>
      </c>
      <c r="HF267" s="561">
        <v>22507</v>
      </c>
      <c r="HG267" s="561">
        <v>0</v>
      </c>
      <c r="HH267" s="561">
        <v>0</v>
      </c>
      <c r="HI267" s="561">
        <v>0</v>
      </c>
      <c r="HJ267" s="561">
        <v>0</v>
      </c>
      <c r="HK267" s="561">
        <v>0</v>
      </c>
      <c r="HL267" s="561">
        <v>0</v>
      </c>
      <c r="HM267" s="561">
        <v>0</v>
      </c>
      <c r="HN267" s="561">
        <v>0</v>
      </c>
      <c r="HO267" s="561">
        <v>2719</v>
      </c>
      <c r="HP267" s="561">
        <v>1860</v>
      </c>
      <c r="HQ267" s="561">
        <v>0</v>
      </c>
      <c r="HR267" s="561">
        <v>0</v>
      </c>
      <c r="HS267" s="561">
        <v>0</v>
      </c>
      <c r="HT267" s="561">
        <v>798</v>
      </c>
      <c r="HU267" s="561">
        <v>0</v>
      </c>
      <c r="HV267" s="561">
        <v>0</v>
      </c>
      <c r="HW267" s="561">
        <v>355</v>
      </c>
      <c r="HX267" s="561">
        <v>457</v>
      </c>
      <c r="HY267" s="561">
        <v>107</v>
      </c>
      <c r="HZ267" s="561">
        <v>-73</v>
      </c>
      <c r="IA267" s="561">
        <v>0</v>
      </c>
      <c r="IB267" s="561">
        <v>0</v>
      </c>
      <c r="IC267" s="561">
        <v>0</v>
      </c>
      <c r="ID267" s="561">
        <v>0</v>
      </c>
      <c r="IE267" s="561">
        <v>0</v>
      </c>
      <c r="IF267" s="561">
        <v>0</v>
      </c>
      <c r="IG267" s="561">
        <v>0</v>
      </c>
      <c r="IH267" s="561">
        <v>-3695</v>
      </c>
      <c r="II267" s="561">
        <v>2528</v>
      </c>
      <c r="IJ267" s="561">
        <v>0</v>
      </c>
      <c r="IK267" s="561">
        <v>0</v>
      </c>
      <c r="IL267" s="561">
        <v>0</v>
      </c>
      <c r="IM267" s="561">
        <v>0</v>
      </c>
      <c r="IN267" s="561">
        <v>0</v>
      </c>
      <c r="IO267" s="561">
        <v>0</v>
      </c>
      <c r="IP267" s="561">
        <v>0</v>
      </c>
      <c r="IQ267" s="561">
        <v>0</v>
      </c>
      <c r="IR267" s="561">
        <v>0</v>
      </c>
      <c r="IS267" s="561">
        <v>-4348</v>
      </c>
      <c r="IT267" s="561">
        <v>0</v>
      </c>
      <c r="IU267" s="561">
        <v>0</v>
      </c>
      <c r="IV267" s="561">
        <v>0</v>
      </c>
      <c r="IW267" s="561">
        <v>17157</v>
      </c>
      <c r="IX267" s="561">
        <v>7189</v>
      </c>
      <c r="IY267" s="561">
        <v>17215</v>
      </c>
      <c r="IZ267" s="561">
        <v>-1897</v>
      </c>
      <c r="JA267" s="561">
        <v>0</v>
      </c>
      <c r="JB267" s="561">
        <v>0</v>
      </c>
      <c r="JC267" s="561">
        <v>2528</v>
      </c>
      <c r="JD267" s="561">
        <v>0</v>
      </c>
      <c r="JE267" s="561">
        <v>37844</v>
      </c>
      <c r="JF267" s="561">
        <v>27916</v>
      </c>
      <c r="JG267" s="561">
        <v>0</v>
      </c>
      <c r="JH267" s="561">
        <v>12342</v>
      </c>
      <c r="JI267" s="561">
        <v>0</v>
      </c>
      <c r="JJ267" s="561">
        <v>0</v>
      </c>
      <c r="JK267" s="561">
        <v>274</v>
      </c>
      <c r="JL267" s="561">
        <v>0</v>
      </c>
      <c r="JM267" s="561">
        <v>0</v>
      </c>
      <c r="JN267" s="561">
        <v>0</v>
      </c>
      <c r="JO267" s="561">
        <v>0</v>
      </c>
      <c r="JP267" s="561">
        <v>280</v>
      </c>
      <c r="JQ267" s="561">
        <v>0</v>
      </c>
      <c r="JR267" s="561">
        <v>0</v>
      </c>
      <c r="JS267" s="561">
        <v>0</v>
      </c>
      <c r="JT267" s="561">
        <v>-221</v>
      </c>
      <c r="JU267" s="561">
        <v>0</v>
      </c>
      <c r="JV267" s="561">
        <v>78435</v>
      </c>
      <c r="JW267" s="561">
        <v>0</v>
      </c>
      <c r="JX267" s="561">
        <v>0</v>
      </c>
      <c r="JY267" s="561">
        <v>0</v>
      </c>
      <c r="JZ267" s="561">
        <v>0</v>
      </c>
      <c r="KA267" s="561">
        <v>0</v>
      </c>
      <c r="KB267" s="561">
        <v>-1957</v>
      </c>
      <c r="KC267" s="561">
        <v>1226</v>
      </c>
      <c r="KD267" s="561">
        <v>0</v>
      </c>
      <c r="KE267" s="561">
        <v>10005</v>
      </c>
      <c r="KF267" s="561">
        <v>-10212</v>
      </c>
      <c r="KG267" s="561">
        <v>77497</v>
      </c>
      <c r="KH267" s="561">
        <v>-8602</v>
      </c>
      <c r="KI267" s="561">
        <v>0</v>
      </c>
      <c r="KJ267" s="561">
        <v>1110</v>
      </c>
      <c r="KK267" s="561">
        <v>0</v>
      </c>
      <c r="KL267" s="561">
        <v>-37084</v>
      </c>
      <c r="KM267" s="561">
        <v>0</v>
      </c>
      <c r="KN267" s="561">
        <v>0</v>
      </c>
      <c r="KO267" s="561">
        <v>0</v>
      </c>
      <c r="KP267" s="561">
        <v>0</v>
      </c>
      <c r="KQ267" s="561">
        <v>0</v>
      </c>
      <c r="KR267" s="561">
        <v>32921</v>
      </c>
      <c r="KS267" s="561">
        <v>0</v>
      </c>
      <c r="KT267" s="561">
        <v>-3049</v>
      </c>
      <c r="KU267" s="561">
        <v>29872</v>
      </c>
      <c r="KV267" s="561">
        <v>0</v>
      </c>
      <c r="KW267" s="561">
        <v>0</v>
      </c>
      <c r="KX267" s="561">
        <v>0</v>
      </c>
      <c r="KY267" s="561">
        <v>0</v>
      </c>
      <c r="KZ267" s="561">
        <v>0</v>
      </c>
      <c r="LA267" s="561">
        <v>0</v>
      </c>
      <c r="LB267" s="561">
        <v>-211</v>
      </c>
      <c r="LC267" s="561">
        <v>0</v>
      </c>
      <c r="LD267" s="561">
        <v>-13428</v>
      </c>
      <c r="LE267" s="561">
        <v>45</v>
      </c>
      <c r="LF267" s="561">
        <v>0</v>
      </c>
      <c r="LG267" s="561">
        <v>16278</v>
      </c>
      <c r="LH267" s="561">
        <v>0</v>
      </c>
      <c r="LI267" s="561">
        <v>0</v>
      </c>
      <c r="LJ267" s="561">
        <v>0</v>
      </c>
      <c r="LK267" s="561">
        <v>0</v>
      </c>
      <c r="LL267" s="561">
        <v>0</v>
      </c>
      <c r="LM267" s="561">
        <v>0</v>
      </c>
      <c r="LN267" s="561">
        <v>0</v>
      </c>
      <c r="LO267" s="561">
        <v>0</v>
      </c>
      <c r="LP267" s="561">
        <v>0</v>
      </c>
      <c r="LQ267" s="561">
        <v>0</v>
      </c>
      <c r="LR267" s="561">
        <v>0</v>
      </c>
      <c r="LS267" s="561">
        <v>0</v>
      </c>
      <c r="LT267" s="561">
        <v>0</v>
      </c>
      <c r="LU267" s="561">
        <v>6646</v>
      </c>
      <c r="LV267" s="561">
        <v>0</v>
      </c>
      <c r="LW267" s="561">
        <v>18006</v>
      </c>
      <c r="LX267" s="561">
        <v>0</v>
      </c>
      <c r="LY267" s="561">
        <v>8384</v>
      </c>
      <c r="LZ267" s="561">
        <v>33036</v>
      </c>
      <c r="MA267" s="561">
        <v>0</v>
      </c>
      <c r="MB267" s="561">
        <v>0</v>
      </c>
      <c r="MC267" s="561">
        <v>57180</v>
      </c>
      <c r="MD267" s="561">
        <v>51336</v>
      </c>
      <c r="ME267" s="561">
        <v>5844</v>
      </c>
      <c r="MF267" s="561">
        <v>38946</v>
      </c>
      <c r="MG267" s="561">
        <v>44790</v>
      </c>
      <c r="MH267" s="561">
        <v>526</v>
      </c>
      <c r="MI267" s="561">
        <v>1544</v>
      </c>
      <c r="MJ267" s="561">
        <v>2070</v>
      </c>
      <c r="MK267" s="561">
        <v>0</v>
      </c>
      <c r="ML267" s="561">
        <v>0</v>
      </c>
      <c r="MM267" s="561">
        <v>0</v>
      </c>
      <c r="MN267" s="561">
        <v>0</v>
      </c>
      <c r="MO267" s="561">
        <v>0</v>
      </c>
      <c r="MP267" s="561">
        <v>0</v>
      </c>
      <c r="MQ267" s="561">
        <v>0</v>
      </c>
      <c r="MR267" s="561">
        <v>-4348</v>
      </c>
      <c r="MS267" s="561">
        <v>0</v>
      </c>
      <c r="MT267" s="561">
        <v>0</v>
      </c>
      <c r="MU267" s="561">
        <v>0</v>
      </c>
      <c r="MV267" s="561">
        <v>17157</v>
      </c>
      <c r="MW267" s="561">
        <v>7189</v>
      </c>
      <c r="MX267" s="561">
        <v>17215</v>
      </c>
      <c r="MY267" s="561">
        <v>-1897</v>
      </c>
      <c r="MZ267" s="561">
        <v>0</v>
      </c>
      <c r="NA267" s="561">
        <v>0</v>
      </c>
      <c r="NB267" s="561">
        <v>2528</v>
      </c>
      <c r="NC267" s="561">
        <v>0</v>
      </c>
      <c r="ND267" s="561">
        <v>37844</v>
      </c>
      <c r="NE267" s="561">
        <v>0</v>
      </c>
      <c r="NF267" s="561">
        <v>0</v>
      </c>
      <c r="NG267" s="561">
        <v>0</v>
      </c>
      <c r="NH267" s="561">
        <v>0</v>
      </c>
      <c r="NI267" s="561">
        <v>0</v>
      </c>
      <c r="NJ267" s="561">
        <v>0</v>
      </c>
      <c r="NK267" s="561">
        <v>0</v>
      </c>
      <c r="NL267" s="561">
        <v>0</v>
      </c>
      <c r="NM267" s="561">
        <v>0</v>
      </c>
      <c r="NN267" s="561">
        <v>0</v>
      </c>
      <c r="NO267" s="561">
        <v>0</v>
      </c>
      <c r="NP267" s="561">
        <v>0</v>
      </c>
      <c r="NQ267" s="561">
        <v>0</v>
      </c>
      <c r="NR267" s="561">
        <v>280</v>
      </c>
      <c r="NS267" s="561">
        <v>0</v>
      </c>
      <c r="NT267" s="561">
        <v>0</v>
      </c>
      <c r="NU267" s="561">
        <v>1184</v>
      </c>
      <c r="NV267" s="561">
        <v>0</v>
      </c>
      <c r="NW267" s="561">
        <v>280</v>
      </c>
      <c r="NX267" s="561">
        <v>0</v>
      </c>
      <c r="NY267" s="561">
        <v>280</v>
      </c>
      <c r="NZ267" s="561">
        <v>0</v>
      </c>
      <c r="OA267" s="561">
        <v>0</v>
      </c>
      <c r="OB267" s="561">
        <v>0</v>
      </c>
      <c r="OC267" s="561">
        <v>0</v>
      </c>
      <c r="OD267" s="561">
        <v>0</v>
      </c>
      <c r="OE267" s="561">
        <v>0</v>
      </c>
      <c r="OF267" s="561">
        <v>0</v>
      </c>
      <c r="OG267" s="561">
        <v>0</v>
      </c>
      <c r="OH267" s="561">
        <v>0</v>
      </c>
      <c r="OI267" s="561">
        <v>0</v>
      </c>
      <c r="OJ267" s="561">
        <v>0</v>
      </c>
      <c r="OK267" s="561">
        <v>0</v>
      </c>
      <c r="OL267" s="561">
        <v>0</v>
      </c>
      <c r="OM267" s="561">
        <v>0</v>
      </c>
      <c r="ON267" s="561">
        <v>0</v>
      </c>
      <c r="OO267" s="561">
        <v>0</v>
      </c>
      <c r="OP267" s="561">
        <v>0</v>
      </c>
      <c r="OQ267" s="561">
        <v>0</v>
      </c>
      <c r="OR267" s="561">
        <v>0</v>
      </c>
      <c r="OS267" s="561">
        <v>0</v>
      </c>
      <c r="OT267" s="561">
        <v>0</v>
      </c>
      <c r="OU267" s="561">
        <v>0</v>
      </c>
      <c r="OV267" s="561">
        <v>-468</v>
      </c>
      <c r="OW267" s="561">
        <v>0</v>
      </c>
      <c r="OX267" s="561">
        <v>0</v>
      </c>
      <c r="OY267" s="561">
        <v>0</v>
      </c>
      <c r="OZ267" s="561">
        <v>0</v>
      </c>
      <c r="PA267" s="561">
        <v>0</v>
      </c>
      <c r="PB267" s="561">
        <v>0</v>
      </c>
      <c r="PC267" s="561">
        <v>0</v>
      </c>
      <c r="PD267" s="561">
        <v>0</v>
      </c>
      <c r="PE267" s="561">
        <v>0</v>
      </c>
      <c r="PF267" s="561">
        <v>0</v>
      </c>
      <c r="PG267" s="561">
        <v>0</v>
      </c>
      <c r="PH267" s="561">
        <v>0</v>
      </c>
      <c r="PI267" s="561">
        <v>0</v>
      </c>
      <c r="PJ267" s="561">
        <v>0</v>
      </c>
    </row>
    <row r="268" spans="1:426" ht="14" x14ac:dyDescent="0.3">
      <c r="A268" t="s">
        <v>3247</v>
      </c>
      <c r="B268" t="s">
        <v>3248</v>
      </c>
      <c r="C268" t="s">
        <v>4646</v>
      </c>
      <c r="E268" t="s">
        <v>2595</v>
      </c>
      <c r="F268" s="561">
        <v>85086</v>
      </c>
      <c r="G268" s="561">
        <v>174347</v>
      </c>
      <c r="H268" s="561">
        <v>13002</v>
      </c>
      <c r="I268" s="561">
        <v>78817</v>
      </c>
      <c r="J268" s="561">
        <v>20476</v>
      </c>
      <c r="K268" s="561">
        <v>64513</v>
      </c>
      <c r="L268" s="561">
        <v>436241</v>
      </c>
      <c r="M268" s="561">
        <v>3795</v>
      </c>
      <c r="N268" s="561">
        <v>-2084</v>
      </c>
      <c r="O268" s="561">
        <v>7115</v>
      </c>
      <c r="P268" s="561">
        <v>13727</v>
      </c>
      <c r="Q268" s="561">
        <v>37</v>
      </c>
      <c r="R268" s="561">
        <v>0</v>
      </c>
      <c r="S268" s="561">
        <v>12467</v>
      </c>
      <c r="T268" s="561">
        <v>138</v>
      </c>
      <c r="U268" s="561">
        <v>3175</v>
      </c>
      <c r="V268" s="561">
        <v>3461</v>
      </c>
      <c r="W268" s="561">
        <v>0</v>
      </c>
      <c r="X268" s="561">
        <v>-1144</v>
      </c>
      <c r="Y268" s="561">
        <v>209</v>
      </c>
      <c r="Z268" s="561">
        <v>81</v>
      </c>
      <c r="AA268" s="561">
        <v>-2303</v>
      </c>
      <c r="AB268" s="561">
        <v>569</v>
      </c>
      <c r="AC268" s="561">
        <v>12296</v>
      </c>
      <c r="AD268" s="561">
        <v>0</v>
      </c>
      <c r="AE268" s="561">
        <v>2707</v>
      </c>
      <c r="AF268" s="561">
        <v>0</v>
      </c>
      <c r="AG268" s="561">
        <v>0</v>
      </c>
      <c r="AH268" s="561">
        <v>76</v>
      </c>
      <c r="AI268" s="561">
        <v>0</v>
      </c>
      <c r="AJ268" s="561">
        <v>50527</v>
      </c>
      <c r="AK268" s="561">
        <v>11461</v>
      </c>
      <c r="AL268" s="561">
        <v>0</v>
      </c>
      <c r="AM268" s="561">
        <v>0</v>
      </c>
      <c r="AN268" s="561">
        <v>0</v>
      </c>
      <c r="AO268" s="561">
        <v>0</v>
      </c>
      <c r="AP268" s="561">
        <v>0</v>
      </c>
      <c r="AQ268" s="561">
        <v>0</v>
      </c>
      <c r="AR268" s="561">
        <v>0</v>
      </c>
      <c r="AS268" s="561">
        <v>3281</v>
      </c>
      <c r="AT268" s="561">
        <v>5478</v>
      </c>
      <c r="AU268" s="561">
        <v>0</v>
      </c>
      <c r="AV268" s="561">
        <v>0</v>
      </c>
      <c r="AW268" s="561">
        <v>0</v>
      </c>
      <c r="AX268" s="561">
        <v>189</v>
      </c>
      <c r="AY268" s="561">
        <v>93114</v>
      </c>
      <c r="AZ268" s="561">
        <v>131</v>
      </c>
      <c r="BA268" s="561">
        <v>16012</v>
      </c>
      <c r="BB268" s="561">
        <v>709</v>
      </c>
      <c r="BC268" s="561">
        <v>43946</v>
      </c>
      <c r="BD268" s="561">
        <v>7850</v>
      </c>
      <c r="BE268" s="561">
        <v>3704</v>
      </c>
      <c r="BF268" s="561">
        <v>165655</v>
      </c>
      <c r="BG268" s="561">
        <v>12962</v>
      </c>
      <c r="BH268" s="561">
        <v>17576</v>
      </c>
      <c r="BI268" s="561">
        <v>14002</v>
      </c>
      <c r="BJ268" s="561">
        <v>490</v>
      </c>
      <c r="BK268" s="561">
        <v>1201</v>
      </c>
      <c r="BL268" s="561">
        <v>2222</v>
      </c>
      <c r="BM268" s="561">
        <v>31841</v>
      </c>
      <c r="BN268" s="561">
        <v>115795</v>
      </c>
      <c r="BO268" s="561">
        <v>9413</v>
      </c>
      <c r="BP268" s="561">
        <v>11678</v>
      </c>
      <c r="BQ268" s="561">
        <v>9194</v>
      </c>
      <c r="BR268" s="561">
        <v>310</v>
      </c>
      <c r="BS268" s="561">
        <v>5</v>
      </c>
      <c r="BT268" s="561">
        <v>108</v>
      </c>
      <c r="BU268" s="561">
        <v>5738</v>
      </c>
      <c r="BV268" s="561">
        <v>1922</v>
      </c>
      <c r="BW268" s="561">
        <v>27737</v>
      </c>
      <c r="BX268" s="561">
        <v>5787</v>
      </c>
      <c r="BY268" s="561">
        <v>26658</v>
      </c>
      <c r="BZ268" s="561">
        <v>281677</v>
      </c>
      <c r="CA268" s="561">
        <v>5939</v>
      </c>
      <c r="CB268" s="561">
        <v>3357</v>
      </c>
      <c r="CC268" s="561">
        <v>2820</v>
      </c>
      <c r="CD268" s="561">
        <v>244</v>
      </c>
      <c r="CE268" s="561">
        <v>820</v>
      </c>
      <c r="CF268" s="561">
        <v>307</v>
      </c>
      <c r="CG268" s="561">
        <v>72</v>
      </c>
      <c r="CH268" s="561">
        <v>441</v>
      </c>
      <c r="CI268" s="561">
        <v>1196</v>
      </c>
      <c r="CJ268" s="561">
        <v>359</v>
      </c>
      <c r="CK268" s="561">
        <v>645</v>
      </c>
      <c r="CL268" s="561">
        <v>33</v>
      </c>
      <c r="CM268" s="561">
        <v>5026</v>
      </c>
      <c r="CN268" s="561">
        <v>2740</v>
      </c>
      <c r="CO268" s="561">
        <v>1648</v>
      </c>
      <c r="CP268" s="561">
        <v>996</v>
      </c>
      <c r="CQ268" s="561">
        <v>658</v>
      </c>
      <c r="CR268" s="561">
        <v>1184</v>
      </c>
      <c r="CS268" s="561">
        <v>228</v>
      </c>
      <c r="CT268" s="561">
        <v>138</v>
      </c>
      <c r="CU268" s="561">
        <v>11487</v>
      </c>
      <c r="CV268" s="561">
        <v>1032</v>
      </c>
      <c r="CW268" s="561">
        <v>0</v>
      </c>
      <c r="CX268" s="561">
        <v>423</v>
      </c>
      <c r="CY268" s="561">
        <v>3230</v>
      </c>
      <c r="CZ268" s="561">
        <v>39084</v>
      </c>
      <c r="DA268" s="561">
        <v>53</v>
      </c>
      <c r="DB268" s="561">
        <v>0</v>
      </c>
      <c r="DC268" s="561">
        <v>0</v>
      </c>
      <c r="DD268" s="561">
        <v>0</v>
      </c>
      <c r="DE268" s="561">
        <v>0</v>
      </c>
      <c r="DF268" s="561">
        <v>0</v>
      </c>
      <c r="DG268" s="561">
        <v>0</v>
      </c>
      <c r="DH268" s="561">
        <v>0</v>
      </c>
      <c r="DI268" s="561">
        <v>0</v>
      </c>
      <c r="DJ268" s="561">
        <v>0</v>
      </c>
      <c r="DK268" s="561">
        <v>0</v>
      </c>
      <c r="DL268" s="561">
        <v>0</v>
      </c>
      <c r="DM268" s="561">
        <v>0</v>
      </c>
      <c r="DN268" s="561">
        <v>0</v>
      </c>
      <c r="DO268" s="561">
        <v>0</v>
      </c>
      <c r="DP268" s="561">
        <v>0</v>
      </c>
      <c r="DQ268" s="561">
        <v>0</v>
      </c>
      <c r="DR268" s="561">
        <v>0</v>
      </c>
      <c r="DS268" s="561">
        <v>0</v>
      </c>
      <c r="DT268" s="561">
        <v>0</v>
      </c>
      <c r="DU268" s="561">
        <v>0</v>
      </c>
      <c r="DV268" s="561">
        <v>0</v>
      </c>
      <c r="DW268" s="561">
        <v>0</v>
      </c>
      <c r="DX268" s="561">
        <v>0</v>
      </c>
      <c r="DY268" s="561">
        <v>0</v>
      </c>
      <c r="DZ268" s="561">
        <v>515</v>
      </c>
      <c r="EA268" s="561">
        <v>2359</v>
      </c>
      <c r="EB268" s="561">
        <v>0</v>
      </c>
      <c r="EC268" s="561">
        <v>2874</v>
      </c>
      <c r="ED268" s="561">
        <v>0</v>
      </c>
      <c r="EE268" s="561">
        <v>0</v>
      </c>
      <c r="EF268" s="561">
        <v>0</v>
      </c>
      <c r="EG268" s="561">
        <v>0</v>
      </c>
      <c r="EH268" s="561">
        <v>0</v>
      </c>
      <c r="EI268" s="561">
        <v>0</v>
      </c>
      <c r="EJ268" s="561">
        <v>0</v>
      </c>
      <c r="EK268" s="561">
        <v>0</v>
      </c>
      <c r="EL268" s="561">
        <v>0</v>
      </c>
      <c r="EM268" s="561">
        <v>0</v>
      </c>
      <c r="EN268" s="561">
        <v>0</v>
      </c>
      <c r="EO268" s="561">
        <v>0</v>
      </c>
      <c r="EP268" s="561">
        <v>0</v>
      </c>
      <c r="EQ268" s="561">
        <v>0</v>
      </c>
      <c r="ER268" s="561">
        <v>0</v>
      </c>
      <c r="ES268" s="561" t="s">
        <v>4565</v>
      </c>
      <c r="ET268" s="561">
        <v>0</v>
      </c>
      <c r="EU268" s="561">
        <v>0</v>
      </c>
      <c r="EV268" s="561">
        <v>0</v>
      </c>
      <c r="EW268" s="561">
        <v>0</v>
      </c>
      <c r="EX268" s="561">
        <v>0</v>
      </c>
      <c r="EY268" s="561">
        <v>0</v>
      </c>
      <c r="EZ268" s="561">
        <v>0</v>
      </c>
      <c r="FA268" s="561">
        <v>0</v>
      </c>
      <c r="FB268" s="561">
        <v>1098</v>
      </c>
      <c r="FC268" s="561">
        <v>132</v>
      </c>
      <c r="FD268" s="561">
        <v>-115</v>
      </c>
      <c r="FE268" s="561">
        <v>1177</v>
      </c>
      <c r="FF268" s="561">
        <v>0</v>
      </c>
      <c r="FG268" s="561">
        <v>0</v>
      </c>
      <c r="FH268" s="561">
        <v>0</v>
      </c>
      <c r="FI268" s="561">
        <v>0</v>
      </c>
      <c r="FJ268" s="561">
        <v>0</v>
      </c>
      <c r="FK268" s="561">
        <v>2945</v>
      </c>
      <c r="FL268" s="561">
        <v>0</v>
      </c>
      <c r="FM268" s="561">
        <v>0</v>
      </c>
      <c r="FN268" s="561">
        <v>10085</v>
      </c>
      <c r="FO268" s="561">
        <v>15322</v>
      </c>
      <c r="FP268" s="561">
        <v>72</v>
      </c>
      <c r="FQ268" s="561">
        <v>0</v>
      </c>
      <c r="FR268" s="561">
        <v>1605</v>
      </c>
      <c r="FS268" s="561">
        <v>0</v>
      </c>
      <c r="FT268" s="561">
        <v>0</v>
      </c>
      <c r="FU268" s="561">
        <v>0</v>
      </c>
      <c r="FV268" s="561">
        <v>0</v>
      </c>
      <c r="FW268" s="561">
        <v>0</v>
      </c>
      <c r="FX268" s="561">
        <v>0</v>
      </c>
      <c r="FY268" s="561">
        <v>0</v>
      </c>
      <c r="FZ268" s="561">
        <v>0</v>
      </c>
      <c r="GA268" s="561">
        <v>0</v>
      </c>
      <c r="GB268" s="561">
        <v>0</v>
      </c>
      <c r="GC268" s="561">
        <v>0</v>
      </c>
      <c r="GD268" s="561">
        <v>0</v>
      </c>
      <c r="GE268" s="561">
        <v>117</v>
      </c>
      <c r="GF268" s="561">
        <v>0</v>
      </c>
      <c r="GG268" s="561">
        <v>0</v>
      </c>
      <c r="GH268" s="561">
        <v>0</v>
      </c>
      <c r="GI268" s="561">
        <v>0</v>
      </c>
      <c r="GJ268" s="561">
        <v>0</v>
      </c>
      <c r="GK268" s="561">
        <v>0</v>
      </c>
      <c r="GL268" s="561">
        <v>0</v>
      </c>
      <c r="GM268" s="561">
        <v>0</v>
      </c>
      <c r="GN268" s="561">
        <v>25420</v>
      </c>
      <c r="GO268" s="561">
        <v>20</v>
      </c>
      <c r="GP268" s="561">
        <v>8335</v>
      </c>
      <c r="GQ268" s="561">
        <v>336</v>
      </c>
      <c r="GR268" s="561">
        <v>0</v>
      </c>
      <c r="GS268" s="561">
        <v>35833</v>
      </c>
      <c r="GT268" s="561">
        <v>64</v>
      </c>
      <c r="GU268" s="561">
        <v>0</v>
      </c>
      <c r="GV268" s="561">
        <v>205</v>
      </c>
      <c r="GW268" s="561">
        <v>0</v>
      </c>
      <c r="GX268" s="561">
        <v>634</v>
      </c>
      <c r="GY268" s="561">
        <v>0</v>
      </c>
      <c r="GZ268" s="561">
        <v>2441</v>
      </c>
      <c r="HA268" s="561">
        <v>0</v>
      </c>
      <c r="HB268" s="561">
        <v>0</v>
      </c>
      <c r="HC268" s="561">
        <v>0</v>
      </c>
      <c r="HD268" s="561">
        <v>3280</v>
      </c>
      <c r="HE268" s="561">
        <v>759</v>
      </c>
      <c r="HF268" s="561">
        <v>54435</v>
      </c>
      <c r="HG268" s="561">
        <v>895</v>
      </c>
      <c r="HH268" s="561">
        <v>0</v>
      </c>
      <c r="HI268" s="561">
        <v>0</v>
      </c>
      <c r="HJ268" s="561">
        <v>0</v>
      </c>
      <c r="HK268" s="561">
        <v>32310</v>
      </c>
      <c r="HL268" s="561">
        <v>0</v>
      </c>
      <c r="HM268" s="561">
        <v>32310</v>
      </c>
      <c r="HN268" s="561">
        <v>0</v>
      </c>
      <c r="HO268" s="561">
        <v>15129</v>
      </c>
      <c r="HP268" s="561">
        <v>0</v>
      </c>
      <c r="HQ268" s="561">
        <v>0</v>
      </c>
      <c r="HR268" s="561">
        <v>0</v>
      </c>
      <c r="HS268" s="561">
        <v>0</v>
      </c>
      <c r="HT268" s="561">
        <v>0</v>
      </c>
      <c r="HU268" s="561">
        <v>0</v>
      </c>
      <c r="HV268" s="561">
        <v>204</v>
      </c>
      <c r="HW268" s="561">
        <v>0</v>
      </c>
      <c r="HX268" s="561">
        <v>62</v>
      </c>
      <c r="HY268" s="561">
        <v>372</v>
      </c>
      <c r="HZ268" s="561">
        <v>0</v>
      </c>
      <c r="IA268" s="561">
        <v>0</v>
      </c>
      <c r="IB268" s="561">
        <v>1135</v>
      </c>
      <c r="IC268" s="561">
        <v>1580</v>
      </c>
      <c r="ID268" s="561">
        <v>0</v>
      </c>
      <c r="IE268" s="561">
        <v>17</v>
      </c>
      <c r="IF268" s="561">
        <v>0</v>
      </c>
      <c r="IG268" s="561">
        <v>0</v>
      </c>
      <c r="IH268" s="561">
        <v>0</v>
      </c>
      <c r="II268" s="561">
        <v>18499</v>
      </c>
      <c r="IJ268" s="561">
        <v>299</v>
      </c>
      <c r="IK268" s="561">
        <v>0</v>
      </c>
      <c r="IL268" s="561">
        <v>64986</v>
      </c>
      <c r="IM268" s="561">
        <v>0</v>
      </c>
      <c r="IN268" s="561">
        <v>5379</v>
      </c>
      <c r="IO268" s="561">
        <v>0</v>
      </c>
      <c r="IP268" s="561">
        <v>0</v>
      </c>
      <c r="IQ268" s="561">
        <v>0</v>
      </c>
      <c r="IR268" s="561">
        <v>436241</v>
      </c>
      <c r="IS268" s="561">
        <v>50527</v>
      </c>
      <c r="IT268" s="561">
        <v>165655</v>
      </c>
      <c r="IU268" s="561">
        <v>281677</v>
      </c>
      <c r="IV268" s="561">
        <v>39084</v>
      </c>
      <c r="IW268" s="561">
        <v>2874</v>
      </c>
      <c r="IX268" s="561">
        <v>15322</v>
      </c>
      <c r="IY268" s="561">
        <v>35833</v>
      </c>
      <c r="IZ268" s="561">
        <v>3280</v>
      </c>
      <c r="JA268" s="561">
        <v>0</v>
      </c>
      <c r="JB268" s="561">
        <v>32310</v>
      </c>
      <c r="JC268" s="561">
        <v>18499</v>
      </c>
      <c r="JD268" s="561">
        <v>0</v>
      </c>
      <c r="JE268" s="561">
        <v>1081302</v>
      </c>
      <c r="JF268" s="561">
        <v>0</v>
      </c>
      <c r="JG268" s="561">
        <v>0</v>
      </c>
      <c r="JH268" s="561">
        <v>0</v>
      </c>
      <c r="JI268" s="561">
        <v>0</v>
      </c>
      <c r="JJ268" s="561">
        <v>0</v>
      </c>
      <c r="JK268" s="561">
        <v>0</v>
      </c>
      <c r="JL268" s="561">
        <v>0</v>
      </c>
      <c r="JM268" s="561">
        <v>0</v>
      </c>
      <c r="JN268" s="561">
        <v>0</v>
      </c>
      <c r="JO268" s="561">
        <v>0</v>
      </c>
      <c r="JP268" s="561">
        <v>0</v>
      </c>
      <c r="JQ268" s="561">
        <v>0</v>
      </c>
      <c r="JR268" s="561">
        <v>0</v>
      </c>
      <c r="JS268" s="561">
        <v>0</v>
      </c>
      <c r="JT268" s="561">
        <v>0</v>
      </c>
      <c r="JU268" s="561">
        <v>0</v>
      </c>
      <c r="JV268" s="561">
        <v>1081302</v>
      </c>
      <c r="JW268" s="561">
        <v>651</v>
      </c>
      <c r="JX268" s="561">
        <v>3334</v>
      </c>
      <c r="JY268" s="561">
        <v>0</v>
      </c>
      <c r="JZ268" s="561">
        <v>0</v>
      </c>
      <c r="KA268" s="561">
        <v>0</v>
      </c>
      <c r="KB268" s="561">
        <v>0</v>
      </c>
      <c r="KC268" s="561">
        <v>16758</v>
      </c>
      <c r="KD268" s="561">
        <v>0</v>
      </c>
      <c r="KE268" s="561">
        <v>15695.34</v>
      </c>
      <c r="KF268" s="561">
        <v>0</v>
      </c>
      <c r="KG268" s="561">
        <v>1117740.3400000001</v>
      </c>
      <c r="KH268" s="561">
        <v>-37626</v>
      </c>
      <c r="KI268" s="561">
        <v>0</v>
      </c>
      <c r="KJ268" s="561">
        <v>0</v>
      </c>
      <c r="KK268" s="561">
        <v>0</v>
      </c>
      <c r="KL268" s="561">
        <v>-597</v>
      </c>
      <c r="KM268" s="561">
        <v>0</v>
      </c>
      <c r="KN268" s="561">
        <v>0</v>
      </c>
      <c r="KO268" s="561">
        <v>0</v>
      </c>
      <c r="KP268" s="561">
        <v>0</v>
      </c>
      <c r="KQ268" s="561">
        <v>-34459</v>
      </c>
      <c r="KR268" s="561">
        <v>1045058.34</v>
      </c>
      <c r="KS268" s="561">
        <v>0</v>
      </c>
      <c r="KT268" s="561">
        <v>-501383.62</v>
      </c>
      <c r="KU268" s="561">
        <v>543674.72</v>
      </c>
      <c r="KV268" s="561">
        <v>0</v>
      </c>
      <c r="KW268" s="561">
        <v>-2394</v>
      </c>
      <c r="KX268" s="561">
        <v>0</v>
      </c>
      <c r="KY268" s="561">
        <v>117</v>
      </c>
      <c r="KZ268" s="561">
        <v>46544</v>
      </c>
      <c r="LA268" s="561">
        <v>3306</v>
      </c>
      <c r="LB268" s="561">
        <v>-1394</v>
      </c>
      <c r="LC268" s="561">
        <v>0</v>
      </c>
      <c r="LD268" s="561">
        <v>-79516</v>
      </c>
      <c r="LE268" s="561">
        <v>-11705</v>
      </c>
      <c r="LF268" s="561">
        <v>0</v>
      </c>
      <c r="LG268" s="561">
        <v>498633</v>
      </c>
      <c r="LH268" s="561">
        <v>13142</v>
      </c>
      <c r="LI268" s="561">
        <v>-45824</v>
      </c>
      <c r="LJ268" s="561">
        <v>0</v>
      </c>
      <c r="LK268" s="561">
        <v>4526</v>
      </c>
      <c r="LL268" s="561">
        <v>192535</v>
      </c>
      <c r="LM268" s="561">
        <v>41947</v>
      </c>
      <c r="LN268" s="561">
        <v>10748</v>
      </c>
      <c r="LO268" s="561">
        <v>-80283</v>
      </c>
      <c r="LP268" s="561">
        <v>0</v>
      </c>
      <c r="LQ268" s="561">
        <v>4643</v>
      </c>
      <c r="LR268" s="561">
        <v>239079</v>
      </c>
      <c r="LS268" s="561">
        <v>45253</v>
      </c>
      <c r="LT268" s="561">
        <v>0</v>
      </c>
      <c r="LU268" s="561">
        <v>53633</v>
      </c>
      <c r="LV268" s="561">
        <v>551</v>
      </c>
      <c r="LW268" s="561">
        <v>5237</v>
      </c>
      <c r="LX268" s="561">
        <v>0</v>
      </c>
      <c r="LY268" s="561">
        <v>61536</v>
      </c>
      <c r="LZ268" s="561">
        <v>121092</v>
      </c>
      <c r="MA268" s="561">
        <v>0</v>
      </c>
      <c r="MB268" s="561">
        <v>0</v>
      </c>
      <c r="MC268" s="561">
        <v>0</v>
      </c>
      <c r="MD268" s="561">
        <v>0</v>
      </c>
      <c r="ME268" s="561">
        <v>0</v>
      </c>
      <c r="MF268" s="561">
        <v>0</v>
      </c>
      <c r="MG268" s="561">
        <v>0</v>
      </c>
      <c r="MH268" s="561">
        <v>0</v>
      </c>
      <c r="MI268" s="561">
        <v>0</v>
      </c>
      <c r="MJ268" s="561">
        <v>0</v>
      </c>
      <c r="MK268" s="561">
        <v>0</v>
      </c>
      <c r="ML268" s="561">
        <v>0</v>
      </c>
      <c r="MM268" s="561">
        <v>185609</v>
      </c>
      <c r="MN268" s="561">
        <v>49637</v>
      </c>
      <c r="MO268" s="561">
        <v>0</v>
      </c>
      <c r="MP268" s="561">
        <v>3833</v>
      </c>
      <c r="MQ268" s="561">
        <v>436241</v>
      </c>
      <c r="MR268" s="561">
        <v>50527</v>
      </c>
      <c r="MS268" s="561">
        <v>165655</v>
      </c>
      <c r="MT268" s="561">
        <v>281677</v>
      </c>
      <c r="MU268" s="561">
        <v>39084</v>
      </c>
      <c r="MV268" s="561">
        <v>2874</v>
      </c>
      <c r="MW268" s="561">
        <v>15322</v>
      </c>
      <c r="MX268" s="561">
        <v>35833</v>
      </c>
      <c r="MY268" s="561">
        <v>3280</v>
      </c>
      <c r="MZ268" s="561">
        <v>0</v>
      </c>
      <c r="NA268" s="561">
        <v>32310</v>
      </c>
      <c r="NB268" s="561">
        <v>18499</v>
      </c>
      <c r="NC268" s="561">
        <v>0</v>
      </c>
      <c r="ND268" s="561">
        <v>1081302</v>
      </c>
      <c r="NE268" s="561">
        <v>0</v>
      </c>
      <c r="NF268" s="561">
        <v>0</v>
      </c>
      <c r="NG268" s="561">
        <v>0</v>
      </c>
      <c r="NH268" s="561">
        <v>0</v>
      </c>
      <c r="NI268" s="561">
        <v>0</v>
      </c>
      <c r="NJ268" s="561">
        <v>0</v>
      </c>
      <c r="NK268" s="561">
        <v>0</v>
      </c>
      <c r="NL268" s="561">
        <v>0</v>
      </c>
      <c r="NM268" s="561">
        <v>0</v>
      </c>
      <c r="NN268" s="561">
        <v>0</v>
      </c>
      <c r="NO268" s="561">
        <v>0</v>
      </c>
      <c r="NP268" s="561">
        <v>0</v>
      </c>
      <c r="NQ268" s="561">
        <v>0</v>
      </c>
      <c r="NR268" s="561">
        <v>0</v>
      </c>
      <c r="NS268" s="561">
        <v>0</v>
      </c>
      <c r="NT268" s="561">
        <v>0</v>
      </c>
      <c r="NU268" s="561">
        <v>0</v>
      </c>
      <c r="NV268" s="561">
        <v>0</v>
      </c>
      <c r="NW268" s="561">
        <v>0</v>
      </c>
      <c r="NX268" s="561">
        <v>0</v>
      </c>
      <c r="NY268" s="561">
        <v>0</v>
      </c>
      <c r="NZ268" s="561">
        <v>0</v>
      </c>
      <c r="OA268" s="561">
        <v>0</v>
      </c>
      <c r="OB268" s="561">
        <v>0</v>
      </c>
      <c r="OC268" s="561">
        <v>0</v>
      </c>
      <c r="OD268" s="561">
        <v>0</v>
      </c>
      <c r="OE268" s="561">
        <v>0</v>
      </c>
      <c r="OF268" s="561">
        <v>0</v>
      </c>
      <c r="OG268" s="561">
        <v>0</v>
      </c>
      <c r="OH268" s="561">
        <v>0</v>
      </c>
      <c r="OI268" s="561">
        <v>0</v>
      </c>
      <c r="OJ268" s="561">
        <v>0</v>
      </c>
      <c r="OK268" s="561">
        <v>0</v>
      </c>
      <c r="OL268" s="561">
        <v>0</v>
      </c>
      <c r="OM268" s="561">
        <v>0</v>
      </c>
      <c r="ON268" s="561">
        <v>0</v>
      </c>
      <c r="OO268" s="561">
        <v>0</v>
      </c>
      <c r="OP268" s="561">
        <v>0</v>
      </c>
      <c r="OQ268" s="561">
        <v>0</v>
      </c>
      <c r="OR268" s="561">
        <v>0</v>
      </c>
      <c r="OS268" s="561">
        <v>0</v>
      </c>
      <c r="OT268" s="561">
        <v>0</v>
      </c>
      <c r="OU268" s="561">
        <v>0</v>
      </c>
      <c r="OV268" s="561">
        <v>0</v>
      </c>
      <c r="OW268" s="561">
        <v>0</v>
      </c>
      <c r="OX268" s="561">
        <v>0</v>
      </c>
      <c r="OY268" s="561">
        <v>0</v>
      </c>
      <c r="OZ268" s="561">
        <v>0</v>
      </c>
      <c r="PA268" s="561">
        <v>0</v>
      </c>
      <c r="PB268" s="561">
        <v>0</v>
      </c>
      <c r="PC268" s="561">
        <v>0</v>
      </c>
      <c r="PD268" s="561">
        <v>0</v>
      </c>
      <c r="PE268" s="561">
        <v>0</v>
      </c>
      <c r="PF268" s="561">
        <v>0</v>
      </c>
      <c r="PG268" s="561">
        <v>0</v>
      </c>
      <c r="PH268" s="561">
        <v>0</v>
      </c>
      <c r="PI268" s="561">
        <v>0</v>
      </c>
      <c r="PJ268" s="561">
        <v>0</v>
      </c>
    </row>
    <row r="269" spans="1:426" ht="14" x14ac:dyDescent="0.3">
      <c r="A269" t="s">
        <v>3250</v>
      </c>
      <c r="B269" t="s">
        <v>3251</v>
      </c>
      <c r="C269" t="s">
        <v>3252</v>
      </c>
      <c r="E269" t="s">
        <v>2466</v>
      </c>
      <c r="F269" s="561">
        <v>0</v>
      </c>
      <c r="G269" s="561">
        <v>0</v>
      </c>
      <c r="H269" s="561">
        <v>0</v>
      </c>
      <c r="I269" s="561">
        <v>0</v>
      </c>
      <c r="J269" s="561">
        <v>0</v>
      </c>
      <c r="K269" s="561">
        <v>0</v>
      </c>
      <c r="L269" s="561">
        <v>0</v>
      </c>
      <c r="M269" s="561">
        <v>0</v>
      </c>
      <c r="N269" s="561">
        <v>0</v>
      </c>
      <c r="O269" s="561">
        <v>93</v>
      </c>
      <c r="P269" s="561">
        <v>0</v>
      </c>
      <c r="Q269" s="561">
        <v>0</v>
      </c>
      <c r="R269" s="561">
        <v>0</v>
      </c>
      <c r="S269" s="561">
        <v>0</v>
      </c>
      <c r="T269" s="561">
        <v>0</v>
      </c>
      <c r="U269" s="561">
        <v>0</v>
      </c>
      <c r="V269" s="561">
        <v>0</v>
      </c>
      <c r="W269" s="561">
        <v>0</v>
      </c>
      <c r="X269" s="561">
        <v>0</v>
      </c>
      <c r="Y269" s="561">
        <v>0</v>
      </c>
      <c r="Z269" s="561">
        <v>0</v>
      </c>
      <c r="AA269" s="561">
        <v>0</v>
      </c>
      <c r="AB269" s="561">
        <v>-241</v>
      </c>
      <c r="AC269" s="561">
        <v>0</v>
      </c>
      <c r="AD269" s="561">
        <v>0</v>
      </c>
      <c r="AE269" s="561">
        <v>0</v>
      </c>
      <c r="AF269" s="561">
        <v>0</v>
      </c>
      <c r="AG269" s="561">
        <v>0</v>
      </c>
      <c r="AH269" s="561">
        <v>0</v>
      </c>
      <c r="AI269" s="561">
        <v>0</v>
      </c>
      <c r="AJ269" s="561">
        <v>-148</v>
      </c>
      <c r="AK269" s="561">
        <v>0</v>
      </c>
      <c r="AL269" s="561">
        <v>0</v>
      </c>
      <c r="AM269" s="561">
        <v>0</v>
      </c>
      <c r="AN269" s="561">
        <v>0</v>
      </c>
      <c r="AO269" s="561">
        <v>0</v>
      </c>
      <c r="AP269" s="561">
        <v>0</v>
      </c>
      <c r="AQ269" s="561">
        <v>0</v>
      </c>
      <c r="AR269" s="561">
        <v>0</v>
      </c>
      <c r="AS269" s="561">
        <v>0</v>
      </c>
      <c r="AT269" s="561">
        <v>0</v>
      </c>
      <c r="AU269" s="561">
        <v>0</v>
      </c>
      <c r="AV269" s="561">
        <v>0</v>
      </c>
      <c r="AW269" s="561">
        <v>0</v>
      </c>
      <c r="AX269" s="561">
        <v>0</v>
      </c>
      <c r="AY269" s="561">
        <v>0</v>
      </c>
      <c r="AZ269" s="561">
        <v>0</v>
      </c>
      <c r="BA269" s="561">
        <v>0</v>
      </c>
      <c r="BB269" s="561">
        <v>0</v>
      </c>
      <c r="BC269" s="561">
        <v>0</v>
      </c>
      <c r="BD269" s="561">
        <v>0</v>
      </c>
      <c r="BE269" s="561">
        <v>0</v>
      </c>
      <c r="BF269" s="561">
        <v>0</v>
      </c>
      <c r="BG269" s="561">
        <v>0</v>
      </c>
      <c r="BH269" s="561">
        <v>0</v>
      </c>
      <c r="BI269" s="561">
        <v>0</v>
      </c>
      <c r="BJ269" s="561">
        <v>0</v>
      </c>
      <c r="BK269" s="561">
        <v>0</v>
      </c>
      <c r="BL269" s="561">
        <v>0</v>
      </c>
      <c r="BM269" s="561">
        <v>0</v>
      </c>
      <c r="BN269" s="561">
        <v>0</v>
      </c>
      <c r="BO269" s="561">
        <v>0</v>
      </c>
      <c r="BP269" s="561">
        <v>0</v>
      </c>
      <c r="BQ269" s="561">
        <v>0</v>
      </c>
      <c r="BR269" s="561">
        <v>0</v>
      </c>
      <c r="BS269" s="561">
        <v>0</v>
      </c>
      <c r="BT269" s="561">
        <v>0</v>
      </c>
      <c r="BU269" s="561">
        <v>0</v>
      </c>
      <c r="BV269" s="561">
        <v>0</v>
      </c>
      <c r="BW269" s="561">
        <v>0</v>
      </c>
      <c r="BX269" s="561">
        <v>0</v>
      </c>
      <c r="BY269" s="561">
        <v>0</v>
      </c>
      <c r="BZ269" s="561">
        <v>0</v>
      </c>
      <c r="CA269" s="561">
        <v>0</v>
      </c>
      <c r="CB269" s="561">
        <v>0</v>
      </c>
      <c r="CC269" s="561">
        <v>0</v>
      </c>
      <c r="CD269" s="561">
        <v>0</v>
      </c>
      <c r="CE269" s="561">
        <v>0</v>
      </c>
      <c r="CF269" s="561">
        <v>0</v>
      </c>
      <c r="CG269" s="561">
        <v>0</v>
      </c>
      <c r="CH269" s="561">
        <v>0</v>
      </c>
      <c r="CI269" s="561">
        <v>0</v>
      </c>
      <c r="CJ269" s="561">
        <v>0</v>
      </c>
      <c r="CK269" s="561">
        <v>0</v>
      </c>
      <c r="CL269" s="561">
        <v>0</v>
      </c>
      <c r="CM269" s="561">
        <v>0</v>
      </c>
      <c r="CN269" s="561">
        <v>0</v>
      </c>
      <c r="CO269" s="561">
        <v>0</v>
      </c>
      <c r="CP269" s="561">
        <v>0</v>
      </c>
      <c r="CQ269" s="561">
        <v>0</v>
      </c>
      <c r="CR269" s="561">
        <v>0</v>
      </c>
      <c r="CS269" s="561">
        <v>0</v>
      </c>
      <c r="CT269" s="561">
        <v>0</v>
      </c>
      <c r="CU269" s="561">
        <v>0</v>
      </c>
      <c r="CV269" s="561">
        <v>0</v>
      </c>
      <c r="CW269" s="561">
        <v>0</v>
      </c>
      <c r="CX269" s="561">
        <v>0</v>
      </c>
      <c r="CY269" s="561">
        <v>0</v>
      </c>
      <c r="CZ269" s="561">
        <v>0</v>
      </c>
      <c r="DA269" s="561">
        <v>0</v>
      </c>
      <c r="DB269" s="561">
        <v>0</v>
      </c>
      <c r="DC269" s="561">
        <v>0</v>
      </c>
      <c r="DD269" s="561">
        <v>0</v>
      </c>
      <c r="DE269" s="561">
        <v>0</v>
      </c>
      <c r="DF269" s="561">
        <v>0</v>
      </c>
      <c r="DG269" s="561">
        <v>0</v>
      </c>
      <c r="DH269" s="561">
        <v>0</v>
      </c>
      <c r="DI269" s="561">
        <v>0</v>
      </c>
      <c r="DJ269" s="561">
        <v>0</v>
      </c>
      <c r="DK269" s="561">
        <v>0</v>
      </c>
      <c r="DL269" s="561">
        <v>0</v>
      </c>
      <c r="DM269" s="561">
        <v>0</v>
      </c>
      <c r="DN269" s="561">
        <v>0</v>
      </c>
      <c r="DO269" s="561">
        <v>0</v>
      </c>
      <c r="DP269" s="561">
        <v>0</v>
      </c>
      <c r="DQ269" s="561">
        <v>0</v>
      </c>
      <c r="DR269" s="561">
        <v>0</v>
      </c>
      <c r="DS269" s="561">
        <v>0</v>
      </c>
      <c r="DT269" s="561">
        <v>0</v>
      </c>
      <c r="DU269" s="561">
        <v>0</v>
      </c>
      <c r="DV269" s="561">
        <v>0</v>
      </c>
      <c r="DW269" s="561">
        <v>0</v>
      </c>
      <c r="DX269" s="561">
        <v>0</v>
      </c>
      <c r="DY269" s="561">
        <v>0</v>
      </c>
      <c r="DZ269" s="561">
        <v>0</v>
      </c>
      <c r="EA269" s="561">
        <v>0</v>
      </c>
      <c r="EB269" s="561">
        <v>0</v>
      </c>
      <c r="EC269" s="561">
        <v>0</v>
      </c>
      <c r="ED269" s="561">
        <v>0</v>
      </c>
      <c r="EE269" s="561">
        <v>0</v>
      </c>
      <c r="EF269" s="561">
        <v>0</v>
      </c>
      <c r="EG269" s="561">
        <v>0</v>
      </c>
      <c r="EH269" s="561">
        <v>0</v>
      </c>
      <c r="EI269" s="561">
        <v>0</v>
      </c>
      <c r="EJ269" s="561">
        <v>0</v>
      </c>
      <c r="EK269" s="561">
        <v>0</v>
      </c>
      <c r="EL269" s="561">
        <v>0</v>
      </c>
      <c r="EM269" s="561">
        <v>0</v>
      </c>
      <c r="EN269" s="561">
        <v>0</v>
      </c>
      <c r="EO269" s="561">
        <v>0</v>
      </c>
      <c r="EP269" s="561">
        <v>0</v>
      </c>
      <c r="EQ269" s="561">
        <v>0</v>
      </c>
      <c r="ER269" s="561">
        <v>0</v>
      </c>
      <c r="ES269" s="561" t="s">
        <v>4565</v>
      </c>
      <c r="ET269" s="561">
        <v>0</v>
      </c>
      <c r="EU269" s="561">
        <v>0</v>
      </c>
      <c r="EV269" s="561">
        <v>0</v>
      </c>
      <c r="EW269" s="561">
        <v>0</v>
      </c>
      <c r="EX269" s="561">
        <v>0</v>
      </c>
      <c r="EY269" s="561">
        <v>0</v>
      </c>
      <c r="EZ269" s="561">
        <v>0</v>
      </c>
      <c r="FA269" s="561">
        <v>0</v>
      </c>
      <c r="FB269" s="561">
        <v>0</v>
      </c>
      <c r="FC269" s="561">
        <v>0</v>
      </c>
      <c r="FD269" s="561">
        <v>0</v>
      </c>
      <c r="FE269" s="561">
        <v>0</v>
      </c>
      <c r="FF269" s="561">
        <v>0</v>
      </c>
      <c r="FG269" s="561">
        <v>0</v>
      </c>
      <c r="FH269" s="561">
        <v>0</v>
      </c>
      <c r="FI269" s="561">
        <v>0</v>
      </c>
      <c r="FJ269" s="561">
        <v>0</v>
      </c>
      <c r="FK269" s="561">
        <v>7221</v>
      </c>
      <c r="FL269" s="561">
        <v>0</v>
      </c>
      <c r="FM269" s="561">
        <v>-168</v>
      </c>
      <c r="FN269" s="561">
        <v>0</v>
      </c>
      <c r="FO269" s="561">
        <v>7053</v>
      </c>
      <c r="FP269" s="561">
        <v>0</v>
      </c>
      <c r="FQ269" s="561">
        <v>0</v>
      </c>
      <c r="FR269" s="561">
        <v>0</v>
      </c>
      <c r="FS269" s="561">
        <v>0</v>
      </c>
      <c r="FT269" s="561">
        <v>0</v>
      </c>
      <c r="FU269" s="561">
        <v>0</v>
      </c>
      <c r="FV269" s="561">
        <v>0</v>
      </c>
      <c r="FW269" s="561">
        <v>0</v>
      </c>
      <c r="FX269" s="561">
        <v>0</v>
      </c>
      <c r="FY269" s="561">
        <v>0</v>
      </c>
      <c r="FZ269" s="561">
        <v>0</v>
      </c>
      <c r="GA269" s="561">
        <v>133</v>
      </c>
      <c r="GB269" s="561">
        <v>0</v>
      </c>
      <c r="GC269" s="561">
        <v>0</v>
      </c>
      <c r="GD269" s="561">
        <v>0</v>
      </c>
      <c r="GE269" s="561">
        <v>0</v>
      </c>
      <c r="GF269" s="561">
        <v>0</v>
      </c>
      <c r="GG269" s="561">
        <v>0</v>
      </c>
      <c r="GH269" s="561">
        <v>0</v>
      </c>
      <c r="GI269" s="561">
        <v>0</v>
      </c>
      <c r="GJ269" s="561">
        <v>0</v>
      </c>
      <c r="GK269" s="561">
        <v>0</v>
      </c>
      <c r="GL269" s="561">
        <v>0</v>
      </c>
      <c r="GM269" s="561">
        <v>0</v>
      </c>
      <c r="GN269" s="561">
        <v>0</v>
      </c>
      <c r="GO269" s="561">
        <v>0</v>
      </c>
      <c r="GP269" s="561">
        <v>0</v>
      </c>
      <c r="GQ269" s="561">
        <v>0</v>
      </c>
      <c r="GR269" s="561">
        <v>0</v>
      </c>
      <c r="GS269" s="561">
        <v>133</v>
      </c>
      <c r="GT269" s="561">
        <v>0</v>
      </c>
      <c r="GU269" s="561">
        <v>0</v>
      </c>
      <c r="GV269" s="561">
        <v>746</v>
      </c>
      <c r="GW269" s="561">
        <v>0</v>
      </c>
      <c r="GX269" s="561">
        <v>490</v>
      </c>
      <c r="GY269" s="561">
        <v>0</v>
      </c>
      <c r="GZ269" s="561">
        <v>0</v>
      </c>
      <c r="HA269" s="561">
        <v>0</v>
      </c>
      <c r="HB269" s="561">
        <v>0</v>
      </c>
      <c r="HC269" s="561">
        <v>0</v>
      </c>
      <c r="HD269" s="561">
        <v>1236</v>
      </c>
      <c r="HE269" s="561">
        <v>0</v>
      </c>
      <c r="HF269" s="561">
        <v>8422</v>
      </c>
      <c r="HG269" s="561">
        <v>0</v>
      </c>
      <c r="HH269" s="561">
        <v>0</v>
      </c>
      <c r="HI269" s="561">
        <v>0</v>
      </c>
      <c r="HJ269" s="561">
        <v>0</v>
      </c>
      <c r="HK269" s="561">
        <v>0</v>
      </c>
      <c r="HL269" s="561">
        <v>0</v>
      </c>
      <c r="HM269" s="561">
        <v>0</v>
      </c>
      <c r="HN269" s="561">
        <v>0</v>
      </c>
      <c r="HO269" s="561">
        <v>538</v>
      </c>
      <c r="HP269" s="561">
        <v>0</v>
      </c>
      <c r="HQ269" s="561">
        <v>0</v>
      </c>
      <c r="HR269" s="561">
        <v>0</v>
      </c>
      <c r="HS269" s="561">
        <v>0</v>
      </c>
      <c r="HT269" s="561">
        <v>0</v>
      </c>
      <c r="HU269" s="561">
        <v>0</v>
      </c>
      <c r="HV269" s="561">
        <v>0</v>
      </c>
      <c r="HW269" s="561">
        <v>0</v>
      </c>
      <c r="HX269" s="561">
        <v>0</v>
      </c>
      <c r="HY269" s="561">
        <v>0</v>
      </c>
      <c r="HZ269" s="561">
        <v>0</v>
      </c>
      <c r="IA269" s="561">
        <v>0</v>
      </c>
      <c r="IB269" s="561">
        <v>0</v>
      </c>
      <c r="IC269" s="561">
        <v>0</v>
      </c>
      <c r="ID269" s="561">
        <v>0</v>
      </c>
      <c r="IE269" s="561">
        <v>51</v>
      </c>
      <c r="IF269" s="561">
        <v>0</v>
      </c>
      <c r="IG269" s="561">
        <v>0</v>
      </c>
      <c r="IH269" s="561">
        <v>2797</v>
      </c>
      <c r="II269" s="561">
        <v>3386</v>
      </c>
      <c r="IJ269" s="561">
        <v>0</v>
      </c>
      <c r="IK269" s="561">
        <v>0</v>
      </c>
      <c r="IL269" s="561">
        <v>0</v>
      </c>
      <c r="IM269" s="561">
        <v>0</v>
      </c>
      <c r="IN269" s="561">
        <v>0</v>
      </c>
      <c r="IO269" s="561">
        <v>28</v>
      </c>
      <c r="IP269" s="561">
        <v>0</v>
      </c>
      <c r="IQ269" s="561">
        <v>0</v>
      </c>
      <c r="IR269" s="561">
        <v>0</v>
      </c>
      <c r="IS269" s="561">
        <v>-148</v>
      </c>
      <c r="IT269" s="561">
        <v>0</v>
      </c>
      <c r="IU269" s="561">
        <v>0</v>
      </c>
      <c r="IV269" s="561">
        <v>0</v>
      </c>
      <c r="IW269" s="561">
        <v>0</v>
      </c>
      <c r="IX269" s="561">
        <v>7053</v>
      </c>
      <c r="IY269" s="561">
        <v>133</v>
      </c>
      <c r="IZ269" s="561">
        <v>1236</v>
      </c>
      <c r="JA269" s="561">
        <v>0</v>
      </c>
      <c r="JB269" s="561">
        <v>0</v>
      </c>
      <c r="JC269" s="561">
        <v>3386</v>
      </c>
      <c r="JD269" s="561">
        <v>0</v>
      </c>
      <c r="JE269" s="561">
        <v>11660</v>
      </c>
      <c r="JF269" s="561">
        <v>0</v>
      </c>
      <c r="JG269" s="561">
        <v>0</v>
      </c>
      <c r="JH269" s="561">
        <v>0</v>
      </c>
      <c r="JI269" s="561">
        <v>0</v>
      </c>
      <c r="JJ269" s="561">
        <v>0</v>
      </c>
      <c r="JK269" s="561">
        <v>0</v>
      </c>
      <c r="JL269" s="561">
        <v>0</v>
      </c>
      <c r="JM269" s="561">
        <v>0</v>
      </c>
      <c r="JN269" s="561">
        <v>0</v>
      </c>
      <c r="JO269" s="561">
        <v>0</v>
      </c>
      <c r="JP269" s="561">
        <v>0</v>
      </c>
      <c r="JQ269" s="561">
        <v>0</v>
      </c>
      <c r="JR269" s="561">
        <v>0</v>
      </c>
      <c r="JS269" s="561">
        <v>0</v>
      </c>
      <c r="JT269" s="561">
        <v>0</v>
      </c>
      <c r="JU269" s="561">
        <v>0</v>
      </c>
      <c r="JV269" s="561">
        <v>11660</v>
      </c>
      <c r="JW269" s="561">
        <v>0</v>
      </c>
      <c r="JX269" s="561">
        <v>24</v>
      </c>
      <c r="JY269" s="561">
        <v>0</v>
      </c>
      <c r="JZ269" s="561">
        <v>0</v>
      </c>
      <c r="KA269" s="561">
        <v>0</v>
      </c>
      <c r="KB269" s="561">
        <v>0</v>
      </c>
      <c r="KC269" s="561">
        <v>340</v>
      </c>
      <c r="KD269" s="561">
        <v>0</v>
      </c>
      <c r="KE269" s="561">
        <v>14</v>
      </c>
      <c r="KF269" s="561">
        <v>0</v>
      </c>
      <c r="KG269" s="561">
        <v>12038</v>
      </c>
      <c r="KH269" s="561">
        <v>-464</v>
      </c>
      <c r="KI269" s="561">
        <v>0</v>
      </c>
      <c r="KJ269" s="561">
        <v>0</v>
      </c>
      <c r="KK269" s="561">
        <v>0</v>
      </c>
      <c r="KL269" s="561">
        <v>-5691</v>
      </c>
      <c r="KM269" s="561">
        <v>0</v>
      </c>
      <c r="KN269" s="561">
        <v>0</v>
      </c>
      <c r="KO269" s="561">
        <v>0</v>
      </c>
      <c r="KP269" s="561">
        <v>0</v>
      </c>
      <c r="KQ269" s="561">
        <v>0</v>
      </c>
      <c r="KR269" s="561">
        <v>5883</v>
      </c>
      <c r="KS269" s="561">
        <v>0</v>
      </c>
      <c r="KT269" s="561">
        <v>-6949</v>
      </c>
      <c r="KU269" s="561">
        <v>-1066</v>
      </c>
      <c r="KV269" s="561">
        <v>0</v>
      </c>
      <c r="KW269" s="561">
        <v>0</v>
      </c>
      <c r="KX269" s="561">
        <v>0</v>
      </c>
      <c r="KY269" s="561">
        <v>0</v>
      </c>
      <c r="KZ269" s="561">
        <v>836</v>
      </c>
      <c r="LA269" s="561">
        <v>230</v>
      </c>
      <c r="LB269" s="561">
        <v>0</v>
      </c>
      <c r="LC269" s="561">
        <v>0</v>
      </c>
      <c r="LD269" s="561">
        <v>0</v>
      </c>
      <c r="LE269" s="561">
        <v>0</v>
      </c>
      <c r="LF269" s="561">
        <v>0</v>
      </c>
      <c r="LG269" s="561">
        <v>0</v>
      </c>
      <c r="LH269" s="561">
        <v>0</v>
      </c>
      <c r="LI269" s="561">
        <v>0</v>
      </c>
      <c r="LJ269" s="561">
        <v>0</v>
      </c>
      <c r="LK269" s="561">
        <v>0</v>
      </c>
      <c r="LL269" s="561">
        <v>9807</v>
      </c>
      <c r="LM269" s="561">
        <v>171</v>
      </c>
      <c r="LN269" s="561">
        <v>0</v>
      </c>
      <c r="LO269" s="561">
        <v>0</v>
      </c>
      <c r="LP269" s="561">
        <v>0</v>
      </c>
      <c r="LQ269" s="561">
        <v>0</v>
      </c>
      <c r="LR269" s="561">
        <v>10643</v>
      </c>
      <c r="LS269" s="561">
        <v>401</v>
      </c>
      <c r="LT269" s="561">
        <v>-191</v>
      </c>
      <c r="LU269" s="561">
        <v>905</v>
      </c>
      <c r="LV269" s="561">
        <v>0</v>
      </c>
      <c r="LW269" s="561">
        <v>355</v>
      </c>
      <c r="LX269" s="561">
        <v>-565</v>
      </c>
      <c r="LY269" s="561">
        <v>0</v>
      </c>
      <c r="LZ269" s="561">
        <v>695</v>
      </c>
      <c r="MA269" s="561">
        <v>0</v>
      </c>
      <c r="MB269" s="561">
        <v>0</v>
      </c>
      <c r="MC269" s="561">
        <v>0</v>
      </c>
      <c r="MD269" s="561">
        <v>0</v>
      </c>
      <c r="ME269" s="561">
        <v>0</v>
      </c>
      <c r="MF269" s="561">
        <v>0</v>
      </c>
      <c r="MG269" s="561">
        <v>0</v>
      </c>
      <c r="MH269" s="561">
        <v>0</v>
      </c>
      <c r="MI269" s="561">
        <v>0</v>
      </c>
      <c r="MJ269" s="561">
        <v>0</v>
      </c>
      <c r="MK269" s="561">
        <v>0</v>
      </c>
      <c r="ML269" s="561">
        <v>3351</v>
      </c>
      <c r="MM269" s="561">
        <v>4849</v>
      </c>
      <c r="MN269" s="561">
        <v>1123</v>
      </c>
      <c r="MO269" s="561">
        <v>1320</v>
      </c>
      <c r="MP269" s="561">
        <v>0</v>
      </c>
      <c r="MQ269" s="561">
        <v>0</v>
      </c>
      <c r="MR269" s="561">
        <v>-148</v>
      </c>
      <c r="MS269" s="561">
        <v>0</v>
      </c>
      <c r="MT269" s="561">
        <v>0</v>
      </c>
      <c r="MU269" s="561">
        <v>0</v>
      </c>
      <c r="MV269" s="561">
        <v>0</v>
      </c>
      <c r="MW269" s="561">
        <v>7053</v>
      </c>
      <c r="MX269" s="561">
        <v>133</v>
      </c>
      <c r="MY269" s="561">
        <v>1236</v>
      </c>
      <c r="MZ269" s="561">
        <v>0</v>
      </c>
      <c r="NA269" s="561">
        <v>0</v>
      </c>
      <c r="NB269" s="561">
        <v>3386</v>
      </c>
      <c r="NC269" s="561">
        <v>0</v>
      </c>
      <c r="ND269" s="561">
        <v>11660</v>
      </c>
      <c r="NE269" s="561">
        <v>0</v>
      </c>
      <c r="NF269" s="561">
        <v>0</v>
      </c>
      <c r="NG269" s="561">
        <v>0</v>
      </c>
      <c r="NH269" s="561">
        <v>0</v>
      </c>
      <c r="NI269" s="561">
        <v>0</v>
      </c>
      <c r="NJ269" s="561">
        <v>0</v>
      </c>
      <c r="NK269" s="561">
        <v>0</v>
      </c>
      <c r="NL269" s="561">
        <v>0</v>
      </c>
      <c r="NM269" s="561">
        <v>0</v>
      </c>
      <c r="NN269" s="561">
        <v>0</v>
      </c>
      <c r="NO269" s="561">
        <v>0</v>
      </c>
      <c r="NP269" s="561">
        <v>0</v>
      </c>
      <c r="NQ269" s="561">
        <v>0</v>
      </c>
      <c r="NR269" s="561">
        <v>0</v>
      </c>
      <c r="NS269" s="561">
        <v>0</v>
      </c>
      <c r="NT269" s="561">
        <v>0</v>
      </c>
      <c r="NU269" s="561">
        <v>0</v>
      </c>
      <c r="NV269" s="561">
        <v>0</v>
      </c>
      <c r="NW269" s="561">
        <v>0</v>
      </c>
      <c r="NX269" s="561">
        <v>0</v>
      </c>
      <c r="NY269" s="561">
        <v>0</v>
      </c>
      <c r="NZ269" s="561">
        <v>0</v>
      </c>
      <c r="OA269" s="561">
        <v>0</v>
      </c>
      <c r="OB269" s="561">
        <v>0</v>
      </c>
      <c r="OC269" s="561">
        <v>0</v>
      </c>
      <c r="OD269" s="561">
        <v>0</v>
      </c>
      <c r="OE269" s="561">
        <v>0</v>
      </c>
      <c r="OF269" s="561">
        <v>0</v>
      </c>
      <c r="OG269" s="561">
        <v>0</v>
      </c>
      <c r="OH269" s="561">
        <v>0</v>
      </c>
      <c r="OI269" s="561">
        <v>0</v>
      </c>
      <c r="OJ269" s="561">
        <v>0</v>
      </c>
      <c r="OK269" s="561">
        <v>0</v>
      </c>
      <c r="OL269" s="561">
        <v>0</v>
      </c>
      <c r="OM269" s="561">
        <v>0</v>
      </c>
      <c r="ON269" s="561">
        <v>0</v>
      </c>
      <c r="OO269" s="561">
        <v>0</v>
      </c>
      <c r="OP269" s="561">
        <v>0</v>
      </c>
      <c r="OQ269" s="561">
        <v>0</v>
      </c>
      <c r="OR269" s="561">
        <v>0</v>
      </c>
      <c r="OS269" s="561">
        <v>0</v>
      </c>
      <c r="OT269" s="561">
        <v>0</v>
      </c>
      <c r="OU269" s="561">
        <v>0</v>
      </c>
      <c r="OV269" s="561">
        <v>7355.8581199999999</v>
      </c>
      <c r="OW269" s="561">
        <v>0</v>
      </c>
      <c r="OX269" s="561">
        <v>0</v>
      </c>
      <c r="OY269" s="561">
        <v>0</v>
      </c>
      <c r="OZ269" s="561">
        <v>0</v>
      </c>
      <c r="PA269" s="561">
        <v>0</v>
      </c>
      <c r="PB269" s="561">
        <v>0</v>
      </c>
      <c r="PC269" s="561">
        <v>0</v>
      </c>
      <c r="PD269" s="561">
        <v>0</v>
      </c>
      <c r="PE269" s="561">
        <v>0</v>
      </c>
      <c r="PF269" s="561">
        <v>0</v>
      </c>
      <c r="PG269" s="561">
        <v>0</v>
      </c>
      <c r="PH269" s="561">
        <v>0</v>
      </c>
      <c r="PI269" s="561">
        <v>0</v>
      </c>
      <c r="PJ269" s="561">
        <v>0</v>
      </c>
    </row>
    <row r="270" spans="1:426" ht="14" x14ac:dyDescent="0.3">
      <c r="A270" t="s">
        <v>3253</v>
      </c>
      <c r="B270" t="s">
        <v>3254</v>
      </c>
      <c r="C270" t="s">
        <v>3255</v>
      </c>
      <c r="E270" t="s">
        <v>384</v>
      </c>
      <c r="F270" s="561">
        <v>0</v>
      </c>
      <c r="G270" s="561">
        <v>0</v>
      </c>
      <c r="H270" s="561">
        <v>0</v>
      </c>
      <c r="I270" s="561">
        <v>0</v>
      </c>
      <c r="J270" s="561">
        <v>0</v>
      </c>
      <c r="K270" s="561">
        <v>0</v>
      </c>
      <c r="L270" s="561">
        <v>0</v>
      </c>
      <c r="M270" s="561">
        <v>0</v>
      </c>
      <c r="N270" s="561">
        <v>28</v>
      </c>
      <c r="O270" s="561">
        <v>0</v>
      </c>
      <c r="P270" s="561">
        <v>0</v>
      </c>
      <c r="Q270" s="561">
        <v>0</v>
      </c>
      <c r="R270" s="561">
        <v>0</v>
      </c>
      <c r="S270" s="561">
        <v>261</v>
      </c>
      <c r="T270" s="561">
        <v>0</v>
      </c>
      <c r="U270" s="561">
        <v>0</v>
      </c>
      <c r="V270" s="561">
        <v>0</v>
      </c>
      <c r="W270" s="561">
        <v>0</v>
      </c>
      <c r="X270" s="561">
        <v>0</v>
      </c>
      <c r="Y270" s="561">
        <v>0</v>
      </c>
      <c r="Z270" s="561">
        <v>0</v>
      </c>
      <c r="AA270" s="561">
        <v>0</v>
      </c>
      <c r="AB270" s="561">
        <v>185</v>
      </c>
      <c r="AC270" s="561">
        <v>0</v>
      </c>
      <c r="AD270" s="561">
        <v>0</v>
      </c>
      <c r="AE270" s="561">
        <v>0</v>
      </c>
      <c r="AF270" s="561">
        <v>0</v>
      </c>
      <c r="AG270" s="561">
        <v>0</v>
      </c>
      <c r="AH270" s="561">
        <v>39</v>
      </c>
      <c r="AI270" s="561">
        <v>0</v>
      </c>
      <c r="AJ270" s="561">
        <v>513</v>
      </c>
      <c r="AK270" s="561">
        <v>0</v>
      </c>
      <c r="AL270" s="561">
        <v>0</v>
      </c>
      <c r="AM270" s="561">
        <v>0</v>
      </c>
      <c r="AN270" s="561">
        <v>0</v>
      </c>
      <c r="AO270" s="561">
        <v>0</v>
      </c>
      <c r="AP270" s="561">
        <v>0</v>
      </c>
      <c r="AQ270" s="561">
        <v>0</v>
      </c>
      <c r="AR270" s="561">
        <v>0</v>
      </c>
      <c r="AS270" s="561">
        <v>0</v>
      </c>
      <c r="AT270" s="561">
        <v>0</v>
      </c>
      <c r="AU270" s="561">
        <v>0</v>
      </c>
      <c r="AV270" s="561">
        <v>0</v>
      </c>
      <c r="AW270" s="561">
        <v>0</v>
      </c>
      <c r="AX270" s="561">
        <v>0</v>
      </c>
      <c r="AY270" s="561">
        <v>0</v>
      </c>
      <c r="AZ270" s="561">
        <v>0</v>
      </c>
      <c r="BA270" s="561">
        <v>0</v>
      </c>
      <c r="BB270" s="561">
        <v>0</v>
      </c>
      <c r="BC270" s="561">
        <v>0</v>
      </c>
      <c r="BD270" s="561">
        <v>0</v>
      </c>
      <c r="BE270" s="561">
        <v>0</v>
      </c>
      <c r="BF270" s="561">
        <v>0</v>
      </c>
      <c r="BG270" s="561">
        <v>0</v>
      </c>
      <c r="BH270" s="561">
        <v>0</v>
      </c>
      <c r="BI270" s="561">
        <v>0</v>
      </c>
      <c r="BJ270" s="561">
        <v>0</v>
      </c>
      <c r="BK270" s="561">
        <v>0</v>
      </c>
      <c r="BL270" s="561">
        <v>0</v>
      </c>
      <c r="BM270" s="561">
        <v>0</v>
      </c>
      <c r="BN270" s="561">
        <v>0</v>
      </c>
      <c r="BO270" s="561">
        <v>0</v>
      </c>
      <c r="BP270" s="561">
        <v>0</v>
      </c>
      <c r="BQ270" s="561">
        <v>0</v>
      </c>
      <c r="BR270" s="561">
        <v>0</v>
      </c>
      <c r="BS270" s="561">
        <v>0</v>
      </c>
      <c r="BT270" s="561">
        <v>0</v>
      </c>
      <c r="BU270" s="561">
        <v>0</v>
      </c>
      <c r="BV270" s="561">
        <v>0</v>
      </c>
      <c r="BW270" s="561">
        <v>0</v>
      </c>
      <c r="BX270" s="561">
        <v>0</v>
      </c>
      <c r="BY270" s="561">
        <v>0</v>
      </c>
      <c r="BZ270" s="561">
        <v>0</v>
      </c>
      <c r="CA270" s="561">
        <v>0</v>
      </c>
      <c r="CB270" s="561">
        <v>0</v>
      </c>
      <c r="CC270" s="561">
        <v>0</v>
      </c>
      <c r="CD270" s="561">
        <v>0</v>
      </c>
      <c r="CE270" s="561">
        <v>0</v>
      </c>
      <c r="CF270" s="561">
        <v>0</v>
      </c>
      <c r="CG270" s="561">
        <v>0</v>
      </c>
      <c r="CH270" s="561">
        <v>0</v>
      </c>
      <c r="CI270" s="561">
        <v>0</v>
      </c>
      <c r="CJ270" s="561">
        <v>0</v>
      </c>
      <c r="CK270" s="561">
        <v>0</v>
      </c>
      <c r="CL270" s="561">
        <v>0</v>
      </c>
      <c r="CM270" s="561">
        <v>0</v>
      </c>
      <c r="CN270" s="561">
        <v>0</v>
      </c>
      <c r="CO270" s="561">
        <v>0</v>
      </c>
      <c r="CP270" s="561">
        <v>0</v>
      </c>
      <c r="CQ270" s="561">
        <v>0</v>
      </c>
      <c r="CR270" s="561">
        <v>0</v>
      </c>
      <c r="CS270" s="561">
        <v>0</v>
      </c>
      <c r="CT270" s="561">
        <v>0</v>
      </c>
      <c r="CU270" s="561">
        <v>0</v>
      </c>
      <c r="CV270" s="561">
        <v>0</v>
      </c>
      <c r="CW270" s="561">
        <v>0</v>
      </c>
      <c r="CX270" s="561">
        <v>0</v>
      </c>
      <c r="CY270" s="561">
        <v>0</v>
      </c>
      <c r="CZ270" s="561">
        <v>0</v>
      </c>
      <c r="DA270" s="561">
        <v>0</v>
      </c>
      <c r="DB270" s="561">
        <v>0</v>
      </c>
      <c r="DC270" s="561">
        <v>0</v>
      </c>
      <c r="DD270" s="561">
        <v>0</v>
      </c>
      <c r="DE270" s="561">
        <v>0</v>
      </c>
      <c r="DF270" s="561">
        <v>0</v>
      </c>
      <c r="DG270" s="561">
        <v>0</v>
      </c>
      <c r="DH270" s="561">
        <v>-1095.08</v>
      </c>
      <c r="DI270" s="561">
        <v>0</v>
      </c>
      <c r="DJ270" s="561">
        <v>0</v>
      </c>
      <c r="DK270" s="561">
        <v>0</v>
      </c>
      <c r="DL270" s="561">
        <v>0</v>
      </c>
      <c r="DM270" s="561">
        <v>0</v>
      </c>
      <c r="DN270" s="561">
        <v>0</v>
      </c>
      <c r="DO270" s="561">
        <v>1135</v>
      </c>
      <c r="DP270" s="561">
        <v>0</v>
      </c>
      <c r="DQ270" s="561">
        <v>-94</v>
      </c>
      <c r="DR270" s="561">
        <v>0</v>
      </c>
      <c r="DS270" s="561">
        <v>0</v>
      </c>
      <c r="DT270" s="561">
        <v>0</v>
      </c>
      <c r="DU270" s="561">
        <v>1041</v>
      </c>
      <c r="DV270" s="561">
        <v>0</v>
      </c>
      <c r="DW270" s="561">
        <v>0</v>
      </c>
      <c r="DX270" s="561">
        <v>0</v>
      </c>
      <c r="DY270" s="561">
        <v>879</v>
      </c>
      <c r="DZ270" s="561">
        <v>0</v>
      </c>
      <c r="EA270" s="561">
        <v>0</v>
      </c>
      <c r="EB270" s="561">
        <v>56</v>
      </c>
      <c r="EC270" s="561">
        <v>880.92</v>
      </c>
      <c r="ED270" s="561">
        <v>0</v>
      </c>
      <c r="EE270" s="561">
        <v>0</v>
      </c>
      <c r="EF270" s="561">
        <v>0</v>
      </c>
      <c r="EG270" s="561">
        <v>0</v>
      </c>
      <c r="EH270" s="561">
        <v>0</v>
      </c>
      <c r="EI270" s="561">
        <v>0</v>
      </c>
      <c r="EJ270" s="561">
        <v>0</v>
      </c>
      <c r="EK270" s="561">
        <v>0</v>
      </c>
      <c r="EL270" s="561">
        <v>0</v>
      </c>
      <c r="EM270" s="561">
        <v>0</v>
      </c>
      <c r="EN270" s="561">
        <v>0</v>
      </c>
      <c r="EO270" s="561">
        <v>0</v>
      </c>
      <c r="EP270" s="561">
        <v>0</v>
      </c>
      <c r="EQ270" s="561">
        <v>0</v>
      </c>
      <c r="ER270" s="561">
        <v>0</v>
      </c>
      <c r="ES270" s="561" t="s">
        <v>4565</v>
      </c>
      <c r="ET270" s="561">
        <v>0</v>
      </c>
      <c r="EU270" s="561">
        <v>0</v>
      </c>
      <c r="EV270" s="561">
        <v>0</v>
      </c>
      <c r="EW270" s="561">
        <v>0</v>
      </c>
      <c r="EX270" s="561">
        <v>0</v>
      </c>
      <c r="EY270" s="561">
        <v>0</v>
      </c>
      <c r="EZ270" s="561">
        <v>0</v>
      </c>
      <c r="FA270" s="561">
        <v>0</v>
      </c>
      <c r="FB270" s="561">
        <v>0</v>
      </c>
      <c r="FC270" s="561">
        <v>0</v>
      </c>
      <c r="FD270" s="561">
        <v>0</v>
      </c>
      <c r="FE270" s="561">
        <v>0</v>
      </c>
      <c r="FF270" s="561">
        <v>0</v>
      </c>
      <c r="FG270" s="561">
        <v>0</v>
      </c>
      <c r="FH270" s="561">
        <v>0</v>
      </c>
      <c r="FI270" s="561">
        <v>607</v>
      </c>
      <c r="FJ270" s="561">
        <v>1636</v>
      </c>
      <c r="FK270" s="561">
        <v>571</v>
      </c>
      <c r="FL270" s="561">
        <v>0</v>
      </c>
      <c r="FM270" s="561">
        <v>18</v>
      </c>
      <c r="FN270" s="561">
        <v>0</v>
      </c>
      <c r="FO270" s="561">
        <v>2832</v>
      </c>
      <c r="FP270" s="561">
        <v>0</v>
      </c>
      <c r="FQ270" s="561">
        <v>36</v>
      </c>
      <c r="FR270" s="561">
        <v>0</v>
      </c>
      <c r="FS270" s="561">
        <v>0</v>
      </c>
      <c r="FT270" s="561">
        <v>229</v>
      </c>
      <c r="FU270" s="561">
        <v>-425</v>
      </c>
      <c r="FV270" s="561">
        <v>205</v>
      </c>
      <c r="FW270" s="561">
        <v>0</v>
      </c>
      <c r="FX270" s="561">
        <v>0</v>
      </c>
      <c r="FY270" s="561">
        <v>0</v>
      </c>
      <c r="FZ270" s="561">
        <v>173</v>
      </c>
      <c r="GA270" s="561">
        <v>0</v>
      </c>
      <c r="GB270" s="561">
        <v>1048</v>
      </c>
      <c r="GC270" s="561">
        <v>-3</v>
      </c>
      <c r="GD270" s="561">
        <v>0</v>
      </c>
      <c r="GE270" s="561">
        <v>45</v>
      </c>
      <c r="GF270" s="561">
        <v>0</v>
      </c>
      <c r="GG270" s="561">
        <v>5</v>
      </c>
      <c r="GH270" s="561">
        <v>-61</v>
      </c>
      <c r="GI270" s="561">
        <v>11</v>
      </c>
      <c r="GJ270" s="561">
        <v>0</v>
      </c>
      <c r="GK270" s="561">
        <v>0</v>
      </c>
      <c r="GL270" s="561">
        <v>418</v>
      </c>
      <c r="GM270" s="561">
        <v>1823</v>
      </c>
      <c r="GN270" s="561">
        <v>0</v>
      </c>
      <c r="GO270" s="561">
        <v>-194</v>
      </c>
      <c r="GP270" s="561">
        <v>1106</v>
      </c>
      <c r="GQ270" s="561">
        <v>0</v>
      </c>
      <c r="GR270" s="561">
        <v>0</v>
      </c>
      <c r="GS270" s="561">
        <v>4416</v>
      </c>
      <c r="GT270" s="561">
        <v>0</v>
      </c>
      <c r="GU270" s="561">
        <v>141</v>
      </c>
      <c r="GV270" s="561">
        <v>222</v>
      </c>
      <c r="GW270" s="561">
        <v>89</v>
      </c>
      <c r="GX270" s="561">
        <v>266</v>
      </c>
      <c r="GY270" s="561">
        <v>82</v>
      </c>
      <c r="GZ270" s="561">
        <v>498</v>
      </c>
      <c r="HA270" s="561">
        <v>0</v>
      </c>
      <c r="HB270" s="561">
        <v>855</v>
      </c>
      <c r="HC270" s="561">
        <v>732</v>
      </c>
      <c r="HD270" s="561">
        <v>2885</v>
      </c>
      <c r="HE270" s="561">
        <v>0</v>
      </c>
      <c r="HF270" s="561">
        <v>10133</v>
      </c>
      <c r="HG270" s="561">
        <v>0</v>
      </c>
      <c r="HH270" s="561">
        <v>0</v>
      </c>
      <c r="HI270" s="561">
        <v>0</v>
      </c>
      <c r="HJ270" s="561">
        <v>0</v>
      </c>
      <c r="HK270" s="561">
        <v>0</v>
      </c>
      <c r="HL270" s="561">
        <v>0</v>
      </c>
      <c r="HM270" s="561">
        <v>0</v>
      </c>
      <c r="HN270" s="561">
        <v>0</v>
      </c>
      <c r="HO270" s="561">
        <v>2678</v>
      </c>
      <c r="HP270" s="561">
        <v>674</v>
      </c>
      <c r="HQ270" s="561">
        <v>0</v>
      </c>
      <c r="HR270" s="561">
        <v>0</v>
      </c>
      <c r="HS270" s="561">
        <v>873</v>
      </c>
      <c r="HT270" s="561">
        <v>-27</v>
      </c>
      <c r="HU270" s="561">
        <v>0</v>
      </c>
      <c r="HV270" s="561">
        <v>0</v>
      </c>
      <c r="HW270" s="561">
        <v>84</v>
      </c>
      <c r="HX270" s="561">
        <v>575</v>
      </c>
      <c r="HY270" s="561">
        <v>16</v>
      </c>
      <c r="HZ270" s="561">
        <v>47</v>
      </c>
      <c r="IA270" s="561">
        <v>0</v>
      </c>
      <c r="IB270" s="561">
        <v>86</v>
      </c>
      <c r="IC270" s="561">
        <v>0</v>
      </c>
      <c r="ID270" s="561">
        <v>0</v>
      </c>
      <c r="IE270" s="561">
        <v>246</v>
      </c>
      <c r="IF270" s="561">
        <v>0</v>
      </c>
      <c r="IG270" s="561">
        <v>0</v>
      </c>
      <c r="IH270" s="561">
        <v>0</v>
      </c>
      <c r="II270" s="561">
        <v>5252</v>
      </c>
      <c r="IJ270" s="561">
        <v>0</v>
      </c>
      <c r="IK270" s="561">
        <v>0</v>
      </c>
      <c r="IL270" s="561">
        <v>0</v>
      </c>
      <c r="IM270" s="561">
        <v>0</v>
      </c>
      <c r="IN270" s="561">
        <v>0</v>
      </c>
      <c r="IO270" s="561">
        <v>0</v>
      </c>
      <c r="IP270" s="561">
        <v>0</v>
      </c>
      <c r="IQ270" s="561">
        <v>0</v>
      </c>
      <c r="IR270" s="561">
        <v>0</v>
      </c>
      <c r="IS270" s="561">
        <v>513</v>
      </c>
      <c r="IT270" s="561">
        <v>0</v>
      </c>
      <c r="IU270" s="561">
        <v>0</v>
      </c>
      <c r="IV270" s="561">
        <v>0</v>
      </c>
      <c r="IW270" s="561">
        <v>880.92</v>
      </c>
      <c r="IX270" s="561">
        <v>2832</v>
      </c>
      <c r="IY270" s="561">
        <v>4416</v>
      </c>
      <c r="IZ270" s="561">
        <v>2885</v>
      </c>
      <c r="JA270" s="561">
        <v>0</v>
      </c>
      <c r="JB270" s="561">
        <v>0</v>
      </c>
      <c r="JC270" s="561">
        <v>5252</v>
      </c>
      <c r="JD270" s="561">
        <v>0</v>
      </c>
      <c r="JE270" s="561">
        <v>16778.919999999998</v>
      </c>
      <c r="JF270" s="561">
        <v>15532</v>
      </c>
      <c r="JG270" s="561">
        <v>565</v>
      </c>
      <c r="JH270" s="561">
        <v>0</v>
      </c>
      <c r="JI270" s="561">
        <v>0</v>
      </c>
      <c r="JJ270" s="561">
        <v>0</v>
      </c>
      <c r="JK270" s="561">
        <v>2872</v>
      </c>
      <c r="JL270" s="561">
        <v>0</v>
      </c>
      <c r="JM270" s="561">
        <v>0</v>
      </c>
      <c r="JN270" s="561">
        <v>0</v>
      </c>
      <c r="JO270" s="561">
        <v>0</v>
      </c>
      <c r="JP270" s="561">
        <v>0</v>
      </c>
      <c r="JQ270" s="561">
        <v>3756</v>
      </c>
      <c r="JR270" s="561">
        <v>0</v>
      </c>
      <c r="JS270" s="561">
        <v>-3756</v>
      </c>
      <c r="JT270" s="561">
        <v>0</v>
      </c>
      <c r="JU270" s="561">
        <v>15</v>
      </c>
      <c r="JV270" s="561">
        <v>35762.92</v>
      </c>
      <c r="JW270" s="561">
        <v>0</v>
      </c>
      <c r="JX270" s="561">
        <v>4755</v>
      </c>
      <c r="JY270" s="561">
        <v>0</v>
      </c>
      <c r="JZ270" s="561">
        <v>0</v>
      </c>
      <c r="KA270" s="561">
        <v>0</v>
      </c>
      <c r="KB270" s="561">
        <v>-62</v>
      </c>
      <c r="KC270" s="561">
        <v>651</v>
      </c>
      <c r="KD270" s="561">
        <v>0</v>
      </c>
      <c r="KE270" s="561">
        <v>1108</v>
      </c>
      <c r="KF270" s="561">
        <v>0</v>
      </c>
      <c r="KG270" s="561">
        <v>42214.92</v>
      </c>
      <c r="KH270" s="561">
        <v>-1942</v>
      </c>
      <c r="KI270" s="561">
        <v>0</v>
      </c>
      <c r="KJ270" s="561">
        <v>0</v>
      </c>
      <c r="KK270" s="561">
        <v>0</v>
      </c>
      <c r="KL270" s="561">
        <v>-16069</v>
      </c>
      <c r="KM270" s="561">
        <v>0</v>
      </c>
      <c r="KN270" s="561">
        <v>0</v>
      </c>
      <c r="KO270" s="561">
        <v>0</v>
      </c>
      <c r="KP270" s="561">
        <v>0</v>
      </c>
      <c r="KQ270" s="561">
        <v>0</v>
      </c>
      <c r="KR270" s="561">
        <v>24203.919999999998</v>
      </c>
      <c r="KS270" s="561">
        <v>0</v>
      </c>
      <c r="KT270" s="561">
        <v>-6488.21</v>
      </c>
      <c r="KU270" s="561">
        <v>17715.71</v>
      </c>
      <c r="KV270" s="561">
        <v>0</v>
      </c>
      <c r="KW270" s="561">
        <v>0</v>
      </c>
      <c r="KX270" s="561">
        <v>0</v>
      </c>
      <c r="KY270" s="561">
        <v>0</v>
      </c>
      <c r="KZ270" s="561">
        <v>2643.37</v>
      </c>
      <c r="LA270" s="561">
        <v>0</v>
      </c>
      <c r="LB270" s="561">
        <v>-1556</v>
      </c>
      <c r="LC270" s="561">
        <v>0</v>
      </c>
      <c r="LD270" s="561">
        <v>-7483</v>
      </c>
      <c r="LE270" s="561">
        <v>-997</v>
      </c>
      <c r="LF270" s="561">
        <v>0</v>
      </c>
      <c r="LG270" s="561">
        <v>10323</v>
      </c>
      <c r="LH270" s="561">
        <v>0</v>
      </c>
      <c r="LI270" s="561">
        <v>0</v>
      </c>
      <c r="LJ270" s="561">
        <v>0</v>
      </c>
      <c r="LK270" s="561">
        <v>0</v>
      </c>
      <c r="LL270" s="561">
        <v>10818.02</v>
      </c>
      <c r="LM270" s="561">
        <v>0</v>
      </c>
      <c r="LN270" s="561">
        <v>0</v>
      </c>
      <c r="LO270" s="561">
        <v>0</v>
      </c>
      <c r="LP270" s="561">
        <v>0</v>
      </c>
      <c r="LQ270" s="561">
        <v>0</v>
      </c>
      <c r="LR270" s="561">
        <v>13461.39</v>
      </c>
      <c r="LS270" s="561">
        <v>0</v>
      </c>
      <c r="LT270" s="561">
        <v>0</v>
      </c>
      <c r="LU270" s="561">
        <v>2597</v>
      </c>
      <c r="LV270" s="561">
        <v>3000</v>
      </c>
      <c r="LW270" s="561">
        <v>0</v>
      </c>
      <c r="LX270" s="561">
        <v>0</v>
      </c>
      <c r="LY270" s="561">
        <v>0</v>
      </c>
      <c r="LZ270" s="561">
        <v>5597</v>
      </c>
      <c r="MA270" s="561">
        <v>0</v>
      </c>
      <c r="MB270" s="561">
        <v>0</v>
      </c>
      <c r="MC270" s="561">
        <v>0</v>
      </c>
      <c r="MD270" s="561">
        <v>0</v>
      </c>
      <c r="ME270" s="561">
        <v>0</v>
      </c>
      <c r="MF270" s="561">
        <v>0</v>
      </c>
      <c r="MG270" s="561">
        <v>0</v>
      </c>
      <c r="MH270" s="561">
        <v>3382</v>
      </c>
      <c r="MI270" s="561">
        <v>5207</v>
      </c>
      <c r="MJ270" s="561">
        <v>8589</v>
      </c>
      <c r="MK270" s="561">
        <v>0</v>
      </c>
      <c r="ML270" s="561">
        <v>0</v>
      </c>
      <c r="MM270" s="561">
        <v>2505.91</v>
      </c>
      <c r="MN270" s="561">
        <v>50</v>
      </c>
      <c r="MO270" s="561">
        <v>10905.48</v>
      </c>
      <c r="MP270" s="561">
        <v>0</v>
      </c>
      <c r="MQ270" s="561">
        <v>0</v>
      </c>
      <c r="MR270" s="561">
        <v>513</v>
      </c>
      <c r="MS270" s="561">
        <v>0</v>
      </c>
      <c r="MT270" s="561">
        <v>0</v>
      </c>
      <c r="MU270" s="561">
        <v>0</v>
      </c>
      <c r="MV270" s="561">
        <v>880.92</v>
      </c>
      <c r="MW270" s="561">
        <v>2832</v>
      </c>
      <c r="MX270" s="561">
        <v>4416</v>
      </c>
      <c r="MY270" s="561">
        <v>2885</v>
      </c>
      <c r="MZ270" s="561">
        <v>0</v>
      </c>
      <c r="NA270" s="561">
        <v>0</v>
      </c>
      <c r="NB270" s="561">
        <v>5252</v>
      </c>
      <c r="NC270" s="561">
        <v>0</v>
      </c>
      <c r="ND270" s="561">
        <v>16778.919999999998</v>
      </c>
      <c r="NE270" s="561">
        <v>0</v>
      </c>
      <c r="NF270" s="561">
        <v>0</v>
      </c>
      <c r="NG270" s="561">
        <v>0</v>
      </c>
      <c r="NH270" s="561">
        <v>0</v>
      </c>
      <c r="NI270" s="561">
        <v>0</v>
      </c>
      <c r="NJ270" s="561">
        <v>0</v>
      </c>
      <c r="NK270" s="561">
        <v>0</v>
      </c>
      <c r="NL270" s="561">
        <v>0</v>
      </c>
      <c r="NM270" s="561">
        <v>0</v>
      </c>
      <c r="NN270" s="561">
        <v>0</v>
      </c>
      <c r="NO270" s="561">
        <v>0</v>
      </c>
      <c r="NP270" s="561">
        <v>0</v>
      </c>
      <c r="NQ270" s="561">
        <v>0</v>
      </c>
      <c r="NR270" s="561">
        <v>0</v>
      </c>
      <c r="NS270" s="561">
        <v>0</v>
      </c>
      <c r="NT270" s="561">
        <v>0</v>
      </c>
      <c r="NU270" s="561">
        <v>0</v>
      </c>
      <c r="NV270" s="561">
        <v>0</v>
      </c>
      <c r="NW270" s="561">
        <v>0</v>
      </c>
      <c r="NX270" s="561">
        <v>0</v>
      </c>
      <c r="NY270" s="561">
        <v>0</v>
      </c>
      <c r="NZ270" s="561">
        <v>0</v>
      </c>
      <c r="OA270" s="561">
        <v>0</v>
      </c>
      <c r="OB270" s="561">
        <v>0</v>
      </c>
      <c r="OC270" s="561">
        <v>0</v>
      </c>
      <c r="OD270" s="561">
        <v>0</v>
      </c>
      <c r="OE270" s="561">
        <v>0</v>
      </c>
      <c r="OF270" s="561">
        <v>0</v>
      </c>
      <c r="OG270" s="561">
        <v>0</v>
      </c>
      <c r="OH270" s="561">
        <v>0</v>
      </c>
      <c r="OI270" s="561">
        <v>0</v>
      </c>
      <c r="OJ270" s="561">
        <v>0</v>
      </c>
      <c r="OK270" s="561">
        <v>0</v>
      </c>
      <c r="OL270" s="561">
        <v>0</v>
      </c>
      <c r="OM270" s="561">
        <v>0</v>
      </c>
      <c r="ON270" s="561">
        <v>0</v>
      </c>
      <c r="OO270" s="561">
        <v>0</v>
      </c>
      <c r="OP270" s="561">
        <v>0</v>
      </c>
      <c r="OQ270" s="561">
        <v>0</v>
      </c>
      <c r="OR270" s="561">
        <v>0</v>
      </c>
      <c r="OS270" s="561">
        <v>0</v>
      </c>
      <c r="OT270" s="561">
        <v>0</v>
      </c>
      <c r="OU270" s="561">
        <v>0</v>
      </c>
      <c r="OV270" s="561">
        <v>0</v>
      </c>
      <c r="OW270" s="561">
        <v>3756</v>
      </c>
      <c r="OX270" s="561">
        <v>3756</v>
      </c>
      <c r="OY270" s="561">
        <v>0</v>
      </c>
      <c r="OZ270" s="561">
        <v>0</v>
      </c>
      <c r="PA270" s="561">
        <v>0</v>
      </c>
      <c r="PB270" s="561">
        <v>0</v>
      </c>
      <c r="PC270" s="561">
        <v>0</v>
      </c>
      <c r="PD270" s="561">
        <v>0</v>
      </c>
      <c r="PE270" s="561">
        <v>0</v>
      </c>
      <c r="PF270" s="561">
        <v>3000</v>
      </c>
      <c r="PG270" s="561">
        <v>756</v>
      </c>
      <c r="PH270" s="561">
        <v>0</v>
      </c>
      <c r="PI270" s="561">
        <v>0</v>
      </c>
      <c r="PJ270" s="561">
        <v>3756</v>
      </c>
    </row>
    <row r="271" spans="1:426" ht="14" x14ac:dyDescent="0.3">
      <c r="A271" t="s">
        <v>3256</v>
      </c>
      <c r="B271" t="s">
        <v>3257</v>
      </c>
      <c r="C271" t="s">
        <v>4647</v>
      </c>
      <c r="E271" t="s">
        <v>385</v>
      </c>
      <c r="F271" s="561">
        <v>29326.45</v>
      </c>
      <c r="G271" s="561">
        <v>54796.7</v>
      </c>
      <c r="H271" s="561">
        <v>19026.189999999999</v>
      </c>
      <c r="I271" s="561">
        <v>20093.88</v>
      </c>
      <c r="J271" s="561">
        <v>4660.41</v>
      </c>
      <c r="K271" s="561">
        <v>22776.18</v>
      </c>
      <c r="L271" s="561">
        <v>150679.81</v>
      </c>
      <c r="M271" s="561">
        <v>1831.51</v>
      </c>
      <c r="N271" s="561">
        <v>-286</v>
      </c>
      <c r="O271" s="561">
        <v>1540</v>
      </c>
      <c r="P271" s="561">
        <v>0</v>
      </c>
      <c r="Q271" s="561">
        <v>409</v>
      </c>
      <c r="R271" s="561">
        <v>180</v>
      </c>
      <c r="S271" s="561">
        <v>422</v>
      </c>
      <c r="T271" s="561">
        <v>1055</v>
      </c>
      <c r="U271" s="561">
        <v>315</v>
      </c>
      <c r="V271" s="561">
        <v>1784</v>
      </c>
      <c r="W271" s="561">
        <v>0</v>
      </c>
      <c r="X271" s="561">
        <v>0</v>
      </c>
      <c r="Y271" s="561">
        <v>100</v>
      </c>
      <c r="Z271" s="561">
        <v>215</v>
      </c>
      <c r="AA271" s="561">
        <v>-450</v>
      </c>
      <c r="AB271" s="561">
        <v>-1897</v>
      </c>
      <c r="AC271" s="561">
        <v>15</v>
      </c>
      <c r="AD271" s="561">
        <v>0</v>
      </c>
      <c r="AE271" s="561">
        <v>51</v>
      </c>
      <c r="AF271" s="561">
        <v>0</v>
      </c>
      <c r="AG271" s="561">
        <v>0</v>
      </c>
      <c r="AH271" s="561">
        <v>0</v>
      </c>
      <c r="AI271" s="561">
        <v>0</v>
      </c>
      <c r="AJ271" s="561">
        <v>3453</v>
      </c>
      <c r="AK271" s="561">
        <v>0</v>
      </c>
      <c r="AL271" s="561">
        <v>0</v>
      </c>
      <c r="AM271" s="561">
        <v>0</v>
      </c>
      <c r="AN271" s="561">
        <v>0</v>
      </c>
      <c r="AO271" s="561">
        <v>0</v>
      </c>
      <c r="AP271" s="561">
        <v>0</v>
      </c>
      <c r="AQ271" s="561">
        <v>0</v>
      </c>
      <c r="AR271" s="561">
        <v>0</v>
      </c>
      <c r="AS271" s="561">
        <v>958</v>
      </c>
      <c r="AT271" s="561">
        <v>701</v>
      </c>
      <c r="AU271" s="561">
        <v>0</v>
      </c>
      <c r="AV271" s="561">
        <v>0</v>
      </c>
      <c r="AW271" s="561">
        <v>0</v>
      </c>
      <c r="AX271" s="561">
        <v>507.33</v>
      </c>
      <c r="AY271" s="561">
        <v>27646.6</v>
      </c>
      <c r="AZ271" s="561">
        <v>245.06</v>
      </c>
      <c r="BA271" s="561">
        <v>10855.5</v>
      </c>
      <c r="BB271" s="561">
        <v>3850.59</v>
      </c>
      <c r="BC271" s="561">
        <v>17833</v>
      </c>
      <c r="BD271" s="561">
        <v>2867.78</v>
      </c>
      <c r="BE271" s="561">
        <v>3229.97</v>
      </c>
      <c r="BF271" s="561">
        <v>67035.83</v>
      </c>
      <c r="BG271" s="561">
        <v>7094.01</v>
      </c>
      <c r="BH271" s="561">
        <v>7503.6</v>
      </c>
      <c r="BI271" s="561">
        <v>22259.75</v>
      </c>
      <c r="BJ271" s="561">
        <v>440.28</v>
      </c>
      <c r="BK271" s="561">
        <v>1462.06</v>
      </c>
      <c r="BL271" s="561">
        <v>105.16</v>
      </c>
      <c r="BM271" s="561">
        <v>3039.84</v>
      </c>
      <c r="BN271" s="561">
        <v>26176.959999999999</v>
      </c>
      <c r="BO271" s="561">
        <v>4951.3599999999997</v>
      </c>
      <c r="BP271" s="561">
        <v>3281.63</v>
      </c>
      <c r="BQ271" s="561">
        <v>2205.7399999999998</v>
      </c>
      <c r="BR271" s="561">
        <v>77.040000000000006</v>
      </c>
      <c r="BS271" s="561">
        <v>0</v>
      </c>
      <c r="BT271" s="561">
        <v>995.21</v>
      </c>
      <c r="BU271" s="561">
        <v>731.67</v>
      </c>
      <c r="BV271" s="561">
        <v>619.79999999999995</v>
      </c>
      <c r="BW271" s="561">
        <v>6472.42</v>
      </c>
      <c r="BX271" s="561">
        <v>1899.12</v>
      </c>
      <c r="BY271" s="561">
        <v>206.31</v>
      </c>
      <c r="BZ271" s="561">
        <v>82427.95</v>
      </c>
      <c r="CA271" s="561">
        <v>2027.99</v>
      </c>
      <c r="CB271" s="561">
        <v>2036</v>
      </c>
      <c r="CC271" s="561">
        <v>188</v>
      </c>
      <c r="CD271" s="561">
        <v>54</v>
      </c>
      <c r="CE271" s="561">
        <v>218</v>
      </c>
      <c r="CF271" s="561">
        <v>134</v>
      </c>
      <c r="CG271" s="561">
        <v>59</v>
      </c>
      <c r="CH271" s="561">
        <v>164</v>
      </c>
      <c r="CI271" s="561">
        <v>219</v>
      </c>
      <c r="CJ271" s="561">
        <v>36</v>
      </c>
      <c r="CK271" s="561">
        <v>22</v>
      </c>
      <c r="CL271" s="561">
        <v>15</v>
      </c>
      <c r="CM271" s="561">
        <v>2700</v>
      </c>
      <c r="CN271" s="561">
        <v>674</v>
      </c>
      <c r="CO271" s="561">
        <v>927</v>
      </c>
      <c r="CP271" s="561">
        <v>589</v>
      </c>
      <c r="CQ271" s="561">
        <v>163</v>
      </c>
      <c r="CR271" s="561">
        <v>505</v>
      </c>
      <c r="CS271" s="561">
        <v>38</v>
      </c>
      <c r="CT271" s="561">
        <v>1161</v>
      </c>
      <c r="CU271" s="561">
        <v>3351</v>
      </c>
      <c r="CV271" s="561">
        <v>414</v>
      </c>
      <c r="CW271" s="561">
        <v>0</v>
      </c>
      <c r="CX271" s="561">
        <v>1</v>
      </c>
      <c r="CY271" s="561">
        <v>1583</v>
      </c>
      <c r="CZ271" s="561">
        <v>15251</v>
      </c>
      <c r="DA271" s="561">
        <v>186</v>
      </c>
      <c r="DB271" s="561">
        <v>240</v>
      </c>
      <c r="DC271" s="561">
        <v>0</v>
      </c>
      <c r="DD271" s="561">
        <v>43</v>
      </c>
      <c r="DE271" s="561">
        <v>0</v>
      </c>
      <c r="DF271" s="561">
        <v>0</v>
      </c>
      <c r="DG271" s="561">
        <v>0</v>
      </c>
      <c r="DH271" s="561">
        <v>1358.81</v>
      </c>
      <c r="DI271" s="561">
        <v>0</v>
      </c>
      <c r="DJ271" s="561">
        <v>12.14</v>
      </c>
      <c r="DK271" s="561">
        <v>46.53</v>
      </c>
      <c r="DL271" s="561">
        <v>58</v>
      </c>
      <c r="DM271" s="561">
        <v>863</v>
      </c>
      <c r="DN271" s="561">
        <v>43</v>
      </c>
      <c r="DO271" s="561">
        <v>1471</v>
      </c>
      <c r="DP271" s="561">
        <v>452</v>
      </c>
      <c r="DQ271" s="561">
        <v>186</v>
      </c>
      <c r="DR271" s="561">
        <v>0</v>
      </c>
      <c r="DS271" s="561">
        <v>3198</v>
      </c>
      <c r="DT271" s="561">
        <v>0</v>
      </c>
      <c r="DU271" s="561">
        <v>6271</v>
      </c>
      <c r="DV271" s="561">
        <v>370.71</v>
      </c>
      <c r="DW271" s="561">
        <v>0</v>
      </c>
      <c r="DX271" s="561">
        <v>0</v>
      </c>
      <c r="DY271" s="561">
        <v>-526.69000000000005</v>
      </c>
      <c r="DZ271" s="561">
        <v>82</v>
      </c>
      <c r="EA271" s="561">
        <v>831</v>
      </c>
      <c r="EB271" s="561">
        <v>3.24</v>
      </c>
      <c r="EC271" s="561">
        <v>8448.74</v>
      </c>
      <c r="ED271" s="561">
        <v>0</v>
      </c>
      <c r="EE271" s="561">
        <v>0</v>
      </c>
      <c r="EF271" s="561">
        <v>0</v>
      </c>
      <c r="EG271" s="561">
        <v>0</v>
      </c>
      <c r="EH271" s="561">
        <v>0</v>
      </c>
      <c r="EI271" s="561">
        <v>0</v>
      </c>
      <c r="EJ271" s="561">
        <v>0</v>
      </c>
      <c r="EK271" s="561">
        <v>0</v>
      </c>
      <c r="EL271" s="561">
        <v>0</v>
      </c>
      <c r="EM271" s="561">
        <v>0</v>
      </c>
      <c r="EN271" s="561">
        <v>0</v>
      </c>
      <c r="EO271" s="561">
        <v>0</v>
      </c>
      <c r="EP271" s="561">
        <v>0</v>
      </c>
      <c r="EQ271" s="561">
        <v>0</v>
      </c>
      <c r="ER271" s="561">
        <v>0</v>
      </c>
      <c r="ES271" s="561" t="s">
        <v>4565</v>
      </c>
      <c r="ET271" s="561">
        <v>0</v>
      </c>
      <c r="EU271" s="561">
        <v>0</v>
      </c>
      <c r="EV271" s="561">
        <v>0</v>
      </c>
      <c r="EW271" s="561">
        <v>0</v>
      </c>
      <c r="EX271" s="561">
        <v>0</v>
      </c>
      <c r="EY271" s="561">
        <v>0</v>
      </c>
      <c r="EZ271" s="561">
        <v>0</v>
      </c>
      <c r="FA271" s="561">
        <v>0</v>
      </c>
      <c r="FB271" s="561">
        <v>0</v>
      </c>
      <c r="FC271" s="561">
        <v>0</v>
      </c>
      <c r="FD271" s="561">
        <v>74</v>
      </c>
      <c r="FE271" s="561">
        <v>934</v>
      </c>
      <c r="FF271" s="561">
        <v>284</v>
      </c>
      <c r="FG271" s="561">
        <v>352</v>
      </c>
      <c r="FH271" s="561">
        <v>0</v>
      </c>
      <c r="FI271" s="561">
        <v>40</v>
      </c>
      <c r="FJ271" s="561">
        <v>652</v>
      </c>
      <c r="FK271" s="561">
        <v>2279</v>
      </c>
      <c r="FL271" s="561">
        <v>0</v>
      </c>
      <c r="FM271" s="561">
        <v>0</v>
      </c>
      <c r="FN271" s="561">
        <v>1827</v>
      </c>
      <c r="FO271" s="561">
        <v>6442</v>
      </c>
      <c r="FP271" s="561">
        <v>0</v>
      </c>
      <c r="FQ271" s="561">
        <v>-1866.85</v>
      </c>
      <c r="FR271" s="561">
        <v>680</v>
      </c>
      <c r="FS271" s="561">
        <v>0</v>
      </c>
      <c r="FT271" s="561">
        <v>478</v>
      </c>
      <c r="FU271" s="561">
        <v>417</v>
      </c>
      <c r="FV271" s="561">
        <v>225</v>
      </c>
      <c r="FW271" s="561">
        <v>329</v>
      </c>
      <c r="FX271" s="561">
        <v>0</v>
      </c>
      <c r="FY271" s="561">
        <v>0</v>
      </c>
      <c r="FZ271" s="561">
        <v>0</v>
      </c>
      <c r="GA271" s="561">
        <v>0</v>
      </c>
      <c r="GB271" s="561">
        <v>92</v>
      </c>
      <c r="GC271" s="561">
        <v>133</v>
      </c>
      <c r="GD271" s="561">
        <v>0</v>
      </c>
      <c r="GE271" s="561">
        <v>1319.67</v>
      </c>
      <c r="GF271" s="561">
        <v>406</v>
      </c>
      <c r="GG271" s="561">
        <v>499</v>
      </c>
      <c r="GH271" s="561">
        <v>0</v>
      </c>
      <c r="GI271" s="561">
        <v>675.24</v>
      </c>
      <c r="GJ271" s="561">
        <v>0</v>
      </c>
      <c r="GK271" s="561">
        <v>-238</v>
      </c>
      <c r="GL271" s="561">
        <v>2100</v>
      </c>
      <c r="GM271" s="561">
        <v>5112</v>
      </c>
      <c r="GN271" s="561">
        <v>2421</v>
      </c>
      <c r="GO271" s="561">
        <v>0</v>
      </c>
      <c r="GP271" s="561">
        <v>1452</v>
      </c>
      <c r="GQ271" s="561">
        <v>0</v>
      </c>
      <c r="GR271" s="561">
        <v>0</v>
      </c>
      <c r="GS271" s="561">
        <v>14234.06</v>
      </c>
      <c r="GT271" s="561">
        <v>0</v>
      </c>
      <c r="GU271" s="561">
        <v>1722</v>
      </c>
      <c r="GV271" s="561">
        <v>-86</v>
      </c>
      <c r="GW271" s="561">
        <v>0</v>
      </c>
      <c r="GX271" s="561">
        <v>1509</v>
      </c>
      <c r="GY271" s="561">
        <v>418</v>
      </c>
      <c r="GZ271" s="561">
        <v>2442</v>
      </c>
      <c r="HA271" s="561">
        <v>0</v>
      </c>
      <c r="HB271" s="561">
        <v>0</v>
      </c>
      <c r="HC271" s="561">
        <v>2962.36</v>
      </c>
      <c r="HD271" s="561">
        <v>8967.36</v>
      </c>
      <c r="HE271" s="561">
        <v>0</v>
      </c>
      <c r="HF271" s="561">
        <v>29643.42</v>
      </c>
      <c r="HG271" s="561">
        <v>0</v>
      </c>
      <c r="HH271" s="561">
        <v>0</v>
      </c>
      <c r="HI271" s="561">
        <v>0</v>
      </c>
      <c r="HJ271" s="561">
        <v>0</v>
      </c>
      <c r="HK271" s="561">
        <v>0</v>
      </c>
      <c r="HL271" s="561">
        <v>0</v>
      </c>
      <c r="HM271" s="561">
        <v>0</v>
      </c>
      <c r="HN271" s="561">
        <v>0</v>
      </c>
      <c r="HO271" s="561">
        <v>4188.95</v>
      </c>
      <c r="HP271" s="561">
        <v>1201.3399999999999</v>
      </c>
      <c r="HQ271" s="561">
        <v>0</v>
      </c>
      <c r="HR271" s="561">
        <v>0</v>
      </c>
      <c r="HS271" s="561">
        <v>694.99</v>
      </c>
      <c r="HT271" s="561">
        <v>192.14</v>
      </c>
      <c r="HU271" s="561">
        <v>0</v>
      </c>
      <c r="HV271" s="561">
        <v>458.39</v>
      </c>
      <c r="HW271" s="561">
        <v>407</v>
      </c>
      <c r="HX271" s="561">
        <v>1021</v>
      </c>
      <c r="HY271" s="561">
        <v>129</v>
      </c>
      <c r="HZ271" s="561">
        <v>-21</v>
      </c>
      <c r="IA271" s="561">
        <v>0</v>
      </c>
      <c r="IB271" s="561">
        <v>0</v>
      </c>
      <c r="IC271" s="561">
        <v>1114</v>
      </c>
      <c r="ID271" s="561">
        <v>0</v>
      </c>
      <c r="IE271" s="561">
        <v>3589.99</v>
      </c>
      <c r="IF271" s="561">
        <v>0</v>
      </c>
      <c r="IG271" s="561">
        <v>0</v>
      </c>
      <c r="IH271" s="561">
        <v>716.7</v>
      </c>
      <c r="II271" s="561">
        <v>13692.5</v>
      </c>
      <c r="IJ271" s="561">
        <v>0</v>
      </c>
      <c r="IK271" s="561">
        <v>883</v>
      </c>
      <c r="IL271" s="561">
        <v>26209</v>
      </c>
      <c r="IM271" s="561">
        <v>0</v>
      </c>
      <c r="IN271" s="561">
        <v>0</v>
      </c>
      <c r="IO271" s="561">
        <v>2502</v>
      </c>
      <c r="IP271" s="561">
        <v>1940</v>
      </c>
      <c r="IQ271" s="561">
        <v>0</v>
      </c>
      <c r="IR271" s="561">
        <v>150679.81</v>
      </c>
      <c r="IS271" s="561">
        <v>3453</v>
      </c>
      <c r="IT271" s="561">
        <v>67035.83</v>
      </c>
      <c r="IU271" s="561">
        <v>82427.95</v>
      </c>
      <c r="IV271" s="561">
        <v>15251</v>
      </c>
      <c r="IW271" s="561">
        <v>8448.74</v>
      </c>
      <c r="IX271" s="561">
        <v>6442</v>
      </c>
      <c r="IY271" s="561">
        <v>14234.06</v>
      </c>
      <c r="IZ271" s="561">
        <v>8967.36</v>
      </c>
      <c r="JA271" s="561">
        <v>0</v>
      </c>
      <c r="JB271" s="561">
        <v>0</v>
      </c>
      <c r="JC271" s="561">
        <v>13692.5</v>
      </c>
      <c r="JD271" s="561">
        <v>1940</v>
      </c>
      <c r="JE271" s="561">
        <v>372572.25</v>
      </c>
      <c r="JF271" s="561">
        <v>42861</v>
      </c>
      <c r="JG271" s="561">
        <v>0</v>
      </c>
      <c r="JH271" s="561">
        <v>0</v>
      </c>
      <c r="JI271" s="561">
        <v>0</v>
      </c>
      <c r="JJ271" s="561">
        <v>0</v>
      </c>
      <c r="JK271" s="561">
        <v>785</v>
      </c>
      <c r="JL271" s="561">
        <v>3688.03</v>
      </c>
      <c r="JM271" s="561">
        <v>0</v>
      </c>
      <c r="JN271" s="561">
        <v>0</v>
      </c>
      <c r="JO271" s="561">
        <v>0</v>
      </c>
      <c r="JP271" s="561">
        <v>-1933</v>
      </c>
      <c r="JQ271" s="561">
        <v>858.54</v>
      </c>
      <c r="JR271" s="561">
        <v>0</v>
      </c>
      <c r="JS271" s="561">
        <v>0</v>
      </c>
      <c r="JT271" s="561">
        <v>0</v>
      </c>
      <c r="JU271" s="561">
        <v>0</v>
      </c>
      <c r="JV271" s="561">
        <v>418831.82</v>
      </c>
      <c r="JW271" s="561">
        <v>180.44</v>
      </c>
      <c r="JX271" s="561">
        <v>0</v>
      </c>
      <c r="JY271" s="561">
        <v>0</v>
      </c>
      <c r="JZ271" s="561">
        <v>0</v>
      </c>
      <c r="KA271" s="561">
        <v>0</v>
      </c>
      <c r="KB271" s="561">
        <v>472</v>
      </c>
      <c r="KC271" s="561">
        <v>18907</v>
      </c>
      <c r="KD271" s="561">
        <v>0</v>
      </c>
      <c r="KE271" s="561">
        <v>19699</v>
      </c>
      <c r="KF271" s="561">
        <v>0</v>
      </c>
      <c r="KG271" s="561">
        <v>458090.26</v>
      </c>
      <c r="KH271" s="561">
        <v>-1806.82</v>
      </c>
      <c r="KI271" s="561">
        <v>-1271</v>
      </c>
      <c r="KJ271" s="561">
        <v>0</v>
      </c>
      <c r="KK271" s="561">
        <v>0</v>
      </c>
      <c r="KL271" s="561">
        <v>-43036</v>
      </c>
      <c r="KM271" s="561">
        <v>0</v>
      </c>
      <c r="KN271" s="561">
        <v>-37</v>
      </c>
      <c r="KO271" s="561">
        <v>0</v>
      </c>
      <c r="KP271" s="561">
        <v>0</v>
      </c>
      <c r="KQ271" s="561">
        <v>-3554</v>
      </c>
      <c r="KR271" s="561">
        <v>408385.44</v>
      </c>
      <c r="KS271" s="561">
        <v>0</v>
      </c>
      <c r="KT271" s="561">
        <v>-200538.63</v>
      </c>
      <c r="KU271" s="561">
        <v>207846.81</v>
      </c>
      <c r="KV271" s="561">
        <v>0</v>
      </c>
      <c r="KW271" s="561">
        <v>887</v>
      </c>
      <c r="KX271" s="561">
        <v>-2163</v>
      </c>
      <c r="KY271" s="561">
        <v>-165</v>
      </c>
      <c r="KZ271" s="561">
        <v>-12953</v>
      </c>
      <c r="LA271" s="561">
        <v>-4977</v>
      </c>
      <c r="LB271" s="561">
        <v>-12920</v>
      </c>
      <c r="LC271" s="561">
        <v>0</v>
      </c>
      <c r="LD271" s="561">
        <v>-73275</v>
      </c>
      <c r="LE271" s="561">
        <v>1984.92</v>
      </c>
      <c r="LF271" s="561">
        <v>0</v>
      </c>
      <c r="LG271" s="561">
        <v>104266</v>
      </c>
      <c r="LH271" s="561">
        <v>4072</v>
      </c>
      <c r="LI271" s="561">
        <v>0</v>
      </c>
      <c r="LJ271" s="561">
        <v>2163</v>
      </c>
      <c r="LK271" s="561">
        <v>1591</v>
      </c>
      <c r="LL271" s="561">
        <v>31078</v>
      </c>
      <c r="LM271" s="561">
        <v>10342</v>
      </c>
      <c r="LN271" s="561">
        <v>4959</v>
      </c>
      <c r="LO271" s="561">
        <v>-3554</v>
      </c>
      <c r="LP271" s="561">
        <v>0</v>
      </c>
      <c r="LQ271" s="561">
        <v>1426</v>
      </c>
      <c r="LR271" s="561">
        <v>18125</v>
      </c>
      <c r="LS271" s="561">
        <v>5365</v>
      </c>
      <c r="LT271" s="561">
        <v>0</v>
      </c>
      <c r="LU271" s="561">
        <v>29273</v>
      </c>
      <c r="LV271" s="561">
        <v>-3705</v>
      </c>
      <c r="LW271" s="561">
        <v>21008</v>
      </c>
      <c r="LX271" s="561">
        <v>-6479</v>
      </c>
      <c r="LY271" s="561">
        <v>9409</v>
      </c>
      <c r="LZ271" s="561">
        <v>52462</v>
      </c>
      <c r="MA271" s="561">
        <v>0</v>
      </c>
      <c r="MB271" s="561">
        <v>0</v>
      </c>
      <c r="MC271" s="561">
        <v>0</v>
      </c>
      <c r="MD271" s="561">
        <v>0</v>
      </c>
      <c r="ME271" s="561">
        <v>0</v>
      </c>
      <c r="MF271" s="561">
        <v>0</v>
      </c>
      <c r="MG271" s="561">
        <v>0</v>
      </c>
      <c r="MH271" s="561">
        <v>4547</v>
      </c>
      <c r="MI271" s="561">
        <v>7168</v>
      </c>
      <c r="MJ271" s="561">
        <v>11715</v>
      </c>
      <c r="MK271" s="561">
        <v>0</v>
      </c>
      <c r="ML271" s="561">
        <v>0</v>
      </c>
      <c r="MM271" s="561">
        <v>14369</v>
      </c>
      <c r="MN271" s="561">
        <v>3756</v>
      </c>
      <c r="MO271" s="561">
        <v>0</v>
      </c>
      <c r="MP271" s="561">
        <v>0</v>
      </c>
      <c r="MQ271" s="561">
        <v>150679.81</v>
      </c>
      <c r="MR271" s="561">
        <v>3453</v>
      </c>
      <c r="MS271" s="561">
        <v>67035.83</v>
      </c>
      <c r="MT271" s="561">
        <v>82427.95</v>
      </c>
      <c r="MU271" s="561">
        <v>15251</v>
      </c>
      <c r="MV271" s="561">
        <v>8448.74</v>
      </c>
      <c r="MW271" s="561">
        <v>6442</v>
      </c>
      <c r="MX271" s="561">
        <v>14234.06</v>
      </c>
      <c r="MY271" s="561">
        <v>8967.36</v>
      </c>
      <c r="MZ271" s="561">
        <v>0</v>
      </c>
      <c r="NA271" s="561">
        <v>0</v>
      </c>
      <c r="NB271" s="561">
        <v>13692.5</v>
      </c>
      <c r="NC271" s="561">
        <v>1940</v>
      </c>
      <c r="ND271" s="561">
        <v>372572.25</v>
      </c>
      <c r="NE271" s="561">
        <v>0</v>
      </c>
      <c r="NF271" s="561">
        <v>0</v>
      </c>
      <c r="NG271" s="561">
        <v>0</v>
      </c>
      <c r="NH271" s="561">
        <v>0</v>
      </c>
      <c r="NI271" s="561">
        <v>0</v>
      </c>
      <c r="NJ271" s="561">
        <v>0</v>
      </c>
      <c r="NK271" s="561">
        <v>0</v>
      </c>
      <c r="NL271" s="561">
        <v>0</v>
      </c>
      <c r="NM271" s="561">
        <v>0</v>
      </c>
      <c r="NN271" s="561">
        <v>0</v>
      </c>
      <c r="NO271" s="561">
        <v>0</v>
      </c>
      <c r="NP271" s="561">
        <v>0</v>
      </c>
      <c r="NQ271" s="561">
        <v>0</v>
      </c>
      <c r="NR271" s="561">
        <v>0</v>
      </c>
      <c r="NS271" s="561">
        <v>0</v>
      </c>
      <c r="NT271" s="561">
        <v>-307</v>
      </c>
      <c r="NU271" s="561">
        <v>0</v>
      </c>
      <c r="NV271" s="561">
        <v>0</v>
      </c>
      <c r="NW271" s="561">
        <v>-1933</v>
      </c>
      <c r="NX271" s="561">
        <v>0</v>
      </c>
      <c r="NY271" s="561">
        <v>-1933</v>
      </c>
      <c r="NZ271" s="561">
        <v>0</v>
      </c>
      <c r="OA271" s="561">
        <v>0</v>
      </c>
      <c r="OB271" s="561">
        <v>0</v>
      </c>
      <c r="OC271" s="561">
        <v>0</v>
      </c>
      <c r="OD271" s="561">
        <v>0</v>
      </c>
      <c r="OE271" s="561">
        <v>0</v>
      </c>
      <c r="OF271" s="561">
        <v>0</v>
      </c>
      <c r="OG271" s="561">
        <v>0</v>
      </c>
      <c r="OH271" s="561">
        <v>0</v>
      </c>
      <c r="OI271" s="561">
        <v>0</v>
      </c>
      <c r="OJ271" s="561">
        <v>0</v>
      </c>
      <c r="OK271" s="561">
        <v>0</v>
      </c>
      <c r="OL271" s="561">
        <v>0</v>
      </c>
      <c r="OM271" s="561">
        <v>0</v>
      </c>
      <c r="ON271" s="561">
        <v>159</v>
      </c>
      <c r="OO271" s="561">
        <v>0</v>
      </c>
      <c r="OP271" s="561">
        <v>0</v>
      </c>
      <c r="OQ271" s="561">
        <v>0</v>
      </c>
      <c r="OR271" s="561">
        <v>0</v>
      </c>
      <c r="OS271" s="561">
        <v>0</v>
      </c>
      <c r="OT271" s="561">
        <v>0</v>
      </c>
      <c r="OU271" s="561">
        <v>0</v>
      </c>
      <c r="OV271" s="561">
        <v>0</v>
      </c>
      <c r="OW271" s="561">
        <v>0</v>
      </c>
      <c r="OX271" s="561">
        <v>858.54</v>
      </c>
      <c r="OY271" s="561">
        <v>0</v>
      </c>
      <c r="OZ271" s="561">
        <v>0</v>
      </c>
      <c r="PA271" s="561">
        <v>0</v>
      </c>
      <c r="PB271" s="561">
        <v>0</v>
      </c>
      <c r="PC271" s="561">
        <v>0</v>
      </c>
      <c r="PD271" s="561">
        <v>0</v>
      </c>
      <c r="PE271" s="561">
        <v>0</v>
      </c>
      <c r="PF271" s="561">
        <v>0</v>
      </c>
      <c r="PG271" s="561">
        <v>0</v>
      </c>
      <c r="PH271" s="561">
        <v>0</v>
      </c>
      <c r="PI271" s="561">
        <v>0</v>
      </c>
      <c r="PJ271" s="561">
        <v>0</v>
      </c>
    </row>
    <row r="272" spans="1:426" ht="14" x14ac:dyDescent="0.3">
      <c r="A272" t="s">
        <v>3259</v>
      </c>
      <c r="B272" t="s">
        <v>3260</v>
      </c>
      <c r="C272" t="s">
        <v>4648</v>
      </c>
      <c r="E272" t="s">
        <v>385</v>
      </c>
      <c r="F272" s="561">
        <v>27492</v>
      </c>
      <c r="G272" s="561">
        <v>30170</v>
      </c>
      <c r="H272" s="561">
        <v>11046</v>
      </c>
      <c r="I272" s="561">
        <v>40618</v>
      </c>
      <c r="J272" s="561">
        <v>7151</v>
      </c>
      <c r="K272" s="561">
        <v>25365</v>
      </c>
      <c r="L272" s="561">
        <v>141842</v>
      </c>
      <c r="M272" s="561">
        <v>1384</v>
      </c>
      <c r="N272" s="561">
        <v>-192</v>
      </c>
      <c r="O272" s="561">
        <v>3816</v>
      </c>
      <c r="P272" s="561">
        <v>2931</v>
      </c>
      <c r="Q272" s="561">
        <v>70</v>
      </c>
      <c r="R272" s="561">
        <v>0</v>
      </c>
      <c r="S272" s="561">
        <v>2630</v>
      </c>
      <c r="T272" s="561">
        <v>0</v>
      </c>
      <c r="U272" s="561">
        <v>368</v>
      </c>
      <c r="V272" s="561">
        <v>2307</v>
      </c>
      <c r="W272" s="561">
        <v>0</v>
      </c>
      <c r="X272" s="561">
        <v>0</v>
      </c>
      <c r="Y272" s="561">
        <v>54</v>
      </c>
      <c r="Z272" s="561">
        <v>389</v>
      </c>
      <c r="AA272" s="561">
        <v>-1302</v>
      </c>
      <c r="AB272" s="561">
        <v>-2668</v>
      </c>
      <c r="AC272" s="561">
        <v>4172</v>
      </c>
      <c r="AD272" s="561">
        <v>0</v>
      </c>
      <c r="AE272" s="561">
        <v>656</v>
      </c>
      <c r="AF272" s="561">
        <v>0</v>
      </c>
      <c r="AG272" s="561">
        <v>0</v>
      </c>
      <c r="AH272" s="561">
        <v>68</v>
      </c>
      <c r="AI272" s="561">
        <v>-440</v>
      </c>
      <c r="AJ272" s="561">
        <v>12859</v>
      </c>
      <c r="AK272" s="561">
        <v>291</v>
      </c>
      <c r="AL272" s="561">
        <v>0</v>
      </c>
      <c r="AM272" s="561">
        <v>0</v>
      </c>
      <c r="AN272" s="561">
        <v>0</v>
      </c>
      <c r="AO272" s="561">
        <v>0</v>
      </c>
      <c r="AP272" s="561">
        <v>0</v>
      </c>
      <c r="AQ272" s="561">
        <v>0</v>
      </c>
      <c r="AR272" s="561">
        <v>0</v>
      </c>
      <c r="AS272" s="561">
        <v>1833</v>
      </c>
      <c r="AT272" s="561">
        <v>4428</v>
      </c>
      <c r="AU272" s="561">
        <v>0</v>
      </c>
      <c r="AV272" s="561">
        <v>0</v>
      </c>
      <c r="AW272" s="561">
        <v>0</v>
      </c>
      <c r="AX272" s="561">
        <v>2670</v>
      </c>
      <c r="AY272" s="561">
        <v>57400</v>
      </c>
      <c r="AZ272" s="561">
        <v>0</v>
      </c>
      <c r="BA272" s="561">
        <v>10068</v>
      </c>
      <c r="BB272" s="561">
        <v>1288</v>
      </c>
      <c r="BC272" s="561">
        <v>20178</v>
      </c>
      <c r="BD272" s="561">
        <v>0</v>
      </c>
      <c r="BE272" s="561">
        <v>1100</v>
      </c>
      <c r="BF272" s="561">
        <v>92704</v>
      </c>
      <c r="BG272" s="561">
        <v>4679</v>
      </c>
      <c r="BH272" s="561">
        <v>12236</v>
      </c>
      <c r="BI272" s="561">
        <v>26844</v>
      </c>
      <c r="BJ272" s="561">
        <v>800</v>
      </c>
      <c r="BK272" s="561">
        <v>610</v>
      </c>
      <c r="BL272" s="561">
        <v>401</v>
      </c>
      <c r="BM272" s="561">
        <v>3432</v>
      </c>
      <c r="BN272" s="561">
        <v>37079</v>
      </c>
      <c r="BO272" s="561">
        <v>6678</v>
      </c>
      <c r="BP272" s="561">
        <v>5848</v>
      </c>
      <c r="BQ272" s="561">
        <v>4470</v>
      </c>
      <c r="BR272" s="561">
        <v>820</v>
      </c>
      <c r="BS272" s="561">
        <v>145</v>
      </c>
      <c r="BT272" s="561">
        <v>1121</v>
      </c>
      <c r="BU272" s="561">
        <v>6</v>
      </c>
      <c r="BV272" s="561">
        <v>1036</v>
      </c>
      <c r="BW272" s="561">
        <v>5457</v>
      </c>
      <c r="BX272" s="561">
        <v>4492</v>
      </c>
      <c r="BY272" s="561">
        <v>9873</v>
      </c>
      <c r="BZ272" s="561">
        <v>121348</v>
      </c>
      <c r="CA272" s="561">
        <v>296</v>
      </c>
      <c r="CB272" s="561">
        <v>2615</v>
      </c>
      <c r="CC272" s="561">
        <v>232</v>
      </c>
      <c r="CD272" s="561">
        <v>279</v>
      </c>
      <c r="CE272" s="561">
        <v>265</v>
      </c>
      <c r="CF272" s="561">
        <v>122</v>
      </c>
      <c r="CG272" s="561">
        <v>178</v>
      </c>
      <c r="CH272" s="561">
        <v>906</v>
      </c>
      <c r="CI272" s="561">
        <v>242</v>
      </c>
      <c r="CJ272" s="561">
        <v>196</v>
      </c>
      <c r="CK272" s="561">
        <v>260</v>
      </c>
      <c r="CL272" s="561">
        <v>276</v>
      </c>
      <c r="CM272" s="561">
        <v>6639</v>
      </c>
      <c r="CN272" s="561">
        <v>1326</v>
      </c>
      <c r="CO272" s="561">
        <v>127</v>
      </c>
      <c r="CP272" s="561">
        <v>22</v>
      </c>
      <c r="CQ272" s="561">
        <v>264</v>
      </c>
      <c r="CR272" s="561">
        <v>848</v>
      </c>
      <c r="CS272" s="561">
        <v>183</v>
      </c>
      <c r="CT272" s="561">
        <v>706</v>
      </c>
      <c r="CU272" s="561">
        <v>3344</v>
      </c>
      <c r="CV272" s="561">
        <v>1468</v>
      </c>
      <c r="CW272" s="561">
        <v>467</v>
      </c>
      <c r="CX272" s="561">
        <v>302</v>
      </c>
      <c r="CY272" s="561">
        <v>696</v>
      </c>
      <c r="CZ272" s="561">
        <v>21963</v>
      </c>
      <c r="DA272" s="561">
        <v>93</v>
      </c>
      <c r="DB272" s="561">
        <v>0</v>
      </c>
      <c r="DC272" s="561">
        <v>0</v>
      </c>
      <c r="DD272" s="561">
        <v>0</v>
      </c>
      <c r="DE272" s="561">
        <v>0</v>
      </c>
      <c r="DF272" s="561">
        <v>0</v>
      </c>
      <c r="DG272" s="561">
        <v>0</v>
      </c>
      <c r="DH272" s="561">
        <v>1701</v>
      </c>
      <c r="DI272" s="561">
        <v>0</v>
      </c>
      <c r="DJ272" s="561">
        <v>0</v>
      </c>
      <c r="DK272" s="561">
        <v>-132</v>
      </c>
      <c r="DL272" s="561">
        <v>5394</v>
      </c>
      <c r="DM272" s="561">
        <v>0</v>
      </c>
      <c r="DN272" s="561">
        <v>-101</v>
      </c>
      <c r="DO272" s="561">
        <v>0</v>
      </c>
      <c r="DP272" s="561">
        <v>0</v>
      </c>
      <c r="DQ272" s="561">
        <v>0</v>
      </c>
      <c r="DR272" s="561">
        <v>0</v>
      </c>
      <c r="DS272" s="561">
        <v>202</v>
      </c>
      <c r="DT272" s="561">
        <v>3854</v>
      </c>
      <c r="DU272" s="561">
        <v>9349</v>
      </c>
      <c r="DV272" s="561">
        <v>369</v>
      </c>
      <c r="DW272" s="561">
        <v>0</v>
      </c>
      <c r="DX272" s="561">
        <v>0</v>
      </c>
      <c r="DY272" s="561">
        <v>1783</v>
      </c>
      <c r="DZ272" s="561">
        <v>86</v>
      </c>
      <c r="EA272" s="561">
        <v>5</v>
      </c>
      <c r="EB272" s="561">
        <v>0</v>
      </c>
      <c r="EC272" s="561">
        <v>13161</v>
      </c>
      <c r="ED272" s="561">
        <v>60</v>
      </c>
      <c r="EE272" s="561">
        <v>0</v>
      </c>
      <c r="EF272" s="561">
        <v>0</v>
      </c>
      <c r="EG272" s="561">
        <v>0</v>
      </c>
      <c r="EH272" s="561">
        <v>0</v>
      </c>
      <c r="EI272" s="561">
        <v>0</v>
      </c>
      <c r="EJ272" s="561">
        <v>0</v>
      </c>
      <c r="EK272" s="561">
        <v>0</v>
      </c>
      <c r="EL272" s="561">
        <v>0</v>
      </c>
      <c r="EM272" s="561">
        <v>0</v>
      </c>
      <c r="EN272" s="561">
        <v>0</v>
      </c>
      <c r="EO272" s="561">
        <v>0</v>
      </c>
      <c r="EP272" s="561">
        <v>0</v>
      </c>
      <c r="EQ272" s="561">
        <v>0</v>
      </c>
      <c r="ER272" s="561">
        <v>0</v>
      </c>
      <c r="ES272" s="561" t="s">
        <v>4565</v>
      </c>
      <c r="ET272" s="561">
        <v>0</v>
      </c>
      <c r="EU272" s="561">
        <v>0</v>
      </c>
      <c r="EV272" s="561">
        <v>0</v>
      </c>
      <c r="EW272" s="561">
        <v>0</v>
      </c>
      <c r="EX272" s="561">
        <v>0</v>
      </c>
      <c r="EY272" s="561">
        <v>0</v>
      </c>
      <c r="EZ272" s="561">
        <v>0</v>
      </c>
      <c r="FA272" s="561">
        <v>0</v>
      </c>
      <c r="FB272" s="561">
        <v>0</v>
      </c>
      <c r="FC272" s="561">
        <v>0</v>
      </c>
      <c r="FD272" s="561">
        <v>50</v>
      </c>
      <c r="FE272" s="561">
        <v>4579</v>
      </c>
      <c r="FF272" s="561">
        <v>1477</v>
      </c>
      <c r="FG272" s="561">
        <v>133</v>
      </c>
      <c r="FH272" s="561">
        <v>0</v>
      </c>
      <c r="FI272" s="561">
        <v>1251</v>
      </c>
      <c r="FJ272" s="561">
        <v>1288</v>
      </c>
      <c r="FK272" s="561">
        <v>4520</v>
      </c>
      <c r="FL272" s="561">
        <v>30</v>
      </c>
      <c r="FM272" s="561">
        <v>2</v>
      </c>
      <c r="FN272" s="561">
        <v>4024</v>
      </c>
      <c r="FO272" s="561">
        <v>17354</v>
      </c>
      <c r="FP272" s="561">
        <v>859</v>
      </c>
      <c r="FQ272" s="561">
        <v>-1567</v>
      </c>
      <c r="FR272" s="561">
        <v>501</v>
      </c>
      <c r="FS272" s="561">
        <v>0</v>
      </c>
      <c r="FT272" s="561">
        <v>792</v>
      </c>
      <c r="FU272" s="561">
        <v>752</v>
      </c>
      <c r="FV272" s="561">
        <v>0</v>
      </c>
      <c r="FW272" s="561">
        <v>0</v>
      </c>
      <c r="FX272" s="561">
        <v>-7</v>
      </c>
      <c r="FY272" s="561">
        <v>0</v>
      </c>
      <c r="FZ272" s="561">
        <v>-37</v>
      </c>
      <c r="GA272" s="561">
        <v>0</v>
      </c>
      <c r="GB272" s="561">
        <v>-10</v>
      </c>
      <c r="GC272" s="561">
        <v>245</v>
      </c>
      <c r="GD272" s="561">
        <v>28</v>
      </c>
      <c r="GE272" s="561">
        <v>677</v>
      </c>
      <c r="GF272" s="561">
        <v>0</v>
      </c>
      <c r="GG272" s="561">
        <v>14</v>
      </c>
      <c r="GH272" s="561">
        <v>0</v>
      </c>
      <c r="GI272" s="561">
        <v>0</v>
      </c>
      <c r="GJ272" s="561">
        <v>14</v>
      </c>
      <c r="GK272" s="561">
        <v>37</v>
      </c>
      <c r="GL272" s="561">
        <v>5251</v>
      </c>
      <c r="GM272" s="561">
        <v>13646</v>
      </c>
      <c r="GN272" s="561">
        <v>2830</v>
      </c>
      <c r="GO272" s="561">
        <v>-70</v>
      </c>
      <c r="GP272" s="561">
        <v>1588</v>
      </c>
      <c r="GQ272" s="561">
        <v>0</v>
      </c>
      <c r="GR272" s="561">
        <v>590</v>
      </c>
      <c r="GS272" s="561">
        <v>25274</v>
      </c>
      <c r="GT272" s="561">
        <v>947</v>
      </c>
      <c r="GU272" s="561">
        <v>465</v>
      </c>
      <c r="GV272" s="561">
        <v>2485</v>
      </c>
      <c r="GW272" s="561">
        <v>360</v>
      </c>
      <c r="GX272" s="561">
        <v>880</v>
      </c>
      <c r="GY272" s="561">
        <v>2355</v>
      </c>
      <c r="GZ272" s="561">
        <v>1714</v>
      </c>
      <c r="HA272" s="561">
        <v>26</v>
      </c>
      <c r="HB272" s="561">
        <v>-11316</v>
      </c>
      <c r="HC272" s="561">
        <v>2804</v>
      </c>
      <c r="HD272" s="561">
        <v>-227</v>
      </c>
      <c r="HE272" s="561">
        <v>212</v>
      </c>
      <c r="HF272" s="561">
        <v>42401</v>
      </c>
      <c r="HG272" s="561">
        <v>2018</v>
      </c>
      <c r="HH272" s="561">
        <v>0</v>
      </c>
      <c r="HI272" s="561">
        <v>0</v>
      </c>
      <c r="HJ272" s="561">
        <v>0</v>
      </c>
      <c r="HK272" s="561">
        <v>0</v>
      </c>
      <c r="HL272" s="561">
        <v>0</v>
      </c>
      <c r="HM272" s="561">
        <v>0</v>
      </c>
      <c r="HN272" s="561">
        <v>0</v>
      </c>
      <c r="HO272" s="561">
        <v>12142</v>
      </c>
      <c r="HP272" s="561">
        <v>312</v>
      </c>
      <c r="HQ272" s="561">
        <v>0</v>
      </c>
      <c r="HR272" s="561">
        <v>0</v>
      </c>
      <c r="HS272" s="561">
        <v>425</v>
      </c>
      <c r="HT272" s="561">
        <v>364</v>
      </c>
      <c r="HU272" s="561">
        <v>0</v>
      </c>
      <c r="HV272" s="561">
        <v>279</v>
      </c>
      <c r="HW272" s="561">
        <v>714</v>
      </c>
      <c r="HX272" s="561">
        <v>453</v>
      </c>
      <c r="HY272" s="561">
        <v>754</v>
      </c>
      <c r="HZ272" s="561">
        <v>13</v>
      </c>
      <c r="IA272" s="561">
        <v>0</v>
      </c>
      <c r="IB272" s="561">
        <v>0</v>
      </c>
      <c r="IC272" s="561">
        <v>858</v>
      </c>
      <c r="ID272" s="561">
        <v>0</v>
      </c>
      <c r="IE272" s="561">
        <v>0</v>
      </c>
      <c r="IF272" s="561">
        <v>0</v>
      </c>
      <c r="IG272" s="561">
        <v>0</v>
      </c>
      <c r="IH272" s="561">
        <v>-470</v>
      </c>
      <c r="II272" s="561">
        <v>15844</v>
      </c>
      <c r="IJ272" s="561">
        <v>877</v>
      </c>
      <c r="IK272" s="561">
        <v>5165</v>
      </c>
      <c r="IL272" s="561">
        <v>37215</v>
      </c>
      <c r="IM272" s="561">
        <v>0</v>
      </c>
      <c r="IN272" s="561">
        <v>399</v>
      </c>
      <c r="IO272" s="561">
        <v>4081</v>
      </c>
      <c r="IP272" s="561">
        <v>0</v>
      </c>
      <c r="IQ272" s="561">
        <v>0</v>
      </c>
      <c r="IR272" s="561">
        <v>141842</v>
      </c>
      <c r="IS272" s="561">
        <v>12859</v>
      </c>
      <c r="IT272" s="561">
        <v>92704</v>
      </c>
      <c r="IU272" s="561">
        <v>121348</v>
      </c>
      <c r="IV272" s="561">
        <v>21963</v>
      </c>
      <c r="IW272" s="561">
        <v>13161</v>
      </c>
      <c r="IX272" s="561">
        <v>17354</v>
      </c>
      <c r="IY272" s="561">
        <v>25274</v>
      </c>
      <c r="IZ272" s="561">
        <v>-227</v>
      </c>
      <c r="JA272" s="561">
        <v>0</v>
      </c>
      <c r="JB272" s="561">
        <v>0</v>
      </c>
      <c r="JC272" s="561">
        <v>15844</v>
      </c>
      <c r="JD272" s="561">
        <v>0</v>
      </c>
      <c r="JE272" s="561">
        <v>462122</v>
      </c>
      <c r="JF272" s="561">
        <v>57304</v>
      </c>
      <c r="JG272" s="561">
        <v>1191</v>
      </c>
      <c r="JH272" s="561">
        <v>-42</v>
      </c>
      <c r="JI272" s="561">
        <v>0</v>
      </c>
      <c r="JJ272" s="561">
        <v>0</v>
      </c>
      <c r="JK272" s="561">
        <v>0</v>
      </c>
      <c r="JL272" s="561">
        <v>0</v>
      </c>
      <c r="JM272" s="561">
        <v>0</v>
      </c>
      <c r="JN272" s="561">
        <v>0</v>
      </c>
      <c r="JO272" s="561">
        <v>508</v>
      </c>
      <c r="JP272" s="561">
        <v>0</v>
      </c>
      <c r="JQ272" s="561">
        <v>-926</v>
      </c>
      <c r="JR272" s="561">
        <v>0</v>
      </c>
      <c r="JS272" s="561">
        <v>0</v>
      </c>
      <c r="JT272" s="561">
        <v>0</v>
      </c>
      <c r="JU272" s="561">
        <v>0</v>
      </c>
      <c r="JV272" s="561">
        <v>520157</v>
      </c>
      <c r="JW272" s="561">
        <v>162</v>
      </c>
      <c r="JX272" s="561">
        <v>66</v>
      </c>
      <c r="JY272" s="561">
        <v>0</v>
      </c>
      <c r="JZ272" s="561">
        <v>-1632</v>
      </c>
      <c r="KA272" s="561">
        <v>0</v>
      </c>
      <c r="KB272" s="561">
        <v>335</v>
      </c>
      <c r="KC272" s="561">
        <v>15500</v>
      </c>
      <c r="KD272" s="561">
        <v>0</v>
      </c>
      <c r="KE272" s="561">
        <v>23813</v>
      </c>
      <c r="KF272" s="561">
        <v>0</v>
      </c>
      <c r="KG272" s="561">
        <v>558401</v>
      </c>
      <c r="KH272" s="561">
        <v>-9046</v>
      </c>
      <c r="KI272" s="561">
        <v>0</v>
      </c>
      <c r="KJ272" s="561">
        <v>0</v>
      </c>
      <c r="KK272" s="561">
        <v>0</v>
      </c>
      <c r="KL272" s="561">
        <v>-65984</v>
      </c>
      <c r="KM272" s="561">
        <v>0</v>
      </c>
      <c r="KN272" s="561">
        <v>-1870</v>
      </c>
      <c r="KO272" s="561">
        <v>0</v>
      </c>
      <c r="KP272" s="561">
        <v>0</v>
      </c>
      <c r="KQ272" s="561">
        <v>-14245</v>
      </c>
      <c r="KR272" s="561">
        <v>467256</v>
      </c>
      <c r="KS272" s="561">
        <v>0</v>
      </c>
      <c r="KT272" s="561">
        <v>-210481</v>
      </c>
      <c r="KU272" s="561">
        <v>256775</v>
      </c>
      <c r="KV272" s="561">
        <v>0</v>
      </c>
      <c r="KW272" s="561">
        <v>-458</v>
      </c>
      <c r="KX272" s="561">
        <v>0</v>
      </c>
      <c r="KY272" s="561">
        <v>-863</v>
      </c>
      <c r="KZ272" s="561">
        <v>-17971</v>
      </c>
      <c r="LA272" s="561">
        <v>0</v>
      </c>
      <c r="LB272" s="561">
        <v>-12328</v>
      </c>
      <c r="LC272" s="561">
        <v>0</v>
      </c>
      <c r="LD272" s="561">
        <v>-84471</v>
      </c>
      <c r="LE272" s="561">
        <v>-1916</v>
      </c>
      <c r="LF272" s="561">
        <v>0</v>
      </c>
      <c r="LG272" s="561">
        <v>138768</v>
      </c>
      <c r="LH272" s="561">
        <v>3149</v>
      </c>
      <c r="LI272" s="561">
        <v>-4253</v>
      </c>
      <c r="LJ272" s="561">
        <v>0</v>
      </c>
      <c r="LK272" s="561">
        <v>1895</v>
      </c>
      <c r="LL272" s="561">
        <v>75425</v>
      </c>
      <c r="LM272" s="561" t="s">
        <v>4582</v>
      </c>
      <c r="LN272" s="561">
        <v>2691</v>
      </c>
      <c r="LO272" s="561">
        <v>-18498</v>
      </c>
      <c r="LP272" s="561">
        <v>0</v>
      </c>
      <c r="LQ272" s="561">
        <v>1032</v>
      </c>
      <c r="LR272" s="561">
        <v>57454</v>
      </c>
      <c r="LS272" s="561" t="s">
        <v>4582</v>
      </c>
      <c r="LT272" s="561">
        <v>0</v>
      </c>
      <c r="LU272" s="561">
        <v>39659</v>
      </c>
      <c r="LV272" s="561">
        <v>-1064</v>
      </c>
      <c r="LW272" s="561">
        <v>31038</v>
      </c>
      <c r="LX272" s="561">
        <v>-21264</v>
      </c>
      <c r="LY272" s="561">
        <v>32466</v>
      </c>
      <c r="LZ272" s="561">
        <v>79776</v>
      </c>
      <c r="MA272" s="561">
        <v>0</v>
      </c>
      <c r="MB272" s="561">
        <v>0</v>
      </c>
      <c r="MC272" s="561">
        <v>0</v>
      </c>
      <c r="MD272" s="561">
        <v>0</v>
      </c>
      <c r="ME272" s="561">
        <v>0</v>
      </c>
      <c r="MF272" s="561">
        <v>0</v>
      </c>
      <c r="MG272" s="561">
        <v>0</v>
      </c>
      <c r="MH272" s="561">
        <v>8128</v>
      </c>
      <c r="MI272" s="561">
        <v>13256</v>
      </c>
      <c r="MJ272" s="561">
        <v>21384</v>
      </c>
      <c r="MK272" s="561">
        <v>0</v>
      </c>
      <c r="ML272" s="561">
        <v>12678</v>
      </c>
      <c r="MM272" s="561">
        <v>1785</v>
      </c>
      <c r="MN272" s="561">
        <v>37583</v>
      </c>
      <c r="MO272" s="561">
        <v>5408</v>
      </c>
      <c r="MP272" s="561">
        <v>0</v>
      </c>
      <c r="MQ272" s="561">
        <v>141842</v>
      </c>
      <c r="MR272" s="561">
        <v>12859</v>
      </c>
      <c r="MS272" s="561">
        <v>92704</v>
      </c>
      <c r="MT272" s="561">
        <v>121348</v>
      </c>
      <c r="MU272" s="561">
        <v>21963</v>
      </c>
      <c r="MV272" s="561">
        <v>13161</v>
      </c>
      <c r="MW272" s="561">
        <v>17354</v>
      </c>
      <c r="MX272" s="561">
        <v>25274</v>
      </c>
      <c r="MY272" s="561">
        <v>-227</v>
      </c>
      <c r="MZ272" s="561">
        <v>0</v>
      </c>
      <c r="NA272" s="561">
        <v>0</v>
      </c>
      <c r="NB272" s="561">
        <v>15844</v>
      </c>
      <c r="NC272" s="561">
        <v>0</v>
      </c>
      <c r="ND272" s="561">
        <v>462122</v>
      </c>
      <c r="NE272" s="561">
        <v>0</v>
      </c>
      <c r="NF272" s="561">
        <v>0</v>
      </c>
      <c r="NG272" s="561">
        <v>0</v>
      </c>
      <c r="NH272" s="561">
        <v>0</v>
      </c>
      <c r="NI272" s="561">
        <v>0</v>
      </c>
      <c r="NJ272" s="561">
        <v>0</v>
      </c>
      <c r="NK272" s="561">
        <v>0</v>
      </c>
      <c r="NL272" s="561">
        <v>0</v>
      </c>
      <c r="NM272" s="561">
        <v>0</v>
      </c>
      <c r="NN272" s="561">
        <v>0</v>
      </c>
      <c r="NO272" s="561">
        <v>0</v>
      </c>
      <c r="NP272" s="561">
        <v>0</v>
      </c>
      <c r="NQ272" s="561">
        <v>0</v>
      </c>
      <c r="NR272" s="561">
        <v>0</v>
      </c>
      <c r="NS272" s="561">
        <v>0</v>
      </c>
      <c r="NT272" s="561">
        <v>0</v>
      </c>
      <c r="NU272" s="561">
        <v>-855</v>
      </c>
      <c r="NV272" s="561">
        <v>0</v>
      </c>
      <c r="NW272" s="561">
        <v>0</v>
      </c>
      <c r="NX272" s="561">
        <v>0</v>
      </c>
      <c r="NY272" s="561">
        <v>0</v>
      </c>
      <c r="NZ272" s="561">
        <v>0</v>
      </c>
      <c r="OA272" s="561">
        <v>0</v>
      </c>
      <c r="OB272" s="561">
        <v>0</v>
      </c>
      <c r="OC272" s="561">
        <v>0</v>
      </c>
      <c r="OD272" s="561">
        <v>0</v>
      </c>
      <c r="OE272" s="561">
        <v>0</v>
      </c>
      <c r="OF272" s="561">
        <v>0</v>
      </c>
      <c r="OG272" s="561">
        <v>0</v>
      </c>
      <c r="OH272" s="561">
        <v>0</v>
      </c>
      <c r="OI272" s="561">
        <v>0</v>
      </c>
      <c r="OJ272" s="561">
        <v>0</v>
      </c>
      <c r="OK272" s="561">
        <v>0</v>
      </c>
      <c r="OL272" s="561">
        <v>0</v>
      </c>
      <c r="OM272" s="561">
        <v>159</v>
      </c>
      <c r="ON272" s="561">
        <v>-1085</v>
      </c>
      <c r="OO272" s="561">
        <v>0</v>
      </c>
      <c r="OP272" s="561">
        <v>0</v>
      </c>
      <c r="OQ272" s="561">
        <v>0</v>
      </c>
      <c r="OR272" s="561">
        <v>0</v>
      </c>
      <c r="OS272" s="561">
        <v>0</v>
      </c>
      <c r="OT272" s="561">
        <v>0</v>
      </c>
      <c r="OU272" s="561">
        <v>0</v>
      </c>
      <c r="OV272" s="561">
        <v>897</v>
      </c>
      <c r="OW272" s="561">
        <v>0</v>
      </c>
      <c r="OX272" s="561">
        <v>-926</v>
      </c>
      <c r="OY272" s="561">
        <v>0</v>
      </c>
      <c r="OZ272" s="561">
        <v>0</v>
      </c>
      <c r="PA272" s="561">
        <v>0</v>
      </c>
      <c r="PB272" s="561">
        <v>0</v>
      </c>
      <c r="PC272" s="561">
        <v>0</v>
      </c>
      <c r="PD272" s="561">
        <v>0</v>
      </c>
      <c r="PE272" s="561">
        <v>0</v>
      </c>
      <c r="PF272" s="561">
        <v>0</v>
      </c>
      <c r="PG272" s="561">
        <v>0</v>
      </c>
      <c r="PH272" s="561">
        <v>0</v>
      </c>
      <c r="PI272" s="561">
        <v>0</v>
      </c>
      <c r="PJ272" s="561">
        <v>0</v>
      </c>
    </row>
    <row r="273" spans="1:426" ht="14" x14ac:dyDescent="0.3">
      <c r="A273" t="s">
        <v>3262</v>
      </c>
      <c r="B273" t="s">
        <v>3263</v>
      </c>
      <c r="C273" t="s">
        <v>4649</v>
      </c>
      <c r="E273" t="s">
        <v>385</v>
      </c>
      <c r="F273" s="561">
        <v>25562</v>
      </c>
      <c r="G273" s="561">
        <v>38139</v>
      </c>
      <c r="H273" s="561">
        <v>15712</v>
      </c>
      <c r="I273" s="561">
        <v>19155</v>
      </c>
      <c r="J273" s="561">
        <v>1755</v>
      </c>
      <c r="K273" s="561">
        <v>15944</v>
      </c>
      <c r="L273" s="561">
        <v>116267</v>
      </c>
      <c r="M273" s="561">
        <v>872</v>
      </c>
      <c r="N273" s="561">
        <v>1535</v>
      </c>
      <c r="O273" s="561">
        <v>3288</v>
      </c>
      <c r="P273" s="561">
        <v>6556</v>
      </c>
      <c r="Q273" s="561">
        <v>6278</v>
      </c>
      <c r="R273" s="561">
        <v>0</v>
      </c>
      <c r="S273" s="561">
        <v>4123</v>
      </c>
      <c r="T273" s="561">
        <v>321</v>
      </c>
      <c r="U273" s="561">
        <v>0</v>
      </c>
      <c r="V273" s="561">
        <v>1432</v>
      </c>
      <c r="W273" s="561">
        <v>1180</v>
      </c>
      <c r="X273" s="561">
        <v>0</v>
      </c>
      <c r="Y273" s="561">
        <v>938</v>
      </c>
      <c r="Z273" s="561">
        <v>1229</v>
      </c>
      <c r="AA273" s="561">
        <v>-2886</v>
      </c>
      <c r="AB273" s="561">
        <v>-1568</v>
      </c>
      <c r="AC273" s="561">
        <v>4768</v>
      </c>
      <c r="AD273" s="561">
        <v>0</v>
      </c>
      <c r="AE273" s="561">
        <v>549</v>
      </c>
      <c r="AF273" s="561">
        <v>0</v>
      </c>
      <c r="AG273" s="561">
        <v>0</v>
      </c>
      <c r="AH273" s="561">
        <v>-503</v>
      </c>
      <c r="AI273" s="561">
        <v>-9327</v>
      </c>
      <c r="AJ273" s="561">
        <v>17913</v>
      </c>
      <c r="AK273" s="561">
        <v>921</v>
      </c>
      <c r="AL273" s="561">
        <v>0</v>
      </c>
      <c r="AM273" s="561">
        <v>0</v>
      </c>
      <c r="AN273" s="561">
        <v>0</v>
      </c>
      <c r="AO273" s="561">
        <v>0</v>
      </c>
      <c r="AP273" s="561">
        <v>0</v>
      </c>
      <c r="AQ273" s="561">
        <v>0</v>
      </c>
      <c r="AR273" s="561">
        <v>0</v>
      </c>
      <c r="AS273" s="561">
        <v>9041</v>
      </c>
      <c r="AT273" s="561">
        <v>0</v>
      </c>
      <c r="AU273" s="561">
        <v>0</v>
      </c>
      <c r="AV273" s="561">
        <v>0</v>
      </c>
      <c r="AW273" s="561">
        <v>0</v>
      </c>
      <c r="AX273" s="561">
        <v>1589</v>
      </c>
      <c r="AY273" s="561">
        <v>39252</v>
      </c>
      <c r="AZ273" s="561">
        <v>135</v>
      </c>
      <c r="BA273" s="561">
        <v>8037</v>
      </c>
      <c r="BB273" s="561">
        <v>1027</v>
      </c>
      <c r="BC273" s="561">
        <v>15305</v>
      </c>
      <c r="BD273" s="561">
        <v>0</v>
      </c>
      <c r="BE273" s="561">
        <v>1204</v>
      </c>
      <c r="BF273" s="561">
        <v>66549</v>
      </c>
      <c r="BG273" s="561">
        <v>2650</v>
      </c>
      <c r="BH273" s="561">
        <v>6842</v>
      </c>
      <c r="BI273" s="561">
        <v>17629</v>
      </c>
      <c r="BJ273" s="561">
        <v>0</v>
      </c>
      <c r="BK273" s="561">
        <v>0</v>
      </c>
      <c r="BL273" s="561">
        <v>0</v>
      </c>
      <c r="BM273" s="561">
        <v>12895</v>
      </c>
      <c r="BN273" s="561">
        <v>27841</v>
      </c>
      <c r="BO273" s="561">
        <v>0</v>
      </c>
      <c r="BP273" s="561">
        <v>3356</v>
      </c>
      <c r="BQ273" s="561">
        <v>203</v>
      </c>
      <c r="BR273" s="561">
        <v>0</v>
      </c>
      <c r="BS273" s="561">
        <v>0</v>
      </c>
      <c r="BT273" s="561">
        <v>0</v>
      </c>
      <c r="BU273" s="561">
        <v>787</v>
      </c>
      <c r="BV273" s="561">
        <v>532</v>
      </c>
      <c r="BW273" s="561">
        <v>12841</v>
      </c>
      <c r="BX273" s="561">
        <v>1282</v>
      </c>
      <c r="BY273" s="561">
        <v>-3169</v>
      </c>
      <c r="BZ273" s="561">
        <v>81039</v>
      </c>
      <c r="CA273" s="561">
        <v>4663</v>
      </c>
      <c r="CB273" s="561">
        <v>2395</v>
      </c>
      <c r="CC273" s="561">
        <v>69</v>
      </c>
      <c r="CD273" s="561">
        <v>35</v>
      </c>
      <c r="CE273" s="561">
        <v>307</v>
      </c>
      <c r="CF273" s="561">
        <v>254</v>
      </c>
      <c r="CG273" s="561">
        <v>431</v>
      </c>
      <c r="CH273" s="561">
        <v>595</v>
      </c>
      <c r="CI273" s="561">
        <v>313</v>
      </c>
      <c r="CJ273" s="561">
        <v>377</v>
      </c>
      <c r="CK273" s="561">
        <v>1345</v>
      </c>
      <c r="CL273" s="561">
        <v>709</v>
      </c>
      <c r="CM273" s="561">
        <v>2625</v>
      </c>
      <c r="CN273" s="561">
        <v>2546</v>
      </c>
      <c r="CO273" s="561">
        <v>1188</v>
      </c>
      <c r="CP273" s="561">
        <v>0</v>
      </c>
      <c r="CQ273" s="561">
        <v>0</v>
      </c>
      <c r="CR273" s="561">
        <v>483</v>
      </c>
      <c r="CS273" s="561">
        <v>82</v>
      </c>
      <c r="CT273" s="561">
        <v>555</v>
      </c>
      <c r="CU273" s="561">
        <v>3870</v>
      </c>
      <c r="CV273" s="561">
        <v>1286</v>
      </c>
      <c r="CW273" s="561">
        <v>0</v>
      </c>
      <c r="CX273" s="561">
        <v>150</v>
      </c>
      <c r="CY273" s="561">
        <v>3173</v>
      </c>
      <c r="CZ273" s="561">
        <v>22788</v>
      </c>
      <c r="DA273" s="561">
        <v>0</v>
      </c>
      <c r="DB273" s="561">
        <v>0</v>
      </c>
      <c r="DC273" s="561">
        <v>0</v>
      </c>
      <c r="DD273" s="561">
        <v>0</v>
      </c>
      <c r="DE273" s="561">
        <v>0</v>
      </c>
      <c r="DF273" s="561">
        <v>0</v>
      </c>
      <c r="DG273" s="561">
        <v>0</v>
      </c>
      <c r="DH273" s="561">
        <v>639</v>
      </c>
      <c r="DI273" s="561">
        <v>0</v>
      </c>
      <c r="DJ273" s="561">
        <v>0</v>
      </c>
      <c r="DK273" s="561">
        <v>0</v>
      </c>
      <c r="DL273" s="561">
        <v>0</v>
      </c>
      <c r="DM273" s="561">
        <v>859</v>
      </c>
      <c r="DN273" s="561">
        <v>0</v>
      </c>
      <c r="DO273" s="561">
        <v>8438</v>
      </c>
      <c r="DP273" s="561">
        <v>0</v>
      </c>
      <c r="DQ273" s="561">
        <v>9800</v>
      </c>
      <c r="DR273" s="561">
        <v>0</v>
      </c>
      <c r="DS273" s="561">
        <v>2362</v>
      </c>
      <c r="DT273" s="561">
        <v>0</v>
      </c>
      <c r="DU273" s="561">
        <v>21459</v>
      </c>
      <c r="DV273" s="561">
        <v>-23</v>
      </c>
      <c r="DW273" s="561">
        <v>0</v>
      </c>
      <c r="DX273" s="561">
        <v>-598</v>
      </c>
      <c r="DY273" s="561">
        <v>1758</v>
      </c>
      <c r="DZ273" s="561">
        <v>0</v>
      </c>
      <c r="EA273" s="561">
        <v>-807</v>
      </c>
      <c r="EB273" s="561">
        <v>430</v>
      </c>
      <c r="EC273" s="561">
        <v>22858</v>
      </c>
      <c r="ED273" s="561">
        <v>0</v>
      </c>
      <c r="EE273" s="561">
        <v>88394.71</v>
      </c>
      <c r="EF273" s="561">
        <v>3477.82</v>
      </c>
      <c r="EG273" s="561">
        <v>18368.37</v>
      </c>
      <c r="EH273" s="561">
        <v>1591.27</v>
      </c>
      <c r="EI273" s="561">
        <v>0</v>
      </c>
      <c r="EJ273" s="561">
        <v>1928.84</v>
      </c>
      <c r="EK273" s="561">
        <v>0</v>
      </c>
      <c r="EL273" s="561">
        <v>0</v>
      </c>
      <c r="EM273" s="561">
        <v>72.14</v>
      </c>
      <c r="EN273" s="561">
        <v>31847.59</v>
      </c>
      <c r="EO273" s="561">
        <v>19535.71</v>
      </c>
      <c r="EP273" s="561">
        <v>19956.57</v>
      </c>
      <c r="EQ273" s="561">
        <v>2060.34</v>
      </c>
      <c r="ER273" s="561">
        <v>11078.4</v>
      </c>
      <c r="ES273" s="561" t="s">
        <v>4565</v>
      </c>
      <c r="ET273" s="561">
        <v>0</v>
      </c>
      <c r="EU273" s="561">
        <v>0</v>
      </c>
      <c r="EV273" s="561">
        <v>61.15</v>
      </c>
      <c r="EW273" s="561">
        <v>0</v>
      </c>
      <c r="EX273" s="561">
        <v>28682.17</v>
      </c>
      <c r="EY273" s="561">
        <v>459.66</v>
      </c>
      <c r="EZ273" s="561">
        <v>151.56</v>
      </c>
      <c r="FA273" s="561">
        <v>25600</v>
      </c>
      <c r="FB273" s="561">
        <v>313</v>
      </c>
      <c r="FC273" s="561">
        <v>517</v>
      </c>
      <c r="FD273" s="561">
        <v>292</v>
      </c>
      <c r="FE273" s="561">
        <v>1499</v>
      </c>
      <c r="FF273" s="561">
        <v>505</v>
      </c>
      <c r="FG273" s="561">
        <v>7926</v>
      </c>
      <c r="FH273" s="561">
        <v>283</v>
      </c>
      <c r="FI273" s="561">
        <v>333</v>
      </c>
      <c r="FJ273" s="561">
        <v>1268</v>
      </c>
      <c r="FK273" s="561">
        <v>3030</v>
      </c>
      <c r="FL273" s="561">
        <v>8</v>
      </c>
      <c r="FM273" s="561">
        <v>205</v>
      </c>
      <c r="FN273" s="561">
        <v>3180</v>
      </c>
      <c r="FO273" s="561">
        <v>19359</v>
      </c>
      <c r="FP273" s="561">
        <v>0</v>
      </c>
      <c r="FQ273" s="561">
        <v>24</v>
      </c>
      <c r="FR273" s="561">
        <v>554</v>
      </c>
      <c r="FS273" s="561">
        <v>34</v>
      </c>
      <c r="FT273" s="561">
        <v>234</v>
      </c>
      <c r="FU273" s="561">
        <v>862</v>
      </c>
      <c r="FV273" s="561">
        <v>470</v>
      </c>
      <c r="FW273" s="561">
        <v>0</v>
      </c>
      <c r="FX273" s="561">
        <v>265</v>
      </c>
      <c r="FY273" s="561">
        <v>0</v>
      </c>
      <c r="FZ273" s="561">
        <v>-68</v>
      </c>
      <c r="GA273" s="561">
        <v>476</v>
      </c>
      <c r="GB273" s="561">
        <v>180</v>
      </c>
      <c r="GC273" s="561">
        <v>-198</v>
      </c>
      <c r="GD273" s="561">
        <v>1359</v>
      </c>
      <c r="GE273" s="561">
        <v>356</v>
      </c>
      <c r="GF273" s="561">
        <v>245</v>
      </c>
      <c r="GG273" s="561">
        <v>271</v>
      </c>
      <c r="GH273" s="561">
        <v>0</v>
      </c>
      <c r="GI273" s="561">
        <v>0</v>
      </c>
      <c r="GJ273" s="561">
        <v>197</v>
      </c>
      <c r="GK273" s="561">
        <v>-205</v>
      </c>
      <c r="GL273" s="561">
        <v>3638</v>
      </c>
      <c r="GM273" s="561">
        <v>5092</v>
      </c>
      <c r="GN273" s="561">
        <v>6484</v>
      </c>
      <c r="GO273" s="561">
        <v>0</v>
      </c>
      <c r="GP273" s="561">
        <v>15</v>
      </c>
      <c r="GQ273" s="561">
        <v>0</v>
      </c>
      <c r="GR273" s="561">
        <v>62</v>
      </c>
      <c r="GS273" s="561">
        <v>20347</v>
      </c>
      <c r="GT273" s="561">
        <v>169</v>
      </c>
      <c r="GU273" s="561">
        <v>155</v>
      </c>
      <c r="GV273" s="561">
        <v>1304</v>
      </c>
      <c r="GW273" s="561">
        <v>0</v>
      </c>
      <c r="GX273" s="561">
        <v>600</v>
      </c>
      <c r="GY273" s="561">
        <v>4</v>
      </c>
      <c r="GZ273" s="561">
        <v>33</v>
      </c>
      <c r="HA273" s="561">
        <v>36</v>
      </c>
      <c r="HB273" s="561">
        <v>6892</v>
      </c>
      <c r="HC273" s="561">
        <v>0</v>
      </c>
      <c r="HD273" s="561">
        <v>9024</v>
      </c>
      <c r="HE273" s="561">
        <v>619</v>
      </c>
      <c r="HF273" s="561">
        <v>48730</v>
      </c>
      <c r="HG273" s="561">
        <v>788</v>
      </c>
      <c r="HH273" s="561">
        <v>0</v>
      </c>
      <c r="HI273" s="561">
        <v>0</v>
      </c>
      <c r="HJ273" s="561">
        <v>0</v>
      </c>
      <c r="HK273" s="561">
        <v>0</v>
      </c>
      <c r="HL273" s="561">
        <v>0</v>
      </c>
      <c r="HM273" s="561">
        <v>0</v>
      </c>
      <c r="HN273" s="561">
        <v>0</v>
      </c>
      <c r="HO273" s="561">
        <v>4657</v>
      </c>
      <c r="HP273" s="561">
        <v>2575</v>
      </c>
      <c r="HQ273" s="561">
        <v>0</v>
      </c>
      <c r="HR273" s="561">
        <v>0</v>
      </c>
      <c r="HS273" s="561">
        <v>0</v>
      </c>
      <c r="HT273" s="561">
        <v>-298</v>
      </c>
      <c r="HU273" s="561">
        <v>0</v>
      </c>
      <c r="HV273" s="561">
        <v>-140</v>
      </c>
      <c r="HW273" s="561">
        <v>281</v>
      </c>
      <c r="HX273" s="561">
        <v>292</v>
      </c>
      <c r="HY273" s="561">
        <v>147</v>
      </c>
      <c r="HZ273" s="561">
        <v>-2</v>
      </c>
      <c r="IA273" s="561">
        <v>793</v>
      </c>
      <c r="IB273" s="561">
        <v>0</v>
      </c>
      <c r="IC273" s="561">
        <v>1046</v>
      </c>
      <c r="ID273" s="561">
        <v>0</v>
      </c>
      <c r="IE273" s="561">
        <v>1279</v>
      </c>
      <c r="IF273" s="561">
        <v>0</v>
      </c>
      <c r="IG273" s="561">
        <v>240</v>
      </c>
      <c r="IH273" s="561">
        <v>-3513</v>
      </c>
      <c r="II273" s="561">
        <v>7357</v>
      </c>
      <c r="IJ273" s="561">
        <v>441</v>
      </c>
      <c r="IK273" s="561">
        <v>4620</v>
      </c>
      <c r="IL273" s="561">
        <v>23784</v>
      </c>
      <c r="IM273" s="561">
        <v>0</v>
      </c>
      <c r="IN273" s="561">
        <v>5296</v>
      </c>
      <c r="IO273" s="561">
        <v>2737</v>
      </c>
      <c r="IP273" s="561">
        <v>3513</v>
      </c>
      <c r="IQ273" s="561">
        <v>0</v>
      </c>
      <c r="IR273" s="561">
        <v>116267</v>
      </c>
      <c r="IS273" s="561">
        <v>17913</v>
      </c>
      <c r="IT273" s="561">
        <v>66549</v>
      </c>
      <c r="IU273" s="561">
        <v>81039</v>
      </c>
      <c r="IV273" s="561">
        <v>22788</v>
      </c>
      <c r="IW273" s="561">
        <v>22858</v>
      </c>
      <c r="IX273" s="561">
        <v>19359</v>
      </c>
      <c r="IY273" s="561">
        <v>20347</v>
      </c>
      <c r="IZ273" s="561">
        <v>9024</v>
      </c>
      <c r="JA273" s="561">
        <v>0</v>
      </c>
      <c r="JB273" s="561">
        <v>0</v>
      </c>
      <c r="JC273" s="561">
        <v>7357</v>
      </c>
      <c r="JD273" s="561">
        <v>3513</v>
      </c>
      <c r="JE273" s="561">
        <v>387014</v>
      </c>
      <c r="JF273" s="561">
        <v>31915.43</v>
      </c>
      <c r="JG273" s="561">
        <v>0</v>
      </c>
      <c r="JH273" s="561">
        <v>32229.51</v>
      </c>
      <c r="JI273" s="561">
        <v>0</v>
      </c>
      <c r="JJ273" s="561">
        <v>0</v>
      </c>
      <c r="JK273" s="561">
        <v>0</v>
      </c>
      <c r="JL273" s="561">
        <v>0</v>
      </c>
      <c r="JM273" s="561">
        <v>0</v>
      </c>
      <c r="JN273" s="561">
        <v>0</v>
      </c>
      <c r="JO273" s="561">
        <v>110.89</v>
      </c>
      <c r="JP273" s="561">
        <v>-18096</v>
      </c>
      <c r="JQ273" s="561">
        <v>-434</v>
      </c>
      <c r="JR273" s="561">
        <v>0</v>
      </c>
      <c r="JS273" s="561">
        <v>0</v>
      </c>
      <c r="JT273" s="561">
        <v>-959</v>
      </c>
      <c r="JU273" s="561">
        <v>0</v>
      </c>
      <c r="JV273" s="561">
        <v>431780.83</v>
      </c>
      <c r="JW273" s="561">
        <v>91.92</v>
      </c>
      <c r="JX273" s="561">
        <v>15082.7</v>
      </c>
      <c r="JY273" s="561">
        <v>0</v>
      </c>
      <c r="JZ273" s="561">
        <v>0</v>
      </c>
      <c r="KA273" s="561">
        <v>0</v>
      </c>
      <c r="KB273" s="561">
        <v>526.1</v>
      </c>
      <c r="KC273" s="561">
        <v>10216.879999999999</v>
      </c>
      <c r="KD273" s="561">
        <v>0</v>
      </c>
      <c r="KE273" s="561">
        <v>21019.27</v>
      </c>
      <c r="KF273" s="561">
        <v>-7836.13</v>
      </c>
      <c r="KG273" s="561">
        <v>470881.57</v>
      </c>
      <c r="KH273" s="561">
        <v>-26418.19</v>
      </c>
      <c r="KI273" s="561">
        <v>3880.5</v>
      </c>
      <c r="KJ273" s="561">
        <v>-442.07</v>
      </c>
      <c r="KK273" s="561">
        <v>0</v>
      </c>
      <c r="KL273" s="561">
        <v>-64906.68</v>
      </c>
      <c r="KM273" s="561">
        <v>0</v>
      </c>
      <c r="KN273" s="561">
        <v>-301.01</v>
      </c>
      <c r="KO273" s="561">
        <v>0</v>
      </c>
      <c r="KP273" s="561">
        <v>0</v>
      </c>
      <c r="KQ273" s="561">
        <v>0</v>
      </c>
      <c r="KR273" s="561">
        <v>382694.12</v>
      </c>
      <c r="KS273" s="561">
        <v>0</v>
      </c>
      <c r="KT273" s="561">
        <v>-206641.12</v>
      </c>
      <c r="KU273" s="561">
        <v>176053</v>
      </c>
      <c r="KV273" s="561">
        <v>0</v>
      </c>
      <c r="KW273" s="561">
        <v>-995</v>
      </c>
      <c r="KX273" s="561">
        <v>-252</v>
      </c>
      <c r="KY273" s="561">
        <v>807</v>
      </c>
      <c r="KZ273" s="561">
        <v>12501</v>
      </c>
      <c r="LA273" s="561">
        <v>592</v>
      </c>
      <c r="LB273" s="561">
        <v>-14470</v>
      </c>
      <c r="LC273" s="561">
        <v>0</v>
      </c>
      <c r="LD273" s="561">
        <v>-70953.100000000006</v>
      </c>
      <c r="LE273" s="561">
        <v>-2357.4499999999998</v>
      </c>
      <c r="LF273" s="561">
        <v>0</v>
      </c>
      <c r="LG273" s="561">
        <v>100925</v>
      </c>
      <c r="LH273" s="561">
        <v>6397</v>
      </c>
      <c r="LI273" s="561">
        <v>0</v>
      </c>
      <c r="LJ273" s="561">
        <v>11439</v>
      </c>
      <c r="LK273" s="561">
        <v>2214</v>
      </c>
      <c r="LL273" s="561">
        <v>211570</v>
      </c>
      <c r="LM273" s="561">
        <v>21410</v>
      </c>
      <c r="LN273" s="561">
        <v>5402</v>
      </c>
      <c r="LO273" s="561">
        <v>0</v>
      </c>
      <c r="LP273" s="561">
        <v>11187</v>
      </c>
      <c r="LQ273" s="561">
        <v>3021</v>
      </c>
      <c r="LR273" s="561">
        <v>224071</v>
      </c>
      <c r="LS273" s="561">
        <v>22002</v>
      </c>
      <c r="LT273" s="561">
        <v>0</v>
      </c>
      <c r="LU273" s="561">
        <v>28175.96</v>
      </c>
      <c r="LV273" s="561">
        <v>0</v>
      </c>
      <c r="LW273" s="561">
        <v>45782.49</v>
      </c>
      <c r="LX273" s="561">
        <v>0</v>
      </c>
      <c r="LY273" s="561">
        <v>8309.58</v>
      </c>
      <c r="LZ273" s="561">
        <v>76841.19</v>
      </c>
      <c r="MA273" s="561">
        <v>0</v>
      </c>
      <c r="MB273" s="561">
        <v>0</v>
      </c>
      <c r="MC273" s="561">
        <v>113833.15</v>
      </c>
      <c r="MD273" s="561">
        <v>113681.59</v>
      </c>
      <c r="ME273" s="561">
        <v>151.56</v>
      </c>
      <c r="MF273" s="561">
        <v>25600</v>
      </c>
      <c r="MG273" s="561">
        <v>25751.56</v>
      </c>
      <c r="MH273" s="561">
        <v>5595</v>
      </c>
      <c r="MI273" s="561">
        <v>6533</v>
      </c>
      <c r="MJ273" s="561">
        <v>12128</v>
      </c>
      <c r="MK273" s="561">
        <v>0</v>
      </c>
      <c r="ML273" s="561">
        <v>52722</v>
      </c>
      <c r="MM273" s="561">
        <v>149759</v>
      </c>
      <c r="MN273" s="561">
        <v>21590</v>
      </c>
      <c r="MO273" s="561">
        <v>0</v>
      </c>
      <c r="MP273" s="561">
        <v>0</v>
      </c>
      <c r="MQ273" s="561">
        <v>116267</v>
      </c>
      <c r="MR273" s="561">
        <v>17913</v>
      </c>
      <c r="MS273" s="561">
        <v>66549</v>
      </c>
      <c r="MT273" s="561">
        <v>81039</v>
      </c>
      <c r="MU273" s="561">
        <v>22788</v>
      </c>
      <c r="MV273" s="561">
        <v>22858</v>
      </c>
      <c r="MW273" s="561">
        <v>19359</v>
      </c>
      <c r="MX273" s="561">
        <v>20347</v>
      </c>
      <c r="MY273" s="561">
        <v>9024</v>
      </c>
      <c r="MZ273" s="561">
        <v>0</v>
      </c>
      <c r="NA273" s="561">
        <v>0</v>
      </c>
      <c r="NB273" s="561">
        <v>7357</v>
      </c>
      <c r="NC273" s="561">
        <v>3513</v>
      </c>
      <c r="ND273" s="561">
        <v>387014</v>
      </c>
      <c r="NE273" s="561">
        <v>0</v>
      </c>
      <c r="NF273" s="561">
        <v>0</v>
      </c>
      <c r="NG273" s="561">
        <v>0</v>
      </c>
      <c r="NH273" s="561">
        <v>0</v>
      </c>
      <c r="NI273" s="561">
        <v>0</v>
      </c>
      <c r="NJ273" s="561">
        <v>0</v>
      </c>
      <c r="NK273" s="561">
        <v>0</v>
      </c>
      <c r="NL273" s="561">
        <v>0</v>
      </c>
      <c r="NM273" s="561">
        <v>0</v>
      </c>
      <c r="NN273" s="561">
        <v>0</v>
      </c>
      <c r="NO273" s="561">
        <v>0</v>
      </c>
      <c r="NP273" s="561">
        <v>0</v>
      </c>
      <c r="NQ273" s="561">
        <v>0</v>
      </c>
      <c r="NR273" s="561">
        <v>0</v>
      </c>
      <c r="NS273" s="561">
        <v>0</v>
      </c>
      <c r="NT273" s="561">
        <v>0</v>
      </c>
      <c r="NU273" s="561">
        <v>0</v>
      </c>
      <c r="NV273" s="561">
        <v>0</v>
      </c>
      <c r="NW273" s="561">
        <v>-18096</v>
      </c>
      <c r="NX273" s="561">
        <v>0</v>
      </c>
      <c r="NY273" s="561">
        <v>-18096</v>
      </c>
      <c r="NZ273" s="561">
        <v>0</v>
      </c>
      <c r="OA273" s="561">
        <v>0</v>
      </c>
      <c r="OB273" s="561">
        <v>0</v>
      </c>
      <c r="OC273" s="561">
        <v>0</v>
      </c>
      <c r="OD273" s="561">
        <v>0</v>
      </c>
      <c r="OE273" s="561">
        <v>0</v>
      </c>
      <c r="OF273" s="561">
        <v>0</v>
      </c>
      <c r="OG273" s="561">
        <v>0</v>
      </c>
      <c r="OH273" s="561">
        <v>0</v>
      </c>
      <c r="OI273" s="561">
        <v>0</v>
      </c>
      <c r="OJ273" s="561">
        <v>0</v>
      </c>
      <c r="OK273" s="561">
        <v>0</v>
      </c>
      <c r="OL273" s="561">
        <v>0</v>
      </c>
      <c r="OM273" s="561">
        <v>0</v>
      </c>
      <c r="ON273" s="561">
        <v>0</v>
      </c>
      <c r="OO273" s="561">
        <v>0</v>
      </c>
      <c r="OP273" s="561">
        <v>0</v>
      </c>
      <c r="OQ273" s="561">
        <v>0</v>
      </c>
      <c r="OR273" s="561">
        <v>0</v>
      </c>
      <c r="OS273" s="561">
        <v>0</v>
      </c>
      <c r="OT273" s="561">
        <v>0</v>
      </c>
      <c r="OU273" s="561">
        <v>-434</v>
      </c>
      <c r="OV273" s="561">
        <v>-597</v>
      </c>
      <c r="OW273" s="561">
        <v>0</v>
      </c>
      <c r="OX273" s="561">
        <v>-434</v>
      </c>
      <c r="OY273" s="561">
        <v>0</v>
      </c>
      <c r="OZ273" s="561">
        <v>0</v>
      </c>
      <c r="PA273" s="561">
        <v>0</v>
      </c>
      <c r="PB273" s="561">
        <v>0</v>
      </c>
      <c r="PC273" s="561">
        <v>0</v>
      </c>
      <c r="PD273" s="561">
        <v>0</v>
      </c>
      <c r="PE273" s="561">
        <v>0</v>
      </c>
      <c r="PF273" s="561">
        <v>0</v>
      </c>
      <c r="PG273" s="561">
        <v>0</v>
      </c>
      <c r="PH273" s="561">
        <v>0</v>
      </c>
      <c r="PI273" s="561">
        <v>0</v>
      </c>
      <c r="PJ273" s="561">
        <v>0</v>
      </c>
    </row>
    <row r="274" spans="1:426" ht="14" x14ac:dyDescent="0.3">
      <c r="A274" t="s">
        <v>3265</v>
      </c>
      <c r="B274" t="s">
        <v>3266</v>
      </c>
      <c r="C274" t="s">
        <v>3267</v>
      </c>
      <c r="E274" t="s">
        <v>384</v>
      </c>
      <c r="F274" s="561">
        <v>0</v>
      </c>
      <c r="G274" s="561">
        <v>0</v>
      </c>
      <c r="H274" s="561">
        <v>0</v>
      </c>
      <c r="I274" s="561">
        <v>0</v>
      </c>
      <c r="J274" s="561">
        <v>0</v>
      </c>
      <c r="K274" s="561">
        <v>0</v>
      </c>
      <c r="L274" s="561">
        <v>0</v>
      </c>
      <c r="M274" s="561">
        <v>0</v>
      </c>
      <c r="N274" s="561">
        <v>0</v>
      </c>
      <c r="O274" s="561">
        <v>0</v>
      </c>
      <c r="P274" s="561">
        <v>0</v>
      </c>
      <c r="Q274" s="561">
        <v>0</v>
      </c>
      <c r="R274" s="561">
        <v>0</v>
      </c>
      <c r="S274" s="561">
        <v>5</v>
      </c>
      <c r="T274" s="561">
        <v>124</v>
      </c>
      <c r="U274" s="561">
        <v>0</v>
      </c>
      <c r="V274" s="561">
        <v>72</v>
      </c>
      <c r="W274" s="561">
        <v>0</v>
      </c>
      <c r="X274" s="561">
        <v>0</v>
      </c>
      <c r="Y274" s="561">
        <v>0</v>
      </c>
      <c r="Z274" s="561">
        <v>0</v>
      </c>
      <c r="AA274" s="561">
        <v>0</v>
      </c>
      <c r="AB274" s="561">
        <v>-208</v>
      </c>
      <c r="AC274" s="561">
        <v>0</v>
      </c>
      <c r="AD274" s="561">
        <v>0</v>
      </c>
      <c r="AE274" s="561">
        <v>0</v>
      </c>
      <c r="AF274" s="561">
        <v>0</v>
      </c>
      <c r="AG274" s="561">
        <v>0</v>
      </c>
      <c r="AH274" s="561">
        <v>14</v>
      </c>
      <c r="AI274" s="561">
        <v>283</v>
      </c>
      <c r="AJ274" s="561">
        <v>290</v>
      </c>
      <c r="AK274" s="561">
        <v>0</v>
      </c>
      <c r="AL274" s="561">
        <v>0</v>
      </c>
      <c r="AM274" s="561">
        <v>0</v>
      </c>
      <c r="AN274" s="561">
        <v>0</v>
      </c>
      <c r="AO274" s="561">
        <v>0</v>
      </c>
      <c r="AP274" s="561">
        <v>0</v>
      </c>
      <c r="AQ274" s="561">
        <v>0</v>
      </c>
      <c r="AR274" s="561">
        <v>0</v>
      </c>
      <c r="AS274" s="561">
        <v>0</v>
      </c>
      <c r="AT274" s="561">
        <v>0</v>
      </c>
      <c r="AU274" s="561">
        <v>0</v>
      </c>
      <c r="AV274" s="561">
        <v>0</v>
      </c>
      <c r="AW274" s="561">
        <v>0</v>
      </c>
      <c r="AX274" s="561">
        <v>0</v>
      </c>
      <c r="AY274" s="561">
        <v>0</v>
      </c>
      <c r="AZ274" s="561">
        <v>0</v>
      </c>
      <c r="BA274" s="561">
        <v>0</v>
      </c>
      <c r="BB274" s="561">
        <v>0</v>
      </c>
      <c r="BC274" s="561">
        <v>0</v>
      </c>
      <c r="BD274" s="561">
        <v>0</v>
      </c>
      <c r="BE274" s="561">
        <v>0</v>
      </c>
      <c r="BF274" s="561">
        <v>0</v>
      </c>
      <c r="BG274" s="561">
        <v>0</v>
      </c>
      <c r="BH274" s="561">
        <v>0</v>
      </c>
      <c r="BI274" s="561">
        <v>0</v>
      </c>
      <c r="BJ274" s="561">
        <v>0</v>
      </c>
      <c r="BK274" s="561">
        <v>0</v>
      </c>
      <c r="BL274" s="561">
        <v>0</v>
      </c>
      <c r="BM274" s="561">
        <v>0</v>
      </c>
      <c r="BN274" s="561">
        <v>0</v>
      </c>
      <c r="BO274" s="561">
        <v>0</v>
      </c>
      <c r="BP274" s="561">
        <v>0</v>
      </c>
      <c r="BQ274" s="561">
        <v>0</v>
      </c>
      <c r="BR274" s="561">
        <v>0</v>
      </c>
      <c r="BS274" s="561">
        <v>0</v>
      </c>
      <c r="BT274" s="561">
        <v>0</v>
      </c>
      <c r="BU274" s="561">
        <v>0</v>
      </c>
      <c r="BV274" s="561">
        <v>0</v>
      </c>
      <c r="BW274" s="561">
        <v>0</v>
      </c>
      <c r="BX274" s="561">
        <v>0</v>
      </c>
      <c r="BY274" s="561">
        <v>0</v>
      </c>
      <c r="BZ274" s="561">
        <v>0</v>
      </c>
      <c r="CA274" s="561">
        <v>0</v>
      </c>
      <c r="CB274" s="561">
        <v>0</v>
      </c>
      <c r="CC274" s="561">
        <v>0</v>
      </c>
      <c r="CD274" s="561">
        <v>0</v>
      </c>
      <c r="CE274" s="561">
        <v>0</v>
      </c>
      <c r="CF274" s="561">
        <v>0</v>
      </c>
      <c r="CG274" s="561">
        <v>0</v>
      </c>
      <c r="CH274" s="561">
        <v>0</v>
      </c>
      <c r="CI274" s="561">
        <v>0</v>
      </c>
      <c r="CJ274" s="561">
        <v>0</v>
      </c>
      <c r="CK274" s="561">
        <v>0</v>
      </c>
      <c r="CL274" s="561">
        <v>0</v>
      </c>
      <c r="CM274" s="561">
        <v>0</v>
      </c>
      <c r="CN274" s="561">
        <v>0</v>
      </c>
      <c r="CO274" s="561">
        <v>0</v>
      </c>
      <c r="CP274" s="561">
        <v>0</v>
      </c>
      <c r="CQ274" s="561">
        <v>0</v>
      </c>
      <c r="CR274" s="561">
        <v>0</v>
      </c>
      <c r="CS274" s="561">
        <v>0</v>
      </c>
      <c r="CT274" s="561">
        <v>0</v>
      </c>
      <c r="CU274" s="561">
        <v>0</v>
      </c>
      <c r="CV274" s="561">
        <v>0</v>
      </c>
      <c r="CW274" s="561">
        <v>108</v>
      </c>
      <c r="CX274" s="561">
        <v>0</v>
      </c>
      <c r="CY274" s="561">
        <v>0</v>
      </c>
      <c r="CZ274" s="561">
        <v>108</v>
      </c>
      <c r="DA274" s="561">
        <v>0</v>
      </c>
      <c r="DB274" s="561">
        <v>0</v>
      </c>
      <c r="DC274" s="561">
        <v>0</v>
      </c>
      <c r="DD274" s="561">
        <v>0</v>
      </c>
      <c r="DE274" s="561">
        <v>0</v>
      </c>
      <c r="DF274" s="561">
        <v>0</v>
      </c>
      <c r="DG274" s="561">
        <v>0</v>
      </c>
      <c r="DH274" s="561">
        <v>587</v>
      </c>
      <c r="DI274" s="561">
        <v>0</v>
      </c>
      <c r="DJ274" s="561">
        <v>111</v>
      </c>
      <c r="DK274" s="561">
        <v>178</v>
      </c>
      <c r="DL274" s="561">
        <v>173</v>
      </c>
      <c r="DM274" s="561">
        <v>519</v>
      </c>
      <c r="DN274" s="561">
        <v>0</v>
      </c>
      <c r="DO274" s="561">
        <v>87</v>
      </c>
      <c r="DP274" s="561">
        <v>93</v>
      </c>
      <c r="DQ274" s="561">
        <v>87</v>
      </c>
      <c r="DR274" s="561">
        <v>299</v>
      </c>
      <c r="DS274" s="561">
        <v>185</v>
      </c>
      <c r="DT274" s="561">
        <v>1639</v>
      </c>
      <c r="DU274" s="561">
        <v>3082</v>
      </c>
      <c r="DV274" s="561">
        <v>207</v>
      </c>
      <c r="DW274" s="561">
        <v>0</v>
      </c>
      <c r="DX274" s="561">
        <v>0</v>
      </c>
      <c r="DY274" s="561">
        <v>645</v>
      </c>
      <c r="DZ274" s="561">
        <v>42</v>
      </c>
      <c r="EA274" s="561">
        <v>0</v>
      </c>
      <c r="EB274" s="561">
        <v>0</v>
      </c>
      <c r="EC274" s="561">
        <v>4852</v>
      </c>
      <c r="ED274" s="561">
        <v>0</v>
      </c>
      <c r="EE274" s="561">
        <v>0</v>
      </c>
      <c r="EF274" s="561">
        <v>0</v>
      </c>
      <c r="EG274" s="561">
        <v>0</v>
      </c>
      <c r="EH274" s="561">
        <v>0</v>
      </c>
      <c r="EI274" s="561">
        <v>0</v>
      </c>
      <c r="EJ274" s="561">
        <v>0</v>
      </c>
      <c r="EK274" s="561">
        <v>0</v>
      </c>
      <c r="EL274" s="561">
        <v>0</v>
      </c>
      <c r="EM274" s="561">
        <v>0</v>
      </c>
      <c r="EN274" s="561">
        <v>0</v>
      </c>
      <c r="EO274" s="561">
        <v>0</v>
      </c>
      <c r="EP274" s="561">
        <v>0</v>
      </c>
      <c r="EQ274" s="561">
        <v>0</v>
      </c>
      <c r="ER274" s="561">
        <v>0</v>
      </c>
      <c r="ES274" s="561" t="s">
        <v>4565</v>
      </c>
      <c r="ET274" s="561">
        <v>0</v>
      </c>
      <c r="EU274" s="561">
        <v>0</v>
      </c>
      <c r="EV274" s="561">
        <v>0</v>
      </c>
      <c r="EW274" s="561">
        <v>0</v>
      </c>
      <c r="EX274" s="561">
        <v>0</v>
      </c>
      <c r="EY274" s="561">
        <v>0</v>
      </c>
      <c r="EZ274" s="561">
        <v>0</v>
      </c>
      <c r="FA274" s="561">
        <v>0</v>
      </c>
      <c r="FB274" s="561">
        <v>0</v>
      </c>
      <c r="FC274" s="561">
        <v>0</v>
      </c>
      <c r="FD274" s="561">
        <v>18</v>
      </c>
      <c r="FE274" s="561">
        <v>1222</v>
      </c>
      <c r="FF274" s="561">
        <v>435</v>
      </c>
      <c r="FG274" s="561">
        <v>-5</v>
      </c>
      <c r="FH274" s="561">
        <v>0</v>
      </c>
      <c r="FI274" s="561">
        <v>0</v>
      </c>
      <c r="FJ274" s="561">
        <v>-16</v>
      </c>
      <c r="FK274" s="561">
        <v>2863</v>
      </c>
      <c r="FL274" s="561">
        <v>15</v>
      </c>
      <c r="FM274" s="561">
        <v>0</v>
      </c>
      <c r="FN274" s="561">
        <v>-5</v>
      </c>
      <c r="FO274" s="561">
        <v>4527</v>
      </c>
      <c r="FP274" s="561">
        <v>0</v>
      </c>
      <c r="FQ274" s="561">
        <v>28</v>
      </c>
      <c r="FR274" s="561">
        <v>0</v>
      </c>
      <c r="FS274" s="561">
        <v>2</v>
      </c>
      <c r="FT274" s="561">
        <v>419</v>
      </c>
      <c r="FU274" s="561">
        <v>396</v>
      </c>
      <c r="FV274" s="561">
        <v>488</v>
      </c>
      <c r="FW274" s="561">
        <v>206</v>
      </c>
      <c r="FX274" s="561">
        <v>0</v>
      </c>
      <c r="FY274" s="561">
        <v>0</v>
      </c>
      <c r="FZ274" s="561">
        <v>180</v>
      </c>
      <c r="GA274" s="561">
        <v>36</v>
      </c>
      <c r="GB274" s="561">
        <v>107</v>
      </c>
      <c r="GC274" s="561">
        <v>165</v>
      </c>
      <c r="GD274" s="561">
        <v>83</v>
      </c>
      <c r="GE274" s="561">
        <v>0</v>
      </c>
      <c r="GF274" s="561">
        <v>95</v>
      </c>
      <c r="GG274" s="561">
        <v>0</v>
      </c>
      <c r="GH274" s="561">
        <v>0</v>
      </c>
      <c r="GI274" s="561">
        <v>0</v>
      </c>
      <c r="GJ274" s="561">
        <v>0</v>
      </c>
      <c r="GK274" s="561">
        <v>0</v>
      </c>
      <c r="GL274" s="561">
        <v>2279</v>
      </c>
      <c r="GM274" s="561">
        <v>1925</v>
      </c>
      <c r="GN274" s="561">
        <v>0</v>
      </c>
      <c r="GO274" s="561">
        <v>-29</v>
      </c>
      <c r="GP274" s="561">
        <v>1712</v>
      </c>
      <c r="GQ274" s="561">
        <v>0</v>
      </c>
      <c r="GR274" s="561">
        <v>65</v>
      </c>
      <c r="GS274" s="561">
        <v>8157</v>
      </c>
      <c r="GT274" s="561">
        <v>0</v>
      </c>
      <c r="GU274" s="561">
        <v>266</v>
      </c>
      <c r="GV274" s="561">
        <v>-25</v>
      </c>
      <c r="GW274" s="561">
        <v>14</v>
      </c>
      <c r="GX274" s="561">
        <v>505</v>
      </c>
      <c r="GY274" s="561">
        <v>-32</v>
      </c>
      <c r="GZ274" s="561">
        <v>5786</v>
      </c>
      <c r="HA274" s="561">
        <v>0</v>
      </c>
      <c r="HB274" s="561">
        <v>1367</v>
      </c>
      <c r="HC274" s="561">
        <v>280</v>
      </c>
      <c r="HD274" s="561">
        <v>8161</v>
      </c>
      <c r="HE274" s="561">
        <v>0</v>
      </c>
      <c r="HF274" s="561">
        <v>20845</v>
      </c>
      <c r="HG274" s="561">
        <v>0</v>
      </c>
      <c r="HH274" s="561">
        <v>0</v>
      </c>
      <c r="HI274" s="561">
        <v>0</v>
      </c>
      <c r="HJ274" s="561">
        <v>0</v>
      </c>
      <c r="HK274" s="561">
        <v>0</v>
      </c>
      <c r="HL274" s="561">
        <v>0</v>
      </c>
      <c r="HM274" s="561">
        <v>0</v>
      </c>
      <c r="HN274" s="561">
        <v>0</v>
      </c>
      <c r="HO274" s="561">
        <v>3306</v>
      </c>
      <c r="HP274" s="561">
        <v>929</v>
      </c>
      <c r="HQ274" s="561">
        <v>0</v>
      </c>
      <c r="HR274" s="561">
        <v>0</v>
      </c>
      <c r="HS274" s="561">
        <v>280</v>
      </c>
      <c r="HT274" s="561">
        <v>200</v>
      </c>
      <c r="HU274" s="561">
        <v>0</v>
      </c>
      <c r="HV274" s="561">
        <v>0</v>
      </c>
      <c r="HW274" s="561">
        <v>332</v>
      </c>
      <c r="HX274" s="561">
        <v>622</v>
      </c>
      <c r="HY274" s="561">
        <v>42</v>
      </c>
      <c r="HZ274" s="561">
        <v>67</v>
      </c>
      <c r="IA274" s="561">
        <v>0</v>
      </c>
      <c r="IB274" s="561">
        <v>356</v>
      </c>
      <c r="IC274" s="561">
        <v>0</v>
      </c>
      <c r="ID274" s="561">
        <v>0</v>
      </c>
      <c r="IE274" s="561">
        <v>502</v>
      </c>
      <c r="IF274" s="561">
        <v>-5</v>
      </c>
      <c r="IG274" s="561">
        <v>279</v>
      </c>
      <c r="IH274" s="561">
        <v>411</v>
      </c>
      <c r="II274" s="561">
        <v>7321</v>
      </c>
      <c r="IJ274" s="561">
        <v>0</v>
      </c>
      <c r="IK274" s="561">
        <v>10350</v>
      </c>
      <c r="IL274" s="561">
        <v>8908</v>
      </c>
      <c r="IM274" s="561">
        <v>0</v>
      </c>
      <c r="IN274" s="561">
        <v>1038</v>
      </c>
      <c r="IO274" s="561">
        <v>1339</v>
      </c>
      <c r="IP274" s="561">
        <v>57</v>
      </c>
      <c r="IQ274" s="561">
        <v>0</v>
      </c>
      <c r="IR274" s="561">
        <v>0</v>
      </c>
      <c r="IS274" s="561">
        <v>290</v>
      </c>
      <c r="IT274" s="561">
        <v>0</v>
      </c>
      <c r="IU274" s="561">
        <v>0</v>
      </c>
      <c r="IV274" s="561">
        <v>108</v>
      </c>
      <c r="IW274" s="561">
        <v>4852</v>
      </c>
      <c r="IX274" s="561">
        <v>4527</v>
      </c>
      <c r="IY274" s="561">
        <v>8157</v>
      </c>
      <c r="IZ274" s="561">
        <v>8161</v>
      </c>
      <c r="JA274" s="561">
        <v>0</v>
      </c>
      <c r="JB274" s="561">
        <v>0</v>
      </c>
      <c r="JC274" s="561">
        <v>7321</v>
      </c>
      <c r="JD274" s="561">
        <v>57</v>
      </c>
      <c r="JE274" s="561">
        <v>33473</v>
      </c>
      <c r="JF274" s="561">
        <v>33869</v>
      </c>
      <c r="JG274" s="561">
        <v>229</v>
      </c>
      <c r="JH274" s="561">
        <v>0</v>
      </c>
      <c r="JI274" s="561">
        <v>0</v>
      </c>
      <c r="JJ274" s="561">
        <v>0</v>
      </c>
      <c r="JK274" s="561">
        <v>434</v>
      </c>
      <c r="JL274" s="561">
        <v>0</v>
      </c>
      <c r="JM274" s="561">
        <v>0</v>
      </c>
      <c r="JN274" s="561">
        <v>0</v>
      </c>
      <c r="JO274" s="561">
        <v>0</v>
      </c>
      <c r="JP274" s="561">
        <v>-1637</v>
      </c>
      <c r="JQ274" s="561">
        <v>100</v>
      </c>
      <c r="JR274" s="561">
        <v>0</v>
      </c>
      <c r="JS274" s="561">
        <v>0</v>
      </c>
      <c r="JT274" s="561">
        <v>-20</v>
      </c>
      <c r="JU274" s="561">
        <v>0</v>
      </c>
      <c r="JV274" s="561">
        <v>66448</v>
      </c>
      <c r="JW274" s="561">
        <v>0</v>
      </c>
      <c r="JX274" s="561">
        <v>4170</v>
      </c>
      <c r="JY274" s="561">
        <v>0</v>
      </c>
      <c r="JZ274" s="561">
        <v>0</v>
      </c>
      <c r="KA274" s="561">
        <v>0</v>
      </c>
      <c r="KB274" s="561">
        <v>-227</v>
      </c>
      <c r="KC274" s="561">
        <v>1140</v>
      </c>
      <c r="KD274" s="561">
        <v>0</v>
      </c>
      <c r="KE274" s="561">
        <v>844</v>
      </c>
      <c r="KF274" s="561">
        <v>0</v>
      </c>
      <c r="KG274" s="561">
        <v>72375</v>
      </c>
      <c r="KH274" s="561">
        <v>-2568</v>
      </c>
      <c r="KI274" s="561">
        <v>0</v>
      </c>
      <c r="KJ274" s="561">
        <v>108</v>
      </c>
      <c r="KK274" s="561">
        <v>0</v>
      </c>
      <c r="KL274" s="561">
        <v>-33816</v>
      </c>
      <c r="KM274" s="561">
        <v>0</v>
      </c>
      <c r="KN274" s="561">
        <v>-2570</v>
      </c>
      <c r="KO274" s="561">
        <v>0</v>
      </c>
      <c r="KP274" s="561">
        <v>0</v>
      </c>
      <c r="KQ274" s="561">
        <v>0</v>
      </c>
      <c r="KR274" s="561">
        <v>33529</v>
      </c>
      <c r="KS274" s="561">
        <v>0</v>
      </c>
      <c r="KT274" s="561">
        <v>-9133</v>
      </c>
      <c r="KU274" s="561">
        <v>24396</v>
      </c>
      <c r="KV274" s="561">
        <v>0</v>
      </c>
      <c r="KW274" s="561">
        <v>0</v>
      </c>
      <c r="KX274" s="561">
        <v>0</v>
      </c>
      <c r="KY274" s="561">
        <v>0</v>
      </c>
      <c r="KZ274" s="561">
        <v>-6064</v>
      </c>
      <c r="LA274" s="561">
        <v>4147</v>
      </c>
      <c r="LB274" s="561">
        <v>-226</v>
      </c>
      <c r="LC274" s="561">
        <v>0</v>
      </c>
      <c r="LD274" s="561">
        <v>-6903</v>
      </c>
      <c r="LE274" s="561">
        <v>177</v>
      </c>
      <c r="LF274" s="561">
        <v>0</v>
      </c>
      <c r="LG274" s="561">
        <v>15527</v>
      </c>
      <c r="LH274" s="561">
        <v>0</v>
      </c>
      <c r="LI274" s="561">
        <v>0</v>
      </c>
      <c r="LJ274" s="561">
        <v>0</v>
      </c>
      <c r="LK274" s="561">
        <v>0</v>
      </c>
      <c r="LL274" s="561">
        <v>33006</v>
      </c>
      <c r="LM274" s="561">
        <v>11678</v>
      </c>
      <c r="LN274" s="561">
        <v>0</v>
      </c>
      <c r="LO274" s="561">
        <v>0</v>
      </c>
      <c r="LP274" s="561">
        <v>0</v>
      </c>
      <c r="LQ274" s="561">
        <v>0</v>
      </c>
      <c r="LR274" s="561">
        <v>26942</v>
      </c>
      <c r="LS274" s="561">
        <v>15825</v>
      </c>
      <c r="LT274" s="561">
        <v>0</v>
      </c>
      <c r="LU274" s="561">
        <v>3248</v>
      </c>
      <c r="LV274" s="561">
        <v>1491</v>
      </c>
      <c r="LW274" s="561">
        <v>-71</v>
      </c>
      <c r="LX274" s="561">
        <v>0</v>
      </c>
      <c r="LY274" s="561">
        <v>882</v>
      </c>
      <c r="LZ274" s="561">
        <v>5649</v>
      </c>
      <c r="MA274" s="561">
        <v>0</v>
      </c>
      <c r="MB274" s="561">
        <v>0</v>
      </c>
      <c r="MC274" s="561">
        <v>0</v>
      </c>
      <c r="MD274" s="561">
        <v>0</v>
      </c>
      <c r="ME274" s="561">
        <v>0</v>
      </c>
      <c r="MF274" s="561">
        <v>0</v>
      </c>
      <c r="MG274" s="561">
        <v>0</v>
      </c>
      <c r="MH274" s="561">
        <v>4593</v>
      </c>
      <c r="MI274" s="561">
        <v>7311</v>
      </c>
      <c r="MJ274" s="561">
        <v>11904</v>
      </c>
      <c r="MK274" s="561">
        <v>0</v>
      </c>
      <c r="ML274" s="561">
        <v>0</v>
      </c>
      <c r="MM274" s="561">
        <v>20121</v>
      </c>
      <c r="MN274" s="561">
        <v>6821</v>
      </c>
      <c r="MO274" s="561">
        <v>0</v>
      </c>
      <c r="MP274" s="561">
        <v>0</v>
      </c>
      <c r="MQ274" s="561">
        <v>0</v>
      </c>
      <c r="MR274" s="561">
        <v>290</v>
      </c>
      <c r="MS274" s="561">
        <v>0</v>
      </c>
      <c r="MT274" s="561">
        <v>0</v>
      </c>
      <c r="MU274" s="561">
        <v>108</v>
      </c>
      <c r="MV274" s="561">
        <v>4852</v>
      </c>
      <c r="MW274" s="561">
        <v>4527</v>
      </c>
      <c r="MX274" s="561">
        <v>8157</v>
      </c>
      <c r="MY274" s="561">
        <v>8161</v>
      </c>
      <c r="MZ274" s="561">
        <v>0</v>
      </c>
      <c r="NA274" s="561">
        <v>0</v>
      </c>
      <c r="NB274" s="561">
        <v>7321</v>
      </c>
      <c r="NC274" s="561">
        <v>57</v>
      </c>
      <c r="ND274" s="561">
        <v>33473</v>
      </c>
      <c r="NE274" s="561">
        <v>0</v>
      </c>
      <c r="NF274" s="561">
        <v>0</v>
      </c>
      <c r="NG274" s="561">
        <v>0</v>
      </c>
      <c r="NH274" s="561">
        <v>0</v>
      </c>
      <c r="NI274" s="561">
        <v>0</v>
      </c>
      <c r="NJ274" s="561">
        <v>0</v>
      </c>
      <c r="NK274" s="561">
        <v>0</v>
      </c>
      <c r="NL274" s="561">
        <v>0</v>
      </c>
      <c r="NM274" s="561">
        <v>0</v>
      </c>
      <c r="NN274" s="561">
        <v>0</v>
      </c>
      <c r="NO274" s="561">
        <v>0</v>
      </c>
      <c r="NP274" s="561">
        <v>0</v>
      </c>
      <c r="NQ274" s="561">
        <v>0</v>
      </c>
      <c r="NR274" s="561">
        <v>21</v>
      </c>
      <c r="NS274" s="561">
        <v>0</v>
      </c>
      <c r="NT274" s="561">
        <v>-60</v>
      </c>
      <c r="NU274" s="561">
        <v>-17384</v>
      </c>
      <c r="NV274" s="561">
        <v>0</v>
      </c>
      <c r="NW274" s="561">
        <v>-1637</v>
      </c>
      <c r="NX274" s="561">
        <v>0</v>
      </c>
      <c r="NY274" s="561">
        <v>-1637</v>
      </c>
      <c r="NZ274" s="561">
        <v>0</v>
      </c>
      <c r="OA274" s="561">
        <v>0</v>
      </c>
      <c r="OB274" s="561">
        <v>0</v>
      </c>
      <c r="OC274" s="561">
        <v>0</v>
      </c>
      <c r="OD274" s="561">
        <v>0</v>
      </c>
      <c r="OE274" s="561">
        <v>0</v>
      </c>
      <c r="OF274" s="561">
        <v>0</v>
      </c>
      <c r="OG274" s="561">
        <v>0</v>
      </c>
      <c r="OH274" s="561">
        <v>0</v>
      </c>
      <c r="OI274" s="561">
        <v>0</v>
      </c>
      <c r="OJ274" s="561">
        <v>0</v>
      </c>
      <c r="OK274" s="561">
        <v>0</v>
      </c>
      <c r="OL274" s="561">
        <v>0</v>
      </c>
      <c r="OM274" s="561">
        <v>0</v>
      </c>
      <c r="ON274" s="561">
        <v>0</v>
      </c>
      <c r="OO274" s="561">
        <v>0</v>
      </c>
      <c r="OP274" s="561">
        <v>0</v>
      </c>
      <c r="OQ274" s="561">
        <v>100</v>
      </c>
      <c r="OR274" s="561">
        <v>0</v>
      </c>
      <c r="OS274" s="561">
        <v>0</v>
      </c>
      <c r="OT274" s="561">
        <v>0</v>
      </c>
      <c r="OU274" s="561">
        <v>0</v>
      </c>
      <c r="OV274" s="561">
        <v>-113</v>
      </c>
      <c r="OW274" s="561">
        <v>0</v>
      </c>
      <c r="OX274" s="561">
        <v>100</v>
      </c>
      <c r="OY274" s="561">
        <v>0</v>
      </c>
      <c r="OZ274" s="561">
        <v>0</v>
      </c>
      <c r="PA274" s="561">
        <v>0</v>
      </c>
      <c r="PB274" s="561">
        <v>0</v>
      </c>
      <c r="PC274" s="561">
        <v>0</v>
      </c>
      <c r="PD274" s="561">
        <v>0</v>
      </c>
      <c r="PE274" s="561">
        <v>0</v>
      </c>
      <c r="PF274" s="561">
        <v>0</v>
      </c>
      <c r="PG274" s="561">
        <v>0</v>
      </c>
      <c r="PH274" s="561">
        <v>0</v>
      </c>
      <c r="PI274" s="561">
        <v>0</v>
      </c>
      <c r="PJ274" s="561">
        <v>0</v>
      </c>
    </row>
    <row r="275" spans="1:426" ht="14" x14ac:dyDescent="0.3">
      <c r="A275" t="s">
        <v>3268</v>
      </c>
      <c r="B275" t="s">
        <v>3269</v>
      </c>
      <c r="C275" t="s">
        <v>4650</v>
      </c>
      <c r="E275" t="s">
        <v>385</v>
      </c>
      <c r="F275" s="561">
        <v>21885</v>
      </c>
      <c r="G275" s="561">
        <v>56262</v>
      </c>
      <c r="H275" s="561">
        <v>7194</v>
      </c>
      <c r="I275" s="561">
        <v>44244</v>
      </c>
      <c r="J275" s="561">
        <v>0</v>
      </c>
      <c r="K275" s="561">
        <v>12339</v>
      </c>
      <c r="L275" s="561">
        <v>141924</v>
      </c>
      <c r="M275" s="561">
        <v>971</v>
      </c>
      <c r="N275" s="561">
        <v>262</v>
      </c>
      <c r="O275" s="561">
        <v>1861</v>
      </c>
      <c r="P275" s="561">
        <v>2074</v>
      </c>
      <c r="Q275" s="561">
        <v>0</v>
      </c>
      <c r="R275" s="561">
        <v>97</v>
      </c>
      <c r="S275" s="561">
        <v>1197</v>
      </c>
      <c r="T275" s="561">
        <v>0</v>
      </c>
      <c r="U275" s="561">
        <v>193</v>
      </c>
      <c r="V275" s="561">
        <v>952</v>
      </c>
      <c r="W275" s="561">
        <v>0</v>
      </c>
      <c r="X275" s="561">
        <v>-1699</v>
      </c>
      <c r="Y275" s="561">
        <v>366</v>
      </c>
      <c r="Z275" s="561">
        <v>-100</v>
      </c>
      <c r="AA275" s="561">
        <v>-2371</v>
      </c>
      <c r="AB275" s="561">
        <v>-1884</v>
      </c>
      <c r="AC275" s="561">
        <v>7004</v>
      </c>
      <c r="AD275" s="561">
        <v>917</v>
      </c>
      <c r="AE275" s="561">
        <v>0</v>
      </c>
      <c r="AF275" s="561">
        <v>0</v>
      </c>
      <c r="AG275" s="561">
        <v>0</v>
      </c>
      <c r="AH275" s="561">
        <v>81</v>
      </c>
      <c r="AI275" s="561">
        <v>0</v>
      </c>
      <c r="AJ275" s="561">
        <v>8950</v>
      </c>
      <c r="AK275" s="561">
        <v>280</v>
      </c>
      <c r="AL275" s="561">
        <v>0</v>
      </c>
      <c r="AM275" s="561">
        <v>0</v>
      </c>
      <c r="AN275" s="561">
        <v>0</v>
      </c>
      <c r="AO275" s="561">
        <v>0</v>
      </c>
      <c r="AP275" s="561">
        <v>0</v>
      </c>
      <c r="AQ275" s="561">
        <v>0</v>
      </c>
      <c r="AR275" s="561">
        <v>0</v>
      </c>
      <c r="AS275" s="561">
        <v>1708</v>
      </c>
      <c r="AT275" s="561">
        <v>3045</v>
      </c>
      <c r="AU275" s="561">
        <v>0</v>
      </c>
      <c r="AV275" s="561">
        <v>0</v>
      </c>
      <c r="AW275" s="561">
        <v>0</v>
      </c>
      <c r="AX275" s="561">
        <v>1427</v>
      </c>
      <c r="AY275" s="561">
        <v>28491</v>
      </c>
      <c r="AZ275" s="561">
        <v>4342</v>
      </c>
      <c r="BA275" s="561">
        <v>14463</v>
      </c>
      <c r="BB275" s="561">
        <v>84</v>
      </c>
      <c r="BC275" s="561">
        <v>12102</v>
      </c>
      <c r="BD275" s="561">
        <v>585</v>
      </c>
      <c r="BE275" s="561">
        <v>1596</v>
      </c>
      <c r="BF275" s="561">
        <v>63090</v>
      </c>
      <c r="BG275" s="561">
        <v>3594</v>
      </c>
      <c r="BH275" s="561">
        <v>4645</v>
      </c>
      <c r="BI275" s="561">
        <v>20639</v>
      </c>
      <c r="BJ275" s="561">
        <v>171</v>
      </c>
      <c r="BK275" s="561">
        <v>77</v>
      </c>
      <c r="BL275" s="561">
        <v>153</v>
      </c>
      <c r="BM275" s="561">
        <v>2396</v>
      </c>
      <c r="BN275" s="561">
        <v>23964</v>
      </c>
      <c r="BO275" s="561">
        <v>1947</v>
      </c>
      <c r="BP275" s="561">
        <v>5537</v>
      </c>
      <c r="BQ275" s="561">
        <v>1861</v>
      </c>
      <c r="BR275" s="561">
        <v>0</v>
      </c>
      <c r="BS275" s="561">
        <v>0</v>
      </c>
      <c r="BT275" s="561">
        <v>1361</v>
      </c>
      <c r="BU275" s="561">
        <v>97</v>
      </c>
      <c r="BV275" s="561">
        <v>602</v>
      </c>
      <c r="BW275" s="561">
        <v>12282</v>
      </c>
      <c r="BX275" s="561">
        <v>409</v>
      </c>
      <c r="BY275" s="561">
        <v>-3474</v>
      </c>
      <c r="BZ275" s="561">
        <v>72667</v>
      </c>
      <c r="CA275" s="561">
        <v>4316</v>
      </c>
      <c r="CB275" s="561">
        <v>1381</v>
      </c>
      <c r="CC275" s="561">
        <v>506</v>
      </c>
      <c r="CD275" s="561">
        <v>119</v>
      </c>
      <c r="CE275" s="561">
        <v>86</v>
      </c>
      <c r="CF275" s="561">
        <v>2</v>
      </c>
      <c r="CG275" s="561">
        <v>64</v>
      </c>
      <c r="CH275" s="561">
        <v>27</v>
      </c>
      <c r="CI275" s="561">
        <v>43</v>
      </c>
      <c r="CJ275" s="561">
        <v>3</v>
      </c>
      <c r="CK275" s="561">
        <v>246</v>
      </c>
      <c r="CL275" s="561">
        <v>227</v>
      </c>
      <c r="CM275" s="561">
        <v>1605</v>
      </c>
      <c r="CN275" s="561">
        <v>1691</v>
      </c>
      <c r="CO275" s="561">
        <v>667</v>
      </c>
      <c r="CP275" s="561">
        <v>680</v>
      </c>
      <c r="CQ275" s="561">
        <v>19</v>
      </c>
      <c r="CR275" s="561">
        <v>354</v>
      </c>
      <c r="CS275" s="561">
        <v>2</v>
      </c>
      <c r="CT275" s="561">
        <v>1595</v>
      </c>
      <c r="CU275" s="561">
        <v>2698</v>
      </c>
      <c r="CV275" s="561">
        <v>36</v>
      </c>
      <c r="CW275" s="561">
        <v>37</v>
      </c>
      <c r="CX275" s="561">
        <v>272</v>
      </c>
      <c r="CY275" s="561">
        <v>336</v>
      </c>
      <c r="CZ275" s="561">
        <v>12696</v>
      </c>
      <c r="DA275" s="561">
        <v>415</v>
      </c>
      <c r="DB275" s="561">
        <v>234.19</v>
      </c>
      <c r="DC275" s="561">
        <v>13</v>
      </c>
      <c r="DD275" s="561">
        <v>1.5</v>
      </c>
      <c r="DE275" s="561">
        <v>0</v>
      </c>
      <c r="DF275" s="561">
        <v>0</v>
      </c>
      <c r="DG275" s="561">
        <v>0</v>
      </c>
      <c r="DH275" s="561">
        <v>730</v>
      </c>
      <c r="DI275" s="561">
        <v>0</v>
      </c>
      <c r="DJ275" s="561">
        <v>124</v>
      </c>
      <c r="DK275" s="561">
        <v>0</v>
      </c>
      <c r="DL275" s="561">
        <v>1015</v>
      </c>
      <c r="DM275" s="561">
        <v>0</v>
      </c>
      <c r="DN275" s="561">
        <v>0</v>
      </c>
      <c r="DO275" s="561">
        <v>2060</v>
      </c>
      <c r="DP275" s="561">
        <v>0</v>
      </c>
      <c r="DQ275" s="561">
        <v>0</v>
      </c>
      <c r="DR275" s="561">
        <v>-428</v>
      </c>
      <c r="DS275" s="561">
        <v>2143</v>
      </c>
      <c r="DT275" s="561">
        <v>1802</v>
      </c>
      <c r="DU275" s="561">
        <v>6592</v>
      </c>
      <c r="DV275" s="561">
        <v>0</v>
      </c>
      <c r="DW275" s="561">
        <v>0</v>
      </c>
      <c r="DX275" s="561">
        <v>0</v>
      </c>
      <c r="DY275" s="561">
        <v>1375</v>
      </c>
      <c r="DZ275" s="561">
        <v>0</v>
      </c>
      <c r="EA275" s="561">
        <v>1922</v>
      </c>
      <c r="EB275" s="561">
        <v>0</v>
      </c>
      <c r="EC275" s="561">
        <v>10743</v>
      </c>
      <c r="ED275" s="561">
        <v>379</v>
      </c>
      <c r="EE275" s="561">
        <v>44141</v>
      </c>
      <c r="EF275" s="561">
        <v>53</v>
      </c>
      <c r="EG275" s="561">
        <v>1860</v>
      </c>
      <c r="EH275" s="561">
        <v>1878</v>
      </c>
      <c r="EI275" s="561">
        <v>4029</v>
      </c>
      <c r="EJ275" s="561">
        <v>1958</v>
      </c>
      <c r="EK275" s="561">
        <v>0</v>
      </c>
      <c r="EL275" s="561">
        <v>0</v>
      </c>
      <c r="EM275" s="561">
        <v>0</v>
      </c>
      <c r="EN275" s="561">
        <v>12679</v>
      </c>
      <c r="EO275" s="561">
        <v>19653</v>
      </c>
      <c r="EP275" s="561">
        <v>4498</v>
      </c>
      <c r="EQ275" s="561">
        <v>408</v>
      </c>
      <c r="ER275" s="561">
        <v>7455</v>
      </c>
      <c r="ES275" s="561" t="s">
        <v>4565</v>
      </c>
      <c r="ET275" s="561">
        <v>12820</v>
      </c>
      <c r="EU275" s="561">
        <v>158</v>
      </c>
      <c r="EV275" s="561">
        <v>30</v>
      </c>
      <c r="EW275" s="561">
        <v>0</v>
      </c>
      <c r="EX275" s="561">
        <v>0</v>
      </c>
      <c r="EY275" s="561">
        <v>294</v>
      </c>
      <c r="EZ275" s="561">
        <v>-4076</v>
      </c>
      <c r="FA275" s="561">
        <v>36912</v>
      </c>
      <c r="FB275" s="561">
        <v>412</v>
      </c>
      <c r="FC275" s="561">
        <v>256</v>
      </c>
      <c r="FD275" s="561">
        <v>207</v>
      </c>
      <c r="FE275" s="561">
        <v>717</v>
      </c>
      <c r="FF275" s="561">
        <v>1259</v>
      </c>
      <c r="FG275" s="561">
        <v>-1557</v>
      </c>
      <c r="FH275" s="561">
        <v>0</v>
      </c>
      <c r="FI275" s="561">
        <v>0</v>
      </c>
      <c r="FJ275" s="561">
        <v>5</v>
      </c>
      <c r="FK275" s="561">
        <v>2061</v>
      </c>
      <c r="FL275" s="561">
        <v>0</v>
      </c>
      <c r="FM275" s="561">
        <v>0</v>
      </c>
      <c r="FN275" s="561">
        <v>1722</v>
      </c>
      <c r="FO275" s="561">
        <v>5082</v>
      </c>
      <c r="FP275" s="561">
        <v>194</v>
      </c>
      <c r="FQ275" s="561">
        <v>-550</v>
      </c>
      <c r="FR275" s="561">
        <v>466</v>
      </c>
      <c r="FS275" s="561">
        <v>0</v>
      </c>
      <c r="FT275" s="561">
        <v>696</v>
      </c>
      <c r="FU275" s="561">
        <v>931</v>
      </c>
      <c r="FV275" s="561">
        <v>619</v>
      </c>
      <c r="FW275" s="561">
        <v>0</v>
      </c>
      <c r="FX275" s="561">
        <v>0</v>
      </c>
      <c r="FY275" s="561">
        <v>0</v>
      </c>
      <c r="FZ275" s="561">
        <v>0</v>
      </c>
      <c r="GA275" s="561">
        <v>95</v>
      </c>
      <c r="GB275" s="561">
        <v>86</v>
      </c>
      <c r="GC275" s="561">
        <v>281</v>
      </c>
      <c r="GD275" s="561">
        <v>134</v>
      </c>
      <c r="GE275" s="561">
        <v>134</v>
      </c>
      <c r="GF275" s="561">
        <v>134</v>
      </c>
      <c r="GG275" s="561">
        <v>0</v>
      </c>
      <c r="GH275" s="561">
        <v>0</v>
      </c>
      <c r="GI275" s="561">
        <v>0</v>
      </c>
      <c r="GJ275" s="561">
        <v>0</v>
      </c>
      <c r="GK275" s="561">
        <v>0</v>
      </c>
      <c r="GL275" s="561">
        <v>2671</v>
      </c>
      <c r="GM275" s="561">
        <v>1563</v>
      </c>
      <c r="GN275" s="561">
        <v>9323</v>
      </c>
      <c r="GO275" s="561">
        <v>193</v>
      </c>
      <c r="GP275" s="561">
        <v>4842</v>
      </c>
      <c r="GQ275" s="561">
        <v>0</v>
      </c>
      <c r="GR275" s="561">
        <v>0</v>
      </c>
      <c r="GS275" s="561">
        <v>21618</v>
      </c>
      <c r="GT275" s="561">
        <v>871</v>
      </c>
      <c r="GU275" s="561">
        <v>331</v>
      </c>
      <c r="GV275" s="561">
        <v>1977</v>
      </c>
      <c r="GW275" s="561">
        <v>0</v>
      </c>
      <c r="GX275" s="561">
        <v>0</v>
      </c>
      <c r="GY275" s="561">
        <v>348</v>
      </c>
      <c r="GZ275" s="561">
        <v>-237</v>
      </c>
      <c r="HA275" s="561">
        <v>0</v>
      </c>
      <c r="HB275" s="561">
        <v>17</v>
      </c>
      <c r="HC275" s="561">
        <v>132</v>
      </c>
      <c r="HD275" s="561">
        <v>2568</v>
      </c>
      <c r="HE275" s="561">
        <v>609</v>
      </c>
      <c r="HF275" s="561">
        <v>29268</v>
      </c>
      <c r="HG275" s="561">
        <v>1674</v>
      </c>
      <c r="HH275" s="561">
        <v>0</v>
      </c>
      <c r="HI275" s="561">
        <v>0</v>
      </c>
      <c r="HJ275" s="561">
        <v>0</v>
      </c>
      <c r="HK275" s="561">
        <v>0</v>
      </c>
      <c r="HL275" s="561">
        <v>0</v>
      </c>
      <c r="HM275" s="561">
        <v>0</v>
      </c>
      <c r="HN275" s="561">
        <v>0</v>
      </c>
      <c r="HO275" s="561">
        <v>4355</v>
      </c>
      <c r="HP275" s="561">
        <v>889</v>
      </c>
      <c r="HQ275" s="561">
        <v>0</v>
      </c>
      <c r="HR275" s="561">
        <v>45</v>
      </c>
      <c r="HS275" s="561">
        <v>0</v>
      </c>
      <c r="HT275" s="561">
        <v>379</v>
      </c>
      <c r="HU275" s="561">
        <v>0</v>
      </c>
      <c r="HV275" s="561">
        <v>269</v>
      </c>
      <c r="HW275" s="561">
        <v>519</v>
      </c>
      <c r="HX275" s="561">
        <v>753</v>
      </c>
      <c r="HY275" s="561">
        <v>145</v>
      </c>
      <c r="HZ275" s="561">
        <v>-160</v>
      </c>
      <c r="IA275" s="561">
        <v>0</v>
      </c>
      <c r="IB275" s="561">
        <v>5853</v>
      </c>
      <c r="IC275" s="561">
        <v>833</v>
      </c>
      <c r="ID275" s="561">
        <v>0</v>
      </c>
      <c r="IE275" s="561">
        <v>606</v>
      </c>
      <c r="IF275" s="561">
        <v>0</v>
      </c>
      <c r="IG275" s="561">
        <v>0</v>
      </c>
      <c r="IH275" s="561">
        <v>0</v>
      </c>
      <c r="II275" s="561">
        <v>14486</v>
      </c>
      <c r="IJ275" s="561">
        <v>105</v>
      </c>
      <c r="IK275" s="561">
        <v>2269</v>
      </c>
      <c r="IL275" s="561">
        <v>31381</v>
      </c>
      <c r="IM275" s="561">
        <v>0</v>
      </c>
      <c r="IN275" s="561">
        <v>0</v>
      </c>
      <c r="IO275" s="561">
        <v>9414</v>
      </c>
      <c r="IP275" s="561">
        <v>0</v>
      </c>
      <c r="IQ275" s="561">
        <v>0</v>
      </c>
      <c r="IR275" s="561">
        <v>141924</v>
      </c>
      <c r="IS275" s="561">
        <v>8950</v>
      </c>
      <c r="IT275" s="561">
        <v>63090</v>
      </c>
      <c r="IU275" s="561">
        <v>72667</v>
      </c>
      <c r="IV275" s="561">
        <v>12696</v>
      </c>
      <c r="IW275" s="561">
        <v>10743</v>
      </c>
      <c r="IX275" s="561">
        <v>5082</v>
      </c>
      <c r="IY275" s="561">
        <v>21618</v>
      </c>
      <c r="IZ275" s="561">
        <v>2568</v>
      </c>
      <c r="JA275" s="561">
        <v>0</v>
      </c>
      <c r="JB275" s="561">
        <v>0</v>
      </c>
      <c r="JC275" s="561">
        <v>14486</v>
      </c>
      <c r="JD275" s="561">
        <v>0</v>
      </c>
      <c r="JE275" s="561">
        <v>353824</v>
      </c>
      <c r="JF275" s="561">
        <v>27335</v>
      </c>
      <c r="JG275" s="561">
        <v>2843</v>
      </c>
      <c r="JH275" s="561">
        <v>13339</v>
      </c>
      <c r="JI275" s="561">
        <v>0</v>
      </c>
      <c r="JJ275" s="561">
        <v>0</v>
      </c>
      <c r="JK275" s="561">
        <v>0</v>
      </c>
      <c r="JL275" s="561">
        <v>0</v>
      </c>
      <c r="JM275" s="561">
        <v>0</v>
      </c>
      <c r="JN275" s="561">
        <v>0</v>
      </c>
      <c r="JO275" s="561">
        <v>603</v>
      </c>
      <c r="JP275" s="561">
        <v>0</v>
      </c>
      <c r="JQ275" s="561">
        <v>0</v>
      </c>
      <c r="JR275" s="561">
        <v>0</v>
      </c>
      <c r="JS275" s="561">
        <v>0</v>
      </c>
      <c r="JT275" s="561">
        <v>-61</v>
      </c>
      <c r="JU275" s="561">
        <v>0</v>
      </c>
      <c r="JV275" s="561">
        <v>397883</v>
      </c>
      <c r="JW275" s="561">
        <v>140</v>
      </c>
      <c r="JX275" s="561">
        <v>69</v>
      </c>
      <c r="JY275" s="561">
        <v>0</v>
      </c>
      <c r="JZ275" s="561">
        <v>0</v>
      </c>
      <c r="KA275" s="561">
        <v>0</v>
      </c>
      <c r="KB275" s="561">
        <v>-1184</v>
      </c>
      <c r="KC275" s="561">
        <v>9386</v>
      </c>
      <c r="KD275" s="561">
        <v>0</v>
      </c>
      <c r="KE275" s="561">
        <v>16028</v>
      </c>
      <c r="KF275" s="561">
        <v>-5528</v>
      </c>
      <c r="KG275" s="561">
        <v>416794</v>
      </c>
      <c r="KH275" s="561">
        <v>-9393</v>
      </c>
      <c r="KI275" s="561">
        <v>0</v>
      </c>
      <c r="KJ275" s="561">
        <v>0</v>
      </c>
      <c r="KK275" s="561">
        <v>0</v>
      </c>
      <c r="KL275" s="561">
        <v>-42877</v>
      </c>
      <c r="KM275" s="561">
        <v>0</v>
      </c>
      <c r="KN275" s="561">
        <v>-5035</v>
      </c>
      <c r="KO275" s="561">
        <v>0</v>
      </c>
      <c r="KP275" s="561">
        <v>0</v>
      </c>
      <c r="KQ275" s="561">
        <v>-15499</v>
      </c>
      <c r="KR275" s="561">
        <v>343990</v>
      </c>
      <c r="KS275" s="561">
        <v>0</v>
      </c>
      <c r="KT275" s="561">
        <v>-165091</v>
      </c>
      <c r="KU275" s="561">
        <v>178899</v>
      </c>
      <c r="KV275" s="561">
        <v>0</v>
      </c>
      <c r="KW275" s="561">
        <v>-432</v>
      </c>
      <c r="KX275" s="561">
        <v>0</v>
      </c>
      <c r="KY275" s="561">
        <v>179</v>
      </c>
      <c r="KZ275" s="561">
        <v>-17367</v>
      </c>
      <c r="LA275" s="561">
        <v>511</v>
      </c>
      <c r="LB275" s="561">
        <v>-2652</v>
      </c>
      <c r="LC275" s="561">
        <v>0</v>
      </c>
      <c r="LD275" s="561">
        <v>-46747</v>
      </c>
      <c r="LE275" s="561">
        <v>1701</v>
      </c>
      <c r="LF275" s="561">
        <v>4792</v>
      </c>
      <c r="LG275" s="561">
        <v>118884</v>
      </c>
      <c r="LH275" s="561">
        <v>1780</v>
      </c>
      <c r="LI275" s="561">
        <v>-9405</v>
      </c>
      <c r="LJ275" s="561">
        <v>0</v>
      </c>
      <c r="LK275" s="561">
        <v>1519</v>
      </c>
      <c r="LL275" s="561">
        <v>54451</v>
      </c>
      <c r="LM275" s="561">
        <v>8394</v>
      </c>
      <c r="LN275" s="561">
        <v>1348</v>
      </c>
      <c r="LO275" s="561">
        <v>-24904</v>
      </c>
      <c r="LP275" s="561">
        <v>0</v>
      </c>
      <c r="LQ275" s="561">
        <v>1698</v>
      </c>
      <c r="LR275" s="561">
        <v>37084</v>
      </c>
      <c r="LS275" s="561">
        <v>8905</v>
      </c>
      <c r="LT275" s="561">
        <v>0</v>
      </c>
      <c r="LU275" s="561">
        <v>27742</v>
      </c>
      <c r="LV275" s="561">
        <v>113</v>
      </c>
      <c r="LW275" s="561">
        <v>-2094</v>
      </c>
      <c r="LX275" s="561">
        <v>-47645</v>
      </c>
      <c r="LY275" s="561">
        <v>13588</v>
      </c>
      <c r="LZ275" s="561">
        <v>-8244</v>
      </c>
      <c r="MA275" s="561">
        <v>0</v>
      </c>
      <c r="MB275" s="561">
        <v>0</v>
      </c>
      <c r="MC275" s="561">
        <v>53919</v>
      </c>
      <c r="MD275" s="561">
        <v>57995</v>
      </c>
      <c r="ME275" s="561">
        <v>-4076</v>
      </c>
      <c r="MF275" s="561">
        <v>36912</v>
      </c>
      <c r="MG275" s="561">
        <v>32836</v>
      </c>
      <c r="MH275" s="561">
        <v>4409</v>
      </c>
      <c r="MI275" s="561">
        <v>4535</v>
      </c>
      <c r="MJ275" s="561">
        <v>8944</v>
      </c>
      <c r="MK275" s="561">
        <v>0</v>
      </c>
      <c r="ML275" s="561">
        <v>0</v>
      </c>
      <c r="MM275" s="561">
        <v>10939</v>
      </c>
      <c r="MN275" s="561">
        <v>12638</v>
      </c>
      <c r="MO275" s="561">
        <v>13507</v>
      </c>
      <c r="MP275" s="561">
        <v>0</v>
      </c>
      <c r="MQ275" s="561">
        <v>141924</v>
      </c>
      <c r="MR275" s="561">
        <v>8950</v>
      </c>
      <c r="MS275" s="561">
        <v>63090</v>
      </c>
      <c r="MT275" s="561">
        <v>72667</v>
      </c>
      <c r="MU275" s="561">
        <v>12696</v>
      </c>
      <c r="MV275" s="561">
        <v>10743</v>
      </c>
      <c r="MW275" s="561">
        <v>5082</v>
      </c>
      <c r="MX275" s="561">
        <v>21618</v>
      </c>
      <c r="MY275" s="561">
        <v>2568</v>
      </c>
      <c r="MZ275" s="561">
        <v>0</v>
      </c>
      <c r="NA275" s="561">
        <v>0</v>
      </c>
      <c r="NB275" s="561">
        <v>14486</v>
      </c>
      <c r="NC275" s="561">
        <v>0</v>
      </c>
      <c r="ND275" s="561">
        <v>353824</v>
      </c>
      <c r="NE275" s="561">
        <v>0</v>
      </c>
      <c r="NF275" s="561">
        <v>0</v>
      </c>
      <c r="NG275" s="561">
        <v>0</v>
      </c>
      <c r="NH275" s="561">
        <v>0</v>
      </c>
      <c r="NI275" s="561">
        <v>0</v>
      </c>
      <c r="NJ275" s="561">
        <v>0</v>
      </c>
      <c r="NK275" s="561">
        <v>0</v>
      </c>
      <c r="NL275" s="561">
        <v>0</v>
      </c>
      <c r="NM275" s="561">
        <v>0</v>
      </c>
      <c r="NN275" s="561">
        <v>0</v>
      </c>
      <c r="NO275" s="561">
        <v>0</v>
      </c>
      <c r="NP275" s="561">
        <v>0</v>
      </c>
      <c r="NQ275" s="561">
        <v>0</v>
      </c>
      <c r="NR275" s="561">
        <v>0</v>
      </c>
      <c r="NS275" s="561">
        <v>0</v>
      </c>
      <c r="NT275" s="561">
        <v>0</v>
      </c>
      <c r="NU275" s="561">
        <v>-1743</v>
      </c>
      <c r="NV275" s="561">
        <v>0</v>
      </c>
      <c r="NW275" s="561">
        <v>0</v>
      </c>
      <c r="NX275" s="561">
        <v>0</v>
      </c>
      <c r="NY275" s="561">
        <v>0</v>
      </c>
      <c r="NZ275" s="561">
        <v>0</v>
      </c>
      <c r="OA275" s="561">
        <v>0</v>
      </c>
      <c r="OB275" s="561">
        <v>0</v>
      </c>
      <c r="OC275" s="561">
        <v>0</v>
      </c>
      <c r="OD275" s="561">
        <v>0</v>
      </c>
      <c r="OE275" s="561">
        <v>0</v>
      </c>
      <c r="OF275" s="561">
        <v>0</v>
      </c>
      <c r="OG275" s="561">
        <v>0</v>
      </c>
      <c r="OH275" s="561">
        <v>0</v>
      </c>
      <c r="OI275" s="561">
        <v>0</v>
      </c>
      <c r="OJ275" s="561">
        <v>0</v>
      </c>
      <c r="OK275" s="561">
        <v>0</v>
      </c>
      <c r="OL275" s="561">
        <v>0</v>
      </c>
      <c r="OM275" s="561">
        <v>0</v>
      </c>
      <c r="ON275" s="561">
        <v>0</v>
      </c>
      <c r="OO275" s="561">
        <v>0</v>
      </c>
      <c r="OP275" s="561">
        <v>0</v>
      </c>
      <c r="OQ275" s="561">
        <v>0</v>
      </c>
      <c r="OR275" s="561">
        <v>0</v>
      </c>
      <c r="OS275" s="561">
        <v>0</v>
      </c>
      <c r="OT275" s="561">
        <v>0</v>
      </c>
      <c r="OU275" s="561">
        <v>0</v>
      </c>
      <c r="OV275" s="561">
        <v>175</v>
      </c>
      <c r="OW275" s="561">
        <v>0</v>
      </c>
      <c r="OX275" s="561">
        <v>0</v>
      </c>
      <c r="OY275" s="561">
        <v>0</v>
      </c>
      <c r="OZ275" s="561">
        <v>0</v>
      </c>
      <c r="PA275" s="561">
        <v>0</v>
      </c>
      <c r="PB275" s="561">
        <v>0</v>
      </c>
      <c r="PC275" s="561">
        <v>0</v>
      </c>
      <c r="PD275" s="561">
        <v>0</v>
      </c>
      <c r="PE275" s="561">
        <v>0</v>
      </c>
      <c r="PF275" s="561">
        <v>0</v>
      </c>
      <c r="PG275" s="561">
        <v>0</v>
      </c>
      <c r="PH275" s="561">
        <v>0</v>
      </c>
      <c r="PI275" s="561">
        <v>0</v>
      </c>
      <c r="PJ275" s="561">
        <v>0</v>
      </c>
    </row>
    <row r="276" spans="1:426" ht="14" x14ac:dyDescent="0.3">
      <c r="A276" t="s">
        <v>3271</v>
      </c>
      <c r="B276" t="s">
        <v>3272</v>
      </c>
      <c r="C276" t="s">
        <v>3273</v>
      </c>
      <c r="E276" t="s">
        <v>2476</v>
      </c>
      <c r="F276" s="561">
        <v>36317</v>
      </c>
      <c r="G276" s="561">
        <v>136904</v>
      </c>
      <c r="H276" s="561">
        <v>119073</v>
      </c>
      <c r="I276" s="561">
        <v>35836</v>
      </c>
      <c r="J276" s="561">
        <v>7939</v>
      </c>
      <c r="K276" s="561">
        <v>51387</v>
      </c>
      <c r="L276" s="561">
        <v>387456</v>
      </c>
      <c r="M276" s="561">
        <v>646</v>
      </c>
      <c r="N276" s="561">
        <v>2330</v>
      </c>
      <c r="O276" s="561">
        <v>0</v>
      </c>
      <c r="P276" s="561">
        <v>0</v>
      </c>
      <c r="Q276" s="561">
        <v>967.59</v>
      </c>
      <c r="R276" s="561">
        <v>768</v>
      </c>
      <c r="S276" s="561">
        <v>3172</v>
      </c>
      <c r="T276" s="561">
        <v>166</v>
      </c>
      <c r="U276" s="561">
        <v>269</v>
      </c>
      <c r="V276" s="561">
        <v>2909</v>
      </c>
      <c r="W276" s="561">
        <v>0</v>
      </c>
      <c r="X276" s="561">
        <v>0</v>
      </c>
      <c r="Y276" s="561">
        <v>278</v>
      </c>
      <c r="Z276" s="561">
        <v>-1073</v>
      </c>
      <c r="AA276" s="561">
        <v>-16515</v>
      </c>
      <c r="AB276" s="561">
        <v>965</v>
      </c>
      <c r="AC276" s="561">
        <v>8034</v>
      </c>
      <c r="AD276" s="561">
        <v>0</v>
      </c>
      <c r="AE276" s="561">
        <v>0</v>
      </c>
      <c r="AF276" s="561">
        <v>0</v>
      </c>
      <c r="AG276" s="561">
        <v>0</v>
      </c>
      <c r="AH276" s="561">
        <v>0</v>
      </c>
      <c r="AI276" s="561">
        <v>0</v>
      </c>
      <c r="AJ276" s="561">
        <v>2270.59</v>
      </c>
      <c r="AK276" s="561">
        <v>577</v>
      </c>
      <c r="AL276" s="561">
        <v>0</v>
      </c>
      <c r="AM276" s="561">
        <v>0</v>
      </c>
      <c r="AN276" s="561">
        <v>0</v>
      </c>
      <c r="AO276" s="561">
        <v>0</v>
      </c>
      <c r="AP276" s="561">
        <v>0</v>
      </c>
      <c r="AQ276" s="561">
        <v>0</v>
      </c>
      <c r="AR276" s="561">
        <v>0</v>
      </c>
      <c r="AS276" s="561">
        <v>19581</v>
      </c>
      <c r="AT276" s="561">
        <v>3096</v>
      </c>
      <c r="AU276" s="561">
        <v>0</v>
      </c>
      <c r="AV276" s="561">
        <v>0</v>
      </c>
      <c r="AW276" s="561">
        <v>0</v>
      </c>
      <c r="AX276" s="561">
        <v>1113</v>
      </c>
      <c r="AY276" s="561">
        <v>29098</v>
      </c>
      <c r="AZ276" s="561">
        <v>2850</v>
      </c>
      <c r="BA276" s="561">
        <v>4933</v>
      </c>
      <c r="BB276" s="561">
        <v>1480</v>
      </c>
      <c r="BC276" s="561">
        <v>30905</v>
      </c>
      <c r="BD276" s="561">
        <v>0</v>
      </c>
      <c r="BE276" s="561">
        <v>1684</v>
      </c>
      <c r="BF276" s="561">
        <v>72063</v>
      </c>
      <c r="BG276" s="561">
        <v>7423</v>
      </c>
      <c r="BH276" s="561">
        <v>11158</v>
      </c>
      <c r="BI276" s="561">
        <v>23442</v>
      </c>
      <c r="BJ276" s="561">
        <v>327</v>
      </c>
      <c r="BK276" s="561">
        <v>83</v>
      </c>
      <c r="BL276" s="561">
        <v>139</v>
      </c>
      <c r="BM276" s="561">
        <v>2059</v>
      </c>
      <c r="BN276" s="561">
        <v>33592</v>
      </c>
      <c r="BO276" s="561">
        <v>4375</v>
      </c>
      <c r="BP276" s="561">
        <v>7073</v>
      </c>
      <c r="BQ276" s="561">
        <v>2639</v>
      </c>
      <c r="BR276" s="561">
        <v>38.65</v>
      </c>
      <c r="BS276" s="561">
        <v>31.86</v>
      </c>
      <c r="BT276" s="561">
        <v>230</v>
      </c>
      <c r="BU276" s="561">
        <v>1185</v>
      </c>
      <c r="BV276" s="561">
        <v>1008</v>
      </c>
      <c r="BW276" s="561">
        <v>10326</v>
      </c>
      <c r="BX276" s="561">
        <v>1288</v>
      </c>
      <c r="BY276" s="561">
        <v>7640</v>
      </c>
      <c r="BZ276" s="561">
        <v>106634.51</v>
      </c>
      <c r="CA276" s="561">
        <v>5792</v>
      </c>
      <c r="CB276" s="561">
        <v>2300</v>
      </c>
      <c r="CC276" s="561">
        <v>135</v>
      </c>
      <c r="CD276" s="561">
        <v>286</v>
      </c>
      <c r="CE276" s="561">
        <v>264</v>
      </c>
      <c r="CF276" s="561">
        <v>94</v>
      </c>
      <c r="CG276" s="561">
        <v>207</v>
      </c>
      <c r="CH276" s="561">
        <v>6</v>
      </c>
      <c r="CI276" s="561">
        <v>272</v>
      </c>
      <c r="CJ276" s="561">
        <v>29</v>
      </c>
      <c r="CK276" s="561">
        <v>795</v>
      </c>
      <c r="CL276" s="561">
        <v>33</v>
      </c>
      <c r="CM276" s="561">
        <v>2561</v>
      </c>
      <c r="CN276" s="561">
        <v>1209</v>
      </c>
      <c r="CO276" s="561">
        <v>298</v>
      </c>
      <c r="CP276" s="561">
        <v>298</v>
      </c>
      <c r="CQ276" s="561">
        <v>445</v>
      </c>
      <c r="CR276" s="561">
        <v>783</v>
      </c>
      <c r="CS276" s="561">
        <v>18</v>
      </c>
      <c r="CT276" s="561">
        <v>1039</v>
      </c>
      <c r="CU276" s="561">
        <v>4811</v>
      </c>
      <c r="CV276" s="561">
        <v>106</v>
      </c>
      <c r="CW276" s="561">
        <v>0</v>
      </c>
      <c r="CX276" s="561">
        <v>595</v>
      </c>
      <c r="CY276" s="561">
        <v>2058</v>
      </c>
      <c r="CZ276" s="561">
        <v>18642</v>
      </c>
      <c r="DA276" s="561">
        <v>0</v>
      </c>
      <c r="DB276" s="561">
        <v>0</v>
      </c>
      <c r="DC276" s="561">
        <v>0</v>
      </c>
      <c r="DD276" s="561">
        <v>0</v>
      </c>
      <c r="DE276" s="561">
        <v>0</v>
      </c>
      <c r="DF276" s="561">
        <v>0</v>
      </c>
      <c r="DG276" s="561">
        <v>0</v>
      </c>
      <c r="DH276" s="561">
        <v>1979</v>
      </c>
      <c r="DI276" s="561">
        <v>0</v>
      </c>
      <c r="DJ276" s="561">
        <v>0</v>
      </c>
      <c r="DK276" s="561">
        <v>0</v>
      </c>
      <c r="DL276" s="561">
        <v>12606</v>
      </c>
      <c r="DM276" s="561">
        <v>4105</v>
      </c>
      <c r="DN276" s="561">
        <v>-687</v>
      </c>
      <c r="DO276" s="561">
        <v>5991</v>
      </c>
      <c r="DP276" s="561">
        <v>-401</v>
      </c>
      <c r="DQ276" s="561">
        <v>0</v>
      </c>
      <c r="DR276" s="561">
        <v>1513</v>
      </c>
      <c r="DS276" s="561">
        <v>10355</v>
      </c>
      <c r="DT276" s="561">
        <v>2420</v>
      </c>
      <c r="DU276" s="561">
        <v>35902</v>
      </c>
      <c r="DV276" s="561">
        <v>10</v>
      </c>
      <c r="DW276" s="561">
        <v>0</v>
      </c>
      <c r="DX276" s="561">
        <v>0</v>
      </c>
      <c r="DY276" s="561">
        <v>1807</v>
      </c>
      <c r="DZ276" s="561">
        <v>0</v>
      </c>
      <c r="EA276" s="561">
        <v>627</v>
      </c>
      <c r="EB276" s="561">
        <v>0</v>
      </c>
      <c r="EC276" s="561">
        <v>40325</v>
      </c>
      <c r="ED276" s="561">
        <v>3917</v>
      </c>
      <c r="EE276" s="561">
        <v>32893.39</v>
      </c>
      <c r="EF276" s="561">
        <v>468.86</v>
      </c>
      <c r="EG276" s="561">
        <v>5136</v>
      </c>
      <c r="EH276" s="561">
        <v>0</v>
      </c>
      <c r="EI276" s="561">
        <v>0</v>
      </c>
      <c r="EJ276" s="561">
        <v>1538.42</v>
      </c>
      <c r="EK276" s="561">
        <v>0</v>
      </c>
      <c r="EL276" s="561">
        <v>0</v>
      </c>
      <c r="EM276" s="561">
        <v>0</v>
      </c>
      <c r="EN276" s="561">
        <v>10262</v>
      </c>
      <c r="EO276" s="561">
        <v>15876</v>
      </c>
      <c r="EP276" s="561">
        <v>0</v>
      </c>
      <c r="EQ276" s="561">
        <v>825</v>
      </c>
      <c r="ER276" s="561">
        <v>5924</v>
      </c>
      <c r="ES276" s="561" t="s">
        <v>4565</v>
      </c>
      <c r="ET276" s="561">
        <v>0</v>
      </c>
      <c r="EU276" s="561">
        <v>2526</v>
      </c>
      <c r="EV276" s="561">
        <v>0</v>
      </c>
      <c r="EW276" s="561">
        <v>0</v>
      </c>
      <c r="EX276" s="561">
        <v>6402</v>
      </c>
      <c r="EY276" s="561">
        <v>0</v>
      </c>
      <c r="EZ276" s="561">
        <v>-1778.33</v>
      </c>
      <c r="FA276" s="561">
        <v>18218</v>
      </c>
      <c r="FB276" s="561">
        <v>18.239999999999998</v>
      </c>
      <c r="FC276" s="561">
        <v>139.83000000000001</v>
      </c>
      <c r="FD276" s="561">
        <v>372.06</v>
      </c>
      <c r="FE276" s="561">
        <v>172.66</v>
      </c>
      <c r="FF276" s="561">
        <v>34</v>
      </c>
      <c r="FG276" s="561">
        <v>517</v>
      </c>
      <c r="FH276" s="561">
        <v>0</v>
      </c>
      <c r="FI276" s="561">
        <v>491</v>
      </c>
      <c r="FJ276" s="561">
        <v>3283</v>
      </c>
      <c r="FK276" s="561">
        <v>3526</v>
      </c>
      <c r="FL276" s="561">
        <v>0</v>
      </c>
      <c r="FM276" s="561">
        <v>243</v>
      </c>
      <c r="FN276" s="561">
        <v>3280</v>
      </c>
      <c r="FO276" s="561">
        <v>12076.79</v>
      </c>
      <c r="FP276" s="561">
        <v>0</v>
      </c>
      <c r="FQ276" s="561">
        <v>-394</v>
      </c>
      <c r="FR276" s="561">
        <v>161</v>
      </c>
      <c r="FS276" s="561">
        <v>0</v>
      </c>
      <c r="FT276" s="561">
        <v>261</v>
      </c>
      <c r="FU276" s="561">
        <v>3442</v>
      </c>
      <c r="FV276" s="561">
        <v>4574</v>
      </c>
      <c r="FW276" s="561">
        <v>227</v>
      </c>
      <c r="FX276" s="561">
        <v>0</v>
      </c>
      <c r="FY276" s="561">
        <v>-2</v>
      </c>
      <c r="FZ276" s="561">
        <v>0</v>
      </c>
      <c r="GA276" s="561">
        <v>0</v>
      </c>
      <c r="GB276" s="561">
        <v>283</v>
      </c>
      <c r="GC276" s="561">
        <v>-139</v>
      </c>
      <c r="GD276" s="561">
        <v>1574</v>
      </c>
      <c r="GE276" s="561">
        <v>-100</v>
      </c>
      <c r="GF276" s="561">
        <v>402</v>
      </c>
      <c r="GG276" s="561">
        <v>0</v>
      </c>
      <c r="GH276" s="561">
        <v>0</v>
      </c>
      <c r="GI276" s="561">
        <v>0</v>
      </c>
      <c r="GJ276" s="561">
        <v>0</v>
      </c>
      <c r="GK276" s="561">
        <v>0</v>
      </c>
      <c r="GL276" s="561">
        <v>6102</v>
      </c>
      <c r="GM276" s="561">
        <v>6597</v>
      </c>
      <c r="GN276" s="561">
        <v>0</v>
      </c>
      <c r="GO276" s="561">
        <v>414</v>
      </c>
      <c r="GP276" s="561">
        <v>1956</v>
      </c>
      <c r="GQ276" s="561">
        <v>0</v>
      </c>
      <c r="GR276" s="561">
        <v>0</v>
      </c>
      <c r="GS276" s="561">
        <v>25358</v>
      </c>
      <c r="GT276" s="561">
        <v>1767</v>
      </c>
      <c r="GU276" s="561">
        <v>1106</v>
      </c>
      <c r="GV276" s="561">
        <v>-639</v>
      </c>
      <c r="GW276" s="561">
        <v>0</v>
      </c>
      <c r="GX276" s="561">
        <v>1886</v>
      </c>
      <c r="GY276" s="561">
        <v>0</v>
      </c>
      <c r="GZ276" s="561">
        <v>-21</v>
      </c>
      <c r="HA276" s="561">
        <v>0</v>
      </c>
      <c r="HB276" s="561">
        <v>257</v>
      </c>
      <c r="HC276" s="561">
        <v>4047</v>
      </c>
      <c r="HD276" s="561">
        <v>6636</v>
      </c>
      <c r="HE276" s="561">
        <v>313</v>
      </c>
      <c r="HF276" s="561">
        <v>44070.79</v>
      </c>
      <c r="HG276" s="561">
        <v>2079</v>
      </c>
      <c r="HH276" s="561">
        <v>0</v>
      </c>
      <c r="HI276" s="561">
        <v>0</v>
      </c>
      <c r="HJ276" s="561">
        <v>0</v>
      </c>
      <c r="HK276" s="561">
        <v>0</v>
      </c>
      <c r="HL276" s="561">
        <v>0</v>
      </c>
      <c r="HM276" s="561">
        <v>0</v>
      </c>
      <c r="HN276" s="561">
        <v>0</v>
      </c>
      <c r="HO276" s="561">
        <v>3046</v>
      </c>
      <c r="HP276" s="561">
        <v>3385</v>
      </c>
      <c r="HQ276" s="561">
        <v>0</v>
      </c>
      <c r="HR276" s="561">
        <v>0</v>
      </c>
      <c r="HS276" s="561">
        <v>1572</v>
      </c>
      <c r="HT276" s="561">
        <v>1028</v>
      </c>
      <c r="HU276" s="561">
        <v>0</v>
      </c>
      <c r="HV276" s="561">
        <v>133</v>
      </c>
      <c r="HW276" s="561">
        <v>322</v>
      </c>
      <c r="HX276" s="561">
        <v>-197</v>
      </c>
      <c r="HY276" s="561">
        <v>373</v>
      </c>
      <c r="HZ276" s="561">
        <v>-195</v>
      </c>
      <c r="IA276" s="561">
        <v>0</v>
      </c>
      <c r="IB276" s="561">
        <v>0</v>
      </c>
      <c r="IC276" s="561">
        <v>649</v>
      </c>
      <c r="ID276" s="561">
        <v>0</v>
      </c>
      <c r="IE276" s="561">
        <v>640</v>
      </c>
      <c r="IF276" s="561">
        <v>0</v>
      </c>
      <c r="IG276" s="561">
        <v>0</v>
      </c>
      <c r="IH276" s="561">
        <v>8509</v>
      </c>
      <c r="II276" s="561">
        <v>19265</v>
      </c>
      <c r="IJ276" s="561">
        <v>760</v>
      </c>
      <c r="IK276" s="561">
        <v>786</v>
      </c>
      <c r="IL276" s="561">
        <v>8754</v>
      </c>
      <c r="IM276" s="561">
        <v>0</v>
      </c>
      <c r="IN276" s="561">
        <v>1026</v>
      </c>
      <c r="IO276" s="561">
        <v>15632</v>
      </c>
      <c r="IP276" s="561">
        <v>1622.01</v>
      </c>
      <c r="IQ276" s="561">
        <v>2058</v>
      </c>
      <c r="IR276" s="561">
        <v>387456</v>
      </c>
      <c r="IS276" s="561">
        <v>2270.59</v>
      </c>
      <c r="IT276" s="561">
        <v>72063</v>
      </c>
      <c r="IU276" s="561">
        <v>106634.51</v>
      </c>
      <c r="IV276" s="561">
        <v>18642</v>
      </c>
      <c r="IW276" s="561">
        <v>40325</v>
      </c>
      <c r="IX276" s="561">
        <v>12076.79</v>
      </c>
      <c r="IY276" s="561">
        <v>25358</v>
      </c>
      <c r="IZ276" s="561">
        <v>6636</v>
      </c>
      <c r="JA276" s="561">
        <v>0</v>
      </c>
      <c r="JB276" s="561">
        <v>0</v>
      </c>
      <c r="JC276" s="561">
        <v>19265</v>
      </c>
      <c r="JD276" s="561">
        <v>1622.01</v>
      </c>
      <c r="JE276" s="561">
        <v>692348.9</v>
      </c>
      <c r="JF276" s="561">
        <v>57025</v>
      </c>
      <c r="JG276" s="561">
        <v>17598</v>
      </c>
      <c r="JH276" s="561">
        <v>7614</v>
      </c>
      <c r="JI276" s="561">
        <v>0</v>
      </c>
      <c r="JJ276" s="561">
        <v>0</v>
      </c>
      <c r="JK276" s="561">
        <v>0</v>
      </c>
      <c r="JL276" s="561">
        <v>0</v>
      </c>
      <c r="JM276" s="561">
        <v>19933</v>
      </c>
      <c r="JN276" s="561">
        <v>305</v>
      </c>
      <c r="JO276" s="561">
        <v>738</v>
      </c>
      <c r="JP276" s="561">
        <v>0</v>
      </c>
      <c r="JQ276" s="561">
        <v>-191</v>
      </c>
      <c r="JR276" s="561">
        <v>0</v>
      </c>
      <c r="JS276" s="561">
        <v>0</v>
      </c>
      <c r="JT276" s="561">
        <v>1421</v>
      </c>
      <c r="JU276" s="561">
        <v>0</v>
      </c>
      <c r="JV276" s="561">
        <v>796791.9</v>
      </c>
      <c r="JW276" s="561">
        <v>217</v>
      </c>
      <c r="JX276" s="561">
        <v>0</v>
      </c>
      <c r="JY276" s="561">
        <v>0</v>
      </c>
      <c r="JZ276" s="561">
        <v>0</v>
      </c>
      <c r="KA276" s="561">
        <v>0</v>
      </c>
      <c r="KB276" s="561">
        <v>250</v>
      </c>
      <c r="KC276" s="561">
        <v>12128</v>
      </c>
      <c r="KD276" s="561">
        <v>0</v>
      </c>
      <c r="KE276" s="561">
        <v>9304</v>
      </c>
      <c r="KF276" s="561">
        <v>-6408</v>
      </c>
      <c r="KG276" s="561">
        <v>812282.9</v>
      </c>
      <c r="KH276" s="561">
        <v>-13052</v>
      </c>
      <c r="KI276" s="561">
        <v>0</v>
      </c>
      <c r="KJ276" s="561">
        <v>0</v>
      </c>
      <c r="KK276" s="561">
        <v>0</v>
      </c>
      <c r="KL276" s="561">
        <v>-110900.52</v>
      </c>
      <c r="KM276" s="561">
        <v>0</v>
      </c>
      <c r="KN276" s="561">
        <v>-1</v>
      </c>
      <c r="KO276" s="561">
        <v>0</v>
      </c>
      <c r="KP276" s="561">
        <v>0</v>
      </c>
      <c r="KQ276" s="561">
        <v>0</v>
      </c>
      <c r="KR276" s="561">
        <v>688329.38</v>
      </c>
      <c r="KS276" s="561">
        <v>0</v>
      </c>
      <c r="KT276" s="561">
        <v>-437086.85</v>
      </c>
      <c r="KU276" s="561">
        <v>251242.53</v>
      </c>
      <c r="KV276" s="561">
        <v>0</v>
      </c>
      <c r="KW276" s="561">
        <v>-6068</v>
      </c>
      <c r="KX276" s="561">
        <v>-1782</v>
      </c>
      <c r="KY276" s="561">
        <v>0</v>
      </c>
      <c r="KZ276" s="561">
        <v>-10233</v>
      </c>
      <c r="LA276" s="561">
        <v>-1196</v>
      </c>
      <c r="LB276" s="561">
        <v>-13002</v>
      </c>
      <c r="LC276" s="561">
        <v>0</v>
      </c>
      <c r="LD276" s="561">
        <v>-70014</v>
      </c>
      <c r="LE276" s="561">
        <v>-1228</v>
      </c>
      <c r="LF276" s="561">
        <v>0</v>
      </c>
      <c r="LG276" s="561">
        <v>147724</v>
      </c>
      <c r="LH276" s="561">
        <v>27020</v>
      </c>
      <c r="LI276" s="561">
        <v>0</v>
      </c>
      <c r="LJ276" s="561">
        <v>7272</v>
      </c>
      <c r="LK276" s="561">
        <v>0</v>
      </c>
      <c r="LL276" s="561">
        <v>52621</v>
      </c>
      <c r="LM276" s="561">
        <v>8582</v>
      </c>
      <c r="LN276" s="561">
        <v>20952</v>
      </c>
      <c r="LO276" s="561">
        <v>0</v>
      </c>
      <c r="LP276" s="561">
        <v>5490</v>
      </c>
      <c r="LQ276" s="561">
        <v>0</v>
      </c>
      <c r="LR276" s="561">
        <v>42388</v>
      </c>
      <c r="LS276" s="561">
        <v>7386</v>
      </c>
      <c r="LT276" s="561">
        <v>0</v>
      </c>
      <c r="LU276" s="561">
        <v>30188</v>
      </c>
      <c r="LV276" s="561">
        <v>0</v>
      </c>
      <c r="LW276" s="561">
        <v>7356</v>
      </c>
      <c r="LX276" s="561">
        <v>0</v>
      </c>
      <c r="LY276" s="561">
        <v>8065</v>
      </c>
      <c r="LZ276" s="561">
        <v>52984</v>
      </c>
      <c r="MA276" s="561">
        <v>0</v>
      </c>
      <c r="MB276" s="561">
        <v>0</v>
      </c>
      <c r="MC276" s="561">
        <v>40036.67</v>
      </c>
      <c r="MD276" s="561">
        <v>41815</v>
      </c>
      <c r="ME276" s="561">
        <v>-1778.33</v>
      </c>
      <c r="MF276" s="561">
        <v>18218</v>
      </c>
      <c r="MG276" s="561">
        <v>16439.669999999998</v>
      </c>
      <c r="MH276" s="561">
        <v>7598</v>
      </c>
      <c r="MI276" s="561">
        <v>11486</v>
      </c>
      <c r="MJ276" s="561">
        <v>19084</v>
      </c>
      <c r="MK276" s="561">
        <v>0</v>
      </c>
      <c r="ML276" s="561">
        <v>9500</v>
      </c>
      <c r="MM276" s="561">
        <v>15284</v>
      </c>
      <c r="MN276" s="561">
        <v>11520</v>
      </c>
      <c r="MO276" s="561">
        <v>6084</v>
      </c>
      <c r="MP276" s="561">
        <v>0</v>
      </c>
      <c r="MQ276" s="561">
        <v>387456</v>
      </c>
      <c r="MR276" s="561">
        <v>2270.59</v>
      </c>
      <c r="MS276" s="561">
        <v>72063</v>
      </c>
      <c r="MT276" s="561">
        <v>106634.51</v>
      </c>
      <c r="MU276" s="561">
        <v>18642</v>
      </c>
      <c r="MV276" s="561">
        <v>40325</v>
      </c>
      <c r="MW276" s="561">
        <v>12076.79</v>
      </c>
      <c r="MX276" s="561">
        <v>25358</v>
      </c>
      <c r="MY276" s="561">
        <v>6636</v>
      </c>
      <c r="MZ276" s="561">
        <v>0</v>
      </c>
      <c r="NA276" s="561">
        <v>0</v>
      </c>
      <c r="NB276" s="561">
        <v>19265</v>
      </c>
      <c r="NC276" s="561">
        <v>1622.01</v>
      </c>
      <c r="ND276" s="561">
        <v>692348.9</v>
      </c>
      <c r="NE276" s="561">
        <v>0</v>
      </c>
      <c r="NF276" s="561">
        <v>0</v>
      </c>
      <c r="NG276" s="561">
        <v>0</v>
      </c>
      <c r="NH276" s="561">
        <v>0</v>
      </c>
      <c r="NI276" s="561">
        <v>0</v>
      </c>
      <c r="NJ276" s="561">
        <v>0</v>
      </c>
      <c r="NK276" s="561">
        <v>0</v>
      </c>
      <c r="NL276" s="561">
        <v>0</v>
      </c>
      <c r="NM276" s="561">
        <v>0</v>
      </c>
      <c r="NN276" s="561">
        <v>0</v>
      </c>
      <c r="NO276" s="561">
        <v>0</v>
      </c>
      <c r="NP276" s="561">
        <v>0</v>
      </c>
      <c r="NQ276" s="561">
        <v>0</v>
      </c>
      <c r="NR276" s="561">
        <v>0</v>
      </c>
      <c r="NS276" s="561">
        <v>0</v>
      </c>
      <c r="NT276" s="561">
        <v>0</v>
      </c>
      <c r="NU276" s="561">
        <v>0</v>
      </c>
      <c r="NV276" s="561">
        <v>0</v>
      </c>
      <c r="NW276" s="561">
        <v>0</v>
      </c>
      <c r="NX276" s="561">
        <v>0</v>
      </c>
      <c r="NY276" s="561">
        <v>0</v>
      </c>
      <c r="NZ276" s="561">
        <v>0</v>
      </c>
      <c r="OA276" s="561">
        <v>0</v>
      </c>
      <c r="OB276" s="561">
        <v>0</v>
      </c>
      <c r="OC276" s="561">
        <v>0</v>
      </c>
      <c r="OD276" s="561">
        <v>0</v>
      </c>
      <c r="OE276" s="561">
        <v>0</v>
      </c>
      <c r="OF276" s="561">
        <v>0</v>
      </c>
      <c r="OG276" s="561">
        <v>0</v>
      </c>
      <c r="OH276" s="561">
        <v>0</v>
      </c>
      <c r="OI276" s="561">
        <v>0</v>
      </c>
      <c r="OJ276" s="561">
        <v>0</v>
      </c>
      <c r="OK276" s="561">
        <v>0</v>
      </c>
      <c r="OL276" s="561">
        <v>0</v>
      </c>
      <c r="OM276" s="561">
        <v>2087</v>
      </c>
      <c r="ON276" s="561">
        <v>-2278</v>
      </c>
      <c r="OO276" s="561">
        <v>0</v>
      </c>
      <c r="OP276" s="561">
        <v>0</v>
      </c>
      <c r="OQ276" s="561">
        <v>0</v>
      </c>
      <c r="OR276" s="561">
        <v>0</v>
      </c>
      <c r="OS276" s="561">
        <v>0</v>
      </c>
      <c r="OT276" s="561">
        <v>0</v>
      </c>
      <c r="OU276" s="561">
        <v>0</v>
      </c>
      <c r="OV276" s="561">
        <v>0</v>
      </c>
      <c r="OW276" s="561">
        <v>0</v>
      </c>
      <c r="OX276" s="561">
        <v>-191</v>
      </c>
      <c r="OY276" s="561">
        <v>0</v>
      </c>
      <c r="OZ276" s="561">
        <v>0</v>
      </c>
      <c r="PA276" s="561">
        <v>0</v>
      </c>
      <c r="PB276" s="561">
        <v>0</v>
      </c>
      <c r="PC276" s="561">
        <v>0</v>
      </c>
      <c r="PD276" s="561">
        <v>0</v>
      </c>
      <c r="PE276" s="561">
        <v>0</v>
      </c>
      <c r="PF276" s="561">
        <v>0</v>
      </c>
      <c r="PG276" s="561">
        <v>0</v>
      </c>
      <c r="PH276" s="561">
        <v>0</v>
      </c>
      <c r="PI276" s="561">
        <v>0</v>
      </c>
      <c r="PJ276" s="561">
        <v>0</v>
      </c>
    </row>
    <row r="277" spans="1:426" ht="14" x14ac:dyDescent="0.3">
      <c r="A277" t="s">
        <v>3274</v>
      </c>
      <c r="B277" t="s">
        <v>3275</v>
      </c>
      <c r="C277" t="s">
        <v>4651</v>
      </c>
      <c r="E277" t="s">
        <v>385</v>
      </c>
      <c r="F277" s="561">
        <v>13699</v>
      </c>
      <c r="G277" s="561">
        <v>17854</v>
      </c>
      <c r="H277" s="561">
        <v>2033</v>
      </c>
      <c r="I277" s="561">
        <v>24156</v>
      </c>
      <c r="J277" s="561">
        <v>647</v>
      </c>
      <c r="K277" s="561">
        <v>12571</v>
      </c>
      <c r="L277" s="561">
        <v>70960</v>
      </c>
      <c r="M277" s="561">
        <v>0</v>
      </c>
      <c r="N277" s="561">
        <v>3</v>
      </c>
      <c r="O277" s="561">
        <v>74</v>
      </c>
      <c r="P277" s="561">
        <v>0</v>
      </c>
      <c r="Q277" s="561">
        <v>274</v>
      </c>
      <c r="R277" s="561">
        <v>86</v>
      </c>
      <c r="S277" s="561">
        <v>325</v>
      </c>
      <c r="T277" s="561">
        <v>2406</v>
      </c>
      <c r="U277" s="561">
        <v>485</v>
      </c>
      <c r="V277" s="561">
        <v>4920</v>
      </c>
      <c r="W277" s="561">
        <v>0</v>
      </c>
      <c r="X277" s="561">
        <v>0</v>
      </c>
      <c r="Y277" s="561">
        <v>283</v>
      </c>
      <c r="Z277" s="561">
        <v>8</v>
      </c>
      <c r="AA277" s="561">
        <v>0</v>
      </c>
      <c r="AB277" s="561">
        <v>0</v>
      </c>
      <c r="AC277" s="561">
        <v>2308</v>
      </c>
      <c r="AD277" s="561">
        <v>0</v>
      </c>
      <c r="AE277" s="561">
        <v>26</v>
      </c>
      <c r="AF277" s="561">
        <v>0</v>
      </c>
      <c r="AG277" s="561">
        <v>0</v>
      </c>
      <c r="AH277" s="561">
        <v>0</v>
      </c>
      <c r="AI277" s="561">
        <v>0</v>
      </c>
      <c r="AJ277" s="561">
        <v>11198</v>
      </c>
      <c r="AK277" s="561">
        <v>0</v>
      </c>
      <c r="AL277" s="561">
        <v>0</v>
      </c>
      <c r="AM277" s="561">
        <v>0</v>
      </c>
      <c r="AN277" s="561">
        <v>0</v>
      </c>
      <c r="AO277" s="561">
        <v>0</v>
      </c>
      <c r="AP277" s="561">
        <v>0</v>
      </c>
      <c r="AQ277" s="561">
        <v>0</v>
      </c>
      <c r="AR277" s="561">
        <v>0</v>
      </c>
      <c r="AS277" s="561">
        <v>0</v>
      </c>
      <c r="AT277" s="561">
        <v>0</v>
      </c>
      <c r="AU277" s="561">
        <v>0</v>
      </c>
      <c r="AV277" s="561">
        <v>0</v>
      </c>
      <c r="AW277" s="561">
        <v>0</v>
      </c>
      <c r="AX277" s="561">
        <v>1976</v>
      </c>
      <c r="AY277" s="561">
        <v>44267</v>
      </c>
      <c r="AZ277" s="561">
        <v>2350</v>
      </c>
      <c r="BA277" s="561">
        <v>3284</v>
      </c>
      <c r="BB277" s="561">
        <v>185</v>
      </c>
      <c r="BC277" s="561">
        <v>7911</v>
      </c>
      <c r="BD277" s="561">
        <v>0</v>
      </c>
      <c r="BE277" s="561">
        <v>1987</v>
      </c>
      <c r="BF277" s="561">
        <v>61960</v>
      </c>
      <c r="BG277" s="561">
        <v>1629</v>
      </c>
      <c r="BH277" s="561">
        <v>2836</v>
      </c>
      <c r="BI277" s="561">
        <v>25184</v>
      </c>
      <c r="BJ277" s="561">
        <v>127</v>
      </c>
      <c r="BK277" s="561">
        <v>77</v>
      </c>
      <c r="BL277" s="561">
        <v>127</v>
      </c>
      <c r="BM277" s="561">
        <v>2878</v>
      </c>
      <c r="BN277" s="561">
        <v>15095</v>
      </c>
      <c r="BO277" s="561">
        <v>680</v>
      </c>
      <c r="BP277" s="561">
        <v>4432</v>
      </c>
      <c r="BQ277" s="561">
        <v>659</v>
      </c>
      <c r="BR277" s="561">
        <v>0</v>
      </c>
      <c r="BS277" s="561">
        <v>1242</v>
      </c>
      <c r="BT277" s="561">
        <v>8</v>
      </c>
      <c r="BU277" s="561">
        <v>280</v>
      </c>
      <c r="BV277" s="561">
        <v>2280</v>
      </c>
      <c r="BW277" s="561">
        <v>6838</v>
      </c>
      <c r="BX277" s="561">
        <v>588</v>
      </c>
      <c r="BY277" s="561">
        <v>-1842</v>
      </c>
      <c r="BZ277" s="561">
        <v>61489</v>
      </c>
      <c r="CA277" s="561">
        <v>234</v>
      </c>
      <c r="CB277" s="561">
        <v>404</v>
      </c>
      <c r="CC277" s="561">
        <v>404</v>
      </c>
      <c r="CD277" s="561">
        <v>203</v>
      </c>
      <c r="CE277" s="561">
        <v>109</v>
      </c>
      <c r="CF277" s="561">
        <v>0</v>
      </c>
      <c r="CG277" s="561">
        <v>0</v>
      </c>
      <c r="CH277" s="561">
        <v>493</v>
      </c>
      <c r="CI277" s="561">
        <v>0</v>
      </c>
      <c r="CJ277" s="561">
        <v>742</v>
      </c>
      <c r="CK277" s="561">
        <v>65</v>
      </c>
      <c r="CL277" s="561">
        <v>32</v>
      </c>
      <c r="CM277" s="561">
        <v>3879</v>
      </c>
      <c r="CN277" s="561">
        <v>0</v>
      </c>
      <c r="CO277" s="561">
        <v>370</v>
      </c>
      <c r="CP277" s="561">
        <v>0</v>
      </c>
      <c r="CQ277" s="561">
        <v>0</v>
      </c>
      <c r="CR277" s="561">
        <v>237</v>
      </c>
      <c r="CS277" s="561">
        <v>9</v>
      </c>
      <c r="CT277" s="561">
        <v>1170</v>
      </c>
      <c r="CU277" s="561">
        <v>3042</v>
      </c>
      <c r="CV277" s="561">
        <v>590</v>
      </c>
      <c r="CW277" s="561">
        <v>0</v>
      </c>
      <c r="CX277" s="561">
        <v>205</v>
      </c>
      <c r="CY277" s="561">
        <v>3735</v>
      </c>
      <c r="CZ277" s="561">
        <v>15689</v>
      </c>
      <c r="DA277" s="561">
        <v>0</v>
      </c>
      <c r="DB277" s="561">
        <v>0</v>
      </c>
      <c r="DC277" s="561">
        <v>0</v>
      </c>
      <c r="DD277" s="561">
        <v>0</v>
      </c>
      <c r="DE277" s="561">
        <v>0</v>
      </c>
      <c r="DF277" s="561">
        <v>0</v>
      </c>
      <c r="DG277" s="561">
        <v>0</v>
      </c>
      <c r="DH277" s="561">
        <v>70</v>
      </c>
      <c r="DI277" s="561">
        <v>0</v>
      </c>
      <c r="DJ277" s="561">
        <v>327</v>
      </c>
      <c r="DK277" s="561">
        <v>60</v>
      </c>
      <c r="DL277" s="561">
        <v>0</v>
      </c>
      <c r="DM277" s="561">
        <v>0</v>
      </c>
      <c r="DN277" s="561">
        <v>0</v>
      </c>
      <c r="DO277" s="561">
        <v>0</v>
      </c>
      <c r="DP277" s="561">
        <v>0</v>
      </c>
      <c r="DQ277" s="561">
        <v>0</v>
      </c>
      <c r="DR277" s="561">
        <v>121</v>
      </c>
      <c r="DS277" s="561">
        <v>0</v>
      </c>
      <c r="DT277" s="561">
        <v>701</v>
      </c>
      <c r="DU277" s="561">
        <v>822</v>
      </c>
      <c r="DV277" s="561">
        <v>0</v>
      </c>
      <c r="DW277" s="561">
        <v>0</v>
      </c>
      <c r="DX277" s="561">
        <v>0</v>
      </c>
      <c r="DY277" s="561">
        <v>971</v>
      </c>
      <c r="DZ277" s="561">
        <v>54</v>
      </c>
      <c r="EA277" s="561">
        <v>0</v>
      </c>
      <c r="EB277" s="561">
        <v>0</v>
      </c>
      <c r="EC277" s="561">
        <v>2304</v>
      </c>
      <c r="ED277" s="561">
        <v>0</v>
      </c>
      <c r="EE277" s="561">
        <v>0</v>
      </c>
      <c r="EF277" s="561">
        <v>0</v>
      </c>
      <c r="EG277" s="561">
        <v>0</v>
      </c>
      <c r="EH277" s="561">
        <v>0</v>
      </c>
      <c r="EI277" s="561">
        <v>0</v>
      </c>
      <c r="EJ277" s="561">
        <v>0</v>
      </c>
      <c r="EK277" s="561">
        <v>0</v>
      </c>
      <c r="EL277" s="561">
        <v>0</v>
      </c>
      <c r="EM277" s="561">
        <v>0</v>
      </c>
      <c r="EN277" s="561">
        <v>0</v>
      </c>
      <c r="EO277" s="561">
        <v>0</v>
      </c>
      <c r="EP277" s="561">
        <v>0</v>
      </c>
      <c r="EQ277" s="561">
        <v>0</v>
      </c>
      <c r="ER277" s="561">
        <v>0</v>
      </c>
      <c r="ES277" s="561" t="s">
        <v>4565</v>
      </c>
      <c r="ET277" s="561">
        <v>0</v>
      </c>
      <c r="EU277" s="561">
        <v>0</v>
      </c>
      <c r="EV277" s="561">
        <v>0</v>
      </c>
      <c r="EW277" s="561">
        <v>0</v>
      </c>
      <c r="EX277" s="561">
        <v>0</v>
      </c>
      <c r="EY277" s="561">
        <v>0</v>
      </c>
      <c r="EZ277" s="561">
        <v>0</v>
      </c>
      <c r="FA277" s="561">
        <v>0</v>
      </c>
      <c r="FB277" s="561">
        <v>77</v>
      </c>
      <c r="FC277" s="561">
        <v>39</v>
      </c>
      <c r="FD277" s="561">
        <v>0</v>
      </c>
      <c r="FE277" s="561">
        <v>636</v>
      </c>
      <c r="FF277" s="561">
        <v>-11</v>
      </c>
      <c r="FG277" s="561">
        <v>101</v>
      </c>
      <c r="FH277" s="561">
        <v>247</v>
      </c>
      <c r="FI277" s="561">
        <v>21</v>
      </c>
      <c r="FJ277" s="561">
        <v>487</v>
      </c>
      <c r="FK277" s="561">
        <v>2205</v>
      </c>
      <c r="FL277" s="561">
        <v>106</v>
      </c>
      <c r="FM277" s="561">
        <v>32</v>
      </c>
      <c r="FN277" s="561">
        <v>1148</v>
      </c>
      <c r="FO277" s="561">
        <v>5088</v>
      </c>
      <c r="FP277" s="561">
        <v>0</v>
      </c>
      <c r="FQ277" s="561">
        <v>579</v>
      </c>
      <c r="FR277" s="561">
        <v>383</v>
      </c>
      <c r="FS277" s="561">
        <v>0</v>
      </c>
      <c r="FT277" s="561">
        <v>269</v>
      </c>
      <c r="FU277" s="561">
        <v>327</v>
      </c>
      <c r="FV277" s="561">
        <v>-35</v>
      </c>
      <c r="FW277" s="561">
        <v>0</v>
      </c>
      <c r="FX277" s="561">
        <v>84</v>
      </c>
      <c r="FY277" s="561">
        <v>0</v>
      </c>
      <c r="FZ277" s="561">
        <v>71</v>
      </c>
      <c r="GA277" s="561">
        <v>284</v>
      </c>
      <c r="GB277" s="561">
        <v>0</v>
      </c>
      <c r="GC277" s="561">
        <v>0</v>
      </c>
      <c r="GD277" s="561">
        <v>98</v>
      </c>
      <c r="GE277" s="561">
        <v>0</v>
      </c>
      <c r="GF277" s="561">
        <v>172</v>
      </c>
      <c r="GG277" s="561">
        <v>0</v>
      </c>
      <c r="GH277" s="561">
        <v>12</v>
      </c>
      <c r="GI277" s="561">
        <v>0</v>
      </c>
      <c r="GJ277" s="561">
        <v>52</v>
      </c>
      <c r="GK277" s="561">
        <v>0</v>
      </c>
      <c r="GL277" s="561">
        <v>1549</v>
      </c>
      <c r="GM277" s="561">
        <v>1854</v>
      </c>
      <c r="GN277" s="561">
        <v>6041</v>
      </c>
      <c r="GO277" s="561">
        <v>6</v>
      </c>
      <c r="GP277" s="561">
        <v>1951</v>
      </c>
      <c r="GQ277" s="561">
        <v>0</v>
      </c>
      <c r="GR277" s="561">
        <v>145</v>
      </c>
      <c r="GS277" s="561">
        <v>13842</v>
      </c>
      <c r="GT277" s="561">
        <v>375</v>
      </c>
      <c r="GU277" s="561">
        <v>196</v>
      </c>
      <c r="GV277" s="561">
        <v>-114</v>
      </c>
      <c r="GW277" s="561">
        <v>0</v>
      </c>
      <c r="GX277" s="561">
        <v>197</v>
      </c>
      <c r="GY277" s="561">
        <v>268</v>
      </c>
      <c r="GZ277" s="561">
        <v>1395</v>
      </c>
      <c r="HA277" s="561">
        <v>0</v>
      </c>
      <c r="HB277" s="561">
        <v>1002</v>
      </c>
      <c r="HC277" s="561">
        <v>7</v>
      </c>
      <c r="HD277" s="561">
        <v>2951</v>
      </c>
      <c r="HE277" s="561">
        <v>179</v>
      </c>
      <c r="HF277" s="561">
        <v>21881</v>
      </c>
      <c r="HG277" s="561">
        <v>0</v>
      </c>
      <c r="HH277" s="561">
        <v>0</v>
      </c>
      <c r="HI277" s="561">
        <v>0</v>
      </c>
      <c r="HJ277" s="561">
        <v>0</v>
      </c>
      <c r="HK277" s="561">
        <v>0</v>
      </c>
      <c r="HL277" s="561">
        <v>0</v>
      </c>
      <c r="HM277" s="561">
        <v>0</v>
      </c>
      <c r="HN277" s="561">
        <v>0</v>
      </c>
      <c r="HO277" s="561">
        <v>1903</v>
      </c>
      <c r="HP277" s="561">
        <v>-422</v>
      </c>
      <c r="HQ277" s="561">
        <v>0</v>
      </c>
      <c r="HR277" s="561">
        <v>0</v>
      </c>
      <c r="HS277" s="561">
        <v>703</v>
      </c>
      <c r="HT277" s="561">
        <v>621</v>
      </c>
      <c r="HU277" s="561">
        <v>0</v>
      </c>
      <c r="HV277" s="561">
        <v>64</v>
      </c>
      <c r="HW277" s="561">
        <v>85</v>
      </c>
      <c r="HX277" s="561">
        <v>294</v>
      </c>
      <c r="HY277" s="561">
        <v>77</v>
      </c>
      <c r="HZ277" s="561">
        <v>-38</v>
      </c>
      <c r="IA277" s="561">
        <v>0</v>
      </c>
      <c r="IB277" s="561">
        <v>2784</v>
      </c>
      <c r="IC277" s="561">
        <v>436</v>
      </c>
      <c r="ID277" s="561">
        <v>0</v>
      </c>
      <c r="IE277" s="561">
        <v>1707</v>
      </c>
      <c r="IF277" s="561">
        <v>0</v>
      </c>
      <c r="IG277" s="561">
        <v>0</v>
      </c>
      <c r="IH277" s="561">
        <v>-3385</v>
      </c>
      <c r="II277" s="561">
        <v>4829</v>
      </c>
      <c r="IJ277" s="561">
        <v>5</v>
      </c>
      <c r="IK277" s="561">
        <v>305</v>
      </c>
      <c r="IL277" s="561">
        <v>18752</v>
      </c>
      <c r="IM277" s="561">
        <v>0</v>
      </c>
      <c r="IN277" s="561">
        <v>1172</v>
      </c>
      <c r="IO277" s="561">
        <v>4705</v>
      </c>
      <c r="IP277" s="561">
        <v>0</v>
      </c>
      <c r="IQ277" s="561">
        <v>0</v>
      </c>
      <c r="IR277" s="561">
        <v>70960</v>
      </c>
      <c r="IS277" s="561">
        <v>11198</v>
      </c>
      <c r="IT277" s="561">
        <v>61960</v>
      </c>
      <c r="IU277" s="561">
        <v>61489</v>
      </c>
      <c r="IV277" s="561">
        <v>15689</v>
      </c>
      <c r="IW277" s="561">
        <v>2304</v>
      </c>
      <c r="IX277" s="561">
        <v>5088</v>
      </c>
      <c r="IY277" s="561">
        <v>13842</v>
      </c>
      <c r="IZ277" s="561">
        <v>2951</v>
      </c>
      <c r="JA277" s="561">
        <v>0</v>
      </c>
      <c r="JB277" s="561">
        <v>0</v>
      </c>
      <c r="JC277" s="561">
        <v>4829</v>
      </c>
      <c r="JD277" s="561">
        <v>0</v>
      </c>
      <c r="JE277" s="561">
        <v>250310</v>
      </c>
      <c r="JF277" s="561">
        <v>32636</v>
      </c>
      <c r="JG277" s="561">
        <v>686</v>
      </c>
      <c r="JH277" s="561">
        <v>0</v>
      </c>
      <c r="JI277" s="561">
        <v>0</v>
      </c>
      <c r="JJ277" s="561">
        <v>0</v>
      </c>
      <c r="JK277" s="561">
        <v>664</v>
      </c>
      <c r="JL277" s="561">
        <v>0</v>
      </c>
      <c r="JM277" s="561">
        <v>0</v>
      </c>
      <c r="JN277" s="561">
        <v>0</v>
      </c>
      <c r="JO277" s="561">
        <v>43</v>
      </c>
      <c r="JP277" s="561">
        <v>70</v>
      </c>
      <c r="JQ277" s="561">
        <v>66</v>
      </c>
      <c r="JR277" s="561">
        <v>-85</v>
      </c>
      <c r="JS277" s="561">
        <v>0</v>
      </c>
      <c r="JT277" s="561">
        <v>-159</v>
      </c>
      <c r="JU277" s="561">
        <v>0</v>
      </c>
      <c r="JV277" s="561">
        <v>284231</v>
      </c>
      <c r="JW277" s="561">
        <v>147</v>
      </c>
      <c r="JX277" s="561">
        <v>0</v>
      </c>
      <c r="JY277" s="561">
        <v>0</v>
      </c>
      <c r="JZ277" s="561">
        <v>0</v>
      </c>
      <c r="KA277" s="561">
        <v>0</v>
      </c>
      <c r="KB277" s="561">
        <v>-46</v>
      </c>
      <c r="KC277" s="561">
        <v>4504</v>
      </c>
      <c r="KD277" s="561">
        <v>0</v>
      </c>
      <c r="KE277" s="561">
        <v>8546</v>
      </c>
      <c r="KF277" s="561">
        <v>0</v>
      </c>
      <c r="KG277" s="561">
        <v>297382</v>
      </c>
      <c r="KH277" s="561">
        <v>-2296</v>
      </c>
      <c r="KI277" s="561">
        <v>0</v>
      </c>
      <c r="KJ277" s="561">
        <v>0</v>
      </c>
      <c r="KK277" s="561">
        <v>0</v>
      </c>
      <c r="KL277" s="561">
        <v>-36052</v>
      </c>
      <c r="KM277" s="561">
        <v>0</v>
      </c>
      <c r="KN277" s="561">
        <v>0</v>
      </c>
      <c r="KO277" s="561">
        <v>0</v>
      </c>
      <c r="KP277" s="561">
        <v>0</v>
      </c>
      <c r="KQ277" s="561">
        <v>-6443</v>
      </c>
      <c r="KR277" s="561">
        <v>252591</v>
      </c>
      <c r="KS277" s="561">
        <v>0</v>
      </c>
      <c r="KT277" s="561">
        <v>-112799</v>
      </c>
      <c r="KU277" s="561">
        <v>139792</v>
      </c>
      <c r="KV277" s="561">
        <v>0</v>
      </c>
      <c r="KW277" s="561">
        <v>-413</v>
      </c>
      <c r="KX277" s="561">
        <v>0</v>
      </c>
      <c r="KY277" s="561">
        <v>-44</v>
      </c>
      <c r="KZ277" s="561">
        <v>-5819</v>
      </c>
      <c r="LA277" s="561">
        <v>0</v>
      </c>
      <c r="LB277" s="561">
        <v>-9288</v>
      </c>
      <c r="LC277" s="561">
        <v>0</v>
      </c>
      <c r="LD277" s="561">
        <v>-46287</v>
      </c>
      <c r="LE277" s="561">
        <v>862</v>
      </c>
      <c r="LF277" s="561">
        <v>0</v>
      </c>
      <c r="LG277" s="561">
        <v>78803</v>
      </c>
      <c r="LH277" s="561">
        <v>1881</v>
      </c>
      <c r="LI277" s="561">
        <v>-6012</v>
      </c>
      <c r="LJ277" s="561">
        <v>0</v>
      </c>
      <c r="LK277" s="561">
        <v>340</v>
      </c>
      <c r="LL277" s="561">
        <v>16525</v>
      </c>
      <c r="LM277" s="561">
        <v>6626</v>
      </c>
      <c r="LN277" s="561">
        <v>1468</v>
      </c>
      <c r="LO277" s="561">
        <v>-12455</v>
      </c>
      <c r="LP277" s="561">
        <v>0</v>
      </c>
      <c r="LQ277" s="561">
        <v>296</v>
      </c>
      <c r="LR277" s="561">
        <v>10706</v>
      </c>
      <c r="LS277" s="561">
        <v>6626</v>
      </c>
      <c r="LT277" s="561">
        <v>0</v>
      </c>
      <c r="LU277" s="561">
        <v>14230</v>
      </c>
      <c r="LV277" s="561">
        <v>0</v>
      </c>
      <c r="LW277" s="561">
        <v>0</v>
      </c>
      <c r="LX277" s="561">
        <v>-11399</v>
      </c>
      <c r="LY277" s="561">
        <v>23035</v>
      </c>
      <c r="LZ277" s="561">
        <v>26594</v>
      </c>
      <c r="MA277" s="561">
        <v>0</v>
      </c>
      <c r="MB277" s="561">
        <v>0</v>
      </c>
      <c r="MC277" s="561">
        <v>0</v>
      </c>
      <c r="MD277" s="561">
        <v>0</v>
      </c>
      <c r="ME277" s="561">
        <v>0</v>
      </c>
      <c r="MF277" s="561">
        <v>0</v>
      </c>
      <c r="MG277" s="561">
        <v>0</v>
      </c>
      <c r="MH277" s="561">
        <v>6836</v>
      </c>
      <c r="MI277" s="561">
        <v>7959</v>
      </c>
      <c r="MJ277" s="561">
        <v>14795</v>
      </c>
      <c r="MK277" s="561">
        <v>0</v>
      </c>
      <c r="ML277" s="561">
        <v>0</v>
      </c>
      <c r="MM277" s="561">
        <v>6550</v>
      </c>
      <c r="MN277" s="561">
        <v>2090</v>
      </c>
      <c r="MO277" s="561">
        <v>2066</v>
      </c>
      <c r="MP277" s="561">
        <v>0</v>
      </c>
      <c r="MQ277" s="561">
        <v>70960</v>
      </c>
      <c r="MR277" s="561">
        <v>11198</v>
      </c>
      <c r="MS277" s="561">
        <v>61960</v>
      </c>
      <c r="MT277" s="561">
        <v>61489</v>
      </c>
      <c r="MU277" s="561">
        <v>15689</v>
      </c>
      <c r="MV277" s="561">
        <v>2304</v>
      </c>
      <c r="MW277" s="561">
        <v>5088</v>
      </c>
      <c r="MX277" s="561">
        <v>13842</v>
      </c>
      <c r="MY277" s="561">
        <v>2951</v>
      </c>
      <c r="MZ277" s="561">
        <v>0</v>
      </c>
      <c r="NA277" s="561">
        <v>0</v>
      </c>
      <c r="NB277" s="561">
        <v>4829</v>
      </c>
      <c r="NC277" s="561">
        <v>0</v>
      </c>
      <c r="ND277" s="561">
        <v>250310</v>
      </c>
      <c r="NE277" s="561">
        <v>31</v>
      </c>
      <c r="NF277" s="561">
        <v>0</v>
      </c>
      <c r="NG277" s="561">
        <v>0</v>
      </c>
      <c r="NH277" s="561">
        <v>0</v>
      </c>
      <c r="NI277" s="561">
        <v>0</v>
      </c>
      <c r="NJ277" s="561">
        <v>0</v>
      </c>
      <c r="NK277" s="561">
        <v>0</v>
      </c>
      <c r="NL277" s="561">
        <v>0</v>
      </c>
      <c r="NM277" s="561">
        <v>0</v>
      </c>
      <c r="NN277" s="561">
        <v>0</v>
      </c>
      <c r="NO277" s="561">
        <v>0</v>
      </c>
      <c r="NP277" s="561">
        <v>0</v>
      </c>
      <c r="NQ277" s="561">
        <v>-41</v>
      </c>
      <c r="NR277" s="561">
        <v>0</v>
      </c>
      <c r="NS277" s="561">
        <v>0</v>
      </c>
      <c r="NT277" s="561">
        <v>15</v>
      </c>
      <c r="NU277" s="561">
        <v>0</v>
      </c>
      <c r="NV277" s="561">
        <v>4</v>
      </c>
      <c r="NW277" s="561">
        <v>-15</v>
      </c>
      <c r="NX277" s="561">
        <v>85</v>
      </c>
      <c r="NY277" s="561">
        <v>70</v>
      </c>
      <c r="NZ277" s="561">
        <v>0</v>
      </c>
      <c r="OA277" s="561">
        <v>0</v>
      </c>
      <c r="OB277" s="561">
        <v>0</v>
      </c>
      <c r="OC277" s="561">
        <v>0</v>
      </c>
      <c r="OD277" s="561">
        <v>0</v>
      </c>
      <c r="OE277" s="561">
        <v>0</v>
      </c>
      <c r="OF277" s="561">
        <v>0</v>
      </c>
      <c r="OG277" s="561">
        <v>0</v>
      </c>
      <c r="OH277" s="561">
        <v>0</v>
      </c>
      <c r="OI277" s="561">
        <v>0</v>
      </c>
      <c r="OJ277" s="561">
        <v>0</v>
      </c>
      <c r="OK277" s="561">
        <v>0</v>
      </c>
      <c r="OL277" s="561">
        <v>0</v>
      </c>
      <c r="OM277" s="561">
        <v>0</v>
      </c>
      <c r="ON277" s="561">
        <v>0</v>
      </c>
      <c r="OO277" s="561">
        <v>0</v>
      </c>
      <c r="OP277" s="561">
        <v>0</v>
      </c>
      <c r="OQ277" s="561">
        <v>0</v>
      </c>
      <c r="OR277" s="561">
        <v>0</v>
      </c>
      <c r="OS277" s="561">
        <v>0</v>
      </c>
      <c r="OT277" s="561">
        <v>0</v>
      </c>
      <c r="OU277" s="561">
        <v>0</v>
      </c>
      <c r="OV277" s="561">
        <v>-724.09589000000005</v>
      </c>
      <c r="OW277" s="561">
        <v>0</v>
      </c>
      <c r="OX277" s="561">
        <v>66</v>
      </c>
      <c r="OY277" s="561">
        <v>82</v>
      </c>
      <c r="OZ277" s="561">
        <v>3</v>
      </c>
      <c r="PA277" s="561">
        <v>0</v>
      </c>
      <c r="PB277" s="561">
        <v>0</v>
      </c>
      <c r="PC277" s="561">
        <v>0</v>
      </c>
      <c r="PD277" s="561">
        <v>85</v>
      </c>
      <c r="PE277" s="561">
        <v>0</v>
      </c>
      <c r="PF277" s="561">
        <v>0</v>
      </c>
      <c r="PG277" s="561">
        <v>0</v>
      </c>
      <c r="PH277" s="561">
        <v>0</v>
      </c>
      <c r="PI277" s="561">
        <v>0</v>
      </c>
      <c r="PJ277" s="561">
        <v>0</v>
      </c>
    </row>
    <row r="278" spans="1:426" ht="14" x14ac:dyDescent="0.3">
      <c r="A278" t="s">
        <v>3277</v>
      </c>
      <c r="B278" t="s">
        <v>3278</v>
      </c>
      <c r="C278" t="s">
        <v>4652</v>
      </c>
      <c r="E278" t="s">
        <v>384</v>
      </c>
      <c r="F278" s="561">
        <v>0</v>
      </c>
      <c r="G278" s="561">
        <v>0</v>
      </c>
      <c r="H278" s="561">
        <v>0</v>
      </c>
      <c r="I278" s="561">
        <v>0</v>
      </c>
      <c r="J278" s="561">
        <v>0</v>
      </c>
      <c r="K278" s="561">
        <v>0</v>
      </c>
      <c r="L278" s="561">
        <v>0</v>
      </c>
      <c r="M278" s="561">
        <v>0</v>
      </c>
      <c r="N278" s="561">
        <v>0</v>
      </c>
      <c r="O278" s="561">
        <v>0</v>
      </c>
      <c r="P278" s="561">
        <v>0</v>
      </c>
      <c r="Q278" s="561">
        <v>0</v>
      </c>
      <c r="R278" s="561">
        <v>0</v>
      </c>
      <c r="S278" s="561">
        <v>0</v>
      </c>
      <c r="T278" s="561">
        <v>443</v>
      </c>
      <c r="U278" s="561">
        <v>0</v>
      </c>
      <c r="V278" s="561">
        <v>36</v>
      </c>
      <c r="W278" s="561">
        <v>0</v>
      </c>
      <c r="X278" s="561">
        <v>0</v>
      </c>
      <c r="Y278" s="561">
        <v>0</v>
      </c>
      <c r="Z278" s="561">
        <v>0</v>
      </c>
      <c r="AA278" s="561">
        <v>38</v>
      </c>
      <c r="AB278" s="561">
        <v>1</v>
      </c>
      <c r="AC278" s="561">
        <v>0</v>
      </c>
      <c r="AD278" s="561">
        <v>0</v>
      </c>
      <c r="AE278" s="561">
        <v>0</v>
      </c>
      <c r="AF278" s="561">
        <v>0</v>
      </c>
      <c r="AG278" s="561">
        <v>0</v>
      </c>
      <c r="AH278" s="561">
        <v>0</v>
      </c>
      <c r="AI278" s="561">
        <v>0</v>
      </c>
      <c r="AJ278" s="561">
        <v>518</v>
      </c>
      <c r="AK278" s="561">
        <v>0</v>
      </c>
      <c r="AL278" s="561">
        <v>0</v>
      </c>
      <c r="AM278" s="561">
        <v>0</v>
      </c>
      <c r="AN278" s="561">
        <v>0</v>
      </c>
      <c r="AO278" s="561">
        <v>0</v>
      </c>
      <c r="AP278" s="561">
        <v>0</v>
      </c>
      <c r="AQ278" s="561">
        <v>0</v>
      </c>
      <c r="AR278" s="561">
        <v>554</v>
      </c>
      <c r="AS278" s="561">
        <v>92</v>
      </c>
      <c r="AT278" s="561">
        <v>0</v>
      </c>
      <c r="AU278" s="561">
        <v>0</v>
      </c>
      <c r="AV278" s="561">
        <v>0</v>
      </c>
      <c r="AW278" s="561">
        <v>0</v>
      </c>
      <c r="AX278" s="561">
        <v>0</v>
      </c>
      <c r="AY278" s="561">
        <v>0</v>
      </c>
      <c r="AZ278" s="561">
        <v>0</v>
      </c>
      <c r="BA278" s="561">
        <v>0</v>
      </c>
      <c r="BB278" s="561">
        <v>0</v>
      </c>
      <c r="BC278" s="561">
        <v>0</v>
      </c>
      <c r="BD278" s="561">
        <v>0</v>
      </c>
      <c r="BE278" s="561">
        <v>0</v>
      </c>
      <c r="BF278" s="561">
        <v>0</v>
      </c>
      <c r="BG278" s="561">
        <v>0</v>
      </c>
      <c r="BH278" s="561">
        <v>0</v>
      </c>
      <c r="BI278" s="561">
        <v>0</v>
      </c>
      <c r="BJ278" s="561">
        <v>0</v>
      </c>
      <c r="BK278" s="561">
        <v>0</v>
      </c>
      <c r="BL278" s="561">
        <v>0</v>
      </c>
      <c r="BM278" s="561">
        <v>0</v>
      </c>
      <c r="BN278" s="561">
        <v>0</v>
      </c>
      <c r="BO278" s="561">
        <v>0</v>
      </c>
      <c r="BP278" s="561">
        <v>0</v>
      </c>
      <c r="BQ278" s="561">
        <v>0</v>
      </c>
      <c r="BR278" s="561">
        <v>0</v>
      </c>
      <c r="BS278" s="561">
        <v>0</v>
      </c>
      <c r="BT278" s="561">
        <v>0</v>
      </c>
      <c r="BU278" s="561">
        <v>0</v>
      </c>
      <c r="BV278" s="561">
        <v>0</v>
      </c>
      <c r="BW278" s="561">
        <v>0</v>
      </c>
      <c r="BX278" s="561">
        <v>0</v>
      </c>
      <c r="BY278" s="561">
        <v>0</v>
      </c>
      <c r="BZ278" s="561">
        <v>0</v>
      </c>
      <c r="CA278" s="561">
        <v>0</v>
      </c>
      <c r="CB278" s="561">
        <v>0</v>
      </c>
      <c r="CC278" s="561">
        <v>0</v>
      </c>
      <c r="CD278" s="561">
        <v>0</v>
      </c>
      <c r="CE278" s="561">
        <v>0</v>
      </c>
      <c r="CF278" s="561">
        <v>0</v>
      </c>
      <c r="CG278" s="561">
        <v>0</v>
      </c>
      <c r="CH278" s="561">
        <v>0</v>
      </c>
      <c r="CI278" s="561">
        <v>0</v>
      </c>
      <c r="CJ278" s="561">
        <v>0</v>
      </c>
      <c r="CK278" s="561">
        <v>0</v>
      </c>
      <c r="CL278" s="561">
        <v>0</v>
      </c>
      <c r="CM278" s="561">
        <v>0</v>
      </c>
      <c r="CN278" s="561">
        <v>0</v>
      </c>
      <c r="CO278" s="561">
        <v>0</v>
      </c>
      <c r="CP278" s="561">
        <v>0</v>
      </c>
      <c r="CQ278" s="561">
        <v>0</v>
      </c>
      <c r="CR278" s="561">
        <v>0</v>
      </c>
      <c r="CS278" s="561">
        <v>0</v>
      </c>
      <c r="CT278" s="561">
        <v>0</v>
      </c>
      <c r="CU278" s="561">
        <v>0</v>
      </c>
      <c r="CV278" s="561">
        <v>0</v>
      </c>
      <c r="CW278" s="561">
        <v>0</v>
      </c>
      <c r="CX278" s="561">
        <v>0</v>
      </c>
      <c r="CY278" s="561">
        <v>0</v>
      </c>
      <c r="CZ278" s="561">
        <v>0</v>
      </c>
      <c r="DA278" s="561">
        <v>0</v>
      </c>
      <c r="DB278" s="561">
        <v>0</v>
      </c>
      <c r="DC278" s="561">
        <v>0</v>
      </c>
      <c r="DD278" s="561">
        <v>0</v>
      </c>
      <c r="DE278" s="561">
        <v>0</v>
      </c>
      <c r="DF278" s="561">
        <v>0</v>
      </c>
      <c r="DG278" s="561">
        <v>0</v>
      </c>
      <c r="DH278" s="561">
        <v>604</v>
      </c>
      <c r="DI278" s="561">
        <v>0</v>
      </c>
      <c r="DJ278" s="561">
        <v>0</v>
      </c>
      <c r="DK278" s="561">
        <v>0</v>
      </c>
      <c r="DL278" s="561">
        <v>0</v>
      </c>
      <c r="DM278" s="561">
        <v>0</v>
      </c>
      <c r="DN278" s="561">
        <v>0</v>
      </c>
      <c r="DO278" s="561">
        <v>60</v>
      </c>
      <c r="DP278" s="561">
        <v>0</v>
      </c>
      <c r="DQ278" s="561">
        <v>-20</v>
      </c>
      <c r="DR278" s="561">
        <v>0</v>
      </c>
      <c r="DS278" s="561">
        <v>641</v>
      </c>
      <c r="DT278" s="561">
        <v>0</v>
      </c>
      <c r="DU278" s="561">
        <v>681</v>
      </c>
      <c r="DV278" s="561">
        <v>0</v>
      </c>
      <c r="DW278" s="561">
        <v>143</v>
      </c>
      <c r="DX278" s="561">
        <v>-1</v>
      </c>
      <c r="DY278" s="561">
        <v>808</v>
      </c>
      <c r="DZ278" s="561">
        <v>0</v>
      </c>
      <c r="EA278" s="561">
        <v>0</v>
      </c>
      <c r="EB278" s="561">
        <v>0</v>
      </c>
      <c r="EC278" s="561">
        <v>2235</v>
      </c>
      <c r="ED278" s="561">
        <v>388</v>
      </c>
      <c r="EE278" s="561">
        <v>28044</v>
      </c>
      <c r="EF278" s="561">
        <v>506</v>
      </c>
      <c r="EG278" s="561">
        <v>832</v>
      </c>
      <c r="EH278" s="561">
        <v>0</v>
      </c>
      <c r="EI278" s="561">
        <v>0</v>
      </c>
      <c r="EJ278" s="561">
        <v>0</v>
      </c>
      <c r="EK278" s="561">
        <v>0</v>
      </c>
      <c r="EL278" s="561">
        <v>0</v>
      </c>
      <c r="EM278" s="561">
        <v>0</v>
      </c>
      <c r="EN278" s="561">
        <v>4050</v>
      </c>
      <c r="EO278" s="561">
        <v>11209</v>
      </c>
      <c r="EP278" s="561">
        <v>499</v>
      </c>
      <c r="EQ278" s="561">
        <v>783</v>
      </c>
      <c r="ER278" s="561">
        <v>5728</v>
      </c>
      <c r="ES278" s="561" t="s">
        <v>4565</v>
      </c>
      <c r="ET278" s="561">
        <v>7278</v>
      </c>
      <c r="EU278" s="561">
        <v>240</v>
      </c>
      <c r="EV278" s="561">
        <v>0</v>
      </c>
      <c r="EW278" s="561">
        <v>0</v>
      </c>
      <c r="EX278" s="561">
        <v>0</v>
      </c>
      <c r="EY278" s="561">
        <v>152</v>
      </c>
      <c r="EZ278" s="561">
        <v>-557</v>
      </c>
      <c r="FA278" s="561">
        <v>11986</v>
      </c>
      <c r="FB278" s="561">
        <v>0</v>
      </c>
      <c r="FC278" s="561">
        <v>122</v>
      </c>
      <c r="FD278" s="561">
        <v>0</v>
      </c>
      <c r="FE278" s="561">
        <v>29</v>
      </c>
      <c r="FF278" s="561">
        <v>20</v>
      </c>
      <c r="FG278" s="561">
        <v>49</v>
      </c>
      <c r="FH278" s="561">
        <v>0</v>
      </c>
      <c r="FI278" s="561">
        <v>137</v>
      </c>
      <c r="FJ278" s="561">
        <v>111</v>
      </c>
      <c r="FK278" s="561">
        <v>953</v>
      </c>
      <c r="FL278" s="561">
        <v>0</v>
      </c>
      <c r="FM278" s="561">
        <v>0</v>
      </c>
      <c r="FN278" s="561">
        <v>0</v>
      </c>
      <c r="FO278" s="561">
        <v>1421</v>
      </c>
      <c r="FP278" s="561">
        <v>290</v>
      </c>
      <c r="FQ278" s="561">
        <v>-894</v>
      </c>
      <c r="FR278" s="561">
        <v>0</v>
      </c>
      <c r="FS278" s="561">
        <v>0</v>
      </c>
      <c r="FT278" s="561">
        <v>0</v>
      </c>
      <c r="FU278" s="561">
        <v>0</v>
      </c>
      <c r="FV278" s="561">
        <v>0</v>
      </c>
      <c r="FW278" s="561">
        <v>240</v>
      </c>
      <c r="FX278" s="561">
        <v>0</v>
      </c>
      <c r="FY278" s="561">
        <v>0</v>
      </c>
      <c r="FZ278" s="561">
        <v>0</v>
      </c>
      <c r="GA278" s="561">
        <v>0</v>
      </c>
      <c r="GB278" s="561">
        <v>0</v>
      </c>
      <c r="GC278" s="561">
        <v>-212</v>
      </c>
      <c r="GD278" s="561">
        <v>0</v>
      </c>
      <c r="GE278" s="561">
        <v>0</v>
      </c>
      <c r="GF278" s="561">
        <v>-98</v>
      </c>
      <c r="GG278" s="561">
        <v>0</v>
      </c>
      <c r="GH278" s="561">
        <v>0</v>
      </c>
      <c r="GI278" s="561">
        <v>0</v>
      </c>
      <c r="GJ278" s="561">
        <v>0</v>
      </c>
      <c r="GK278" s="561">
        <v>0</v>
      </c>
      <c r="GL278" s="561">
        <v>85</v>
      </c>
      <c r="GM278" s="561">
        <v>3269</v>
      </c>
      <c r="GN278" s="561">
        <v>0</v>
      </c>
      <c r="GO278" s="561">
        <v>1</v>
      </c>
      <c r="GP278" s="561">
        <v>0</v>
      </c>
      <c r="GQ278" s="561">
        <v>0</v>
      </c>
      <c r="GR278" s="561">
        <v>13</v>
      </c>
      <c r="GS278" s="561">
        <v>2404</v>
      </c>
      <c r="GT278" s="561">
        <v>0</v>
      </c>
      <c r="GU278" s="561">
        <v>0</v>
      </c>
      <c r="GV278" s="561">
        <v>0</v>
      </c>
      <c r="GW278" s="561">
        <v>0</v>
      </c>
      <c r="GX278" s="561">
        <v>335</v>
      </c>
      <c r="GY278" s="561">
        <v>0</v>
      </c>
      <c r="GZ278" s="561">
        <v>634</v>
      </c>
      <c r="HA278" s="561">
        <v>0</v>
      </c>
      <c r="HB278" s="561">
        <v>344</v>
      </c>
      <c r="HC278" s="561">
        <v>114</v>
      </c>
      <c r="HD278" s="561">
        <v>1427</v>
      </c>
      <c r="HE278" s="561">
        <v>89</v>
      </c>
      <c r="HF278" s="561">
        <v>5252</v>
      </c>
      <c r="HG278" s="561">
        <v>0</v>
      </c>
      <c r="HH278" s="561">
        <v>0</v>
      </c>
      <c r="HI278" s="561">
        <v>0</v>
      </c>
      <c r="HJ278" s="561">
        <v>0</v>
      </c>
      <c r="HK278" s="561">
        <v>0</v>
      </c>
      <c r="HL278" s="561">
        <v>0</v>
      </c>
      <c r="HM278" s="561">
        <v>0</v>
      </c>
      <c r="HN278" s="561">
        <v>0</v>
      </c>
      <c r="HO278" s="561">
        <v>-2305</v>
      </c>
      <c r="HP278" s="561">
        <v>480</v>
      </c>
      <c r="HQ278" s="561">
        <v>0</v>
      </c>
      <c r="HR278" s="561">
        <v>0</v>
      </c>
      <c r="HS278" s="561">
        <v>0</v>
      </c>
      <c r="HT278" s="561">
        <v>56</v>
      </c>
      <c r="HU278" s="561">
        <v>0</v>
      </c>
      <c r="HV278" s="561">
        <v>0</v>
      </c>
      <c r="HW278" s="561">
        <v>0</v>
      </c>
      <c r="HX278" s="561">
        <v>0</v>
      </c>
      <c r="HY278" s="561">
        <v>17</v>
      </c>
      <c r="HZ278" s="561">
        <v>0</v>
      </c>
      <c r="IA278" s="561">
        <v>350</v>
      </c>
      <c r="IB278" s="561">
        <v>-6</v>
      </c>
      <c r="IC278" s="561">
        <v>0</v>
      </c>
      <c r="ID278" s="561">
        <v>0</v>
      </c>
      <c r="IE278" s="561">
        <v>0</v>
      </c>
      <c r="IF278" s="561">
        <v>0</v>
      </c>
      <c r="IG278" s="561">
        <v>0</v>
      </c>
      <c r="IH278" s="561">
        <v>7278</v>
      </c>
      <c r="II278" s="561">
        <v>5870</v>
      </c>
      <c r="IJ278" s="561">
        <v>1190</v>
      </c>
      <c r="IK278" s="561">
        <v>0</v>
      </c>
      <c r="IL278" s="561">
        <v>0</v>
      </c>
      <c r="IM278" s="561">
        <v>0</v>
      </c>
      <c r="IN278" s="561">
        <v>0</v>
      </c>
      <c r="IO278" s="561">
        <v>3618</v>
      </c>
      <c r="IP278" s="561">
        <v>0</v>
      </c>
      <c r="IQ278" s="561">
        <v>0</v>
      </c>
      <c r="IR278" s="561">
        <v>0</v>
      </c>
      <c r="IS278" s="561">
        <v>518</v>
      </c>
      <c r="IT278" s="561">
        <v>0</v>
      </c>
      <c r="IU278" s="561">
        <v>0</v>
      </c>
      <c r="IV278" s="561">
        <v>0</v>
      </c>
      <c r="IW278" s="561">
        <v>2235</v>
      </c>
      <c r="IX278" s="561">
        <v>1421</v>
      </c>
      <c r="IY278" s="561">
        <v>2404</v>
      </c>
      <c r="IZ278" s="561">
        <v>1427</v>
      </c>
      <c r="JA278" s="561">
        <v>0</v>
      </c>
      <c r="JB278" s="561">
        <v>0</v>
      </c>
      <c r="JC278" s="561">
        <v>5870</v>
      </c>
      <c r="JD278" s="561">
        <v>0</v>
      </c>
      <c r="JE278" s="561">
        <v>13875</v>
      </c>
      <c r="JF278" s="561">
        <v>6589</v>
      </c>
      <c r="JG278" s="561">
        <v>72</v>
      </c>
      <c r="JH278" s="561">
        <v>7549</v>
      </c>
      <c r="JI278" s="561">
        <v>0</v>
      </c>
      <c r="JJ278" s="561">
        <v>0</v>
      </c>
      <c r="JK278" s="561">
        <v>60</v>
      </c>
      <c r="JL278" s="561">
        <v>0</v>
      </c>
      <c r="JM278" s="561">
        <v>0</v>
      </c>
      <c r="JN278" s="561">
        <v>0</v>
      </c>
      <c r="JO278" s="561">
        <v>0</v>
      </c>
      <c r="JP278" s="561">
        <v>0</v>
      </c>
      <c r="JQ278" s="561">
        <v>883</v>
      </c>
      <c r="JR278" s="561">
        <v>0</v>
      </c>
      <c r="JS278" s="561">
        <v>0</v>
      </c>
      <c r="JT278" s="561">
        <v>0</v>
      </c>
      <c r="JU278" s="561">
        <v>0</v>
      </c>
      <c r="JV278" s="561">
        <v>29028</v>
      </c>
      <c r="JW278" s="561">
        <v>0</v>
      </c>
      <c r="JX278" s="561">
        <v>0</v>
      </c>
      <c r="JY278" s="561">
        <v>0</v>
      </c>
      <c r="JZ278" s="561">
        <v>0</v>
      </c>
      <c r="KA278" s="561">
        <v>0</v>
      </c>
      <c r="KB278" s="561">
        <v>0</v>
      </c>
      <c r="KC278" s="561">
        <v>0</v>
      </c>
      <c r="KD278" s="561">
        <v>0</v>
      </c>
      <c r="KE278" s="561">
        <v>3315</v>
      </c>
      <c r="KF278" s="561">
        <v>-4175</v>
      </c>
      <c r="KG278" s="561">
        <v>28168</v>
      </c>
      <c r="KH278" s="561">
        <v>-735</v>
      </c>
      <c r="KI278" s="561">
        <v>0</v>
      </c>
      <c r="KJ278" s="561">
        <v>0</v>
      </c>
      <c r="KK278" s="561">
        <v>0</v>
      </c>
      <c r="KL278" s="561">
        <v>-14204</v>
      </c>
      <c r="KM278" s="561">
        <v>0</v>
      </c>
      <c r="KN278" s="561">
        <v>0</v>
      </c>
      <c r="KO278" s="561">
        <v>0</v>
      </c>
      <c r="KP278" s="561">
        <v>0</v>
      </c>
      <c r="KQ278" s="561">
        <v>0</v>
      </c>
      <c r="KR278" s="561">
        <v>13229</v>
      </c>
      <c r="KS278" s="561">
        <v>0</v>
      </c>
      <c r="KT278" s="561">
        <v>-2003</v>
      </c>
      <c r="KU278" s="561">
        <v>11226</v>
      </c>
      <c r="KV278" s="561">
        <v>0</v>
      </c>
      <c r="KW278" s="561">
        <v>0</v>
      </c>
      <c r="KX278" s="561">
        <v>0</v>
      </c>
      <c r="KY278" s="561">
        <v>0</v>
      </c>
      <c r="KZ278" s="561">
        <v>765</v>
      </c>
      <c r="LA278" s="561">
        <v>0</v>
      </c>
      <c r="LB278" s="561">
        <v>-34</v>
      </c>
      <c r="LC278" s="561">
        <v>0</v>
      </c>
      <c r="LD278" s="561">
        <v>-4861</v>
      </c>
      <c r="LE278" s="561">
        <v>58</v>
      </c>
      <c r="LF278" s="561">
        <v>0</v>
      </c>
      <c r="LG278" s="561">
        <v>7154</v>
      </c>
      <c r="LH278" s="561">
        <v>0</v>
      </c>
      <c r="LI278" s="561">
        <v>0</v>
      </c>
      <c r="LJ278" s="561">
        <v>0</v>
      </c>
      <c r="LK278" s="561">
        <v>0</v>
      </c>
      <c r="LL278" s="561">
        <v>17186</v>
      </c>
      <c r="LM278" s="561">
        <v>0</v>
      </c>
      <c r="LN278" s="561">
        <v>0</v>
      </c>
      <c r="LO278" s="561">
        <v>0</v>
      </c>
      <c r="LP278" s="561">
        <v>0</v>
      </c>
      <c r="LQ278" s="561">
        <v>0</v>
      </c>
      <c r="LR278" s="561">
        <v>17951</v>
      </c>
      <c r="LS278" s="561">
        <v>0</v>
      </c>
      <c r="LT278" s="561">
        <v>0</v>
      </c>
      <c r="LU278" s="561">
        <v>5350</v>
      </c>
      <c r="LV278" s="561">
        <v>0</v>
      </c>
      <c r="LW278" s="561">
        <v>0</v>
      </c>
      <c r="LX278" s="561">
        <v>0</v>
      </c>
      <c r="LY278" s="561">
        <v>0</v>
      </c>
      <c r="LZ278" s="561">
        <v>5350</v>
      </c>
      <c r="MA278" s="561">
        <v>0</v>
      </c>
      <c r="MB278" s="561">
        <v>0</v>
      </c>
      <c r="MC278" s="561">
        <v>29382</v>
      </c>
      <c r="MD278" s="561">
        <v>29939</v>
      </c>
      <c r="ME278" s="561">
        <v>-557</v>
      </c>
      <c r="MF278" s="561">
        <v>11986</v>
      </c>
      <c r="MG278" s="561">
        <v>11429</v>
      </c>
      <c r="MH278" s="561">
        <v>2652</v>
      </c>
      <c r="MI278" s="561">
        <v>4423</v>
      </c>
      <c r="MJ278" s="561">
        <v>7075</v>
      </c>
      <c r="MK278" s="561">
        <v>0</v>
      </c>
      <c r="ML278" s="561">
        <v>17951</v>
      </c>
      <c r="MM278" s="561">
        <v>0</v>
      </c>
      <c r="MN278" s="561">
        <v>0</v>
      </c>
      <c r="MO278" s="561">
        <v>0</v>
      </c>
      <c r="MP278" s="561">
        <v>0</v>
      </c>
      <c r="MQ278" s="561">
        <v>0</v>
      </c>
      <c r="MR278" s="561">
        <v>518</v>
      </c>
      <c r="MS278" s="561">
        <v>0</v>
      </c>
      <c r="MT278" s="561">
        <v>0</v>
      </c>
      <c r="MU278" s="561">
        <v>0</v>
      </c>
      <c r="MV278" s="561">
        <v>2235</v>
      </c>
      <c r="MW278" s="561">
        <v>1421</v>
      </c>
      <c r="MX278" s="561">
        <v>2404</v>
      </c>
      <c r="MY278" s="561">
        <v>1427</v>
      </c>
      <c r="MZ278" s="561">
        <v>0</v>
      </c>
      <c r="NA278" s="561">
        <v>0</v>
      </c>
      <c r="NB278" s="561">
        <v>5870</v>
      </c>
      <c r="NC278" s="561">
        <v>0</v>
      </c>
      <c r="ND278" s="561">
        <v>13875</v>
      </c>
      <c r="NE278" s="561">
        <v>0</v>
      </c>
      <c r="NF278" s="561">
        <v>0</v>
      </c>
      <c r="NG278" s="561">
        <v>0</v>
      </c>
      <c r="NH278" s="561">
        <v>0</v>
      </c>
      <c r="NI278" s="561">
        <v>0</v>
      </c>
      <c r="NJ278" s="561">
        <v>0</v>
      </c>
      <c r="NK278" s="561">
        <v>0</v>
      </c>
      <c r="NL278" s="561">
        <v>0</v>
      </c>
      <c r="NM278" s="561">
        <v>0</v>
      </c>
      <c r="NN278" s="561">
        <v>0</v>
      </c>
      <c r="NO278" s="561">
        <v>0</v>
      </c>
      <c r="NP278" s="561">
        <v>0</v>
      </c>
      <c r="NQ278" s="561">
        <v>0</v>
      </c>
      <c r="NR278" s="561">
        <v>0</v>
      </c>
      <c r="NS278" s="561">
        <v>0</v>
      </c>
      <c r="NT278" s="561">
        <v>0</v>
      </c>
      <c r="NU278" s="561">
        <v>0</v>
      </c>
      <c r="NV278" s="561">
        <v>0</v>
      </c>
      <c r="NW278" s="561">
        <v>0</v>
      </c>
      <c r="NX278" s="561">
        <v>0</v>
      </c>
      <c r="NY278" s="561">
        <v>0</v>
      </c>
      <c r="NZ278" s="561">
        <v>0</v>
      </c>
      <c r="OA278" s="561">
        <v>0</v>
      </c>
      <c r="OB278" s="561">
        <v>0</v>
      </c>
      <c r="OC278" s="561">
        <v>0</v>
      </c>
      <c r="OD278" s="561">
        <v>0</v>
      </c>
      <c r="OE278" s="561">
        <v>0</v>
      </c>
      <c r="OF278" s="561">
        <v>0</v>
      </c>
      <c r="OG278" s="561">
        <v>0</v>
      </c>
      <c r="OH278" s="561">
        <v>0</v>
      </c>
      <c r="OI278" s="561">
        <v>0</v>
      </c>
      <c r="OJ278" s="561">
        <v>0</v>
      </c>
      <c r="OK278" s="561">
        <v>0</v>
      </c>
      <c r="OL278" s="561">
        <v>0</v>
      </c>
      <c r="OM278" s="561">
        <v>0</v>
      </c>
      <c r="ON278" s="561">
        <v>0</v>
      </c>
      <c r="OO278" s="561">
        <v>0</v>
      </c>
      <c r="OP278" s="561">
        <v>0</v>
      </c>
      <c r="OQ278" s="561">
        <v>0</v>
      </c>
      <c r="OR278" s="561">
        <v>0</v>
      </c>
      <c r="OS278" s="561">
        <v>0</v>
      </c>
      <c r="OT278" s="561">
        <v>0</v>
      </c>
      <c r="OU278" s="561">
        <v>0</v>
      </c>
      <c r="OV278" s="561">
        <v>89</v>
      </c>
      <c r="OW278" s="561">
        <v>0</v>
      </c>
      <c r="OX278" s="561">
        <v>883</v>
      </c>
      <c r="OY278" s="561">
        <v>0</v>
      </c>
      <c r="OZ278" s="561">
        <v>0</v>
      </c>
      <c r="PA278" s="561">
        <v>0</v>
      </c>
      <c r="PB278" s="561">
        <v>0</v>
      </c>
      <c r="PC278" s="561">
        <v>0</v>
      </c>
      <c r="PD278" s="561">
        <v>0</v>
      </c>
      <c r="PE278" s="561">
        <v>0</v>
      </c>
      <c r="PF278" s="561">
        <v>0</v>
      </c>
      <c r="PG278" s="561">
        <v>0</v>
      </c>
      <c r="PH278" s="561">
        <v>0</v>
      </c>
      <c r="PI278" s="561">
        <v>0</v>
      </c>
      <c r="PJ278" s="561">
        <v>0</v>
      </c>
    </row>
    <row r="279" spans="1:426" ht="14" x14ac:dyDescent="0.3">
      <c r="A279" t="s">
        <v>3280</v>
      </c>
      <c r="B279" t="s">
        <v>3281</v>
      </c>
      <c r="C279" t="s">
        <v>4653</v>
      </c>
      <c r="E279" t="s">
        <v>384</v>
      </c>
      <c r="F279" s="561">
        <v>0</v>
      </c>
      <c r="G279" s="561">
        <v>0</v>
      </c>
      <c r="H279" s="561">
        <v>0</v>
      </c>
      <c r="I279" s="561">
        <v>0</v>
      </c>
      <c r="J279" s="561">
        <v>0</v>
      </c>
      <c r="K279" s="561">
        <v>0</v>
      </c>
      <c r="L279" s="561">
        <v>0</v>
      </c>
      <c r="M279" s="561">
        <v>0</v>
      </c>
      <c r="N279" s="561">
        <v>0</v>
      </c>
      <c r="O279" s="561">
        <v>0</v>
      </c>
      <c r="P279" s="561">
        <v>0</v>
      </c>
      <c r="Q279" s="561">
        <v>0</v>
      </c>
      <c r="R279" s="561">
        <v>0</v>
      </c>
      <c r="S279" s="561">
        <v>0</v>
      </c>
      <c r="T279" s="561">
        <v>0</v>
      </c>
      <c r="U279" s="561">
        <v>0</v>
      </c>
      <c r="V279" s="561">
        <v>0</v>
      </c>
      <c r="W279" s="561">
        <v>0</v>
      </c>
      <c r="X279" s="561">
        <v>0</v>
      </c>
      <c r="Y279" s="561">
        <v>0</v>
      </c>
      <c r="Z279" s="561">
        <v>0</v>
      </c>
      <c r="AA279" s="561">
        <v>0</v>
      </c>
      <c r="AB279" s="561">
        <v>-555</v>
      </c>
      <c r="AC279" s="561">
        <v>0</v>
      </c>
      <c r="AD279" s="561">
        <v>0</v>
      </c>
      <c r="AE279" s="561">
        <v>0</v>
      </c>
      <c r="AF279" s="561">
        <v>0</v>
      </c>
      <c r="AG279" s="561">
        <v>0</v>
      </c>
      <c r="AH279" s="561">
        <v>0</v>
      </c>
      <c r="AI279" s="561">
        <v>0</v>
      </c>
      <c r="AJ279" s="561">
        <v>-555</v>
      </c>
      <c r="AK279" s="561">
        <v>0</v>
      </c>
      <c r="AL279" s="561">
        <v>0</v>
      </c>
      <c r="AM279" s="561">
        <v>0</v>
      </c>
      <c r="AN279" s="561">
        <v>0</v>
      </c>
      <c r="AO279" s="561">
        <v>0</v>
      </c>
      <c r="AP279" s="561">
        <v>0</v>
      </c>
      <c r="AQ279" s="561">
        <v>0</v>
      </c>
      <c r="AR279" s="561">
        <v>0</v>
      </c>
      <c r="AS279" s="561">
        <v>0</v>
      </c>
      <c r="AT279" s="561">
        <v>0</v>
      </c>
      <c r="AU279" s="561">
        <v>0</v>
      </c>
      <c r="AV279" s="561">
        <v>0</v>
      </c>
      <c r="AW279" s="561">
        <v>0</v>
      </c>
      <c r="AX279" s="561">
        <v>0</v>
      </c>
      <c r="AY279" s="561">
        <v>0</v>
      </c>
      <c r="AZ279" s="561">
        <v>0</v>
      </c>
      <c r="BA279" s="561">
        <v>0</v>
      </c>
      <c r="BB279" s="561">
        <v>0</v>
      </c>
      <c r="BC279" s="561">
        <v>0</v>
      </c>
      <c r="BD279" s="561">
        <v>0</v>
      </c>
      <c r="BE279" s="561">
        <v>0</v>
      </c>
      <c r="BF279" s="561">
        <v>0</v>
      </c>
      <c r="BG279" s="561">
        <v>0</v>
      </c>
      <c r="BH279" s="561">
        <v>0</v>
      </c>
      <c r="BI279" s="561">
        <v>0</v>
      </c>
      <c r="BJ279" s="561">
        <v>0</v>
      </c>
      <c r="BK279" s="561">
        <v>0</v>
      </c>
      <c r="BL279" s="561">
        <v>0</v>
      </c>
      <c r="BM279" s="561">
        <v>0</v>
      </c>
      <c r="BN279" s="561">
        <v>0</v>
      </c>
      <c r="BO279" s="561">
        <v>0</v>
      </c>
      <c r="BP279" s="561">
        <v>0</v>
      </c>
      <c r="BQ279" s="561">
        <v>0</v>
      </c>
      <c r="BR279" s="561">
        <v>0</v>
      </c>
      <c r="BS279" s="561">
        <v>0</v>
      </c>
      <c r="BT279" s="561">
        <v>0</v>
      </c>
      <c r="BU279" s="561">
        <v>0</v>
      </c>
      <c r="BV279" s="561">
        <v>0</v>
      </c>
      <c r="BW279" s="561">
        <v>0</v>
      </c>
      <c r="BX279" s="561">
        <v>0</v>
      </c>
      <c r="BY279" s="561">
        <v>0</v>
      </c>
      <c r="BZ279" s="561">
        <v>0</v>
      </c>
      <c r="CA279" s="561">
        <v>0</v>
      </c>
      <c r="CB279" s="561">
        <v>0</v>
      </c>
      <c r="CC279" s="561">
        <v>0</v>
      </c>
      <c r="CD279" s="561">
        <v>0</v>
      </c>
      <c r="CE279" s="561">
        <v>0</v>
      </c>
      <c r="CF279" s="561">
        <v>0</v>
      </c>
      <c r="CG279" s="561">
        <v>0</v>
      </c>
      <c r="CH279" s="561">
        <v>0</v>
      </c>
      <c r="CI279" s="561">
        <v>0</v>
      </c>
      <c r="CJ279" s="561">
        <v>0</v>
      </c>
      <c r="CK279" s="561">
        <v>0</v>
      </c>
      <c r="CL279" s="561">
        <v>0</v>
      </c>
      <c r="CM279" s="561">
        <v>0</v>
      </c>
      <c r="CN279" s="561">
        <v>0</v>
      </c>
      <c r="CO279" s="561">
        <v>0</v>
      </c>
      <c r="CP279" s="561">
        <v>0</v>
      </c>
      <c r="CQ279" s="561">
        <v>0</v>
      </c>
      <c r="CR279" s="561">
        <v>0</v>
      </c>
      <c r="CS279" s="561">
        <v>0</v>
      </c>
      <c r="CT279" s="561">
        <v>0</v>
      </c>
      <c r="CU279" s="561">
        <v>0</v>
      </c>
      <c r="CV279" s="561">
        <v>0</v>
      </c>
      <c r="CW279" s="561">
        <v>0</v>
      </c>
      <c r="CX279" s="561">
        <v>0</v>
      </c>
      <c r="CY279" s="561">
        <v>0</v>
      </c>
      <c r="CZ279" s="561">
        <v>0</v>
      </c>
      <c r="DA279" s="561">
        <v>0</v>
      </c>
      <c r="DB279" s="561">
        <v>0</v>
      </c>
      <c r="DC279" s="561">
        <v>0</v>
      </c>
      <c r="DD279" s="561">
        <v>0</v>
      </c>
      <c r="DE279" s="561">
        <v>0</v>
      </c>
      <c r="DF279" s="561">
        <v>0</v>
      </c>
      <c r="DG279" s="561">
        <v>0</v>
      </c>
      <c r="DH279" s="561">
        <v>0</v>
      </c>
      <c r="DI279" s="561">
        <v>0</v>
      </c>
      <c r="DJ279" s="561">
        <v>0</v>
      </c>
      <c r="DK279" s="561">
        <v>0</v>
      </c>
      <c r="DL279" s="561">
        <v>0</v>
      </c>
      <c r="DM279" s="561">
        <v>0</v>
      </c>
      <c r="DN279" s="561">
        <v>0</v>
      </c>
      <c r="DO279" s="561">
        <v>913</v>
      </c>
      <c r="DP279" s="561">
        <v>-51.27</v>
      </c>
      <c r="DQ279" s="561">
        <v>-116</v>
      </c>
      <c r="DR279" s="561">
        <v>0</v>
      </c>
      <c r="DS279" s="561">
        <v>134.57</v>
      </c>
      <c r="DT279" s="561">
        <v>371.49</v>
      </c>
      <c r="DU279" s="561">
        <v>1251.79</v>
      </c>
      <c r="DV279" s="561">
        <v>0</v>
      </c>
      <c r="DW279" s="561">
        <v>0</v>
      </c>
      <c r="DX279" s="561">
        <v>0</v>
      </c>
      <c r="DY279" s="561">
        <v>0</v>
      </c>
      <c r="DZ279" s="561">
        <v>0</v>
      </c>
      <c r="EA279" s="561">
        <v>743</v>
      </c>
      <c r="EB279" s="561">
        <v>0</v>
      </c>
      <c r="EC279" s="561">
        <v>1994.79</v>
      </c>
      <c r="ED279" s="561">
        <v>0</v>
      </c>
      <c r="EE279" s="561">
        <v>0</v>
      </c>
      <c r="EF279" s="561">
        <v>0</v>
      </c>
      <c r="EG279" s="561">
        <v>0</v>
      </c>
      <c r="EH279" s="561">
        <v>0</v>
      </c>
      <c r="EI279" s="561">
        <v>0</v>
      </c>
      <c r="EJ279" s="561">
        <v>0</v>
      </c>
      <c r="EK279" s="561">
        <v>0</v>
      </c>
      <c r="EL279" s="561">
        <v>0</v>
      </c>
      <c r="EM279" s="561">
        <v>0</v>
      </c>
      <c r="EN279" s="561">
        <v>0</v>
      </c>
      <c r="EO279" s="561">
        <v>0</v>
      </c>
      <c r="EP279" s="561">
        <v>0</v>
      </c>
      <c r="EQ279" s="561">
        <v>0</v>
      </c>
      <c r="ER279" s="561">
        <v>0</v>
      </c>
      <c r="ES279" s="561" t="s">
        <v>4565</v>
      </c>
      <c r="ET279" s="561">
        <v>0</v>
      </c>
      <c r="EU279" s="561">
        <v>0</v>
      </c>
      <c r="EV279" s="561">
        <v>0</v>
      </c>
      <c r="EW279" s="561">
        <v>0</v>
      </c>
      <c r="EX279" s="561">
        <v>0</v>
      </c>
      <c r="EY279" s="561">
        <v>0</v>
      </c>
      <c r="EZ279" s="561">
        <v>0</v>
      </c>
      <c r="FA279" s="561">
        <v>0</v>
      </c>
      <c r="FB279" s="561">
        <v>0</v>
      </c>
      <c r="FC279" s="561">
        <v>0</v>
      </c>
      <c r="FD279" s="561">
        <v>0</v>
      </c>
      <c r="FE279" s="561">
        <v>0</v>
      </c>
      <c r="FF279" s="561">
        <v>693</v>
      </c>
      <c r="FG279" s="561">
        <v>410.38</v>
      </c>
      <c r="FH279" s="561">
        <v>0</v>
      </c>
      <c r="FI279" s="561">
        <v>20</v>
      </c>
      <c r="FJ279" s="561">
        <v>-189</v>
      </c>
      <c r="FK279" s="561">
        <v>1972</v>
      </c>
      <c r="FL279" s="561">
        <v>-50</v>
      </c>
      <c r="FM279" s="561">
        <v>0</v>
      </c>
      <c r="FN279" s="561">
        <v>0</v>
      </c>
      <c r="FO279" s="561">
        <v>2856.38</v>
      </c>
      <c r="FP279" s="561">
        <v>0</v>
      </c>
      <c r="FQ279" s="561">
        <v>-147</v>
      </c>
      <c r="FR279" s="561">
        <v>0</v>
      </c>
      <c r="FS279" s="561">
        <v>0</v>
      </c>
      <c r="FT279" s="561">
        <v>322</v>
      </c>
      <c r="FU279" s="561">
        <v>880</v>
      </c>
      <c r="FV279" s="561">
        <v>0</v>
      </c>
      <c r="FW279" s="561">
        <v>166</v>
      </c>
      <c r="FX279" s="561">
        <v>0</v>
      </c>
      <c r="FY279" s="561">
        <v>0</v>
      </c>
      <c r="FZ279" s="561">
        <v>0</v>
      </c>
      <c r="GA279" s="561">
        <v>0</v>
      </c>
      <c r="GB279" s="561">
        <v>0</v>
      </c>
      <c r="GC279" s="561">
        <v>-420</v>
      </c>
      <c r="GD279" s="561">
        <v>270</v>
      </c>
      <c r="GE279" s="561">
        <v>2</v>
      </c>
      <c r="GF279" s="561">
        <v>70</v>
      </c>
      <c r="GG279" s="561">
        <v>-1</v>
      </c>
      <c r="GH279" s="561">
        <v>98</v>
      </c>
      <c r="GI279" s="561">
        <v>0</v>
      </c>
      <c r="GJ279" s="561">
        <v>0</v>
      </c>
      <c r="GK279" s="561">
        <v>0</v>
      </c>
      <c r="GL279" s="561">
        <v>1245</v>
      </c>
      <c r="GM279" s="561">
        <v>4138</v>
      </c>
      <c r="GN279" s="561">
        <v>0</v>
      </c>
      <c r="GO279" s="561">
        <v>-651</v>
      </c>
      <c r="GP279" s="561">
        <v>-712</v>
      </c>
      <c r="GQ279" s="561">
        <v>0</v>
      </c>
      <c r="GR279" s="561">
        <v>0</v>
      </c>
      <c r="GS279" s="561">
        <v>5260</v>
      </c>
      <c r="GT279" s="561">
        <v>0</v>
      </c>
      <c r="GU279" s="561">
        <v>-7</v>
      </c>
      <c r="GV279" s="561">
        <v>745</v>
      </c>
      <c r="GW279" s="561">
        <v>0</v>
      </c>
      <c r="GX279" s="561">
        <v>1039</v>
      </c>
      <c r="GY279" s="561">
        <v>0</v>
      </c>
      <c r="GZ279" s="561">
        <v>65</v>
      </c>
      <c r="HA279" s="561">
        <v>0</v>
      </c>
      <c r="HB279" s="561">
        <v>293</v>
      </c>
      <c r="HC279" s="561">
        <v>443</v>
      </c>
      <c r="HD279" s="561">
        <v>2578</v>
      </c>
      <c r="HE279" s="561">
        <v>0</v>
      </c>
      <c r="HF279" s="561">
        <v>10694.38</v>
      </c>
      <c r="HG279" s="561">
        <v>0</v>
      </c>
      <c r="HH279" s="561">
        <v>0</v>
      </c>
      <c r="HI279" s="561">
        <v>0</v>
      </c>
      <c r="HJ279" s="561">
        <v>0</v>
      </c>
      <c r="HK279" s="561">
        <v>0</v>
      </c>
      <c r="HL279" s="561">
        <v>0</v>
      </c>
      <c r="HM279" s="561">
        <v>0</v>
      </c>
      <c r="HN279" s="561">
        <v>0</v>
      </c>
      <c r="HO279" s="561">
        <v>13305</v>
      </c>
      <c r="HP279" s="561">
        <v>-2188</v>
      </c>
      <c r="HQ279" s="561">
        <v>0</v>
      </c>
      <c r="HR279" s="561">
        <v>0</v>
      </c>
      <c r="HS279" s="561">
        <v>0</v>
      </c>
      <c r="HT279" s="561">
        <v>962</v>
      </c>
      <c r="HU279" s="561">
        <v>0</v>
      </c>
      <c r="HV279" s="561">
        <v>0</v>
      </c>
      <c r="HW279" s="561">
        <v>323</v>
      </c>
      <c r="HX279" s="561">
        <v>323.14999999999998</v>
      </c>
      <c r="HY279" s="561">
        <v>0</v>
      </c>
      <c r="HZ279" s="561">
        <v>-94.29</v>
      </c>
      <c r="IA279" s="561">
        <v>0</v>
      </c>
      <c r="IB279" s="561">
        <v>0</v>
      </c>
      <c r="IC279" s="561">
        <v>0</v>
      </c>
      <c r="ID279" s="561">
        <v>0</v>
      </c>
      <c r="IE279" s="561">
        <v>0</v>
      </c>
      <c r="IF279" s="561">
        <v>0</v>
      </c>
      <c r="IG279" s="561">
        <v>0</v>
      </c>
      <c r="IH279" s="561">
        <v>0</v>
      </c>
      <c r="II279" s="561">
        <v>12630.86</v>
      </c>
      <c r="IJ279" s="561">
        <v>0</v>
      </c>
      <c r="IK279" s="561">
        <v>0</v>
      </c>
      <c r="IL279" s="561">
        <v>0</v>
      </c>
      <c r="IM279" s="561">
        <v>0</v>
      </c>
      <c r="IN279" s="561">
        <v>0</v>
      </c>
      <c r="IO279" s="561">
        <v>0</v>
      </c>
      <c r="IP279" s="561">
        <v>0</v>
      </c>
      <c r="IQ279" s="561">
        <v>0</v>
      </c>
      <c r="IR279" s="561">
        <v>0</v>
      </c>
      <c r="IS279" s="561">
        <v>-555</v>
      </c>
      <c r="IT279" s="561">
        <v>0</v>
      </c>
      <c r="IU279" s="561">
        <v>0</v>
      </c>
      <c r="IV279" s="561">
        <v>0</v>
      </c>
      <c r="IW279" s="561">
        <v>1994.79</v>
      </c>
      <c r="IX279" s="561">
        <v>2856.38</v>
      </c>
      <c r="IY279" s="561">
        <v>5260</v>
      </c>
      <c r="IZ279" s="561">
        <v>2578</v>
      </c>
      <c r="JA279" s="561">
        <v>0</v>
      </c>
      <c r="JB279" s="561">
        <v>0</v>
      </c>
      <c r="JC279" s="561">
        <v>12630.86</v>
      </c>
      <c r="JD279" s="561">
        <v>0</v>
      </c>
      <c r="JE279" s="561">
        <v>24765.03</v>
      </c>
      <c r="JF279" s="561">
        <v>26124</v>
      </c>
      <c r="JG279" s="561">
        <v>519</v>
      </c>
      <c r="JH279" s="561">
        <v>0</v>
      </c>
      <c r="JI279" s="561">
        <v>0</v>
      </c>
      <c r="JJ279" s="561">
        <v>0</v>
      </c>
      <c r="JK279" s="561">
        <v>651</v>
      </c>
      <c r="JL279" s="561">
        <v>0</v>
      </c>
      <c r="JM279" s="561">
        <v>0</v>
      </c>
      <c r="JN279" s="561">
        <v>0</v>
      </c>
      <c r="JO279" s="561">
        <v>0</v>
      </c>
      <c r="JP279" s="561">
        <v>0</v>
      </c>
      <c r="JQ279" s="561">
        <v>0</v>
      </c>
      <c r="JR279" s="561">
        <v>0</v>
      </c>
      <c r="JS279" s="561">
        <v>0</v>
      </c>
      <c r="JT279" s="561">
        <v>0</v>
      </c>
      <c r="JU279" s="561">
        <v>0</v>
      </c>
      <c r="JV279" s="561">
        <v>52059.03</v>
      </c>
      <c r="JW279" s="561">
        <v>0</v>
      </c>
      <c r="JX279" s="561">
        <v>0</v>
      </c>
      <c r="JY279" s="561">
        <v>0</v>
      </c>
      <c r="JZ279" s="561">
        <v>0</v>
      </c>
      <c r="KA279" s="561">
        <v>0</v>
      </c>
      <c r="KB279" s="561">
        <v>0</v>
      </c>
      <c r="KC279" s="561">
        <v>869</v>
      </c>
      <c r="KD279" s="561">
        <v>0</v>
      </c>
      <c r="KE279" s="561">
        <v>61</v>
      </c>
      <c r="KF279" s="561">
        <v>0</v>
      </c>
      <c r="KG279" s="561">
        <v>52989.03</v>
      </c>
      <c r="KH279" s="561">
        <v>-4423</v>
      </c>
      <c r="KI279" s="561">
        <v>0</v>
      </c>
      <c r="KJ279" s="561">
        <v>0</v>
      </c>
      <c r="KK279" s="561">
        <v>0</v>
      </c>
      <c r="KL279" s="561">
        <v>-24463</v>
      </c>
      <c r="KM279" s="561">
        <v>0</v>
      </c>
      <c r="KN279" s="561">
        <v>-594</v>
      </c>
      <c r="KO279" s="561">
        <v>0</v>
      </c>
      <c r="KP279" s="561">
        <v>0</v>
      </c>
      <c r="KQ279" s="561">
        <v>0</v>
      </c>
      <c r="KR279" s="561">
        <v>23509.03</v>
      </c>
      <c r="KS279" s="561">
        <v>0</v>
      </c>
      <c r="KT279" s="561">
        <v>-3313</v>
      </c>
      <c r="KU279" s="561">
        <v>20196.03</v>
      </c>
      <c r="KV279" s="561">
        <v>0</v>
      </c>
      <c r="KW279" s="561">
        <v>0</v>
      </c>
      <c r="KX279" s="561">
        <v>0</v>
      </c>
      <c r="KY279" s="561">
        <v>0</v>
      </c>
      <c r="KZ279" s="561">
        <v>-1724</v>
      </c>
      <c r="LA279" s="561">
        <v>23</v>
      </c>
      <c r="LB279" s="561">
        <v>-158</v>
      </c>
      <c r="LC279" s="561">
        <v>0</v>
      </c>
      <c r="LD279" s="561">
        <v>-1011</v>
      </c>
      <c r="LE279" s="561">
        <v>-151</v>
      </c>
      <c r="LF279" s="561">
        <v>0</v>
      </c>
      <c r="LG279" s="561">
        <v>17175</v>
      </c>
      <c r="LH279" s="561">
        <v>0</v>
      </c>
      <c r="LI279" s="561">
        <v>0</v>
      </c>
      <c r="LJ279" s="561">
        <v>0</v>
      </c>
      <c r="LK279" s="561">
        <v>0</v>
      </c>
      <c r="LL279" s="561">
        <v>32950</v>
      </c>
      <c r="LM279" s="561">
        <v>3477</v>
      </c>
      <c r="LN279" s="561">
        <v>0</v>
      </c>
      <c r="LO279" s="561">
        <v>0</v>
      </c>
      <c r="LP279" s="561">
        <v>0</v>
      </c>
      <c r="LQ279" s="561">
        <v>0</v>
      </c>
      <c r="LR279" s="561">
        <v>31226</v>
      </c>
      <c r="LS279" s="561">
        <v>3500</v>
      </c>
      <c r="LT279" s="561">
        <v>1325</v>
      </c>
      <c r="LU279" s="561">
        <v>3926.95</v>
      </c>
      <c r="LV279" s="561">
        <v>0</v>
      </c>
      <c r="LW279" s="561">
        <v>4479.12</v>
      </c>
      <c r="LX279" s="561">
        <v>-10614.56</v>
      </c>
      <c r="LY279" s="561">
        <v>4638.71</v>
      </c>
      <c r="LZ279" s="561">
        <v>4175.5200000000004</v>
      </c>
      <c r="MA279" s="561">
        <v>0</v>
      </c>
      <c r="MB279" s="561">
        <v>0</v>
      </c>
      <c r="MC279" s="561">
        <v>0</v>
      </c>
      <c r="MD279" s="561">
        <v>0</v>
      </c>
      <c r="ME279" s="561">
        <v>0</v>
      </c>
      <c r="MF279" s="561">
        <v>0</v>
      </c>
      <c r="MG279" s="561">
        <v>0</v>
      </c>
      <c r="MH279" s="561">
        <v>2958</v>
      </c>
      <c r="MI279" s="561">
        <v>5189</v>
      </c>
      <c r="MJ279" s="561">
        <v>8147</v>
      </c>
      <c r="MK279" s="561">
        <v>0</v>
      </c>
      <c r="ML279" s="561">
        <v>1119</v>
      </c>
      <c r="MM279" s="561">
        <v>25681</v>
      </c>
      <c r="MN279" s="561">
        <v>926</v>
      </c>
      <c r="MO279" s="561">
        <v>3500</v>
      </c>
      <c r="MP279" s="561">
        <v>0</v>
      </c>
      <c r="MQ279" s="561">
        <v>0</v>
      </c>
      <c r="MR279" s="561">
        <v>-555</v>
      </c>
      <c r="MS279" s="561">
        <v>0</v>
      </c>
      <c r="MT279" s="561">
        <v>0</v>
      </c>
      <c r="MU279" s="561">
        <v>0</v>
      </c>
      <c r="MV279" s="561">
        <v>1994.79</v>
      </c>
      <c r="MW279" s="561">
        <v>2856.38</v>
      </c>
      <c r="MX279" s="561">
        <v>5260</v>
      </c>
      <c r="MY279" s="561">
        <v>2578</v>
      </c>
      <c r="MZ279" s="561">
        <v>0</v>
      </c>
      <c r="NA279" s="561">
        <v>0</v>
      </c>
      <c r="NB279" s="561">
        <v>12630.86</v>
      </c>
      <c r="NC279" s="561">
        <v>0</v>
      </c>
      <c r="ND279" s="561">
        <v>24765.03</v>
      </c>
      <c r="NE279" s="561">
        <v>0</v>
      </c>
      <c r="NF279" s="561">
        <v>0</v>
      </c>
      <c r="NG279" s="561">
        <v>0</v>
      </c>
      <c r="NH279" s="561">
        <v>0</v>
      </c>
      <c r="NI279" s="561">
        <v>0</v>
      </c>
      <c r="NJ279" s="561">
        <v>0</v>
      </c>
      <c r="NK279" s="561">
        <v>0</v>
      </c>
      <c r="NL279" s="561">
        <v>0</v>
      </c>
      <c r="NM279" s="561">
        <v>0</v>
      </c>
      <c r="NN279" s="561">
        <v>0</v>
      </c>
      <c r="NO279" s="561">
        <v>0</v>
      </c>
      <c r="NP279" s="561">
        <v>0</v>
      </c>
      <c r="NQ279" s="561">
        <v>0</v>
      </c>
      <c r="NR279" s="561">
        <v>0</v>
      </c>
      <c r="NS279" s="561">
        <v>0</v>
      </c>
      <c r="NT279" s="561">
        <v>0</v>
      </c>
      <c r="NU279" s="561">
        <v>0</v>
      </c>
      <c r="NV279" s="561">
        <v>0</v>
      </c>
      <c r="NW279" s="561">
        <v>0</v>
      </c>
      <c r="NX279" s="561">
        <v>0</v>
      </c>
      <c r="NY279" s="561">
        <v>0</v>
      </c>
      <c r="NZ279" s="561">
        <v>0</v>
      </c>
      <c r="OA279" s="561">
        <v>0</v>
      </c>
      <c r="OB279" s="561">
        <v>0</v>
      </c>
      <c r="OC279" s="561">
        <v>0</v>
      </c>
      <c r="OD279" s="561">
        <v>0</v>
      </c>
      <c r="OE279" s="561">
        <v>0</v>
      </c>
      <c r="OF279" s="561">
        <v>0</v>
      </c>
      <c r="OG279" s="561">
        <v>0</v>
      </c>
      <c r="OH279" s="561">
        <v>0</v>
      </c>
      <c r="OI279" s="561">
        <v>0</v>
      </c>
      <c r="OJ279" s="561">
        <v>0</v>
      </c>
      <c r="OK279" s="561">
        <v>0</v>
      </c>
      <c r="OL279" s="561">
        <v>0</v>
      </c>
      <c r="OM279" s="561">
        <v>0</v>
      </c>
      <c r="ON279" s="561">
        <v>0</v>
      </c>
      <c r="OO279" s="561">
        <v>0</v>
      </c>
      <c r="OP279" s="561">
        <v>0</v>
      </c>
      <c r="OQ279" s="561">
        <v>0</v>
      </c>
      <c r="OR279" s="561">
        <v>0</v>
      </c>
      <c r="OS279" s="561">
        <v>0</v>
      </c>
      <c r="OT279" s="561">
        <v>0</v>
      </c>
      <c r="OU279" s="561">
        <v>0</v>
      </c>
      <c r="OV279" s="561">
        <v>3</v>
      </c>
      <c r="OW279" s="561">
        <v>0</v>
      </c>
      <c r="OX279" s="561">
        <v>0</v>
      </c>
      <c r="OY279" s="561">
        <v>0</v>
      </c>
      <c r="OZ279" s="561">
        <v>0</v>
      </c>
      <c r="PA279" s="561">
        <v>0</v>
      </c>
      <c r="PB279" s="561">
        <v>0</v>
      </c>
      <c r="PC279" s="561">
        <v>0</v>
      </c>
      <c r="PD279" s="561">
        <v>0</v>
      </c>
      <c r="PE279" s="561">
        <v>0</v>
      </c>
      <c r="PF279" s="561">
        <v>0</v>
      </c>
      <c r="PG279" s="561">
        <v>0</v>
      </c>
      <c r="PH279" s="561">
        <v>0</v>
      </c>
      <c r="PI279" s="561">
        <v>0</v>
      </c>
      <c r="PJ279" s="561">
        <v>0</v>
      </c>
    </row>
    <row r="280" spans="1:426" ht="14" x14ac:dyDescent="0.3">
      <c r="A280" t="s">
        <v>3283</v>
      </c>
      <c r="B280" t="s">
        <v>3284</v>
      </c>
      <c r="C280" t="s">
        <v>3285</v>
      </c>
      <c r="E280" t="s">
        <v>384</v>
      </c>
      <c r="F280" s="561">
        <v>0</v>
      </c>
      <c r="G280" s="561">
        <v>0</v>
      </c>
      <c r="H280" s="561">
        <v>0</v>
      </c>
      <c r="I280" s="561">
        <v>0</v>
      </c>
      <c r="J280" s="561">
        <v>0</v>
      </c>
      <c r="K280" s="561">
        <v>0</v>
      </c>
      <c r="L280" s="561">
        <v>0</v>
      </c>
      <c r="M280" s="561">
        <v>0</v>
      </c>
      <c r="N280" s="561">
        <v>0</v>
      </c>
      <c r="O280" s="561">
        <v>31.32</v>
      </c>
      <c r="P280" s="561">
        <v>0</v>
      </c>
      <c r="Q280" s="561">
        <v>0</v>
      </c>
      <c r="R280" s="561">
        <v>0</v>
      </c>
      <c r="S280" s="561">
        <v>0</v>
      </c>
      <c r="T280" s="561">
        <v>0</v>
      </c>
      <c r="U280" s="561">
        <v>0</v>
      </c>
      <c r="V280" s="561">
        <v>0</v>
      </c>
      <c r="W280" s="561">
        <v>0</v>
      </c>
      <c r="X280" s="561">
        <v>0</v>
      </c>
      <c r="Y280" s="561">
        <v>0</v>
      </c>
      <c r="Z280" s="561">
        <v>0</v>
      </c>
      <c r="AA280" s="561">
        <v>0</v>
      </c>
      <c r="AB280" s="561">
        <v>-260.58999999999997</v>
      </c>
      <c r="AC280" s="561">
        <v>0</v>
      </c>
      <c r="AD280" s="561">
        <v>0</v>
      </c>
      <c r="AE280" s="561">
        <v>0</v>
      </c>
      <c r="AF280" s="561">
        <v>0</v>
      </c>
      <c r="AG280" s="561">
        <v>0</v>
      </c>
      <c r="AH280" s="561">
        <v>13.76</v>
      </c>
      <c r="AI280" s="561">
        <v>0</v>
      </c>
      <c r="AJ280" s="561">
        <v>-215.51</v>
      </c>
      <c r="AK280" s="561">
        <v>0</v>
      </c>
      <c r="AL280" s="561">
        <v>0</v>
      </c>
      <c r="AM280" s="561">
        <v>0</v>
      </c>
      <c r="AN280" s="561">
        <v>0</v>
      </c>
      <c r="AO280" s="561">
        <v>0</v>
      </c>
      <c r="AP280" s="561">
        <v>0</v>
      </c>
      <c r="AQ280" s="561">
        <v>0</v>
      </c>
      <c r="AR280" s="561">
        <v>0</v>
      </c>
      <c r="AS280" s="561">
        <v>0</v>
      </c>
      <c r="AT280" s="561">
        <v>0</v>
      </c>
      <c r="AU280" s="561">
        <v>0</v>
      </c>
      <c r="AV280" s="561">
        <v>0</v>
      </c>
      <c r="AW280" s="561">
        <v>0</v>
      </c>
      <c r="AX280" s="561">
        <v>0</v>
      </c>
      <c r="AY280" s="561">
        <v>0</v>
      </c>
      <c r="AZ280" s="561">
        <v>0</v>
      </c>
      <c r="BA280" s="561">
        <v>0</v>
      </c>
      <c r="BB280" s="561">
        <v>0</v>
      </c>
      <c r="BC280" s="561">
        <v>0</v>
      </c>
      <c r="BD280" s="561">
        <v>0</v>
      </c>
      <c r="BE280" s="561">
        <v>0</v>
      </c>
      <c r="BF280" s="561">
        <v>0</v>
      </c>
      <c r="BG280" s="561">
        <v>0</v>
      </c>
      <c r="BH280" s="561">
        <v>0</v>
      </c>
      <c r="BI280" s="561">
        <v>0</v>
      </c>
      <c r="BJ280" s="561">
        <v>0</v>
      </c>
      <c r="BK280" s="561">
        <v>0</v>
      </c>
      <c r="BL280" s="561">
        <v>0</v>
      </c>
      <c r="BM280" s="561">
        <v>0</v>
      </c>
      <c r="BN280" s="561">
        <v>0</v>
      </c>
      <c r="BO280" s="561">
        <v>0</v>
      </c>
      <c r="BP280" s="561">
        <v>0</v>
      </c>
      <c r="BQ280" s="561">
        <v>0</v>
      </c>
      <c r="BR280" s="561">
        <v>0</v>
      </c>
      <c r="BS280" s="561">
        <v>0</v>
      </c>
      <c r="BT280" s="561">
        <v>21.51</v>
      </c>
      <c r="BU280" s="561">
        <v>0</v>
      </c>
      <c r="BV280" s="561">
        <v>0</v>
      </c>
      <c r="BW280" s="561">
        <v>0</v>
      </c>
      <c r="BX280" s="561">
        <v>0</v>
      </c>
      <c r="BY280" s="561">
        <v>0</v>
      </c>
      <c r="BZ280" s="561">
        <v>21.51</v>
      </c>
      <c r="CA280" s="561">
        <v>0</v>
      </c>
      <c r="CB280" s="561">
        <v>0</v>
      </c>
      <c r="CC280" s="561">
        <v>0</v>
      </c>
      <c r="CD280" s="561">
        <v>0</v>
      </c>
      <c r="CE280" s="561">
        <v>0</v>
      </c>
      <c r="CF280" s="561">
        <v>0</v>
      </c>
      <c r="CG280" s="561">
        <v>0</v>
      </c>
      <c r="CH280" s="561">
        <v>0</v>
      </c>
      <c r="CI280" s="561">
        <v>0</v>
      </c>
      <c r="CJ280" s="561">
        <v>0</v>
      </c>
      <c r="CK280" s="561">
        <v>0</v>
      </c>
      <c r="CL280" s="561">
        <v>0</v>
      </c>
      <c r="CM280" s="561">
        <v>0</v>
      </c>
      <c r="CN280" s="561">
        <v>0</v>
      </c>
      <c r="CO280" s="561">
        <v>0</v>
      </c>
      <c r="CP280" s="561">
        <v>0</v>
      </c>
      <c r="CQ280" s="561">
        <v>0</v>
      </c>
      <c r="CR280" s="561">
        <v>0</v>
      </c>
      <c r="CS280" s="561">
        <v>0</v>
      </c>
      <c r="CT280" s="561">
        <v>0</v>
      </c>
      <c r="CU280" s="561">
        <v>0</v>
      </c>
      <c r="CV280" s="561">
        <v>0</v>
      </c>
      <c r="CW280" s="561">
        <v>0</v>
      </c>
      <c r="CX280" s="561">
        <v>0</v>
      </c>
      <c r="CY280" s="561">
        <v>0</v>
      </c>
      <c r="CZ280" s="561">
        <v>0</v>
      </c>
      <c r="DA280" s="561">
        <v>0</v>
      </c>
      <c r="DB280" s="561">
        <v>0</v>
      </c>
      <c r="DC280" s="561">
        <v>0</v>
      </c>
      <c r="DD280" s="561">
        <v>0</v>
      </c>
      <c r="DE280" s="561">
        <v>0</v>
      </c>
      <c r="DF280" s="561">
        <v>0</v>
      </c>
      <c r="DG280" s="561">
        <v>0</v>
      </c>
      <c r="DH280" s="561">
        <v>142.54</v>
      </c>
      <c r="DI280" s="561">
        <v>0</v>
      </c>
      <c r="DJ280" s="561">
        <v>116.35</v>
      </c>
      <c r="DK280" s="561">
        <v>0</v>
      </c>
      <c r="DL280" s="561">
        <v>0</v>
      </c>
      <c r="DM280" s="561">
        <v>0</v>
      </c>
      <c r="DN280" s="561">
        <v>0</v>
      </c>
      <c r="DO280" s="561">
        <v>21.93</v>
      </c>
      <c r="DP280" s="561">
        <v>37.270000000000003</v>
      </c>
      <c r="DQ280" s="561">
        <v>0</v>
      </c>
      <c r="DR280" s="561">
        <v>24.36</v>
      </c>
      <c r="DS280" s="561">
        <v>61.83</v>
      </c>
      <c r="DT280" s="561">
        <v>24.36</v>
      </c>
      <c r="DU280" s="561">
        <v>169.75</v>
      </c>
      <c r="DV280" s="561">
        <v>38.65</v>
      </c>
      <c r="DW280" s="561">
        <v>0</v>
      </c>
      <c r="DX280" s="561">
        <v>0</v>
      </c>
      <c r="DY280" s="561">
        <v>297.88</v>
      </c>
      <c r="DZ280" s="561">
        <v>-553.41</v>
      </c>
      <c r="EA280" s="561">
        <v>37.35</v>
      </c>
      <c r="EB280" s="561">
        <v>0</v>
      </c>
      <c r="EC280" s="561">
        <v>249.11</v>
      </c>
      <c r="ED280" s="561">
        <v>0</v>
      </c>
      <c r="EE280" s="561">
        <v>0</v>
      </c>
      <c r="EF280" s="561">
        <v>0</v>
      </c>
      <c r="EG280" s="561">
        <v>0</v>
      </c>
      <c r="EH280" s="561">
        <v>0</v>
      </c>
      <c r="EI280" s="561">
        <v>0</v>
      </c>
      <c r="EJ280" s="561">
        <v>0</v>
      </c>
      <c r="EK280" s="561">
        <v>0</v>
      </c>
      <c r="EL280" s="561">
        <v>0</v>
      </c>
      <c r="EM280" s="561">
        <v>0</v>
      </c>
      <c r="EN280" s="561">
        <v>0</v>
      </c>
      <c r="EO280" s="561">
        <v>0</v>
      </c>
      <c r="EP280" s="561">
        <v>0</v>
      </c>
      <c r="EQ280" s="561">
        <v>0</v>
      </c>
      <c r="ER280" s="561">
        <v>0</v>
      </c>
      <c r="ES280" s="561" t="s">
        <v>4565</v>
      </c>
      <c r="ET280" s="561">
        <v>0</v>
      </c>
      <c r="EU280" s="561">
        <v>0</v>
      </c>
      <c r="EV280" s="561">
        <v>0</v>
      </c>
      <c r="EW280" s="561">
        <v>0</v>
      </c>
      <c r="EX280" s="561">
        <v>0</v>
      </c>
      <c r="EY280" s="561">
        <v>0</v>
      </c>
      <c r="EZ280" s="561">
        <v>0</v>
      </c>
      <c r="FA280" s="561">
        <v>0</v>
      </c>
      <c r="FB280" s="561">
        <v>0</v>
      </c>
      <c r="FC280" s="561">
        <v>41.8</v>
      </c>
      <c r="FD280" s="561">
        <v>0</v>
      </c>
      <c r="FE280" s="561">
        <v>513.6</v>
      </c>
      <c r="FF280" s="561">
        <v>0</v>
      </c>
      <c r="FG280" s="561">
        <v>0</v>
      </c>
      <c r="FH280" s="561">
        <v>0</v>
      </c>
      <c r="FI280" s="561">
        <v>327.3</v>
      </c>
      <c r="FJ280" s="561">
        <v>162.30000000000001</v>
      </c>
      <c r="FK280" s="561">
        <v>625</v>
      </c>
      <c r="FL280" s="561">
        <v>0</v>
      </c>
      <c r="FM280" s="561">
        <v>135.19999999999999</v>
      </c>
      <c r="FN280" s="561">
        <v>0</v>
      </c>
      <c r="FO280" s="561">
        <v>1805.2</v>
      </c>
      <c r="FP280" s="561">
        <v>0</v>
      </c>
      <c r="FQ280" s="561">
        <v>54.4</v>
      </c>
      <c r="FR280" s="561">
        <v>0</v>
      </c>
      <c r="FS280" s="561">
        <v>0</v>
      </c>
      <c r="FT280" s="561">
        <v>0</v>
      </c>
      <c r="FU280" s="561">
        <v>445.7</v>
      </c>
      <c r="FV280" s="561">
        <v>0</v>
      </c>
      <c r="FW280" s="561">
        <v>0</v>
      </c>
      <c r="FX280" s="561">
        <v>0</v>
      </c>
      <c r="FY280" s="561">
        <v>0</v>
      </c>
      <c r="FZ280" s="561">
        <v>76.599999999999994</v>
      </c>
      <c r="GA280" s="561">
        <v>220</v>
      </c>
      <c r="GB280" s="561">
        <v>76.599999999999994</v>
      </c>
      <c r="GC280" s="561">
        <v>105.3</v>
      </c>
      <c r="GD280" s="561">
        <v>65.3</v>
      </c>
      <c r="GE280" s="561">
        <v>0</v>
      </c>
      <c r="GF280" s="561">
        <v>157.69999999999999</v>
      </c>
      <c r="GG280" s="561">
        <v>10</v>
      </c>
      <c r="GH280" s="561">
        <v>0</v>
      </c>
      <c r="GI280" s="561">
        <v>0</v>
      </c>
      <c r="GJ280" s="561">
        <v>0</v>
      </c>
      <c r="GK280" s="561">
        <v>0</v>
      </c>
      <c r="GL280" s="561">
        <v>437</v>
      </c>
      <c r="GM280" s="561">
        <v>2046.5</v>
      </c>
      <c r="GN280" s="561">
        <v>156.5</v>
      </c>
      <c r="GO280" s="561">
        <v>71.599999999999994</v>
      </c>
      <c r="GP280" s="561">
        <v>0</v>
      </c>
      <c r="GQ280" s="561">
        <v>0</v>
      </c>
      <c r="GR280" s="561">
        <v>0</v>
      </c>
      <c r="GS280" s="561">
        <v>3923.2</v>
      </c>
      <c r="GT280" s="561">
        <v>0</v>
      </c>
      <c r="GU280" s="561">
        <v>89.4</v>
      </c>
      <c r="GV280" s="561">
        <v>300.60000000000002</v>
      </c>
      <c r="GW280" s="561">
        <v>19.2</v>
      </c>
      <c r="GX280" s="561">
        <v>264.60000000000002</v>
      </c>
      <c r="GY280" s="561">
        <v>0</v>
      </c>
      <c r="GZ280" s="561">
        <v>230.8</v>
      </c>
      <c r="HA280" s="561">
        <v>0</v>
      </c>
      <c r="HB280" s="561">
        <v>0</v>
      </c>
      <c r="HC280" s="561">
        <v>0</v>
      </c>
      <c r="HD280" s="561">
        <v>904.6</v>
      </c>
      <c r="HE280" s="561">
        <v>0</v>
      </c>
      <c r="HF280" s="561">
        <v>6633</v>
      </c>
      <c r="HG280" s="561">
        <v>0</v>
      </c>
      <c r="HH280" s="561">
        <v>0</v>
      </c>
      <c r="HI280" s="561">
        <v>0</v>
      </c>
      <c r="HJ280" s="561">
        <v>0</v>
      </c>
      <c r="HK280" s="561">
        <v>0</v>
      </c>
      <c r="HL280" s="561">
        <v>0</v>
      </c>
      <c r="HM280" s="561">
        <v>0</v>
      </c>
      <c r="HN280" s="561">
        <v>0</v>
      </c>
      <c r="HO280" s="561">
        <v>1436</v>
      </c>
      <c r="HP280" s="561">
        <v>510.7</v>
      </c>
      <c r="HQ280" s="561">
        <v>0</v>
      </c>
      <c r="HR280" s="561">
        <v>0</v>
      </c>
      <c r="HS280" s="561">
        <v>246</v>
      </c>
      <c r="HT280" s="561">
        <v>49.6</v>
      </c>
      <c r="HU280" s="561">
        <v>0</v>
      </c>
      <c r="HV280" s="561">
        <v>0</v>
      </c>
      <c r="HW280" s="561">
        <v>106.1</v>
      </c>
      <c r="HX280" s="561">
        <v>76.400000000000006</v>
      </c>
      <c r="HY280" s="561">
        <v>28.3</v>
      </c>
      <c r="HZ280" s="561">
        <v>22.3</v>
      </c>
      <c r="IA280" s="561">
        <v>0</v>
      </c>
      <c r="IB280" s="561">
        <v>139.19999999999999</v>
      </c>
      <c r="IC280" s="561">
        <v>0</v>
      </c>
      <c r="ID280" s="561">
        <v>0</v>
      </c>
      <c r="IE280" s="561">
        <v>92.2</v>
      </c>
      <c r="IF280" s="561">
        <v>0</v>
      </c>
      <c r="IG280" s="561">
        <v>0</v>
      </c>
      <c r="IH280" s="561">
        <v>-135.04</v>
      </c>
      <c r="II280" s="561">
        <v>2571.7600000000002</v>
      </c>
      <c r="IJ280" s="561">
        <v>0</v>
      </c>
      <c r="IK280" s="561">
        <v>1110.9000000000001</v>
      </c>
      <c r="IL280" s="561">
        <v>7189.1</v>
      </c>
      <c r="IM280" s="561">
        <v>0</v>
      </c>
      <c r="IN280" s="561">
        <v>1.2</v>
      </c>
      <c r="IO280" s="561">
        <v>12.7</v>
      </c>
      <c r="IP280" s="561">
        <v>0</v>
      </c>
      <c r="IQ280" s="561">
        <v>0</v>
      </c>
      <c r="IR280" s="561">
        <v>0</v>
      </c>
      <c r="IS280" s="561">
        <v>-215.51</v>
      </c>
      <c r="IT280" s="561">
        <v>0</v>
      </c>
      <c r="IU280" s="561">
        <v>21.51</v>
      </c>
      <c r="IV280" s="561">
        <v>0</v>
      </c>
      <c r="IW280" s="561">
        <v>249.11</v>
      </c>
      <c r="IX280" s="561">
        <v>1805.2</v>
      </c>
      <c r="IY280" s="561">
        <v>3923.2</v>
      </c>
      <c r="IZ280" s="561">
        <v>904.6</v>
      </c>
      <c r="JA280" s="561">
        <v>0</v>
      </c>
      <c r="JB280" s="561">
        <v>0</v>
      </c>
      <c r="JC280" s="561">
        <v>2571.7600000000002</v>
      </c>
      <c r="JD280" s="561">
        <v>0</v>
      </c>
      <c r="JE280" s="561">
        <v>9259.8700000000008</v>
      </c>
      <c r="JF280" s="561">
        <v>5375.29</v>
      </c>
      <c r="JG280" s="561">
        <v>67.11</v>
      </c>
      <c r="JH280" s="561">
        <v>0</v>
      </c>
      <c r="JI280" s="561">
        <v>0</v>
      </c>
      <c r="JJ280" s="561">
        <v>0</v>
      </c>
      <c r="JK280" s="561">
        <v>628</v>
      </c>
      <c r="JL280" s="561">
        <v>0</v>
      </c>
      <c r="JM280" s="561">
        <v>0</v>
      </c>
      <c r="JN280" s="561">
        <v>0</v>
      </c>
      <c r="JO280" s="561">
        <v>0</v>
      </c>
      <c r="JP280" s="561">
        <v>185</v>
      </c>
      <c r="JQ280" s="561">
        <v>0</v>
      </c>
      <c r="JR280" s="561">
        <v>-235</v>
      </c>
      <c r="JS280" s="561">
        <v>0</v>
      </c>
      <c r="JT280" s="561">
        <v>0</v>
      </c>
      <c r="JU280" s="561">
        <v>0</v>
      </c>
      <c r="JV280" s="561">
        <v>15280.27</v>
      </c>
      <c r="JW280" s="561">
        <v>0</v>
      </c>
      <c r="JX280" s="561">
        <v>1352.29</v>
      </c>
      <c r="JY280" s="561">
        <v>0</v>
      </c>
      <c r="JZ280" s="561">
        <v>0</v>
      </c>
      <c r="KA280" s="561">
        <v>0</v>
      </c>
      <c r="KB280" s="561">
        <v>-46.89</v>
      </c>
      <c r="KC280" s="561">
        <v>194</v>
      </c>
      <c r="KD280" s="561">
        <v>32.340000000000003</v>
      </c>
      <c r="KE280" s="561">
        <v>0</v>
      </c>
      <c r="KF280" s="561">
        <v>0</v>
      </c>
      <c r="KG280" s="561">
        <v>16812.009999999998</v>
      </c>
      <c r="KH280" s="561">
        <v>-1408.08</v>
      </c>
      <c r="KI280" s="561">
        <v>0</v>
      </c>
      <c r="KJ280" s="561">
        <v>0</v>
      </c>
      <c r="KK280" s="561">
        <v>0</v>
      </c>
      <c r="KL280" s="561">
        <v>-5516</v>
      </c>
      <c r="KM280" s="561">
        <v>0</v>
      </c>
      <c r="KN280" s="561">
        <v>0</v>
      </c>
      <c r="KO280" s="561">
        <v>0</v>
      </c>
      <c r="KP280" s="561">
        <v>0</v>
      </c>
      <c r="KQ280" s="561">
        <v>0</v>
      </c>
      <c r="KR280" s="561">
        <v>9887.93</v>
      </c>
      <c r="KS280" s="561">
        <v>0</v>
      </c>
      <c r="KT280" s="561">
        <v>-2634</v>
      </c>
      <c r="KU280" s="561">
        <v>7253.93</v>
      </c>
      <c r="KV280" s="561">
        <v>0</v>
      </c>
      <c r="KW280" s="561">
        <v>0</v>
      </c>
      <c r="KX280" s="561">
        <v>0</v>
      </c>
      <c r="KY280" s="561">
        <v>0</v>
      </c>
      <c r="KZ280" s="561">
        <v>998.72</v>
      </c>
      <c r="LA280" s="561">
        <v>1186</v>
      </c>
      <c r="LB280" s="561">
        <v>-52</v>
      </c>
      <c r="LC280" s="561">
        <v>0</v>
      </c>
      <c r="LD280" s="561">
        <v>-4363</v>
      </c>
      <c r="LE280" s="561">
        <v>-74</v>
      </c>
      <c r="LF280" s="561">
        <v>0</v>
      </c>
      <c r="LG280" s="561">
        <v>4950</v>
      </c>
      <c r="LH280" s="561">
        <v>0</v>
      </c>
      <c r="LI280" s="561">
        <v>0</v>
      </c>
      <c r="LJ280" s="561">
        <v>0</v>
      </c>
      <c r="LK280" s="561">
        <v>0</v>
      </c>
      <c r="LL280" s="561">
        <v>15645</v>
      </c>
      <c r="LM280" s="561">
        <v>2896</v>
      </c>
      <c r="LN280" s="561">
        <v>0</v>
      </c>
      <c r="LO280" s="561">
        <v>0</v>
      </c>
      <c r="LP280" s="561">
        <v>0</v>
      </c>
      <c r="LQ280" s="561">
        <v>0</v>
      </c>
      <c r="LR280" s="561">
        <v>16643.72</v>
      </c>
      <c r="LS280" s="561">
        <v>4082</v>
      </c>
      <c r="LT280" s="561">
        <v>0</v>
      </c>
      <c r="LU280" s="561">
        <v>1196.26</v>
      </c>
      <c r="LV280" s="561">
        <v>0</v>
      </c>
      <c r="LW280" s="561">
        <v>284</v>
      </c>
      <c r="LX280" s="561">
        <v>-1499.99</v>
      </c>
      <c r="LY280" s="561">
        <v>2080.9499999999998</v>
      </c>
      <c r="LZ280" s="561">
        <v>2061.2199999999998</v>
      </c>
      <c r="MA280" s="561">
        <v>0</v>
      </c>
      <c r="MB280" s="561">
        <v>0</v>
      </c>
      <c r="MC280" s="561">
        <v>0</v>
      </c>
      <c r="MD280" s="561">
        <v>0</v>
      </c>
      <c r="ME280" s="561">
        <v>0</v>
      </c>
      <c r="MF280" s="561">
        <v>0</v>
      </c>
      <c r="MG280" s="561">
        <v>0</v>
      </c>
      <c r="MH280" s="561">
        <v>1190.8599999999999</v>
      </c>
      <c r="MI280" s="561">
        <v>1332.74</v>
      </c>
      <c r="MJ280" s="561">
        <v>2523.6</v>
      </c>
      <c r="MK280" s="561">
        <v>0</v>
      </c>
      <c r="ML280" s="561">
        <v>0</v>
      </c>
      <c r="MM280" s="561">
        <v>14249</v>
      </c>
      <c r="MN280" s="561">
        <v>2020</v>
      </c>
      <c r="MO280" s="561">
        <v>118.72</v>
      </c>
      <c r="MP280" s="561">
        <v>256</v>
      </c>
      <c r="MQ280" s="561">
        <v>0</v>
      </c>
      <c r="MR280" s="561">
        <v>-215.51</v>
      </c>
      <c r="MS280" s="561">
        <v>0</v>
      </c>
      <c r="MT280" s="561">
        <v>21.51</v>
      </c>
      <c r="MU280" s="561">
        <v>0</v>
      </c>
      <c r="MV280" s="561">
        <v>249.11</v>
      </c>
      <c r="MW280" s="561">
        <v>1805.2</v>
      </c>
      <c r="MX280" s="561">
        <v>3923.2</v>
      </c>
      <c r="MY280" s="561">
        <v>904.6</v>
      </c>
      <c r="MZ280" s="561">
        <v>0</v>
      </c>
      <c r="NA280" s="561">
        <v>0</v>
      </c>
      <c r="NB280" s="561">
        <v>2571.7600000000002</v>
      </c>
      <c r="NC280" s="561">
        <v>0</v>
      </c>
      <c r="ND280" s="561">
        <v>9259.8700000000008</v>
      </c>
      <c r="NE280" s="561">
        <v>0</v>
      </c>
      <c r="NF280" s="561">
        <v>0</v>
      </c>
      <c r="NG280" s="561">
        <v>0</v>
      </c>
      <c r="NH280" s="561">
        <v>0</v>
      </c>
      <c r="NI280" s="561">
        <v>0</v>
      </c>
      <c r="NJ280" s="561">
        <v>0</v>
      </c>
      <c r="NK280" s="561">
        <v>0</v>
      </c>
      <c r="NL280" s="561">
        <v>0</v>
      </c>
      <c r="NM280" s="561">
        <v>0</v>
      </c>
      <c r="NN280" s="561">
        <v>0</v>
      </c>
      <c r="NO280" s="561">
        <v>0</v>
      </c>
      <c r="NP280" s="561">
        <v>0</v>
      </c>
      <c r="NQ280" s="561">
        <v>0</v>
      </c>
      <c r="NR280" s="561">
        <v>0</v>
      </c>
      <c r="NS280" s="561">
        <v>0</v>
      </c>
      <c r="NT280" s="561">
        <v>0</v>
      </c>
      <c r="NU280" s="561">
        <v>0</v>
      </c>
      <c r="NV280" s="561">
        <v>-50</v>
      </c>
      <c r="NW280" s="561">
        <v>-50</v>
      </c>
      <c r="NX280" s="561">
        <v>235</v>
      </c>
      <c r="NY280" s="561">
        <v>185</v>
      </c>
      <c r="NZ280" s="561">
        <v>0</v>
      </c>
      <c r="OA280" s="561">
        <v>0</v>
      </c>
      <c r="OB280" s="561">
        <v>0</v>
      </c>
      <c r="OC280" s="561">
        <v>0</v>
      </c>
      <c r="OD280" s="561">
        <v>0</v>
      </c>
      <c r="OE280" s="561">
        <v>0</v>
      </c>
      <c r="OF280" s="561">
        <v>0</v>
      </c>
      <c r="OG280" s="561">
        <v>0</v>
      </c>
      <c r="OH280" s="561">
        <v>0</v>
      </c>
      <c r="OI280" s="561">
        <v>0</v>
      </c>
      <c r="OJ280" s="561">
        <v>0</v>
      </c>
      <c r="OK280" s="561">
        <v>0</v>
      </c>
      <c r="OL280" s="561">
        <v>0</v>
      </c>
      <c r="OM280" s="561">
        <v>0</v>
      </c>
      <c r="ON280" s="561">
        <v>0</v>
      </c>
      <c r="OO280" s="561">
        <v>0</v>
      </c>
      <c r="OP280" s="561">
        <v>0</v>
      </c>
      <c r="OQ280" s="561">
        <v>0</v>
      </c>
      <c r="OR280" s="561">
        <v>0</v>
      </c>
      <c r="OS280" s="561">
        <v>0</v>
      </c>
      <c r="OT280" s="561">
        <v>0</v>
      </c>
      <c r="OU280" s="561">
        <v>0</v>
      </c>
      <c r="OV280" s="561">
        <v>0</v>
      </c>
      <c r="OW280" s="561">
        <v>0</v>
      </c>
      <c r="OX280" s="561">
        <v>0</v>
      </c>
      <c r="OY280" s="561">
        <v>25</v>
      </c>
      <c r="OZ280" s="561">
        <v>0</v>
      </c>
      <c r="PA280" s="561">
        <v>210</v>
      </c>
      <c r="PB280" s="561">
        <v>0</v>
      </c>
      <c r="PC280" s="561">
        <v>0</v>
      </c>
      <c r="PD280" s="561">
        <v>235</v>
      </c>
      <c r="PE280" s="561">
        <v>0</v>
      </c>
      <c r="PF280" s="561">
        <v>0</v>
      </c>
      <c r="PG280" s="561">
        <v>0</v>
      </c>
      <c r="PH280" s="561">
        <v>0</v>
      </c>
      <c r="PI280" s="561">
        <v>0</v>
      </c>
      <c r="PJ280" s="561">
        <v>0</v>
      </c>
    </row>
    <row r="281" spans="1:426" ht="14" x14ac:dyDescent="0.3">
      <c r="A281" t="s">
        <v>3286</v>
      </c>
      <c r="B281" t="s">
        <v>3287</v>
      </c>
      <c r="C281" t="s">
        <v>3288</v>
      </c>
      <c r="E281" t="s">
        <v>2476</v>
      </c>
      <c r="F281" s="561">
        <v>23870</v>
      </c>
      <c r="G281" s="561">
        <v>86226</v>
      </c>
      <c r="H281" s="561">
        <v>9871</v>
      </c>
      <c r="I281" s="561">
        <v>21052</v>
      </c>
      <c r="J281" s="561">
        <v>7955</v>
      </c>
      <c r="K281" s="561">
        <v>20420</v>
      </c>
      <c r="L281" s="561">
        <v>169394</v>
      </c>
      <c r="M281" s="561">
        <v>27</v>
      </c>
      <c r="N281" s="561">
        <v>-519</v>
      </c>
      <c r="O281" s="561">
        <v>529</v>
      </c>
      <c r="P281" s="561">
        <v>3681</v>
      </c>
      <c r="Q281" s="561">
        <v>865</v>
      </c>
      <c r="R281" s="561">
        <v>78</v>
      </c>
      <c r="S281" s="561">
        <v>1919</v>
      </c>
      <c r="T281" s="561">
        <v>737</v>
      </c>
      <c r="U281" s="561">
        <v>128</v>
      </c>
      <c r="V281" s="561">
        <v>1277</v>
      </c>
      <c r="W281" s="561">
        <v>0</v>
      </c>
      <c r="X281" s="561">
        <v>-62</v>
      </c>
      <c r="Y281" s="561">
        <v>576</v>
      </c>
      <c r="Z281" s="561">
        <v>989</v>
      </c>
      <c r="AA281" s="561">
        <v>-8926</v>
      </c>
      <c r="AB281" s="561">
        <v>-2087</v>
      </c>
      <c r="AC281" s="561">
        <v>6990</v>
      </c>
      <c r="AD281" s="561">
        <v>0</v>
      </c>
      <c r="AE281" s="561">
        <v>0</v>
      </c>
      <c r="AF281" s="561">
        <v>0</v>
      </c>
      <c r="AG281" s="561">
        <v>0</v>
      </c>
      <c r="AH281" s="561">
        <v>0</v>
      </c>
      <c r="AI281" s="561">
        <v>0</v>
      </c>
      <c r="AJ281" s="561">
        <v>6175</v>
      </c>
      <c r="AK281" s="561">
        <v>1009</v>
      </c>
      <c r="AL281" s="561">
        <v>0</v>
      </c>
      <c r="AM281" s="561">
        <v>0</v>
      </c>
      <c r="AN281" s="561">
        <v>0</v>
      </c>
      <c r="AO281" s="561">
        <v>0</v>
      </c>
      <c r="AP281" s="561">
        <v>0</v>
      </c>
      <c r="AQ281" s="561">
        <v>0</v>
      </c>
      <c r="AR281" s="561">
        <v>0</v>
      </c>
      <c r="AS281" s="561">
        <v>5978</v>
      </c>
      <c r="AT281" s="561">
        <v>9350</v>
      </c>
      <c r="AU281" s="561">
        <v>0</v>
      </c>
      <c r="AV281" s="561">
        <v>0</v>
      </c>
      <c r="AW281" s="561">
        <v>0</v>
      </c>
      <c r="AX281" s="561">
        <v>2971</v>
      </c>
      <c r="AY281" s="561">
        <v>23694</v>
      </c>
      <c r="AZ281" s="561">
        <v>0</v>
      </c>
      <c r="BA281" s="561">
        <v>4367</v>
      </c>
      <c r="BB281" s="561">
        <v>2856</v>
      </c>
      <c r="BC281" s="561">
        <v>11563</v>
      </c>
      <c r="BD281" s="561">
        <v>1768</v>
      </c>
      <c r="BE281" s="561">
        <v>4666</v>
      </c>
      <c r="BF281" s="561">
        <v>51885</v>
      </c>
      <c r="BG281" s="561">
        <v>278</v>
      </c>
      <c r="BH281" s="561">
        <v>8726</v>
      </c>
      <c r="BI281" s="561">
        <v>19826</v>
      </c>
      <c r="BJ281" s="561">
        <v>378</v>
      </c>
      <c r="BK281" s="561">
        <v>670</v>
      </c>
      <c r="BL281" s="561">
        <v>144</v>
      </c>
      <c r="BM281" s="561">
        <v>4180</v>
      </c>
      <c r="BN281" s="561">
        <v>25260</v>
      </c>
      <c r="BO281" s="561">
        <v>5711</v>
      </c>
      <c r="BP281" s="561">
        <v>6676</v>
      </c>
      <c r="BQ281" s="561">
        <v>2521</v>
      </c>
      <c r="BR281" s="561">
        <v>642</v>
      </c>
      <c r="BS281" s="561">
        <v>257</v>
      </c>
      <c r="BT281" s="561">
        <v>557</v>
      </c>
      <c r="BU281" s="561">
        <v>257</v>
      </c>
      <c r="BV281" s="561">
        <v>30</v>
      </c>
      <c r="BW281" s="561">
        <v>8784</v>
      </c>
      <c r="BX281" s="561">
        <v>1284</v>
      </c>
      <c r="BY281" s="561">
        <v>3760</v>
      </c>
      <c r="BZ281" s="561">
        <v>89663</v>
      </c>
      <c r="CA281" s="561">
        <v>3874</v>
      </c>
      <c r="CB281" s="561">
        <v>2053</v>
      </c>
      <c r="CC281" s="561">
        <v>317</v>
      </c>
      <c r="CD281" s="561">
        <v>38</v>
      </c>
      <c r="CE281" s="561">
        <v>306</v>
      </c>
      <c r="CF281" s="561">
        <v>21</v>
      </c>
      <c r="CG281" s="561">
        <v>60</v>
      </c>
      <c r="CH281" s="561">
        <v>55</v>
      </c>
      <c r="CI281" s="561">
        <v>46</v>
      </c>
      <c r="CJ281" s="561">
        <v>11</v>
      </c>
      <c r="CK281" s="561">
        <v>528</v>
      </c>
      <c r="CL281" s="561">
        <v>11</v>
      </c>
      <c r="CM281" s="561">
        <v>1207</v>
      </c>
      <c r="CN281" s="561">
        <v>1207</v>
      </c>
      <c r="CO281" s="561">
        <v>9</v>
      </c>
      <c r="CP281" s="561">
        <v>11</v>
      </c>
      <c r="CQ281" s="561">
        <v>47</v>
      </c>
      <c r="CR281" s="561">
        <v>143</v>
      </c>
      <c r="CS281" s="561">
        <v>20</v>
      </c>
      <c r="CT281" s="561">
        <v>1095</v>
      </c>
      <c r="CU281" s="561">
        <v>2935</v>
      </c>
      <c r="CV281" s="561">
        <v>16</v>
      </c>
      <c r="CW281" s="561">
        <v>226</v>
      </c>
      <c r="CX281" s="561">
        <v>491</v>
      </c>
      <c r="CY281" s="561">
        <v>332</v>
      </c>
      <c r="CZ281" s="561">
        <v>11185</v>
      </c>
      <c r="DA281" s="561">
        <v>383</v>
      </c>
      <c r="DB281" s="561">
        <v>0</v>
      </c>
      <c r="DC281" s="561">
        <v>0</v>
      </c>
      <c r="DD281" s="561">
        <v>0</v>
      </c>
      <c r="DE281" s="561">
        <v>0</v>
      </c>
      <c r="DF281" s="561">
        <v>0</v>
      </c>
      <c r="DG281" s="561">
        <v>0</v>
      </c>
      <c r="DH281" s="561">
        <v>295</v>
      </c>
      <c r="DI281" s="561">
        <v>0</v>
      </c>
      <c r="DJ281" s="561">
        <v>82</v>
      </c>
      <c r="DK281" s="561">
        <v>412</v>
      </c>
      <c r="DL281" s="561">
        <v>6161</v>
      </c>
      <c r="DM281" s="561">
        <v>850</v>
      </c>
      <c r="DN281" s="561">
        <v>61</v>
      </c>
      <c r="DO281" s="561">
        <v>1010</v>
      </c>
      <c r="DP281" s="561">
        <v>0</v>
      </c>
      <c r="DQ281" s="561">
        <v>366</v>
      </c>
      <c r="DR281" s="561">
        <v>1396</v>
      </c>
      <c r="DS281" s="561">
        <v>2321</v>
      </c>
      <c r="DT281" s="561">
        <v>1537</v>
      </c>
      <c r="DU281" s="561">
        <v>13702</v>
      </c>
      <c r="DV281" s="561">
        <v>531</v>
      </c>
      <c r="DW281" s="561">
        <v>0</v>
      </c>
      <c r="DX281" s="561">
        <v>0</v>
      </c>
      <c r="DY281" s="561">
        <v>1711</v>
      </c>
      <c r="DZ281" s="561">
        <v>3297</v>
      </c>
      <c r="EA281" s="561">
        <v>530</v>
      </c>
      <c r="EB281" s="561">
        <v>90</v>
      </c>
      <c r="EC281" s="561">
        <v>20650</v>
      </c>
      <c r="ED281" s="561">
        <v>752</v>
      </c>
      <c r="EE281" s="561">
        <v>0</v>
      </c>
      <c r="EF281" s="561">
        <v>0</v>
      </c>
      <c r="EG281" s="561">
        <v>0</v>
      </c>
      <c r="EH281" s="561">
        <v>0</v>
      </c>
      <c r="EI281" s="561">
        <v>0</v>
      </c>
      <c r="EJ281" s="561">
        <v>0</v>
      </c>
      <c r="EK281" s="561">
        <v>0</v>
      </c>
      <c r="EL281" s="561">
        <v>0</v>
      </c>
      <c r="EM281" s="561">
        <v>0</v>
      </c>
      <c r="EN281" s="561">
        <v>0</v>
      </c>
      <c r="EO281" s="561">
        <v>0</v>
      </c>
      <c r="EP281" s="561">
        <v>0</v>
      </c>
      <c r="EQ281" s="561">
        <v>0</v>
      </c>
      <c r="ER281" s="561">
        <v>0</v>
      </c>
      <c r="ES281" s="561" t="s">
        <v>4565</v>
      </c>
      <c r="ET281" s="561">
        <v>0</v>
      </c>
      <c r="EU281" s="561">
        <v>0</v>
      </c>
      <c r="EV281" s="561">
        <v>0</v>
      </c>
      <c r="EW281" s="561">
        <v>0</v>
      </c>
      <c r="EX281" s="561">
        <v>0</v>
      </c>
      <c r="EY281" s="561">
        <v>0</v>
      </c>
      <c r="EZ281" s="561">
        <v>0</v>
      </c>
      <c r="FA281" s="561">
        <v>0</v>
      </c>
      <c r="FB281" s="561">
        <v>0</v>
      </c>
      <c r="FC281" s="561">
        <v>1489</v>
      </c>
      <c r="FD281" s="561">
        <v>0</v>
      </c>
      <c r="FE281" s="561">
        <v>0</v>
      </c>
      <c r="FF281" s="561">
        <v>0</v>
      </c>
      <c r="FG281" s="561">
        <v>-47</v>
      </c>
      <c r="FH281" s="561">
        <v>0</v>
      </c>
      <c r="FI281" s="561">
        <v>0</v>
      </c>
      <c r="FJ281" s="561">
        <v>2820</v>
      </c>
      <c r="FK281" s="561">
        <v>5585</v>
      </c>
      <c r="FL281" s="561">
        <v>39</v>
      </c>
      <c r="FM281" s="561">
        <v>78</v>
      </c>
      <c r="FN281" s="561">
        <v>4716</v>
      </c>
      <c r="FO281" s="561">
        <v>14680</v>
      </c>
      <c r="FP281" s="561">
        <v>203</v>
      </c>
      <c r="FQ281" s="561">
        <v>-356</v>
      </c>
      <c r="FR281" s="561">
        <v>240</v>
      </c>
      <c r="FS281" s="561">
        <v>0</v>
      </c>
      <c r="FT281" s="561">
        <v>304</v>
      </c>
      <c r="FU281" s="561">
        <v>788</v>
      </c>
      <c r="FV281" s="561">
        <v>33</v>
      </c>
      <c r="FW281" s="561">
        <v>144</v>
      </c>
      <c r="FX281" s="561">
        <v>0</v>
      </c>
      <c r="FY281" s="561">
        <v>0</v>
      </c>
      <c r="FZ281" s="561">
        <v>3</v>
      </c>
      <c r="GA281" s="561">
        <v>109</v>
      </c>
      <c r="GB281" s="561">
        <v>-335</v>
      </c>
      <c r="GC281" s="561">
        <v>615</v>
      </c>
      <c r="GD281" s="561">
        <v>209</v>
      </c>
      <c r="GE281" s="561">
        <v>1013</v>
      </c>
      <c r="GF281" s="561">
        <v>759</v>
      </c>
      <c r="GG281" s="561">
        <v>131</v>
      </c>
      <c r="GH281" s="561">
        <v>0</v>
      </c>
      <c r="GI281" s="561">
        <v>0</v>
      </c>
      <c r="GJ281" s="561">
        <v>0</v>
      </c>
      <c r="GK281" s="561">
        <v>0</v>
      </c>
      <c r="GL281" s="561">
        <v>4041</v>
      </c>
      <c r="GM281" s="561">
        <v>591</v>
      </c>
      <c r="GN281" s="561">
        <v>0</v>
      </c>
      <c r="GO281" s="561">
        <v>-635</v>
      </c>
      <c r="GP281" s="561">
        <v>7605</v>
      </c>
      <c r="GQ281" s="561">
        <v>0</v>
      </c>
      <c r="GR281" s="561">
        <v>427</v>
      </c>
      <c r="GS281" s="561">
        <v>15686</v>
      </c>
      <c r="GT281" s="561">
        <v>205</v>
      </c>
      <c r="GU281" s="561">
        <v>392</v>
      </c>
      <c r="GV281" s="561">
        <v>1404</v>
      </c>
      <c r="GW281" s="561">
        <v>1278</v>
      </c>
      <c r="GX281" s="561">
        <v>644</v>
      </c>
      <c r="GY281" s="561">
        <v>234</v>
      </c>
      <c r="GZ281" s="561">
        <v>733</v>
      </c>
      <c r="HA281" s="561">
        <v>0</v>
      </c>
      <c r="HB281" s="561">
        <v>444</v>
      </c>
      <c r="HC281" s="561">
        <v>879</v>
      </c>
      <c r="HD281" s="561">
        <v>6008</v>
      </c>
      <c r="HE281" s="561">
        <v>642</v>
      </c>
      <c r="HF281" s="561">
        <v>36374</v>
      </c>
      <c r="HG281" s="561">
        <v>0</v>
      </c>
      <c r="HH281" s="561">
        <v>0</v>
      </c>
      <c r="HI281" s="561">
        <v>0</v>
      </c>
      <c r="HJ281" s="561">
        <v>0</v>
      </c>
      <c r="HK281" s="561">
        <v>0</v>
      </c>
      <c r="HL281" s="561">
        <v>0</v>
      </c>
      <c r="HM281" s="561">
        <v>0</v>
      </c>
      <c r="HN281" s="561">
        <v>0</v>
      </c>
      <c r="HO281" s="561">
        <v>6999</v>
      </c>
      <c r="HP281" s="561">
        <v>314</v>
      </c>
      <c r="HQ281" s="561">
        <v>84</v>
      </c>
      <c r="HR281" s="561">
        <v>0</v>
      </c>
      <c r="HS281" s="561">
        <v>78</v>
      </c>
      <c r="HT281" s="561">
        <v>-142</v>
      </c>
      <c r="HU281" s="561">
        <v>0</v>
      </c>
      <c r="HV281" s="561">
        <v>-209</v>
      </c>
      <c r="HW281" s="561">
        <v>589</v>
      </c>
      <c r="HX281" s="561">
        <v>36</v>
      </c>
      <c r="HY281" s="561">
        <v>254</v>
      </c>
      <c r="HZ281" s="561">
        <v>-229</v>
      </c>
      <c r="IA281" s="561">
        <v>580</v>
      </c>
      <c r="IB281" s="561">
        <v>0</v>
      </c>
      <c r="IC281" s="561">
        <v>185</v>
      </c>
      <c r="ID281" s="561">
        <v>0</v>
      </c>
      <c r="IE281" s="561">
        <v>1291</v>
      </c>
      <c r="IF281" s="561">
        <v>1958</v>
      </c>
      <c r="IG281" s="561">
        <v>0</v>
      </c>
      <c r="IH281" s="561">
        <v>-415</v>
      </c>
      <c r="II281" s="561">
        <v>11373</v>
      </c>
      <c r="IJ281" s="561">
        <v>-45</v>
      </c>
      <c r="IK281" s="561">
        <v>2917</v>
      </c>
      <c r="IL281" s="561">
        <v>21061</v>
      </c>
      <c r="IM281" s="561">
        <v>0</v>
      </c>
      <c r="IN281" s="561">
        <v>0</v>
      </c>
      <c r="IO281" s="561">
        <v>0</v>
      </c>
      <c r="IP281" s="561">
        <v>0</v>
      </c>
      <c r="IQ281" s="561">
        <v>0</v>
      </c>
      <c r="IR281" s="561">
        <v>169394</v>
      </c>
      <c r="IS281" s="561">
        <v>6175</v>
      </c>
      <c r="IT281" s="561">
        <v>51885</v>
      </c>
      <c r="IU281" s="561">
        <v>89663</v>
      </c>
      <c r="IV281" s="561">
        <v>11185</v>
      </c>
      <c r="IW281" s="561">
        <v>20650</v>
      </c>
      <c r="IX281" s="561">
        <v>14680</v>
      </c>
      <c r="IY281" s="561">
        <v>15686</v>
      </c>
      <c r="IZ281" s="561">
        <v>6008</v>
      </c>
      <c r="JA281" s="561">
        <v>0</v>
      </c>
      <c r="JB281" s="561">
        <v>0</v>
      </c>
      <c r="JC281" s="561">
        <v>11373</v>
      </c>
      <c r="JD281" s="561">
        <v>0</v>
      </c>
      <c r="JE281" s="561">
        <v>396699</v>
      </c>
      <c r="JF281" s="561">
        <v>39118</v>
      </c>
      <c r="JG281" s="561">
        <v>5252</v>
      </c>
      <c r="JH281" s="561">
        <v>0</v>
      </c>
      <c r="JI281" s="561">
        <v>0</v>
      </c>
      <c r="JJ281" s="561">
        <v>0</v>
      </c>
      <c r="JK281" s="561">
        <v>0</v>
      </c>
      <c r="JL281" s="561">
        <v>0</v>
      </c>
      <c r="JM281" s="561">
        <v>6796</v>
      </c>
      <c r="JN281" s="561">
        <v>298</v>
      </c>
      <c r="JO281" s="561">
        <v>485</v>
      </c>
      <c r="JP281" s="561">
        <v>0</v>
      </c>
      <c r="JQ281" s="561">
        <v>-8</v>
      </c>
      <c r="JR281" s="561">
        <v>0</v>
      </c>
      <c r="JS281" s="561">
        <v>0</v>
      </c>
      <c r="JT281" s="561">
        <v>0</v>
      </c>
      <c r="JU281" s="561">
        <v>0</v>
      </c>
      <c r="JV281" s="561">
        <v>448640</v>
      </c>
      <c r="JW281" s="561">
        <v>214</v>
      </c>
      <c r="JX281" s="561">
        <v>964</v>
      </c>
      <c r="JY281" s="561">
        <v>0</v>
      </c>
      <c r="JZ281" s="561">
        <v>0</v>
      </c>
      <c r="KA281" s="561">
        <v>0</v>
      </c>
      <c r="KB281" s="561">
        <v>668</v>
      </c>
      <c r="KC281" s="561">
        <v>5320</v>
      </c>
      <c r="KD281" s="561">
        <v>0</v>
      </c>
      <c r="KE281" s="561">
        <v>4093</v>
      </c>
      <c r="KF281" s="561">
        <v>0</v>
      </c>
      <c r="KG281" s="561">
        <v>459899</v>
      </c>
      <c r="KH281" s="561">
        <v>-8918</v>
      </c>
      <c r="KI281" s="561">
        <v>0</v>
      </c>
      <c r="KJ281" s="561">
        <v>0</v>
      </c>
      <c r="KK281" s="561">
        <v>0</v>
      </c>
      <c r="KL281" s="561">
        <v>-45280</v>
      </c>
      <c r="KM281" s="561">
        <v>0</v>
      </c>
      <c r="KN281" s="561">
        <v>-98</v>
      </c>
      <c r="KO281" s="561">
        <v>0</v>
      </c>
      <c r="KP281" s="561">
        <v>0</v>
      </c>
      <c r="KQ281" s="561">
        <v>-1395</v>
      </c>
      <c r="KR281" s="561">
        <v>404208</v>
      </c>
      <c r="KS281" s="561">
        <v>0</v>
      </c>
      <c r="KT281" s="561">
        <v>-203253</v>
      </c>
      <c r="KU281" s="561">
        <v>200955</v>
      </c>
      <c r="KV281" s="561">
        <v>0</v>
      </c>
      <c r="KW281" s="561">
        <v>-202</v>
      </c>
      <c r="KX281" s="561">
        <v>0</v>
      </c>
      <c r="KY281" s="561">
        <v>2</v>
      </c>
      <c r="KZ281" s="561">
        <v>-7779</v>
      </c>
      <c r="LA281" s="561">
        <v>5</v>
      </c>
      <c r="LB281" s="561">
        <v>-208</v>
      </c>
      <c r="LC281" s="561">
        <v>0</v>
      </c>
      <c r="LD281" s="561">
        <v>-26156</v>
      </c>
      <c r="LE281" s="561">
        <v>-2204</v>
      </c>
      <c r="LF281" s="561">
        <v>-3685</v>
      </c>
      <c r="LG281" s="561">
        <v>160728</v>
      </c>
      <c r="LH281" s="561">
        <v>7759</v>
      </c>
      <c r="LI281" s="561">
        <v>-11187</v>
      </c>
      <c r="LJ281" s="561">
        <v>12357</v>
      </c>
      <c r="LK281" s="561">
        <v>0</v>
      </c>
      <c r="LL281" s="561">
        <v>109573</v>
      </c>
      <c r="LM281" s="561">
        <v>11063</v>
      </c>
      <c r="LN281" s="561">
        <v>7557</v>
      </c>
      <c r="LO281" s="561">
        <v>-12582</v>
      </c>
      <c r="LP281" s="561">
        <v>12357</v>
      </c>
      <c r="LQ281" s="561">
        <v>2</v>
      </c>
      <c r="LR281" s="561">
        <v>101794</v>
      </c>
      <c r="LS281" s="561">
        <v>11068</v>
      </c>
      <c r="LT281" s="561">
        <v>0</v>
      </c>
      <c r="LU281" s="561">
        <v>17298</v>
      </c>
      <c r="LV281" s="561">
        <v>0</v>
      </c>
      <c r="LW281" s="561">
        <v>3549</v>
      </c>
      <c r="LX281" s="561">
        <v>666</v>
      </c>
      <c r="LY281" s="561">
        <v>13288</v>
      </c>
      <c r="LZ281" s="561">
        <v>33478</v>
      </c>
      <c r="MA281" s="561">
        <v>0</v>
      </c>
      <c r="MB281" s="561">
        <v>0</v>
      </c>
      <c r="MC281" s="561">
        <v>0</v>
      </c>
      <c r="MD281" s="561">
        <v>0</v>
      </c>
      <c r="ME281" s="561">
        <v>0</v>
      </c>
      <c r="MF281" s="561">
        <v>0</v>
      </c>
      <c r="MG281" s="561">
        <v>0</v>
      </c>
      <c r="MH281" s="561">
        <v>5181</v>
      </c>
      <c r="MI281" s="561">
        <v>8926</v>
      </c>
      <c r="MJ281" s="561">
        <v>14107</v>
      </c>
      <c r="MK281" s="561">
        <v>0</v>
      </c>
      <c r="ML281" s="561">
        <v>6494</v>
      </c>
      <c r="MM281" s="561">
        <v>34859</v>
      </c>
      <c r="MN281" s="561">
        <v>21489</v>
      </c>
      <c r="MO281" s="561">
        <v>25526</v>
      </c>
      <c r="MP281" s="561">
        <v>13426</v>
      </c>
      <c r="MQ281" s="561">
        <v>169394</v>
      </c>
      <c r="MR281" s="561">
        <v>6175</v>
      </c>
      <c r="MS281" s="561">
        <v>51885</v>
      </c>
      <c r="MT281" s="561">
        <v>89663</v>
      </c>
      <c r="MU281" s="561">
        <v>11185</v>
      </c>
      <c r="MV281" s="561">
        <v>20650</v>
      </c>
      <c r="MW281" s="561">
        <v>14680</v>
      </c>
      <c r="MX281" s="561">
        <v>15686</v>
      </c>
      <c r="MY281" s="561">
        <v>6008</v>
      </c>
      <c r="MZ281" s="561">
        <v>0</v>
      </c>
      <c r="NA281" s="561">
        <v>0</v>
      </c>
      <c r="NB281" s="561">
        <v>11373</v>
      </c>
      <c r="NC281" s="561">
        <v>0</v>
      </c>
      <c r="ND281" s="561">
        <v>396699</v>
      </c>
      <c r="NE281" s="561">
        <v>0</v>
      </c>
      <c r="NF281" s="561">
        <v>0</v>
      </c>
      <c r="NG281" s="561">
        <v>0</v>
      </c>
      <c r="NH281" s="561">
        <v>0</v>
      </c>
      <c r="NI281" s="561">
        <v>0</v>
      </c>
      <c r="NJ281" s="561">
        <v>0</v>
      </c>
      <c r="NK281" s="561">
        <v>0</v>
      </c>
      <c r="NL281" s="561">
        <v>0</v>
      </c>
      <c r="NM281" s="561">
        <v>0</v>
      </c>
      <c r="NN281" s="561">
        <v>0</v>
      </c>
      <c r="NO281" s="561">
        <v>0</v>
      </c>
      <c r="NP281" s="561">
        <v>0</v>
      </c>
      <c r="NQ281" s="561">
        <v>0</v>
      </c>
      <c r="NR281" s="561">
        <v>0</v>
      </c>
      <c r="NS281" s="561">
        <v>0</v>
      </c>
      <c r="NT281" s="561">
        <v>0</v>
      </c>
      <c r="NU281" s="561">
        <v>0</v>
      </c>
      <c r="NV281" s="561">
        <v>0</v>
      </c>
      <c r="NW281" s="561">
        <v>0</v>
      </c>
      <c r="NX281" s="561">
        <v>0</v>
      </c>
      <c r="NY281" s="561">
        <v>0</v>
      </c>
      <c r="NZ281" s="561">
        <v>0</v>
      </c>
      <c r="OA281" s="561">
        <v>0</v>
      </c>
      <c r="OB281" s="561">
        <v>0</v>
      </c>
      <c r="OC281" s="561">
        <v>0</v>
      </c>
      <c r="OD281" s="561">
        <v>0</v>
      </c>
      <c r="OE281" s="561">
        <v>0</v>
      </c>
      <c r="OF281" s="561">
        <v>0</v>
      </c>
      <c r="OG281" s="561">
        <v>0</v>
      </c>
      <c r="OH281" s="561">
        <v>0</v>
      </c>
      <c r="OI281" s="561">
        <v>0</v>
      </c>
      <c r="OJ281" s="561">
        <v>0</v>
      </c>
      <c r="OK281" s="561">
        <v>0</v>
      </c>
      <c r="OL281" s="561">
        <v>0</v>
      </c>
      <c r="OM281" s="561">
        <v>0</v>
      </c>
      <c r="ON281" s="561">
        <v>0</v>
      </c>
      <c r="OO281" s="561">
        <v>0</v>
      </c>
      <c r="OP281" s="561">
        <v>0</v>
      </c>
      <c r="OQ281" s="561">
        <v>-8</v>
      </c>
      <c r="OR281" s="561">
        <v>0</v>
      </c>
      <c r="OS281" s="561">
        <v>0</v>
      </c>
      <c r="OT281" s="561">
        <v>0</v>
      </c>
      <c r="OU281" s="561">
        <v>0</v>
      </c>
      <c r="OV281" s="561">
        <v>0</v>
      </c>
      <c r="OW281" s="561">
        <v>0</v>
      </c>
      <c r="OX281" s="561">
        <v>-8</v>
      </c>
      <c r="OY281" s="561">
        <v>0</v>
      </c>
      <c r="OZ281" s="561">
        <v>0</v>
      </c>
      <c r="PA281" s="561">
        <v>0</v>
      </c>
      <c r="PB281" s="561">
        <v>0</v>
      </c>
      <c r="PC281" s="561">
        <v>0</v>
      </c>
      <c r="PD281" s="561">
        <v>0</v>
      </c>
      <c r="PE281" s="561">
        <v>0</v>
      </c>
      <c r="PF281" s="561">
        <v>0</v>
      </c>
      <c r="PG281" s="561">
        <v>0</v>
      </c>
      <c r="PH281" s="561">
        <v>0</v>
      </c>
      <c r="PI281" s="561">
        <v>0</v>
      </c>
      <c r="PJ281" s="561">
        <v>0</v>
      </c>
    </row>
    <row r="282" spans="1:426" ht="14" x14ac:dyDescent="0.3">
      <c r="A282" t="s">
        <v>3289</v>
      </c>
      <c r="B282" t="s">
        <v>3290</v>
      </c>
      <c r="C282" t="s">
        <v>3291</v>
      </c>
      <c r="E282" t="s">
        <v>379</v>
      </c>
      <c r="F282" s="561">
        <v>24000</v>
      </c>
      <c r="G282" s="561">
        <v>128077</v>
      </c>
      <c r="H282" s="561">
        <v>23282</v>
      </c>
      <c r="I282" s="561">
        <v>44372</v>
      </c>
      <c r="J282" s="561">
        <v>4328</v>
      </c>
      <c r="K282" s="561">
        <v>13506</v>
      </c>
      <c r="L282" s="561">
        <v>237565</v>
      </c>
      <c r="M282" s="561">
        <v>6510</v>
      </c>
      <c r="N282" s="561">
        <v>810</v>
      </c>
      <c r="O282" s="561">
        <v>131</v>
      </c>
      <c r="P282" s="561">
        <v>173</v>
      </c>
      <c r="Q282" s="561">
        <v>817</v>
      </c>
      <c r="R282" s="561">
        <v>0</v>
      </c>
      <c r="S282" s="561">
        <v>763</v>
      </c>
      <c r="T282" s="561">
        <v>3523</v>
      </c>
      <c r="U282" s="561">
        <v>445</v>
      </c>
      <c r="V282" s="561">
        <v>6479</v>
      </c>
      <c r="W282" s="561">
        <v>0</v>
      </c>
      <c r="X282" s="561">
        <v>0</v>
      </c>
      <c r="Y282" s="561">
        <v>303</v>
      </c>
      <c r="Z282" s="561">
        <v>271</v>
      </c>
      <c r="AA282" s="561">
        <v>-225</v>
      </c>
      <c r="AB282" s="561">
        <v>200</v>
      </c>
      <c r="AC282" s="561">
        <v>0</v>
      </c>
      <c r="AD282" s="561">
        <v>0</v>
      </c>
      <c r="AE282" s="561">
        <v>0</v>
      </c>
      <c r="AF282" s="561">
        <v>0</v>
      </c>
      <c r="AG282" s="561">
        <v>0</v>
      </c>
      <c r="AH282" s="561">
        <v>0</v>
      </c>
      <c r="AI282" s="561">
        <v>0</v>
      </c>
      <c r="AJ282" s="561">
        <v>13690</v>
      </c>
      <c r="AK282" s="561">
        <v>0</v>
      </c>
      <c r="AL282" s="561">
        <v>0</v>
      </c>
      <c r="AM282" s="561">
        <v>0</v>
      </c>
      <c r="AN282" s="561">
        <v>0</v>
      </c>
      <c r="AO282" s="561">
        <v>0</v>
      </c>
      <c r="AP282" s="561">
        <v>1047</v>
      </c>
      <c r="AQ282" s="561">
        <v>0</v>
      </c>
      <c r="AR282" s="561">
        <v>0</v>
      </c>
      <c r="AS282" s="561">
        <v>973</v>
      </c>
      <c r="AT282" s="561">
        <v>22</v>
      </c>
      <c r="AU282" s="561">
        <v>0</v>
      </c>
      <c r="AV282" s="561">
        <v>0</v>
      </c>
      <c r="AW282" s="561">
        <v>0</v>
      </c>
      <c r="AX282" s="561">
        <v>4010</v>
      </c>
      <c r="AY282" s="561">
        <v>39844</v>
      </c>
      <c r="AZ282" s="561">
        <v>50</v>
      </c>
      <c r="BA282" s="561">
        <v>8589</v>
      </c>
      <c r="BB282" s="561">
        <v>385</v>
      </c>
      <c r="BC282" s="561">
        <v>19347</v>
      </c>
      <c r="BD282" s="561">
        <v>-42</v>
      </c>
      <c r="BE282" s="561">
        <v>888</v>
      </c>
      <c r="BF282" s="561">
        <v>73071</v>
      </c>
      <c r="BG282" s="561">
        <v>86</v>
      </c>
      <c r="BH282" s="561">
        <v>8812.6299999999992</v>
      </c>
      <c r="BI282" s="561">
        <v>8074.77</v>
      </c>
      <c r="BJ282" s="561">
        <v>336.27</v>
      </c>
      <c r="BK282" s="561">
        <v>266.74</v>
      </c>
      <c r="BL282" s="561">
        <v>1691.67</v>
      </c>
      <c r="BM282" s="561">
        <v>12997.29</v>
      </c>
      <c r="BN282" s="561">
        <v>30154.99</v>
      </c>
      <c r="BO282" s="561">
        <v>4871.03</v>
      </c>
      <c r="BP282" s="561">
        <v>12473.74</v>
      </c>
      <c r="BQ282" s="561">
        <v>1849.37</v>
      </c>
      <c r="BR282" s="561">
        <v>368.32</v>
      </c>
      <c r="BS282" s="561">
        <v>0</v>
      </c>
      <c r="BT282" s="561">
        <v>1330.4</v>
      </c>
      <c r="BU282" s="561">
        <v>44.93</v>
      </c>
      <c r="BV282" s="561">
        <v>80.91</v>
      </c>
      <c r="BW282" s="561">
        <v>1796.68</v>
      </c>
      <c r="BX282" s="561">
        <v>20.8</v>
      </c>
      <c r="BY282" s="561">
        <v>19511.68</v>
      </c>
      <c r="BZ282" s="561">
        <v>104682.22</v>
      </c>
      <c r="CA282" s="561">
        <v>0</v>
      </c>
      <c r="CB282" s="561">
        <v>1590</v>
      </c>
      <c r="CC282" s="561">
        <v>87</v>
      </c>
      <c r="CD282" s="561">
        <v>27</v>
      </c>
      <c r="CE282" s="561">
        <v>273</v>
      </c>
      <c r="CF282" s="561">
        <v>646</v>
      </c>
      <c r="CG282" s="561">
        <v>214</v>
      </c>
      <c r="CH282" s="561">
        <v>148</v>
      </c>
      <c r="CI282" s="561">
        <v>2</v>
      </c>
      <c r="CJ282" s="561">
        <v>0</v>
      </c>
      <c r="CK282" s="561">
        <v>594</v>
      </c>
      <c r="CL282" s="561">
        <v>0</v>
      </c>
      <c r="CM282" s="561">
        <v>0</v>
      </c>
      <c r="CN282" s="561">
        <v>0</v>
      </c>
      <c r="CO282" s="561">
        <v>5556</v>
      </c>
      <c r="CP282" s="561">
        <v>0</v>
      </c>
      <c r="CQ282" s="561">
        <v>0</v>
      </c>
      <c r="CR282" s="561">
        <v>378</v>
      </c>
      <c r="CS282" s="561">
        <v>0</v>
      </c>
      <c r="CT282" s="561">
        <v>1996</v>
      </c>
      <c r="CU282" s="561">
        <v>4663</v>
      </c>
      <c r="CV282" s="561">
        <v>517</v>
      </c>
      <c r="CW282" s="561">
        <v>0</v>
      </c>
      <c r="CX282" s="561">
        <v>10</v>
      </c>
      <c r="CY282" s="561">
        <v>5439</v>
      </c>
      <c r="CZ282" s="561">
        <v>22140</v>
      </c>
      <c r="DA282" s="561">
        <v>0</v>
      </c>
      <c r="DB282" s="561">
        <v>0</v>
      </c>
      <c r="DC282" s="561">
        <v>0</v>
      </c>
      <c r="DD282" s="561">
        <v>0</v>
      </c>
      <c r="DE282" s="561">
        <v>0</v>
      </c>
      <c r="DF282" s="561">
        <v>0</v>
      </c>
      <c r="DG282" s="561">
        <v>0</v>
      </c>
      <c r="DH282" s="561">
        <v>1677</v>
      </c>
      <c r="DI282" s="561">
        <v>0</v>
      </c>
      <c r="DJ282" s="561">
        <v>3</v>
      </c>
      <c r="DK282" s="561">
        <v>77</v>
      </c>
      <c r="DL282" s="561">
        <v>0</v>
      </c>
      <c r="DM282" s="561">
        <v>0.01</v>
      </c>
      <c r="DN282" s="561">
        <v>85</v>
      </c>
      <c r="DO282" s="561">
        <v>0</v>
      </c>
      <c r="DP282" s="561">
        <v>0.01</v>
      </c>
      <c r="DQ282" s="561">
        <v>1</v>
      </c>
      <c r="DR282" s="561">
        <v>546</v>
      </c>
      <c r="DS282" s="561">
        <v>1150</v>
      </c>
      <c r="DT282" s="561">
        <v>1570</v>
      </c>
      <c r="DU282" s="561">
        <v>3352.02</v>
      </c>
      <c r="DV282" s="561">
        <v>431</v>
      </c>
      <c r="DW282" s="561">
        <v>0</v>
      </c>
      <c r="DX282" s="561">
        <v>0</v>
      </c>
      <c r="DY282" s="561">
        <v>1176</v>
      </c>
      <c r="DZ282" s="561">
        <v>-150</v>
      </c>
      <c r="EA282" s="561">
        <v>862.4</v>
      </c>
      <c r="EB282" s="561">
        <v>0</v>
      </c>
      <c r="EC282" s="561">
        <v>7428.42</v>
      </c>
      <c r="ED282" s="561">
        <v>0</v>
      </c>
      <c r="EE282" s="561">
        <v>0</v>
      </c>
      <c r="EF282" s="561">
        <v>0</v>
      </c>
      <c r="EG282" s="561">
        <v>0</v>
      </c>
      <c r="EH282" s="561">
        <v>0</v>
      </c>
      <c r="EI282" s="561">
        <v>0</v>
      </c>
      <c r="EJ282" s="561">
        <v>0</v>
      </c>
      <c r="EK282" s="561">
        <v>0</v>
      </c>
      <c r="EL282" s="561">
        <v>0</v>
      </c>
      <c r="EM282" s="561">
        <v>0</v>
      </c>
      <c r="EN282" s="561">
        <v>0</v>
      </c>
      <c r="EO282" s="561">
        <v>0</v>
      </c>
      <c r="EP282" s="561">
        <v>0</v>
      </c>
      <c r="EQ282" s="561">
        <v>0</v>
      </c>
      <c r="ER282" s="561">
        <v>0</v>
      </c>
      <c r="ES282" s="561" t="s">
        <v>4565</v>
      </c>
      <c r="ET282" s="561">
        <v>0</v>
      </c>
      <c r="EU282" s="561">
        <v>0</v>
      </c>
      <c r="EV282" s="561">
        <v>0</v>
      </c>
      <c r="EW282" s="561">
        <v>0</v>
      </c>
      <c r="EX282" s="561">
        <v>0</v>
      </c>
      <c r="EY282" s="561">
        <v>0</v>
      </c>
      <c r="EZ282" s="561">
        <v>0</v>
      </c>
      <c r="FA282" s="561">
        <v>0</v>
      </c>
      <c r="FB282" s="561">
        <v>0</v>
      </c>
      <c r="FC282" s="561">
        <v>607</v>
      </c>
      <c r="FD282" s="561">
        <v>294</v>
      </c>
      <c r="FE282" s="561">
        <v>1496</v>
      </c>
      <c r="FF282" s="561">
        <v>560</v>
      </c>
      <c r="FG282" s="561">
        <v>2158</v>
      </c>
      <c r="FH282" s="561">
        <v>0</v>
      </c>
      <c r="FI282" s="561">
        <v>429</v>
      </c>
      <c r="FJ282" s="561">
        <v>334</v>
      </c>
      <c r="FK282" s="561">
        <v>4892</v>
      </c>
      <c r="FL282" s="561">
        <v>14</v>
      </c>
      <c r="FM282" s="561">
        <v>310</v>
      </c>
      <c r="FN282" s="561">
        <v>2092</v>
      </c>
      <c r="FO282" s="561">
        <v>13186</v>
      </c>
      <c r="FP282" s="561">
        <v>0</v>
      </c>
      <c r="FQ282" s="561">
        <v>-437</v>
      </c>
      <c r="FR282" s="561">
        <v>541</v>
      </c>
      <c r="FS282" s="561">
        <v>0</v>
      </c>
      <c r="FT282" s="561">
        <v>0</v>
      </c>
      <c r="FU282" s="561">
        <v>698</v>
      </c>
      <c r="FV282" s="561">
        <v>0</v>
      </c>
      <c r="FW282" s="561">
        <v>0</v>
      </c>
      <c r="FX282" s="561">
        <v>0</v>
      </c>
      <c r="FY282" s="561">
        <v>0</v>
      </c>
      <c r="FZ282" s="561">
        <v>66</v>
      </c>
      <c r="GA282" s="561">
        <v>0</v>
      </c>
      <c r="GB282" s="561">
        <v>7</v>
      </c>
      <c r="GC282" s="561">
        <v>-223</v>
      </c>
      <c r="GD282" s="561">
        <v>47</v>
      </c>
      <c r="GE282" s="561">
        <v>533</v>
      </c>
      <c r="GF282" s="561">
        <v>296</v>
      </c>
      <c r="GG282" s="561">
        <v>12</v>
      </c>
      <c r="GH282" s="561">
        <v>0</v>
      </c>
      <c r="GI282" s="561">
        <v>0</v>
      </c>
      <c r="GJ282" s="561">
        <v>0</v>
      </c>
      <c r="GK282" s="561">
        <v>0</v>
      </c>
      <c r="GL282" s="561">
        <v>4153</v>
      </c>
      <c r="GM282" s="561">
        <v>1997</v>
      </c>
      <c r="GN282" s="561">
        <v>0</v>
      </c>
      <c r="GO282" s="561">
        <v>0</v>
      </c>
      <c r="GP282" s="561">
        <v>4776</v>
      </c>
      <c r="GQ282" s="561">
        <v>0</v>
      </c>
      <c r="GR282" s="561">
        <v>295</v>
      </c>
      <c r="GS282" s="561">
        <v>12761</v>
      </c>
      <c r="GT282" s="561">
        <v>0</v>
      </c>
      <c r="GU282" s="561">
        <v>381</v>
      </c>
      <c r="GV282" s="561">
        <v>857</v>
      </c>
      <c r="GW282" s="561">
        <v>0</v>
      </c>
      <c r="GX282" s="561">
        <v>932</v>
      </c>
      <c r="GY282" s="561">
        <v>925</v>
      </c>
      <c r="GZ282" s="561">
        <v>7214</v>
      </c>
      <c r="HA282" s="561">
        <v>0</v>
      </c>
      <c r="HB282" s="561">
        <v>0</v>
      </c>
      <c r="HC282" s="561">
        <v>598</v>
      </c>
      <c r="HD282" s="561">
        <v>10907</v>
      </c>
      <c r="HE282" s="561">
        <v>227</v>
      </c>
      <c r="HF282" s="561">
        <v>36854</v>
      </c>
      <c r="HG282" s="561">
        <v>227</v>
      </c>
      <c r="HH282" s="561">
        <v>0</v>
      </c>
      <c r="HI282" s="561">
        <v>0</v>
      </c>
      <c r="HJ282" s="561">
        <v>0</v>
      </c>
      <c r="HK282" s="561">
        <v>0</v>
      </c>
      <c r="HL282" s="561">
        <v>0</v>
      </c>
      <c r="HM282" s="561">
        <v>0</v>
      </c>
      <c r="HN282" s="561">
        <v>0</v>
      </c>
      <c r="HO282" s="561">
        <v>6493</v>
      </c>
      <c r="HP282" s="561">
        <v>4103</v>
      </c>
      <c r="HQ282" s="561">
        <v>0</v>
      </c>
      <c r="HR282" s="561">
        <v>0</v>
      </c>
      <c r="HS282" s="561">
        <v>1110</v>
      </c>
      <c r="HT282" s="561">
        <v>-3</v>
      </c>
      <c r="HU282" s="561">
        <v>0</v>
      </c>
      <c r="HV282" s="561">
        <v>170</v>
      </c>
      <c r="HW282" s="561">
        <v>393</v>
      </c>
      <c r="HX282" s="561">
        <v>497</v>
      </c>
      <c r="HY282" s="561">
        <v>38</v>
      </c>
      <c r="HZ282" s="561">
        <v>-90</v>
      </c>
      <c r="IA282" s="561">
        <v>833</v>
      </c>
      <c r="IB282" s="561">
        <v>0</v>
      </c>
      <c r="IC282" s="561">
        <v>707</v>
      </c>
      <c r="ID282" s="561">
        <v>0</v>
      </c>
      <c r="IE282" s="561">
        <v>923</v>
      </c>
      <c r="IF282" s="561">
        <v>0</v>
      </c>
      <c r="IG282" s="561">
        <v>595</v>
      </c>
      <c r="IH282" s="561">
        <v>-920</v>
      </c>
      <c r="II282" s="561">
        <v>14849</v>
      </c>
      <c r="IJ282" s="561">
        <v>7</v>
      </c>
      <c r="IK282" s="561">
        <v>2496</v>
      </c>
      <c r="IL282" s="561">
        <v>14753</v>
      </c>
      <c r="IM282" s="561">
        <v>7</v>
      </c>
      <c r="IN282" s="561">
        <v>504</v>
      </c>
      <c r="IO282" s="561">
        <v>476</v>
      </c>
      <c r="IP282" s="561">
        <v>1584</v>
      </c>
      <c r="IQ282" s="561">
        <v>0</v>
      </c>
      <c r="IR282" s="561">
        <v>237565</v>
      </c>
      <c r="IS282" s="561">
        <v>13690</v>
      </c>
      <c r="IT282" s="561">
        <v>73071</v>
      </c>
      <c r="IU282" s="561">
        <v>104682.22</v>
      </c>
      <c r="IV282" s="561">
        <v>22140</v>
      </c>
      <c r="IW282" s="561">
        <v>7428.42</v>
      </c>
      <c r="IX282" s="561">
        <v>13186</v>
      </c>
      <c r="IY282" s="561">
        <v>12761</v>
      </c>
      <c r="IZ282" s="561">
        <v>10907</v>
      </c>
      <c r="JA282" s="561">
        <v>0</v>
      </c>
      <c r="JB282" s="561">
        <v>0</v>
      </c>
      <c r="JC282" s="561">
        <v>14849</v>
      </c>
      <c r="JD282" s="561">
        <v>1584</v>
      </c>
      <c r="JE282" s="561">
        <v>511863.64</v>
      </c>
      <c r="JF282" s="561">
        <v>56970</v>
      </c>
      <c r="JG282" s="561">
        <v>3769</v>
      </c>
      <c r="JH282" s="561">
        <v>0</v>
      </c>
      <c r="JI282" s="561">
        <v>0</v>
      </c>
      <c r="JJ282" s="561">
        <v>0</v>
      </c>
      <c r="JK282" s="561">
        <v>0</v>
      </c>
      <c r="JL282" s="561">
        <v>16073</v>
      </c>
      <c r="JM282" s="561">
        <v>13340</v>
      </c>
      <c r="JN282" s="561">
        <v>0</v>
      </c>
      <c r="JO282" s="561">
        <v>0</v>
      </c>
      <c r="JP282" s="561">
        <v>-3158</v>
      </c>
      <c r="JQ282" s="561">
        <v>300</v>
      </c>
      <c r="JR282" s="561">
        <v>0</v>
      </c>
      <c r="JS282" s="561">
        <v>-1368</v>
      </c>
      <c r="JT282" s="561">
        <v>0</v>
      </c>
      <c r="JU282" s="561">
        <v>0</v>
      </c>
      <c r="JV282" s="561">
        <v>597789.64</v>
      </c>
      <c r="JW282" s="561">
        <v>117</v>
      </c>
      <c r="JX282" s="561">
        <v>6222</v>
      </c>
      <c r="JY282" s="561">
        <v>0</v>
      </c>
      <c r="JZ282" s="561">
        <v>0</v>
      </c>
      <c r="KA282" s="561">
        <v>0</v>
      </c>
      <c r="KB282" s="561">
        <v>1696</v>
      </c>
      <c r="KC282" s="561">
        <v>13280</v>
      </c>
      <c r="KD282" s="561">
        <v>3393</v>
      </c>
      <c r="KE282" s="561">
        <v>8386</v>
      </c>
      <c r="KF282" s="561">
        <v>0</v>
      </c>
      <c r="KG282" s="561">
        <v>630883.64</v>
      </c>
      <c r="KH282" s="561">
        <v>-12321</v>
      </c>
      <c r="KI282" s="561">
        <v>4492</v>
      </c>
      <c r="KJ282" s="561">
        <v>19</v>
      </c>
      <c r="KK282" s="561">
        <v>0</v>
      </c>
      <c r="KL282" s="561">
        <v>-60206</v>
      </c>
      <c r="KM282" s="561">
        <v>0</v>
      </c>
      <c r="KN282" s="561">
        <v>0</v>
      </c>
      <c r="KO282" s="561">
        <v>0</v>
      </c>
      <c r="KP282" s="561">
        <v>0</v>
      </c>
      <c r="KQ282" s="561">
        <v>-11850</v>
      </c>
      <c r="KR282" s="561">
        <v>551017.64</v>
      </c>
      <c r="KS282" s="561">
        <v>0</v>
      </c>
      <c r="KT282" s="561">
        <v>-287202</v>
      </c>
      <c r="KU282" s="561">
        <v>263815.64</v>
      </c>
      <c r="KV282" s="561">
        <v>0</v>
      </c>
      <c r="KW282" s="561">
        <v>-506</v>
      </c>
      <c r="KX282" s="561">
        <v>0</v>
      </c>
      <c r="KY282" s="561">
        <v>57</v>
      </c>
      <c r="KZ282" s="561">
        <v>-1759</v>
      </c>
      <c r="LA282" s="561">
        <v>0</v>
      </c>
      <c r="LB282" s="561">
        <v>0</v>
      </c>
      <c r="LC282" s="561">
        <v>0</v>
      </c>
      <c r="LD282" s="561">
        <v>-142091.81</v>
      </c>
      <c r="LE282" s="561">
        <v>-4797.92</v>
      </c>
      <c r="LF282" s="561">
        <v>0</v>
      </c>
      <c r="LG282" s="561">
        <v>114718</v>
      </c>
      <c r="LH282" s="561">
        <v>11030</v>
      </c>
      <c r="LI282" s="561">
        <v>-11190</v>
      </c>
      <c r="LJ282" s="561">
        <v>0</v>
      </c>
      <c r="LK282" s="561">
        <v>51</v>
      </c>
      <c r="LL282" s="561">
        <v>169920</v>
      </c>
      <c r="LM282" s="561">
        <v>15000</v>
      </c>
      <c r="LN282" s="561">
        <v>10524</v>
      </c>
      <c r="LO282" s="561">
        <v>-23040</v>
      </c>
      <c r="LP282" s="561">
        <v>0</v>
      </c>
      <c r="LQ282" s="561">
        <v>108</v>
      </c>
      <c r="LR282" s="561">
        <v>168161</v>
      </c>
      <c r="LS282" s="561">
        <v>15000</v>
      </c>
      <c r="LT282" s="561">
        <v>0</v>
      </c>
      <c r="LU282" s="561">
        <v>29685</v>
      </c>
      <c r="LV282" s="561">
        <v>10700</v>
      </c>
      <c r="LW282" s="561">
        <v>0</v>
      </c>
      <c r="LX282" s="561">
        <v>-2294</v>
      </c>
      <c r="LY282" s="561">
        <v>3315</v>
      </c>
      <c r="LZ282" s="561">
        <v>41406</v>
      </c>
      <c r="MA282" s="561">
        <v>0</v>
      </c>
      <c r="MB282" s="561">
        <v>0</v>
      </c>
      <c r="MC282" s="561">
        <v>0</v>
      </c>
      <c r="MD282" s="561">
        <v>0</v>
      </c>
      <c r="ME282" s="561">
        <v>0</v>
      </c>
      <c r="MF282" s="561">
        <v>0</v>
      </c>
      <c r="MG282" s="561">
        <v>0</v>
      </c>
      <c r="MH282" s="561">
        <v>8047</v>
      </c>
      <c r="MI282" s="561">
        <v>12528</v>
      </c>
      <c r="MJ282" s="561">
        <v>20575</v>
      </c>
      <c r="MK282" s="561">
        <v>0</v>
      </c>
      <c r="ML282" s="561">
        <v>0</v>
      </c>
      <c r="MM282" s="561">
        <v>69474</v>
      </c>
      <c r="MN282" s="561">
        <v>43850</v>
      </c>
      <c r="MO282" s="561">
        <v>18436</v>
      </c>
      <c r="MP282" s="561">
        <v>36401</v>
      </c>
      <c r="MQ282" s="561">
        <v>237565</v>
      </c>
      <c r="MR282" s="561">
        <v>13690</v>
      </c>
      <c r="MS282" s="561">
        <v>73071</v>
      </c>
      <c r="MT282" s="561">
        <v>104682.22</v>
      </c>
      <c r="MU282" s="561">
        <v>22140</v>
      </c>
      <c r="MV282" s="561">
        <v>7428.42</v>
      </c>
      <c r="MW282" s="561">
        <v>13186</v>
      </c>
      <c r="MX282" s="561">
        <v>12761</v>
      </c>
      <c r="MY282" s="561">
        <v>10907</v>
      </c>
      <c r="MZ282" s="561">
        <v>0</v>
      </c>
      <c r="NA282" s="561">
        <v>0</v>
      </c>
      <c r="NB282" s="561">
        <v>14849</v>
      </c>
      <c r="NC282" s="561">
        <v>1584</v>
      </c>
      <c r="ND282" s="561">
        <v>511863.64</v>
      </c>
      <c r="NE282" s="561">
        <v>0</v>
      </c>
      <c r="NF282" s="561">
        <v>0</v>
      </c>
      <c r="NG282" s="561">
        <v>0</v>
      </c>
      <c r="NH282" s="561">
        <v>0</v>
      </c>
      <c r="NI282" s="561">
        <v>0</v>
      </c>
      <c r="NJ282" s="561">
        <v>0</v>
      </c>
      <c r="NK282" s="561">
        <v>0</v>
      </c>
      <c r="NL282" s="561">
        <v>0</v>
      </c>
      <c r="NM282" s="561">
        <v>0</v>
      </c>
      <c r="NN282" s="561">
        <v>0</v>
      </c>
      <c r="NO282" s="561">
        <v>0</v>
      </c>
      <c r="NP282" s="561">
        <v>0</v>
      </c>
      <c r="NQ282" s="561">
        <v>0</v>
      </c>
      <c r="NR282" s="561">
        <v>0</v>
      </c>
      <c r="NS282" s="561">
        <v>0</v>
      </c>
      <c r="NT282" s="561">
        <v>-884</v>
      </c>
      <c r="NU282" s="561">
        <v>0</v>
      </c>
      <c r="NV282" s="561">
        <v>58</v>
      </c>
      <c r="NW282" s="561">
        <v>-3158</v>
      </c>
      <c r="NX282" s="561">
        <v>0</v>
      </c>
      <c r="NY282" s="561">
        <v>-3158</v>
      </c>
      <c r="NZ282" s="561">
        <v>0</v>
      </c>
      <c r="OA282" s="561">
        <v>0</v>
      </c>
      <c r="OB282" s="561">
        <v>0</v>
      </c>
      <c r="OC282" s="561">
        <v>0</v>
      </c>
      <c r="OD282" s="561">
        <v>0</v>
      </c>
      <c r="OE282" s="561">
        <v>0</v>
      </c>
      <c r="OF282" s="561">
        <v>0</v>
      </c>
      <c r="OG282" s="561">
        <v>0</v>
      </c>
      <c r="OH282" s="561">
        <v>0</v>
      </c>
      <c r="OI282" s="561">
        <v>-146</v>
      </c>
      <c r="OJ282" s="561">
        <v>-39</v>
      </c>
      <c r="OK282" s="561">
        <v>0</v>
      </c>
      <c r="OL282" s="561">
        <v>-91</v>
      </c>
      <c r="OM282" s="561">
        <v>-24</v>
      </c>
      <c r="ON282" s="561">
        <v>-1184</v>
      </c>
      <c r="OO282" s="561">
        <v>0</v>
      </c>
      <c r="OP282" s="561">
        <v>416</v>
      </c>
      <c r="OQ282" s="561">
        <v>0</v>
      </c>
      <c r="OR282" s="561">
        <v>0</v>
      </c>
      <c r="OS282" s="561">
        <v>0</v>
      </c>
      <c r="OT282" s="561">
        <v>0</v>
      </c>
      <c r="OU282" s="561">
        <v>0</v>
      </c>
      <c r="OV282" s="561">
        <v>-32</v>
      </c>
      <c r="OW282" s="561">
        <v>1368</v>
      </c>
      <c r="OX282" s="561">
        <v>300</v>
      </c>
      <c r="OY282" s="561">
        <v>0</v>
      </c>
      <c r="OZ282" s="561">
        <v>0</v>
      </c>
      <c r="PA282" s="561">
        <v>0</v>
      </c>
      <c r="PB282" s="561">
        <v>0</v>
      </c>
      <c r="PC282" s="561">
        <v>0</v>
      </c>
      <c r="PD282" s="561">
        <v>0</v>
      </c>
      <c r="PE282" s="561">
        <v>1303</v>
      </c>
      <c r="PF282" s="561">
        <v>62</v>
      </c>
      <c r="PG282" s="561">
        <v>0</v>
      </c>
      <c r="PH282" s="561">
        <v>0</v>
      </c>
      <c r="PI282" s="561">
        <v>3</v>
      </c>
      <c r="PJ282" s="561">
        <v>1368</v>
      </c>
    </row>
    <row r="283" spans="1:426" ht="14" x14ac:dyDescent="0.3">
      <c r="A283" t="s">
        <v>3292</v>
      </c>
      <c r="B283" t="s">
        <v>3293</v>
      </c>
      <c r="C283" t="s">
        <v>3294</v>
      </c>
      <c r="E283" t="s">
        <v>384</v>
      </c>
      <c r="F283" s="561">
        <v>0</v>
      </c>
      <c r="G283" s="561">
        <v>0</v>
      </c>
      <c r="H283" s="561">
        <v>0</v>
      </c>
      <c r="I283" s="561">
        <v>0</v>
      </c>
      <c r="J283" s="561">
        <v>0</v>
      </c>
      <c r="K283" s="561">
        <v>0</v>
      </c>
      <c r="L283" s="561">
        <v>0</v>
      </c>
      <c r="M283" s="561">
        <v>0</v>
      </c>
      <c r="N283" s="561">
        <v>131</v>
      </c>
      <c r="O283" s="561">
        <v>0</v>
      </c>
      <c r="P283" s="561">
        <v>0</v>
      </c>
      <c r="Q283" s="561">
        <v>0</v>
      </c>
      <c r="R283" s="561">
        <v>0</v>
      </c>
      <c r="S283" s="561">
        <v>0</v>
      </c>
      <c r="T283" s="561">
        <v>0</v>
      </c>
      <c r="U283" s="561">
        <v>0</v>
      </c>
      <c r="V283" s="561">
        <v>0</v>
      </c>
      <c r="W283" s="561">
        <v>0</v>
      </c>
      <c r="X283" s="561">
        <v>0</v>
      </c>
      <c r="Y283" s="561">
        <v>0</v>
      </c>
      <c r="Z283" s="561">
        <v>0</v>
      </c>
      <c r="AA283" s="561">
        <v>0</v>
      </c>
      <c r="AB283" s="561">
        <v>-947</v>
      </c>
      <c r="AC283" s="561">
        <v>0</v>
      </c>
      <c r="AD283" s="561">
        <v>0</v>
      </c>
      <c r="AE283" s="561">
        <v>0</v>
      </c>
      <c r="AF283" s="561">
        <v>0</v>
      </c>
      <c r="AG283" s="561">
        <v>0</v>
      </c>
      <c r="AH283" s="561">
        <v>0</v>
      </c>
      <c r="AI283" s="561">
        <v>0</v>
      </c>
      <c r="AJ283" s="561">
        <v>-816</v>
      </c>
      <c r="AK283" s="561">
        <v>0</v>
      </c>
      <c r="AL283" s="561">
        <v>0</v>
      </c>
      <c r="AM283" s="561">
        <v>0</v>
      </c>
      <c r="AN283" s="561">
        <v>0</v>
      </c>
      <c r="AO283" s="561">
        <v>0</v>
      </c>
      <c r="AP283" s="561">
        <v>0</v>
      </c>
      <c r="AQ283" s="561">
        <v>0</v>
      </c>
      <c r="AR283" s="561">
        <v>0</v>
      </c>
      <c r="AS283" s="561">
        <v>0</v>
      </c>
      <c r="AT283" s="561">
        <v>0</v>
      </c>
      <c r="AU283" s="561">
        <v>0</v>
      </c>
      <c r="AV283" s="561">
        <v>0</v>
      </c>
      <c r="AW283" s="561">
        <v>0</v>
      </c>
      <c r="AX283" s="561">
        <v>0</v>
      </c>
      <c r="AY283" s="561">
        <v>0</v>
      </c>
      <c r="AZ283" s="561">
        <v>0</v>
      </c>
      <c r="BA283" s="561">
        <v>0</v>
      </c>
      <c r="BB283" s="561">
        <v>0</v>
      </c>
      <c r="BC283" s="561">
        <v>0</v>
      </c>
      <c r="BD283" s="561">
        <v>0</v>
      </c>
      <c r="BE283" s="561">
        <v>0</v>
      </c>
      <c r="BF283" s="561">
        <v>0</v>
      </c>
      <c r="BG283" s="561">
        <v>0</v>
      </c>
      <c r="BH283" s="561">
        <v>0</v>
      </c>
      <c r="BI283" s="561">
        <v>0</v>
      </c>
      <c r="BJ283" s="561">
        <v>0</v>
      </c>
      <c r="BK283" s="561">
        <v>0</v>
      </c>
      <c r="BL283" s="561">
        <v>0</v>
      </c>
      <c r="BM283" s="561">
        <v>0</v>
      </c>
      <c r="BN283" s="561">
        <v>0</v>
      </c>
      <c r="BO283" s="561">
        <v>0</v>
      </c>
      <c r="BP283" s="561">
        <v>0</v>
      </c>
      <c r="BQ283" s="561">
        <v>0</v>
      </c>
      <c r="BR283" s="561">
        <v>0</v>
      </c>
      <c r="BS283" s="561">
        <v>0</v>
      </c>
      <c r="BT283" s="561">
        <v>0</v>
      </c>
      <c r="BU283" s="561">
        <v>0</v>
      </c>
      <c r="BV283" s="561">
        <v>0</v>
      </c>
      <c r="BW283" s="561">
        <v>0</v>
      </c>
      <c r="BX283" s="561">
        <v>0</v>
      </c>
      <c r="BY283" s="561">
        <v>0</v>
      </c>
      <c r="BZ283" s="561">
        <v>0</v>
      </c>
      <c r="CA283" s="561">
        <v>0</v>
      </c>
      <c r="CB283" s="561">
        <v>0</v>
      </c>
      <c r="CC283" s="561">
        <v>0</v>
      </c>
      <c r="CD283" s="561">
        <v>0</v>
      </c>
      <c r="CE283" s="561">
        <v>0</v>
      </c>
      <c r="CF283" s="561">
        <v>0</v>
      </c>
      <c r="CG283" s="561">
        <v>0</v>
      </c>
      <c r="CH283" s="561">
        <v>0</v>
      </c>
      <c r="CI283" s="561">
        <v>0</v>
      </c>
      <c r="CJ283" s="561">
        <v>0</v>
      </c>
      <c r="CK283" s="561">
        <v>0</v>
      </c>
      <c r="CL283" s="561">
        <v>0</v>
      </c>
      <c r="CM283" s="561">
        <v>0</v>
      </c>
      <c r="CN283" s="561">
        <v>0</v>
      </c>
      <c r="CO283" s="561">
        <v>0</v>
      </c>
      <c r="CP283" s="561">
        <v>0</v>
      </c>
      <c r="CQ283" s="561">
        <v>0</v>
      </c>
      <c r="CR283" s="561">
        <v>0</v>
      </c>
      <c r="CS283" s="561">
        <v>0</v>
      </c>
      <c r="CT283" s="561">
        <v>0</v>
      </c>
      <c r="CU283" s="561">
        <v>0</v>
      </c>
      <c r="CV283" s="561">
        <v>0</v>
      </c>
      <c r="CW283" s="561">
        <v>0</v>
      </c>
      <c r="CX283" s="561">
        <v>0</v>
      </c>
      <c r="CY283" s="561">
        <v>0</v>
      </c>
      <c r="CZ283" s="561">
        <v>0</v>
      </c>
      <c r="DA283" s="561">
        <v>0</v>
      </c>
      <c r="DB283" s="561">
        <v>0</v>
      </c>
      <c r="DC283" s="561">
        <v>0</v>
      </c>
      <c r="DD283" s="561">
        <v>0</v>
      </c>
      <c r="DE283" s="561">
        <v>0</v>
      </c>
      <c r="DF283" s="561">
        <v>0</v>
      </c>
      <c r="DG283" s="561">
        <v>0</v>
      </c>
      <c r="DH283" s="561">
        <v>87</v>
      </c>
      <c r="DI283" s="561">
        <v>0</v>
      </c>
      <c r="DJ283" s="561">
        <v>136</v>
      </c>
      <c r="DK283" s="561">
        <v>38</v>
      </c>
      <c r="DL283" s="561">
        <v>0</v>
      </c>
      <c r="DM283" s="561">
        <v>93</v>
      </c>
      <c r="DN283" s="561">
        <v>0</v>
      </c>
      <c r="DO283" s="561">
        <v>332</v>
      </c>
      <c r="DP283" s="561">
        <v>0</v>
      </c>
      <c r="DQ283" s="561">
        <v>0</v>
      </c>
      <c r="DR283" s="561">
        <v>802</v>
      </c>
      <c r="DS283" s="561">
        <v>21</v>
      </c>
      <c r="DT283" s="561">
        <v>0</v>
      </c>
      <c r="DU283" s="561">
        <v>1248</v>
      </c>
      <c r="DV283" s="561">
        <v>0</v>
      </c>
      <c r="DW283" s="561">
        <v>0</v>
      </c>
      <c r="DX283" s="561">
        <v>0</v>
      </c>
      <c r="DY283" s="561">
        <v>193</v>
      </c>
      <c r="DZ283" s="561">
        <v>0</v>
      </c>
      <c r="EA283" s="561">
        <v>0</v>
      </c>
      <c r="EB283" s="561">
        <v>0</v>
      </c>
      <c r="EC283" s="561">
        <v>1702</v>
      </c>
      <c r="ED283" s="561">
        <v>89</v>
      </c>
      <c r="EE283" s="561">
        <v>0</v>
      </c>
      <c r="EF283" s="561">
        <v>0</v>
      </c>
      <c r="EG283" s="561">
        <v>0</v>
      </c>
      <c r="EH283" s="561">
        <v>0</v>
      </c>
      <c r="EI283" s="561">
        <v>0</v>
      </c>
      <c r="EJ283" s="561">
        <v>0</v>
      </c>
      <c r="EK283" s="561">
        <v>0</v>
      </c>
      <c r="EL283" s="561">
        <v>0</v>
      </c>
      <c r="EM283" s="561">
        <v>0</v>
      </c>
      <c r="EN283" s="561">
        <v>0</v>
      </c>
      <c r="EO283" s="561">
        <v>0</v>
      </c>
      <c r="EP283" s="561">
        <v>0</v>
      </c>
      <c r="EQ283" s="561">
        <v>0</v>
      </c>
      <c r="ER283" s="561">
        <v>0</v>
      </c>
      <c r="ES283" s="561" t="s">
        <v>4565</v>
      </c>
      <c r="ET283" s="561">
        <v>0</v>
      </c>
      <c r="EU283" s="561">
        <v>0</v>
      </c>
      <c r="EV283" s="561">
        <v>0</v>
      </c>
      <c r="EW283" s="561">
        <v>0</v>
      </c>
      <c r="EX283" s="561">
        <v>0</v>
      </c>
      <c r="EY283" s="561">
        <v>0</v>
      </c>
      <c r="EZ283" s="561">
        <v>0</v>
      </c>
      <c r="FA283" s="561">
        <v>0</v>
      </c>
      <c r="FB283" s="561">
        <v>0</v>
      </c>
      <c r="FC283" s="561">
        <v>-69</v>
      </c>
      <c r="FD283" s="561">
        <v>0</v>
      </c>
      <c r="FE283" s="561">
        <v>0</v>
      </c>
      <c r="FF283" s="561">
        <v>0</v>
      </c>
      <c r="FG283" s="561">
        <v>0</v>
      </c>
      <c r="FH283" s="561">
        <v>0</v>
      </c>
      <c r="FI283" s="561">
        <v>19</v>
      </c>
      <c r="FJ283" s="561">
        <v>1043</v>
      </c>
      <c r="FK283" s="561">
        <v>851</v>
      </c>
      <c r="FL283" s="561">
        <v>0</v>
      </c>
      <c r="FM283" s="561">
        <v>0</v>
      </c>
      <c r="FN283" s="561">
        <v>0</v>
      </c>
      <c r="FO283" s="561">
        <v>1844</v>
      </c>
      <c r="FP283" s="561">
        <v>45</v>
      </c>
      <c r="FQ283" s="561">
        <v>-90</v>
      </c>
      <c r="FR283" s="561">
        <v>0</v>
      </c>
      <c r="FS283" s="561">
        <v>0</v>
      </c>
      <c r="FT283" s="561">
        <v>140</v>
      </c>
      <c r="FU283" s="561">
        <v>242</v>
      </c>
      <c r="FV283" s="561">
        <v>58</v>
      </c>
      <c r="FW283" s="561">
        <v>25</v>
      </c>
      <c r="FX283" s="561">
        <v>0</v>
      </c>
      <c r="FY283" s="561">
        <v>0</v>
      </c>
      <c r="FZ283" s="561">
        <v>10</v>
      </c>
      <c r="GA283" s="561">
        <v>103</v>
      </c>
      <c r="GB283" s="561">
        <v>276</v>
      </c>
      <c r="GC283" s="561">
        <v>59</v>
      </c>
      <c r="GD283" s="561">
        <v>55</v>
      </c>
      <c r="GE283" s="561">
        <v>0</v>
      </c>
      <c r="GF283" s="561">
        <v>0</v>
      </c>
      <c r="GG283" s="561">
        <v>0</v>
      </c>
      <c r="GH283" s="561">
        <v>0</v>
      </c>
      <c r="GI283" s="561">
        <v>0</v>
      </c>
      <c r="GJ283" s="561">
        <v>3</v>
      </c>
      <c r="GK283" s="561">
        <v>0</v>
      </c>
      <c r="GL283" s="561">
        <v>-107</v>
      </c>
      <c r="GM283" s="561">
        <v>4642</v>
      </c>
      <c r="GN283" s="561">
        <v>0</v>
      </c>
      <c r="GO283" s="561">
        <v>0</v>
      </c>
      <c r="GP283" s="561">
        <v>-868</v>
      </c>
      <c r="GQ283" s="561">
        <v>0</v>
      </c>
      <c r="GR283" s="561">
        <v>0</v>
      </c>
      <c r="GS283" s="561">
        <v>4548</v>
      </c>
      <c r="GT283" s="561">
        <v>37</v>
      </c>
      <c r="GU283" s="561">
        <v>417</v>
      </c>
      <c r="GV283" s="561">
        <v>717</v>
      </c>
      <c r="GW283" s="561">
        <v>0</v>
      </c>
      <c r="GX283" s="561">
        <v>322</v>
      </c>
      <c r="GY283" s="561">
        <v>170</v>
      </c>
      <c r="GZ283" s="561">
        <v>131</v>
      </c>
      <c r="HA283" s="561">
        <v>0</v>
      </c>
      <c r="HB283" s="561">
        <v>0</v>
      </c>
      <c r="HC283" s="561">
        <v>84</v>
      </c>
      <c r="HD283" s="561">
        <v>1841</v>
      </c>
      <c r="HE283" s="561">
        <v>142</v>
      </c>
      <c r="HF283" s="561">
        <v>8233</v>
      </c>
      <c r="HG283" s="561">
        <v>0</v>
      </c>
      <c r="HH283" s="561">
        <v>0</v>
      </c>
      <c r="HI283" s="561">
        <v>0</v>
      </c>
      <c r="HJ283" s="561">
        <v>0</v>
      </c>
      <c r="HK283" s="561">
        <v>0</v>
      </c>
      <c r="HL283" s="561">
        <v>0</v>
      </c>
      <c r="HM283" s="561">
        <v>0</v>
      </c>
      <c r="HN283" s="561">
        <v>0</v>
      </c>
      <c r="HO283" s="561">
        <v>3017</v>
      </c>
      <c r="HP283" s="561">
        <v>155</v>
      </c>
      <c r="HQ283" s="561">
        <v>0</v>
      </c>
      <c r="HR283" s="561">
        <v>72</v>
      </c>
      <c r="HS283" s="561">
        <v>389</v>
      </c>
      <c r="HT283" s="561">
        <v>211</v>
      </c>
      <c r="HU283" s="561">
        <v>0</v>
      </c>
      <c r="HV283" s="561">
        <v>0</v>
      </c>
      <c r="HW283" s="561">
        <v>152</v>
      </c>
      <c r="HX283" s="561">
        <v>299</v>
      </c>
      <c r="HY283" s="561">
        <v>3</v>
      </c>
      <c r="HZ283" s="561">
        <v>197</v>
      </c>
      <c r="IA283" s="561">
        <v>0</v>
      </c>
      <c r="IB283" s="561">
        <v>0</v>
      </c>
      <c r="IC283" s="561">
        <v>0</v>
      </c>
      <c r="ID283" s="561">
        <v>0</v>
      </c>
      <c r="IE283" s="561">
        <v>141</v>
      </c>
      <c r="IF283" s="561">
        <v>0</v>
      </c>
      <c r="IG283" s="561">
        <v>0</v>
      </c>
      <c r="IH283" s="561">
        <v>-427</v>
      </c>
      <c r="II283" s="561">
        <v>4209</v>
      </c>
      <c r="IJ283" s="561">
        <v>365</v>
      </c>
      <c r="IK283" s="561">
        <v>7997</v>
      </c>
      <c r="IL283" s="561">
        <v>59</v>
      </c>
      <c r="IM283" s="561">
        <v>0</v>
      </c>
      <c r="IN283" s="561">
        <v>0</v>
      </c>
      <c r="IO283" s="561">
        <v>0</v>
      </c>
      <c r="IP283" s="561">
        <v>0</v>
      </c>
      <c r="IQ283" s="561">
        <v>0</v>
      </c>
      <c r="IR283" s="561">
        <v>0</v>
      </c>
      <c r="IS283" s="561">
        <v>-816</v>
      </c>
      <c r="IT283" s="561">
        <v>0</v>
      </c>
      <c r="IU283" s="561">
        <v>0</v>
      </c>
      <c r="IV283" s="561">
        <v>0</v>
      </c>
      <c r="IW283" s="561">
        <v>1702</v>
      </c>
      <c r="IX283" s="561">
        <v>1844</v>
      </c>
      <c r="IY283" s="561">
        <v>4548</v>
      </c>
      <c r="IZ283" s="561">
        <v>1841</v>
      </c>
      <c r="JA283" s="561">
        <v>0</v>
      </c>
      <c r="JB283" s="561">
        <v>0</v>
      </c>
      <c r="JC283" s="561">
        <v>4209</v>
      </c>
      <c r="JD283" s="561">
        <v>0</v>
      </c>
      <c r="JE283" s="561">
        <v>13328</v>
      </c>
      <c r="JF283" s="561">
        <v>9465</v>
      </c>
      <c r="JG283" s="561">
        <v>405</v>
      </c>
      <c r="JH283" s="561">
        <v>0</v>
      </c>
      <c r="JI283" s="561">
        <v>0</v>
      </c>
      <c r="JJ283" s="561">
        <v>0</v>
      </c>
      <c r="JK283" s="561">
        <v>2106</v>
      </c>
      <c r="JL283" s="561">
        <v>0</v>
      </c>
      <c r="JM283" s="561">
        <v>0</v>
      </c>
      <c r="JN283" s="561">
        <v>0</v>
      </c>
      <c r="JO283" s="561">
        <v>0</v>
      </c>
      <c r="JP283" s="561">
        <v>0</v>
      </c>
      <c r="JQ283" s="561">
        <v>0</v>
      </c>
      <c r="JR283" s="561">
        <v>0</v>
      </c>
      <c r="JS283" s="561">
        <v>0</v>
      </c>
      <c r="JT283" s="561">
        <v>-7</v>
      </c>
      <c r="JU283" s="561">
        <v>0</v>
      </c>
      <c r="JV283" s="561">
        <v>25297</v>
      </c>
      <c r="JW283" s="561">
        <v>0</v>
      </c>
      <c r="JX283" s="561">
        <v>1361</v>
      </c>
      <c r="JY283" s="561">
        <v>0</v>
      </c>
      <c r="JZ283" s="561">
        <v>0</v>
      </c>
      <c r="KA283" s="561">
        <v>0</v>
      </c>
      <c r="KB283" s="561">
        <v>-74</v>
      </c>
      <c r="KC283" s="561">
        <v>94</v>
      </c>
      <c r="KD283" s="561">
        <v>138</v>
      </c>
      <c r="KE283" s="561">
        <v>0</v>
      </c>
      <c r="KF283" s="561">
        <v>0</v>
      </c>
      <c r="KG283" s="561">
        <v>26816</v>
      </c>
      <c r="KH283" s="561">
        <v>-1446</v>
      </c>
      <c r="KI283" s="561">
        <v>0</v>
      </c>
      <c r="KJ283" s="561">
        <v>0</v>
      </c>
      <c r="KK283" s="561">
        <v>0</v>
      </c>
      <c r="KL283" s="561">
        <v>-9492</v>
      </c>
      <c r="KM283" s="561">
        <v>0</v>
      </c>
      <c r="KN283" s="561">
        <v>0</v>
      </c>
      <c r="KO283" s="561">
        <v>0</v>
      </c>
      <c r="KP283" s="561">
        <v>0</v>
      </c>
      <c r="KQ283" s="561">
        <v>0</v>
      </c>
      <c r="KR283" s="561">
        <v>15878</v>
      </c>
      <c r="KS283" s="561">
        <v>0</v>
      </c>
      <c r="KT283" s="561">
        <v>-1988</v>
      </c>
      <c r="KU283" s="561">
        <v>13890</v>
      </c>
      <c r="KV283" s="561">
        <v>0</v>
      </c>
      <c r="KW283" s="561">
        <v>0</v>
      </c>
      <c r="KX283" s="561">
        <v>0</v>
      </c>
      <c r="KY283" s="561">
        <v>0</v>
      </c>
      <c r="KZ283" s="561">
        <v>-2209</v>
      </c>
      <c r="LA283" s="561">
        <v>3295</v>
      </c>
      <c r="LB283" s="561">
        <v>-85</v>
      </c>
      <c r="LC283" s="561">
        <v>0</v>
      </c>
      <c r="LD283" s="561">
        <v>-4155</v>
      </c>
      <c r="LE283" s="561">
        <v>-48</v>
      </c>
      <c r="LF283" s="561">
        <v>0</v>
      </c>
      <c r="LG283" s="561">
        <v>10688</v>
      </c>
      <c r="LH283" s="561">
        <v>0</v>
      </c>
      <c r="LI283" s="561">
        <v>0</v>
      </c>
      <c r="LJ283" s="561">
        <v>0</v>
      </c>
      <c r="LK283" s="561">
        <v>0</v>
      </c>
      <c r="LL283" s="561">
        <v>15693</v>
      </c>
      <c r="LM283" s="561">
        <v>1903</v>
      </c>
      <c r="LN283" s="561">
        <v>0</v>
      </c>
      <c r="LO283" s="561">
        <v>0</v>
      </c>
      <c r="LP283" s="561">
        <v>0</v>
      </c>
      <c r="LQ283" s="561">
        <v>0</v>
      </c>
      <c r="LR283" s="561">
        <v>13484</v>
      </c>
      <c r="LS283" s="561">
        <v>5198</v>
      </c>
      <c r="LT283" s="561">
        <v>0</v>
      </c>
      <c r="LU283" s="561">
        <v>1047</v>
      </c>
      <c r="LV283" s="561">
        <v>0</v>
      </c>
      <c r="LW283" s="561">
        <v>26</v>
      </c>
      <c r="LX283" s="561">
        <v>-1816</v>
      </c>
      <c r="LY283" s="561">
        <v>819</v>
      </c>
      <c r="LZ283" s="561">
        <v>76</v>
      </c>
      <c r="MA283" s="561">
        <v>0</v>
      </c>
      <c r="MB283" s="561">
        <v>0</v>
      </c>
      <c r="MC283" s="561">
        <v>0</v>
      </c>
      <c r="MD283" s="561">
        <v>0</v>
      </c>
      <c r="ME283" s="561">
        <v>0</v>
      </c>
      <c r="MF283" s="561">
        <v>0</v>
      </c>
      <c r="MG283" s="561">
        <v>0</v>
      </c>
      <c r="MH283" s="561">
        <v>2289</v>
      </c>
      <c r="MI283" s="561">
        <v>2009</v>
      </c>
      <c r="MJ283" s="561">
        <v>4298</v>
      </c>
      <c r="MK283" s="561">
        <v>0</v>
      </c>
      <c r="ML283" s="561">
        <v>591</v>
      </c>
      <c r="MM283" s="561">
        <v>7787</v>
      </c>
      <c r="MN283" s="561">
        <v>1735</v>
      </c>
      <c r="MO283" s="561">
        <v>1310</v>
      </c>
      <c r="MP283" s="561">
        <v>2061</v>
      </c>
      <c r="MQ283" s="561">
        <v>0</v>
      </c>
      <c r="MR283" s="561">
        <v>-816</v>
      </c>
      <c r="MS283" s="561">
        <v>0</v>
      </c>
      <c r="MT283" s="561">
        <v>0</v>
      </c>
      <c r="MU283" s="561">
        <v>0</v>
      </c>
      <c r="MV283" s="561">
        <v>1702</v>
      </c>
      <c r="MW283" s="561">
        <v>1844</v>
      </c>
      <c r="MX283" s="561">
        <v>4548</v>
      </c>
      <c r="MY283" s="561">
        <v>1841</v>
      </c>
      <c r="MZ283" s="561">
        <v>0</v>
      </c>
      <c r="NA283" s="561">
        <v>0</v>
      </c>
      <c r="NB283" s="561">
        <v>4209</v>
      </c>
      <c r="NC283" s="561">
        <v>0</v>
      </c>
      <c r="ND283" s="561">
        <v>13328</v>
      </c>
      <c r="NE283" s="561">
        <v>0</v>
      </c>
      <c r="NF283" s="561">
        <v>0</v>
      </c>
      <c r="NG283" s="561">
        <v>0</v>
      </c>
      <c r="NH283" s="561">
        <v>0</v>
      </c>
      <c r="NI283" s="561">
        <v>0</v>
      </c>
      <c r="NJ283" s="561">
        <v>0</v>
      </c>
      <c r="NK283" s="561">
        <v>0</v>
      </c>
      <c r="NL283" s="561">
        <v>0</v>
      </c>
      <c r="NM283" s="561">
        <v>0</v>
      </c>
      <c r="NN283" s="561">
        <v>0</v>
      </c>
      <c r="NO283" s="561">
        <v>0</v>
      </c>
      <c r="NP283" s="561">
        <v>0</v>
      </c>
      <c r="NQ283" s="561">
        <v>0</v>
      </c>
      <c r="NR283" s="561">
        <v>0</v>
      </c>
      <c r="NS283" s="561">
        <v>0</v>
      </c>
      <c r="NT283" s="561">
        <v>0</v>
      </c>
      <c r="NU283" s="561">
        <v>-1765</v>
      </c>
      <c r="NV283" s="561">
        <v>0</v>
      </c>
      <c r="NW283" s="561">
        <v>0</v>
      </c>
      <c r="NX283" s="561">
        <v>0</v>
      </c>
      <c r="NY283" s="561">
        <v>0</v>
      </c>
      <c r="NZ283" s="561">
        <v>0</v>
      </c>
      <c r="OA283" s="561">
        <v>0</v>
      </c>
      <c r="OB283" s="561">
        <v>0</v>
      </c>
      <c r="OC283" s="561">
        <v>0</v>
      </c>
      <c r="OD283" s="561">
        <v>0</v>
      </c>
      <c r="OE283" s="561">
        <v>0</v>
      </c>
      <c r="OF283" s="561">
        <v>0</v>
      </c>
      <c r="OG283" s="561">
        <v>0</v>
      </c>
      <c r="OH283" s="561">
        <v>0</v>
      </c>
      <c r="OI283" s="561">
        <v>0</v>
      </c>
      <c r="OJ283" s="561">
        <v>0</v>
      </c>
      <c r="OK283" s="561">
        <v>0</v>
      </c>
      <c r="OL283" s="561">
        <v>0</v>
      </c>
      <c r="OM283" s="561">
        <v>0</v>
      </c>
      <c r="ON283" s="561">
        <v>0</v>
      </c>
      <c r="OO283" s="561">
        <v>0</v>
      </c>
      <c r="OP283" s="561">
        <v>0</v>
      </c>
      <c r="OQ283" s="561">
        <v>0</v>
      </c>
      <c r="OR283" s="561">
        <v>0</v>
      </c>
      <c r="OS283" s="561">
        <v>0</v>
      </c>
      <c r="OT283" s="561">
        <v>0</v>
      </c>
      <c r="OU283" s="561">
        <v>0</v>
      </c>
      <c r="OV283" s="561">
        <v>-601</v>
      </c>
      <c r="OW283" s="561">
        <v>0</v>
      </c>
      <c r="OX283" s="561">
        <v>0</v>
      </c>
      <c r="OY283" s="561">
        <v>0</v>
      </c>
      <c r="OZ283" s="561">
        <v>0</v>
      </c>
      <c r="PA283" s="561">
        <v>0</v>
      </c>
      <c r="PB283" s="561">
        <v>0</v>
      </c>
      <c r="PC283" s="561">
        <v>0</v>
      </c>
      <c r="PD283" s="561">
        <v>0</v>
      </c>
      <c r="PE283" s="561">
        <v>0</v>
      </c>
      <c r="PF283" s="561">
        <v>0</v>
      </c>
      <c r="PG283" s="561">
        <v>0</v>
      </c>
      <c r="PH283" s="561">
        <v>0</v>
      </c>
      <c r="PI283" s="561">
        <v>0</v>
      </c>
      <c r="PJ283" s="561">
        <v>0</v>
      </c>
    </row>
    <row r="284" spans="1:426" ht="14" x14ac:dyDescent="0.3">
      <c r="A284" t="s">
        <v>3295</v>
      </c>
      <c r="B284" t="s">
        <v>3296</v>
      </c>
      <c r="C284" t="s">
        <v>3297</v>
      </c>
      <c r="E284" t="s">
        <v>384</v>
      </c>
      <c r="F284" s="561">
        <v>0</v>
      </c>
      <c r="G284" s="561">
        <v>0</v>
      </c>
      <c r="H284" s="561">
        <v>0</v>
      </c>
      <c r="I284" s="561">
        <v>0</v>
      </c>
      <c r="J284" s="561">
        <v>0</v>
      </c>
      <c r="K284" s="561">
        <v>0</v>
      </c>
      <c r="L284" s="561">
        <v>0</v>
      </c>
      <c r="M284" s="561">
        <v>0</v>
      </c>
      <c r="N284" s="561">
        <v>0</v>
      </c>
      <c r="O284" s="561">
        <v>0</v>
      </c>
      <c r="P284" s="561">
        <v>0</v>
      </c>
      <c r="Q284" s="561">
        <v>0</v>
      </c>
      <c r="R284" s="561">
        <v>0</v>
      </c>
      <c r="S284" s="561">
        <v>0</v>
      </c>
      <c r="T284" s="561">
        <v>0</v>
      </c>
      <c r="U284" s="561">
        <v>0</v>
      </c>
      <c r="V284" s="561">
        <v>0</v>
      </c>
      <c r="W284" s="561">
        <v>0</v>
      </c>
      <c r="X284" s="561">
        <v>0</v>
      </c>
      <c r="Y284" s="561">
        <v>0</v>
      </c>
      <c r="Z284" s="561">
        <v>0</v>
      </c>
      <c r="AA284" s="561">
        <v>0</v>
      </c>
      <c r="AB284" s="561">
        <v>84</v>
      </c>
      <c r="AC284" s="561">
        <v>0</v>
      </c>
      <c r="AD284" s="561">
        <v>0</v>
      </c>
      <c r="AE284" s="561">
        <v>0</v>
      </c>
      <c r="AF284" s="561">
        <v>0</v>
      </c>
      <c r="AG284" s="561">
        <v>0</v>
      </c>
      <c r="AH284" s="561">
        <v>149</v>
      </c>
      <c r="AI284" s="561">
        <v>0</v>
      </c>
      <c r="AJ284" s="561">
        <v>233</v>
      </c>
      <c r="AK284" s="561">
        <v>0</v>
      </c>
      <c r="AL284" s="561">
        <v>0</v>
      </c>
      <c r="AM284" s="561">
        <v>0</v>
      </c>
      <c r="AN284" s="561">
        <v>0</v>
      </c>
      <c r="AO284" s="561">
        <v>0</v>
      </c>
      <c r="AP284" s="561">
        <v>0</v>
      </c>
      <c r="AQ284" s="561">
        <v>0</v>
      </c>
      <c r="AR284" s="561">
        <v>0</v>
      </c>
      <c r="AS284" s="561">
        <v>0</v>
      </c>
      <c r="AT284" s="561">
        <v>0</v>
      </c>
      <c r="AU284" s="561">
        <v>0</v>
      </c>
      <c r="AV284" s="561">
        <v>0</v>
      </c>
      <c r="AW284" s="561">
        <v>0</v>
      </c>
      <c r="AX284" s="561">
        <v>0</v>
      </c>
      <c r="AY284" s="561">
        <v>0</v>
      </c>
      <c r="AZ284" s="561">
        <v>0</v>
      </c>
      <c r="BA284" s="561">
        <v>0</v>
      </c>
      <c r="BB284" s="561">
        <v>0</v>
      </c>
      <c r="BC284" s="561">
        <v>0</v>
      </c>
      <c r="BD284" s="561">
        <v>0</v>
      </c>
      <c r="BE284" s="561">
        <v>0</v>
      </c>
      <c r="BF284" s="561">
        <v>0</v>
      </c>
      <c r="BG284" s="561">
        <v>0</v>
      </c>
      <c r="BH284" s="561">
        <v>0</v>
      </c>
      <c r="BI284" s="561">
        <v>0</v>
      </c>
      <c r="BJ284" s="561">
        <v>0</v>
      </c>
      <c r="BK284" s="561">
        <v>0</v>
      </c>
      <c r="BL284" s="561">
        <v>0</v>
      </c>
      <c r="BM284" s="561">
        <v>0</v>
      </c>
      <c r="BN284" s="561">
        <v>0</v>
      </c>
      <c r="BO284" s="561">
        <v>0</v>
      </c>
      <c r="BP284" s="561">
        <v>0</v>
      </c>
      <c r="BQ284" s="561">
        <v>0</v>
      </c>
      <c r="BR284" s="561">
        <v>0</v>
      </c>
      <c r="BS284" s="561">
        <v>0</v>
      </c>
      <c r="BT284" s="561">
        <v>0</v>
      </c>
      <c r="BU284" s="561">
        <v>0</v>
      </c>
      <c r="BV284" s="561">
        <v>0</v>
      </c>
      <c r="BW284" s="561">
        <v>0</v>
      </c>
      <c r="BX284" s="561">
        <v>0</v>
      </c>
      <c r="BY284" s="561">
        <v>0</v>
      </c>
      <c r="BZ284" s="561">
        <v>0</v>
      </c>
      <c r="CA284" s="561">
        <v>0</v>
      </c>
      <c r="CB284" s="561">
        <v>0</v>
      </c>
      <c r="CC284" s="561">
        <v>0</v>
      </c>
      <c r="CD284" s="561">
        <v>0</v>
      </c>
      <c r="CE284" s="561">
        <v>0</v>
      </c>
      <c r="CF284" s="561">
        <v>0</v>
      </c>
      <c r="CG284" s="561">
        <v>0</v>
      </c>
      <c r="CH284" s="561">
        <v>0</v>
      </c>
      <c r="CI284" s="561">
        <v>0</v>
      </c>
      <c r="CJ284" s="561">
        <v>0</v>
      </c>
      <c r="CK284" s="561">
        <v>0</v>
      </c>
      <c r="CL284" s="561">
        <v>0</v>
      </c>
      <c r="CM284" s="561">
        <v>0</v>
      </c>
      <c r="CN284" s="561">
        <v>0</v>
      </c>
      <c r="CO284" s="561">
        <v>0</v>
      </c>
      <c r="CP284" s="561">
        <v>0</v>
      </c>
      <c r="CQ284" s="561">
        <v>0</v>
      </c>
      <c r="CR284" s="561">
        <v>0</v>
      </c>
      <c r="CS284" s="561">
        <v>0</v>
      </c>
      <c r="CT284" s="561">
        <v>0</v>
      </c>
      <c r="CU284" s="561">
        <v>0</v>
      </c>
      <c r="CV284" s="561">
        <v>0</v>
      </c>
      <c r="CW284" s="561">
        <v>0</v>
      </c>
      <c r="CX284" s="561">
        <v>0</v>
      </c>
      <c r="CY284" s="561">
        <v>0</v>
      </c>
      <c r="CZ284" s="561">
        <v>0</v>
      </c>
      <c r="DA284" s="561">
        <v>0</v>
      </c>
      <c r="DB284" s="561">
        <v>0</v>
      </c>
      <c r="DC284" s="561">
        <v>0</v>
      </c>
      <c r="DD284" s="561">
        <v>0</v>
      </c>
      <c r="DE284" s="561">
        <v>0</v>
      </c>
      <c r="DF284" s="561">
        <v>0</v>
      </c>
      <c r="DG284" s="561">
        <v>0</v>
      </c>
      <c r="DH284" s="561">
        <v>40</v>
      </c>
      <c r="DI284" s="561">
        <v>0</v>
      </c>
      <c r="DJ284" s="561">
        <v>0</v>
      </c>
      <c r="DK284" s="561">
        <v>0</v>
      </c>
      <c r="DL284" s="561">
        <v>0</v>
      </c>
      <c r="DM284" s="561">
        <v>846</v>
      </c>
      <c r="DN284" s="561">
        <v>0</v>
      </c>
      <c r="DO284" s="561">
        <v>0</v>
      </c>
      <c r="DP284" s="561">
        <v>0</v>
      </c>
      <c r="DQ284" s="561">
        <v>0</v>
      </c>
      <c r="DR284" s="561">
        <v>151</v>
      </c>
      <c r="DS284" s="561">
        <v>0</v>
      </c>
      <c r="DT284" s="561">
        <v>0</v>
      </c>
      <c r="DU284" s="561">
        <v>997</v>
      </c>
      <c r="DV284" s="561">
        <v>0</v>
      </c>
      <c r="DW284" s="561">
        <v>0</v>
      </c>
      <c r="DX284" s="561">
        <v>0</v>
      </c>
      <c r="DY284" s="561">
        <v>466</v>
      </c>
      <c r="DZ284" s="561">
        <v>0</v>
      </c>
      <c r="EA284" s="561">
        <v>0</v>
      </c>
      <c r="EB284" s="561">
        <v>0</v>
      </c>
      <c r="EC284" s="561">
        <v>1503</v>
      </c>
      <c r="ED284" s="561">
        <v>0</v>
      </c>
      <c r="EE284" s="561">
        <v>0</v>
      </c>
      <c r="EF284" s="561">
        <v>0</v>
      </c>
      <c r="EG284" s="561">
        <v>0</v>
      </c>
      <c r="EH284" s="561">
        <v>0</v>
      </c>
      <c r="EI284" s="561">
        <v>0</v>
      </c>
      <c r="EJ284" s="561">
        <v>0</v>
      </c>
      <c r="EK284" s="561">
        <v>0</v>
      </c>
      <c r="EL284" s="561">
        <v>0</v>
      </c>
      <c r="EM284" s="561">
        <v>0</v>
      </c>
      <c r="EN284" s="561">
        <v>0</v>
      </c>
      <c r="EO284" s="561">
        <v>0</v>
      </c>
      <c r="EP284" s="561">
        <v>0</v>
      </c>
      <c r="EQ284" s="561">
        <v>0</v>
      </c>
      <c r="ER284" s="561">
        <v>0</v>
      </c>
      <c r="ES284" s="561" t="s">
        <v>4565</v>
      </c>
      <c r="ET284" s="561">
        <v>0</v>
      </c>
      <c r="EU284" s="561">
        <v>0</v>
      </c>
      <c r="EV284" s="561">
        <v>0</v>
      </c>
      <c r="EW284" s="561">
        <v>0</v>
      </c>
      <c r="EX284" s="561">
        <v>0</v>
      </c>
      <c r="EY284" s="561">
        <v>0</v>
      </c>
      <c r="EZ284" s="561">
        <v>0</v>
      </c>
      <c r="FA284" s="561">
        <v>0</v>
      </c>
      <c r="FB284" s="561">
        <v>0</v>
      </c>
      <c r="FC284" s="561">
        <v>0</v>
      </c>
      <c r="FD284" s="561">
        <v>0</v>
      </c>
      <c r="FE284" s="561">
        <v>21</v>
      </c>
      <c r="FF284" s="561">
        <v>0</v>
      </c>
      <c r="FG284" s="561">
        <v>0</v>
      </c>
      <c r="FH284" s="561">
        <v>0</v>
      </c>
      <c r="FI284" s="561">
        <v>0</v>
      </c>
      <c r="FJ284" s="561">
        <v>83</v>
      </c>
      <c r="FK284" s="561">
        <v>1318</v>
      </c>
      <c r="FL284" s="561">
        <v>0</v>
      </c>
      <c r="FM284" s="561">
        <v>41</v>
      </c>
      <c r="FN284" s="561">
        <v>0</v>
      </c>
      <c r="FO284" s="561">
        <v>1463</v>
      </c>
      <c r="FP284" s="561">
        <v>40</v>
      </c>
      <c r="FQ284" s="561">
        <v>-177</v>
      </c>
      <c r="FR284" s="561">
        <v>181</v>
      </c>
      <c r="FS284" s="561">
        <v>0</v>
      </c>
      <c r="FT284" s="561">
        <v>0</v>
      </c>
      <c r="FU284" s="561">
        <v>167</v>
      </c>
      <c r="FV284" s="561">
        <v>0</v>
      </c>
      <c r="FW284" s="561">
        <v>0</v>
      </c>
      <c r="FX284" s="561">
        <v>0</v>
      </c>
      <c r="FY284" s="561">
        <v>0</v>
      </c>
      <c r="FZ284" s="561">
        <v>15</v>
      </c>
      <c r="GA284" s="561">
        <v>8</v>
      </c>
      <c r="GB284" s="561">
        <v>0</v>
      </c>
      <c r="GC284" s="561">
        <v>39</v>
      </c>
      <c r="GD284" s="561">
        <v>0</v>
      </c>
      <c r="GE284" s="561">
        <v>0</v>
      </c>
      <c r="GF284" s="561">
        <v>0</v>
      </c>
      <c r="GG284" s="561">
        <v>0</v>
      </c>
      <c r="GH284" s="561">
        <v>12</v>
      </c>
      <c r="GI284" s="561">
        <v>106</v>
      </c>
      <c r="GJ284" s="561">
        <v>0</v>
      </c>
      <c r="GK284" s="561">
        <v>0</v>
      </c>
      <c r="GL284" s="561">
        <v>289</v>
      </c>
      <c r="GM284" s="561">
        <v>882</v>
      </c>
      <c r="GN284" s="561">
        <v>0</v>
      </c>
      <c r="GO284" s="561">
        <v>-124</v>
      </c>
      <c r="GP284" s="561">
        <v>1137</v>
      </c>
      <c r="GQ284" s="561">
        <v>0</v>
      </c>
      <c r="GR284" s="561">
        <v>39</v>
      </c>
      <c r="GS284" s="561">
        <v>2574</v>
      </c>
      <c r="GT284" s="561">
        <v>533</v>
      </c>
      <c r="GU284" s="561">
        <v>-17</v>
      </c>
      <c r="GV284" s="561">
        <v>195</v>
      </c>
      <c r="GW284" s="561">
        <v>0</v>
      </c>
      <c r="GX284" s="561">
        <v>32</v>
      </c>
      <c r="GY284" s="561">
        <v>11</v>
      </c>
      <c r="GZ284" s="561">
        <v>292</v>
      </c>
      <c r="HA284" s="561">
        <v>0</v>
      </c>
      <c r="HB284" s="561">
        <v>0</v>
      </c>
      <c r="HC284" s="561">
        <v>0</v>
      </c>
      <c r="HD284" s="561">
        <v>513</v>
      </c>
      <c r="HE284" s="561">
        <v>98</v>
      </c>
      <c r="HF284" s="561">
        <v>4550</v>
      </c>
      <c r="HG284" s="561">
        <v>671</v>
      </c>
      <c r="HH284" s="561">
        <v>0</v>
      </c>
      <c r="HI284" s="561">
        <v>0</v>
      </c>
      <c r="HJ284" s="561">
        <v>0</v>
      </c>
      <c r="HK284" s="561">
        <v>0</v>
      </c>
      <c r="HL284" s="561">
        <v>0</v>
      </c>
      <c r="HM284" s="561">
        <v>0</v>
      </c>
      <c r="HN284" s="561">
        <v>0</v>
      </c>
      <c r="HO284" s="561">
        <v>1218</v>
      </c>
      <c r="HP284" s="561">
        <v>624</v>
      </c>
      <c r="HQ284" s="561">
        <v>0</v>
      </c>
      <c r="HR284" s="561">
        <v>0</v>
      </c>
      <c r="HS284" s="561">
        <v>0</v>
      </c>
      <c r="HT284" s="561">
        <v>191</v>
      </c>
      <c r="HU284" s="561">
        <v>0</v>
      </c>
      <c r="HV284" s="561">
        <v>0</v>
      </c>
      <c r="HW284" s="561">
        <v>73</v>
      </c>
      <c r="HX284" s="561">
        <v>164</v>
      </c>
      <c r="HY284" s="561">
        <v>1</v>
      </c>
      <c r="HZ284" s="561">
        <v>-34</v>
      </c>
      <c r="IA284" s="561">
        <v>0</v>
      </c>
      <c r="IB284" s="561">
        <v>0</v>
      </c>
      <c r="IC284" s="561">
        <v>0</v>
      </c>
      <c r="ID284" s="561">
        <v>0</v>
      </c>
      <c r="IE284" s="561">
        <v>17</v>
      </c>
      <c r="IF284" s="561">
        <v>644</v>
      </c>
      <c r="IG284" s="561">
        <v>0</v>
      </c>
      <c r="IH284" s="561">
        <v>1565</v>
      </c>
      <c r="II284" s="561">
        <v>4463</v>
      </c>
      <c r="IJ284" s="561">
        <v>0</v>
      </c>
      <c r="IK284" s="561">
        <v>32</v>
      </c>
      <c r="IL284" s="561">
        <v>0</v>
      </c>
      <c r="IM284" s="561">
        <v>0</v>
      </c>
      <c r="IN284" s="561">
        <v>0</v>
      </c>
      <c r="IO284" s="561">
        <v>67</v>
      </c>
      <c r="IP284" s="561">
        <v>0</v>
      </c>
      <c r="IQ284" s="561">
        <v>0</v>
      </c>
      <c r="IR284" s="561">
        <v>0</v>
      </c>
      <c r="IS284" s="561">
        <v>233</v>
      </c>
      <c r="IT284" s="561">
        <v>0</v>
      </c>
      <c r="IU284" s="561">
        <v>0</v>
      </c>
      <c r="IV284" s="561">
        <v>0</v>
      </c>
      <c r="IW284" s="561">
        <v>1503</v>
      </c>
      <c r="IX284" s="561">
        <v>1463</v>
      </c>
      <c r="IY284" s="561">
        <v>2574</v>
      </c>
      <c r="IZ284" s="561">
        <v>513</v>
      </c>
      <c r="JA284" s="561">
        <v>0</v>
      </c>
      <c r="JB284" s="561">
        <v>0</v>
      </c>
      <c r="JC284" s="561">
        <v>4463</v>
      </c>
      <c r="JD284" s="561">
        <v>0</v>
      </c>
      <c r="JE284" s="561">
        <v>10749</v>
      </c>
      <c r="JF284" s="561">
        <v>11438</v>
      </c>
      <c r="JG284" s="561">
        <v>0</v>
      </c>
      <c r="JH284" s="561">
        <v>0</v>
      </c>
      <c r="JI284" s="561">
        <v>0</v>
      </c>
      <c r="JJ284" s="561">
        <v>0</v>
      </c>
      <c r="JK284" s="561">
        <v>70</v>
      </c>
      <c r="JL284" s="561">
        <v>0</v>
      </c>
      <c r="JM284" s="561">
        <v>0</v>
      </c>
      <c r="JN284" s="561">
        <v>0</v>
      </c>
      <c r="JO284" s="561">
        <v>0</v>
      </c>
      <c r="JP284" s="561">
        <v>-1</v>
      </c>
      <c r="JQ284" s="561">
        <v>0</v>
      </c>
      <c r="JR284" s="561">
        <v>-174</v>
      </c>
      <c r="JS284" s="561">
        <v>0</v>
      </c>
      <c r="JT284" s="561">
        <v>0</v>
      </c>
      <c r="JU284" s="561">
        <v>0</v>
      </c>
      <c r="JV284" s="561">
        <v>22082</v>
      </c>
      <c r="JW284" s="561">
        <v>0</v>
      </c>
      <c r="JX284" s="561">
        <v>0</v>
      </c>
      <c r="JY284" s="561">
        <v>0</v>
      </c>
      <c r="JZ284" s="561">
        <v>0</v>
      </c>
      <c r="KA284" s="561">
        <v>0</v>
      </c>
      <c r="KB284" s="561">
        <v>0</v>
      </c>
      <c r="KC284" s="561">
        <v>0</v>
      </c>
      <c r="KD284" s="561">
        <v>0</v>
      </c>
      <c r="KE284" s="561">
        <v>179</v>
      </c>
      <c r="KF284" s="561">
        <v>0</v>
      </c>
      <c r="KG284" s="561">
        <v>22261</v>
      </c>
      <c r="KH284" s="561">
        <v>-640</v>
      </c>
      <c r="KI284" s="561">
        <v>0</v>
      </c>
      <c r="KJ284" s="561">
        <v>0</v>
      </c>
      <c r="KK284" s="561">
        <v>0</v>
      </c>
      <c r="KL284" s="561">
        <v>-11025</v>
      </c>
      <c r="KM284" s="561">
        <v>0</v>
      </c>
      <c r="KN284" s="561">
        <v>0</v>
      </c>
      <c r="KO284" s="561">
        <v>0</v>
      </c>
      <c r="KP284" s="561">
        <v>0</v>
      </c>
      <c r="KQ284" s="561">
        <v>0</v>
      </c>
      <c r="KR284" s="561">
        <v>10596</v>
      </c>
      <c r="KS284" s="561">
        <v>0</v>
      </c>
      <c r="KT284" s="561">
        <v>-3403</v>
      </c>
      <c r="KU284" s="561">
        <v>7193</v>
      </c>
      <c r="KV284" s="561">
        <v>0</v>
      </c>
      <c r="KW284" s="561">
        <v>0</v>
      </c>
      <c r="KX284" s="561">
        <v>0</v>
      </c>
      <c r="KY284" s="561">
        <v>0</v>
      </c>
      <c r="KZ284" s="561">
        <v>1916</v>
      </c>
      <c r="LA284" s="561">
        <v>0</v>
      </c>
      <c r="LB284" s="561">
        <v>-91</v>
      </c>
      <c r="LC284" s="561">
        <v>0</v>
      </c>
      <c r="LD284" s="561">
        <v>-2387</v>
      </c>
      <c r="LE284" s="561">
        <v>-117</v>
      </c>
      <c r="LF284" s="561">
        <v>0</v>
      </c>
      <c r="LG284" s="561">
        <v>6514</v>
      </c>
      <c r="LH284" s="561">
        <v>0</v>
      </c>
      <c r="LI284" s="561">
        <v>0</v>
      </c>
      <c r="LJ284" s="561">
        <v>0</v>
      </c>
      <c r="LK284" s="561">
        <v>0</v>
      </c>
      <c r="LL284" s="561">
        <v>9327</v>
      </c>
      <c r="LM284" s="561">
        <v>1000</v>
      </c>
      <c r="LN284" s="561">
        <v>0</v>
      </c>
      <c r="LO284" s="561">
        <v>0</v>
      </c>
      <c r="LP284" s="561">
        <v>0</v>
      </c>
      <c r="LQ284" s="561">
        <v>0</v>
      </c>
      <c r="LR284" s="561">
        <v>11243</v>
      </c>
      <c r="LS284" s="561">
        <v>1000</v>
      </c>
      <c r="LT284" s="561">
        <v>0</v>
      </c>
      <c r="LU284" s="561">
        <v>1560</v>
      </c>
      <c r="LV284" s="561">
        <v>183</v>
      </c>
      <c r="LW284" s="561">
        <v>44</v>
      </c>
      <c r="LX284" s="561">
        <v>-7925</v>
      </c>
      <c r="LY284" s="561">
        <v>2539</v>
      </c>
      <c r="LZ284" s="561">
        <v>-3599</v>
      </c>
      <c r="MA284" s="561">
        <v>0</v>
      </c>
      <c r="MB284" s="561">
        <v>0</v>
      </c>
      <c r="MC284" s="561">
        <v>0</v>
      </c>
      <c r="MD284" s="561">
        <v>0</v>
      </c>
      <c r="ME284" s="561">
        <v>0</v>
      </c>
      <c r="MF284" s="561">
        <v>0</v>
      </c>
      <c r="MG284" s="561">
        <v>0</v>
      </c>
      <c r="MH284" s="561">
        <v>2276</v>
      </c>
      <c r="MI284" s="561">
        <v>2770</v>
      </c>
      <c r="MJ284" s="561">
        <v>5046</v>
      </c>
      <c r="MK284" s="561">
        <v>0</v>
      </c>
      <c r="ML284" s="561">
        <v>703</v>
      </c>
      <c r="MM284" s="561">
        <v>612</v>
      </c>
      <c r="MN284" s="561">
        <v>3009</v>
      </c>
      <c r="MO284" s="561">
        <v>6919</v>
      </c>
      <c r="MP284" s="561">
        <v>0</v>
      </c>
      <c r="MQ284" s="561">
        <v>0</v>
      </c>
      <c r="MR284" s="561">
        <v>233</v>
      </c>
      <c r="MS284" s="561">
        <v>0</v>
      </c>
      <c r="MT284" s="561">
        <v>0</v>
      </c>
      <c r="MU284" s="561">
        <v>0</v>
      </c>
      <c r="MV284" s="561">
        <v>1503</v>
      </c>
      <c r="MW284" s="561">
        <v>1463</v>
      </c>
      <c r="MX284" s="561">
        <v>2574</v>
      </c>
      <c r="MY284" s="561">
        <v>513</v>
      </c>
      <c r="MZ284" s="561">
        <v>0</v>
      </c>
      <c r="NA284" s="561">
        <v>0</v>
      </c>
      <c r="NB284" s="561">
        <v>4463</v>
      </c>
      <c r="NC284" s="561">
        <v>0</v>
      </c>
      <c r="ND284" s="561">
        <v>10749</v>
      </c>
      <c r="NE284" s="561">
        <v>0</v>
      </c>
      <c r="NF284" s="561">
        <v>0</v>
      </c>
      <c r="NG284" s="561">
        <v>0</v>
      </c>
      <c r="NH284" s="561">
        <v>0</v>
      </c>
      <c r="NI284" s="561">
        <v>0</v>
      </c>
      <c r="NJ284" s="561">
        <v>0</v>
      </c>
      <c r="NK284" s="561">
        <v>0</v>
      </c>
      <c r="NL284" s="561">
        <v>0</v>
      </c>
      <c r="NM284" s="561">
        <v>0</v>
      </c>
      <c r="NN284" s="561">
        <v>0</v>
      </c>
      <c r="NO284" s="561">
        <v>0</v>
      </c>
      <c r="NP284" s="561">
        <v>0</v>
      </c>
      <c r="NQ284" s="561">
        <v>0</v>
      </c>
      <c r="NR284" s="561">
        <v>0</v>
      </c>
      <c r="NS284" s="561">
        <v>0</v>
      </c>
      <c r="NT284" s="561">
        <v>-272</v>
      </c>
      <c r="NU284" s="561">
        <v>0</v>
      </c>
      <c r="NV284" s="561">
        <v>97</v>
      </c>
      <c r="NW284" s="561">
        <v>-175</v>
      </c>
      <c r="NX284" s="561">
        <v>174</v>
      </c>
      <c r="NY284" s="561">
        <v>-1</v>
      </c>
      <c r="NZ284" s="561">
        <v>0</v>
      </c>
      <c r="OA284" s="561">
        <v>0</v>
      </c>
      <c r="OB284" s="561">
        <v>0</v>
      </c>
      <c r="OC284" s="561">
        <v>0</v>
      </c>
      <c r="OD284" s="561">
        <v>0</v>
      </c>
      <c r="OE284" s="561">
        <v>0</v>
      </c>
      <c r="OF284" s="561">
        <v>0</v>
      </c>
      <c r="OG284" s="561">
        <v>0</v>
      </c>
      <c r="OH284" s="561">
        <v>0</v>
      </c>
      <c r="OI284" s="561">
        <v>0</v>
      </c>
      <c r="OJ284" s="561">
        <v>0</v>
      </c>
      <c r="OK284" s="561">
        <v>0</v>
      </c>
      <c r="OL284" s="561">
        <v>0</v>
      </c>
      <c r="OM284" s="561">
        <v>0</v>
      </c>
      <c r="ON284" s="561">
        <v>0</v>
      </c>
      <c r="OO284" s="561">
        <v>0</v>
      </c>
      <c r="OP284" s="561">
        <v>0</v>
      </c>
      <c r="OQ284" s="561">
        <v>0</v>
      </c>
      <c r="OR284" s="561">
        <v>0</v>
      </c>
      <c r="OS284" s="561">
        <v>0</v>
      </c>
      <c r="OT284" s="561">
        <v>0</v>
      </c>
      <c r="OU284" s="561">
        <v>0</v>
      </c>
      <c r="OV284" s="561">
        <v>0</v>
      </c>
      <c r="OW284" s="561">
        <v>0</v>
      </c>
      <c r="OX284" s="561">
        <v>0</v>
      </c>
      <c r="OY284" s="561">
        <v>196</v>
      </c>
      <c r="OZ284" s="561">
        <v>0</v>
      </c>
      <c r="PA284" s="561">
        <v>-22</v>
      </c>
      <c r="PB284" s="561">
        <v>0</v>
      </c>
      <c r="PC284" s="561">
        <v>0</v>
      </c>
      <c r="PD284" s="561">
        <v>174</v>
      </c>
      <c r="PE284" s="561">
        <v>0</v>
      </c>
      <c r="PF284" s="561">
        <v>0</v>
      </c>
      <c r="PG284" s="561">
        <v>0</v>
      </c>
      <c r="PH284" s="561">
        <v>0</v>
      </c>
      <c r="PI284" s="561">
        <v>0</v>
      </c>
      <c r="PJ284" s="561">
        <v>0</v>
      </c>
    </row>
    <row r="285" spans="1:426" ht="14" x14ac:dyDescent="0.3">
      <c r="A285" t="s">
        <v>3298</v>
      </c>
      <c r="B285" t="s">
        <v>3299</v>
      </c>
      <c r="C285" t="s">
        <v>3300</v>
      </c>
      <c r="E285" t="s">
        <v>384</v>
      </c>
      <c r="F285" s="561">
        <v>0</v>
      </c>
      <c r="G285" s="561">
        <v>0</v>
      </c>
      <c r="H285" s="561">
        <v>0</v>
      </c>
      <c r="I285" s="561">
        <v>0</v>
      </c>
      <c r="J285" s="561">
        <v>0</v>
      </c>
      <c r="K285" s="561">
        <v>0</v>
      </c>
      <c r="L285" s="561">
        <v>0</v>
      </c>
      <c r="M285" s="561">
        <v>0</v>
      </c>
      <c r="N285" s="561">
        <v>0</v>
      </c>
      <c r="O285" s="561">
        <v>0</v>
      </c>
      <c r="P285" s="561">
        <v>0</v>
      </c>
      <c r="Q285" s="561">
        <v>0</v>
      </c>
      <c r="R285" s="561">
        <v>0</v>
      </c>
      <c r="S285" s="561">
        <v>0</v>
      </c>
      <c r="T285" s="561">
        <v>68</v>
      </c>
      <c r="U285" s="561">
        <v>0</v>
      </c>
      <c r="V285" s="561">
        <v>0</v>
      </c>
      <c r="W285" s="561">
        <v>0</v>
      </c>
      <c r="X285" s="561">
        <v>0</v>
      </c>
      <c r="Y285" s="561">
        <v>0</v>
      </c>
      <c r="Z285" s="561">
        <v>0</v>
      </c>
      <c r="AA285" s="561">
        <v>0</v>
      </c>
      <c r="AB285" s="561">
        <v>-1600</v>
      </c>
      <c r="AC285" s="561">
        <v>0</v>
      </c>
      <c r="AD285" s="561">
        <v>0</v>
      </c>
      <c r="AE285" s="561">
        <v>0</v>
      </c>
      <c r="AF285" s="561">
        <v>0</v>
      </c>
      <c r="AG285" s="561">
        <v>0</v>
      </c>
      <c r="AH285" s="561">
        <v>0</v>
      </c>
      <c r="AI285" s="561">
        <v>0</v>
      </c>
      <c r="AJ285" s="561">
        <v>-1532</v>
      </c>
      <c r="AK285" s="561">
        <v>0</v>
      </c>
      <c r="AL285" s="561">
        <v>0</v>
      </c>
      <c r="AM285" s="561">
        <v>0</v>
      </c>
      <c r="AN285" s="561">
        <v>0</v>
      </c>
      <c r="AO285" s="561">
        <v>0</v>
      </c>
      <c r="AP285" s="561">
        <v>0</v>
      </c>
      <c r="AQ285" s="561">
        <v>0</v>
      </c>
      <c r="AR285" s="561">
        <v>0</v>
      </c>
      <c r="AS285" s="561">
        <v>0</v>
      </c>
      <c r="AT285" s="561">
        <v>0</v>
      </c>
      <c r="AU285" s="561">
        <v>0</v>
      </c>
      <c r="AV285" s="561">
        <v>0</v>
      </c>
      <c r="AW285" s="561">
        <v>0</v>
      </c>
      <c r="AX285" s="561">
        <v>0</v>
      </c>
      <c r="AY285" s="561">
        <v>0</v>
      </c>
      <c r="AZ285" s="561">
        <v>0</v>
      </c>
      <c r="BA285" s="561">
        <v>0</v>
      </c>
      <c r="BB285" s="561">
        <v>0</v>
      </c>
      <c r="BC285" s="561">
        <v>0</v>
      </c>
      <c r="BD285" s="561">
        <v>0</v>
      </c>
      <c r="BE285" s="561">
        <v>0</v>
      </c>
      <c r="BF285" s="561">
        <v>0</v>
      </c>
      <c r="BG285" s="561">
        <v>0</v>
      </c>
      <c r="BH285" s="561">
        <v>0</v>
      </c>
      <c r="BI285" s="561">
        <v>0</v>
      </c>
      <c r="BJ285" s="561">
        <v>0</v>
      </c>
      <c r="BK285" s="561">
        <v>0</v>
      </c>
      <c r="BL285" s="561">
        <v>0</v>
      </c>
      <c r="BM285" s="561">
        <v>0</v>
      </c>
      <c r="BN285" s="561">
        <v>0</v>
      </c>
      <c r="BO285" s="561">
        <v>0</v>
      </c>
      <c r="BP285" s="561">
        <v>0</v>
      </c>
      <c r="BQ285" s="561">
        <v>0</v>
      </c>
      <c r="BR285" s="561">
        <v>0</v>
      </c>
      <c r="BS285" s="561">
        <v>0</v>
      </c>
      <c r="BT285" s="561">
        <v>0</v>
      </c>
      <c r="BU285" s="561">
        <v>0</v>
      </c>
      <c r="BV285" s="561">
        <v>0</v>
      </c>
      <c r="BW285" s="561">
        <v>0</v>
      </c>
      <c r="BX285" s="561">
        <v>0</v>
      </c>
      <c r="BY285" s="561">
        <v>0</v>
      </c>
      <c r="BZ285" s="561">
        <v>0</v>
      </c>
      <c r="CA285" s="561">
        <v>0</v>
      </c>
      <c r="CB285" s="561">
        <v>0</v>
      </c>
      <c r="CC285" s="561">
        <v>0</v>
      </c>
      <c r="CD285" s="561">
        <v>0</v>
      </c>
      <c r="CE285" s="561">
        <v>0</v>
      </c>
      <c r="CF285" s="561">
        <v>0</v>
      </c>
      <c r="CG285" s="561">
        <v>0</v>
      </c>
      <c r="CH285" s="561">
        <v>0</v>
      </c>
      <c r="CI285" s="561">
        <v>0</v>
      </c>
      <c r="CJ285" s="561">
        <v>0</v>
      </c>
      <c r="CK285" s="561">
        <v>0</v>
      </c>
      <c r="CL285" s="561">
        <v>0</v>
      </c>
      <c r="CM285" s="561">
        <v>0</v>
      </c>
      <c r="CN285" s="561">
        <v>0</v>
      </c>
      <c r="CO285" s="561">
        <v>0</v>
      </c>
      <c r="CP285" s="561">
        <v>0</v>
      </c>
      <c r="CQ285" s="561">
        <v>0</v>
      </c>
      <c r="CR285" s="561">
        <v>0</v>
      </c>
      <c r="CS285" s="561">
        <v>0</v>
      </c>
      <c r="CT285" s="561">
        <v>0</v>
      </c>
      <c r="CU285" s="561">
        <v>0</v>
      </c>
      <c r="CV285" s="561">
        <v>0</v>
      </c>
      <c r="CW285" s="561">
        <v>0</v>
      </c>
      <c r="CX285" s="561">
        <v>0</v>
      </c>
      <c r="CY285" s="561">
        <v>0</v>
      </c>
      <c r="CZ285" s="561">
        <v>0</v>
      </c>
      <c r="DA285" s="561">
        <v>0</v>
      </c>
      <c r="DB285" s="561">
        <v>0</v>
      </c>
      <c r="DC285" s="561">
        <v>0</v>
      </c>
      <c r="DD285" s="561">
        <v>0</v>
      </c>
      <c r="DE285" s="561">
        <v>0</v>
      </c>
      <c r="DF285" s="561">
        <v>0</v>
      </c>
      <c r="DG285" s="561">
        <v>0</v>
      </c>
      <c r="DH285" s="561">
        <v>317</v>
      </c>
      <c r="DI285" s="561">
        <v>0</v>
      </c>
      <c r="DJ285" s="561">
        <v>-33</v>
      </c>
      <c r="DK285" s="561">
        <v>0</v>
      </c>
      <c r="DL285" s="561">
        <v>2707</v>
      </c>
      <c r="DM285" s="561">
        <v>0</v>
      </c>
      <c r="DN285" s="561">
        <v>0</v>
      </c>
      <c r="DO285" s="561">
        <v>478</v>
      </c>
      <c r="DP285" s="561">
        <v>-57</v>
      </c>
      <c r="DQ285" s="561">
        <v>0</v>
      </c>
      <c r="DR285" s="561">
        <v>98</v>
      </c>
      <c r="DS285" s="561">
        <v>760</v>
      </c>
      <c r="DT285" s="561">
        <v>-428</v>
      </c>
      <c r="DU285" s="561">
        <v>3558</v>
      </c>
      <c r="DV285" s="561">
        <v>0</v>
      </c>
      <c r="DW285" s="561">
        <v>0</v>
      </c>
      <c r="DX285" s="561">
        <v>0</v>
      </c>
      <c r="DY285" s="561">
        <v>674</v>
      </c>
      <c r="DZ285" s="561">
        <v>0</v>
      </c>
      <c r="EA285" s="561">
        <v>0</v>
      </c>
      <c r="EB285" s="561">
        <v>0</v>
      </c>
      <c r="EC285" s="561">
        <v>4516</v>
      </c>
      <c r="ED285" s="561">
        <v>90</v>
      </c>
      <c r="EE285" s="561">
        <v>0</v>
      </c>
      <c r="EF285" s="561">
        <v>0</v>
      </c>
      <c r="EG285" s="561">
        <v>0</v>
      </c>
      <c r="EH285" s="561">
        <v>0</v>
      </c>
      <c r="EI285" s="561">
        <v>0</v>
      </c>
      <c r="EJ285" s="561">
        <v>0</v>
      </c>
      <c r="EK285" s="561">
        <v>0</v>
      </c>
      <c r="EL285" s="561">
        <v>0</v>
      </c>
      <c r="EM285" s="561">
        <v>0</v>
      </c>
      <c r="EN285" s="561">
        <v>0</v>
      </c>
      <c r="EO285" s="561">
        <v>0</v>
      </c>
      <c r="EP285" s="561">
        <v>0</v>
      </c>
      <c r="EQ285" s="561">
        <v>0</v>
      </c>
      <c r="ER285" s="561">
        <v>0</v>
      </c>
      <c r="ES285" s="561" t="s">
        <v>4565</v>
      </c>
      <c r="ET285" s="561">
        <v>0</v>
      </c>
      <c r="EU285" s="561">
        <v>0</v>
      </c>
      <c r="EV285" s="561">
        <v>0</v>
      </c>
      <c r="EW285" s="561">
        <v>0</v>
      </c>
      <c r="EX285" s="561">
        <v>0</v>
      </c>
      <c r="EY285" s="561">
        <v>0</v>
      </c>
      <c r="EZ285" s="561">
        <v>0</v>
      </c>
      <c r="FA285" s="561">
        <v>0</v>
      </c>
      <c r="FB285" s="561">
        <v>0</v>
      </c>
      <c r="FC285" s="561">
        <v>11</v>
      </c>
      <c r="FD285" s="561">
        <v>43</v>
      </c>
      <c r="FE285" s="561">
        <v>76</v>
      </c>
      <c r="FF285" s="561">
        <v>489</v>
      </c>
      <c r="FG285" s="561">
        <v>0</v>
      </c>
      <c r="FH285" s="561">
        <v>426</v>
      </c>
      <c r="FI285" s="561">
        <v>56</v>
      </c>
      <c r="FJ285" s="561">
        <v>117</v>
      </c>
      <c r="FK285" s="561">
        <v>980</v>
      </c>
      <c r="FL285" s="561">
        <v>4</v>
      </c>
      <c r="FM285" s="561">
        <v>101</v>
      </c>
      <c r="FN285" s="561">
        <v>0</v>
      </c>
      <c r="FO285" s="561">
        <v>2303</v>
      </c>
      <c r="FP285" s="561">
        <v>0</v>
      </c>
      <c r="FQ285" s="561">
        <v>60</v>
      </c>
      <c r="FR285" s="561">
        <v>0</v>
      </c>
      <c r="FS285" s="561">
        <v>0</v>
      </c>
      <c r="FT285" s="561">
        <v>191</v>
      </c>
      <c r="FU285" s="561">
        <v>285</v>
      </c>
      <c r="FV285" s="561">
        <v>1</v>
      </c>
      <c r="FW285" s="561">
        <v>133</v>
      </c>
      <c r="FX285" s="561">
        <v>0</v>
      </c>
      <c r="FY285" s="561">
        <v>0</v>
      </c>
      <c r="FZ285" s="561">
        <v>19</v>
      </c>
      <c r="GA285" s="561">
        <v>453</v>
      </c>
      <c r="GB285" s="561">
        <v>58</v>
      </c>
      <c r="GC285" s="561">
        <v>196</v>
      </c>
      <c r="GD285" s="561">
        <v>43</v>
      </c>
      <c r="GE285" s="561">
        <v>0</v>
      </c>
      <c r="GF285" s="561">
        <v>6</v>
      </c>
      <c r="GG285" s="561">
        <v>5</v>
      </c>
      <c r="GH285" s="561">
        <v>0</v>
      </c>
      <c r="GI285" s="561">
        <v>160</v>
      </c>
      <c r="GJ285" s="561">
        <v>60</v>
      </c>
      <c r="GK285" s="561">
        <v>0</v>
      </c>
      <c r="GL285" s="561">
        <v>1427</v>
      </c>
      <c r="GM285" s="561">
        <v>2946</v>
      </c>
      <c r="GN285" s="561">
        <v>0</v>
      </c>
      <c r="GO285" s="561">
        <v>0</v>
      </c>
      <c r="GP285" s="561">
        <v>279</v>
      </c>
      <c r="GQ285" s="561">
        <v>0</v>
      </c>
      <c r="GR285" s="561">
        <v>102</v>
      </c>
      <c r="GS285" s="561">
        <v>6424</v>
      </c>
      <c r="GT285" s="561">
        <v>8</v>
      </c>
      <c r="GU285" s="561">
        <v>55</v>
      </c>
      <c r="GV285" s="561">
        <v>1356</v>
      </c>
      <c r="GW285" s="561">
        <v>16</v>
      </c>
      <c r="GX285" s="561">
        <v>212</v>
      </c>
      <c r="GY285" s="561">
        <v>0</v>
      </c>
      <c r="GZ285" s="561">
        <v>-1005</v>
      </c>
      <c r="HA285" s="561">
        <v>0</v>
      </c>
      <c r="HB285" s="561">
        <v>0</v>
      </c>
      <c r="HC285" s="561">
        <v>0</v>
      </c>
      <c r="HD285" s="561">
        <v>634</v>
      </c>
      <c r="HE285" s="561">
        <v>229</v>
      </c>
      <c r="HF285" s="561">
        <v>9361</v>
      </c>
      <c r="HG285" s="561">
        <v>237</v>
      </c>
      <c r="HH285" s="561">
        <v>0</v>
      </c>
      <c r="HI285" s="561">
        <v>0</v>
      </c>
      <c r="HJ285" s="561">
        <v>0</v>
      </c>
      <c r="HK285" s="561">
        <v>0</v>
      </c>
      <c r="HL285" s="561">
        <v>0</v>
      </c>
      <c r="HM285" s="561">
        <v>0</v>
      </c>
      <c r="HN285" s="561">
        <v>0</v>
      </c>
      <c r="HO285" s="561">
        <v>2624</v>
      </c>
      <c r="HP285" s="561">
        <v>535</v>
      </c>
      <c r="HQ285" s="561">
        <v>0</v>
      </c>
      <c r="HR285" s="561">
        <v>0</v>
      </c>
      <c r="HS285" s="561">
        <v>432</v>
      </c>
      <c r="HT285" s="561">
        <v>15</v>
      </c>
      <c r="HU285" s="561">
        <v>0</v>
      </c>
      <c r="HV285" s="561">
        <v>0</v>
      </c>
      <c r="HW285" s="561">
        <v>261</v>
      </c>
      <c r="HX285" s="561">
        <v>-9</v>
      </c>
      <c r="HY285" s="561">
        <v>49</v>
      </c>
      <c r="HZ285" s="561">
        <v>-85</v>
      </c>
      <c r="IA285" s="561">
        <v>0</v>
      </c>
      <c r="IB285" s="561">
        <v>143</v>
      </c>
      <c r="IC285" s="561">
        <v>0</v>
      </c>
      <c r="ID285" s="561">
        <v>0</v>
      </c>
      <c r="IE285" s="561">
        <v>422</v>
      </c>
      <c r="IF285" s="561">
        <v>0</v>
      </c>
      <c r="IG285" s="561">
        <v>0</v>
      </c>
      <c r="IH285" s="561">
        <v>38</v>
      </c>
      <c r="II285" s="561">
        <v>4425</v>
      </c>
      <c r="IJ285" s="561">
        <v>843</v>
      </c>
      <c r="IK285" s="561">
        <v>6070</v>
      </c>
      <c r="IL285" s="561">
        <v>0</v>
      </c>
      <c r="IM285" s="561">
        <v>0</v>
      </c>
      <c r="IN285" s="561">
        <v>0</v>
      </c>
      <c r="IO285" s="561">
        <v>179</v>
      </c>
      <c r="IP285" s="561">
        <v>-5</v>
      </c>
      <c r="IQ285" s="561">
        <v>680</v>
      </c>
      <c r="IR285" s="561">
        <v>0</v>
      </c>
      <c r="IS285" s="561">
        <v>-1532</v>
      </c>
      <c r="IT285" s="561">
        <v>0</v>
      </c>
      <c r="IU285" s="561">
        <v>0</v>
      </c>
      <c r="IV285" s="561">
        <v>0</v>
      </c>
      <c r="IW285" s="561">
        <v>4516</v>
      </c>
      <c r="IX285" s="561">
        <v>2303</v>
      </c>
      <c r="IY285" s="561">
        <v>6424</v>
      </c>
      <c r="IZ285" s="561">
        <v>634</v>
      </c>
      <c r="JA285" s="561">
        <v>0</v>
      </c>
      <c r="JB285" s="561">
        <v>0</v>
      </c>
      <c r="JC285" s="561">
        <v>4425</v>
      </c>
      <c r="JD285" s="561">
        <v>-5</v>
      </c>
      <c r="JE285" s="561">
        <v>16765</v>
      </c>
      <c r="JF285" s="561">
        <v>15273</v>
      </c>
      <c r="JG285" s="561">
        <v>1312</v>
      </c>
      <c r="JH285" s="561">
        <v>0</v>
      </c>
      <c r="JI285" s="561">
        <v>0</v>
      </c>
      <c r="JJ285" s="561">
        <v>0</v>
      </c>
      <c r="JK285" s="561">
        <v>2983</v>
      </c>
      <c r="JL285" s="561">
        <v>0</v>
      </c>
      <c r="JM285" s="561">
        <v>0</v>
      </c>
      <c r="JN285" s="561">
        <v>0</v>
      </c>
      <c r="JO285" s="561">
        <v>0</v>
      </c>
      <c r="JP285" s="561">
        <v>-439</v>
      </c>
      <c r="JQ285" s="561">
        <v>0</v>
      </c>
      <c r="JR285" s="561">
        <v>0</v>
      </c>
      <c r="JS285" s="561">
        <v>0</v>
      </c>
      <c r="JT285" s="561">
        <v>0</v>
      </c>
      <c r="JU285" s="561">
        <v>0</v>
      </c>
      <c r="JV285" s="561">
        <v>35894</v>
      </c>
      <c r="JW285" s="561">
        <v>0</v>
      </c>
      <c r="JX285" s="561">
        <v>2821</v>
      </c>
      <c r="JY285" s="561">
        <v>0</v>
      </c>
      <c r="JZ285" s="561">
        <v>0</v>
      </c>
      <c r="KA285" s="561">
        <v>0</v>
      </c>
      <c r="KB285" s="561">
        <v>47</v>
      </c>
      <c r="KC285" s="561">
        <v>590</v>
      </c>
      <c r="KD285" s="561">
        <v>0</v>
      </c>
      <c r="KE285" s="561">
        <v>557</v>
      </c>
      <c r="KF285" s="561">
        <v>0</v>
      </c>
      <c r="KG285" s="561">
        <v>39909</v>
      </c>
      <c r="KH285" s="561">
        <v>-1788</v>
      </c>
      <c r="KI285" s="561">
        <v>0</v>
      </c>
      <c r="KJ285" s="561">
        <v>0</v>
      </c>
      <c r="KK285" s="561">
        <v>0</v>
      </c>
      <c r="KL285" s="561">
        <v>-16661</v>
      </c>
      <c r="KM285" s="561">
        <v>0</v>
      </c>
      <c r="KN285" s="561">
        <v>-2963</v>
      </c>
      <c r="KO285" s="561">
        <v>0</v>
      </c>
      <c r="KP285" s="561">
        <v>0</v>
      </c>
      <c r="KQ285" s="561">
        <v>0</v>
      </c>
      <c r="KR285" s="561">
        <v>18497</v>
      </c>
      <c r="KS285" s="561">
        <v>0</v>
      </c>
      <c r="KT285" s="561">
        <v>-2166</v>
      </c>
      <c r="KU285" s="561">
        <v>16331</v>
      </c>
      <c r="KV285" s="561">
        <v>0</v>
      </c>
      <c r="KW285" s="561">
        <v>0</v>
      </c>
      <c r="KX285" s="561">
        <v>0</v>
      </c>
      <c r="KY285" s="561">
        <v>0</v>
      </c>
      <c r="KZ285" s="561">
        <v>1222</v>
      </c>
      <c r="LA285" s="561">
        <v>0</v>
      </c>
      <c r="LB285" s="561">
        <v>-184</v>
      </c>
      <c r="LC285" s="561">
        <v>0</v>
      </c>
      <c r="LD285" s="561">
        <v>-5352</v>
      </c>
      <c r="LE285" s="561">
        <v>-229</v>
      </c>
      <c r="LF285" s="561">
        <v>0</v>
      </c>
      <c r="LG285" s="561">
        <v>11787</v>
      </c>
      <c r="LH285" s="561">
        <v>0</v>
      </c>
      <c r="LI285" s="561">
        <v>0</v>
      </c>
      <c r="LJ285" s="561">
        <v>0</v>
      </c>
      <c r="LK285" s="561">
        <v>0</v>
      </c>
      <c r="LL285" s="561">
        <v>4433</v>
      </c>
      <c r="LM285" s="561">
        <v>5000</v>
      </c>
      <c r="LN285" s="561">
        <v>0</v>
      </c>
      <c r="LO285" s="561">
        <v>0</v>
      </c>
      <c r="LP285" s="561">
        <v>0</v>
      </c>
      <c r="LQ285" s="561">
        <v>0</v>
      </c>
      <c r="LR285" s="561">
        <v>5655</v>
      </c>
      <c r="LS285" s="561">
        <v>5000</v>
      </c>
      <c r="LT285" s="561">
        <v>0</v>
      </c>
      <c r="LU285" s="561">
        <v>1356</v>
      </c>
      <c r="LV285" s="561">
        <v>4987</v>
      </c>
      <c r="LW285" s="561">
        <v>150</v>
      </c>
      <c r="LX285" s="561">
        <v>0</v>
      </c>
      <c r="LY285" s="561">
        <v>9386</v>
      </c>
      <c r="LZ285" s="561">
        <v>15879</v>
      </c>
      <c r="MA285" s="561">
        <v>0</v>
      </c>
      <c r="MB285" s="561">
        <v>0</v>
      </c>
      <c r="MC285" s="561">
        <v>0</v>
      </c>
      <c r="MD285" s="561">
        <v>0</v>
      </c>
      <c r="ME285" s="561">
        <v>0</v>
      </c>
      <c r="MF285" s="561">
        <v>0</v>
      </c>
      <c r="MG285" s="561">
        <v>0</v>
      </c>
      <c r="MH285" s="561">
        <v>4169</v>
      </c>
      <c r="MI285" s="561">
        <v>5208</v>
      </c>
      <c r="MJ285" s="561">
        <v>9377</v>
      </c>
      <c r="MK285" s="561">
        <v>0</v>
      </c>
      <c r="ML285" s="561">
        <v>0</v>
      </c>
      <c r="MM285" s="561">
        <v>5655</v>
      </c>
      <c r="MN285" s="561">
        <v>0</v>
      </c>
      <c r="MO285" s="561">
        <v>0</v>
      </c>
      <c r="MP285" s="561">
        <v>0</v>
      </c>
      <c r="MQ285" s="561">
        <v>0</v>
      </c>
      <c r="MR285" s="561">
        <v>-1532</v>
      </c>
      <c r="MS285" s="561">
        <v>0</v>
      </c>
      <c r="MT285" s="561">
        <v>0</v>
      </c>
      <c r="MU285" s="561">
        <v>0</v>
      </c>
      <c r="MV285" s="561">
        <v>4516</v>
      </c>
      <c r="MW285" s="561">
        <v>2303</v>
      </c>
      <c r="MX285" s="561">
        <v>6424</v>
      </c>
      <c r="MY285" s="561">
        <v>634</v>
      </c>
      <c r="MZ285" s="561">
        <v>0</v>
      </c>
      <c r="NA285" s="561">
        <v>0</v>
      </c>
      <c r="NB285" s="561">
        <v>4425</v>
      </c>
      <c r="NC285" s="561">
        <v>-5</v>
      </c>
      <c r="ND285" s="561">
        <v>16765</v>
      </c>
      <c r="NE285" s="561">
        <v>0</v>
      </c>
      <c r="NF285" s="561">
        <v>0</v>
      </c>
      <c r="NG285" s="561">
        <v>0</v>
      </c>
      <c r="NH285" s="561">
        <v>0</v>
      </c>
      <c r="NI285" s="561">
        <v>0</v>
      </c>
      <c r="NJ285" s="561">
        <v>0</v>
      </c>
      <c r="NK285" s="561">
        <v>0</v>
      </c>
      <c r="NL285" s="561">
        <v>0</v>
      </c>
      <c r="NM285" s="561">
        <v>0</v>
      </c>
      <c r="NN285" s="561">
        <v>0</v>
      </c>
      <c r="NO285" s="561">
        <v>0</v>
      </c>
      <c r="NP285" s="561">
        <v>0</v>
      </c>
      <c r="NQ285" s="561">
        <v>0</v>
      </c>
      <c r="NR285" s="561">
        <v>0</v>
      </c>
      <c r="NS285" s="561">
        <v>0</v>
      </c>
      <c r="NT285" s="561">
        <v>-439</v>
      </c>
      <c r="NU285" s="561">
        <v>-48</v>
      </c>
      <c r="NV285" s="561">
        <v>0</v>
      </c>
      <c r="NW285" s="561">
        <v>-439</v>
      </c>
      <c r="NX285" s="561">
        <v>0</v>
      </c>
      <c r="NY285" s="561">
        <v>-439</v>
      </c>
      <c r="NZ285" s="561">
        <v>0</v>
      </c>
      <c r="OA285" s="561">
        <v>0</v>
      </c>
      <c r="OB285" s="561">
        <v>0</v>
      </c>
      <c r="OC285" s="561">
        <v>0</v>
      </c>
      <c r="OD285" s="561">
        <v>0</v>
      </c>
      <c r="OE285" s="561">
        <v>0</v>
      </c>
      <c r="OF285" s="561">
        <v>0</v>
      </c>
      <c r="OG285" s="561">
        <v>0</v>
      </c>
      <c r="OH285" s="561">
        <v>0</v>
      </c>
      <c r="OI285" s="561">
        <v>0</v>
      </c>
      <c r="OJ285" s="561">
        <v>0</v>
      </c>
      <c r="OK285" s="561">
        <v>0</v>
      </c>
      <c r="OL285" s="561">
        <v>0</v>
      </c>
      <c r="OM285" s="561">
        <v>0</v>
      </c>
      <c r="ON285" s="561">
        <v>0</v>
      </c>
      <c r="OO285" s="561">
        <v>0</v>
      </c>
      <c r="OP285" s="561">
        <v>0</v>
      </c>
      <c r="OQ285" s="561">
        <v>0</v>
      </c>
      <c r="OR285" s="561">
        <v>0</v>
      </c>
      <c r="OS285" s="561">
        <v>0</v>
      </c>
      <c r="OT285" s="561">
        <v>0</v>
      </c>
      <c r="OU285" s="561">
        <v>0</v>
      </c>
      <c r="OV285" s="561">
        <v>0</v>
      </c>
      <c r="OW285" s="561">
        <v>0</v>
      </c>
      <c r="OX285" s="561">
        <v>0</v>
      </c>
      <c r="OY285" s="561">
        <v>0</v>
      </c>
      <c r="OZ285" s="561">
        <v>0</v>
      </c>
      <c r="PA285" s="561">
        <v>0</v>
      </c>
      <c r="PB285" s="561">
        <v>0</v>
      </c>
      <c r="PC285" s="561">
        <v>0</v>
      </c>
      <c r="PD285" s="561">
        <v>0</v>
      </c>
      <c r="PE285" s="561">
        <v>0</v>
      </c>
      <c r="PF285" s="561">
        <v>0</v>
      </c>
      <c r="PG285" s="561">
        <v>0</v>
      </c>
      <c r="PH285" s="561">
        <v>0</v>
      </c>
      <c r="PI285" s="561">
        <v>0</v>
      </c>
      <c r="PJ285" s="561">
        <v>0</v>
      </c>
    </row>
    <row r="286" spans="1:426" ht="14" x14ac:dyDescent="0.3">
      <c r="A286" t="s">
        <v>3301</v>
      </c>
      <c r="B286" t="s">
        <v>3302</v>
      </c>
      <c r="C286" t="s">
        <v>3303</v>
      </c>
      <c r="E286" t="s">
        <v>379</v>
      </c>
      <c r="F286" s="561">
        <v>32480</v>
      </c>
      <c r="G286" s="561">
        <v>35465</v>
      </c>
      <c r="H286" s="561">
        <v>4164</v>
      </c>
      <c r="I286" s="561">
        <v>37947</v>
      </c>
      <c r="J286" s="561">
        <v>5584</v>
      </c>
      <c r="K286" s="561">
        <v>14377</v>
      </c>
      <c r="L286" s="561">
        <v>130017</v>
      </c>
      <c r="M286" s="561">
        <v>1995</v>
      </c>
      <c r="N286" s="561">
        <v>0</v>
      </c>
      <c r="O286" s="561">
        <v>0</v>
      </c>
      <c r="P286" s="561">
        <v>3701</v>
      </c>
      <c r="Q286" s="561">
        <v>0</v>
      </c>
      <c r="R286" s="561">
        <v>0</v>
      </c>
      <c r="S286" s="561">
        <v>810</v>
      </c>
      <c r="T286" s="561">
        <v>0</v>
      </c>
      <c r="U286" s="561">
        <v>1173</v>
      </c>
      <c r="V286" s="561">
        <v>2105</v>
      </c>
      <c r="W286" s="561">
        <v>0</v>
      </c>
      <c r="X286" s="561">
        <v>0</v>
      </c>
      <c r="Y286" s="561">
        <v>290</v>
      </c>
      <c r="Z286" s="561">
        <v>-354</v>
      </c>
      <c r="AA286" s="561">
        <v>-233</v>
      </c>
      <c r="AB286" s="561">
        <v>-70</v>
      </c>
      <c r="AC286" s="561">
        <v>0</v>
      </c>
      <c r="AD286" s="561">
        <v>0</v>
      </c>
      <c r="AE286" s="561">
        <v>0</v>
      </c>
      <c r="AF286" s="561">
        <v>0</v>
      </c>
      <c r="AG286" s="561">
        <v>0</v>
      </c>
      <c r="AH286" s="561">
        <v>0</v>
      </c>
      <c r="AI286" s="561">
        <v>0</v>
      </c>
      <c r="AJ286" s="561">
        <v>7422</v>
      </c>
      <c r="AK286" s="561">
        <v>16</v>
      </c>
      <c r="AL286" s="561">
        <v>0</v>
      </c>
      <c r="AM286" s="561">
        <v>0</v>
      </c>
      <c r="AN286" s="561">
        <v>0</v>
      </c>
      <c r="AO286" s="561">
        <v>0</v>
      </c>
      <c r="AP286" s="561">
        <v>0</v>
      </c>
      <c r="AQ286" s="561">
        <v>0</v>
      </c>
      <c r="AR286" s="561">
        <v>0</v>
      </c>
      <c r="AS286" s="561">
        <v>333</v>
      </c>
      <c r="AT286" s="561">
        <v>327</v>
      </c>
      <c r="AU286" s="561">
        <v>0</v>
      </c>
      <c r="AV286" s="561">
        <v>0</v>
      </c>
      <c r="AW286" s="561">
        <v>0</v>
      </c>
      <c r="AX286" s="561">
        <v>543</v>
      </c>
      <c r="AY286" s="561">
        <v>53642</v>
      </c>
      <c r="AZ286" s="561">
        <v>0</v>
      </c>
      <c r="BA286" s="561">
        <v>6519</v>
      </c>
      <c r="BB286" s="561">
        <v>1160</v>
      </c>
      <c r="BC286" s="561">
        <v>21507</v>
      </c>
      <c r="BD286" s="561">
        <v>0</v>
      </c>
      <c r="BE286" s="561">
        <v>7162</v>
      </c>
      <c r="BF286" s="561">
        <v>90533</v>
      </c>
      <c r="BG286" s="561">
        <v>1662</v>
      </c>
      <c r="BH286" s="561">
        <v>12205</v>
      </c>
      <c r="BI286" s="561">
        <v>29681</v>
      </c>
      <c r="BJ286" s="561">
        <v>3</v>
      </c>
      <c r="BK286" s="561">
        <v>22</v>
      </c>
      <c r="BL286" s="561">
        <v>0</v>
      </c>
      <c r="BM286" s="561">
        <v>11469</v>
      </c>
      <c r="BN286" s="561">
        <v>41010</v>
      </c>
      <c r="BO286" s="561">
        <v>1137</v>
      </c>
      <c r="BP286" s="561">
        <v>7524</v>
      </c>
      <c r="BQ286" s="561">
        <v>941</v>
      </c>
      <c r="BR286" s="561">
        <v>0</v>
      </c>
      <c r="BS286" s="561">
        <v>0</v>
      </c>
      <c r="BT286" s="561">
        <v>0</v>
      </c>
      <c r="BU286" s="561">
        <v>1751</v>
      </c>
      <c r="BV286" s="561">
        <v>174</v>
      </c>
      <c r="BW286" s="561">
        <v>13330</v>
      </c>
      <c r="BX286" s="561">
        <v>778</v>
      </c>
      <c r="BY286" s="561">
        <v>15714</v>
      </c>
      <c r="BZ286" s="561">
        <v>135739</v>
      </c>
      <c r="CA286" s="561">
        <v>3131</v>
      </c>
      <c r="CB286" s="561">
        <v>1408</v>
      </c>
      <c r="CC286" s="561">
        <v>475</v>
      </c>
      <c r="CD286" s="561">
        <v>533</v>
      </c>
      <c r="CE286" s="561">
        <v>258</v>
      </c>
      <c r="CF286" s="561">
        <v>231</v>
      </c>
      <c r="CG286" s="561">
        <v>304</v>
      </c>
      <c r="CH286" s="561">
        <v>37</v>
      </c>
      <c r="CI286" s="561">
        <v>110</v>
      </c>
      <c r="CJ286" s="561">
        <v>110</v>
      </c>
      <c r="CK286" s="561">
        <v>2097</v>
      </c>
      <c r="CL286" s="561">
        <v>415</v>
      </c>
      <c r="CM286" s="561">
        <v>2050</v>
      </c>
      <c r="CN286" s="561">
        <v>2050</v>
      </c>
      <c r="CO286" s="561">
        <v>701</v>
      </c>
      <c r="CP286" s="561">
        <v>701</v>
      </c>
      <c r="CQ286" s="561">
        <v>129</v>
      </c>
      <c r="CR286" s="561">
        <v>837</v>
      </c>
      <c r="CS286" s="561">
        <v>0</v>
      </c>
      <c r="CT286" s="561">
        <v>2492</v>
      </c>
      <c r="CU286" s="561">
        <v>3039</v>
      </c>
      <c r="CV286" s="561">
        <v>1658</v>
      </c>
      <c r="CW286" s="561">
        <v>60</v>
      </c>
      <c r="CX286" s="561">
        <v>190</v>
      </c>
      <c r="CY286" s="561">
        <v>1617</v>
      </c>
      <c r="CZ286" s="561">
        <v>21502</v>
      </c>
      <c r="DA286" s="561">
        <v>0</v>
      </c>
      <c r="DB286" s="561">
        <v>0</v>
      </c>
      <c r="DC286" s="561">
        <v>0</v>
      </c>
      <c r="DD286" s="561">
        <v>0</v>
      </c>
      <c r="DE286" s="561">
        <v>0</v>
      </c>
      <c r="DF286" s="561">
        <v>0</v>
      </c>
      <c r="DG286" s="561">
        <v>0</v>
      </c>
      <c r="DH286" s="561">
        <v>0</v>
      </c>
      <c r="DI286" s="561">
        <v>0</v>
      </c>
      <c r="DJ286" s="561">
        <v>239</v>
      </c>
      <c r="DK286" s="561">
        <v>0</v>
      </c>
      <c r="DL286" s="561">
        <v>3618</v>
      </c>
      <c r="DM286" s="561">
        <v>0</v>
      </c>
      <c r="DN286" s="561">
        <v>0</v>
      </c>
      <c r="DO286" s="561">
        <v>0</v>
      </c>
      <c r="DP286" s="561">
        <v>0</v>
      </c>
      <c r="DQ286" s="561">
        <v>0</v>
      </c>
      <c r="DR286" s="561">
        <v>0</v>
      </c>
      <c r="DS286" s="561">
        <v>0</v>
      </c>
      <c r="DT286" s="561">
        <v>0</v>
      </c>
      <c r="DU286" s="561">
        <v>3618</v>
      </c>
      <c r="DV286" s="561">
        <v>351</v>
      </c>
      <c r="DW286" s="561">
        <v>0</v>
      </c>
      <c r="DX286" s="561">
        <v>236</v>
      </c>
      <c r="DY286" s="561">
        <v>-891</v>
      </c>
      <c r="DZ286" s="561">
        <v>0</v>
      </c>
      <c r="EA286" s="561">
        <v>1918</v>
      </c>
      <c r="EB286" s="561">
        <v>0</v>
      </c>
      <c r="EC286" s="561">
        <v>5471</v>
      </c>
      <c r="ED286" s="561">
        <v>0</v>
      </c>
      <c r="EE286" s="561">
        <v>95921</v>
      </c>
      <c r="EF286" s="561">
        <v>812</v>
      </c>
      <c r="EG286" s="561">
        <v>9081</v>
      </c>
      <c r="EH286" s="561">
        <v>0</v>
      </c>
      <c r="EI286" s="561">
        <v>0</v>
      </c>
      <c r="EJ286" s="561">
        <v>654</v>
      </c>
      <c r="EK286" s="561">
        <v>0</v>
      </c>
      <c r="EL286" s="561">
        <v>0</v>
      </c>
      <c r="EM286" s="561">
        <v>23</v>
      </c>
      <c r="EN286" s="561">
        <v>23083</v>
      </c>
      <c r="EO286" s="561">
        <v>31478</v>
      </c>
      <c r="EP286" s="561">
        <v>0</v>
      </c>
      <c r="EQ286" s="561">
        <v>362</v>
      </c>
      <c r="ER286" s="561">
        <v>0</v>
      </c>
      <c r="ES286" s="561" t="s">
        <v>4565</v>
      </c>
      <c r="ET286" s="561">
        <v>23883</v>
      </c>
      <c r="EU286" s="561">
        <v>5954</v>
      </c>
      <c r="EV286" s="561">
        <v>158</v>
      </c>
      <c r="EW286" s="561">
        <v>13475</v>
      </c>
      <c r="EX286" s="561">
        <v>1689</v>
      </c>
      <c r="EY286" s="561">
        <v>600</v>
      </c>
      <c r="EZ286" s="561">
        <v>5809</v>
      </c>
      <c r="FA286" s="561">
        <v>18495</v>
      </c>
      <c r="FB286" s="561">
        <v>635</v>
      </c>
      <c r="FC286" s="561">
        <v>0</v>
      </c>
      <c r="FD286" s="561">
        <v>22</v>
      </c>
      <c r="FE286" s="561">
        <v>765</v>
      </c>
      <c r="FF286" s="561">
        <v>676</v>
      </c>
      <c r="FG286" s="561">
        <v>147</v>
      </c>
      <c r="FH286" s="561">
        <v>0</v>
      </c>
      <c r="FI286" s="561">
        <v>637</v>
      </c>
      <c r="FJ286" s="561">
        <v>2495</v>
      </c>
      <c r="FK286" s="561">
        <v>7515</v>
      </c>
      <c r="FL286" s="561">
        <v>0</v>
      </c>
      <c r="FM286" s="561">
        <v>372</v>
      </c>
      <c r="FN286" s="561">
        <v>3565</v>
      </c>
      <c r="FO286" s="561">
        <v>16829</v>
      </c>
      <c r="FP286" s="561">
        <v>107</v>
      </c>
      <c r="FQ286" s="561">
        <v>-702</v>
      </c>
      <c r="FR286" s="561">
        <v>125</v>
      </c>
      <c r="FS286" s="561">
        <v>0</v>
      </c>
      <c r="FT286" s="561">
        <v>5</v>
      </c>
      <c r="FU286" s="561">
        <v>3487</v>
      </c>
      <c r="FV286" s="561">
        <v>0</v>
      </c>
      <c r="FW286" s="561">
        <v>103</v>
      </c>
      <c r="FX286" s="561">
        <v>0</v>
      </c>
      <c r="FY286" s="561">
        <v>0</v>
      </c>
      <c r="FZ286" s="561">
        <v>-71</v>
      </c>
      <c r="GA286" s="561">
        <v>49</v>
      </c>
      <c r="GB286" s="561">
        <v>-14</v>
      </c>
      <c r="GC286" s="561">
        <v>-6</v>
      </c>
      <c r="GD286" s="561">
        <v>841</v>
      </c>
      <c r="GE286" s="561">
        <v>0</v>
      </c>
      <c r="GF286" s="561">
        <v>9</v>
      </c>
      <c r="GG286" s="561">
        <v>0</v>
      </c>
      <c r="GH286" s="561">
        <v>5</v>
      </c>
      <c r="GI286" s="561">
        <v>0</v>
      </c>
      <c r="GJ286" s="561">
        <v>0</v>
      </c>
      <c r="GK286" s="561">
        <v>0</v>
      </c>
      <c r="GL286" s="561">
        <v>708</v>
      </c>
      <c r="GM286" s="561">
        <v>9267</v>
      </c>
      <c r="GN286" s="561">
        <v>10927</v>
      </c>
      <c r="GO286" s="561">
        <v>-527</v>
      </c>
      <c r="GP286" s="561">
        <v>1638</v>
      </c>
      <c r="GQ286" s="561">
        <v>0</v>
      </c>
      <c r="GR286" s="561">
        <v>252</v>
      </c>
      <c r="GS286" s="561">
        <v>26096</v>
      </c>
      <c r="GT286" s="561">
        <v>945</v>
      </c>
      <c r="GU286" s="561">
        <v>143</v>
      </c>
      <c r="GV286" s="561">
        <v>300</v>
      </c>
      <c r="GW286" s="561">
        <v>0</v>
      </c>
      <c r="GX286" s="561">
        <v>659</v>
      </c>
      <c r="GY286" s="561">
        <v>0</v>
      </c>
      <c r="GZ286" s="561">
        <v>2596</v>
      </c>
      <c r="HA286" s="561">
        <v>0</v>
      </c>
      <c r="HB286" s="561">
        <v>479</v>
      </c>
      <c r="HC286" s="561">
        <v>1163</v>
      </c>
      <c r="HD286" s="561">
        <v>5340</v>
      </c>
      <c r="HE286" s="561">
        <v>319</v>
      </c>
      <c r="HF286" s="561">
        <v>48265</v>
      </c>
      <c r="HG286" s="561">
        <v>1371</v>
      </c>
      <c r="HH286" s="561">
        <v>0</v>
      </c>
      <c r="HI286" s="561">
        <v>0</v>
      </c>
      <c r="HJ286" s="561">
        <v>0</v>
      </c>
      <c r="HK286" s="561">
        <v>0</v>
      </c>
      <c r="HL286" s="561">
        <v>0</v>
      </c>
      <c r="HM286" s="561">
        <v>0</v>
      </c>
      <c r="HN286" s="561">
        <v>0</v>
      </c>
      <c r="HO286" s="561">
        <v>4357</v>
      </c>
      <c r="HP286" s="561">
        <v>2104</v>
      </c>
      <c r="HQ286" s="561">
        <v>0</v>
      </c>
      <c r="HR286" s="561">
        <v>0</v>
      </c>
      <c r="HS286" s="561">
        <v>217</v>
      </c>
      <c r="HT286" s="561">
        <v>-125</v>
      </c>
      <c r="HU286" s="561">
        <v>0</v>
      </c>
      <c r="HV286" s="561">
        <v>200</v>
      </c>
      <c r="HW286" s="561">
        <v>508</v>
      </c>
      <c r="HX286" s="561">
        <v>1339</v>
      </c>
      <c r="HY286" s="561">
        <v>163</v>
      </c>
      <c r="HZ286" s="561">
        <v>27</v>
      </c>
      <c r="IA286" s="561">
        <v>6594</v>
      </c>
      <c r="IB286" s="561">
        <v>0</v>
      </c>
      <c r="IC286" s="561">
        <v>956</v>
      </c>
      <c r="ID286" s="561">
        <v>0</v>
      </c>
      <c r="IE286" s="561">
        <v>2615</v>
      </c>
      <c r="IF286" s="561">
        <v>0</v>
      </c>
      <c r="IG286" s="561">
        <v>0</v>
      </c>
      <c r="IH286" s="561">
        <v>5494</v>
      </c>
      <c r="II286" s="561">
        <v>24449</v>
      </c>
      <c r="IJ286" s="561">
        <v>1050</v>
      </c>
      <c r="IK286" s="561">
        <v>3190</v>
      </c>
      <c r="IL286" s="561">
        <v>29534</v>
      </c>
      <c r="IM286" s="561">
        <v>0</v>
      </c>
      <c r="IN286" s="561">
        <v>3030</v>
      </c>
      <c r="IO286" s="561">
        <v>319</v>
      </c>
      <c r="IP286" s="561">
        <v>0</v>
      </c>
      <c r="IQ286" s="561">
        <v>0</v>
      </c>
      <c r="IR286" s="561">
        <v>130017</v>
      </c>
      <c r="IS286" s="561">
        <v>7422</v>
      </c>
      <c r="IT286" s="561">
        <v>90533</v>
      </c>
      <c r="IU286" s="561">
        <v>135739</v>
      </c>
      <c r="IV286" s="561">
        <v>21502</v>
      </c>
      <c r="IW286" s="561">
        <v>5471</v>
      </c>
      <c r="IX286" s="561">
        <v>16829</v>
      </c>
      <c r="IY286" s="561">
        <v>26096</v>
      </c>
      <c r="IZ286" s="561">
        <v>5340</v>
      </c>
      <c r="JA286" s="561">
        <v>0</v>
      </c>
      <c r="JB286" s="561">
        <v>0</v>
      </c>
      <c r="JC286" s="561">
        <v>24449</v>
      </c>
      <c r="JD286" s="561">
        <v>0</v>
      </c>
      <c r="JE286" s="561">
        <v>463398</v>
      </c>
      <c r="JF286" s="561">
        <v>25806</v>
      </c>
      <c r="JG286" s="561">
        <v>2635</v>
      </c>
      <c r="JH286" s="561">
        <v>28556</v>
      </c>
      <c r="JI286" s="561">
        <v>0</v>
      </c>
      <c r="JJ286" s="561">
        <v>-2070</v>
      </c>
      <c r="JK286" s="561">
        <v>4274</v>
      </c>
      <c r="JL286" s="561">
        <v>10820</v>
      </c>
      <c r="JM286" s="561">
        <v>0</v>
      </c>
      <c r="JN286" s="561">
        <v>0</v>
      </c>
      <c r="JO286" s="561">
        <v>60</v>
      </c>
      <c r="JP286" s="561">
        <v>25</v>
      </c>
      <c r="JQ286" s="561">
        <v>3058</v>
      </c>
      <c r="JR286" s="561">
        <v>613</v>
      </c>
      <c r="JS286" s="561">
        <v>-1764</v>
      </c>
      <c r="JT286" s="561">
        <v>-223</v>
      </c>
      <c r="JU286" s="561">
        <v>0</v>
      </c>
      <c r="JV286" s="561">
        <v>535188</v>
      </c>
      <c r="JW286" s="561">
        <v>125</v>
      </c>
      <c r="JX286" s="561">
        <v>23</v>
      </c>
      <c r="JY286" s="561">
        <v>0</v>
      </c>
      <c r="JZ286" s="561">
        <v>0</v>
      </c>
      <c r="KA286" s="561">
        <v>0</v>
      </c>
      <c r="KB286" s="561">
        <v>-550</v>
      </c>
      <c r="KC286" s="561">
        <v>13957</v>
      </c>
      <c r="KD286" s="561">
        <v>0</v>
      </c>
      <c r="KE286" s="561">
        <v>22571</v>
      </c>
      <c r="KF286" s="561">
        <v>-13475</v>
      </c>
      <c r="KG286" s="561">
        <v>557839</v>
      </c>
      <c r="KH286" s="561">
        <v>-2942</v>
      </c>
      <c r="KI286" s="561">
        <v>-2693</v>
      </c>
      <c r="KJ286" s="561">
        <v>34</v>
      </c>
      <c r="KK286" s="561">
        <v>0</v>
      </c>
      <c r="KL286" s="561">
        <v>-58413</v>
      </c>
      <c r="KM286" s="561">
        <v>0</v>
      </c>
      <c r="KN286" s="561">
        <v>0</v>
      </c>
      <c r="KO286" s="561">
        <v>0</v>
      </c>
      <c r="KP286" s="561">
        <v>0</v>
      </c>
      <c r="KQ286" s="561">
        <v>0</v>
      </c>
      <c r="KR286" s="561">
        <v>493825</v>
      </c>
      <c r="KS286" s="561">
        <v>0</v>
      </c>
      <c r="KT286" s="561">
        <v>-234786</v>
      </c>
      <c r="KU286" s="561">
        <v>259039</v>
      </c>
      <c r="KV286" s="561">
        <v>0</v>
      </c>
      <c r="KW286" s="561">
        <v>443</v>
      </c>
      <c r="KX286" s="561">
        <v>-1498</v>
      </c>
      <c r="KY286" s="561">
        <v>-3</v>
      </c>
      <c r="KZ286" s="561">
        <v>-4228</v>
      </c>
      <c r="LA286" s="561">
        <v>0</v>
      </c>
      <c r="LB286" s="561">
        <v>-18824</v>
      </c>
      <c r="LC286" s="561">
        <v>0</v>
      </c>
      <c r="LD286" s="561">
        <v>-95313</v>
      </c>
      <c r="LE286" s="561">
        <v>-3000</v>
      </c>
      <c r="LF286" s="561">
        <v>0</v>
      </c>
      <c r="LG286" s="561">
        <v>136617</v>
      </c>
      <c r="LH286" s="561">
        <v>2021</v>
      </c>
      <c r="LI286" s="561">
        <v>-21257</v>
      </c>
      <c r="LJ286" s="561">
        <v>20280</v>
      </c>
      <c r="LK286" s="561">
        <v>3</v>
      </c>
      <c r="LL286" s="561">
        <v>34467</v>
      </c>
      <c r="LM286" s="561">
        <v>25000</v>
      </c>
      <c r="LN286" s="561">
        <v>2464</v>
      </c>
      <c r="LO286" s="561">
        <v>-21257</v>
      </c>
      <c r="LP286" s="561">
        <v>18782</v>
      </c>
      <c r="LQ286" s="561">
        <v>0</v>
      </c>
      <c r="LR286" s="561">
        <v>30239</v>
      </c>
      <c r="LS286" s="561">
        <v>25000</v>
      </c>
      <c r="LT286" s="561">
        <v>0</v>
      </c>
      <c r="LU286" s="561">
        <v>22675</v>
      </c>
      <c r="LV286" s="561">
        <v>3173</v>
      </c>
      <c r="LW286" s="561">
        <v>78924</v>
      </c>
      <c r="LX286" s="561">
        <v>-59732</v>
      </c>
      <c r="LY286" s="561">
        <v>15519</v>
      </c>
      <c r="LZ286" s="561">
        <v>66040</v>
      </c>
      <c r="MA286" s="561">
        <v>0</v>
      </c>
      <c r="MB286" s="561">
        <v>0</v>
      </c>
      <c r="MC286" s="561">
        <v>106491</v>
      </c>
      <c r="MD286" s="561">
        <v>100682</v>
      </c>
      <c r="ME286" s="561">
        <v>5809</v>
      </c>
      <c r="MF286" s="561">
        <v>18495</v>
      </c>
      <c r="MG286" s="561">
        <v>24304</v>
      </c>
      <c r="MH286" s="561">
        <v>9309</v>
      </c>
      <c r="MI286" s="561">
        <v>15653</v>
      </c>
      <c r="MJ286" s="561">
        <v>24962</v>
      </c>
      <c r="MK286" s="561">
        <v>0</v>
      </c>
      <c r="ML286" s="561">
        <v>291</v>
      </c>
      <c r="MM286" s="561">
        <v>12363</v>
      </c>
      <c r="MN286" s="561">
        <v>4000</v>
      </c>
      <c r="MO286" s="561">
        <v>13585</v>
      </c>
      <c r="MP286" s="561">
        <v>0</v>
      </c>
      <c r="MQ286" s="561">
        <v>130017</v>
      </c>
      <c r="MR286" s="561">
        <v>7422</v>
      </c>
      <c r="MS286" s="561">
        <v>90533</v>
      </c>
      <c r="MT286" s="561">
        <v>135739</v>
      </c>
      <c r="MU286" s="561">
        <v>21502</v>
      </c>
      <c r="MV286" s="561">
        <v>5471</v>
      </c>
      <c r="MW286" s="561">
        <v>16829</v>
      </c>
      <c r="MX286" s="561">
        <v>26096</v>
      </c>
      <c r="MY286" s="561">
        <v>5340</v>
      </c>
      <c r="MZ286" s="561">
        <v>0</v>
      </c>
      <c r="NA286" s="561">
        <v>0</v>
      </c>
      <c r="NB286" s="561">
        <v>24449</v>
      </c>
      <c r="NC286" s="561">
        <v>0</v>
      </c>
      <c r="ND286" s="561">
        <v>463398</v>
      </c>
      <c r="NE286" s="561">
        <v>0</v>
      </c>
      <c r="NF286" s="561">
        <v>0</v>
      </c>
      <c r="NG286" s="561">
        <v>0</v>
      </c>
      <c r="NH286" s="561">
        <v>0</v>
      </c>
      <c r="NI286" s="561">
        <v>0</v>
      </c>
      <c r="NJ286" s="561">
        <v>0</v>
      </c>
      <c r="NK286" s="561">
        <v>0</v>
      </c>
      <c r="NL286" s="561">
        <v>0</v>
      </c>
      <c r="NM286" s="561">
        <v>0</v>
      </c>
      <c r="NN286" s="561">
        <v>0</v>
      </c>
      <c r="NO286" s="561">
        <v>0</v>
      </c>
      <c r="NP286" s="561">
        <v>0</v>
      </c>
      <c r="NQ286" s="561">
        <v>0</v>
      </c>
      <c r="NR286" s="561">
        <v>0</v>
      </c>
      <c r="NS286" s="561">
        <v>0</v>
      </c>
      <c r="NT286" s="561">
        <v>0</v>
      </c>
      <c r="NU286" s="561">
        <v>16</v>
      </c>
      <c r="NV286" s="561">
        <v>637</v>
      </c>
      <c r="NW286" s="561">
        <v>638</v>
      </c>
      <c r="NX286" s="561">
        <v>-613</v>
      </c>
      <c r="NY286" s="561">
        <v>25</v>
      </c>
      <c r="NZ286" s="561">
        <v>9</v>
      </c>
      <c r="OA286" s="561">
        <v>0</v>
      </c>
      <c r="OB286" s="561">
        <v>0</v>
      </c>
      <c r="OC286" s="561">
        <v>0</v>
      </c>
      <c r="OD286" s="561">
        <v>0</v>
      </c>
      <c r="OE286" s="561">
        <v>0</v>
      </c>
      <c r="OF286" s="561">
        <v>0</v>
      </c>
      <c r="OG286" s="561">
        <v>0</v>
      </c>
      <c r="OH286" s="561">
        <v>0</v>
      </c>
      <c r="OI286" s="561">
        <v>-650</v>
      </c>
      <c r="OJ286" s="561">
        <v>1180</v>
      </c>
      <c r="OK286" s="561">
        <v>0</v>
      </c>
      <c r="OL286" s="561">
        <v>0</v>
      </c>
      <c r="OM286" s="561">
        <v>-210</v>
      </c>
      <c r="ON286" s="561">
        <v>0</v>
      </c>
      <c r="OO286" s="561">
        <v>0</v>
      </c>
      <c r="OP286" s="561">
        <v>956</v>
      </c>
      <c r="OQ286" s="561">
        <v>0</v>
      </c>
      <c r="OR286" s="561">
        <v>0</v>
      </c>
      <c r="OS286" s="561">
        <v>0</v>
      </c>
      <c r="OT286" s="561">
        <v>0</v>
      </c>
      <c r="OU286" s="561">
        <v>0</v>
      </c>
      <c r="OV286" s="561">
        <v>0</v>
      </c>
      <c r="OW286" s="561">
        <v>1764</v>
      </c>
      <c r="OX286" s="561">
        <v>3058</v>
      </c>
      <c r="OY286" s="561">
        <v>26</v>
      </c>
      <c r="OZ286" s="561">
        <v>0</v>
      </c>
      <c r="PA286" s="561">
        <v>-639</v>
      </c>
      <c r="PB286" s="561">
        <v>0</v>
      </c>
      <c r="PC286" s="561">
        <v>0</v>
      </c>
      <c r="PD286" s="561">
        <v>-613</v>
      </c>
      <c r="PE286" s="561">
        <v>1731</v>
      </c>
      <c r="PF286" s="561">
        <v>33</v>
      </c>
      <c r="PG286" s="561">
        <v>0</v>
      </c>
      <c r="PH286" s="561">
        <v>0</v>
      </c>
      <c r="PI286" s="561">
        <v>0</v>
      </c>
      <c r="PJ286" s="561">
        <v>1764</v>
      </c>
    </row>
    <row r="287" spans="1:426" ht="14" x14ac:dyDescent="0.3">
      <c r="A287" t="s">
        <v>3304</v>
      </c>
      <c r="B287" t="s">
        <v>3305</v>
      </c>
      <c r="C287" t="s">
        <v>3306</v>
      </c>
      <c r="E287" t="s">
        <v>384</v>
      </c>
      <c r="F287" s="561">
        <v>0</v>
      </c>
      <c r="G287" s="561">
        <v>0</v>
      </c>
      <c r="H287" s="561">
        <v>0</v>
      </c>
      <c r="I287" s="561">
        <v>0</v>
      </c>
      <c r="J287" s="561">
        <v>0</v>
      </c>
      <c r="K287" s="561">
        <v>0</v>
      </c>
      <c r="L287" s="561">
        <v>0</v>
      </c>
      <c r="M287" s="561">
        <v>0</v>
      </c>
      <c r="N287" s="561">
        <v>0</v>
      </c>
      <c r="O287" s="561">
        <v>0</v>
      </c>
      <c r="P287" s="561">
        <v>0</v>
      </c>
      <c r="Q287" s="561">
        <v>0</v>
      </c>
      <c r="R287" s="561">
        <v>0</v>
      </c>
      <c r="S287" s="561">
        <v>95.8</v>
      </c>
      <c r="T287" s="561">
        <v>0</v>
      </c>
      <c r="U287" s="561">
        <v>0</v>
      </c>
      <c r="V287" s="561">
        <v>35.24</v>
      </c>
      <c r="W287" s="561">
        <v>0</v>
      </c>
      <c r="X287" s="561">
        <v>0</v>
      </c>
      <c r="Y287" s="561">
        <v>0</v>
      </c>
      <c r="Z287" s="561">
        <v>-6.22</v>
      </c>
      <c r="AA287" s="561">
        <v>0</v>
      </c>
      <c r="AB287" s="561">
        <v>25.27</v>
      </c>
      <c r="AC287" s="561">
        <v>0</v>
      </c>
      <c r="AD287" s="561">
        <v>0</v>
      </c>
      <c r="AE287" s="561">
        <v>0</v>
      </c>
      <c r="AF287" s="561">
        <v>0</v>
      </c>
      <c r="AG287" s="561">
        <v>0</v>
      </c>
      <c r="AH287" s="561">
        <v>0</v>
      </c>
      <c r="AI287" s="561">
        <v>0</v>
      </c>
      <c r="AJ287" s="561">
        <v>150.09</v>
      </c>
      <c r="AK287" s="561">
        <v>0</v>
      </c>
      <c r="AL287" s="561">
        <v>0</v>
      </c>
      <c r="AM287" s="561">
        <v>0</v>
      </c>
      <c r="AN287" s="561">
        <v>0</v>
      </c>
      <c r="AO287" s="561">
        <v>0</v>
      </c>
      <c r="AP287" s="561">
        <v>0</v>
      </c>
      <c r="AQ287" s="561">
        <v>0</v>
      </c>
      <c r="AR287" s="561">
        <v>0</v>
      </c>
      <c r="AS287" s="561">
        <v>0</v>
      </c>
      <c r="AT287" s="561">
        <v>0</v>
      </c>
      <c r="AU287" s="561">
        <v>0</v>
      </c>
      <c r="AV287" s="561">
        <v>0</v>
      </c>
      <c r="AW287" s="561">
        <v>0</v>
      </c>
      <c r="AX287" s="561">
        <v>0</v>
      </c>
      <c r="AY287" s="561">
        <v>0</v>
      </c>
      <c r="AZ287" s="561">
        <v>0</v>
      </c>
      <c r="BA287" s="561">
        <v>0</v>
      </c>
      <c r="BB287" s="561">
        <v>0</v>
      </c>
      <c r="BC287" s="561">
        <v>0</v>
      </c>
      <c r="BD287" s="561">
        <v>0</v>
      </c>
      <c r="BE287" s="561">
        <v>0</v>
      </c>
      <c r="BF287" s="561">
        <v>0</v>
      </c>
      <c r="BG287" s="561">
        <v>0</v>
      </c>
      <c r="BH287" s="561">
        <v>0</v>
      </c>
      <c r="BI287" s="561">
        <v>0</v>
      </c>
      <c r="BJ287" s="561">
        <v>0</v>
      </c>
      <c r="BK287" s="561">
        <v>0</v>
      </c>
      <c r="BL287" s="561">
        <v>0</v>
      </c>
      <c r="BM287" s="561">
        <v>0</v>
      </c>
      <c r="BN287" s="561">
        <v>0</v>
      </c>
      <c r="BO287" s="561">
        <v>0</v>
      </c>
      <c r="BP287" s="561">
        <v>0</v>
      </c>
      <c r="BQ287" s="561">
        <v>0</v>
      </c>
      <c r="BR287" s="561">
        <v>0</v>
      </c>
      <c r="BS287" s="561">
        <v>0</v>
      </c>
      <c r="BT287" s="561">
        <v>0</v>
      </c>
      <c r="BU287" s="561">
        <v>0</v>
      </c>
      <c r="BV287" s="561">
        <v>0</v>
      </c>
      <c r="BW287" s="561">
        <v>0</v>
      </c>
      <c r="BX287" s="561">
        <v>0</v>
      </c>
      <c r="BY287" s="561">
        <v>0</v>
      </c>
      <c r="BZ287" s="561">
        <v>0</v>
      </c>
      <c r="CA287" s="561">
        <v>0</v>
      </c>
      <c r="CB287" s="561">
        <v>0</v>
      </c>
      <c r="CC287" s="561">
        <v>0</v>
      </c>
      <c r="CD287" s="561">
        <v>0</v>
      </c>
      <c r="CE287" s="561">
        <v>0</v>
      </c>
      <c r="CF287" s="561">
        <v>0</v>
      </c>
      <c r="CG287" s="561">
        <v>0</v>
      </c>
      <c r="CH287" s="561">
        <v>0</v>
      </c>
      <c r="CI287" s="561">
        <v>0</v>
      </c>
      <c r="CJ287" s="561">
        <v>0</v>
      </c>
      <c r="CK287" s="561">
        <v>0</v>
      </c>
      <c r="CL287" s="561">
        <v>5.7</v>
      </c>
      <c r="CM287" s="561">
        <v>0</v>
      </c>
      <c r="CN287" s="561">
        <v>0</v>
      </c>
      <c r="CO287" s="561">
        <v>0</v>
      </c>
      <c r="CP287" s="561">
        <v>0</v>
      </c>
      <c r="CQ287" s="561">
        <v>0</v>
      </c>
      <c r="CR287" s="561">
        <v>0</v>
      </c>
      <c r="CS287" s="561">
        <v>0</v>
      </c>
      <c r="CT287" s="561">
        <v>0</v>
      </c>
      <c r="CU287" s="561">
        <v>0</v>
      </c>
      <c r="CV287" s="561">
        <v>0</v>
      </c>
      <c r="CW287" s="561">
        <v>0</v>
      </c>
      <c r="CX287" s="561">
        <v>0</v>
      </c>
      <c r="CY287" s="561">
        <v>0</v>
      </c>
      <c r="CZ287" s="561">
        <v>5.7</v>
      </c>
      <c r="DA287" s="561">
        <v>0</v>
      </c>
      <c r="DB287" s="561">
        <v>0</v>
      </c>
      <c r="DC287" s="561">
        <v>0</v>
      </c>
      <c r="DD287" s="561">
        <v>0</v>
      </c>
      <c r="DE287" s="561">
        <v>0</v>
      </c>
      <c r="DF287" s="561">
        <v>0</v>
      </c>
      <c r="DG287" s="561">
        <v>0</v>
      </c>
      <c r="DH287" s="561">
        <v>521.91999999999996</v>
      </c>
      <c r="DI287" s="561">
        <v>0</v>
      </c>
      <c r="DJ287" s="561">
        <v>0</v>
      </c>
      <c r="DK287" s="561">
        <v>0</v>
      </c>
      <c r="DL287" s="561">
        <v>3.53</v>
      </c>
      <c r="DM287" s="561">
        <v>357.19</v>
      </c>
      <c r="DN287" s="561">
        <v>0</v>
      </c>
      <c r="DO287" s="561">
        <v>16.46</v>
      </c>
      <c r="DP287" s="561">
        <v>6.39</v>
      </c>
      <c r="DQ287" s="561">
        <v>0</v>
      </c>
      <c r="DR287" s="561">
        <v>249.94</v>
      </c>
      <c r="DS287" s="561">
        <v>614.17999999999995</v>
      </c>
      <c r="DT287" s="561">
        <v>601.21</v>
      </c>
      <c r="DU287" s="561">
        <v>1848.9</v>
      </c>
      <c r="DV287" s="561">
        <v>22.24</v>
      </c>
      <c r="DW287" s="561">
        <v>16.850000000000001</v>
      </c>
      <c r="DX287" s="561">
        <v>9.7200000000000006</v>
      </c>
      <c r="DY287" s="561">
        <v>352.31</v>
      </c>
      <c r="DZ287" s="561">
        <v>-6.97</v>
      </c>
      <c r="EA287" s="561">
        <v>389.18</v>
      </c>
      <c r="EB287" s="561">
        <v>0</v>
      </c>
      <c r="EC287" s="561">
        <v>3154.15</v>
      </c>
      <c r="ED287" s="561">
        <v>249.94</v>
      </c>
      <c r="EE287" s="561">
        <v>18113</v>
      </c>
      <c r="EF287" s="561">
        <v>118</v>
      </c>
      <c r="EG287" s="561">
        <v>1133</v>
      </c>
      <c r="EH287" s="561">
        <v>153</v>
      </c>
      <c r="EI287" s="561">
        <v>0</v>
      </c>
      <c r="EJ287" s="561">
        <v>1475</v>
      </c>
      <c r="EK287" s="561">
        <v>0</v>
      </c>
      <c r="EL287" s="561">
        <v>0</v>
      </c>
      <c r="EM287" s="561">
        <v>0</v>
      </c>
      <c r="EN287" s="561">
        <v>5930</v>
      </c>
      <c r="EO287" s="561">
        <v>6807</v>
      </c>
      <c r="EP287" s="561">
        <v>0</v>
      </c>
      <c r="EQ287" s="561">
        <v>248</v>
      </c>
      <c r="ER287" s="561">
        <v>1105</v>
      </c>
      <c r="ES287" s="561" t="s">
        <v>4565</v>
      </c>
      <c r="ET287" s="561">
        <v>2992</v>
      </c>
      <c r="EU287" s="561">
        <v>118</v>
      </c>
      <c r="EV287" s="561">
        <v>0</v>
      </c>
      <c r="EW287" s="561">
        <v>0</v>
      </c>
      <c r="EX287" s="561">
        <v>0</v>
      </c>
      <c r="EY287" s="561">
        <v>94</v>
      </c>
      <c r="EZ287" s="561">
        <v>3698</v>
      </c>
      <c r="FA287" s="561">
        <v>21595</v>
      </c>
      <c r="FB287" s="561">
        <v>0</v>
      </c>
      <c r="FC287" s="561">
        <v>0</v>
      </c>
      <c r="FD287" s="561">
        <v>0</v>
      </c>
      <c r="FE287" s="561">
        <v>817.67</v>
      </c>
      <c r="FF287" s="561">
        <v>268.97000000000003</v>
      </c>
      <c r="FG287" s="561">
        <v>0</v>
      </c>
      <c r="FH287" s="561">
        <v>0</v>
      </c>
      <c r="FI287" s="561">
        <v>407.94</v>
      </c>
      <c r="FJ287" s="561">
        <v>-299.05</v>
      </c>
      <c r="FK287" s="561">
        <v>2015.22</v>
      </c>
      <c r="FL287" s="561">
        <v>0</v>
      </c>
      <c r="FM287" s="561">
        <v>282.05</v>
      </c>
      <c r="FN287" s="561">
        <v>0</v>
      </c>
      <c r="FO287" s="561">
        <v>3492.8</v>
      </c>
      <c r="FP287" s="561">
        <v>104.96</v>
      </c>
      <c r="FQ287" s="561">
        <v>-93.47</v>
      </c>
      <c r="FR287" s="561">
        <v>0</v>
      </c>
      <c r="FS287" s="561">
        <v>0</v>
      </c>
      <c r="FT287" s="561">
        <v>139.28</v>
      </c>
      <c r="FU287" s="561">
        <v>16.02</v>
      </c>
      <c r="FV287" s="561">
        <v>-99.02</v>
      </c>
      <c r="FW287" s="561">
        <v>60.2</v>
      </c>
      <c r="FX287" s="561">
        <v>0</v>
      </c>
      <c r="FY287" s="561">
        <v>159.02000000000001</v>
      </c>
      <c r="FZ287" s="561">
        <v>69.83</v>
      </c>
      <c r="GA287" s="561">
        <v>403.86</v>
      </c>
      <c r="GB287" s="561">
        <v>122.12</v>
      </c>
      <c r="GC287" s="561">
        <v>155.76</v>
      </c>
      <c r="GD287" s="561">
        <v>434.05</v>
      </c>
      <c r="GE287" s="561">
        <v>0</v>
      </c>
      <c r="GF287" s="561">
        <v>323.13</v>
      </c>
      <c r="GG287" s="561">
        <v>0</v>
      </c>
      <c r="GH287" s="561">
        <v>4.62</v>
      </c>
      <c r="GI287" s="561">
        <v>0</v>
      </c>
      <c r="GJ287" s="561">
        <v>0</v>
      </c>
      <c r="GK287" s="561">
        <v>0</v>
      </c>
      <c r="GL287" s="561">
        <v>1213.3699999999999</v>
      </c>
      <c r="GM287" s="561">
        <v>490.72</v>
      </c>
      <c r="GN287" s="561">
        <v>-109.48</v>
      </c>
      <c r="GO287" s="561">
        <v>0</v>
      </c>
      <c r="GP287" s="561">
        <v>3183.04</v>
      </c>
      <c r="GQ287" s="561">
        <v>0</v>
      </c>
      <c r="GR287" s="561">
        <v>0</v>
      </c>
      <c r="GS287" s="561">
        <v>6473.05</v>
      </c>
      <c r="GT287" s="561">
        <v>550.67999999999995</v>
      </c>
      <c r="GU287" s="561">
        <v>117.96</v>
      </c>
      <c r="GV287" s="561">
        <v>601.91999999999996</v>
      </c>
      <c r="GW287" s="561">
        <v>0</v>
      </c>
      <c r="GX287" s="561">
        <v>670.23</v>
      </c>
      <c r="GY287" s="561">
        <v>0</v>
      </c>
      <c r="GZ287" s="561">
        <v>555.65</v>
      </c>
      <c r="HA287" s="561">
        <v>0</v>
      </c>
      <c r="HB287" s="561">
        <v>0</v>
      </c>
      <c r="HC287" s="561">
        <v>179.67</v>
      </c>
      <c r="HD287" s="561">
        <v>2125.4299999999998</v>
      </c>
      <c r="HE287" s="561">
        <v>351.3</v>
      </c>
      <c r="HF287" s="561">
        <v>12091.28</v>
      </c>
      <c r="HG287" s="561">
        <v>1006.93</v>
      </c>
      <c r="HH287" s="561">
        <v>0</v>
      </c>
      <c r="HI287" s="561">
        <v>0</v>
      </c>
      <c r="HJ287" s="561">
        <v>0</v>
      </c>
      <c r="HK287" s="561">
        <v>0</v>
      </c>
      <c r="HL287" s="561">
        <v>0</v>
      </c>
      <c r="HM287" s="561">
        <v>0</v>
      </c>
      <c r="HN287" s="561">
        <v>0</v>
      </c>
      <c r="HO287" s="561">
        <v>2371.33</v>
      </c>
      <c r="HP287" s="561">
        <v>788.07</v>
      </c>
      <c r="HQ287" s="561">
        <v>0</v>
      </c>
      <c r="HR287" s="561">
        <v>0</v>
      </c>
      <c r="HS287" s="561">
        <v>0</v>
      </c>
      <c r="HT287" s="561">
        <v>0</v>
      </c>
      <c r="HU287" s="561">
        <v>0</v>
      </c>
      <c r="HV287" s="561">
        <v>0</v>
      </c>
      <c r="HW287" s="561">
        <v>234.16</v>
      </c>
      <c r="HX287" s="561">
        <v>175.99</v>
      </c>
      <c r="HY287" s="561">
        <v>300.33999999999997</v>
      </c>
      <c r="HZ287" s="561">
        <v>38.81</v>
      </c>
      <c r="IA287" s="561">
        <v>0</v>
      </c>
      <c r="IB287" s="561">
        <v>0</v>
      </c>
      <c r="IC287" s="561">
        <v>0</v>
      </c>
      <c r="ID287" s="561">
        <v>0</v>
      </c>
      <c r="IE287" s="561">
        <v>447.94</v>
      </c>
      <c r="IF287" s="561">
        <v>0</v>
      </c>
      <c r="IG287" s="561">
        <v>0</v>
      </c>
      <c r="IH287" s="561">
        <v>297.74</v>
      </c>
      <c r="II287" s="561">
        <v>4654.38</v>
      </c>
      <c r="IJ287" s="561">
        <v>926.75</v>
      </c>
      <c r="IK287" s="561">
        <v>11133.31</v>
      </c>
      <c r="IL287" s="561">
        <v>162.55000000000001</v>
      </c>
      <c r="IM287" s="561">
        <v>56.2</v>
      </c>
      <c r="IN287" s="561">
        <v>169.51</v>
      </c>
      <c r="IO287" s="561">
        <v>0</v>
      </c>
      <c r="IP287" s="561">
        <v>496.75</v>
      </c>
      <c r="IQ287" s="561">
        <v>26.08</v>
      </c>
      <c r="IR287" s="561">
        <v>0</v>
      </c>
      <c r="IS287" s="561">
        <v>150.09</v>
      </c>
      <c r="IT287" s="561">
        <v>0</v>
      </c>
      <c r="IU287" s="561">
        <v>0</v>
      </c>
      <c r="IV287" s="561">
        <v>5.7</v>
      </c>
      <c r="IW287" s="561">
        <v>3154.15</v>
      </c>
      <c r="IX287" s="561">
        <v>3492.8</v>
      </c>
      <c r="IY287" s="561">
        <v>6473.05</v>
      </c>
      <c r="IZ287" s="561">
        <v>2125.4299999999998</v>
      </c>
      <c r="JA287" s="561">
        <v>0</v>
      </c>
      <c r="JB287" s="561">
        <v>0</v>
      </c>
      <c r="JC287" s="561">
        <v>4654.38</v>
      </c>
      <c r="JD287" s="561">
        <v>496.75</v>
      </c>
      <c r="JE287" s="561">
        <v>20552.349999999999</v>
      </c>
      <c r="JF287" s="561">
        <v>6795.77</v>
      </c>
      <c r="JG287" s="561">
        <v>0</v>
      </c>
      <c r="JH287" s="561">
        <v>5761.76</v>
      </c>
      <c r="JI287" s="561">
        <v>0</v>
      </c>
      <c r="JJ287" s="561">
        <v>0</v>
      </c>
      <c r="JK287" s="561">
        <v>1100</v>
      </c>
      <c r="JL287" s="561">
        <v>0</v>
      </c>
      <c r="JM287" s="561">
        <v>0</v>
      </c>
      <c r="JN287" s="561">
        <v>0</v>
      </c>
      <c r="JO287" s="561">
        <v>0</v>
      </c>
      <c r="JP287" s="561">
        <v>129.85</v>
      </c>
      <c r="JQ287" s="561">
        <v>82.51</v>
      </c>
      <c r="JR287" s="561">
        <v>0</v>
      </c>
      <c r="JS287" s="561">
        <v>0</v>
      </c>
      <c r="JT287" s="561">
        <v>0</v>
      </c>
      <c r="JU287" s="561">
        <v>0</v>
      </c>
      <c r="JV287" s="561">
        <v>34422.239999999998</v>
      </c>
      <c r="JW287" s="561">
        <v>0</v>
      </c>
      <c r="JX287" s="561">
        <v>0</v>
      </c>
      <c r="JY287" s="561">
        <v>0</v>
      </c>
      <c r="JZ287" s="561">
        <v>0</v>
      </c>
      <c r="KA287" s="561">
        <v>0</v>
      </c>
      <c r="KB287" s="561">
        <v>-103.32</v>
      </c>
      <c r="KC287" s="561">
        <v>1229.53</v>
      </c>
      <c r="KD287" s="561">
        <v>0</v>
      </c>
      <c r="KE287" s="561">
        <v>1636.02</v>
      </c>
      <c r="KF287" s="561">
        <v>371</v>
      </c>
      <c r="KG287" s="561">
        <v>37555.47</v>
      </c>
      <c r="KH287" s="561">
        <v>-4505.6000000000004</v>
      </c>
      <c r="KI287" s="561">
        <v>0</v>
      </c>
      <c r="KJ287" s="561">
        <v>0</v>
      </c>
      <c r="KK287" s="561">
        <v>0</v>
      </c>
      <c r="KL287" s="561">
        <v>-12990.76</v>
      </c>
      <c r="KM287" s="561">
        <v>0</v>
      </c>
      <c r="KN287" s="561">
        <v>-33.11</v>
      </c>
      <c r="KO287" s="561">
        <v>0</v>
      </c>
      <c r="KP287" s="561">
        <v>0</v>
      </c>
      <c r="KQ287" s="561">
        <v>0</v>
      </c>
      <c r="KR287" s="561">
        <v>20026</v>
      </c>
      <c r="KS287" s="561">
        <v>0</v>
      </c>
      <c r="KT287" s="561">
        <v>-2889</v>
      </c>
      <c r="KU287" s="561">
        <v>17137</v>
      </c>
      <c r="KV287" s="561">
        <v>0</v>
      </c>
      <c r="KW287" s="561">
        <v>0</v>
      </c>
      <c r="KX287" s="561">
        <v>0</v>
      </c>
      <c r="KY287" s="561">
        <v>0</v>
      </c>
      <c r="KZ287" s="561">
        <v>2082.06</v>
      </c>
      <c r="LA287" s="561">
        <v>-371.32</v>
      </c>
      <c r="LB287" s="561">
        <v>-113</v>
      </c>
      <c r="LC287" s="561">
        <v>0</v>
      </c>
      <c r="LD287" s="561">
        <v>0</v>
      </c>
      <c r="LE287" s="561">
        <v>2272.3000000000002</v>
      </c>
      <c r="LF287" s="561">
        <v>-11010</v>
      </c>
      <c r="LG287" s="561">
        <v>9997</v>
      </c>
      <c r="LH287" s="561">
        <v>0</v>
      </c>
      <c r="LI287" s="561">
        <v>0</v>
      </c>
      <c r="LJ287" s="561">
        <v>0</v>
      </c>
      <c r="LK287" s="561">
        <v>0</v>
      </c>
      <c r="LL287" s="561">
        <v>31123.7</v>
      </c>
      <c r="LM287" s="561">
        <v>2899</v>
      </c>
      <c r="LN287" s="561">
        <v>0</v>
      </c>
      <c r="LO287" s="561">
        <v>0</v>
      </c>
      <c r="LP287" s="561">
        <v>0</v>
      </c>
      <c r="LQ287" s="561">
        <v>0</v>
      </c>
      <c r="LR287" s="561">
        <v>33205.760000000002</v>
      </c>
      <c r="LS287" s="561">
        <v>2527.6799999999998</v>
      </c>
      <c r="LT287" s="561">
        <v>0</v>
      </c>
      <c r="LU287" s="561">
        <v>2751.23</v>
      </c>
      <c r="LV287" s="561">
        <v>0</v>
      </c>
      <c r="LW287" s="561">
        <v>0</v>
      </c>
      <c r="LX287" s="561">
        <v>0</v>
      </c>
      <c r="LY287" s="561">
        <v>0</v>
      </c>
      <c r="LZ287" s="561">
        <v>2751.23</v>
      </c>
      <c r="MA287" s="561">
        <v>0</v>
      </c>
      <c r="MB287" s="561">
        <v>0</v>
      </c>
      <c r="MC287" s="561">
        <v>20992</v>
      </c>
      <c r="MD287" s="561">
        <v>17294</v>
      </c>
      <c r="ME287" s="561">
        <v>3698</v>
      </c>
      <c r="MF287" s="561">
        <v>21595</v>
      </c>
      <c r="MG287" s="561">
        <v>25293</v>
      </c>
      <c r="MH287" s="561">
        <v>2362</v>
      </c>
      <c r="MI287" s="561">
        <v>2882</v>
      </c>
      <c r="MJ287" s="561">
        <v>5244</v>
      </c>
      <c r="MK287" s="561">
        <v>0</v>
      </c>
      <c r="ML287" s="561">
        <v>0</v>
      </c>
      <c r="MM287" s="561">
        <v>30795.55</v>
      </c>
      <c r="MN287" s="561">
        <v>0</v>
      </c>
      <c r="MO287" s="561">
        <v>2410.21</v>
      </c>
      <c r="MP287" s="561">
        <v>0</v>
      </c>
      <c r="MQ287" s="561">
        <v>0</v>
      </c>
      <c r="MR287" s="561">
        <v>150.09</v>
      </c>
      <c r="MS287" s="561">
        <v>0</v>
      </c>
      <c r="MT287" s="561">
        <v>0</v>
      </c>
      <c r="MU287" s="561">
        <v>5.7</v>
      </c>
      <c r="MV287" s="561">
        <v>3154.15</v>
      </c>
      <c r="MW287" s="561">
        <v>3492.8</v>
      </c>
      <c r="MX287" s="561">
        <v>6473.05</v>
      </c>
      <c r="MY287" s="561">
        <v>2125.4299999999998</v>
      </c>
      <c r="MZ287" s="561">
        <v>0</v>
      </c>
      <c r="NA287" s="561">
        <v>0</v>
      </c>
      <c r="NB287" s="561">
        <v>4654.38</v>
      </c>
      <c r="NC287" s="561">
        <v>496.75</v>
      </c>
      <c r="ND287" s="561">
        <v>20552.349999999999</v>
      </c>
      <c r="NE287" s="561">
        <v>0</v>
      </c>
      <c r="NF287" s="561">
        <v>0</v>
      </c>
      <c r="NG287" s="561">
        <v>0</v>
      </c>
      <c r="NH287" s="561">
        <v>0</v>
      </c>
      <c r="NI287" s="561">
        <v>0</v>
      </c>
      <c r="NJ287" s="561">
        <v>0</v>
      </c>
      <c r="NK287" s="561">
        <v>0</v>
      </c>
      <c r="NL287" s="561">
        <v>183.85</v>
      </c>
      <c r="NM287" s="561">
        <v>0</v>
      </c>
      <c r="NN287" s="561">
        <v>0</v>
      </c>
      <c r="NO287" s="561">
        <v>0</v>
      </c>
      <c r="NP287" s="561">
        <v>0</v>
      </c>
      <c r="NQ287" s="561">
        <v>-54</v>
      </c>
      <c r="NR287" s="561">
        <v>0</v>
      </c>
      <c r="NS287" s="561">
        <v>0</v>
      </c>
      <c r="NT287" s="561">
        <v>0</v>
      </c>
      <c r="NU287" s="561">
        <v>-1350</v>
      </c>
      <c r="NV287" s="561">
        <v>0</v>
      </c>
      <c r="NW287" s="561">
        <v>129.85</v>
      </c>
      <c r="NX287" s="561">
        <v>0</v>
      </c>
      <c r="NY287" s="561">
        <v>129.85</v>
      </c>
      <c r="NZ287" s="561">
        <v>0</v>
      </c>
      <c r="OA287" s="561">
        <v>0</v>
      </c>
      <c r="OB287" s="561">
        <v>0</v>
      </c>
      <c r="OC287" s="561">
        <v>0</v>
      </c>
      <c r="OD287" s="561">
        <v>0</v>
      </c>
      <c r="OE287" s="561">
        <v>0</v>
      </c>
      <c r="OF287" s="561">
        <v>0</v>
      </c>
      <c r="OG287" s="561">
        <v>0</v>
      </c>
      <c r="OH287" s="561">
        <v>0</v>
      </c>
      <c r="OI287" s="561">
        <v>0</v>
      </c>
      <c r="OJ287" s="561">
        <v>0</v>
      </c>
      <c r="OK287" s="561">
        <v>0</v>
      </c>
      <c r="OL287" s="561">
        <v>0</v>
      </c>
      <c r="OM287" s="561">
        <v>119.28</v>
      </c>
      <c r="ON287" s="561">
        <v>0</v>
      </c>
      <c r="OO287" s="561">
        <v>-36.770000000000003</v>
      </c>
      <c r="OP287" s="561">
        <v>0</v>
      </c>
      <c r="OQ287" s="561">
        <v>0</v>
      </c>
      <c r="OR287" s="561">
        <v>0</v>
      </c>
      <c r="OS287" s="561">
        <v>0</v>
      </c>
      <c r="OT287" s="561">
        <v>0</v>
      </c>
      <c r="OU287" s="561">
        <v>0</v>
      </c>
      <c r="OV287" s="561">
        <v>3252</v>
      </c>
      <c r="OW287" s="561">
        <v>0</v>
      </c>
      <c r="OX287" s="561">
        <v>82.51</v>
      </c>
      <c r="OY287" s="561">
        <v>0</v>
      </c>
      <c r="OZ287" s="561">
        <v>0</v>
      </c>
      <c r="PA287" s="561">
        <v>0</v>
      </c>
      <c r="PB287" s="561">
        <v>0</v>
      </c>
      <c r="PC287" s="561">
        <v>0</v>
      </c>
      <c r="PD287" s="561">
        <v>0</v>
      </c>
      <c r="PE287" s="561">
        <v>0</v>
      </c>
      <c r="PF287" s="561">
        <v>0</v>
      </c>
      <c r="PG287" s="561">
        <v>0</v>
      </c>
      <c r="PH287" s="561">
        <v>0</v>
      </c>
      <c r="PI287" s="561">
        <v>0</v>
      </c>
      <c r="PJ287" s="561">
        <v>0</v>
      </c>
    </row>
    <row r="288" spans="1:426" ht="14" x14ac:dyDescent="0.3">
      <c r="A288" t="s">
        <v>3307</v>
      </c>
      <c r="B288" t="s">
        <v>3308</v>
      </c>
      <c r="C288" t="s">
        <v>3309</v>
      </c>
      <c r="E288" t="s">
        <v>384</v>
      </c>
      <c r="F288" s="561">
        <v>0</v>
      </c>
      <c r="G288" s="561">
        <v>0</v>
      </c>
      <c r="H288" s="561">
        <v>0</v>
      </c>
      <c r="I288" s="561">
        <v>0</v>
      </c>
      <c r="J288" s="561">
        <v>0</v>
      </c>
      <c r="K288" s="561">
        <v>0</v>
      </c>
      <c r="L288" s="561">
        <v>0</v>
      </c>
      <c r="M288" s="561">
        <v>0</v>
      </c>
      <c r="N288" s="561">
        <v>0</v>
      </c>
      <c r="O288" s="561">
        <v>0</v>
      </c>
      <c r="P288" s="561">
        <v>0</v>
      </c>
      <c r="Q288" s="561">
        <v>0</v>
      </c>
      <c r="R288" s="561">
        <v>0</v>
      </c>
      <c r="S288" s="561">
        <v>0</v>
      </c>
      <c r="T288" s="561">
        <v>-20</v>
      </c>
      <c r="U288" s="561">
        <v>0</v>
      </c>
      <c r="V288" s="561">
        <v>33</v>
      </c>
      <c r="W288" s="561">
        <v>0</v>
      </c>
      <c r="X288" s="561">
        <v>0</v>
      </c>
      <c r="Y288" s="561">
        <v>0</v>
      </c>
      <c r="Z288" s="561">
        <v>0</v>
      </c>
      <c r="AA288" s="561">
        <v>-11</v>
      </c>
      <c r="AB288" s="561">
        <v>-257</v>
      </c>
      <c r="AC288" s="561">
        <v>0</v>
      </c>
      <c r="AD288" s="561">
        <v>322</v>
      </c>
      <c r="AE288" s="561">
        <v>0</v>
      </c>
      <c r="AF288" s="561">
        <v>0</v>
      </c>
      <c r="AG288" s="561">
        <v>0</v>
      </c>
      <c r="AH288" s="561">
        <v>7</v>
      </c>
      <c r="AI288" s="561">
        <v>0</v>
      </c>
      <c r="AJ288" s="561">
        <v>74</v>
      </c>
      <c r="AK288" s="561">
        <v>11</v>
      </c>
      <c r="AL288" s="561">
        <v>0</v>
      </c>
      <c r="AM288" s="561">
        <v>0</v>
      </c>
      <c r="AN288" s="561">
        <v>0</v>
      </c>
      <c r="AO288" s="561">
        <v>0</v>
      </c>
      <c r="AP288" s="561">
        <v>0</v>
      </c>
      <c r="AQ288" s="561">
        <v>0</v>
      </c>
      <c r="AR288" s="561">
        <v>0</v>
      </c>
      <c r="AS288" s="561">
        <v>16</v>
      </c>
      <c r="AT288" s="561">
        <v>0</v>
      </c>
      <c r="AU288" s="561">
        <v>0</v>
      </c>
      <c r="AV288" s="561">
        <v>0</v>
      </c>
      <c r="AW288" s="561">
        <v>0</v>
      </c>
      <c r="AX288" s="561">
        <v>0</v>
      </c>
      <c r="AY288" s="561">
        <v>0</v>
      </c>
      <c r="AZ288" s="561">
        <v>0</v>
      </c>
      <c r="BA288" s="561">
        <v>0</v>
      </c>
      <c r="BB288" s="561">
        <v>0</v>
      </c>
      <c r="BC288" s="561">
        <v>0</v>
      </c>
      <c r="BD288" s="561">
        <v>0</v>
      </c>
      <c r="BE288" s="561">
        <v>0</v>
      </c>
      <c r="BF288" s="561">
        <v>0</v>
      </c>
      <c r="BG288" s="561">
        <v>0</v>
      </c>
      <c r="BH288" s="561">
        <v>0</v>
      </c>
      <c r="BI288" s="561">
        <v>0</v>
      </c>
      <c r="BJ288" s="561">
        <v>0</v>
      </c>
      <c r="BK288" s="561">
        <v>616</v>
      </c>
      <c r="BL288" s="561">
        <v>0</v>
      </c>
      <c r="BM288" s="561">
        <v>0</v>
      </c>
      <c r="BN288" s="561">
        <v>0</v>
      </c>
      <c r="BO288" s="561">
        <v>0</v>
      </c>
      <c r="BP288" s="561">
        <v>0</v>
      </c>
      <c r="BQ288" s="561">
        <v>0</v>
      </c>
      <c r="BR288" s="561">
        <v>0</v>
      </c>
      <c r="BS288" s="561">
        <v>0</v>
      </c>
      <c r="BT288" s="561">
        <v>0</v>
      </c>
      <c r="BU288" s="561">
        <v>0</v>
      </c>
      <c r="BV288" s="561">
        <v>0</v>
      </c>
      <c r="BW288" s="561">
        <v>0</v>
      </c>
      <c r="BX288" s="561">
        <v>0</v>
      </c>
      <c r="BY288" s="561">
        <v>0</v>
      </c>
      <c r="BZ288" s="561">
        <v>616</v>
      </c>
      <c r="CA288" s="561">
        <v>0</v>
      </c>
      <c r="CB288" s="561">
        <v>0</v>
      </c>
      <c r="CC288" s="561">
        <v>0</v>
      </c>
      <c r="CD288" s="561">
        <v>0</v>
      </c>
      <c r="CE288" s="561">
        <v>0</v>
      </c>
      <c r="CF288" s="561">
        <v>0</v>
      </c>
      <c r="CG288" s="561">
        <v>0</v>
      </c>
      <c r="CH288" s="561">
        <v>0</v>
      </c>
      <c r="CI288" s="561">
        <v>0</v>
      </c>
      <c r="CJ288" s="561">
        <v>0</v>
      </c>
      <c r="CK288" s="561">
        <v>0</v>
      </c>
      <c r="CL288" s="561">
        <v>0</v>
      </c>
      <c r="CM288" s="561">
        <v>0</v>
      </c>
      <c r="CN288" s="561">
        <v>0</v>
      </c>
      <c r="CO288" s="561">
        <v>0</v>
      </c>
      <c r="CP288" s="561">
        <v>0</v>
      </c>
      <c r="CQ288" s="561">
        <v>0</v>
      </c>
      <c r="CR288" s="561">
        <v>0</v>
      </c>
      <c r="CS288" s="561">
        <v>0</v>
      </c>
      <c r="CT288" s="561">
        <v>0</v>
      </c>
      <c r="CU288" s="561">
        <v>0</v>
      </c>
      <c r="CV288" s="561">
        <v>0</v>
      </c>
      <c r="CW288" s="561">
        <v>0</v>
      </c>
      <c r="CX288" s="561">
        <v>0</v>
      </c>
      <c r="CY288" s="561">
        <v>0</v>
      </c>
      <c r="CZ288" s="561">
        <v>0</v>
      </c>
      <c r="DA288" s="561">
        <v>0</v>
      </c>
      <c r="DB288" s="561">
        <v>0</v>
      </c>
      <c r="DC288" s="561">
        <v>0</v>
      </c>
      <c r="DD288" s="561">
        <v>0</v>
      </c>
      <c r="DE288" s="561">
        <v>0</v>
      </c>
      <c r="DF288" s="561">
        <v>0</v>
      </c>
      <c r="DG288" s="561">
        <v>0</v>
      </c>
      <c r="DH288" s="561">
        <v>705</v>
      </c>
      <c r="DI288" s="561">
        <v>0</v>
      </c>
      <c r="DJ288" s="561">
        <v>-20</v>
      </c>
      <c r="DK288" s="561">
        <v>0</v>
      </c>
      <c r="DL288" s="561">
        <v>0</v>
      </c>
      <c r="DM288" s="561">
        <v>0</v>
      </c>
      <c r="DN288" s="561">
        <v>0</v>
      </c>
      <c r="DO288" s="561">
        <v>270</v>
      </c>
      <c r="DP288" s="561">
        <v>0</v>
      </c>
      <c r="DQ288" s="561">
        <v>0</v>
      </c>
      <c r="DR288" s="561">
        <v>0</v>
      </c>
      <c r="DS288" s="561">
        <v>0</v>
      </c>
      <c r="DT288" s="561">
        <v>603</v>
      </c>
      <c r="DU288" s="561">
        <v>873</v>
      </c>
      <c r="DV288" s="561">
        <v>-573</v>
      </c>
      <c r="DW288" s="561">
        <v>0</v>
      </c>
      <c r="DX288" s="561">
        <v>0</v>
      </c>
      <c r="DY288" s="561">
        <v>571</v>
      </c>
      <c r="DZ288" s="561">
        <v>0</v>
      </c>
      <c r="EA288" s="561">
        <v>0</v>
      </c>
      <c r="EB288" s="561">
        <v>0</v>
      </c>
      <c r="EC288" s="561">
        <v>1556</v>
      </c>
      <c r="ED288" s="561">
        <v>0</v>
      </c>
      <c r="EE288" s="561">
        <v>19853</v>
      </c>
      <c r="EF288" s="561">
        <v>159</v>
      </c>
      <c r="EG288" s="561">
        <v>425</v>
      </c>
      <c r="EH288" s="561">
        <v>337</v>
      </c>
      <c r="EI288" s="561">
        <v>17</v>
      </c>
      <c r="EJ288" s="561">
        <v>1952</v>
      </c>
      <c r="EK288" s="561">
        <v>0</v>
      </c>
      <c r="EL288" s="561">
        <v>0</v>
      </c>
      <c r="EM288" s="561">
        <v>0</v>
      </c>
      <c r="EN288" s="561">
        <v>2953</v>
      </c>
      <c r="EO288" s="561">
        <v>6401</v>
      </c>
      <c r="EP288" s="561">
        <v>1401</v>
      </c>
      <c r="EQ288" s="561">
        <v>413</v>
      </c>
      <c r="ER288" s="561">
        <v>3379</v>
      </c>
      <c r="ES288" s="561" t="s">
        <v>4565</v>
      </c>
      <c r="ET288" s="561">
        <v>2610</v>
      </c>
      <c r="EU288" s="561">
        <v>721</v>
      </c>
      <c r="EV288" s="561">
        <v>0</v>
      </c>
      <c r="EW288" s="561">
        <v>0</v>
      </c>
      <c r="EX288" s="561">
        <v>4529</v>
      </c>
      <c r="EY288" s="561">
        <v>225</v>
      </c>
      <c r="EZ288" s="561">
        <v>111</v>
      </c>
      <c r="FA288" s="561">
        <v>39456</v>
      </c>
      <c r="FB288" s="561">
        <v>0</v>
      </c>
      <c r="FC288" s="561">
        <v>31</v>
      </c>
      <c r="FD288" s="561">
        <v>3</v>
      </c>
      <c r="FE288" s="561">
        <v>209</v>
      </c>
      <c r="FF288" s="561">
        <v>0</v>
      </c>
      <c r="FG288" s="561">
        <v>300</v>
      </c>
      <c r="FH288" s="561">
        <v>0</v>
      </c>
      <c r="FI288" s="561">
        <v>-41</v>
      </c>
      <c r="FJ288" s="561">
        <v>-15</v>
      </c>
      <c r="FK288" s="561">
        <v>1824</v>
      </c>
      <c r="FL288" s="561">
        <v>6</v>
      </c>
      <c r="FM288" s="561">
        <v>0</v>
      </c>
      <c r="FN288" s="561">
        <v>0</v>
      </c>
      <c r="FO288" s="561">
        <v>2317</v>
      </c>
      <c r="FP288" s="561">
        <v>0</v>
      </c>
      <c r="FQ288" s="561">
        <v>-10</v>
      </c>
      <c r="FR288" s="561">
        <v>0</v>
      </c>
      <c r="FS288" s="561">
        <v>10</v>
      </c>
      <c r="FT288" s="561">
        <v>198</v>
      </c>
      <c r="FU288" s="561">
        <v>295</v>
      </c>
      <c r="FV288" s="561">
        <v>160</v>
      </c>
      <c r="FW288" s="561">
        <v>121</v>
      </c>
      <c r="FX288" s="561">
        <v>0</v>
      </c>
      <c r="FY288" s="561">
        <v>0</v>
      </c>
      <c r="FZ288" s="561">
        <v>22</v>
      </c>
      <c r="GA288" s="561">
        <v>14</v>
      </c>
      <c r="GB288" s="561">
        <v>11</v>
      </c>
      <c r="GC288" s="561">
        <v>153</v>
      </c>
      <c r="GD288" s="561">
        <v>563</v>
      </c>
      <c r="GE288" s="561">
        <v>0</v>
      </c>
      <c r="GF288" s="561">
        <v>44</v>
      </c>
      <c r="GG288" s="561">
        <v>0</v>
      </c>
      <c r="GH288" s="561">
        <v>186</v>
      </c>
      <c r="GI288" s="561">
        <v>0</v>
      </c>
      <c r="GJ288" s="561">
        <v>0</v>
      </c>
      <c r="GK288" s="561">
        <v>0</v>
      </c>
      <c r="GL288" s="561">
        <v>987</v>
      </c>
      <c r="GM288" s="561">
        <v>589</v>
      </c>
      <c r="GN288" s="561">
        <v>0</v>
      </c>
      <c r="GO288" s="561">
        <v>-171</v>
      </c>
      <c r="GP288" s="561">
        <v>1449</v>
      </c>
      <c r="GQ288" s="561">
        <v>-56</v>
      </c>
      <c r="GR288" s="561">
        <v>96</v>
      </c>
      <c r="GS288" s="561">
        <v>4661</v>
      </c>
      <c r="GT288" s="561">
        <v>584</v>
      </c>
      <c r="GU288" s="561">
        <v>152</v>
      </c>
      <c r="GV288" s="561">
        <v>1267</v>
      </c>
      <c r="GW288" s="561">
        <v>13</v>
      </c>
      <c r="GX288" s="561">
        <v>397</v>
      </c>
      <c r="GY288" s="561">
        <v>101</v>
      </c>
      <c r="GZ288" s="561">
        <v>131</v>
      </c>
      <c r="HA288" s="561">
        <v>0</v>
      </c>
      <c r="HB288" s="561">
        <v>0</v>
      </c>
      <c r="HC288" s="561">
        <v>21</v>
      </c>
      <c r="HD288" s="561">
        <v>2082</v>
      </c>
      <c r="HE288" s="561">
        <v>0</v>
      </c>
      <c r="HF288" s="561">
        <v>9060</v>
      </c>
      <c r="HG288" s="561">
        <v>584</v>
      </c>
      <c r="HH288" s="561">
        <v>0</v>
      </c>
      <c r="HI288" s="561">
        <v>0</v>
      </c>
      <c r="HJ288" s="561">
        <v>0</v>
      </c>
      <c r="HK288" s="561">
        <v>0</v>
      </c>
      <c r="HL288" s="561">
        <v>0</v>
      </c>
      <c r="HM288" s="561">
        <v>0</v>
      </c>
      <c r="HN288" s="561">
        <v>0</v>
      </c>
      <c r="HO288" s="561">
        <v>2181</v>
      </c>
      <c r="HP288" s="561">
        <v>635</v>
      </c>
      <c r="HQ288" s="561">
        <v>0</v>
      </c>
      <c r="HR288" s="561">
        <v>0</v>
      </c>
      <c r="HS288" s="561">
        <v>501</v>
      </c>
      <c r="HT288" s="561">
        <v>45</v>
      </c>
      <c r="HU288" s="561">
        <v>0</v>
      </c>
      <c r="HV288" s="561">
        <v>0</v>
      </c>
      <c r="HW288" s="561">
        <v>188</v>
      </c>
      <c r="HX288" s="561">
        <v>236</v>
      </c>
      <c r="HY288" s="561">
        <v>211</v>
      </c>
      <c r="HZ288" s="561">
        <v>-52</v>
      </c>
      <c r="IA288" s="561">
        <v>0</v>
      </c>
      <c r="IB288" s="561">
        <v>249</v>
      </c>
      <c r="IC288" s="561">
        <v>0</v>
      </c>
      <c r="ID288" s="561">
        <v>0</v>
      </c>
      <c r="IE288" s="561">
        <v>0</v>
      </c>
      <c r="IF288" s="561">
        <v>-53</v>
      </c>
      <c r="IG288" s="561">
        <v>0</v>
      </c>
      <c r="IH288" s="561">
        <v>1</v>
      </c>
      <c r="II288" s="561">
        <v>4142</v>
      </c>
      <c r="IJ288" s="561">
        <v>0</v>
      </c>
      <c r="IK288" s="561">
        <v>0</v>
      </c>
      <c r="IL288" s="561">
        <v>8890</v>
      </c>
      <c r="IM288" s="561">
        <v>0</v>
      </c>
      <c r="IN288" s="561">
        <v>108</v>
      </c>
      <c r="IO288" s="561">
        <v>524</v>
      </c>
      <c r="IP288" s="561">
        <v>0</v>
      </c>
      <c r="IQ288" s="561">
        <v>0</v>
      </c>
      <c r="IR288" s="561">
        <v>0</v>
      </c>
      <c r="IS288" s="561">
        <v>74</v>
      </c>
      <c r="IT288" s="561">
        <v>0</v>
      </c>
      <c r="IU288" s="561">
        <v>616</v>
      </c>
      <c r="IV288" s="561">
        <v>0</v>
      </c>
      <c r="IW288" s="561">
        <v>1556</v>
      </c>
      <c r="IX288" s="561">
        <v>2317</v>
      </c>
      <c r="IY288" s="561">
        <v>4661</v>
      </c>
      <c r="IZ288" s="561">
        <v>2082</v>
      </c>
      <c r="JA288" s="561">
        <v>0</v>
      </c>
      <c r="JB288" s="561">
        <v>0</v>
      </c>
      <c r="JC288" s="561">
        <v>4142</v>
      </c>
      <c r="JD288" s="561">
        <v>0</v>
      </c>
      <c r="JE288" s="561">
        <v>15448</v>
      </c>
      <c r="JF288" s="561">
        <v>7292</v>
      </c>
      <c r="JG288" s="561">
        <v>120</v>
      </c>
      <c r="JH288" s="561">
        <v>4621</v>
      </c>
      <c r="JI288" s="561">
        <v>0</v>
      </c>
      <c r="JJ288" s="561">
        <v>-132</v>
      </c>
      <c r="JK288" s="561">
        <v>0</v>
      </c>
      <c r="JL288" s="561">
        <v>0</v>
      </c>
      <c r="JM288" s="561">
        <v>0</v>
      </c>
      <c r="JN288" s="561">
        <v>0</v>
      </c>
      <c r="JO288" s="561">
        <v>0</v>
      </c>
      <c r="JP288" s="561">
        <v>0</v>
      </c>
      <c r="JQ288" s="561">
        <v>0</v>
      </c>
      <c r="JR288" s="561">
        <v>0</v>
      </c>
      <c r="JS288" s="561">
        <v>0</v>
      </c>
      <c r="JT288" s="561">
        <v>35</v>
      </c>
      <c r="JU288" s="561">
        <v>0</v>
      </c>
      <c r="JV288" s="561">
        <v>27384</v>
      </c>
      <c r="JW288" s="561">
        <v>0</v>
      </c>
      <c r="JX288" s="561">
        <v>106</v>
      </c>
      <c r="JY288" s="561">
        <v>0</v>
      </c>
      <c r="JZ288" s="561">
        <v>0</v>
      </c>
      <c r="KA288" s="561">
        <v>0</v>
      </c>
      <c r="KB288" s="561">
        <v>3702</v>
      </c>
      <c r="KC288" s="561">
        <v>4243</v>
      </c>
      <c r="KD288" s="561">
        <v>0</v>
      </c>
      <c r="KE288" s="561">
        <v>16736</v>
      </c>
      <c r="KF288" s="561">
        <v>-3379</v>
      </c>
      <c r="KG288" s="561">
        <v>48792</v>
      </c>
      <c r="KH288" s="561">
        <v>-28175</v>
      </c>
      <c r="KI288" s="561">
        <v>0</v>
      </c>
      <c r="KJ288" s="561">
        <v>5</v>
      </c>
      <c r="KK288" s="561">
        <v>0</v>
      </c>
      <c r="KL288" s="561">
        <v>-11965</v>
      </c>
      <c r="KM288" s="561">
        <v>0</v>
      </c>
      <c r="KN288" s="561">
        <v>-5118</v>
      </c>
      <c r="KO288" s="561">
        <v>0</v>
      </c>
      <c r="KP288" s="561">
        <v>0</v>
      </c>
      <c r="KQ288" s="561">
        <v>0</v>
      </c>
      <c r="KR288" s="561">
        <v>3539</v>
      </c>
      <c r="KS288" s="561">
        <v>0</v>
      </c>
      <c r="KT288" s="561">
        <v>-2302</v>
      </c>
      <c r="KU288" s="561">
        <v>1237</v>
      </c>
      <c r="KV288" s="561">
        <v>0</v>
      </c>
      <c r="KW288" s="561">
        <v>0</v>
      </c>
      <c r="KX288" s="561">
        <v>0</v>
      </c>
      <c r="KY288" s="561">
        <v>0</v>
      </c>
      <c r="KZ288" s="561">
        <v>7462</v>
      </c>
      <c r="LA288" s="561">
        <v>812</v>
      </c>
      <c r="LB288" s="561">
        <v>-88</v>
      </c>
      <c r="LC288" s="561">
        <v>0</v>
      </c>
      <c r="LD288" s="561">
        <v>-2712</v>
      </c>
      <c r="LE288" s="561">
        <v>34</v>
      </c>
      <c r="LF288" s="561">
        <v>14</v>
      </c>
      <c r="LG288" s="561">
        <v>6760</v>
      </c>
      <c r="LH288" s="561">
        <v>0</v>
      </c>
      <c r="LI288" s="561">
        <v>0</v>
      </c>
      <c r="LJ288" s="561">
        <v>0</v>
      </c>
      <c r="LK288" s="561">
        <v>0</v>
      </c>
      <c r="LL288" s="561">
        <v>47270</v>
      </c>
      <c r="LM288" s="561">
        <v>16107</v>
      </c>
      <c r="LN288" s="561">
        <v>0</v>
      </c>
      <c r="LO288" s="561">
        <v>0</v>
      </c>
      <c r="LP288" s="561">
        <v>0</v>
      </c>
      <c r="LQ288" s="561">
        <v>0</v>
      </c>
      <c r="LR288" s="561">
        <v>54732</v>
      </c>
      <c r="LS288" s="561">
        <v>16919</v>
      </c>
      <c r="LT288" s="561">
        <v>0</v>
      </c>
      <c r="LU288" s="561">
        <v>1775</v>
      </c>
      <c r="LV288" s="561">
        <v>0</v>
      </c>
      <c r="LW288" s="561">
        <v>0</v>
      </c>
      <c r="LX288" s="561">
        <v>0</v>
      </c>
      <c r="LY288" s="561">
        <v>1145</v>
      </c>
      <c r="LZ288" s="561">
        <v>3710</v>
      </c>
      <c r="MA288" s="561">
        <v>0</v>
      </c>
      <c r="MB288" s="561">
        <v>0</v>
      </c>
      <c r="MC288" s="561">
        <v>22743</v>
      </c>
      <c r="MD288" s="561">
        <v>22632</v>
      </c>
      <c r="ME288" s="561">
        <v>111</v>
      </c>
      <c r="MF288" s="561">
        <v>39456</v>
      </c>
      <c r="MG288" s="561">
        <v>39567</v>
      </c>
      <c r="MH288" s="561">
        <v>2059</v>
      </c>
      <c r="MI288" s="561">
        <v>2521</v>
      </c>
      <c r="MJ288" s="561">
        <v>4580</v>
      </c>
      <c r="MK288" s="561">
        <v>0</v>
      </c>
      <c r="ML288" s="561">
        <v>11598</v>
      </c>
      <c r="MM288" s="561">
        <v>28234</v>
      </c>
      <c r="MN288" s="561">
        <v>106</v>
      </c>
      <c r="MO288" s="561">
        <v>13450</v>
      </c>
      <c r="MP288" s="561">
        <v>1344</v>
      </c>
      <c r="MQ288" s="561">
        <v>0</v>
      </c>
      <c r="MR288" s="561">
        <v>74</v>
      </c>
      <c r="MS288" s="561">
        <v>0</v>
      </c>
      <c r="MT288" s="561">
        <v>616</v>
      </c>
      <c r="MU288" s="561">
        <v>0</v>
      </c>
      <c r="MV288" s="561">
        <v>1556</v>
      </c>
      <c r="MW288" s="561">
        <v>2317</v>
      </c>
      <c r="MX288" s="561">
        <v>4661</v>
      </c>
      <c r="MY288" s="561">
        <v>2082</v>
      </c>
      <c r="MZ288" s="561">
        <v>0</v>
      </c>
      <c r="NA288" s="561">
        <v>0</v>
      </c>
      <c r="NB288" s="561">
        <v>4142</v>
      </c>
      <c r="NC288" s="561">
        <v>0</v>
      </c>
      <c r="ND288" s="561">
        <v>15448</v>
      </c>
      <c r="NE288" s="561">
        <v>0</v>
      </c>
      <c r="NF288" s="561">
        <v>0</v>
      </c>
      <c r="NG288" s="561">
        <v>0</v>
      </c>
      <c r="NH288" s="561">
        <v>0</v>
      </c>
      <c r="NI288" s="561">
        <v>0</v>
      </c>
      <c r="NJ288" s="561">
        <v>0</v>
      </c>
      <c r="NK288" s="561">
        <v>0</v>
      </c>
      <c r="NL288" s="561">
        <v>0</v>
      </c>
      <c r="NM288" s="561">
        <v>0</v>
      </c>
      <c r="NN288" s="561">
        <v>0</v>
      </c>
      <c r="NO288" s="561">
        <v>0</v>
      </c>
      <c r="NP288" s="561">
        <v>0</v>
      </c>
      <c r="NQ288" s="561">
        <v>0</v>
      </c>
      <c r="NR288" s="561">
        <v>0</v>
      </c>
      <c r="NS288" s="561">
        <v>0</v>
      </c>
      <c r="NT288" s="561">
        <v>0</v>
      </c>
      <c r="NU288" s="561">
        <v>0</v>
      </c>
      <c r="NV288" s="561">
        <v>0</v>
      </c>
      <c r="NW288" s="561">
        <v>0</v>
      </c>
      <c r="NX288" s="561">
        <v>0</v>
      </c>
      <c r="NY288" s="561">
        <v>0</v>
      </c>
      <c r="NZ288" s="561">
        <v>0</v>
      </c>
      <c r="OA288" s="561">
        <v>0</v>
      </c>
      <c r="OB288" s="561">
        <v>0</v>
      </c>
      <c r="OC288" s="561">
        <v>0</v>
      </c>
      <c r="OD288" s="561">
        <v>0</v>
      </c>
      <c r="OE288" s="561">
        <v>0</v>
      </c>
      <c r="OF288" s="561">
        <v>0</v>
      </c>
      <c r="OG288" s="561">
        <v>0</v>
      </c>
      <c r="OH288" s="561">
        <v>0</v>
      </c>
      <c r="OI288" s="561">
        <v>0</v>
      </c>
      <c r="OJ288" s="561">
        <v>0</v>
      </c>
      <c r="OK288" s="561">
        <v>0</v>
      </c>
      <c r="OL288" s="561">
        <v>0</v>
      </c>
      <c r="OM288" s="561">
        <v>0</v>
      </c>
      <c r="ON288" s="561">
        <v>0</v>
      </c>
      <c r="OO288" s="561">
        <v>0</v>
      </c>
      <c r="OP288" s="561">
        <v>0</v>
      </c>
      <c r="OQ288" s="561">
        <v>0</v>
      </c>
      <c r="OR288" s="561">
        <v>0</v>
      </c>
      <c r="OS288" s="561">
        <v>0</v>
      </c>
      <c r="OT288" s="561">
        <v>0</v>
      </c>
      <c r="OU288" s="561">
        <v>0</v>
      </c>
      <c r="OV288" s="561">
        <v>-5.8161500000000004</v>
      </c>
      <c r="OW288" s="561">
        <v>0</v>
      </c>
      <c r="OX288" s="561">
        <v>0</v>
      </c>
      <c r="OY288" s="561">
        <v>0</v>
      </c>
      <c r="OZ288" s="561">
        <v>0</v>
      </c>
      <c r="PA288" s="561">
        <v>0</v>
      </c>
      <c r="PB288" s="561">
        <v>0</v>
      </c>
      <c r="PC288" s="561">
        <v>0</v>
      </c>
      <c r="PD288" s="561">
        <v>0</v>
      </c>
      <c r="PE288" s="561">
        <v>0</v>
      </c>
      <c r="PF288" s="561">
        <v>0</v>
      </c>
      <c r="PG288" s="561">
        <v>0</v>
      </c>
      <c r="PH288" s="561">
        <v>0</v>
      </c>
      <c r="PI288" s="561">
        <v>0</v>
      </c>
      <c r="PJ288" s="561">
        <v>0</v>
      </c>
    </row>
    <row r="289" spans="1:426" ht="14" x14ac:dyDescent="0.3">
      <c r="A289" t="s">
        <v>3310</v>
      </c>
      <c r="B289" t="s">
        <v>3311</v>
      </c>
      <c r="C289" t="s">
        <v>3312</v>
      </c>
      <c r="E289" t="s">
        <v>384</v>
      </c>
      <c r="F289" s="561">
        <v>0</v>
      </c>
      <c r="G289" s="561">
        <v>0</v>
      </c>
      <c r="H289" s="561">
        <v>0</v>
      </c>
      <c r="I289" s="561">
        <v>0</v>
      </c>
      <c r="J289" s="561">
        <v>0</v>
      </c>
      <c r="K289" s="561">
        <v>0</v>
      </c>
      <c r="L289" s="561">
        <v>0</v>
      </c>
      <c r="M289" s="561">
        <v>0</v>
      </c>
      <c r="N289" s="561">
        <v>0</v>
      </c>
      <c r="O289" s="561">
        <v>0</v>
      </c>
      <c r="P289" s="561">
        <v>0</v>
      </c>
      <c r="Q289" s="561">
        <v>0</v>
      </c>
      <c r="R289" s="561">
        <v>0</v>
      </c>
      <c r="S289" s="561">
        <v>21</v>
      </c>
      <c r="T289" s="561">
        <v>0</v>
      </c>
      <c r="U289" s="561">
        <v>0</v>
      </c>
      <c r="V289" s="561">
        <v>0</v>
      </c>
      <c r="W289" s="561">
        <v>0</v>
      </c>
      <c r="X289" s="561">
        <v>0</v>
      </c>
      <c r="Y289" s="561">
        <v>0</v>
      </c>
      <c r="Z289" s="561">
        <v>-11</v>
      </c>
      <c r="AA289" s="561">
        <v>0</v>
      </c>
      <c r="AB289" s="561">
        <v>-767</v>
      </c>
      <c r="AC289" s="561">
        <v>0</v>
      </c>
      <c r="AD289" s="561">
        <v>0</v>
      </c>
      <c r="AE289" s="561">
        <v>0</v>
      </c>
      <c r="AF289" s="561">
        <v>0</v>
      </c>
      <c r="AG289" s="561">
        <v>0</v>
      </c>
      <c r="AH289" s="561">
        <v>0</v>
      </c>
      <c r="AI289" s="561">
        <v>0</v>
      </c>
      <c r="AJ289" s="561">
        <v>-757</v>
      </c>
      <c r="AK289" s="561">
        <v>0</v>
      </c>
      <c r="AL289" s="561">
        <v>0</v>
      </c>
      <c r="AM289" s="561">
        <v>0</v>
      </c>
      <c r="AN289" s="561">
        <v>0</v>
      </c>
      <c r="AO289" s="561">
        <v>0</v>
      </c>
      <c r="AP289" s="561">
        <v>0</v>
      </c>
      <c r="AQ289" s="561">
        <v>0</v>
      </c>
      <c r="AR289" s="561">
        <v>0</v>
      </c>
      <c r="AS289" s="561">
        <v>0</v>
      </c>
      <c r="AT289" s="561">
        <v>0</v>
      </c>
      <c r="AU289" s="561">
        <v>0</v>
      </c>
      <c r="AV289" s="561">
        <v>0</v>
      </c>
      <c r="AW289" s="561">
        <v>0</v>
      </c>
      <c r="AX289" s="561">
        <v>0</v>
      </c>
      <c r="AY289" s="561">
        <v>0</v>
      </c>
      <c r="AZ289" s="561">
        <v>0</v>
      </c>
      <c r="BA289" s="561">
        <v>0</v>
      </c>
      <c r="BB289" s="561">
        <v>0</v>
      </c>
      <c r="BC289" s="561">
        <v>0</v>
      </c>
      <c r="BD289" s="561">
        <v>0</v>
      </c>
      <c r="BE289" s="561">
        <v>0</v>
      </c>
      <c r="BF289" s="561">
        <v>0</v>
      </c>
      <c r="BG289" s="561">
        <v>0</v>
      </c>
      <c r="BH289" s="561">
        <v>0</v>
      </c>
      <c r="BI289" s="561">
        <v>0</v>
      </c>
      <c r="BJ289" s="561">
        <v>0</v>
      </c>
      <c r="BK289" s="561">
        <v>0</v>
      </c>
      <c r="BL289" s="561">
        <v>0</v>
      </c>
      <c r="BM289" s="561">
        <v>0</v>
      </c>
      <c r="BN289" s="561">
        <v>0</v>
      </c>
      <c r="BO289" s="561">
        <v>0</v>
      </c>
      <c r="BP289" s="561">
        <v>0</v>
      </c>
      <c r="BQ289" s="561">
        <v>0</v>
      </c>
      <c r="BR289" s="561">
        <v>0</v>
      </c>
      <c r="BS289" s="561">
        <v>0</v>
      </c>
      <c r="BT289" s="561">
        <v>0</v>
      </c>
      <c r="BU289" s="561">
        <v>0</v>
      </c>
      <c r="BV289" s="561">
        <v>0</v>
      </c>
      <c r="BW289" s="561">
        <v>0</v>
      </c>
      <c r="BX289" s="561">
        <v>0</v>
      </c>
      <c r="BY289" s="561">
        <v>0</v>
      </c>
      <c r="BZ289" s="561">
        <v>0</v>
      </c>
      <c r="CA289" s="561">
        <v>0</v>
      </c>
      <c r="CB289" s="561">
        <v>0</v>
      </c>
      <c r="CC289" s="561">
        <v>0</v>
      </c>
      <c r="CD289" s="561">
        <v>0</v>
      </c>
      <c r="CE289" s="561">
        <v>0</v>
      </c>
      <c r="CF289" s="561">
        <v>0</v>
      </c>
      <c r="CG289" s="561">
        <v>0</v>
      </c>
      <c r="CH289" s="561">
        <v>0</v>
      </c>
      <c r="CI289" s="561">
        <v>0</v>
      </c>
      <c r="CJ289" s="561">
        <v>0</v>
      </c>
      <c r="CK289" s="561">
        <v>0</v>
      </c>
      <c r="CL289" s="561">
        <v>0</v>
      </c>
      <c r="CM289" s="561">
        <v>0</v>
      </c>
      <c r="CN289" s="561">
        <v>0</v>
      </c>
      <c r="CO289" s="561">
        <v>0</v>
      </c>
      <c r="CP289" s="561">
        <v>0</v>
      </c>
      <c r="CQ289" s="561">
        <v>0</v>
      </c>
      <c r="CR289" s="561">
        <v>0</v>
      </c>
      <c r="CS289" s="561">
        <v>0</v>
      </c>
      <c r="CT289" s="561">
        <v>0</v>
      </c>
      <c r="CU289" s="561">
        <v>0</v>
      </c>
      <c r="CV289" s="561">
        <v>0</v>
      </c>
      <c r="CW289" s="561">
        <v>0</v>
      </c>
      <c r="CX289" s="561">
        <v>0</v>
      </c>
      <c r="CY289" s="561">
        <v>0</v>
      </c>
      <c r="CZ289" s="561">
        <v>0</v>
      </c>
      <c r="DA289" s="561">
        <v>0</v>
      </c>
      <c r="DB289" s="561">
        <v>0</v>
      </c>
      <c r="DC289" s="561">
        <v>0</v>
      </c>
      <c r="DD289" s="561">
        <v>0</v>
      </c>
      <c r="DE289" s="561">
        <v>0</v>
      </c>
      <c r="DF289" s="561">
        <v>0</v>
      </c>
      <c r="DG289" s="561">
        <v>0</v>
      </c>
      <c r="DH289" s="561">
        <v>622</v>
      </c>
      <c r="DI289" s="561">
        <v>0</v>
      </c>
      <c r="DJ289" s="561">
        <v>32</v>
      </c>
      <c r="DK289" s="561">
        <v>-1</v>
      </c>
      <c r="DL289" s="561">
        <v>0</v>
      </c>
      <c r="DM289" s="561">
        <v>0</v>
      </c>
      <c r="DN289" s="561">
        <v>9</v>
      </c>
      <c r="DO289" s="561">
        <v>149</v>
      </c>
      <c r="DP289" s="561">
        <v>0</v>
      </c>
      <c r="DQ289" s="561">
        <v>0</v>
      </c>
      <c r="DR289" s="561">
        <v>0</v>
      </c>
      <c r="DS289" s="561">
        <v>184</v>
      </c>
      <c r="DT289" s="561">
        <v>0</v>
      </c>
      <c r="DU289" s="561">
        <v>342</v>
      </c>
      <c r="DV289" s="561">
        <v>0</v>
      </c>
      <c r="DW289" s="561">
        <v>0</v>
      </c>
      <c r="DX289" s="561">
        <v>0</v>
      </c>
      <c r="DY289" s="561">
        <v>395</v>
      </c>
      <c r="DZ289" s="561">
        <v>0</v>
      </c>
      <c r="EA289" s="561">
        <v>-8</v>
      </c>
      <c r="EB289" s="561">
        <v>0</v>
      </c>
      <c r="EC289" s="561">
        <v>1382</v>
      </c>
      <c r="ED289" s="561">
        <v>0</v>
      </c>
      <c r="EE289" s="561">
        <v>0</v>
      </c>
      <c r="EF289" s="561">
        <v>0</v>
      </c>
      <c r="EG289" s="561">
        <v>0</v>
      </c>
      <c r="EH289" s="561">
        <v>0</v>
      </c>
      <c r="EI289" s="561">
        <v>0</v>
      </c>
      <c r="EJ289" s="561">
        <v>0</v>
      </c>
      <c r="EK289" s="561">
        <v>0</v>
      </c>
      <c r="EL289" s="561">
        <v>0</v>
      </c>
      <c r="EM289" s="561">
        <v>0</v>
      </c>
      <c r="EN289" s="561">
        <v>0</v>
      </c>
      <c r="EO289" s="561">
        <v>0</v>
      </c>
      <c r="EP289" s="561">
        <v>0</v>
      </c>
      <c r="EQ289" s="561">
        <v>0</v>
      </c>
      <c r="ER289" s="561">
        <v>0</v>
      </c>
      <c r="ES289" s="561" t="s">
        <v>4565</v>
      </c>
      <c r="ET289" s="561">
        <v>0</v>
      </c>
      <c r="EU289" s="561">
        <v>0</v>
      </c>
      <c r="EV289" s="561">
        <v>0</v>
      </c>
      <c r="EW289" s="561">
        <v>0</v>
      </c>
      <c r="EX289" s="561">
        <v>0</v>
      </c>
      <c r="EY289" s="561">
        <v>0</v>
      </c>
      <c r="EZ289" s="561">
        <v>0</v>
      </c>
      <c r="FA289" s="561">
        <v>0</v>
      </c>
      <c r="FB289" s="561">
        <v>0</v>
      </c>
      <c r="FC289" s="561">
        <v>0</v>
      </c>
      <c r="FD289" s="561">
        <v>0</v>
      </c>
      <c r="FE289" s="561">
        <v>0</v>
      </c>
      <c r="FF289" s="561">
        <v>128</v>
      </c>
      <c r="FG289" s="561">
        <v>131</v>
      </c>
      <c r="FH289" s="561">
        <v>0</v>
      </c>
      <c r="FI289" s="561">
        <v>112</v>
      </c>
      <c r="FJ289" s="561">
        <v>-6</v>
      </c>
      <c r="FK289" s="561">
        <v>1507</v>
      </c>
      <c r="FL289" s="561">
        <v>0</v>
      </c>
      <c r="FM289" s="561">
        <v>0</v>
      </c>
      <c r="FN289" s="561">
        <v>0</v>
      </c>
      <c r="FO289" s="561">
        <v>1872</v>
      </c>
      <c r="FP289" s="561">
        <v>0</v>
      </c>
      <c r="FQ289" s="561">
        <v>-63</v>
      </c>
      <c r="FR289" s="561">
        <v>0</v>
      </c>
      <c r="FS289" s="561">
        <v>0</v>
      </c>
      <c r="FT289" s="561">
        <v>228</v>
      </c>
      <c r="FU289" s="561">
        <v>315</v>
      </c>
      <c r="FV289" s="561">
        <v>269</v>
      </c>
      <c r="FW289" s="561">
        <v>91</v>
      </c>
      <c r="FX289" s="561">
        <v>0</v>
      </c>
      <c r="FY289" s="561">
        <v>0</v>
      </c>
      <c r="FZ289" s="561">
        <v>65</v>
      </c>
      <c r="GA289" s="561">
        <v>57</v>
      </c>
      <c r="GB289" s="561">
        <v>496</v>
      </c>
      <c r="GC289" s="561">
        <v>21</v>
      </c>
      <c r="GD289" s="561">
        <v>178</v>
      </c>
      <c r="GE289" s="561">
        <v>70</v>
      </c>
      <c r="GF289" s="561">
        <v>0</v>
      </c>
      <c r="GG289" s="561">
        <v>0</v>
      </c>
      <c r="GH289" s="561">
        <v>97</v>
      </c>
      <c r="GI289" s="561">
        <v>447</v>
      </c>
      <c r="GJ289" s="561">
        <v>0</v>
      </c>
      <c r="GK289" s="561">
        <v>0</v>
      </c>
      <c r="GL289" s="561">
        <v>1327</v>
      </c>
      <c r="GM289" s="561">
        <v>4433</v>
      </c>
      <c r="GN289" s="561">
        <v>0</v>
      </c>
      <c r="GO289" s="561">
        <v>0</v>
      </c>
      <c r="GP289" s="561">
        <v>-1573</v>
      </c>
      <c r="GQ289" s="561">
        <v>0</v>
      </c>
      <c r="GR289" s="561">
        <v>0</v>
      </c>
      <c r="GS289" s="561">
        <v>6458</v>
      </c>
      <c r="GT289" s="561">
        <v>0</v>
      </c>
      <c r="GU289" s="561">
        <v>65</v>
      </c>
      <c r="GV289" s="561">
        <v>1368</v>
      </c>
      <c r="GW289" s="561">
        <v>0</v>
      </c>
      <c r="GX289" s="561">
        <v>376</v>
      </c>
      <c r="GY289" s="561">
        <v>208</v>
      </c>
      <c r="GZ289" s="561">
        <v>979</v>
      </c>
      <c r="HA289" s="561">
        <v>0</v>
      </c>
      <c r="HB289" s="561">
        <v>0</v>
      </c>
      <c r="HC289" s="561">
        <v>271</v>
      </c>
      <c r="HD289" s="561">
        <v>3267</v>
      </c>
      <c r="HE289" s="561">
        <v>0</v>
      </c>
      <c r="HF289" s="561">
        <v>11597</v>
      </c>
      <c r="HG289" s="561">
        <v>0</v>
      </c>
      <c r="HH289" s="561">
        <v>0</v>
      </c>
      <c r="HI289" s="561">
        <v>0</v>
      </c>
      <c r="HJ289" s="561">
        <v>0</v>
      </c>
      <c r="HK289" s="561">
        <v>0</v>
      </c>
      <c r="HL289" s="561">
        <v>0</v>
      </c>
      <c r="HM289" s="561">
        <v>0</v>
      </c>
      <c r="HN289" s="561">
        <v>0</v>
      </c>
      <c r="HO289" s="561">
        <v>1543</v>
      </c>
      <c r="HP289" s="561">
        <v>871</v>
      </c>
      <c r="HQ289" s="561">
        <v>0</v>
      </c>
      <c r="HR289" s="561">
        <v>0</v>
      </c>
      <c r="HS289" s="561">
        <v>183</v>
      </c>
      <c r="HT289" s="561">
        <v>0</v>
      </c>
      <c r="HU289" s="561">
        <v>0</v>
      </c>
      <c r="HV289" s="561">
        <v>0</v>
      </c>
      <c r="HW289" s="561">
        <v>275</v>
      </c>
      <c r="HX289" s="561">
        <v>194</v>
      </c>
      <c r="HY289" s="561">
        <v>69</v>
      </c>
      <c r="HZ289" s="561">
        <v>-19</v>
      </c>
      <c r="IA289" s="561">
        <v>0</v>
      </c>
      <c r="IB289" s="561">
        <v>0</v>
      </c>
      <c r="IC289" s="561">
        <v>0</v>
      </c>
      <c r="ID289" s="561">
        <v>0</v>
      </c>
      <c r="IE289" s="561">
        <v>93</v>
      </c>
      <c r="IF289" s="561">
        <v>0</v>
      </c>
      <c r="IG289" s="561">
        <v>0</v>
      </c>
      <c r="IH289" s="561">
        <v>0</v>
      </c>
      <c r="II289" s="561">
        <v>3209</v>
      </c>
      <c r="IJ289" s="561">
        <v>0</v>
      </c>
      <c r="IK289" s="561">
        <v>0</v>
      </c>
      <c r="IL289" s="561">
        <v>0</v>
      </c>
      <c r="IM289" s="561">
        <v>0</v>
      </c>
      <c r="IN289" s="561">
        <v>0</v>
      </c>
      <c r="IO289" s="561">
        <v>0</v>
      </c>
      <c r="IP289" s="561">
        <v>0</v>
      </c>
      <c r="IQ289" s="561">
        <v>0</v>
      </c>
      <c r="IR289" s="561">
        <v>0</v>
      </c>
      <c r="IS289" s="561">
        <v>-757</v>
      </c>
      <c r="IT289" s="561">
        <v>0</v>
      </c>
      <c r="IU289" s="561">
        <v>0</v>
      </c>
      <c r="IV289" s="561">
        <v>0</v>
      </c>
      <c r="IW289" s="561">
        <v>1382</v>
      </c>
      <c r="IX289" s="561">
        <v>1872</v>
      </c>
      <c r="IY289" s="561">
        <v>6458</v>
      </c>
      <c r="IZ289" s="561">
        <v>3267</v>
      </c>
      <c r="JA289" s="561">
        <v>0</v>
      </c>
      <c r="JB289" s="561">
        <v>0</v>
      </c>
      <c r="JC289" s="561">
        <v>3209</v>
      </c>
      <c r="JD289" s="561">
        <v>0</v>
      </c>
      <c r="JE289" s="561">
        <v>15431</v>
      </c>
      <c r="JF289" s="561">
        <v>12617</v>
      </c>
      <c r="JG289" s="561">
        <v>19</v>
      </c>
      <c r="JH289" s="561">
        <v>0</v>
      </c>
      <c r="JI289" s="561">
        <v>0</v>
      </c>
      <c r="JJ289" s="561">
        <v>0</v>
      </c>
      <c r="JK289" s="561">
        <v>2703</v>
      </c>
      <c r="JL289" s="561">
        <v>0</v>
      </c>
      <c r="JM289" s="561">
        <v>0</v>
      </c>
      <c r="JN289" s="561">
        <v>0</v>
      </c>
      <c r="JO289" s="561">
        <v>41</v>
      </c>
      <c r="JP289" s="561">
        <v>-1460</v>
      </c>
      <c r="JQ289" s="561">
        <v>0</v>
      </c>
      <c r="JR289" s="561">
        <v>0</v>
      </c>
      <c r="JS289" s="561">
        <v>0</v>
      </c>
      <c r="JT289" s="561">
        <v>0</v>
      </c>
      <c r="JU289" s="561">
        <v>0</v>
      </c>
      <c r="JV289" s="561">
        <v>29351</v>
      </c>
      <c r="JW289" s="561">
        <v>0</v>
      </c>
      <c r="JX289" s="561">
        <v>3054</v>
      </c>
      <c r="JY289" s="561">
        <v>0</v>
      </c>
      <c r="JZ289" s="561">
        <v>0</v>
      </c>
      <c r="KA289" s="561">
        <v>0</v>
      </c>
      <c r="KB289" s="561">
        <v>0</v>
      </c>
      <c r="KC289" s="561">
        <v>0</v>
      </c>
      <c r="KD289" s="561">
        <v>136</v>
      </c>
      <c r="KE289" s="561">
        <v>2430</v>
      </c>
      <c r="KF289" s="561">
        <v>0</v>
      </c>
      <c r="KG289" s="561">
        <v>34971</v>
      </c>
      <c r="KH289" s="561">
        <v>-4598</v>
      </c>
      <c r="KI289" s="561">
        <v>0</v>
      </c>
      <c r="KJ289" s="561">
        <v>0</v>
      </c>
      <c r="KK289" s="561">
        <v>0</v>
      </c>
      <c r="KL289" s="561">
        <v>-12509</v>
      </c>
      <c r="KM289" s="561">
        <v>0</v>
      </c>
      <c r="KN289" s="561">
        <v>-104</v>
      </c>
      <c r="KO289" s="561">
        <v>0</v>
      </c>
      <c r="KP289" s="561">
        <v>0</v>
      </c>
      <c r="KQ289" s="561">
        <v>0</v>
      </c>
      <c r="KR289" s="561">
        <v>17760</v>
      </c>
      <c r="KS289" s="561">
        <v>0</v>
      </c>
      <c r="KT289" s="561">
        <v>-3761</v>
      </c>
      <c r="KU289" s="561">
        <v>13999</v>
      </c>
      <c r="KV289" s="561">
        <v>0</v>
      </c>
      <c r="KW289" s="561">
        <v>0</v>
      </c>
      <c r="KX289" s="561">
        <v>0</v>
      </c>
      <c r="KY289" s="561">
        <v>0</v>
      </c>
      <c r="KZ289" s="561">
        <v>3340</v>
      </c>
      <c r="LA289" s="561">
        <v>0</v>
      </c>
      <c r="LB289" s="561">
        <v>-100</v>
      </c>
      <c r="LC289" s="561">
        <v>0</v>
      </c>
      <c r="LD289" s="561">
        <v>-6193</v>
      </c>
      <c r="LE289" s="561">
        <v>3</v>
      </c>
      <c r="LF289" s="561">
        <v>0</v>
      </c>
      <c r="LG289" s="561">
        <v>11049</v>
      </c>
      <c r="LH289" s="561">
        <v>0</v>
      </c>
      <c r="LI289" s="561">
        <v>0</v>
      </c>
      <c r="LJ289" s="561">
        <v>0</v>
      </c>
      <c r="LK289" s="561">
        <v>0</v>
      </c>
      <c r="LL289" s="561">
        <v>20947</v>
      </c>
      <c r="LM289" s="561">
        <v>2604</v>
      </c>
      <c r="LN289" s="561">
        <v>0</v>
      </c>
      <c r="LO289" s="561">
        <v>0</v>
      </c>
      <c r="LP289" s="561">
        <v>0</v>
      </c>
      <c r="LQ289" s="561">
        <v>0</v>
      </c>
      <c r="LR289" s="561">
        <v>24287</v>
      </c>
      <c r="LS289" s="561">
        <v>2604</v>
      </c>
      <c r="LT289" s="561">
        <v>0</v>
      </c>
      <c r="LU289" s="561">
        <v>3641</v>
      </c>
      <c r="LV289" s="561">
        <v>0</v>
      </c>
      <c r="LW289" s="561">
        <v>9</v>
      </c>
      <c r="LX289" s="561">
        <v>-6358</v>
      </c>
      <c r="LY289" s="561">
        <v>2310</v>
      </c>
      <c r="LZ289" s="561">
        <v>-412</v>
      </c>
      <c r="MA289" s="561">
        <v>0</v>
      </c>
      <c r="MB289" s="561">
        <v>0</v>
      </c>
      <c r="MC289" s="561">
        <v>0</v>
      </c>
      <c r="MD289" s="561">
        <v>0</v>
      </c>
      <c r="ME289" s="561">
        <v>0</v>
      </c>
      <c r="MF289" s="561">
        <v>0</v>
      </c>
      <c r="MG289" s="561">
        <v>0</v>
      </c>
      <c r="MH289" s="561">
        <v>2634</v>
      </c>
      <c r="MI289" s="561">
        <v>3504</v>
      </c>
      <c r="MJ289" s="561">
        <v>6138</v>
      </c>
      <c r="MK289" s="561">
        <v>0</v>
      </c>
      <c r="ML289" s="561">
        <v>0</v>
      </c>
      <c r="MM289" s="561">
        <v>10964</v>
      </c>
      <c r="MN289" s="561">
        <v>546</v>
      </c>
      <c r="MO289" s="561">
        <v>4624</v>
      </c>
      <c r="MP289" s="561">
        <v>8153</v>
      </c>
      <c r="MQ289" s="561">
        <v>0</v>
      </c>
      <c r="MR289" s="561">
        <v>-757</v>
      </c>
      <c r="MS289" s="561">
        <v>0</v>
      </c>
      <c r="MT289" s="561">
        <v>0</v>
      </c>
      <c r="MU289" s="561">
        <v>0</v>
      </c>
      <c r="MV289" s="561">
        <v>1382</v>
      </c>
      <c r="MW289" s="561">
        <v>1872</v>
      </c>
      <c r="MX289" s="561">
        <v>6458</v>
      </c>
      <c r="MY289" s="561">
        <v>3267</v>
      </c>
      <c r="MZ289" s="561">
        <v>0</v>
      </c>
      <c r="NA289" s="561">
        <v>0</v>
      </c>
      <c r="NB289" s="561">
        <v>3209</v>
      </c>
      <c r="NC289" s="561">
        <v>0</v>
      </c>
      <c r="ND289" s="561">
        <v>15431</v>
      </c>
      <c r="NE289" s="561">
        <v>0</v>
      </c>
      <c r="NF289" s="561">
        <v>0</v>
      </c>
      <c r="NG289" s="561">
        <v>0</v>
      </c>
      <c r="NH289" s="561">
        <v>0</v>
      </c>
      <c r="NI289" s="561">
        <v>0</v>
      </c>
      <c r="NJ289" s="561">
        <v>0</v>
      </c>
      <c r="NK289" s="561">
        <v>0</v>
      </c>
      <c r="NL289" s="561">
        <v>0</v>
      </c>
      <c r="NM289" s="561">
        <v>0</v>
      </c>
      <c r="NN289" s="561">
        <v>0</v>
      </c>
      <c r="NO289" s="561">
        <v>0</v>
      </c>
      <c r="NP289" s="561">
        <v>0</v>
      </c>
      <c r="NQ289" s="561">
        <v>0</v>
      </c>
      <c r="NR289" s="561">
        <v>0</v>
      </c>
      <c r="NS289" s="561">
        <v>0</v>
      </c>
      <c r="NT289" s="561">
        <v>-429</v>
      </c>
      <c r="NU289" s="561">
        <v>0</v>
      </c>
      <c r="NV289" s="561">
        <v>0</v>
      </c>
      <c r="NW289" s="561">
        <v>-1460</v>
      </c>
      <c r="NX289" s="561">
        <v>0</v>
      </c>
      <c r="NY289" s="561">
        <v>-1460</v>
      </c>
      <c r="NZ289" s="561">
        <v>0</v>
      </c>
      <c r="OA289" s="561">
        <v>0</v>
      </c>
      <c r="OB289" s="561">
        <v>0</v>
      </c>
      <c r="OC289" s="561">
        <v>0</v>
      </c>
      <c r="OD289" s="561">
        <v>0</v>
      </c>
      <c r="OE289" s="561">
        <v>0</v>
      </c>
      <c r="OF289" s="561">
        <v>0</v>
      </c>
      <c r="OG289" s="561">
        <v>0</v>
      </c>
      <c r="OH289" s="561">
        <v>0</v>
      </c>
      <c r="OI289" s="561">
        <v>0</v>
      </c>
      <c r="OJ289" s="561">
        <v>0</v>
      </c>
      <c r="OK289" s="561">
        <v>0</v>
      </c>
      <c r="OL289" s="561">
        <v>0</v>
      </c>
      <c r="OM289" s="561">
        <v>0</v>
      </c>
      <c r="ON289" s="561">
        <v>0</v>
      </c>
      <c r="OO289" s="561">
        <v>0</v>
      </c>
      <c r="OP289" s="561">
        <v>0</v>
      </c>
      <c r="OQ289" s="561">
        <v>0</v>
      </c>
      <c r="OR289" s="561">
        <v>0</v>
      </c>
      <c r="OS289" s="561">
        <v>0</v>
      </c>
      <c r="OT289" s="561">
        <v>0</v>
      </c>
      <c r="OU289" s="561">
        <v>0</v>
      </c>
      <c r="OV289" s="561">
        <v>0</v>
      </c>
      <c r="OW289" s="561">
        <v>0</v>
      </c>
      <c r="OX289" s="561">
        <v>0</v>
      </c>
      <c r="OY289" s="561">
        <v>0</v>
      </c>
      <c r="OZ289" s="561">
        <v>0</v>
      </c>
      <c r="PA289" s="561">
        <v>0</v>
      </c>
      <c r="PB289" s="561">
        <v>0</v>
      </c>
      <c r="PC289" s="561">
        <v>0</v>
      </c>
      <c r="PD289" s="561">
        <v>0</v>
      </c>
      <c r="PE289" s="561">
        <v>0</v>
      </c>
      <c r="PF289" s="561">
        <v>0</v>
      </c>
      <c r="PG289" s="561">
        <v>0</v>
      </c>
      <c r="PH289" s="561">
        <v>0</v>
      </c>
      <c r="PI289" s="561">
        <v>0</v>
      </c>
      <c r="PJ289" s="561">
        <v>0</v>
      </c>
    </row>
    <row r="290" spans="1:426" ht="14" x14ac:dyDescent="0.3">
      <c r="A290" t="s">
        <v>3313</v>
      </c>
      <c r="B290" t="s">
        <v>3314</v>
      </c>
      <c r="C290" t="s">
        <v>3315</v>
      </c>
      <c r="E290" t="s">
        <v>384</v>
      </c>
      <c r="F290" s="561">
        <v>0</v>
      </c>
      <c r="G290" s="561">
        <v>0</v>
      </c>
      <c r="H290" s="561">
        <v>0</v>
      </c>
      <c r="I290" s="561">
        <v>0</v>
      </c>
      <c r="J290" s="561">
        <v>0</v>
      </c>
      <c r="K290" s="561">
        <v>0</v>
      </c>
      <c r="L290" s="561">
        <v>0</v>
      </c>
      <c r="M290" s="561">
        <v>0</v>
      </c>
      <c r="N290" s="561">
        <v>0</v>
      </c>
      <c r="O290" s="561">
        <v>0</v>
      </c>
      <c r="P290" s="561">
        <v>0</v>
      </c>
      <c r="Q290" s="561">
        <v>0</v>
      </c>
      <c r="R290" s="561">
        <v>0</v>
      </c>
      <c r="S290" s="561">
        <v>0</v>
      </c>
      <c r="T290" s="561">
        <v>198.77</v>
      </c>
      <c r="U290" s="561">
        <v>0</v>
      </c>
      <c r="V290" s="561">
        <v>2.15</v>
      </c>
      <c r="W290" s="561">
        <v>0</v>
      </c>
      <c r="X290" s="561">
        <v>0</v>
      </c>
      <c r="Y290" s="561">
        <v>0</v>
      </c>
      <c r="Z290" s="561">
        <v>0</v>
      </c>
      <c r="AA290" s="561">
        <v>3.66</v>
      </c>
      <c r="AB290" s="561">
        <v>-357.3</v>
      </c>
      <c r="AC290" s="561">
        <v>0</v>
      </c>
      <c r="AD290" s="561">
        <v>0</v>
      </c>
      <c r="AE290" s="561">
        <v>40.450000000000003</v>
      </c>
      <c r="AF290" s="561">
        <v>0</v>
      </c>
      <c r="AG290" s="561">
        <v>0</v>
      </c>
      <c r="AH290" s="561">
        <v>0</v>
      </c>
      <c r="AI290" s="561">
        <v>0</v>
      </c>
      <c r="AJ290" s="561">
        <v>-112.27</v>
      </c>
      <c r="AK290" s="561">
        <v>0</v>
      </c>
      <c r="AL290" s="561">
        <v>0</v>
      </c>
      <c r="AM290" s="561">
        <v>0</v>
      </c>
      <c r="AN290" s="561">
        <v>0</v>
      </c>
      <c r="AO290" s="561">
        <v>0</v>
      </c>
      <c r="AP290" s="561">
        <v>0</v>
      </c>
      <c r="AQ290" s="561">
        <v>0</v>
      </c>
      <c r="AR290" s="561">
        <v>0</v>
      </c>
      <c r="AS290" s="561">
        <v>0.1</v>
      </c>
      <c r="AT290" s="561">
        <v>7.0000000000000007E-2</v>
      </c>
      <c r="AU290" s="561">
        <v>0</v>
      </c>
      <c r="AV290" s="561">
        <v>0</v>
      </c>
      <c r="AW290" s="561">
        <v>0</v>
      </c>
      <c r="AX290" s="561">
        <v>0</v>
      </c>
      <c r="AY290" s="561">
        <v>0</v>
      </c>
      <c r="AZ290" s="561">
        <v>0</v>
      </c>
      <c r="BA290" s="561">
        <v>0</v>
      </c>
      <c r="BB290" s="561">
        <v>0</v>
      </c>
      <c r="BC290" s="561">
        <v>0</v>
      </c>
      <c r="BD290" s="561">
        <v>0</v>
      </c>
      <c r="BE290" s="561">
        <v>0</v>
      </c>
      <c r="BF290" s="561">
        <v>0</v>
      </c>
      <c r="BG290" s="561">
        <v>0</v>
      </c>
      <c r="BH290" s="561">
        <v>0</v>
      </c>
      <c r="BI290" s="561">
        <v>0</v>
      </c>
      <c r="BJ290" s="561">
        <v>0</v>
      </c>
      <c r="BK290" s="561">
        <v>0</v>
      </c>
      <c r="BL290" s="561">
        <v>0</v>
      </c>
      <c r="BM290" s="561">
        <v>0</v>
      </c>
      <c r="BN290" s="561">
        <v>0</v>
      </c>
      <c r="BO290" s="561">
        <v>0</v>
      </c>
      <c r="BP290" s="561">
        <v>0</v>
      </c>
      <c r="BQ290" s="561">
        <v>0</v>
      </c>
      <c r="BR290" s="561">
        <v>0</v>
      </c>
      <c r="BS290" s="561">
        <v>0</v>
      </c>
      <c r="BT290" s="561">
        <v>0</v>
      </c>
      <c r="BU290" s="561">
        <v>0</v>
      </c>
      <c r="BV290" s="561">
        <v>0</v>
      </c>
      <c r="BW290" s="561">
        <v>0</v>
      </c>
      <c r="BX290" s="561">
        <v>0</v>
      </c>
      <c r="BY290" s="561">
        <v>0</v>
      </c>
      <c r="BZ290" s="561">
        <v>0</v>
      </c>
      <c r="CA290" s="561">
        <v>0</v>
      </c>
      <c r="CB290" s="561">
        <v>0</v>
      </c>
      <c r="CC290" s="561">
        <v>0</v>
      </c>
      <c r="CD290" s="561">
        <v>0</v>
      </c>
      <c r="CE290" s="561">
        <v>0</v>
      </c>
      <c r="CF290" s="561">
        <v>0</v>
      </c>
      <c r="CG290" s="561">
        <v>0</v>
      </c>
      <c r="CH290" s="561">
        <v>0</v>
      </c>
      <c r="CI290" s="561">
        <v>0</v>
      </c>
      <c r="CJ290" s="561">
        <v>0</v>
      </c>
      <c r="CK290" s="561">
        <v>0</v>
      </c>
      <c r="CL290" s="561">
        <v>0</v>
      </c>
      <c r="CM290" s="561">
        <v>0</v>
      </c>
      <c r="CN290" s="561">
        <v>0</v>
      </c>
      <c r="CO290" s="561">
        <v>0</v>
      </c>
      <c r="CP290" s="561">
        <v>0</v>
      </c>
      <c r="CQ290" s="561">
        <v>0</v>
      </c>
      <c r="CR290" s="561">
        <v>0</v>
      </c>
      <c r="CS290" s="561">
        <v>0</v>
      </c>
      <c r="CT290" s="561">
        <v>0</v>
      </c>
      <c r="CU290" s="561">
        <v>0</v>
      </c>
      <c r="CV290" s="561">
        <v>0</v>
      </c>
      <c r="CW290" s="561">
        <v>0</v>
      </c>
      <c r="CX290" s="561">
        <v>0</v>
      </c>
      <c r="CY290" s="561">
        <v>0</v>
      </c>
      <c r="CZ290" s="561">
        <v>0</v>
      </c>
      <c r="DA290" s="561">
        <v>0</v>
      </c>
      <c r="DB290" s="561">
        <v>0</v>
      </c>
      <c r="DC290" s="561">
        <v>0</v>
      </c>
      <c r="DD290" s="561">
        <v>0</v>
      </c>
      <c r="DE290" s="561">
        <v>0</v>
      </c>
      <c r="DF290" s="561">
        <v>0</v>
      </c>
      <c r="DG290" s="561">
        <v>0</v>
      </c>
      <c r="DH290" s="561">
        <v>556.44000000000005</v>
      </c>
      <c r="DI290" s="561">
        <v>0</v>
      </c>
      <c r="DJ290" s="561">
        <v>148.1</v>
      </c>
      <c r="DK290" s="561">
        <v>0</v>
      </c>
      <c r="DL290" s="561">
        <v>0</v>
      </c>
      <c r="DM290" s="561">
        <v>0</v>
      </c>
      <c r="DN290" s="561">
        <v>0</v>
      </c>
      <c r="DO290" s="561">
        <v>202.19</v>
      </c>
      <c r="DP290" s="561">
        <v>0</v>
      </c>
      <c r="DQ290" s="561">
        <v>0</v>
      </c>
      <c r="DR290" s="561">
        <v>427.42</v>
      </c>
      <c r="DS290" s="561">
        <v>247.19</v>
      </c>
      <c r="DT290" s="561">
        <v>270.37</v>
      </c>
      <c r="DU290" s="561">
        <v>1147.17</v>
      </c>
      <c r="DV290" s="561">
        <v>160.57</v>
      </c>
      <c r="DW290" s="561">
        <v>0</v>
      </c>
      <c r="DX290" s="561">
        <v>28.96</v>
      </c>
      <c r="DY290" s="561">
        <v>-127.83</v>
      </c>
      <c r="DZ290" s="561">
        <v>0</v>
      </c>
      <c r="EA290" s="561">
        <v>0</v>
      </c>
      <c r="EB290" s="561">
        <v>0</v>
      </c>
      <c r="EC290" s="561">
        <v>1913.41</v>
      </c>
      <c r="ED290" s="561">
        <v>0</v>
      </c>
      <c r="EE290" s="561">
        <v>0</v>
      </c>
      <c r="EF290" s="561">
        <v>0</v>
      </c>
      <c r="EG290" s="561">
        <v>0</v>
      </c>
      <c r="EH290" s="561">
        <v>0</v>
      </c>
      <c r="EI290" s="561">
        <v>0</v>
      </c>
      <c r="EJ290" s="561">
        <v>0</v>
      </c>
      <c r="EK290" s="561">
        <v>0</v>
      </c>
      <c r="EL290" s="561">
        <v>0</v>
      </c>
      <c r="EM290" s="561">
        <v>0</v>
      </c>
      <c r="EN290" s="561">
        <v>0</v>
      </c>
      <c r="EO290" s="561">
        <v>0</v>
      </c>
      <c r="EP290" s="561">
        <v>0</v>
      </c>
      <c r="EQ290" s="561">
        <v>0</v>
      </c>
      <c r="ER290" s="561">
        <v>0</v>
      </c>
      <c r="ES290" s="561" t="s">
        <v>4565</v>
      </c>
      <c r="ET290" s="561">
        <v>0</v>
      </c>
      <c r="EU290" s="561">
        <v>0</v>
      </c>
      <c r="EV290" s="561">
        <v>0</v>
      </c>
      <c r="EW290" s="561">
        <v>0</v>
      </c>
      <c r="EX290" s="561">
        <v>0</v>
      </c>
      <c r="EY290" s="561">
        <v>0</v>
      </c>
      <c r="EZ290" s="561">
        <v>0</v>
      </c>
      <c r="FA290" s="561">
        <v>0</v>
      </c>
      <c r="FB290" s="561">
        <v>0</v>
      </c>
      <c r="FC290" s="561">
        <v>14.61</v>
      </c>
      <c r="FD290" s="561">
        <v>0</v>
      </c>
      <c r="FE290" s="561">
        <v>15.2</v>
      </c>
      <c r="FF290" s="561">
        <v>167.86</v>
      </c>
      <c r="FG290" s="561">
        <v>53.27</v>
      </c>
      <c r="FH290" s="561">
        <v>0</v>
      </c>
      <c r="FI290" s="561">
        <v>110.2</v>
      </c>
      <c r="FJ290" s="561">
        <v>281.89999999999998</v>
      </c>
      <c r="FK290" s="561">
        <v>-1294.01</v>
      </c>
      <c r="FL290" s="561">
        <v>-10.82</v>
      </c>
      <c r="FM290" s="561">
        <v>30.28</v>
      </c>
      <c r="FN290" s="561">
        <v>0</v>
      </c>
      <c r="FO290" s="561">
        <v>-631.51</v>
      </c>
      <c r="FP290" s="561">
        <v>0</v>
      </c>
      <c r="FQ290" s="561">
        <v>-106.22</v>
      </c>
      <c r="FR290" s="561">
        <v>0</v>
      </c>
      <c r="FS290" s="561">
        <v>0</v>
      </c>
      <c r="FT290" s="561">
        <v>119.33</v>
      </c>
      <c r="FU290" s="561">
        <v>243.68</v>
      </c>
      <c r="FV290" s="561">
        <v>19.73</v>
      </c>
      <c r="FW290" s="561">
        <v>97.15</v>
      </c>
      <c r="FX290" s="561">
        <v>0</v>
      </c>
      <c r="FY290" s="561">
        <v>0</v>
      </c>
      <c r="FZ290" s="561">
        <v>2.11</v>
      </c>
      <c r="GA290" s="561">
        <v>100.88</v>
      </c>
      <c r="GB290" s="561">
        <v>35.68</v>
      </c>
      <c r="GC290" s="561">
        <v>160.88</v>
      </c>
      <c r="GD290" s="561">
        <v>99.54</v>
      </c>
      <c r="GE290" s="561">
        <v>41.58</v>
      </c>
      <c r="GF290" s="561">
        <v>132.31</v>
      </c>
      <c r="GG290" s="561">
        <v>0</v>
      </c>
      <c r="GH290" s="561">
        <v>1.99</v>
      </c>
      <c r="GI290" s="561">
        <v>0</v>
      </c>
      <c r="GJ290" s="561">
        <v>0</v>
      </c>
      <c r="GK290" s="561">
        <v>0</v>
      </c>
      <c r="GL290" s="561">
        <v>1135.26</v>
      </c>
      <c r="GM290" s="561">
        <v>685.44</v>
      </c>
      <c r="GN290" s="561">
        <v>0</v>
      </c>
      <c r="GO290" s="561">
        <v>0</v>
      </c>
      <c r="GP290" s="561">
        <v>1133.97</v>
      </c>
      <c r="GQ290" s="561">
        <v>0</v>
      </c>
      <c r="GR290" s="561">
        <v>0</v>
      </c>
      <c r="GS290" s="561">
        <v>3903.31</v>
      </c>
      <c r="GT290" s="561">
        <v>182</v>
      </c>
      <c r="GU290" s="561">
        <v>-35.11</v>
      </c>
      <c r="GV290" s="561">
        <v>186.54</v>
      </c>
      <c r="GW290" s="561">
        <v>0</v>
      </c>
      <c r="GX290" s="561">
        <v>300.26</v>
      </c>
      <c r="GY290" s="561">
        <v>59.81</v>
      </c>
      <c r="GZ290" s="561">
        <v>2200.4499999999998</v>
      </c>
      <c r="HA290" s="561">
        <v>0</v>
      </c>
      <c r="HB290" s="561">
        <v>0</v>
      </c>
      <c r="HC290" s="561">
        <v>724.28</v>
      </c>
      <c r="HD290" s="561">
        <v>3436.23</v>
      </c>
      <c r="HE290" s="561">
        <v>0</v>
      </c>
      <c r="HF290" s="561">
        <v>6708.03</v>
      </c>
      <c r="HG290" s="561">
        <v>0</v>
      </c>
      <c r="HH290" s="561">
        <v>0</v>
      </c>
      <c r="HI290" s="561">
        <v>0</v>
      </c>
      <c r="HJ290" s="561">
        <v>0</v>
      </c>
      <c r="HK290" s="561">
        <v>0</v>
      </c>
      <c r="HL290" s="561">
        <v>0</v>
      </c>
      <c r="HM290" s="561">
        <v>0</v>
      </c>
      <c r="HN290" s="561">
        <v>0</v>
      </c>
      <c r="HO290" s="561">
        <v>1879.48</v>
      </c>
      <c r="HP290" s="561">
        <v>610.33000000000004</v>
      </c>
      <c r="HQ290" s="561">
        <v>0</v>
      </c>
      <c r="HR290" s="561">
        <v>0</v>
      </c>
      <c r="HS290" s="561">
        <v>260.81</v>
      </c>
      <c r="HT290" s="561">
        <v>115.01</v>
      </c>
      <c r="HU290" s="561">
        <v>0</v>
      </c>
      <c r="HV290" s="561">
        <v>0</v>
      </c>
      <c r="HW290" s="561">
        <v>107</v>
      </c>
      <c r="HX290" s="561">
        <v>144.82</v>
      </c>
      <c r="HY290" s="561">
        <v>49.31</v>
      </c>
      <c r="HZ290" s="561">
        <v>7.47</v>
      </c>
      <c r="IA290" s="561">
        <v>0</v>
      </c>
      <c r="IB290" s="561">
        <v>626.84</v>
      </c>
      <c r="IC290" s="561">
        <v>0</v>
      </c>
      <c r="ID290" s="561">
        <v>0</v>
      </c>
      <c r="IE290" s="561">
        <v>293.86</v>
      </c>
      <c r="IF290" s="561">
        <v>0</v>
      </c>
      <c r="IG290" s="561">
        <v>0</v>
      </c>
      <c r="IH290" s="561">
        <v>0</v>
      </c>
      <c r="II290" s="561">
        <v>4094.93</v>
      </c>
      <c r="IJ290" s="561">
        <v>31</v>
      </c>
      <c r="IK290" s="561">
        <v>0</v>
      </c>
      <c r="IL290" s="561">
        <v>0</v>
      </c>
      <c r="IM290" s="561">
        <v>0</v>
      </c>
      <c r="IN290" s="561">
        <v>0</v>
      </c>
      <c r="IO290" s="561">
        <v>0</v>
      </c>
      <c r="IP290" s="561">
        <v>0</v>
      </c>
      <c r="IQ290" s="561">
        <v>0</v>
      </c>
      <c r="IR290" s="561">
        <v>0</v>
      </c>
      <c r="IS290" s="561">
        <v>-112.27</v>
      </c>
      <c r="IT290" s="561">
        <v>0</v>
      </c>
      <c r="IU290" s="561">
        <v>0</v>
      </c>
      <c r="IV290" s="561">
        <v>0</v>
      </c>
      <c r="IW290" s="561">
        <v>1913.41</v>
      </c>
      <c r="IX290" s="561">
        <v>-631.51</v>
      </c>
      <c r="IY290" s="561">
        <v>3903.31</v>
      </c>
      <c r="IZ290" s="561">
        <v>3436.23</v>
      </c>
      <c r="JA290" s="561">
        <v>0</v>
      </c>
      <c r="JB290" s="561">
        <v>0</v>
      </c>
      <c r="JC290" s="561">
        <v>4094.93</v>
      </c>
      <c r="JD290" s="561">
        <v>0</v>
      </c>
      <c r="JE290" s="561">
        <v>12604.1</v>
      </c>
      <c r="JF290" s="561">
        <v>23594.66</v>
      </c>
      <c r="JG290" s="561">
        <v>117</v>
      </c>
      <c r="JH290" s="561">
        <v>0</v>
      </c>
      <c r="JI290" s="561">
        <v>0</v>
      </c>
      <c r="JJ290" s="561">
        <v>0</v>
      </c>
      <c r="JK290" s="561">
        <v>0</v>
      </c>
      <c r="JL290" s="561">
        <v>0</v>
      </c>
      <c r="JM290" s="561">
        <v>0</v>
      </c>
      <c r="JN290" s="561">
        <v>0</v>
      </c>
      <c r="JO290" s="561">
        <v>0</v>
      </c>
      <c r="JP290" s="561">
        <v>-7894.54</v>
      </c>
      <c r="JQ290" s="561">
        <v>6982.46</v>
      </c>
      <c r="JR290" s="561">
        <v>385.71</v>
      </c>
      <c r="JS290" s="561">
        <v>-1368</v>
      </c>
      <c r="JT290" s="561">
        <v>-39</v>
      </c>
      <c r="JU290" s="561">
        <v>0</v>
      </c>
      <c r="JV290" s="561">
        <v>34382.39</v>
      </c>
      <c r="JW290" s="561">
        <v>0</v>
      </c>
      <c r="JX290" s="561">
        <v>13.1</v>
      </c>
      <c r="JY290" s="561">
        <v>0</v>
      </c>
      <c r="JZ290" s="561">
        <v>0</v>
      </c>
      <c r="KA290" s="561">
        <v>0</v>
      </c>
      <c r="KB290" s="561">
        <v>-161.44</v>
      </c>
      <c r="KC290" s="561">
        <v>1746.19</v>
      </c>
      <c r="KD290" s="561">
        <v>317.35000000000002</v>
      </c>
      <c r="KE290" s="561">
        <v>7009.89</v>
      </c>
      <c r="KF290" s="561">
        <v>0</v>
      </c>
      <c r="KG290" s="561">
        <v>43307.48</v>
      </c>
      <c r="KH290" s="561">
        <v>-4102.45</v>
      </c>
      <c r="KI290" s="561">
        <v>0</v>
      </c>
      <c r="KJ290" s="561">
        <v>897</v>
      </c>
      <c r="KK290" s="561">
        <v>0</v>
      </c>
      <c r="KL290" s="561">
        <v>-25071.31</v>
      </c>
      <c r="KM290" s="561">
        <v>0</v>
      </c>
      <c r="KN290" s="561">
        <v>0</v>
      </c>
      <c r="KO290" s="561">
        <v>0</v>
      </c>
      <c r="KP290" s="561">
        <v>0</v>
      </c>
      <c r="KQ290" s="561">
        <v>0</v>
      </c>
      <c r="KR290" s="561">
        <v>15030.72</v>
      </c>
      <c r="KS290" s="561">
        <v>0</v>
      </c>
      <c r="KT290" s="561">
        <v>-4411.57</v>
      </c>
      <c r="KU290" s="561">
        <v>10619.15</v>
      </c>
      <c r="KV290" s="561">
        <v>0</v>
      </c>
      <c r="KW290" s="561">
        <v>0</v>
      </c>
      <c r="KX290" s="561">
        <v>0</v>
      </c>
      <c r="KY290" s="561">
        <v>0</v>
      </c>
      <c r="KZ290" s="561">
        <v>1578</v>
      </c>
      <c r="LA290" s="561">
        <v>-238</v>
      </c>
      <c r="LB290" s="561">
        <v>-111</v>
      </c>
      <c r="LC290" s="561">
        <v>0</v>
      </c>
      <c r="LD290" s="561">
        <v>-4063</v>
      </c>
      <c r="LE290" s="561">
        <v>-22.73</v>
      </c>
      <c r="LF290" s="561">
        <v>-79.7</v>
      </c>
      <c r="LG290" s="561">
        <v>7683</v>
      </c>
      <c r="LH290" s="561">
        <v>0</v>
      </c>
      <c r="LI290" s="561">
        <v>0</v>
      </c>
      <c r="LJ290" s="561">
        <v>0</v>
      </c>
      <c r="LK290" s="561">
        <v>0</v>
      </c>
      <c r="LL290" s="561">
        <v>19470</v>
      </c>
      <c r="LM290" s="561">
        <v>3349</v>
      </c>
      <c r="LN290" s="561">
        <v>0</v>
      </c>
      <c r="LO290" s="561">
        <v>0</v>
      </c>
      <c r="LP290" s="561">
        <v>0</v>
      </c>
      <c r="LQ290" s="561">
        <v>0</v>
      </c>
      <c r="LR290" s="561">
        <v>21048</v>
      </c>
      <c r="LS290" s="561">
        <v>3111</v>
      </c>
      <c r="LT290" s="561">
        <v>0</v>
      </c>
      <c r="LU290" s="561">
        <v>1165</v>
      </c>
      <c r="LV290" s="561">
        <v>29700</v>
      </c>
      <c r="LW290" s="561">
        <v>0</v>
      </c>
      <c r="LX290" s="561">
        <v>1138</v>
      </c>
      <c r="LY290" s="561">
        <v>1043.44</v>
      </c>
      <c r="LZ290" s="561">
        <v>33046.44</v>
      </c>
      <c r="MA290" s="561">
        <v>0</v>
      </c>
      <c r="MB290" s="561">
        <v>0</v>
      </c>
      <c r="MC290" s="561">
        <v>0</v>
      </c>
      <c r="MD290" s="561">
        <v>0</v>
      </c>
      <c r="ME290" s="561">
        <v>0</v>
      </c>
      <c r="MF290" s="561">
        <v>0</v>
      </c>
      <c r="MG290" s="561">
        <v>0</v>
      </c>
      <c r="MH290" s="561">
        <v>2419</v>
      </c>
      <c r="MI290" s="561">
        <v>3744</v>
      </c>
      <c r="MJ290" s="561">
        <v>6163</v>
      </c>
      <c r="MK290" s="561">
        <v>0</v>
      </c>
      <c r="ML290" s="561">
        <v>9305</v>
      </c>
      <c r="MM290" s="561">
        <v>1052</v>
      </c>
      <c r="MN290" s="561">
        <v>6243</v>
      </c>
      <c r="MO290" s="561">
        <v>4223</v>
      </c>
      <c r="MP290" s="561">
        <v>225</v>
      </c>
      <c r="MQ290" s="561">
        <v>0</v>
      </c>
      <c r="MR290" s="561">
        <v>-112.27</v>
      </c>
      <c r="MS290" s="561">
        <v>0</v>
      </c>
      <c r="MT290" s="561">
        <v>0</v>
      </c>
      <c r="MU290" s="561">
        <v>0</v>
      </c>
      <c r="MV290" s="561">
        <v>1913.41</v>
      </c>
      <c r="MW290" s="561">
        <v>-631.51</v>
      </c>
      <c r="MX290" s="561">
        <v>3903.31</v>
      </c>
      <c r="MY290" s="561">
        <v>3436.23</v>
      </c>
      <c r="MZ290" s="561">
        <v>0</v>
      </c>
      <c r="NA290" s="561">
        <v>0</v>
      </c>
      <c r="NB290" s="561">
        <v>4094.93</v>
      </c>
      <c r="NC290" s="561">
        <v>0</v>
      </c>
      <c r="ND290" s="561">
        <v>12604.1</v>
      </c>
      <c r="NE290" s="561">
        <v>-82.69</v>
      </c>
      <c r="NF290" s="561">
        <v>0</v>
      </c>
      <c r="NG290" s="561">
        <v>0</v>
      </c>
      <c r="NH290" s="561">
        <v>0</v>
      </c>
      <c r="NI290" s="561">
        <v>0</v>
      </c>
      <c r="NJ290" s="561">
        <v>0</v>
      </c>
      <c r="NK290" s="561">
        <v>0</v>
      </c>
      <c r="NL290" s="561">
        <v>0</v>
      </c>
      <c r="NM290" s="561">
        <v>-309.62</v>
      </c>
      <c r="NN290" s="561">
        <v>0</v>
      </c>
      <c r="NO290" s="561">
        <v>0</v>
      </c>
      <c r="NP290" s="561">
        <v>0</v>
      </c>
      <c r="NQ290" s="561">
        <v>0</v>
      </c>
      <c r="NR290" s="561">
        <v>0</v>
      </c>
      <c r="NS290" s="561">
        <v>0</v>
      </c>
      <c r="NT290" s="561">
        <v>-643.4</v>
      </c>
      <c r="NU290" s="561">
        <v>-988</v>
      </c>
      <c r="NV290" s="561">
        <v>0</v>
      </c>
      <c r="NW290" s="561">
        <v>-7508.83</v>
      </c>
      <c r="NX290" s="561">
        <v>-385.71</v>
      </c>
      <c r="NY290" s="561">
        <v>-7894.54</v>
      </c>
      <c r="NZ290" s="561">
        <v>0</v>
      </c>
      <c r="OA290" s="561">
        <v>0</v>
      </c>
      <c r="OB290" s="561">
        <v>0</v>
      </c>
      <c r="OC290" s="561">
        <v>0</v>
      </c>
      <c r="OD290" s="561">
        <v>0</v>
      </c>
      <c r="OE290" s="561">
        <v>0</v>
      </c>
      <c r="OF290" s="561">
        <v>224.94</v>
      </c>
      <c r="OG290" s="561">
        <v>28.38</v>
      </c>
      <c r="OH290" s="561">
        <v>0</v>
      </c>
      <c r="OI290" s="561">
        <v>63.31</v>
      </c>
      <c r="OJ290" s="561">
        <v>0</v>
      </c>
      <c r="OK290" s="561">
        <v>0</v>
      </c>
      <c r="OL290" s="561">
        <v>0</v>
      </c>
      <c r="OM290" s="561">
        <v>0</v>
      </c>
      <c r="ON290" s="561">
        <v>0</v>
      </c>
      <c r="OO290" s="561">
        <v>0</v>
      </c>
      <c r="OP290" s="561">
        <v>0</v>
      </c>
      <c r="OQ290" s="561">
        <v>2823.54</v>
      </c>
      <c r="OR290" s="561">
        <v>994.6</v>
      </c>
      <c r="OS290" s="561">
        <v>-819.07</v>
      </c>
      <c r="OT290" s="561">
        <v>639.91999999999996</v>
      </c>
      <c r="OU290" s="561">
        <v>262.43</v>
      </c>
      <c r="OV290" s="561">
        <v>0</v>
      </c>
      <c r="OW290" s="561">
        <v>1368</v>
      </c>
      <c r="OX290" s="561">
        <v>6982.46</v>
      </c>
      <c r="OY290" s="561">
        <v>-385.71</v>
      </c>
      <c r="OZ290" s="561">
        <v>0</v>
      </c>
      <c r="PA290" s="561">
        <v>0</v>
      </c>
      <c r="PB290" s="561">
        <v>0</v>
      </c>
      <c r="PC290" s="561">
        <v>0</v>
      </c>
      <c r="PD290" s="561">
        <v>-385.71</v>
      </c>
      <c r="PE290" s="561">
        <v>1368</v>
      </c>
      <c r="PF290" s="561">
        <v>0</v>
      </c>
      <c r="PG290" s="561">
        <v>0</v>
      </c>
      <c r="PH290" s="561">
        <v>0</v>
      </c>
      <c r="PI290" s="561">
        <v>0</v>
      </c>
      <c r="PJ290" s="561">
        <v>1368</v>
      </c>
    </row>
    <row r="291" spans="1:426" ht="14" x14ac:dyDescent="0.3">
      <c r="A291" t="s">
        <v>3316</v>
      </c>
      <c r="B291" t="s">
        <v>3317</v>
      </c>
      <c r="C291" t="s">
        <v>4654</v>
      </c>
      <c r="E291" t="s">
        <v>385</v>
      </c>
      <c r="F291" s="561">
        <v>3068</v>
      </c>
      <c r="G291" s="561">
        <v>4030</v>
      </c>
      <c r="H291" s="561">
        <v>1440</v>
      </c>
      <c r="I291" s="561">
        <v>4338</v>
      </c>
      <c r="J291" s="561">
        <v>688</v>
      </c>
      <c r="K291" s="561">
        <v>10701</v>
      </c>
      <c r="L291" s="561">
        <v>24265</v>
      </c>
      <c r="M291" s="561">
        <v>22</v>
      </c>
      <c r="N291" s="561">
        <v>503.59</v>
      </c>
      <c r="O291" s="561">
        <v>460</v>
      </c>
      <c r="P291" s="561">
        <v>56.92</v>
      </c>
      <c r="Q291" s="561">
        <v>125.44</v>
      </c>
      <c r="R291" s="561">
        <v>50.77</v>
      </c>
      <c r="S291" s="561">
        <v>439.03</v>
      </c>
      <c r="T291" s="561">
        <v>521.05999999999995</v>
      </c>
      <c r="U291" s="561">
        <v>276.5</v>
      </c>
      <c r="V291" s="561">
        <v>142.78</v>
      </c>
      <c r="W291" s="561">
        <v>0</v>
      </c>
      <c r="X291" s="561">
        <v>0</v>
      </c>
      <c r="Y291" s="561">
        <v>96.57</v>
      </c>
      <c r="Z291" s="561">
        <v>0</v>
      </c>
      <c r="AA291" s="561">
        <v>138.27000000000001</v>
      </c>
      <c r="AB291" s="561">
        <v>-445.08</v>
      </c>
      <c r="AC291" s="561">
        <v>313.5</v>
      </c>
      <c r="AD291" s="561">
        <v>0</v>
      </c>
      <c r="AE291" s="561">
        <v>1181.82</v>
      </c>
      <c r="AF291" s="561">
        <v>0</v>
      </c>
      <c r="AG291" s="561">
        <v>0</v>
      </c>
      <c r="AH291" s="561">
        <v>353.83</v>
      </c>
      <c r="AI291" s="561">
        <v>0</v>
      </c>
      <c r="AJ291" s="561">
        <v>4215</v>
      </c>
      <c r="AK291" s="561">
        <v>939</v>
      </c>
      <c r="AL291" s="561">
        <v>0</v>
      </c>
      <c r="AM291" s="561">
        <v>0</v>
      </c>
      <c r="AN291" s="561">
        <v>0</v>
      </c>
      <c r="AO291" s="561">
        <v>0</v>
      </c>
      <c r="AP291" s="561">
        <v>62</v>
      </c>
      <c r="AQ291" s="561">
        <v>0</v>
      </c>
      <c r="AR291" s="561">
        <v>0</v>
      </c>
      <c r="AS291" s="561">
        <v>32</v>
      </c>
      <c r="AT291" s="561">
        <v>24</v>
      </c>
      <c r="AU291" s="561">
        <v>0</v>
      </c>
      <c r="AV291" s="561">
        <v>0</v>
      </c>
      <c r="AW291" s="561">
        <v>0</v>
      </c>
      <c r="AX291" s="561">
        <v>221</v>
      </c>
      <c r="AY291" s="561">
        <v>3702</v>
      </c>
      <c r="AZ291" s="561">
        <v>9</v>
      </c>
      <c r="BA291" s="561">
        <v>3419</v>
      </c>
      <c r="BB291" s="561">
        <v>0</v>
      </c>
      <c r="BC291" s="561">
        <v>777</v>
      </c>
      <c r="BD291" s="561">
        <v>439</v>
      </c>
      <c r="BE291" s="561">
        <v>351</v>
      </c>
      <c r="BF291" s="561">
        <v>8918</v>
      </c>
      <c r="BG291" s="561">
        <v>586</v>
      </c>
      <c r="BH291" s="561">
        <v>1489</v>
      </c>
      <c r="BI291" s="561">
        <v>6813</v>
      </c>
      <c r="BJ291" s="561">
        <v>144</v>
      </c>
      <c r="BK291" s="561">
        <v>8</v>
      </c>
      <c r="BL291" s="561">
        <v>12</v>
      </c>
      <c r="BM291" s="561">
        <v>923</v>
      </c>
      <c r="BN291" s="561">
        <v>4188</v>
      </c>
      <c r="BO291" s="561">
        <v>513</v>
      </c>
      <c r="BP291" s="561">
        <v>924</v>
      </c>
      <c r="BQ291" s="561">
        <v>315</v>
      </c>
      <c r="BR291" s="561">
        <v>0</v>
      </c>
      <c r="BS291" s="561">
        <v>0</v>
      </c>
      <c r="BT291" s="561">
        <v>51</v>
      </c>
      <c r="BU291" s="561">
        <v>44</v>
      </c>
      <c r="BV291" s="561">
        <v>179</v>
      </c>
      <c r="BW291" s="561">
        <v>959</v>
      </c>
      <c r="BX291" s="561">
        <v>992</v>
      </c>
      <c r="BY291" s="561">
        <v>754</v>
      </c>
      <c r="BZ291" s="561">
        <v>18308</v>
      </c>
      <c r="CA291" s="561">
        <v>468</v>
      </c>
      <c r="CB291" s="561">
        <v>127</v>
      </c>
      <c r="CC291" s="561">
        <v>56</v>
      </c>
      <c r="CD291" s="561">
        <v>10</v>
      </c>
      <c r="CE291" s="561">
        <v>63</v>
      </c>
      <c r="CF291" s="561">
        <v>29</v>
      </c>
      <c r="CG291" s="561">
        <v>12</v>
      </c>
      <c r="CH291" s="561">
        <v>36</v>
      </c>
      <c r="CI291" s="561">
        <v>13</v>
      </c>
      <c r="CJ291" s="561">
        <v>2</v>
      </c>
      <c r="CK291" s="561">
        <v>108</v>
      </c>
      <c r="CL291" s="561">
        <v>10</v>
      </c>
      <c r="CM291" s="561">
        <v>71</v>
      </c>
      <c r="CN291" s="561">
        <v>67</v>
      </c>
      <c r="CO291" s="561">
        <v>5</v>
      </c>
      <c r="CP291" s="561">
        <v>5</v>
      </c>
      <c r="CQ291" s="561">
        <v>6</v>
      </c>
      <c r="CR291" s="561">
        <v>63</v>
      </c>
      <c r="CS291" s="561">
        <v>1</v>
      </c>
      <c r="CT291" s="561">
        <v>287</v>
      </c>
      <c r="CU291" s="561">
        <v>259</v>
      </c>
      <c r="CV291" s="561">
        <v>60</v>
      </c>
      <c r="CW291" s="561">
        <v>0</v>
      </c>
      <c r="CX291" s="561">
        <v>16</v>
      </c>
      <c r="CY291" s="561">
        <v>371</v>
      </c>
      <c r="CZ291" s="561">
        <v>1677</v>
      </c>
      <c r="DA291" s="561">
        <v>0</v>
      </c>
      <c r="DB291" s="561">
        <v>0</v>
      </c>
      <c r="DC291" s="561">
        <v>0</v>
      </c>
      <c r="DD291" s="561">
        <v>0</v>
      </c>
      <c r="DE291" s="561">
        <v>0</v>
      </c>
      <c r="DF291" s="561">
        <v>0</v>
      </c>
      <c r="DG291" s="561">
        <v>0</v>
      </c>
      <c r="DH291" s="561">
        <v>394</v>
      </c>
      <c r="DI291" s="561">
        <v>0</v>
      </c>
      <c r="DJ291" s="561">
        <v>0</v>
      </c>
      <c r="DK291" s="561">
        <v>0</v>
      </c>
      <c r="DL291" s="561">
        <v>0</v>
      </c>
      <c r="DM291" s="561">
        <v>0</v>
      </c>
      <c r="DN291" s="561">
        <v>0</v>
      </c>
      <c r="DO291" s="561">
        <v>232</v>
      </c>
      <c r="DP291" s="561">
        <v>0</v>
      </c>
      <c r="DQ291" s="561">
        <v>0</v>
      </c>
      <c r="DR291" s="561">
        <v>0</v>
      </c>
      <c r="DS291" s="561">
        <v>105</v>
      </c>
      <c r="DT291" s="561">
        <v>0</v>
      </c>
      <c r="DU291" s="561">
        <v>337</v>
      </c>
      <c r="DV291" s="561">
        <v>7</v>
      </c>
      <c r="DW291" s="561">
        <v>0</v>
      </c>
      <c r="DX291" s="561">
        <v>0</v>
      </c>
      <c r="DY291" s="561">
        <v>95</v>
      </c>
      <c r="DZ291" s="561">
        <v>0</v>
      </c>
      <c r="EA291" s="561">
        <v>17</v>
      </c>
      <c r="EB291" s="561">
        <v>0</v>
      </c>
      <c r="EC291" s="561">
        <v>850</v>
      </c>
      <c r="ED291" s="561">
        <v>63</v>
      </c>
      <c r="EE291" s="561">
        <v>0</v>
      </c>
      <c r="EF291" s="561">
        <v>0</v>
      </c>
      <c r="EG291" s="561">
        <v>0</v>
      </c>
      <c r="EH291" s="561">
        <v>0</v>
      </c>
      <c r="EI291" s="561">
        <v>0</v>
      </c>
      <c r="EJ291" s="561">
        <v>0</v>
      </c>
      <c r="EK291" s="561">
        <v>0</v>
      </c>
      <c r="EL291" s="561">
        <v>0</v>
      </c>
      <c r="EM291" s="561">
        <v>0</v>
      </c>
      <c r="EN291" s="561">
        <v>0</v>
      </c>
      <c r="EO291" s="561">
        <v>0</v>
      </c>
      <c r="EP291" s="561">
        <v>0</v>
      </c>
      <c r="EQ291" s="561">
        <v>0</v>
      </c>
      <c r="ER291" s="561">
        <v>0</v>
      </c>
      <c r="ES291" s="561" t="s">
        <v>4565</v>
      </c>
      <c r="ET291" s="561">
        <v>0</v>
      </c>
      <c r="EU291" s="561">
        <v>0</v>
      </c>
      <c r="EV291" s="561">
        <v>0</v>
      </c>
      <c r="EW291" s="561">
        <v>0</v>
      </c>
      <c r="EX291" s="561">
        <v>0</v>
      </c>
      <c r="EY291" s="561">
        <v>0</v>
      </c>
      <c r="EZ291" s="561">
        <v>0</v>
      </c>
      <c r="FA291" s="561">
        <v>0</v>
      </c>
      <c r="FB291" s="561">
        <v>11.07</v>
      </c>
      <c r="FC291" s="561">
        <v>11.07</v>
      </c>
      <c r="FD291" s="561">
        <v>33.22</v>
      </c>
      <c r="FE291" s="561">
        <v>536.71</v>
      </c>
      <c r="FF291" s="561">
        <v>0</v>
      </c>
      <c r="FG291" s="561">
        <v>0</v>
      </c>
      <c r="FH291" s="561">
        <v>0</v>
      </c>
      <c r="FI291" s="561">
        <v>167</v>
      </c>
      <c r="FJ291" s="561">
        <v>162</v>
      </c>
      <c r="FK291" s="561">
        <v>193.81</v>
      </c>
      <c r="FL291" s="561">
        <v>0</v>
      </c>
      <c r="FM291" s="561">
        <v>87.98</v>
      </c>
      <c r="FN291" s="561">
        <v>731</v>
      </c>
      <c r="FO291" s="561">
        <v>1933.86</v>
      </c>
      <c r="FP291" s="561">
        <v>103</v>
      </c>
      <c r="FQ291" s="561">
        <v>18.7</v>
      </c>
      <c r="FR291" s="561">
        <v>814.97</v>
      </c>
      <c r="FS291" s="561">
        <v>16.32</v>
      </c>
      <c r="FT291" s="561">
        <v>16.32</v>
      </c>
      <c r="FU291" s="561">
        <v>16.32</v>
      </c>
      <c r="FV291" s="561">
        <v>16.32</v>
      </c>
      <c r="FW291" s="561">
        <v>16.32</v>
      </c>
      <c r="FX291" s="561">
        <v>0</v>
      </c>
      <c r="FY291" s="561">
        <v>0</v>
      </c>
      <c r="FZ291" s="561">
        <v>2.23</v>
      </c>
      <c r="GA291" s="561">
        <v>0</v>
      </c>
      <c r="GB291" s="561">
        <v>16.32</v>
      </c>
      <c r="GC291" s="561">
        <v>-149.85</v>
      </c>
      <c r="GD291" s="561">
        <v>125.65</v>
      </c>
      <c r="GE291" s="561">
        <v>0</v>
      </c>
      <c r="GF291" s="561">
        <v>13.04</v>
      </c>
      <c r="GG291" s="561">
        <v>5.0199999999999996</v>
      </c>
      <c r="GH291" s="561">
        <v>39.72</v>
      </c>
      <c r="GI291" s="561">
        <v>0</v>
      </c>
      <c r="GJ291" s="561">
        <v>0</v>
      </c>
      <c r="GK291" s="561">
        <v>0</v>
      </c>
      <c r="GL291" s="561">
        <v>1043.49</v>
      </c>
      <c r="GM291" s="561">
        <v>1333.32</v>
      </c>
      <c r="GN291" s="561">
        <v>2320.46</v>
      </c>
      <c r="GO291" s="561">
        <v>12.16</v>
      </c>
      <c r="GP291" s="561">
        <v>246.23</v>
      </c>
      <c r="GQ291" s="561">
        <v>16.32</v>
      </c>
      <c r="GR291" s="561">
        <v>7.98</v>
      </c>
      <c r="GS291" s="561">
        <v>5947.36</v>
      </c>
      <c r="GT291" s="561">
        <v>0</v>
      </c>
      <c r="GU291" s="561">
        <v>137.41999999999999</v>
      </c>
      <c r="GV291" s="561">
        <v>-34.270000000000003</v>
      </c>
      <c r="GW291" s="561">
        <v>0</v>
      </c>
      <c r="GX291" s="561">
        <v>1009.7</v>
      </c>
      <c r="GY291" s="561">
        <v>29.23</v>
      </c>
      <c r="GZ291" s="561">
        <v>0</v>
      </c>
      <c r="HA291" s="561">
        <v>0</v>
      </c>
      <c r="HB291" s="561">
        <v>0</v>
      </c>
      <c r="HC291" s="561">
        <v>686.71</v>
      </c>
      <c r="HD291" s="561">
        <v>1828.79</v>
      </c>
      <c r="HE291" s="561">
        <v>119</v>
      </c>
      <c r="HF291" s="561">
        <v>9710.01</v>
      </c>
      <c r="HG291" s="561">
        <v>0</v>
      </c>
      <c r="HH291" s="561">
        <v>0</v>
      </c>
      <c r="HI291" s="561">
        <v>0</v>
      </c>
      <c r="HJ291" s="561">
        <v>0</v>
      </c>
      <c r="HK291" s="561">
        <v>0</v>
      </c>
      <c r="HL291" s="561">
        <v>0</v>
      </c>
      <c r="HM291" s="561">
        <v>0</v>
      </c>
      <c r="HN291" s="561">
        <v>0</v>
      </c>
      <c r="HO291" s="561">
        <v>819</v>
      </c>
      <c r="HP291" s="561">
        <v>317</v>
      </c>
      <c r="HQ291" s="561">
        <v>0</v>
      </c>
      <c r="HR291" s="561">
        <v>0</v>
      </c>
      <c r="HS291" s="561">
        <v>102</v>
      </c>
      <c r="HT291" s="561">
        <v>76</v>
      </c>
      <c r="HU291" s="561">
        <v>0</v>
      </c>
      <c r="HV291" s="561">
        <v>-36.15</v>
      </c>
      <c r="HW291" s="561">
        <v>130</v>
      </c>
      <c r="HX291" s="561">
        <v>12</v>
      </c>
      <c r="HY291" s="561">
        <v>45</v>
      </c>
      <c r="HZ291" s="561">
        <v>7.81</v>
      </c>
      <c r="IA291" s="561">
        <v>334</v>
      </c>
      <c r="IB291" s="561">
        <v>0</v>
      </c>
      <c r="IC291" s="561">
        <v>109</v>
      </c>
      <c r="ID291" s="561">
        <v>0</v>
      </c>
      <c r="IE291" s="561">
        <v>863</v>
      </c>
      <c r="IF291" s="561">
        <v>0</v>
      </c>
      <c r="IG291" s="561">
        <v>0</v>
      </c>
      <c r="IH291" s="561">
        <v>-16</v>
      </c>
      <c r="II291" s="561">
        <v>2762.66</v>
      </c>
      <c r="IJ291" s="561">
        <v>499</v>
      </c>
      <c r="IK291" s="561">
        <v>6833</v>
      </c>
      <c r="IL291" s="561">
        <v>0</v>
      </c>
      <c r="IM291" s="561">
        <v>0</v>
      </c>
      <c r="IN291" s="561">
        <v>0</v>
      </c>
      <c r="IO291" s="561">
        <v>1701</v>
      </c>
      <c r="IP291" s="561">
        <v>0</v>
      </c>
      <c r="IQ291" s="561">
        <v>0</v>
      </c>
      <c r="IR291" s="561">
        <v>24265</v>
      </c>
      <c r="IS291" s="561">
        <v>4215</v>
      </c>
      <c r="IT291" s="561">
        <v>8918</v>
      </c>
      <c r="IU291" s="561">
        <v>18308</v>
      </c>
      <c r="IV291" s="561">
        <v>1677</v>
      </c>
      <c r="IW291" s="561">
        <v>850</v>
      </c>
      <c r="IX291" s="561">
        <v>1933.86</v>
      </c>
      <c r="IY291" s="561">
        <v>5947.36</v>
      </c>
      <c r="IZ291" s="561">
        <v>1828.79</v>
      </c>
      <c r="JA291" s="561">
        <v>0</v>
      </c>
      <c r="JB291" s="561">
        <v>0</v>
      </c>
      <c r="JC291" s="561">
        <v>2762.66</v>
      </c>
      <c r="JD291" s="561">
        <v>0</v>
      </c>
      <c r="JE291" s="561">
        <v>70705.67</v>
      </c>
      <c r="JF291" s="561">
        <v>4679</v>
      </c>
      <c r="JG291" s="561">
        <v>0</v>
      </c>
      <c r="JH291" s="561">
        <v>0</v>
      </c>
      <c r="JI291" s="561">
        <v>0</v>
      </c>
      <c r="JJ291" s="561">
        <v>0</v>
      </c>
      <c r="JK291" s="561">
        <v>993</v>
      </c>
      <c r="JL291" s="561">
        <v>0</v>
      </c>
      <c r="JM291" s="561">
        <v>0</v>
      </c>
      <c r="JN291" s="561">
        <v>0</v>
      </c>
      <c r="JO291" s="561">
        <v>0</v>
      </c>
      <c r="JP291" s="561">
        <v>0</v>
      </c>
      <c r="JQ291" s="561">
        <v>0</v>
      </c>
      <c r="JR291" s="561">
        <v>0</v>
      </c>
      <c r="JS291" s="561">
        <v>0</v>
      </c>
      <c r="JT291" s="561">
        <v>-31</v>
      </c>
      <c r="JU291" s="561">
        <v>0</v>
      </c>
      <c r="JV291" s="561">
        <v>76346.67</v>
      </c>
      <c r="JW291" s="561">
        <v>43</v>
      </c>
      <c r="JX291" s="561">
        <v>0</v>
      </c>
      <c r="JY291" s="561">
        <v>0</v>
      </c>
      <c r="JZ291" s="561">
        <v>0</v>
      </c>
      <c r="KA291" s="561">
        <v>0</v>
      </c>
      <c r="KB291" s="561">
        <v>163</v>
      </c>
      <c r="KC291" s="561">
        <v>911</v>
      </c>
      <c r="KD291" s="561">
        <v>0</v>
      </c>
      <c r="KE291" s="561">
        <v>1399</v>
      </c>
      <c r="KF291" s="561">
        <v>0</v>
      </c>
      <c r="KG291" s="561">
        <v>78862.67</v>
      </c>
      <c r="KH291" s="561">
        <v>-3026</v>
      </c>
      <c r="KI291" s="561">
        <v>0</v>
      </c>
      <c r="KJ291" s="561">
        <v>-408</v>
      </c>
      <c r="KK291" s="561">
        <v>0</v>
      </c>
      <c r="KL291" s="561">
        <v>-5151</v>
      </c>
      <c r="KM291" s="561">
        <v>0</v>
      </c>
      <c r="KN291" s="561">
        <v>-108</v>
      </c>
      <c r="KO291" s="561">
        <v>0</v>
      </c>
      <c r="KP291" s="561">
        <v>0</v>
      </c>
      <c r="KQ291" s="561">
        <v>-2931</v>
      </c>
      <c r="KR291" s="561">
        <v>67238.67</v>
      </c>
      <c r="KS291" s="561">
        <v>0</v>
      </c>
      <c r="KT291" s="561">
        <v>-25292.560000000001</v>
      </c>
      <c r="KU291" s="561">
        <v>41946.11</v>
      </c>
      <c r="KV291" s="561">
        <v>0</v>
      </c>
      <c r="KW291" s="561">
        <v>0</v>
      </c>
      <c r="KX291" s="561">
        <v>0</v>
      </c>
      <c r="KY291" s="561">
        <v>-120</v>
      </c>
      <c r="KZ291" s="561">
        <v>1206</v>
      </c>
      <c r="LA291" s="561">
        <v>0</v>
      </c>
      <c r="LB291" s="561">
        <v>-49</v>
      </c>
      <c r="LC291" s="561">
        <v>0</v>
      </c>
      <c r="LD291" s="561">
        <v>-7837</v>
      </c>
      <c r="LE291" s="561">
        <v>-272</v>
      </c>
      <c r="LF291" s="561">
        <v>0</v>
      </c>
      <c r="LG291" s="561">
        <v>34874</v>
      </c>
      <c r="LH291" s="561">
        <v>12</v>
      </c>
      <c r="LI291" s="561">
        <v>-2985</v>
      </c>
      <c r="LJ291" s="561">
        <v>0</v>
      </c>
      <c r="LK291" s="561">
        <v>294</v>
      </c>
      <c r="LL291" s="561">
        <v>23612</v>
      </c>
      <c r="LM291" s="561">
        <v>3000</v>
      </c>
      <c r="LN291" s="561">
        <v>12</v>
      </c>
      <c r="LO291" s="561">
        <v>-5916</v>
      </c>
      <c r="LP291" s="561">
        <v>0</v>
      </c>
      <c r="LQ291" s="561">
        <v>174</v>
      </c>
      <c r="LR291" s="561">
        <v>24818</v>
      </c>
      <c r="LS291" s="561">
        <v>3000</v>
      </c>
      <c r="LT291" s="561">
        <v>0</v>
      </c>
      <c r="LU291" s="561">
        <v>2946</v>
      </c>
      <c r="LV291" s="561">
        <v>0</v>
      </c>
      <c r="LW291" s="561">
        <v>20</v>
      </c>
      <c r="LX291" s="561">
        <v>0</v>
      </c>
      <c r="LY291" s="561">
        <v>1149</v>
      </c>
      <c r="LZ291" s="561">
        <v>4115</v>
      </c>
      <c r="MA291" s="561">
        <v>0</v>
      </c>
      <c r="MB291" s="561">
        <v>0</v>
      </c>
      <c r="MC291" s="561">
        <v>0</v>
      </c>
      <c r="MD291" s="561">
        <v>0</v>
      </c>
      <c r="ME291" s="561">
        <v>0</v>
      </c>
      <c r="MF291" s="561">
        <v>0</v>
      </c>
      <c r="MG291" s="561">
        <v>0</v>
      </c>
      <c r="MH291" s="561">
        <v>980</v>
      </c>
      <c r="MI291" s="561">
        <v>508</v>
      </c>
      <c r="MJ291" s="561">
        <v>1488</v>
      </c>
      <c r="MK291" s="561">
        <v>0</v>
      </c>
      <c r="ML291" s="561">
        <v>0</v>
      </c>
      <c r="MM291" s="561">
        <v>13170</v>
      </c>
      <c r="MN291" s="561">
        <v>9652</v>
      </c>
      <c r="MO291" s="561">
        <v>1996</v>
      </c>
      <c r="MP291" s="561">
        <v>0</v>
      </c>
      <c r="MQ291" s="561">
        <v>24265</v>
      </c>
      <c r="MR291" s="561">
        <v>4215</v>
      </c>
      <c r="MS291" s="561">
        <v>8918</v>
      </c>
      <c r="MT291" s="561">
        <v>18308</v>
      </c>
      <c r="MU291" s="561">
        <v>1677</v>
      </c>
      <c r="MV291" s="561">
        <v>850</v>
      </c>
      <c r="MW291" s="561">
        <v>1933.86</v>
      </c>
      <c r="MX291" s="561">
        <v>5947.36</v>
      </c>
      <c r="MY291" s="561">
        <v>1828.79</v>
      </c>
      <c r="MZ291" s="561">
        <v>0</v>
      </c>
      <c r="NA291" s="561">
        <v>0</v>
      </c>
      <c r="NB291" s="561">
        <v>2762.66</v>
      </c>
      <c r="NC291" s="561">
        <v>0</v>
      </c>
      <c r="ND291" s="561">
        <v>70705.67</v>
      </c>
      <c r="NE291" s="561">
        <v>0</v>
      </c>
      <c r="NF291" s="561">
        <v>0</v>
      </c>
      <c r="NG291" s="561">
        <v>0</v>
      </c>
      <c r="NH291" s="561">
        <v>0</v>
      </c>
      <c r="NI291" s="561">
        <v>0</v>
      </c>
      <c r="NJ291" s="561">
        <v>0</v>
      </c>
      <c r="NK291" s="561">
        <v>0</v>
      </c>
      <c r="NL291" s="561">
        <v>0</v>
      </c>
      <c r="NM291" s="561">
        <v>0</v>
      </c>
      <c r="NN291" s="561">
        <v>0</v>
      </c>
      <c r="NO291" s="561">
        <v>0</v>
      </c>
      <c r="NP291" s="561">
        <v>0</v>
      </c>
      <c r="NQ291" s="561">
        <v>0</v>
      </c>
      <c r="NR291" s="561">
        <v>0</v>
      </c>
      <c r="NS291" s="561">
        <v>0</v>
      </c>
      <c r="NT291" s="561">
        <v>0</v>
      </c>
      <c r="NU291" s="561">
        <v>-4837</v>
      </c>
      <c r="NV291" s="561">
        <v>0</v>
      </c>
      <c r="NW291" s="561">
        <v>0</v>
      </c>
      <c r="NX291" s="561">
        <v>0</v>
      </c>
      <c r="NY291" s="561">
        <v>0</v>
      </c>
      <c r="NZ291" s="561">
        <v>0</v>
      </c>
      <c r="OA291" s="561">
        <v>0</v>
      </c>
      <c r="OB291" s="561">
        <v>0</v>
      </c>
      <c r="OC291" s="561">
        <v>0</v>
      </c>
      <c r="OD291" s="561">
        <v>0</v>
      </c>
      <c r="OE291" s="561">
        <v>0</v>
      </c>
      <c r="OF291" s="561">
        <v>0</v>
      </c>
      <c r="OG291" s="561">
        <v>0</v>
      </c>
      <c r="OH291" s="561">
        <v>0</v>
      </c>
      <c r="OI291" s="561">
        <v>0</v>
      </c>
      <c r="OJ291" s="561">
        <v>0</v>
      </c>
      <c r="OK291" s="561">
        <v>0</v>
      </c>
      <c r="OL291" s="561">
        <v>0</v>
      </c>
      <c r="OM291" s="561">
        <v>0</v>
      </c>
      <c r="ON291" s="561">
        <v>0</v>
      </c>
      <c r="OO291" s="561">
        <v>0</v>
      </c>
      <c r="OP291" s="561">
        <v>0</v>
      </c>
      <c r="OQ291" s="561">
        <v>0</v>
      </c>
      <c r="OR291" s="561">
        <v>0</v>
      </c>
      <c r="OS291" s="561">
        <v>0</v>
      </c>
      <c r="OT291" s="561">
        <v>0</v>
      </c>
      <c r="OU291" s="561">
        <v>0</v>
      </c>
      <c r="OV291" s="561">
        <v>-929.6</v>
      </c>
      <c r="OW291" s="561">
        <v>0</v>
      </c>
      <c r="OX291" s="561">
        <v>0</v>
      </c>
      <c r="OY291" s="561">
        <v>0</v>
      </c>
      <c r="OZ291" s="561">
        <v>0</v>
      </c>
      <c r="PA291" s="561">
        <v>0</v>
      </c>
      <c r="PB291" s="561">
        <v>0</v>
      </c>
      <c r="PC291" s="561">
        <v>0</v>
      </c>
      <c r="PD291" s="561">
        <v>0</v>
      </c>
      <c r="PE291" s="561">
        <v>0</v>
      </c>
      <c r="PF291" s="561">
        <v>0</v>
      </c>
      <c r="PG291" s="561">
        <v>0</v>
      </c>
      <c r="PH291" s="561">
        <v>0</v>
      </c>
      <c r="PI291" s="561">
        <v>0</v>
      </c>
      <c r="PJ291" s="561">
        <v>0</v>
      </c>
    </row>
    <row r="292" spans="1:426" ht="14" x14ac:dyDescent="0.3">
      <c r="A292" t="s">
        <v>3319</v>
      </c>
      <c r="B292" t="s">
        <v>3320</v>
      </c>
      <c r="C292" t="s">
        <v>3321</v>
      </c>
      <c r="E292" t="s">
        <v>379</v>
      </c>
      <c r="F292" s="561">
        <v>35508</v>
      </c>
      <c r="G292" s="561">
        <v>132486</v>
      </c>
      <c r="H292" s="561">
        <v>57126</v>
      </c>
      <c r="I292" s="561">
        <v>25512</v>
      </c>
      <c r="J292" s="561">
        <v>9955</v>
      </c>
      <c r="K292" s="561">
        <v>28257</v>
      </c>
      <c r="L292" s="561">
        <v>288844</v>
      </c>
      <c r="M292" s="561">
        <v>610</v>
      </c>
      <c r="N292" s="561">
        <v>-574</v>
      </c>
      <c r="O292" s="561">
        <v>1051</v>
      </c>
      <c r="P292" s="561">
        <v>219</v>
      </c>
      <c r="Q292" s="561">
        <v>511</v>
      </c>
      <c r="R292" s="561">
        <v>273</v>
      </c>
      <c r="S292" s="561">
        <v>-164</v>
      </c>
      <c r="T292" s="561">
        <v>-385</v>
      </c>
      <c r="U292" s="561">
        <v>583</v>
      </c>
      <c r="V292" s="561">
        <v>2186</v>
      </c>
      <c r="W292" s="561">
        <v>0</v>
      </c>
      <c r="X292" s="561">
        <v>-1417</v>
      </c>
      <c r="Y292" s="561">
        <v>454</v>
      </c>
      <c r="Z292" s="561">
        <v>-624</v>
      </c>
      <c r="AA292" s="561">
        <v>-279</v>
      </c>
      <c r="AB292" s="561">
        <v>-480</v>
      </c>
      <c r="AC292" s="561">
        <v>0</v>
      </c>
      <c r="AD292" s="561">
        <v>0</v>
      </c>
      <c r="AE292" s="561">
        <v>0</v>
      </c>
      <c r="AF292" s="561">
        <v>-30</v>
      </c>
      <c r="AG292" s="561">
        <v>0</v>
      </c>
      <c r="AH292" s="561">
        <v>0</v>
      </c>
      <c r="AI292" s="561">
        <v>0</v>
      </c>
      <c r="AJ292" s="561">
        <v>1324</v>
      </c>
      <c r="AK292" s="561">
        <v>0</v>
      </c>
      <c r="AL292" s="561">
        <v>0</v>
      </c>
      <c r="AM292" s="561">
        <v>0</v>
      </c>
      <c r="AN292" s="561">
        <v>0</v>
      </c>
      <c r="AO292" s="561">
        <v>0</v>
      </c>
      <c r="AP292" s="561">
        <v>0</v>
      </c>
      <c r="AQ292" s="561">
        <v>0</v>
      </c>
      <c r="AR292" s="561">
        <v>0</v>
      </c>
      <c r="AS292" s="561">
        <v>1566</v>
      </c>
      <c r="AT292" s="561">
        <v>190</v>
      </c>
      <c r="AU292" s="561">
        <v>0</v>
      </c>
      <c r="AV292" s="561">
        <v>0</v>
      </c>
      <c r="AW292" s="561">
        <v>0</v>
      </c>
      <c r="AX292" s="561">
        <v>1826</v>
      </c>
      <c r="AY292" s="561">
        <v>24627</v>
      </c>
      <c r="AZ292" s="561">
        <v>4534</v>
      </c>
      <c r="BA292" s="561">
        <v>3949</v>
      </c>
      <c r="BB292" s="561">
        <v>592</v>
      </c>
      <c r="BC292" s="561">
        <v>37550</v>
      </c>
      <c r="BD292" s="561">
        <v>0</v>
      </c>
      <c r="BE292" s="561">
        <v>1258</v>
      </c>
      <c r="BF292" s="561">
        <v>74336</v>
      </c>
      <c r="BG292" s="561">
        <v>3785</v>
      </c>
      <c r="BH292" s="561">
        <v>8058</v>
      </c>
      <c r="BI292" s="561">
        <v>22605</v>
      </c>
      <c r="BJ292" s="561">
        <v>213</v>
      </c>
      <c r="BK292" s="561">
        <v>495</v>
      </c>
      <c r="BL292" s="561">
        <v>1007</v>
      </c>
      <c r="BM292" s="561">
        <v>5168</v>
      </c>
      <c r="BN292" s="561">
        <v>28769</v>
      </c>
      <c r="BO292" s="561">
        <v>3214</v>
      </c>
      <c r="BP292" s="561">
        <v>6660</v>
      </c>
      <c r="BQ292" s="561">
        <v>5021</v>
      </c>
      <c r="BR292" s="561">
        <v>0</v>
      </c>
      <c r="BS292" s="561">
        <v>13</v>
      </c>
      <c r="BT292" s="561">
        <v>0</v>
      </c>
      <c r="BU292" s="561">
        <v>1277</v>
      </c>
      <c r="BV292" s="561">
        <v>3184</v>
      </c>
      <c r="BW292" s="561">
        <v>9065</v>
      </c>
      <c r="BX292" s="561">
        <v>1690</v>
      </c>
      <c r="BY292" s="561">
        <v>8409</v>
      </c>
      <c r="BZ292" s="561">
        <v>104848</v>
      </c>
      <c r="CA292" s="561">
        <v>0</v>
      </c>
      <c r="CB292" s="561">
        <v>1935</v>
      </c>
      <c r="CC292" s="561">
        <v>503</v>
      </c>
      <c r="CD292" s="561">
        <v>468</v>
      </c>
      <c r="CE292" s="561">
        <v>196</v>
      </c>
      <c r="CF292" s="561">
        <v>709</v>
      </c>
      <c r="CG292" s="561">
        <v>73</v>
      </c>
      <c r="CH292" s="561">
        <v>1174</v>
      </c>
      <c r="CI292" s="561">
        <v>446</v>
      </c>
      <c r="CJ292" s="561">
        <v>245</v>
      </c>
      <c r="CK292" s="561">
        <v>446</v>
      </c>
      <c r="CL292" s="561">
        <v>509</v>
      </c>
      <c r="CM292" s="561">
        <v>2019</v>
      </c>
      <c r="CN292" s="561">
        <v>1069</v>
      </c>
      <c r="CO292" s="561">
        <v>174</v>
      </c>
      <c r="CP292" s="561">
        <v>401</v>
      </c>
      <c r="CQ292" s="561">
        <v>21</v>
      </c>
      <c r="CR292" s="561">
        <v>542</v>
      </c>
      <c r="CS292" s="561">
        <v>301</v>
      </c>
      <c r="CT292" s="561">
        <v>1232</v>
      </c>
      <c r="CU292" s="561">
        <v>4529</v>
      </c>
      <c r="CV292" s="561">
        <v>1522</v>
      </c>
      <c r="CW292" s="561">
        <v>134</v>
      </c>
      <c r="CX292" s="561">
        <v>193</v>
      </c>
      <c r="CY292" s="561">
        <v>2781</v>
      </c>
      <c r="CZ292" s="561">
        <v>21622</v>
      </c>
      <c r="DA292" s="561">
        <v>72</v>
      </c>
      <c r="DB292" s="561">
        <v>0</v>
      </c>
      <c r="DC292" s="561">
        <v>0</v>
      </c>
      <c r="DD292" s="561">
        <v>0</v>
      </c>
      <c r="DE292" s="561">
        <v>0</v>
      </c>
      <c r="DF292" s="561">
        <v>0</v>
      </c>
      <c r="DG292" s="561">
        <v>0</v>
      </c>
      <c r="DH292" s="561">
        <v>-6</v>
      </c>
      <c r="DI292" s="561">
        <v>-4</v>
      </c>
      <c r="DJ292" s="561">
        <v>-11</v>
      </c>
      <c r="DK292" s="561">
        <v>-63</v>
      </c>
      <c r="DL292" s="561">
        <v>969</v>
      </c>
      <c r="DM292" s="561">
        <v>730</v>
      </c>
      <c r="DN292" s="561">
        <v>173</v>
      </c>
      <c r="DO292" s="561">
        <v>130</v>
      </c>
      <c r="DP292" s="561">
        <v>636</v>
      </c>
      <c r="DQ292" s="561">
        <v>2339</v>
      </c>
      <c r="DR292" s="561">
        <v>0</v>
      </c>
      <c r="DS292" s="561">
        <v>7605</v>
      </c>
      <c r="DT292" s="561">
        <v>0</v>
      </c>
      <c r="DU292" s="561">
        <v>12582</v>
      </c>
      <c r="DV292" s="561">
        <v>0</v>
      </c>
      <c r="DW292" s="561">
        <v>0</v>
      </c>
      <c r="DX292" s="561">
        <v>0</v>
      </c>
      <c r="DY292" s="561">
        <v>959</v>
      </c>
      <c r="DZ292" s="561">
        <v>0</v>
      </c>
      <c r="EA292" s="561">
        <v>0</v>
      </c>
      <c r="EB292" s="561">
        <v>0</v>
      </c>
      <c r="EC292" s="561">
        <v>13457</v>
      </c>
      <c r="ED292" s="561">
        <v>0</v>
      </c>
      <c r="EE292" s="561">
        <v>6283</v>
      </c>
      <c r="EF292" s="561">
        <v>102</v>
      </c>
      <c r="EG292" s="561">
        <v>1092</v>
      </c>
      <c r="EH292" s="561">
        <v>0</v>
      </c>
      <c r="EI292" s="561">
        <v>7520</v>
      </c>
      <c r="EJ292" s="561">
        <v>19</v>
      </c>
      <c r="EK292" s="561">
        <v>0</v>
      </c>
      <c r="EL292" s="561">
        <v>0</v>
      </c>
      <c r="EM292" s="561">
        <v>0</v>
      </c>
      <c r="EN292" s="561">
        <v>1936</v>
      </c>
      <c r="EO292" s="561">
        <v>6293</v>
      </c>
      <c r="EP292" s="561">
        <v>0</v>
      </c>
      <c r="EQ292" s="561">
        <v>0</v>
      </c>
      <c r="ER292" s="561">
        <v>16064</v>
      </c>
      <c r="ES292" s="561" t="s">
        <v>4565</v>
      </c>
      <c r="ET292" s="561">
        <v>-1238</v>
      </c>
      <c r="EU292" s="561">
        <v>0</v>
      </c>
      <c r="EV292" s="561">
        <v>0</v>
      </c>
      <c r="EW292" s="561">
        <v>0</v>
      </c>
      <c r="EX292" s="561">
        <v>-9311</v>
      </c>
      <c r="EY292" s="561">
        <v>67</v>
      </c>
      <c r="EZ292" s="561">
        <v>1205</v>
      </c>
      <c r="FA292" s="561">
        <v>19389</v>
      </c>
      <c r="FB292" s="561">
        <v>18</v>
      </c>
      <c r="FC292" s="561">
        <v>548</v>
      </c>
      <c r="FD292" s="561">
        <v>91</v>
      </c>
      <c r="FE292" s="561">
        <v>899</v>
      </c>
      <c r="FF292" s="561">
        <v>0</v>
      </c>
      <c r="FG292" s="561">
        <v>806</v>
      </c>
      <c r="FH292" s="561">
        <v>0</v>
      </c>
      <c r="FI292" s="561">
        <v>401</v>
      </c>
      <c r="FJ292" s="561">
        <v>552</v>
      </c>
      <c r="FK292" s="561">
        <v>5343</v>
      </c>
      <c r="FL292" s="561">
        <v>15</v>
      </c>
      <c r="FM292" s="561">
        <v>64</v>
      </c>
      <c r="FN292" s="561">
        <v>1867</v>
      </c>
      <c r="FO292" s="561">
        <v>10604</v>
      </c>
      <c r="FP292" s="561">
        <v>0</v>
      </c>
      <c r="FQ292" s="561">
        <v>-417</v>
      </c>
      <c r="FR292" s="561">
        <v>931</v>
      </c>
      <c r="FS292" s="561">
        <v>0</v>
      </c>
      <c r="FT292" s="561">
        <v>518</v>
      </c>
      <c r="FU292" s="561">
        <v>593</v>
      </c>
      <c r="FV292" s="561">
        <v>0</v>
      </c>
      <c r="FW292" s="561">
        <v>360</v>
      </c>
      <c r="FX292" s="561">
        <v>0</v>
      </c>
      <c r="FY292" s="561">
        <v>0</v>
      </c>
      <c r="FZ292" s="561">
        <v>112</v>
      </c>
      <c r="GA292" s="561">
        <v>30</v>
      </c>
      <c r="GB292" s="561">
        <v>83</v>
      </c>
      <c r="GC292" s="561">
        <v>13</v>
      </c>
      <c r="GD292" s="561">
        <v>749</v>
      </c>
      <c r="GE292" s="561">
        <v>9</v>
      </c>
      <c r="GF292" s="561">
        <v>336</v>
      </c>
      <c r="GG292" s="561">
        <v>3</v>
      </c>
      <c r="GH292" s="561">
        <v>0</v>
      </c>
      <c r="GI292" s="561">
        <v>0</v>
      </c>
      <c r="GJ292" s="561">
        <v>0</v>
      </c>
      <c r="GK292" s="561">
        <v>0</v>
      </c>
      <c r="GL292" s="561">
        <v>3454</v>
      </c>
      <c r="GM292" s="561">
        <v>3975</v>
      </c>
      <c r="GN292" s="561">
        <v>0</v>
      </c>
      <c r="GO292" s="561">
        <v>-1153</v>
      </c>
      <c r="GP292" s="561">
        <v>3975</v>
      </c>
      <c r="GQ292" s="561">
        <v>0</v>
      </c>
      <c r="GR292" s="561">
        <v>0</v>
      </c>
      <c r="GS292" s="561">
        <v>13571</v>
      </c>
      <c r="GT292" s="561">
        <v>44</v>
      </c>
      <c r="GU292" s="561">
        <v>303</v>
      </c>
      <c r="GV292" s="561">
        <v>-18</v>
      </c>
      <c r="GW292" s="561">
        <v>0</v>
      </c>
      <c r="GX292" s="561">
        <v>263</v>
      </c>
      <c r="GY292" s="561">
        <v>194</v>
      </c>
      <c r="GZ292" s="561">
        <v>8643</v>
      </c>
      <c r="HA292" s="561">
        <v>0</v>
      </c>
      <c r="HB292" s="561">
        <v>0</v>
      </c>
      <c r="HC292" s="561">
        <v>2363</v>
      </c>
      <c r="HD292" s="561">
        <v>11748</v>
      </c>
      <c r="HE292" s="561">
        <v>0</v>
      </c>
      <c r="HF292" s="561">
        <v>35923</v>
      </c>
      <c r="HG292" s="561">
        <v>0</v>
      </c>
      <c r="HH292" s="561">
        <v>0</v>
      </c>
      <c r="HI292" s="561">
        <v>0</v>
      </c>
      <c r="HJ292" s="561">
        <v>0</v>
      </c>
      <c r="HK292" s="561">
        <v>0</v>
      </c>
      <c r="HL292" s="561">
        <v>0</v>
      </c>
      <c r="HM292" s="561">
        <v>0</v>
      </c>
      <c r="HN292" s="561">
        <v>0</v>
      </c>
      <c r="HO292" s="561">
        <v>3035</v>
      </c>
      <c r="HP292" s="561">
        <v>2207</v>
      </c>
      <c r="HQ292" s="561">
        <v>0</v>
      </c>
      <c r="HR292" s="561">
        <v>-5</v>
      </c>
      <c r="HS292" s="561">
        <v>0</v>
      </c>
      <c r="HT292" s="561">
        <v>672</v>
      </c>
      <c r="HU292" s="561">
        <v>0</v>
      </c>
      <c r="HV292" s="561">
        <v>286</v>
      </c>
      <c r="HW292" s="561">
        <v>254</v>
      </c>
      <c r="HX292" s="561">
        <v>635</v>
      </c>
      <c r="HY292" s="561">
        <v>128</v>
      </c>
      <c r="HZ292" s="561">
        <v>-154</v>
      </c>
      <c r="IA292" s="561">
        <v>0</v>
      </c>
      <c r="IB292" s="561">
        <v>0</v>
      </c>
      <c r="IC292" s="561">
        <v>1175</v>
      </c>
      <c r="ID292" s="561">
        <v>10</v>
      </c>
      <c r="IE292" s="561">
        <v>1900</v>
      </c>
      <c r="IF292" s="561">
        <v>0</v>
      </c>
      <c r="IG292" s="561">
        <v>0</v>
      </c>
      <c r="IH292" s="561">
        <v>16638</v>
      </c>
      <c r="II292" s="561">
        <v>26781</v>
      </c>
      <c r="IJ292" s="561">
        <v>345</v>
      </c>
      <c r="IK292" s="561">
        <v>4294</v>
      </c>
      <c r="IL292" s="561">
        <v>16060</v>
      </c>
      <c r="IM292" s="561">
        <v>0</v>
      </c>
      <c r="IN292" s="561">
        <v>0</v>
      </c>
      <c r="IO292" s="561">
        <v>7630</v>
      </c>
      <c r="IP292" s="561">
        <v>14152</v>
      </c>
      <c r="IQ292" s="561">
        <v>0</v>
      </c>
      <c r="IR292" s="561">
        <v>288844</v>
      </c>
      <c r="IS292" s="561">
        <v>1324</v>
      </c>
      <c r="IT292" s="561">
        <v>74336</v>
      </c>
      <c r="IU292" s="561">
        <v>104848</v>
      </c>
      <c r="IV292" s="561">
        <v>21622</v>
      </c>
      <c r="IW292" s="561">
        <v>13457</v>
      </c>
      <c r="IX292" s="561">
        <v>10604</v>
      </c>
      <c r="IY292" s="561">
        <v>13571</v>
      </c>
      <c r="IZ292" s="561">
        <v>11748</v>
      </c>
      <c r="JA292" s="561">
        <v>0</v>
      </c>
      <c r="JB292" s="561">
        <v>0</v>
      </c>
      <c r="JC292" s="561">
        <v>26781</v>
      </c>
      <c r="JD292" s="561">
        <v>14152</v>
      </c>
      <c r="JE292" s="561">
        <v>581287</v>
      </c>
      <c r="JF292" s="561">
        <v>86387</v>
      </c>
      <c r="JG292" s="561">
        <v>2186</v>
      </c>
      <c r="JH292" s="561">
        <v>0</v>
      </c>
      <c r="JI292" s="561">
        <v>0</v>
      </c>
      <c r="JJ292" s="561">
        <v>0</v>
      </c>
      <c r="JK292" s="561">
        <v>0</v>
      </c>
      <c r="JL292" s="561">
        <v>19689</v>
      </c>
      <c r="JM292" s="561">
        <v>17092</v>
      </c>
      <c r="JN292" s="561">
        <v>0</v>
      </c>
      <c r="JO292" s="561">
        <v>-33</v>
      </c>
      <c r="JP292" s="561">
        <v>0</v>
      </c>
      <c r="JQ292" s="561">
        <v>3610</v>
      </c>
      <c r="JR292" s="561">
        <v>0</v>
      </c>
      <c r="JS292" s="561">
        <v>0</v>
      </c>
      <c r="JT292" s="561">
        <v>0</v>
      </c>
      <c r="JU292" s="561">
        <v>0</v>
      </c>
      <c r="JV292" s="561">
        <v>710218</v>
      </c>
      <c r="JW292" s="561">
        <v>153</v>
      </c>
      <c r="JX292" s="561">
        <v>629</v>
      </c>
      <c r="JY292" s="561">
        <v>0</v>
      </c>
      <c r="JZ292" s="561">
        <v>0</v>
      </c>
      <c r="KA292" s="561">
        <v>0</v>
      </c>
      <c r="KB292" s="561">
        <v>1173</v>
      </c>
      <c r="KC292" s="561">
        <v>27193</v>
      </c>
      <c r="KD292" s="561">
        <v>0</v>
      </c>
      <c r="KE292" s="561">
        <v>20328</v>
      </c>
      <c r="KF292" s="561">
        <v>0</v>
      </c>
      <c r="KG292" s="561">
        <v>759694</v>
      </c>
      <c r="KH292" s="561">
        <v>-16089</v>
      </c>
      <c r="KI292" s="561">
        <v>0</v>
      </c>
      <c r="KJ292" s="561">
        <v>2713</v>
      </c>
      <c r="KK292" s="561">
        <v>0</v>
      </c>
      <c r="KL292" s="561">
        <v>-86363</v>
      </c>
      <c r="KM292" s="561">
        <v>0</v>
      </c>
      <c r="KN292" s="561">
        <v>0</v>
      </c>
      <c r="KO292" s="561">
        <v>0</v>
      </c>
      <c r="KP292" s="561">
        <v>0</v>
      </c>
      <c r="KQ292" s="561">
        <v>0</v>
      </c>
      <c r="KR292" s="561">
        <v>659955</v>
      </c>
      <c r="KS292" s="561">
        <v>-82</v>
      </c>
      <c r="KT292" s="561">
        <v>-322061</v>
      </c>
      <c r="KU292" s="561">
        <v>337812</v>
      </c>
      <c r="KV292" s="561">
        <v>0</v>
      </c>
      <c r="KW292" s="561">
        <v>646</v>
      </c>
      <c r="KX292" s="561">
        <v>-9825</v>
      </c>
      <c r="KY292" s="561">
        <v>0</v>
      </c>
      <c r="KZ292" s="561">
        <v>3595</v>
      </c>
      <c r="LA292" s="561">
        <v>1270</v>
      </c>
      <c r="LB292" s="561">
        <v>0</v>
      </c>
      <c r="LC292" s="561">
        <v>0</v>
      </c>
      <c r="LD292" s="561">
        <v>-180628</v>
      </c>
      <c r="LE292" s="561">
        <v>-2862</v>
      </c>
      <c r="LF292" s="561">
        <v>0</v>
      </c>
      <c r="LG292" s="561">
        <v>150008</v>
      </c>
      <c r="LH292" s="561">
        <v>12249</v>
      </c>
      <c r="LI292" s="561">
        <v>-19844</v>
      </c>
      <c r="LJ292" s="561">
        <v>11511</v>
      </c>
      <c r="LK292" s="561">
        <v>339</v>
      </c>
      <c r="LL292" s="561">
        <v>244467</v>
      </c>
      <c r="LM292" s="561">
        <v>15331</v>
      </c>
      <c r="LN292" s="561">
        <v>12895</v>
      </c>
      <c r="LO292" s="561">
        <v>-19844</v>
      </c>
      <c r="LP292" s="561">
        <v>1686</v>
      </c>
      <c r="LQ292" s="561">
        <v>339</v>
      </c>
      <c r="LR292" s="561">
        <v>248062</v>
      </c>
      <c r="LS292" s="561">
        <v>16601</v>
      </c>
      <c r="LT292" s="561">
        <v>0</v>
      </c>
      <c r="LU292" s="561">
        <v>45602</v>
      </c>
      <c r="LV292" s="561">
        <v>0</v>
      </c>
      <c r="LW292" s="561">
        <v>84930</v>
      </c>
      <c r="LX292" s="561">
        <v>-40223</v>
      </c>
      <c r="LY292" s="561">
        <v>36783</v>
      </c>
      <c r="LZ292" s="561">
        <v>126049</v>
      </c>
      <c r="MA292" s="561">
        <v>0</v>
      </c>
      <c r="MB292" s="561">
        <v>0</v>
      </c>
      <c r="MC292" s="561">
        <v>15016</v>
      </c>
      <c r="MD292" s="561">
        <v>13811</v>
      </c>
      <c r="ME292" s="561">
        <v>1205</v>
      </c>
      <c r="MF292" s="561">
        <v>19389</v>
      </c>
      <c r="MG292" s="561">
        <v>20594</v>
      </c>
      <c r="MH292" s="561">
        <v>9723</v>
      </c>
      <c r="MI292" s="561">
        <v>18067</v>
      </c>
      <c r="MJ292" s="561">
        <v>27790</v>
      </c>
      <c r="MK292" s="561">
        <v>0</v>
      </c>
      <c r="ML292" s="561">
        <v>26985</v>
      </c>
      <c r="MM292" s="561">
        <v>84466</v>
      </c>
      <c r="MN292" s="561">
        <v>82223</v>
      </c>
      <c r="MO292" s="561">
        <v>54388</v>
      </c>
      <c r="MP292" s="561">
        <v>0</v>
      </c>
      <c r="MQ292" s="561">
        <v>288844</v>
      </c>
      <c r="MR292" s="561">
        <v>1324</v>
      </c>
      <c r="MS292" s="561">
        <v>74336</v>
      </c>
      <c r="MT292" s="561">
        <v>104848</v>
      </c>
      <c r="MU292" s="561">
        <v>21622</v>
      </c>
      <c r="MV292" s="561">
        <v>13457</v>
      </c>
      <c r="MW292" s="561">
        <v>10604</v>
      </c>
      <c r="MX292" s="561">
        <v>13571</v>
      </c>
      <c r="MY292" s="561">
        <v>11748</v>
      </c>
      <c r="MZ292" s="561">
        <v>0</v>
      </c>
      <c r="NA292" s="561">
        <v>0</v>
      </c>
      <c r="NB292" s="561">
        <v>26781</v>
      </c>
      <c r="NC292" s="561">
        <v>14152</v>
      </c>
      <c r="ND292" s="561">
        <v>581287</v>
      </c>
      <c r="NE292" s="561">
        <v>0</v>
      </c>
      <c r="NF292" s="561">
        <v>0</v>
      </c>
      <c r="NG292" s="561">
        <v>0</v>
      </c>
      <c r="NH292" s="561">
        <v>0</v>
      </c>
      <c r="NI292" s="561">
        <v>0</v>
      </c>
      <c r="NJ292" s="561">
        <v>0</v>
      </c>
      <c r="NK292" s="561">
        <v>0</v>
      </c>
      <c r="NL292" s="561">
        <v>0</v>
      </c>
      <c r="NM292" s="561">
        <v>0</v>
      </c>
      <c r="NN292" s="561">
        <v>0</v>
      </c>
      <c r="NO292" s="561">
        <v>0</v>
      </c>
      <c r="NP292" s="561">
        <v>0</v>
      </c>
      <c r="NQ292" s="561">
        <v>0</v>
      </c>
      <c r="NR292" s="561">
        <v>0</v>
      </c>
      <c r="NS292" s="561">
        <v>0</v>
      </c>
      <c r="NT292" s="561">
        <v>0</v>
      </c>
      <c r="NU292" s="561">
        <v>0</v>
      </c>
      <c r="NV292" s="561">
        <v>0</v>
      </c>
      <c r="NW292" s="561">
        <v>0</v>
      </c>
      <c r="NX292" s="561">
        <v>0</v>
      </c>
      <c r="NY292" s="561">
        <v>0</v>
      </c>
      <c r="NZ292" s="561">
        <v>0</v>
      </c>
      <c r="OA292" s="561">
        <v>0</v>
      </c>
      <c r="OB292" s="561">
        <v>0</v>
      </c>
      <c r="OC292" s="561">
        <v>0</v>
      </c>
      <c r="OD292" s="561">
        <v>0</v>
      </c>
      <c r="OE292" s="561">
        <v>0</v>
      </c>
      <c r="OF292" s="561">
        <v>0</v>
      </c>
      <c r="OG292" s="561">
        <v>0</v>
      </c>
      <c r="OH292" s="561">
        <v>0</v>
      </c>
      <c r="OI292" s="561">
        <v>0</v>
      </c>
      <c r="OJ292" s="561">
        <v>250</v>
      </c>
      <c r="OK292" s="561">
        <v>0</v>
      </c>
      <c r="OL292" s="561">
        <v>0</v>
      </c>
      <c r="OM292" s="561">
        <v>738</v>
      </c>
      <c r="ON292" s="561">
        <v>126</v>
      </c>
      <c r="OO292" s="561">
        <v>0</v>
      </c>
      <c r="OP292" s="561">
        <v>2496</v>
      </c>
      <c r="OQ292" s="561">
        <v>0</v>
      </c>
      <c r="OR292" s="561">
        <v>0</v>
      </c>
      <c r="OS292" s="561">
        <v>0</v>
      </c>
      <c r="OT292" s="561">
        <v>0</v>
      </c>
      <c r="OU292" s="561">
        <v>0</v>
      </c>
      <c r="OV292" s="561">
        <v>0</v>
      </c>
      <c r="OW292" s="561">
        <v>0</v>
      </c>
      <c r="OX292" s="561">
        <v>3610</v>
      </c>
      <c r="OY292" s="561">
        <v>0</v>
      </c>
      <c r="OZ292" s="561">
        <v>0</v>
      </c>
      <c r="PA292" s="561">
        <v>0</v>
      </c>
      <c r="PB292" s="561">
        <v>0</v>
      </c>
      <c r="PC292" s="561">
        <v>0</v>
      </c>
      <c r="PD292" s="561">
        <v>0</v>
      </c>
      <c r="PE292" s="561">
        <v>0</v>
      </c>
      <c r="PF292" s="561">
        <v>0</v>
      </c>
      <c r="PG292" s="561">
        <v>0</v>
      </c>
      <c r="PH292" s="561">
        <v>0</v>
      </c>
      <c r="PI292" s="561">
        <v>0</v>
      </c>
      <c r="PJ292" s="561">
        <v>0</v>
      </c>
    </row>
    <row r="293" spans="1:426" ht="14" x14ac:dyDescent="0.3">
      <c r="A293" t="s">
        <v>3322</v>
      </c>
      <c r="B293" t="s">
        <v>3323</v>
      </c>
      <c r="C293" t="s">
        <v>3324</v>
      </c>
      <c r="E293" t="s">
        <v>379</v>
      </c>
      <c r="F293" s="561">
        <v>26271</v>
      </c>
      <c r="G293" s="561">
        <v>167345</v>
      </c>
      <c r="H293" s="561">
        <v>40568</v>
      </c>
      <c r="I293" s="561">
        <v>12705</v>
      </c>
      <c r="J293" s="561">
        <v>7071</v>
      </c>
      <c r="K293" s="561">
        <v>31348</v>
      </c>
      <c r="L293" s="561">
        <v>285308</v>
      </c>
      <c r="M293" s="561">
        <v>9108</v>
      </c>
      <c r="N293" s="561">
        <v>-169</v>
      </c>
      <c r="O293" s="561">
        <v>0</v>
      </c>
      <c r="P293" s="561">
        <v>-32</v>
      </c>
      <c r="Q293" s="561">
        <v>108</v>
      </c>
      <c r="R293" s="561">
        <v>0</v>
      </c>
      <c r="S293" s="561">
        <v>2228</v>
      </c>
      <c r="T293" s="561">
        <v>1921</v>
      </c>
      <c r="U293" s="561">
        <v>162</v>
      </c>
      <c r="V293" s="561">
        <v>3337</v>
      </c>
      <c r="W293" s="561">
        <v>0</v>
      </c>
      <c r="X293" s="561">
        <v>-607</v>
      </c>
      <c r="Y293" s="561">
        <v>224</v>
      </c>
      <c r="Z293" s="561">
        <v>165</v>
      </c>
      <c r="AA293" s="561">
        <v>-175</v>
      </c>
      <c r="AB293" s="561">
        <v>-601</v>
      </c>
      <c r="AC293" s="561">
        <v>0</v>
      </c>
      <c r="AD293" s="561">
        <v>0</v>
      </c>
      <c r="AE293" s="561">
        <v>0</v>
      </c>
      <c r="AF293" s="561">
        <v>0</v>
      </c>
      <c r="AG293" s="561">
        <v>0</v>
      </c>
      <c r="AH293" s="561">
        <v>0</v>
      </c>
      <c r="AI293" s="561">
        <v>0</v>
      </c>
      <c r="AJ293" s="561">
        <v>6561</v>
      </c>
      <c r="AK293" s="561">
        <v>100</v>
      </c>
      <c r="AL293" s="561">
        <v>0</v>
      </c>
      <c r="AM293" s="561">
        <v>0</v>
      </c>
      <c r="AN293" s="561">
        <v>0</v>
      </c>
      <c r="AO293" s="561">
        <v>0</v>
      </c>
      <c r="AP293" s="561">
        <v>0</v>
      </c>
      <c r="AQ293" s="561">
        <v>0</v>
      </c>
      <c r="AR293" s="561">
        <v>0</v>
      </c>
      <c r="AS293" s="561">
        <v>0</v>
      </c>
      <c r="AT293" s="561">
        <v>1042</v>
      </c>
      <c r="AU293" s="561">
        <v>0</v>
      </c>
      <c r="AV293" s="561">
        <v>0</v>
      </c>
      <c r="AW293" s="561">
        <v>0</v>
      </c>
      <c r="AX293" s="561">
        <v>3929</v>
      </c>
      <c r="AY293" s="561">
        <v>-20</v>
      </c>
      <c r="AZ293" s="561">
        <v>101298</v>
      </c>
      <c r="BA293" s="561">
        <v>1205</v>
      </c>
      <c r="BB293" s="561">
        <v>0</v>
      </c>
      <c r="BC293" s="561">
        <v>-9</v>
      </c>
      <c r="BD293" s="561">
        <v>0</v>
      </c>
      <c r="BE293" s="561">
        <v>935</v>
      </c>
      <c r="BF293" s="561">
        <v>107338</v>
      </c>
      <c r="BG293" s="561">
        <v>0</v>
      </c>
      <c r="BH293" s="561">
        <v>0</v>
      </c>
      <c r="BI293" s="561">
        <v>45170</v>
      </c>
      <c r="BJ293" s="561">
        <v>138</v>
      </c>
      <c r="BK293" s="561">
        <v>1690</v>
      </c>
      <c r="BL293" s="561">
        <v>0</v>
      </c>
      <c r="BM293" s="561">
        <v>24628</v>
      </c>
      <c r="BN293" s="561">
        <v>44036</v>
      </c>
      <c r="BO293" s="561">
        <v>3796</v>
      </c>
      <c r="BP293" s="561">
        <v>7650</v>
      </c>
      <c r="BQ293" s="561">
        <v>5950</v>
      </c>
      <c r="BR293" s="561">
        <v>1454</v>
      </c>
      <c r="BS293" s="561">
        <v>9</v>
      </c>
      <c r="BT293" s="561">
        <v>398</v>
      </c>
      <c r="BU293" s="561">
        <v>977</v>
      </c>
      <c r="BV293" s="561">
        <v>2148</v>
      </c>
      <c r="BW293" s="561">
        <v>4925</v>
      </c>
      <c r="BX293" s="561">
        <v>1466</v>
      </c>
      <c r="BY293" s="561">
        <v>-725</v>
      </c>
      <c r="BZ293" s="561">
        <v>143710</v>
      </c>
      <c r="CA293" s="561">
        <v>0</v>
      </c>
      <c r="CB293" s="561">
        <v>1378</v>
      </c>
      <c r="CC293" s="561">
        <v>995</v>
      </c>
      <c r="CD293" s="561">
        <v>603</v>
      </c>
      <c r="CE293" s="561">
        <v>260</v>
      </c>
      <c r="CF293" s="561">
        <v>332</v>
      </c>
      <c r="CG293" s="561">
        <v>280</v>
      </c>
      <c r="CH293" s="561">
        <v>589</v>
      </c>
      <c r="CI293" s="561">
        <v>603</v>
      </c>
      <c r="CJ293" s="561">
        <v>278</v>
      </c>
      <c r="CK293" s="561">
        <v>2264</v>
      </c>
      <c r="CL293" s="561">
        <v>814</v>
      </c>
      <c r="CM293" s="561">
        <v>992</v>
      </c>
      <c r="CN293" s="561">
        <v>971</v>
      </c>
      <c r="CO293" s="561">
        <v>863</v>
      </c>
      <c r="CP293" s="561">
        <v>956</v>
      </c>
      <c r="CQ293" s="561">
        <v>620</v>
      </c>
      <c r="CR293" s="561">
        <v>703</v>
      </c>
      <c r="CS293" s="561">
        <v>292</v>
      </c>
      <c r="CT293" s="561">
        <v>2154</v>
      </c>
      <c r="CU293" s="561">
        <v>6878</v>
      </c>
      <c r="CV293" s="561">
        <v>616</v>
      </c>
      <c r="CW293" s="561">
        <v>255</v>
      </c>
      <c r="CX293" s="561">
        <v>799</v>
      </c>
      <c r="CY293" s="561">
        <v>5419</v>
      </c>
      <c r="CZ293" s="561">
        <v>29914</v>
      </c>
      <c r="DA293" s="561">
        <v>0</v>
      </c>
      <c r="DB293" s="561">
        <v>0</v>
      </c>
      <c r="DC293" s="561">
        <v>0</v>
      </c>
      <c r="DD293" s="561">
        <v>0</v>
      </c>
      <c r="DE293" s="561">
        <v>0</v>
      </c>
      <c r="DF293" s="561">
        <v>0</v>
      </c>
      <c r="DG293" s="561">
        <v>0</v>
      </c>
      <c r="DH293" s="561">
        <v>57</v>
      </c>
      <c r="DI293" s="561">
        <v>50</v>
      </c>
      <c r="DJ293" s="561">
        <v>2221</v>
      </c>
      <c r="DK293" s="561">
        <v>50</v>
      </c>
      <c r="DL293" s="561">
        <v>1439</v>
      </c>
      <c r="DM293" s="561">
        <v>93</v>
      </c>
      <c r="DN293" s="561">
        <v>-735</v>
      </c>
      <c r="DO293" s="561">
        <v>50</v>
      </c>
      <c r="DP293" s="561">
        <v>199</v>
      </c>
      <c r="DQ293" s="561">
        <v>50</v>
      </c>
      <c r="DR293" s="561">
        <v>50</v>
      </c>
      <c r="DS293" s="561">
        <v>50</v>
      </c>
      <c r="DT293" s="561">
        <v>50</v>
      </c>
      <c r="DU293" s="561">
        <v>1246</v>
      </c>
      <c r="DV293" s="561">
        <v>50</v>
      </c>
      <c r="DW293" s="561">
        <v>50</v>
      </c>
      <c r="DX293" s="561">
        <v>50</v>
      </c>
      <c r="DY293" s="561">
        <v>448</v>
      </c>
      <c r="DZ293" s="561">
        <v>-797</v>
      </c>
      <c r="EA293" s="561">
        <v>396</v>
      </c>
      <c r="EB293" s="561">
        <v>506</v>
      </c>
      <c r="EC293" s="561">
        <v>4327</v>
      </c>
      <c r="ED293" s="561">
        <v>0</v>
      </c>
      <c r="EE293" s="561">
        <v>135731</v>
      </c>
      <c r="EF293" s="561">
        <v>1072</v>
      </c>
      <c r="EG293" s="561">
        <v>4444</v>
      </c>
      <c r="EH293" s="561">
        <v>0</v>
      </c>
      <c r="EI293" s="561">
        <v>5713</v>
      </c>
      <c r="EJ293" s="561">
        <v>0</v>
      </c>
      <c r="EK293" s="561">
        <v>0</v>
      </c>
      <c r="EL293" s="561">
        <v>0</v>
      </c>
      <c r="EM293" s="561">
        <v>0</v>
      </c>
      <c r="EN293" s="561">
        <v>42454</v>
      </c>
      <c r="EO293" s="561">
        <v>37692</v>
      </c>
      <c r="EP293" s="561">
        <v>5877</v>
      </c>
      <c r="EQ293" s="561">
        <v>2332</v>
      </c>
      <c r="ER293" s="561">
        <v>0</v>
      </c>
      <c r="ES293" s="561" t="s">
        <v>4565</v>
      </c>
      <c r="ET293" s="561">
        <v>0</v>
      </c>
      <c r="EU293" s="561">
        <v>6646</v>
      </c>
      <c r="EV293" s="561">
        <v>1427</v>
      </c>
      <c r="EW293" s="561">
        <v>26753</v>
      </c>
      <c r="EX293" s="561">
        <v>19378</v>
      </c>
      <c r="EY293" s="561">
        <v>1389</v>
      </c>
      <c r="EZ293" s="561">
        <v>3012</v>
      </c>
      <c r="FA293" s="561">
        <v>48171</v>
      </c>
      <c r="FB293" s="561">
        <v>176</v>
      </c>
      <c r="FC293" s="561">
        <v>153</v>
      </c>
      <c r="FD293" s="561">
        <v>0</v>
      </c>
      <c r="FE293" s="561">
        <v>864</v>
      </c>
      <c r="FF293" s="561">
        <v>227</v>
      </c>
      <c r="FG293" s="561">
        <v>584</v>
      </c>
      <c r="FH293" s="561">
        <v>5</v>
      </c>
      <c r="FI293" s="561">
        <v>4189</v>
      </c>
      <c r="FJ293" s="561">
        <v>5</v>
      </c>
      <c r="FK293" s="561">
        <v>2112</v>
      </c>
      <c r="FL293" s="561">
        <v>5</v>
      </c>
      <c r="FM293" s="561">
        <v>0</v>
      </c>
      <c r="FN293" s="561">
        <v>2511</v>
      </c>
      <c r="FO293" s="561">
        <v>10831</v>
      </c>
      <c r="FP293" s="561">
        <v>0</v>
      </c>
      <c r="FQ293" s="561">
        <v>-602</v>
      </c>
      <c r="FR293" s="561">
        <v>651</v>
      </c>
      <c r="FS293" s="561">
        <v>0</v>
      </c>
      <c r="FT293" s="561">
        <v>-5</v>
      </c>
      <c r="FU293" s="561">
        <v>1936</v>
      </c>
      <c r="FV293" s="561">
        <v>0</v>
      </c>
      <c r="FW293" s="561">
        <v>0</v>
      </c>
      <c r="FX293" s="561">
        <v>0</v>
      </c>
      <c r="FY293" s="561">
        <v>0</v>
      </c>
      <c r="FZ293" s="561">
        <v>156</v>
      </c>
      <c r="GA293" s="561">
        <v>0</v>
      </c>
      <c r="GB293" s="561">
        <v>0</v>
      </c>
      <c r="GC293" s="561">
        <v>177</v>
      </c>
      <c r="GD293" s="561">
        <v>-20</v>
      </c>
      <c r="GE293" s="561">
        <v>1201</v>
      </c>
      <c r="GF293" s="561">
        <v>223</v>
      </c>
      <c r="GG293" s="561">
        <v>154</v>
      </c>
      <c r="GH293" s="561">
        <v>0</v>
      </c>
      <c r="GI293" s="561">
        <v>0</v>
      </c>
      <c r="GJ293" s="561">
        <v>0</v>
      </c>
      <c r="GK293" s="561">
        <v>0</v>
      </c>
      <c r="GL293" s="561">
        <v>6277</v>
      </c>
      <c r="GM293" s="561">
        <v>5614</v>
      </c>
      <c r="GN293" s="561">
        <v>11427</v>
      </c>
      <c r="GO293" s="561">
        <v>185</v>
      </c>
      <c r="GP293" s="561">
        <v>9610</v>
      </c>
      <c r="GQ293" s="561">
        <v>14</v>
      </c>
      <c r="GR293" s="561">
        <v>198</v>
      </c>
      <c r="GS293" s="561">
        <v>37196</v>
      </c>
      <c r="GT293" s="561">
        <v>459</v>
      </c>
      <c r="GU293" s="561">
        <v>374</v>
      </c>
      <c r="GV293" s="561">
        <v>-161</v>
      </c>
      <c r="GW293" s="561">
        <v>4418</v>
      </c>
      <c r="GX293" s="561">
        <v>-122</v>
      </c>
      <c r="GY293" s="561">
        <v>5781</v>
      </c>
      <c r="GZ293" s="561">
        <v>1751</v>
      </c>
      <c r="HA293" s="561">
        <v>0</v>
      </c>
      <c r="HB293" s="561">
        <v>280</v>
      </c>
      <c r="HC293" s="561">
        <v>1523</v>
      </c>
      <c r="HD293" s="561">
        <v>13844</v>
      </c>
      <c r="HE293" s="561">
        <v>91</v>
      </c>
      <c r="HF293" s="561">
        <v>61871</v>
      </c>
      <c r="HG293" s="561">
        <v>550</v>
      </c>
      <c r="HH293" s="561">
        <v>0</v>
      </c>
      <c r="HI293" s="561">
        <v>0</v>
      </c>
      <c r="HJ293" s="561">
        <v>0</v>
      </c>
      <c r="HK293" s="561">
        <v>0</v>
      </c>
      <c r="HL293" s="561">
        <v>0</v>
      </c>
      <c r="HM293" s="561">
        <v>0</v>
      </c>
      <c r="HN293" s="561">
        <v>0</v>
      </c>
      <c r="HO293" s="561">
        <v>5697</v>
      </c>
      <c r="HP293" s="561">
        <v>2987</v>
      </c>
      <c r="HQ293" s="561">
        <v>0</v>
      </c>
      <c r="HR293" s="561">
        <v>0</v>
      </c>
      <c r="HS293" s="561">
        <v>0</v>
      </c>
      <c r="HT293" s="561">
        <v>28</v>
      </c>
      <c r="HU293" s="561">
        <v>0</v>
      </c>
      <c r="HV293" s="561">
        <v>266</v>
      </c>
      <c r="HW293" s="561">
        <v>80</v>
      </c>
      <c r="HX293" s="561">
        <v>727</v>
      </c>
      <c r="HY293" s="561">
        <v>229</v>
      </c>
      <c r="HZ293" s="561">
        <v>152</v>
      </c>
      <c r="IA293" s="561">
        <v>0</v>
      </c>
      <c r="IB293" s="561">
        <v>0</v>
      </c>
      <c r="IC293" s="561">
        <v>725</v>
      </c>
      <c r="ID293" s="561">
        <v>0</v>
      </c>
      <c r="IE293" s="561">
        <v>2046</v>
      </c>
      <c r="IF293" s="561">
        <v>0</v>
      </c>
      <c r="IG293" s="561">
        <v>0</v>
      </c>
      <c r="IH293" s="561">
        <v>9051</v>
      </c>
      <c r="II293" s="561">
        <v>21988</v>
      </c>
      <c r="IJ293" s="561">
        <v>0</v>
      </c>
      <c r="IK293" s="561">
        <v>0</v>
      </c>
      <c r="IL293" s="561">
        <v>0</v>
      </c>
      <c r="IM293" s="561">
        <v>0</v>
      </c>
      <c r="IN293" s="561">
        <v>0</v>
      </c>
      <c r="IO293" s="561">
        <v>6070</v>
      </c>
      <c r="IP293" s="561">
        <v>0</v>
      </c>
      <c r="IQ293" s="561">
        <v>0</v>
      </c>
      <c r="IR293" s="561">
        <v>285308</v>
      </c>
      <c r="IS293" s="561">
        <v>6561</v>
      </c>
      <c r="IT293" s="561">
        <v>107338</v>
      </c>
      <c r="IU293" s="561">
        <v>143710</v>
      </c>
      <c r="IV293" s="561">
        <v>29914</v>
      </c>
      <c r="IW293" s="561">
        <v>4327</v>
      </c>
      <c r="IX293" s="561">
        <v>10831</v>
      </c>
      <c r="IY293" s="561">
        <v>37196</v>
      </c>
      <c r="IZ293" s="561">
        <v>13844</v>
      </c>
      <c r="JA293" s="561">
        <v>0</v>
      </c>
      <c r="JB293" s="561">
        <v>0</v>
      </c>
      <c r="JC293" s="561">
        <v>21988</v>
      </c>
      <c r="JD293" s="561">
        <v>0</v>
      </c>
      <c r="JE293" s="561">
        <v>661017</v>
      </c>
      <c r="JF293" s="561">
        <v>28584</v>
      </c>
      <c r="JG293" s="561">
        <v>113</v>
      </c>
      <c r="JH293" s="561">
        <v>37717</v>
      </c>
      <c r="JI293" s="561">
        <v>0</v>
      </c>
      <c r="JJ293" s="561">
        <v>0</v>
      </c>
      <c r="JK293" s="561">
        <v>0</v>
      </c>
      <c r="JL293" s="561">
        <v>0</v>
      </c>
      <c r="JM293" s="561">
        <v>0</v>
      </c>
      <c r="JN293" s="561">
        <v>0</v>
      </c>
      <c r="JO293" s="561">
        <v>0</v>
      </c>
      <c r="JP293" s="561">
        <v>0</v>
      </c>
      <c r="JQ293" s="561">
        <v>5244</v>
      </c>
      <c r="JR293" s="561">
        <v>0</v>
      </c>
      <c r="JS293" s="561">
        <v>0</v>
      </c>
      <c r="JT293" s="561">
        <v>0</v>
      </c>
      <c r="JU293" s="561">
        <v>0</v>
      </c>
      <c r="JV293" s="561">
        <v>732675</v>
      </c>
      <c r="JW293" s="561">
        <v>93</v>
      </c>
      <c r="JX293" s="561">
        <v>10041</v>
      </c>
      <c r="JY293" s="561">
        <v>0</v>
      </c>
      <c r="JZ293" s="561">
        <v>0</v>
      </c>
      <c r="KA293" s="561">
        <v>0</v>
      </c>
      <c r="KB293" s="561">
        <v>6602</v>
      </c>
      <c r="KC293" s="561">
        <v>10498</v>
      </c>
      <c r="KD293" s="561">
        <v>932</v>
      </c>
      <c r="KE293" s="561">
        <v>28109</v>
      </c>
      <c r="KF293" s="561">
        <v>-23128</v>
      </c>
      <c r="KG293" s="561">
        <v>765822</v>
      </c>
      <c r="KH293" s="561">
        <v>-12613</v>
      </c>
      <c r="KI293" s="561">
        <v>0</v>
      </c>
      <c r="KJ293" s="561">
        <v>0</v>
      </c>
      <c r="KK293" s="561">
        <v>0</v>
      </c>
      <c r="KL293" s="561">
        <v>-65264</v>
      </c>
      <c r="KM293" s="561">
        <v>0</v>
      </c>
      <c r="KN293" s="561">
        <v>-417</v>
      </c>
      <c r="KO293" s="561">
        <v>0</v>
      </c>
      <c r="KP293" s="561">
        <v>0</v>
      </c>
      <c r="KQ293" s="561">
        <v>0</v>
      </c>
      <c r="KR293" s="561">
        <v>687528</v>
      </c>
      <c r="KS293" s="561">
        <v>0</v>
      </c>
      <c r="KT293" s="561">
        <v>-462436</v>
      </c>
      <c r="KU293" s="561">
        <v>225092</v>
      </c>
      <c r="KV293" s="561">
        <v>0</v>
      </c>
      <c r="KW293" s="561">
        <v>3587</v>
      </c>
      <c r="KX293" s="561">
        <v>-397</v>
      </c>
      <c r="KY293" s="561">
        <v>-1338</v>
      </c>
      <c r="KZ293" s="561">
        <v>17949</v>
      </c>
      <c r="LA293" s="561">
        <v>3523</v>
      </c>
      <c r="LB293" s="561">
        <v>0</v>
      </c>
      <c r="LC293" s="561">
        <v>0</v>
      </c>
      <c r="LD293" s="561">
        <v>-114106</v>
      </c>
      <c r="LE293" s="561">
        <v>1560</v>
      </c>
      <c r="LF293" s="561">
        <v>0</v>
      </c>
      <c r="LG293" s="561">
        <v>135870</v>
      </c>
      <c r="LH293" s="561">
        <v>33547</v>
      </c>
      <c r="LI293" s="561">
        <v>0</v>
      </c>
      <c r="LJ293" s="561">
        <v>5689</v>
      </c>
      <c r="LK293" s="561">
        <v>7388</v>
      </c>
      <c r="LL293" s="561">
        <v>130034</v>
      </c>
      <c r="LM293" s="561">
        <v>19046</v>
      </c>
      <c r="LN293" s="561">
        <v>37134</v>
      </c>
      <c r="LO293" s="561">
        <v>0</v>
      </c>
      <c r="LP293" s="561">
        <v>5292</v>
      </c>
      <c r="LQ293" s="561">
        <v>6050</v>
      </c>
      <c r="LR293" s="561">
        <v>147983</v>
      </c>
      <c r="LS293" s="561">
        <v>22569</v>
      </c>
      <c r="LT293" s="561">
        <v>0</v>
      </c>
      <c r="LU293" s="561">
        <v>51183</v>
      </c>
      <c r="LV293" s="561">
        <v>-17832</v>
      </c>
      <c r="LW293" s="561">
        <v>0</v>
      </c>
      <c r="LX293" s="561">
        <v>-66275</v>
      </c>
      <c r="LY293" s="561">
        <v>0</v>
      </c>
      <c r="LZ293" s="561">
        <v>-29003</v>
      </c>
      <c r="MA293" s="561">
        <v>0</v>
      </c>
      <c r="MB293" s="561">
        <v>0</v>
      </c>
      <c r="MC293" s="561">
        <v>146960</v>
      </c>
      <c r="MD293" s="561">
        <v>143948</v>
      </c>
      <c r="ME293" s="561">
        <v>3012</v>
      </c>
      <c r="MF293" s="561">
        <v>48171</v>
      </c>
      <c r="MG293" s="561">
        <v>51183</v>
      </c>
      <c r="MH293" s="561">
        <v>12373</v>
      </c>
      <c r="MI293" s="561">
        <v>17950</v>
      </c>
      <c r="MJ293" s="561">
        <v>30323</v>
      </c>
      <c r="MK293" s="561">
        <v>0</v>
      </c>
      <c r="ML293" s="561">
        <v>0</v>
      </c>
      <c r="MM293" s="561">
        <v>147983</v>
      </c>
      <c r="MN293" s="561">
        <v>0</v>
      </c>
      <c r="MO293" s="561">
        <v>0</v>
      </c>
      <c r="MP293" s="561">
        <v>0</v>
      </c>
      <c r="MQ293" s="561">
        <v>285308</v>
      </c>
      <c r="MR293" s="561">
        <v>6561</v>
      </c>
      <c r="MS293" s="561">
        <v>107338</v>
      </c>
      <c r="MT293" s="561">
        <v>143710</v>
      </c>
      <c r="MU293" s="561">
        <v>29914</v>
      </c>
      <c r="MV293" s="561">
        <v>4327</v>
      </c>
      <c r="MW293" s="561">
        <v>10831</v>
      </c>
      <c r="MX293" s="561">
        <v>37196</v>
      </c>
      <c r="MY293" s="561">
        <v>13844</v>
      </c>
      <c r="MZ293" s="561">
        <v>0</v>
      </c>
      <c r="NA293" s="561">
        <v>0</v>
      </c>
      <c r="NB293" s="561">
        <v>21988</v>
      </c>
      <c r="NC293" s="561">
        <v>0</v>
      </c>
      <c r="ND293" s="561">
        <v>661017</v>
      </c>
      <c r="NE293" s="561">
        <v>0</v>
      </c>
      <c r="NF293" s="561">
        <v>0</v>
      </c>
      <c r="NG293" s="561">
        <v>0</v>
      </c>
      <c r="NH293" s="561">
        <v>0</v>
      </c>
      <c r="NI293" s="561">
        <v>0</v>
      </c>
      <c r="NJ293" s="561">
        <v>0</v>
      </c>
      <c r="NK293" s="561">
        <v>0</v>
      </c>
      <c r="NL293" s="561">
        <v>0</v>
      </c>
      <c r="NM293" s="561">
        <v>0</v>
      </c>
      <c r="NN293" s="561">
        <v>0</v>
      </c>
      <c r="NO293" s="561">
        <v>0</v>
      </c>
      <c r="NP293" s="561">
        <v>0</v>
      </c>
      <c r="NQ293" s="561">
        <v>0</v>
      </c>
      <c r="NR293" s="561">
        <v>0</v>
      </c>
      <c r="NS293" s="561">
        <v>0</v>
      </c>
      <c r="NT293" s="561">
        <v>0</v>
      </c>
      <c r="NU293" s="561">
        <v>-900</v>
      </c>
      <c r="NV293" s="561">
        <v>0</v>
      </c>
      <c r="NW293" s="561">
        <v>0</v>
      </c>
      <c r="NX293" s="561">
        <v>0</v>
      </c>
      <c r="NY293" s="561">
        <v>0</v>
      </c>
      <c r="NZ293" s="561">
        <v>0</v>
      </c>
      <c r="OA293" s="561">
        <v>0</v>
      </c>
      <c r="OB293" s="561">
        <v>2299</v>
      </c>
      <c r="OC293" s="561">
        <v>0</v>
      </c>
      <c r="OD293" s="561">
        <v>0</v>
      </c>
      <c r="OE293" s="561">
        <v>0</v>
      </c>
      <c r="OF293" s="561">
        <v>0</v>
      </c>
      <c r="OG293" s="561">
        <v>0</v>
      </c>
      <c r="OH293" s="561">
        <v>0</v>
      </c>
      <c r="OI293" s="561">
        <v>134</v>
      </c>
      <c r="OJ293" s="561">
        <v>0</v>
      </c>
      <c r="OK293" s="561">
        <v>0</v>
      </c>
      <c r="OL293" s="561">
        <v>1674</v>
      </c>
      <c r="OM293" s="561">
        <v>0</v>
      </c>
      <c r="ON293" s="561">
        <v>1137</v>
      </c>
      <c r="OO293" s="561">
        <v>0</v>
      </c>
      <c r="OP293" s="561">
        <v>0</v>
      </c>
      <c r="OQ293" s="561">
        <v>0</v>
      </c>
      <c r="OR293" s="561">
        <v>0</v>
      </c>
      <c r="OS293" s="561">
        <v>0</v>
      </c>
      <c r="OT293" s="561">
        <v>0</v>
      </c>
      <c r="OU293" s="561">
        <v>0</v>
      </c>
      <c r="OV293" s="561">
        <v>2801</v>
      </c>
      <c r="OW293" s="561">
        <v>0</v>
      </c>
      <c r="OX293" s="561">
        <v>5244</v>
      </c>
      <c r="OY293" s="561">
        <v>0</v>
      </c>
      <c r="OZ293" s="561">
        <v>0</v>
      </c>
      <c r="PA293" s="561">
        <v>0</v>
      </c>
      <c r="PB293" s="561">
        <v>0</v>
      </c>
      <c r="PC293" s="561">
        <v>0</v>
      </c>
      <c r="PD293" s="561">
        <v>0</v>
      </c>
      <c r="PE293" s="561">
        <v>0</v>
      </c>
      <c r="PF293" s="561">
        <v>0</v>
      </c>
      <c r="PG293" s="561">
        <v>0</v>
      </c>
      <c r="PH293" s="561">
        <v>0</v>
      </c>
      <c r="PI293" s="561">
        <v>0</v>
      </c>
      <c r="PJ293" s="561">
        <v>0</v>
      </c>
    </row>
    <row r="294" spans="1:426" ht="14" x14ac:dyDescent="0.3">
      <c r="A294" t="s">
        <v>3325</v>
      </c>
      <c r="B294" t="s">
        <v>3326</v>
      </c>
      <c r="C294" t="s">
        <v>3327</v>
      </c>
      <c r="E294" t="s">
        <v>379</v>
      </c>
      <c r="F294" s="561">
        <v>24990</v>
      </c>
      <c r="G294" s="561">
        <v>123946</v>
      </c>
      <c r="H294" s="561">
        <v>28783</v>
      </c>
      <c r="I294" s="561">
        <v>45488</v>
      </c>
      <c r="J294" s="561">
        <v>4602</v>
      </c>
      <c r="K294" s="561">
        <v>21849</v>
      </c>
      <c r="L294" s="561">
        <v>249658</v>
      </c>
      <c r="M294" s="561">
        <v>3084</v>
      </c>
      <c r="N294" s="561">
        <v>-1698</v>
      </c>
      <c r="O294" s="561">
        <v>0</v>
      </c>
      <c r="P294" s="561">
        <v>0</v>
      </c>
      <c r="Q294" s="561">
        <v>-56</v>
      </c>
      <c r="R294" s="561">
        <v>191</v>
      </c>
      <c r="S294" s="561">
        <v>441</v>
      </c>
      <c r="T294" s="561">
        <v>2849</v>
      </c>
      <c r="U294" s="561">
        <v>1708</v>
      </c>
      <c r="V294" s="561">
        <v>3273</v>
      </c>
      <c r="W294" s="561">
        <v>0</v>
      </c>
      <c r="X294" s="561">
        <v>0</v>
      </c>
      <c r="Y294" s="561">
        <v>467</v>
      </c>
      <c r="Z294" s="561">
        <v>888</v>
      </c>
      <c r="AA294" s="561">
        <v>-1145</v>
      </c>
      <c r="AB294" s="561">
        <v>-358</v>
      </c>
      <c r="AC294" s="561">
        <v>0</v>
      </c>
      <c r="AD294" s="561">
        <v>0</v>
      </c>
      <c r="AE294" s="561">
        <v>0</v>
      </c>
      <c r="AF294" s="561">
        <v>0</v>
      </c>
      <c r="AG294" s="561">
        <v>0</v>
      </c>
      <c r="AH294" s="561">
        <v>0</v>
      </c>
      <c r="AI294" s="561">
        <v>0</v>
      </c>
      <c r="AJ294" s="561">
        <v>6560</v>
      </c>
      <c r="AK294" s="561">
        <v>0</v>
      </c>
      <c r="AL294" s="561">
        <v>0</v>
      </c>
      <c r="AM294" s="561">
        <v>0</v>
      </c>
      <c r="AN294" s="561">
        <v>0</v>
      </c>
      <c r="AO294" s="561">
        <v>0</v>
      </c>
      <c r="AP294" s="561">
        <v>0</v>
      </c>
      <c r="AQ294" s="561">
        <v>0</v>
      </c>
      <c r="AR294" s="561">
        <v>0</v>
      </c>
      <c r="AS294" s="561">
        <v>572</v>
      </c>
      <c r="AT294" s="561">
        <v>1332</v>
      </c>
      <c r="AU294" s="561">
        <v>0</v>
      </c>
      <c r="AV294" s="561">
        <v>0</v>
      </c>
      <c r="AW294" s="561">
        <v>0</v>
      </c>
      <c r="AX294" s="561">
        <v>1039</v>
      </c>
      <c r="AY294" s="561">
        <v>59677</v>
      </c>
      <c r="AZ294" s="561">
        <v>299</v>
      </c>
      <c r="BA294" s="561">
        <v>21860</v>
      </c>
      <c r="BB294" s="561">
        <v>1078</v>
      </c>
      <c r="BC294" s="561">
        <v>17690</v>
      </c>
      <c r="BD294" s="561">
        <v>4062</v>
      </c>
      <c r="BE294" s="561">
        <v>1088</v>
      </c>
      <c r="BF294" s="561">
        <v>106793</v>
      </c>
      <c r="BG294" s="561">
        <v>1</v>
      </c>
      <c r="BH294" s="561">
        <v>12125</v>
      </c>
      <c r="BI294" s="561">
        <v>37293</v>
      </c>
      <c r="BJ294" s="561">
        <v>87</v>
      </c>
      <c r="BK294" s="561">
        <v>341</v>
      </c>
      <c r="BL294" s="561">
        <v>946</v>
      </c>
      <c r="BM294" s="561">
        <v>6936</v>
      </c>
      <c r="BN294" s="561">
        <v>30204</v>
      </c>
      <c r="BO294" s="561">
        <v>4986</v>
      </c>
      <c r="BP294" s="561">
        <v>6687</v>
      </c>
      <c r="BQ294" s="561">
        <v>6209</v>
      </c>
      <c r="BR294" s="561">
        <v>177</v>
      </c>
      <c r="BS294" s="561">
        <v>0</v>
      </c>
      <c r="BT294" s="561">
        <v>658</v>
      </c>
      <c r="BU294" s="561">
        <v>1193</v>
      </c>
      <c r="BV294" s="561">
        <v>558</v>
      </c>
      <c r="BW294" s="561">
        <v>14197</v>
      </c>
      <c r="BX294" s="561">
        <v>1047</v>
      </c>
      <c r="BY294" s="561">
        <v>8501</v>
      </c>
      <c r="BZ294" s="561">
        <v>132145</v>
      </c>
      <c r="CA294" s="561">
        <v>0</v>
      </c>
      <c r="CB294" s="561">
        <v>1110</v>
      </c>
      <c r="CC294" s="561">
        <v>1110</v>
      </c>
      <c r="CD294" s="561">
        <v>1110</v>
      </c>
      <c r="CE294" s="561">
        <v>170</v>
      </c>
      <c r="CF294" s="561">
        <v>418</v>
      </c>
      <c r="CG294" s="561">
        <v>117</v>
      </c>
      <c r="CH294" s="561">
        <v>117</v>
      </c>
      <c r="CI294" s="561">
        <v>802</v>
      </c>
      <c r="CJ294" s="561">
        <v>633</v>
      </c>
      <c r="CK294" s="561">
        <v>802</v>
      </c>
      <c r="CL294" s="561">
        <v>633</v>
      </c>
      <c r="CM294" s="561">
        <v>2007</v>
      </c>
      <c r="CN294" s="561">
        <v>2007</v>
      </c>
      <c r="CO294" s="561">
        <v>1810</v>
      </c>
      <c r="CP294" s="561">
        <v>1810</v>
      </c>
      <c r="CQ294" s="561">
        <v>1130</v>
      </c>
      <c r="CR294" s="561">
        <v>996</v>
      </c>
      <c r="CS294" s="561">
        <v>286</v>
      </c>
      <c r="CT294" s="561">
        <v>3310</v>
      </c>
      <c r="CU294" s="561">
        <v>3121</v>
      </c>
      <c r="CV294" s="561">
        <v>2472</v>
      </c>
      <c r="CW294" s="561">
        <v>117</v>
      </c>
      <c r="CX294" s="561">
        <v>720</v>
      </c>
      <c r="CY294" s="561">
        <v>727</v>
      </c>
      <c r="CZ294" s="561">
        <v>27535</v>
      </c>
      <c r="DA294" s="561">
        <v>0</v>
      </c>
      <c r="DB294" s="561">
        <v>0</v>
      </c>
      <c r="DC294" s="561">
        <v>0</v>
      </c>
      <c r="DD294" s="561">
        <v>0</v>
      </c>
      <c r="DE294" s="561">
        <v>0</v>
      </c>
      <c r="DF294" s="561">
        <v>0</v>
      </c>
      <c r="DG294" s="561">
        <v>0</v>
      </c>
      <c r="DH294" s="561">
        <v>618</v>
      </c>
      <c r="DI294" s="561">
        <v>0</v>
      </c>
      <c r="DJ294" s="561">
        <v>207</v>
      </c>
      <c r="DK294" s="561">
        <v>607</v>
      </c>
      <c r="DL294" s="561">
        <v>-655</v>
      </c>
      <c r="DM294" s="561">
        <v>0</v>
      </c>
      <c r="DN294" s="561">
        <v>88</v>
      </c>
      <c r="DO294" s="561">
        <v>1540</v>
      </c>
      <c r="DP294" s="561">
        <v>-22</v>
      </c>
      <c r="DQ294" s="561">
        <v>0</v>
      </c>
      <c r="DR294" s="561">
        <v>0</v>
      </c>
      <c r="DS294" s="561">
        <v>3224</v>
      </c>
      <c r="DT294" s="561">
        <v>0</v>
      </c>
      <c r="DU294" s="561">
        <v>4175</v>
      </c>
      <c r="DV294" s="561">
        <v>495</v>
      </c>
      <c r="DW294" s="561">
        <v>0</v>
      </c>
      <c r="DX294" s="561">
        <v>0</v>
      </c>
      <c r="DY294" s="561">
        <v>2431</v>
      </c>
      <c r="DZ294" s="561">
        <v>-445</v>
      </c>
      <c r="EA294" s="561">
        <v>637</v>
      </c>
      <c r="EB294" s="561">
        <v>0</v>
      </c>
      <c r="EC294" s="561">
        <v>8725</v>
      </c>
      <c r="ED294" s="561">
        <v>0</v>
      </c>
      <c r="EE294" s="561">
        <v>0</v>
      </c>
      <c r="EF294" s="561">
        <v>0</v>
      </c>
      <c r="EG294" s="561">
        <v>0</v>
      </c>
      <c r="EH294" s="561">
        <v>0</v>
      </c>
      <c r="EI294" s="561">
        <v>0</v>
      </c>
      <c r="EJ294" s="561">
        <v>0</v>
      </c>
      <c r="EK294" s="561">
        <v>0</v>
      </c>
      <c r="EL294" s="561">
        <v>0</v>
      </c>
      <c r="EM294" s="561">
        <v>0</v>
      </c>
      <c r="EN294" s="561">
        <v>0</v>
      </c>
      <c r="EO294" s="561">
        <v>0</v>
      </c>
      <c r="EP294" s="561">
        <v>0</v>
      </c>
      <c r="EQ294" s="561">
        <v>0</v>
      </c>
      <c r="ER294" s="561">
        <v>0</v>
      </c>
      <c r="ES294" s="561" t="s">
        <v>4565</v>
      </c>
      <c r="ET294" s="561">
        <v>0</v>
      </c>
      <c r="EU294" s="561">
        <v>0</v>
      </c>
      <c r="EV294" s="561">
        <v>0</v>
      </c>
      <c r="EW294" s="561">
        <v>0</v>
      </c>
      <c r="EX294" s="561">
        <v>0</v>
      </c>
      <c r="EY294" s="561">
        <v>0</v>
      </c>
      <c r="EZ294" s="561">
        <v>0</v>
      </c>
      <c r="FA294" s="561">
        <v>0</v>
      </c>
      <c r="FB294" s="561">
        <v>0</v>
      </c>
      <c r="FC294" s="561">
        <v>6</v>
      </c>
      <c r="FD294" s="561">
        <v>255</v>
      </c>
      <c r="FE294" s="561">
        <v>10</v>
      </c>
      <c r="FF294" s="561">
        <v>3453</v>
      </c>
      <c r="FG294" s="561">
        <v>84</v>
      </c>
      <c r="FH294" s="561">
        <v>196</v>
      </c>
      <c r="FI294" s="561">
        <v>1574</v>
      </c>
      <c r="FJ294" s="561">
        <v>2417</v>
      </c>
      <c r="FK294" s="561">
        <v>3070</v>
      </c>
      <c r="FL294" s="561">
        <v>-32</v>
      </c>
      <c r="FM294" s="561">
        <v>1151</v>
      </c>
      <c r="FN294" s="561">
        <v>2115</v>
      </c>
      <c r="FO294" s="561">
        <v>14299</v>
      </c>
      <c r="FP294" s="561">
        <v>0</v>
      </c>
      <c r="FQ294" s="561">
        <v>-624</v>
      </c>
      <c r="FR294" s="561">
        <v>373</v>
      </c>
      <c r="FS294" s="561">
        <v>0</v>
      </c>
      <c r="FT294" s="561">
        <v>799</v>
      </c>
      <c r="FU294" s="561">
        <v>1153</v>
      </c>
      <c r="FV294" s="561">
        <v>762</v>
      </c>
      <c r="FW294" s="561">
        <v>0</v>
      </c>
      <c r="FX294" s="561">
        <v>0</v>
      </c>
      <c r="FY294" s="561">
        <v>0</v>
      </c>
      <c r="FZ294" s="561">
        <v>212</v>
      </c>
      <c r="GA294" s="561">
        <v>156</v>
      </c>
      <c r="GB294" s="561">
        <v>149</v>
      </c>
      <c r="GC294" s="561">
        <v>203</v>
      </c>
      <c r="GD294" s="561">
        <v>1431</v>
      </c>
      <c r="GE294" s="561">
        <v>353</v>
      </c>
      <c r="GF294" s="561">
        <v>0</v>
      </c>
      <c r="GG294" s="561">
        <v>0</v>
      </c>
      <c r="GH294" s="561">
        <v>222</v>
      </c>
      <c r="GI294" s="561">
        <v>0</v>
      </c>
      <c r="GJ294" s="561">
        <v>1882</v>
      </c>
      <c r="GK294" s="561">
        <v>0</v>
      </c>
      <c r="GL294" s="561">
        <v>5078</v>
      </c>
      <c r="GM294" s="561">
        <v>7893</v>
      </c>
      <c r="GN294" s="561">
        <v>0</v>
      </c>
      <c r="GO294" s="561">
        <v>-434</v>
      </c>
      <c r="GP294" s="561">
        <v>414</v>
      </c>
      <c r="GQ294" s="561">
        <v>0</v>
      </c>
      <c r="GR294" s="561">
        <v>0</v>
      </c>
      <c r="GS294" s="561">
        <v>20022</v>
      </c>
      <c r="GT294" s="561">
        <v>0</v>
      </c>
      <c r="GU294" s="561">
        <v>465</v>
      </c>
      <c r="GV294" s="561">
        <v>852</v>
      </c>
      <c r="GW294" s="561">
        <v>0</v>
      </c>
      <c r="GX294" s="561">
        <v>697</v>
      </c>
      <c r="GY294" s="561">
        <v>162</v>
      </c>
      <c r="GZ294" s="561">
        <v>3831</v>
      </c>
      <c r="HA294" s="561">
        <v>-3</v>
      </c>
      <c r="HB294" s="561">
        <v>1059</v>
      </c>
      <c r="HC294" s="561">
        <v>3305</v>
      </c>
      <c r="HD294" s="561">
        <v>10368</v>
      </c>
      <c r="HE294" s="561">
        <v>0</v>
      </c>
      <c r="HF294" s="561">
        <v>44689</v>
      </c>
      <c r="HG294" s="561">
        <v>0</v>
      </c>
      <c r="HH294" s="561">
        <v>0</v>
      </c>
      <c r="HI294" s="561">
        <v>0</v>
      </c>
      <c r="HJ294" s="561">
        <v>0</v>
      </c>
      <c r="HK294" s="561">
        <v>0</v>
      </c>
      <c r="HL294" s="561">
        <v>0</v>
      </c>
      <c r="HM294" s="561">
        <v>0</v>
      </c>
      <c r="HN294" s="561">
        <v>0</v>
      </c>
      <c r="HO294" s="561">
        <v>7762</v>
      </c>
      <c r="HP294" s="561">
        <v>1784</v>
      </c>
      <c r="HQ294" s="561">
        <v>0</v>
      </c>
      <c r="HR294" s="561">
        <v>0</v>
      </c>
      <c r="HS294" s="561">
        <v>368</v>
      </c>
      <c r="HT294" s="561">
        <v>4</v>
      </c>
      <c r="HU294" s="561">
        <v>0</v>
      </c>
      <c r="HV294" s="561">
        <v>-23</v>
      </c>
      <c r="HW294" s="561">
        <v>524</v>
      </c>
      <c r="HX294" s="561">
        <v>1078</v>
      </c>
      <c r="HY294" s="561">
        <v>1</v>
      </c>
      <c r="HZ294" s="561">
        <v>0</v>
      </c>
      <c r="IA294" s="561">
        <v>5480</v>
      </c>
      <c r="IB294" s="561">
        <v>0</v>
      </c>
      <c r="IC294" s="561">
        <v>622</v>
      </c>
      <c r="ID294" s="561">
        <v>0</v>
      </c>
      <c r="IE294" s="561">
        <v>1147</v>
      </c>
      <c r="IF294" s="561">
        <v>745</v>
      </c>
      <c r="IG294" s="561">
        <v>0</v>
      </c>
      <c r="IH294" s="561">
        <v>4677</v>
      </c>
      <c r="II294" s="561">
        <v>24169</v>
      </c>
      <c r="IJ294" s="561">
        <v>0</v>
      </c>
      <c r="IK294" s="561">
        <v>29274</v>
      </c>
      <c r="IL294" s="561">
        <v>8524</v>
      </c>
      <c r="IM294" s="561">
        <v>2</v>
      </c>
      <c r="IN294" s="561">
        <v>541</v>
      </c>
      <c r="IO294" s="561">
        <v>110</v>
      </c>
      <c r="IP294" s="561">
        <v>403</v>
      </c>
      <c r="IQ294" s="561">
        <v>0</v>
      </c>
      <c r="IR294" s="561">
        <v>249658</v>
      </c>
      <c r="IS294" s="561">
        <v>6560</v>
      </c>
      <c r="IT294" s="561">
        <v>106793</v>
      </c>
      <c r="IU294" s="561">
        <v>132145</v>
      </c>
      <c r="IV294" s="561">
        <v>27535</v>
      </c>
      <c r="IW294" s="561">
        <v>8725</v>
      </c>
      <c r="IX294" s="561">
        <v>14299</v>
      </c>
      <c r="IY294" s="561">
        <v>20022</v>
      </c>
      <c r="IZ294" s="561">
        <v>10368</v>
      </c>
      <c r="JA294" s="561">
        <v>0</v>
      </c>
      <c r="JB294" s="561">
        <v>0</v>
      </c>
      <c r="JC294" s="561">
        <v>24169</v>
      </c>
      <c r="JD294" s="561">
        <v>403</v>
      </c>
      <c r="JE294" s="561">
        <v>600677</v>
      </c>
      <c r="JF294" s="561">
        <v>64540</v>
      </c>
      <c r="JG294" s="561">
        <v>712</v>
      </c>
      <c r="JH294" s="561">
        <v>0</v>
      </c>
      <c r="JI294" s="561">
        <v>0</v>
      </c>
      <c r="JJ294" s="561">
        <v>0</v>
      </c>
      <c r="JK294" s="561">
        <v>1474</v>
      </c>
      <c r="JL294" s="561">
        <v>20518</v>
      </c>
      <c r="JM294" s="561">
        <v>16510</v>
      </c>
      <c r="JN294" s="561">
        <v>0</v>
      </c>
      <c r="JO294" s="561">
        <v>262</v>
      </c>
      <c r="JP294" s="561">
        <v>2664</v>
      </c>
      <c r="JQ294" s="561">
        <v>264</v>
      </c>
      <c r="JR294" s="561">
        <v>0</v>
      </c>
      <c r="JS294" s="561">
        <v>0</v>
      </c>
      <c r="JT294" s="561">
        <v>0</v>
      </c>
      <c r="JU294" s="561">
        <v>-1450.55</v>
      </c>
      <c r="JV294" s="561">
        <v>706170.45</v>
      </c>
      <c r="JW294" s="561">
        <v>172</v>
      </c>
      <c r="JX294" s="561">
        <v>88</v>
      </c>
      <c r="JY294" s="561">
        <v>0</v>
      </c>
      <c r="JZ294" s="561">
        <v>0</v>
      </c>
      <c r="KA294" s="561">
        <v>0</v>
      </c>
      <c r="KB294" s="561">
        <v>526</v>
      </c>
      <c r="KC294" s="561">
        <v>7404</v>
      </c>
      <c r="KD294" s="561">
        <v>0</v>
      </c>
      <c r="KE294" s="561">
        <v>5764</v>
      </c>
      <c r="KF294" s="561">
        <v>0</v>
      </c>
      <c r="KG294" s="561">
        <v>720124.45</v>
      </c>
      <c r="KH294" s="561">
        <v>-1690</v>
      </c>
      <c r="KI294" s="561">
        <v>0</v>
      </c>
      <c r="KJ294" s="561">
        <v>30</v>
      </c>
      <c r="KK294" s="561">
        <v>0</v>
      </c>
      <c r="KL294" s="561">
        <v>-71384</v>
      </c>
      <c r="KM294" s="561">
        <v>0</v>
      </c>
      <c r="KN294" s="561">
        <v>0</v>
      </c>
      <c r="KO294" s="561">
        <v>0</v>
      </c>
      <c r="KP294" s="561">
        <v>0</v>
      </c>
      <c r="KQ294" s="561">
        <v>-28680</v>
      </c>
      <c r="KR294" s="561">
        <v>618400.44999999995</v>
      </c>
      <c r="KS294" s="561">
        <v>0</v>
      </c>
      <c r="KT294" s="561">
        <v>-295101.15999999997</v>
      </c>
      <c r="KU294" s="561">
        <v>323299.28999999998</v>
      </c>
      <c r="KV294" s="561">
        <v>0</v>
      </c>
      <c r="KW294" s="561">
        <v>-2182</v>
      </c>
      <c r="KX294" s="561">
        <v>0</v>
      </c>
      <c r="KY294" s="561">
        <v>0</v>
      </c>
      <c r="KZ294" s="561">
        <v>-11893</v>
      </c>
      <c r="LA294" s="561">
        <v>-5863</v>
      </c>
      <c r="LB294" s="561">
        <v>0</v>
      </c>
      <c r="LC294" s="561">
        <v>0</v>
      </c>
      <c r="LD294" s="561">
        <v>-132303</v>
      </c>
      <c r="LE294" s="561">
        <v>-1299</v>
      </c>
      <c r="LF294" s="561">
        <v>0</v>
      </c>
      <c r="LG294" s="561">
        <v>169759</v>
      </c>
      <c r="LH294" s="561">
        <v>20458</v>
      </c>
      <c r="LI294" s="561">
        <v>-36121</v>
      </c>
      <c r="LJ294" s="561">
        <v>0</v>
      </c>
      <c r="LK294" s="561">
        <v>0</v>
      </c>
      <c r="LL294" s="561">
        <v>32680</v>
      </c>
      <c r="LM294" s="561">
        <v>16300</v>
      </c>
      <c r="LN294" s="561">
        <v>18276</v>
      </c>
      <c r="LO294" s="561">
        <v>-64801</v>
      </c>
      <c r="LP294" s="561">
        <v>0</v>
      </c>
      <c r="LQ294" s="561">
        <v>0</v>
      </c>
      <c r="LR294" s="561">
        <v>20787</v>
      </c>
      <c r="LS294" s="561">
        <v>10437</v>
      </c>
      <c r="LT294" s="561">
        <v>0</v>
      </c>
      <c r="LU294" s="561">
        <v>23530</v>
      </c>
      <c r="LV294" s="561">
        <v>11364</v>
      </c>
      <c r="LW294" s="561">
        <v>14444</v>
      </c>
      <c r="LX294" s="561">
        <v>-41377</v>
      </c>
      <c r="LY294" s="561">
        <v>7323</v>
      </c>
      <c r="LZ294" s="561">
        <v>17556</v>
      </c>
      <c r="MA294" s="561">
        <v>0</v>
      </c>
      <c r="MB294" s="561">
        <v>0</v>
      </c>
      <c r="MC294" s="561">
        <v>0</v>
      </c>
      <c r="MD294" s="561">
        <v>0</v>
      </c>
      <c r="ME294" s="561">
        <v>0</v>
      </c>
      <c r="MF294" s="561">
        <v>0</v>
      </c>
      <c r="MG294" s="561">
        <v>0</v>
      </c>
      <c r="MH294" s="561">
        <v>13103</v>
      </c>
      <c r="MI294" s="561">
        <v>14940</v>
      </c>
      <c r="MJ294" s="561">
        <v>28043</v>
      </c>
      <c r="MK294" s="561">
        <v>0</v>
      </c>
      <c r="ML294" s="561">
        <v>36</v>
      </c>
      <c r="MM294" s="561">
        <v>2378</v>
      </c>
      <c r="MN294" s="561">
        <v>3971</v>
      </c>
      <c r="MO294" s="561">
        <v>0</v>
      </c>
      <c r="MP294" s="561">
        <v>14402</v>
      </c>
      <c r="MQ294" s="561">
        <v>249658</v>
      </c>
      <c r="MR294" s="561">
        <v>6560</v>
      </c>
      <c r="MS294" s="561">
        <v>106793</v>
      </c>
      <c r="MT294" s="561">
        <v>132145</v>
      </c>
      <c r="MU294" s="561">
        <v>27535</v>
      </c>
      <c r="MV294" s="561">
        <v>8725</v>
      </c>
      <c r="MW294" s="561">
        <v>14299</v>
      </c>
      <c r="MX294" s="561">
        <v>20022</v>
      </c>
      <c r="MY294" s="561">
        <v>10368</v>
      </c>
      <c r="MZ294" s="561">
        <v>0</v>
      </c>
      <c r="NA294" s="561">
        <v>0</v>
      </c>
      <c r="NB294" s="561">
        <v>24169</v>
      </c>
      <c r="NC294" s="561">
        <v>403</v>
      </c>
      <c r="ND294" s="561">
        <v>600677</v>
      </c>
      <c r="NE294" s="561">
        <v>0</v>
      </c>
      <c r="NF294" s="561">
        <v>0</v>
      </c>
      <c r="NG294" s="561">
        <v>0</v>
      </c>
      <c r="NH294" s="561">
        <v>0</v>
      </c>
      <c r="NI294" s="561">
        <v>0</v>
      </c>
      <c r="NJ294" s="561">
        <v>0</v>
      </c>
      <c r="NK294" s="561">
        <v>0</v>
      </c>
      <c r="NL294" s="561">
        <v>0</v>
      </c>
      <c r="NM294" s="561">
        <v>0</v>
      </c>
      <c r="NN294" s="561">
        <v>0</v>
      </c>
      <c r="NO294" s="561">
        <v>0</v>
      </c>
      <c r="NP294" s="561">
        <v>0</v>
      </c>
      <c r="NQ294" s="561">
        <v>0</v>
      </c>
      <c r="NR294" s="561">
        <v>0</v>
      </c>
      <c r="NS294" s="561">
        <v>0</v>
      </c>
      <c r="NT294" s="561">
        <v>0</v>
      </c>
      <c r="NU294" s="561">
        <v>0</v>
      </c>
      <c r="NV294" s="561">
        <v>191</v>
      </c>
      <c r="NW294" s="561">
        <v>2664</v>
      </c>
      <c r="NX294" s="561">
        <v>0</v>
      </c>
      <c r="NY294" s="561">
        <v>2664</v>
      </c>
      <c r="NZ294" s="561">
        <v>0</v>
      </c>
      <c r="OA294" s="561">
        <v>0</v>
      </c>
      <c r="OB294" s="561">
        <v>0</v>
      </c>
      <c r="OC294" s="561">
        <v>0</v>
      </c>
      <c r="OD294" s="561">
        <v>0</v>
      </c>
      <c r="OE294" s="561">
        <v>0</v>
      </c>
      <c r="OF294" s="561">
        <v>0</v>
      </c>
      <c r="OG294" s="561">
        <v>0</v>
      </c>
      <c r="OH294" s="561">
        <v>0</v>
      </c>
      <c r="OI294" s="561">
        <v>0</v>
      </c>
      <c r="OJ294" s="561">
        <v>187</v>
      </c>
      <c r="OK294" s="561">
        <v>0</v>
      </c>
      <c r="OL294" s="561">
        <v>0</v>
      </c>
      <c r="OM294" s="561">
        <v>-27</v>
      </c>
      <c r="ON294" s="561">
        <v>-38</v>
      </c>
      <c r="OO294" s="561">
        <v>0</v>
      </c>
      <c r="OP294" s="561">
        <v>-118</v>
      </c>
      <c r="OQ294" s="561">
        <v>0</v>
      </c>
      <c r="OR294" s="561">
        <v>0</v>
      </c>
      <c r="OS294" s="561">
        <v>0</v>
      </c>
      <c r="OT294" s="561">
        <v>0</v>
      </c>
      <c r="OU294" s="561">
        <v>0</v>
      </c>
      <c r="OV294" s="561">
        <v>5309</v>
      </c>
      <c r="OW294" s="561">
        <v>0</v>
      </c>
      <c r="OX294" s="561">
        <v>264</v>
      </c>
      <c r="OY294" s="561">
        <v>0</v>
      </c>
      <c r="OZ294" s="561">
        <v>0</v>
      </c>
      <c r="PA294" s="561">
        <v>0</v>
      </c>
      <c r="PB294" s="561">
        <v>0</v>
      </c>
      <c r="PC294" s="561">
        <v>0</v>
      </c>
      <c r="PD294" s="561">
        <v>0</v>
      </c>
      <c r="PE294" s="561">
        <v>0</v>
      </c>
      <c r="PF294" s="561">
        <v>0</v>
      </c>
      <c r="PG294" s="561">
        <v>0</v>
      </c>
      <c r="PH294" s="561">
        <v>0</v>
      </c>
      <c r="PI294" s="561">
        <v>0</v>
      </c>
      <c r="PJ294" s="561">
        <v>0</v>
      </c>
    </row>
    <row r="295" spans="1:426" ht="14" x14ac:dyDescent="0.3">
      <c r="A295" t="s">
        <v>3328</v>
      </c>
      <c r="B295" t="s">
        <v>3329</v>
      </c>
      <c r="C295" t="s">
        <v>3330</v>
      </c>
      <c r="E295" t="s">
        <v>384</v>
      </c>
      <c r="F295" s="561">
        <v>0</v>
      </c>
      <c r="G295" s="561">
        <v>0</v>
      </c>
      <c r="H295" s="561">
        <v>0</v>
      </c>
      <c r="I295" s="561">
        <v>0</v>
      </c>
      <c r="J295" s="561">
        <v>0</v>
      </c>
      <c r="K295" s="561">
        <v>0</v>
      </c>
      <c r="L295" s="561">
        <v>0</v>
      </c>
      <c r="M295" s="561">
        <v>0</v>
      </c>
      <c r="N295" s="561">
        <v>0</v>
      </c>
      <c r="O295" s="561">
        <v>0</v>
      </c>
      <c r="P295" s="561">
        <v>0</v>
      </c>
      <c r="Q295" s="561">
        <v>0</v>
      </c>
      <c r="R295" s="561">
        <v>0</v>
      </c>
      <c r="S295" s="561">
        <v>0</v>
      </c>
      <c r="T295" s="561">
        <v>0</v>
      </c>
      <c r="U295" s="561">
        <v>0</v>
      </c>
      <c r="V295" s="561">
        <v>0</v>
      </c>
      <c r="W295" s="561">
        <v>0</v>
      </c>
      <c r="X295" s="561">
        <v>0</v>
      </c>
      <c r="Y295" s="561">
        <v>0</v>
      </c>
      <c r="Z295" s="561">
        <v>-8</v>
      </c>
      <c r="AA295" s="561">
        <v>-467</v>
      </c>
      <c r="AB295" s="561">
        <v>-2381</v>
      </c>
      <c r="AC295" s="561">
        <v>0</v>
      </c>
      <c r="AD295" s="561">
        <v>0</v>
      </c>
      <c r="AE295" s="561">
        <v>0</v>
      </c>
      <c r="AF295" s="561">
        <v>0</v>
      </c>
      <c r="AG295" s="561">
        <v>0</v>
      </c>
      <c r="AH295" s="561">
        <v>19</v>
      </c>
      <c r="AI295" s="561">
        <v>0</v>
      </c>
      <c r="AJ295" s="561">
        <v>-2837</v>
      </c>
      <c r="AK295" s="561">
        <v>0</v>
      </c>
      <c r="AL295" s="561">
        <v>0</v>
      </c>
      <c r="AM295" s="561">
        <v>0</v>
      </c>
      <c r="AN295" s="561">
        <v>0</v>
      </c>
      <c r="AO295" s="561">
        <v>0</v>
      </c>
      <c r="AP295" s="561">
        <v>0</v>
      </c>
      <c r="AQ295" s="561">
        <v>0</v>
      </c>
      <c r="AR295" s="561">
        <v>0</v>
      </c>
      <c r="AS295" s="561">
        <v>0</v>
      </c>
      <c r="AT295" s="561">
        <v>0</v>
      </c>
      <c r="AU295" s="561">
        <v>0</v>
      </c>
      <c r="AV295" s="561">
        <v>0</v>
      </c>
      <c r="AW295" s="561">
        <v>0</v>
      </c>
      <c r="AX295" s="561">
        <v>0</v>
      </c>
      <c r="AY295" s="561">
        <v>0</v>
      </c>
      <c r="AZ295" s="561">
        <v>0</v>
      </c>
      <c r="BA295" s="561">
        <v>0</v>
      </c>
      <c r="BB295" s="561">
        <v>0</v>
      </c>
      <c r="BC295" s="561">
        <v>0</v>
      </c>
      <c r="BD295" s="561">
        <v>0</v>
      </c>
      <c r="BE295" s="561">
        <v>60</v>
      </c>
      <c r="BF295" s="561">
        <v>60</v>
      </c>
      <c r="BG295" s="561">
        <v>0</v>
      </c>
      <c r="BH295" s="561">
        <v>0</v>
      </c>
      <c r="BI295" s="561">
        <v>0</v>
      </c>
      <c r="BJ295" s="561">
        <v>0</v>
      </c>
      <c r="BK295" s="561">
        <v>0</v>
      </c>
      <c r="BL295" s="561">
        <v>0</v>
      </c>
      <c r="BM295" s="561">
        <v>0</v>
      </c>
      <c r="BN295" s="561">
        <v>0</v>
      </c>
      <c r="BO295" s="561">
        <v>0</v>
      </c>
      <c r="BP295" s="561">
        <v>0</v>
      </c>
      <c r="BQ295" s="561">
        <v>0</v>
      </c>
      <c r="BR295" s="561">
        <v>0</v>
      </c>
      <c r="BS295" s="561">
        <v>0</v>
      </c>
      <c r="BT295" s="561">
        <v>0</v>
      </c>
      <c r="BU295" s="561">
        <v>0</v>
      </c>
      <c r="BV295" s="561">
        <v>0</v>
      </c>
      <c r="BW295" s="561">
        <v>0</v>
      </c>
      <c r="BX295" s="561">
        <v>0</v>
      </c>
      <c r="BY295" s="561">
        <v>0</v>
      </c>
      <c r="BZ295" s="561">
        <v>0</v>
      </c>
      <c r="CA295" s="561">
        <v>0</v>
      </c>
      <c r="CB295" s="561">
        <v>0</v>
      </c>
      <c r="CC295" s="561">
        <v>0</v>
      </c>
      <c r="CD295" s="561">
        <v>0</v>
      </c>
      <c r="CE295" s="561">
        <v>0</v>
      </c>
      <c r="CF295" s="561">
        <v>0</v>
      </c>
      <c r="CG295" s="561">
        <v>0</v>
      </c>
      <c r="CH295" s="561">
        <v>0</v>
      </c>
      <c r="CI295" s="561">
        <v>0</v>
      </c>
      <c r="CJ295" s="561">
        <v>0</v>
      </c>
      <c r="CK295" s="561">
        <v>58</v>
      </c>
      <c r="CL295" s="561">
        <v>0</v>
      </c>
      <c r="CM295" s="561">
        <v>0</v>
      </c>
      <c r="CN295" s="561">
        <v>0</v>
      </c>
      <c r="CO295" s="561">
        <v>0</v>
      </c>
      <c r="CP295" s="561">
        <v>0</v>
      </c>
      <c r="CQ295" s="561">
        <v>0</v>
      </c>
      <c r="CR295" s="561">
        <v>0</v>
      </c>
      <c r="CS295" s="561">
        <v>0</v>
      </c>
      <c r="CT295" s="561">
        <v>0</v>
      </c>
      <c r="CU295" s="561">
        <v>0</v>
      </c>
      <c r="CV295" s="561">
        <v>0</v>
      </c>
      <c r="CW295" s="561">
        <v>0</v>
      </c>
      <c r="CX295" s="561">
        <v>0</v>
      </c>
      <c r="CY295" s="561">
        <v>0</v>
      </c>
      <c r="CZ295" s="561">
        <v>58</v>
      </c>
      <c r="DA295" s="561">
        <v>0</v>
      </c>
      <c r="DB295" s="561">
        <v>0</v>
      </c>
      <c r="DC295" s="561">
        <v>0</v>
      </c>
      <c r="DD295" s="561">
        <v>0</v>
      </c>
      <c r="DE295" s="561">
        <v>0</v>
      </c>
      <c r="DF295" s="561">
        <v>0</v>
      </c>
      <c r="DG295" s="561">
        <v>0</v>
      </c>
      <c r="DH295" s="561">
        <v>350</v>
      </c>
      <c r="DI295" s="561">
        <v>0</v>
      </c>
      <c r="DJ295" s="561">
        <v>-1670</v>
      </c>
      <c r="DK295" s="561">
        <v>-60</v>
      </c>
      <c r="DL295" s="561">
        <v>-311</v>
      </c>
      <c r="DM295" s="561">
        <v>385</v>
      </c>
      <c r="DN295" s="561">
        <v>0</v>
      </c>
      <c r="DO295" s="561">
        <v>866</v>
      </c>
      <c r="DP295" s="561">
        <v>15</v>
      </c>
      <c r="DQ295" s="561">
        <v>0</v>
      </c>
      <c r="DR295" s="561">
        <v>89</v>
      </c>
      <c r="DS295" s="561">
        <v>-37</v>
      </c>
      <c r="DT295" s="561">
        <v>219</v>
      </c>
      <c r="DU295" s="561">
        <v>1226</v>
      </c>
      <c r="DV295" s="561">
        <v>0</v>
      </c>
      <c r="DW295" s="561">
        <v>-161</v>
      </c>
      <c r="DX295" s="561">
        <v>0</v>
      </c>
      <c r="DY295" s="561">
        <v>1286</v>
      </c>
      <c r="DZ295" s="561">
        <v>163</v>
      </c>
      <c r="EA295" s="561">
        <v>0</v>
      </c>
      <c r="EB295" s="561">
        <v>0</v>
      </c>
      <c r="EC295" s="561">
        <v>1134</v>
      </c>
      <c r="ED295" s="561">
        <v>0</v>
      </c>
      <c r="EE295" s="561">
        <v>0</v>
      </c>
      <c r="EF295" s="561">
        <v>0</v>
      </c>
      <c r="EG295" s="561">
        <v>0</v>
      </c>
      <c r="EH295" s="561">
        <v>0</v>
      </c>
      <c r="EI295" s="561">
        <v>0</v>
      </c>
      <c r="EJ295" s="561">
        <v>0</v>
      </c>
      <c r="EK295" s="561">
        <v>0</v>
      </c>
      <c r="EL295" s="561">
        <v>0</v>
      </c>
      <c r="EM295" s="561">
        <v>0</v>
      </c>
      <c r="EN295" s="561">
        <v>0</v>
      </c>
      <c r="EO295" s="561">
        <v>0</v>
      </c>
      <c r="EP295" s="561">
        <v>0</v>
      </c>
      <c r="EQ295" s="561">
        <v>0</v>
      </c>
      <c r="ER295" s="561">
        <v>0</v>
      </c>
      <c r="ES295" s="561" t="s">
        <v>4565</v>
      </c>
      <c r="ET295" s="561">
        <v>0</v>
      </c>
      <c r="EU295" s="561">
        <v>0</v>
      </c>
      <c r="EV295" s="561">
        <v>0</v>
      </c>
      <c r="EW295" s="561">
        <v>0</v>
      </c>
      <c r="EX295" s="561">
        <v>0</v>
      </c>
      <c r="EY295" s="561">
        <v>0</v>
      </c>
      <c r="EZ295" s="561">
        <v>0</v>
      </c>
      <c r="FA295" s="561">
        <v>0</v>
      </c>
      <c r="FB295" s="561">
        <v>0</v>
      </c>
      <c r="FC295" s="561">
        <v>0</v>
      </c>
      <c r="FD295" s="561">
        <v>0</v>
      </c>
      <c r="FE295" s="561">
        <v>0</v>
      </c>
      <c r="FF295" s="561">
        <v>0</v>
      </c>
      <c r="FG295" s="561">
        <v>0</v>
      </c>
      <c r="FH295" s="561">
        <v>0</v>
      </c>
      <c r="FI295" s="561">
        <v>333</v>
      </c>
      <c r="FJ295" s="561">
        <v>153</v>
      </c>
      <c r="FK295" s="561">
        <v>441</v>
      </c>
      <c r="FL295" s="561">
        <v>25</v>
      </c>
      <c r="FM295" s="561">
        <v>45</v>
      </c>
      <c r="FN295" s="561">
        <v>0</v>
      </c>
      <c r="FO295" s="561">
        <v>997</v>
      </c>
      <c r="FP295" s="561">
        <v>0</v>
      </c>
      <c r="FQ295" s="561">
        <v>0</v>
      </c>
      <c r="FR295" s="561">
        <v>0</v>
      </c>
      <c r="FS295" s="561">
        <v>30</v>
      </c>
      <c r="FT295" s="561">
        <v>76</v>
      </c>
      <c r="FU295" s="561">
        <v>1028</v>
      </c>
      <c r="FV295" s="561">
        <v>0</v>
      </c>
      <c r="FW295" s="561">
        <v>94</v>
      </c>
      <c r="FX295" s="561">
        <v>0</v>
      </c>
      <c r="FY295" s="561">
        <v>0</v>
      </c>
      <c r="FZ295" s="561">
        <v>0</v>
      </c>
      <c r="GA295" s="561">
        <v>57</v>
      </c>
      <c r="GB295" s="561">
        <v>19</v>
      </c>
      <c r="GC295" s="561">
        <v>-220</v>
      </c>
      <c r="GD295" s="561">
        <v>0</v>
      </c>
      <c r="GE295" s="561">
        <v>0</v>
      </c>
      <c r="GF295" s="561">
        <v>490</v>
      </c>
      <c r="GG295" s="561">
        <v>0</v>
      </c>
      <c r="GH295" s="561">
        <v>0</v>
      </c>
      <c r="GI295" s="561">
        <v>0</v>
      </c>
      <c r="GJ295" s="561">
        <v>0</v>
      </c>
      <c r="GK295" s="561">
        <v>0</v>
      </c>
      <c r="GL295" s="561">
        <v>1740</v>
      </c>
      <c r="GM295" s="561">
        <v>4490</v>
      </c>
      <c r="GN295" s="561">
        <v>0</v>
      </c>
      <c r="GO295" s="561">
        <v>0</v>
      </c>
      <c r="GP295" s="561">
        <v>-200</v>
      </c>
      <c r="GQ295" s="561">
        <v>0</v>
      </c>
      <c r="GR295" s="561">
        <v>0</v>
      </c>
      <c r="GS295" s="561">
        <v>7604</v>
      </c>
      <c r="GT295" s="561">
        <v>0</v>
      </c>
      <c r="GU295" s="561">
        <v>342</v>
      </c>
      <c r="GV295" s="561">
        <v>1708</v>
      </c>
      <c r="GW295" s="561">
        <v>0</v>
      </c>
      <c r="GX295" s="561">
        <v>997</v>
      </c>
      <c r="GY295" s="561">
        <v>3</v>
      </c>
      <c r="GZ295" s="561">
        <v>977</v>
      </c>
      <c r="HA295" s="561">
        <v>0</v>
      </c>
      <c r="HB295" s="561">
        <v>1312</v>
      </c>
      <c r="HC295" s="561">
        <v>307</v>
      </c>
      <c r="HD295" s="561">
        <v>5646</v>
      </c>
      <c r="HE295" s="561">
        <v>0</v>
      </c>
      <c r="HF295" s="561">
        <v>14247</v>
      </c>
      <c r="HG295" s="561">
        <v>0</v>
      </c>
      <c r="HH295" s="561">
        <v>0</v>
      </c>
      <c r="HI295" s="561">
        <v>0</v>
      </c>
      <c r="HJ295" s="561">
        <v>0</v>
      </c>
      <c r="HK295" s="561">
        <v>0</v>
      </c>
      <c r="HL295" s="561">
        <v>0</v>
      </c>
      <c r="HM295" s="561">
        <v>0</v>
      </c>
      <c r="HN295" s="561">
        <v>0</v>
      </c>
      <c r="HO295" s="561">
        <v>3481</v>
      </c>
      <c r="HP295" s="561">
        <v>37</v>
      </c>
      <c r="HQ295" s="561">
        <v>0</v>
      </c>
      <c r="HR295" s="561">
        <v>0</v>
      </c>
      <c r="HS295" s="561">
        <v>99</v>
      </c>
      <c r="HT295" s="561">
        <v>0</v>
      </c>
      <c r="HU295" s="561">
        <v>0</v>
      </c>
      <c r="HV295" s="561">
        <v>0</v>
      </c>
      <c r="HW295" s="561">
        <v>242</v>
      </c>
      <c r="HX295" s="561">
        <v>114</v>
      </c>
      <c r="HY295" s="561">
        <v>150</v>
      </c>
      <c r="HZ295" s="561">
        <v>84</v>
      </c>
      <c r="IA295" s="561">
        <v>0</v>
      </c>
      <c r="IB295" s="561">
        <v>171</v>
      </c>
      <c r="IC295" s="561">
        <v>0</v>
      </c>
      <c r="ID295" s="561">
        <v>0</v>
      </c>
      <c r="IE295" s="561">
        <v>1664</v>
      </c>
      <c r="IF295" s="561">
        <v>0</v>
      </c>
      <c r="IG295" s="561">
        <v>0</v>
      </c>
      <c r="IH295" s="561">
        <v>0</v>
      </c>
      <c r="II295" s="561">
        <v>6042</v>
      </c>
      <c r="IJ295" s="561">
        <v>0</v>
      </c>
      <c r="IK295" s="561">
        <v>0</v>
      </c>
      <c r="IL295" s="561">
        <v>0</v>
      </c>
      <c r="IM295" s="561">
        <v>0</v>
      </c>
      <c r="IN295" s="561">
        <v>0</v>
      </c>
      <c r="IO295" s="561">
        <v>0</v>
      </c>
      <c r="IP295" s="561">
        <v>0</v>
      </c>
      <c r="IQ295" s="561">
        <v>0</v>
      </c>
      <c r="IR295" s="561">
        <v>0</v>
      </c>
      <c r="IS295" s="561">
        <v>-2837</v>
      </c>
      <c r="IT295" s="561">
        <v>60</v>
      </c>
      <c r="IU295" s="561">
        <v>0</v>
      </c>
      <c r="IV295" s="561">
        <v>58</v>
      </c>
      <c r="IW295" s="561">
        <v>1134</v>
      </c>
      <c r="IX295" s="561">
        <v>997</v>
      </c>
      <c r="IY295" s="561">
        <v>7604</v>
      </c>
      <c r="IZ295" s="561">
        <v>5646</v>
      </c>
      <c r="JA295" s="561">
        <v>0</v>
      </c>
      <c r="JB295" s="561">
        <v>0</v>
      </c>
      <c r="JC295" s="561">
        <v>6042</v>
      </c>
      <c r="JD295" s="561">
        <v>0</v>
      </c>
      <c r="JE295" s="561">
        <v>18704</v>
      </c>
      <c r="JF295" s="561">
        <v>15812</v>
      </c>
      <c r="JG295" s="561">
        <v>381</v>
      </c>
      <c r="JH295" s="561">
        <v>0</v>
      </c>
      <c r="JI295" s="561">
        <v>0</v>
      </c>
      <c r="JJ295" s="561">
        <v>0</v>
      </c>
      <c r="JK295" s="561">
        <v>5559</v>
      </c>
      <c r="JL295" s="561">
        <v>0</v>
      </c>
      <c r="JM295" s="561">
        <v>0</v>
      </c>
      <c r="JN295" s="561">
        <v>0</v>
      </c>
      <c r="JO295" s="561">
        <v>0</v>
      </c>
      <c r="JP295" s="561">
        <v>-301</v>
      </c>
      <c r="JQ295" s="561">
        <v>0</v>
      </c>
      <c r="JR295" s="561">
        <v>0</v>
      </c>
      <c r="JS295" s="561">
        <v>0</v>
      </c>
      <c r="JT295" s="561">
        <v>0</v>
      </c>
      <c r="JU295" s="561">
        <v>0</v>
      </c>
      <c r="JV295" s="561">
        <v>40155</v>
      </c>
      <c r="JW295" s="561">
        <v>0</v>
      </c>
      <c r="JX295" s="561">
        <v>532</v>
      </c>
      <c r="JY295" s="561">
        <v>0</v>
      </c>
      <c r="JZ295" s="561">
        <v>0</v>
      </c>
      <c r="KA295" s="561">
        <v>0</v>
      </c>
      <c r="KB295" s="561">
        <v>855</v>
      </c>
      <c r="KC295" s="561">
        <v>678</v>
      </c>
      <c r="KD295" s="561">
        <v>0</v>
      </c>
      <c r="KE295" s="561">
        <v>242</v>
      </c>
      <c r="KF295" s="561">
        <v>0</v>
      </c>
      <c r="KG295" s="561">
        <v>42462</v>
      </c>
      <c r="KH295" s="561">
        <v>-3128</v>
      </c>
      <c r="KI295" s="561">
        <v>0</v>
      </c>
      <c r="KJ295" s="561">
        <v>0</v>
      </c>
      <c r="KK295" s="561">
        <v>0</v>
      </c>
      <c r="KL295" s="561">
        <v>-16520</v>
      </c>
      <c r="KM295" s="561">
        <v>0</v>
      </c>
      <c r="KN295" s="561">
        <v>-1833</v>
      </c>
      <c r="KO295" s="561">
        <v>0</v>
      </c>
      <c r="KP295" s="561">
        <v>0</v>
      </c>
      <c r="KQ295" s="561">
        <v>0</v>
      </c>
      <c r="KR295" s="561">
        <v>20981</v>
      </c>
      <c r="KS295" s="561">
        <v>0</v>
      </c>
      <c r="KT295" s="561">
        <v>-2267</v>
      </c>
      <c r="KU295" s="561">
        <v>18714</v>
      </c>
      <c r="KV295" s="561">
        <v>0</v>
      </c>
      <c r="KW295" s="561">
        <v>0</v>
      </c>
      <c r="KX295" s="561">
        <v>0</v>
      </c>
      <c r="KY295" s="561">
        <v>0</v>
      </c>
      <c r="KZ295" s="561">
        <v>3576</v>
      </c>
      <c r="LA295" s="561">
        <v>200</v>
      </c>
      <c r="LB295" s="561">
        <v>-198</v>
      </c>
      <c r="LC295" s="561">
        <v>0</v>
      </c>
      <c r="LD295" s="561">
        <v>-3964</v>
      </c>
      <c r="LE295" s="561">
        <v>0</v>
      </c>
      <c r="LF295" s="561">
        <v>0</v>
      </c>
      <c r="LG295" s="561">
        <v>18328</v>
      </c>
      <c r="LH295" s="561">
        <v>0</v>
      </c>
      <c r="LI295" s="561">
        <v>0</v>
      </c>
      <c r="LJ295" s="561">
        <v>0</v>
      </c>
      <c r="LK295" s="561">
        <v>0</v>
      </c>
      <c r="LL295" s="561">
        <v>20311</v>
      </c>
      <c r="LM295" s="561">
        <v>1800</v>
      </c>
      <c r="LN295" s="561">
        <v>0</v>
      </c>
      <c r="LO295" s="561">
        <v>0</v>
      </c>
      <c r="LP295" s="561">
        <v>0</v>
      </c>
      <c r="LQ295" s="561">
        <v>0</v>
      </c>
      <c r="LR295" s="561">
        <v>23887</v>
      </c>
      <c r="LS295" s="561">
        <v>2000</v>
      </c>
      <c r="LT295" s="561">
        <v>0</v>
      </c>
      <c r="LU295" s="561">
        <v>1777</v>
      </c>
      <c r="LV295" s="561">
        <v>0</v>
      </c>
      <c r="LW295" s="561">
        <v>2</v>
      </c>
      <c r="LX295" s="561">
        <v>0</v>
      </c>
      <c r="LY295" s="561">
        <v>7581</v>
      </c>
      <c r="LZ295" s="561">
        <v>9360</v>
      </c>
      <c r="MA295" s="561">
        <v>0</v>
      </c>
      <c r="MB295" s="561">
        <v>0</v>
      </c>
      <c r="MC295" s="561">
        <v>0</v>
      </c>
      <c r="MD295" s="561">
        <v>0</v>
      </c>
      <c r="ME295" s="561">
        <v>0</v>
      </c>
      <c r="MF295" s="561">
        <v>0</v>
      </c>
      <c r="MG295" s="561">
        <v>0</v>
      </c>
      <c r="MH295" s="561">
        <v>3133</v>
      </c>
      <c r="MI295" s="561">
        <v>4334</v>
      </c>
      <c r="MJ295" s="561">
        <v>7467</v>
      </c>
      <c r="MK295" s="561">
        <v>0</v>
      </c>
      <c r="ML295" s="561">
        <v>834</v>
      </c>
      <c r="MM295" s="561">
        <v>9894</v>
      </c>
      <c r="MN295" s="561">
        <v>1166</v>
      </c>
      <c r="MO295" s="561">
        <v>11993</v>
      </c>
      <c r="MP295" s="561">
        <v>0</v>
      </c>
      <c r="MQ295" s="561">
        <v>0</v>
      </c>
      <c r="MR295" s="561">
        <v>-2837</v>
      </c>
      <c r="MS295" s="561">
        <v>60</v>
      </c>
      <c r="MT295" s="561">
        <v>0</v>
      </c>
      <c r="MU295" s="561">
        <v>58</v>
      </c>
      <c r="MV295" s="561">
        <v>1134</v>
      </c>
      <c r="MW295" s="561">
        <v>997</v>
      </c>
      <c r="MX295" s="561">
        <v>7604</v>
      </c>
      <c r="MY295" s="561">
        <v>5646</v>
      </c>
      <c r="MZ295" s="561">
        <v>0</v>
      </c>
      <c r="NA295" s="561">
        <v>0</v>
      </c>
      <c r="NB295" s="561">
        <v>6042</v>
      </c>
      <c r="NC295" s="561">
        <v>0</v>
      </c>
      <c r="ND295" s="561">
        <v>18704</v>
      </c>
      <c r="NE295" s="561">
        <v>0</v>
      </c>
      <c r="NF295" s="561">
        <v>0</v>
      </c>
      <c r="NG295" s="561">
        <v>0</v>
      </c>
      <c r="NH295" s="561">
        <v>0</v>
      </c>
      <c r="NI295" s="561">
        <v>0</v>
      </c>
      <c r="NJ295" s="561">
        <v>0</v>
      </c>
      <c r="NK295" s="561">
        <v>0</v>
      </c>
      <c r="NL295" s="561">
        <v>0</v>
      </c>
      <c r="NM295" s="561">
        <v>0</v>
      </c>
      <c r="NN295" s="561">
        <v>0</v>
      </c>
      <c r="NO295" s="561">
        <v>0</v>
      </c>
      <c r="NP295" s="561">
        <v>0</v>
      </c>
      <c r="NQ295" s="561">
        <v>0</v>
      </c>
      <c r="NR295" s="561">
        <v>0</v>
      </c>
      <c r="NS295" s="561">
        <v>0</v>
      </c>
      <c r="NT295" s="561">
        <v>0</v>
      </c>
      <c r="NU295" s="561">
        <v>1178</v>
      </c>
      <c r="NV295" s="561">
        <v>-301</v>
      </c>
      <c r="NW295" s="561">
        <v>-301</v>
      </c>
      <c r="NX295" s="561">
        <v>0</v>
      </c>
      <c r="NY295" s="561">
        <v>-301</v>
      </c>
      <c r="NZ295" s="561">
        <v>0</v>
      </c>
      <c r="OA295" s="561">
        <v>0</v>
      </c>
      <c r="OB295" s="561">
        <v>0</v>
      </c>
      <c r="OC295" s="561">
        <v>0</v>
      </c>
      <c r="OD295" s="561">
        <v>0</v>
      </c>
      <c r="OE295" s="561">
        <v>0</v>
      </c>
      <c r="OF295" s="561">
        <v>0</v>
      </c>
      <c r="OG295" s="561">
        <v>0</v>
      </c>
      <c r="OH295" s="561">
        <v>0</v>
      </c>
      <c r="OI295" s="561">
        <v>0</v>
      </c>
      <c r="OJ295" s="561">
        <v>0</v>
      </c>
      <c r="OK295" s="561">
        <v>0</v>
      </c>
      <c r="OL295" s="561">
        <v>0</v>
      </c>
      <c r="OM295" s="561">
        <v>0</v>
      </c>
      <c r="ON295" s="561">
        <v>0</v>
      </c>
      <c r="OO295" s="561">
        <v>0</v>
      </c>
      <c r="OP295" s="561">
        <v>0</v>
      </c>
      <c r="OQ295" s="561">
        <v>0</v>
      </c>
      <c r="OR295" s="561">
        <v>0</v>
      </c>
      <c r="OS295" s="561">
        <v>0</v>
      </c>
      <c r="OT295" s="561">
        <v>0</v>
      </c>
      <c r="OU295" s="561">
        <v>0</v>
      </c>
      <c r="OV295" s="561">
        <v>246</v>
      </c>
      <c r="OW295" s="561">
        <v>0</v>
      </c>
      <c r="OX295" s="561">
        <v>0</v>
      </c>
      <c r="OY295" s="561">
        <v>0</v>
      </c>
      <c r="OZ295" s="561">
        <v>0</v>
      </c>
      <c r="PA295" s="561">
        <v>0</v>
      </c>
      <c r="PB295" s="561">
        <v>0</v>
      </c>
      <c r="PC295" s="561">
        <v>0</v>
      </c>
      <c r="PD295" s="561">
        <v>0</v>
      </c>
      <c r="PE295" s="561">
        <v>0</v>
      </c>
      <c r="PF295" s="561">
        <v>0</v>
      </c>
      <c r="PG295" s="561">
        <v>0</v>
      </c>
      <c r="PH295" s="561">
        <v>0</v>
      </c>
      <c r="PI295" s="561">
        <v>0</v>
      </c>
      <c r="PJ295" s="561">
        <v>0</v>
      </c>
    </row>
    <row r="296" spans="1:426" ht="14" x14ac:dyDescent="0.3">
      <c r="A296" t="s">
        <v>3331</v>
      </c>
      <c r="B296" t="s">
        <v>3332</v>
      </c>
      <c r="C296" t="s">
        <v>3333</v>
      </c>
      <c r="E296" t="s">
        <v>379</v>
      </c>
      <c r="F296" s="561">
        <v>61934</v>
      </c>
      <c r="G296" s="561">
        <v>138434</v>
      </c>
      <c r="H296" s="561">
        <v>45054</v>
      </c>
      <c r="I296" s="561">
        <v>69446</v>
      </c>
      <c r="J296" s="561">
        <v>8402</v>
      </c>
      <c r="K296" s="561">
        <v>41169</v>
      </c>
      <c r="L296" s="561">
        <v>364439</v>
      </c>
      <c r="M296" s="561">
        <v>3786</v>
      </c>
      <c r="N296" s="561">
        <v>457</v>
      </c>
      <c r="O296" s="561">
        <v>527</v>
      </c>
      <c r="P296" s="561">
        <v>2857</v>
      </c>
      <c r="Q296" s="561">
        <v>23827</v>
      </c>
      <c r="R296" s="561">
        <v>4962</v>
      </c>
      <c r="S296" s="561">
        <v>8636</v>
      </c>
      <c r="T296" s="561">
        <v>15679</v>
      </c>
      <c r="U296" s="561">
        <v>2047</v>
      </c>
      <c r="V296" s="561">
        <v>8527</v>
      </c>
      <c r="W296" s="561">
        <v>0</v>
      </c>
      <c r="X296" s="561">
        <v>-1561</v>
      </c>
      <c r="Y296" s="561">
        <v>1608</v>
      </c>
      <c r="Z296" s="561">
        <v>3259</v>
      </c>
      <c r="AA296" s="561">
        <v>-4464</v>
      </c>
      <c r="AB296" s="561">
        <v>-435</v>
      </c>
      <c r="AC296" s="561">
        <v>0</v>
      </c>
      <c r="AD296" s="561">
        <v>0</v>
      </c>
      <c r="AE296" s="561">
        <v>0</v>
      </c>
      <c r="AF296" s="561">
        <v>0</v>
      </c>
      <c r="AG296" s="561">
        <v>0</v>
      </c>
      <c r="AH296" s="561">
        <v>0</v>
      </c>
      <c r="AI296" s="561">
        <v>0</v>
      </c>
      <c r="AJ296" s="561">
        <v>65926</v>
      </c>
      <c r="AK296" s="561">
        <v>229</v>
      </c>
      <c r="AL296" s="561">
        <v>0</v>
      </c>
      <c r="AM296" s="561">
        <v>0</v>
      </c>
      <c r="AN296" s="561">
        <v>0</v>
      </c>
      <c r="AO296" s="561">
        <v>0</v>
      </c>
      <c r="AP296" s="561">
        <v>0</v>
      </c>
      <c r="AQ296" s="561">
        <v>0</v>
      </c>
      <c r="AR296" s="561">
        <v>0</v>
      </c>
      <c r="AS296" s="561">
        <v>1648</v>
      </c>
      <c r="AT296" s="561">
        <v>5722</v>
      </c>
      <c r="AU296" s="561">
        <v>0</v>
      </c>
      <c r="AV296" s="561">
        <v>0</v>
      </c>
      <c r="AW296" s="561">
        <v>0</v>
      </c>
      <c r="AX296" s="561">
        <v>7660</v>
      </c>
      <c r="AY296" s="561">
        <v>74353</v>
      </c>
      <c r="AZ296" s="561">
        <v>1592</v>
      </c>
      <c r="BA296" s="561">
        <v>31293</v>
      </c>
      <c r="BB296" s="561">
        <v>4438</v>
      </c>
      <c r="BC296" s="561">
        <v>30629</v>
      </c>
      <c r="BD296" s="561">
        <v>0</v>
      </c>
      <c r="BE296" s="561">
        <v>6752</v>
      </c>
      <c r="BF296" s="561">
        <v>156717</v>
      </c>
      <c r="BG296" s="561">
        <v>2165</v>
      </c>
      <c r="BH296" s="561">
        <v>31844</v>
      </c>
      <c r="BI296" s="561">
        <v>69299</v>
      </c>
      <c r="BJ296" s="561">
        <v>2599</v>
      </c>
      <c r="BK296" s="561">
        <v>856</v>
      </c>
      <c r="BL296" s="561">
        <v>1647</v>
      </c>
      <c r="BM296" s="561">
        <v>7172</v>
      </c>
      <c r="BN296" s="561">
        <v>90656</v>
      </c>
      <c r="BO296" s="561">
        <v>11429</v>
      </c>
      <c r="BP296" s="561">
        <v>18719</v>
      </c>
      <c r="BQ296" s="561">
        <v>6092</v>
      </c>
      <c r="BR296" s="561">
        <v>3808</v>
      </c>
      <c r="BS296" s="561">
        <v>2305</v>
      </c>
      <c r="BT296" s="561">
        <v>33</v>
      </c>
      <c r="BU296" s="561">
        <v>1457</v>
      </c>
      <c r="BV296" s="561">
        <v>5167</v>
      </c>
      <c r="BW296" s="561">
        <v>17958</v>
      </c>
      <c r="BX296" s="561">
        <v>7514</v>
      </c>
      <c r="BY296" s="561">
        <v>19840</v>
      </c>
      <c r="BZ296" s="561">
        <v>298395</v>
      </c>
      <c r="CA296" s="561">
        <v>3236</v>
      </c>
      <c r="CB296" s="561">
        <v>3333</v>
      </c>
      <c r="CC296" s="561">
        <v>2181</v>
      </c>
      <c r="CD296" s="561">
        <v>443</v>
      </c>
      <c r="CE296" s="561">
        <v>318</v>
      </c>
      <c r="CF296" s="561">
        <v>355</v>
      </c>
      <c r="CG296" s="561">
        <v>324</v>
      </c>
      <c r="CH296" s="561">
        <v>285</v>
      </c>
      <c r="CI296" s="561">
        <v>799</v>
      </c>
      <c r="CJ296" s="561">
        <v>437</v>
      </c>
      <c r="CK296" s="561">
        <v>1472</v>
      </c>
      <c r="CL296" s="561">
        <v>209</v>
      </c>
      <c r="CM296" s="561">
        <v>2019</v>
      </c>
      <c r="CN296" s="561">
        <v>1144</v>
      </c>
      <c r="CO296" s="561">
        <v>2216</v>
      </c>
      <c r="CP296" s="561">
        <v>1515</v>
      </c>
      <c r="CQ296" s="561">
        <v>2029</v>
      </c>
      <c r="CR296" s="561">
        <v>1927</v>
      </c>
      <c r="CS296" s="561">
        <v>312</v>
      </c>
      <c r="CT296" s="561">
        <v>2637</v>
      </c>
      <c r="CU296" s="561">
        <v>6826</v>
      </c>
      <c r="CV296" s="561">
        <v>2502</v>
      </c>
      <c r="CW296" s="561">
        <v>257</v>
      </c>
      <c r="CX296" s="561">
        <v>1987</v>
      </c>
      <c r="CY296" s="561">
        <v>2968</v>
      </c>
      <c r="CZ296" s="561">
        <v>38495</v>
      </c>
      <c r="DA296" s="561">
        <v>1</v>
      </c>
      <c r="DB296" s="561">
        <v>0</v>
      </c>
      <c r="DC296" s="561">
        <v>0</v>
      </c>
      <c r="DD296" s="561">
        <v>0</v>
      </c>
      <c r="DE296" s="561">
        <v>0</v>
      </c>
      <c r="DF296" s="561">
        <v>0</v>
      </c>
      <c r="DG296" s="561">
        <v>0</v>
      </c>
      <c r="DH296" s="561">
        <v>2145</v>
      </c>
      <c r="DI296" s="561">
        <v>0</v>
      </c>
      <c r="DJ296" s="561">
        <v>261</v>
      </c>
      <c r="DK296" s="561">
        <v>856</v>
      </c>
      <c r="DL296" s="561">
        <v>0</v>
      </c>
      <c r="DM296" s="561">
        <v>0</v>
      </c>
      <c r="DN296" s="561">
        <v>0</v>
      </c>
      <c r="DO296" s="561">
        <v>7743</v>
      </c>
      <c r="DP296" s="561">
        <v>0</v>
      </c>
      <c r="DQ296" s="561">
        <v>93</v>
      </c>
      <c r="DR296" s="561">
        <v>0</v>
      </c>
      <c r="DS296" s="561">
        <v>0</v>
      </c>
      <c r="DT296" s="561">
        <v>10506</v>
      </c>
      <c r="DU296" s="561">
        <v>18342</v>
      </c>
      <c r="DV296" s="561">
        <v>315</v>
      </c>
      <c r="DW296" s="561">
        <v>0</v>
      </c>
      <c r="DX296" s="561">
        <v>279</v>
      </c>
      <c r="DY296" s="561">
        <v>2668</v>
      </c>
      <c r="DZ296" s="561">
        <v>14</v>
      </c>
      <c r="EA296" s="561">
        <v>1330</v>
      </c>
      <c r="EB296" s="561">
        <v>0</v>
      </c>
      <c r="EC296" s="561">
        <v>26210</v>
      </c>
      <c r="ED296" s="561">
        <v>279</v>
      </c>
      <c r="EE296" s="561">
        <v>177143</v>
      </c>
      <c r="EF296" s="561">
        <v>1409</v>
      </c>
      <c r="EG296" s="561">
        <v>10636</v>
      </c>
      <c r="EH296" s="561">
        <v>199</v>
      </c>
      <c r="EI296" s="561">
        <v>0</v>
      </c>
      <c r="EJ296" s="561">
        <v>5156</v>
      </c>
      <c r="EK296" s="561">
        <v>340</v>
      </c>
      <c r="EL296" s="561">
        <v>0</v>
      </c>
      <c r="EM296" s="561">
        <v>0</v>
      </c>
      <c r="EN296" s="561">
        <v>63235</v>
      </c>
      <c r="EO296" s="561">
        <v>52718</v>
      </c>
      <c r="EP296" s="561">
        <v>16535</v>
      </c>
      <c r="EQ296" s="561">
        <v>3692</v>
      </c>
      <c r="ER296" s="561">
        <v>0</v>
      </c>
      <c r="ES296" s="561" t="s">
        <v>4565</v>
      </c>
      <c r="ET296" s="561">
        <v>26404</v>
      </c>
      <c r="EU296" s="561">
        <v>0</v>
      </c>
      <c r="EV296" s="561">
        <v>222</v>
      </c>
      <c r="EW296" s="561">
        <v>11942</v>
      </c>
      <c r="EX296" s="561">
        <v>17003</v>
      </c>
      <c r="EY296" s="561">
        <v>1192</v>
      </c>
      <c r="EZ296" s="561">
        <v>1940</v>
      </c>
      <c r="FA296" s="561">
        <v>16622</v>
      </c>
      <c r="FB296" s="561">
        <v>173</v>
      </c>
      <c r="FC296" s="561">
        <v>227</v>
      </c>
      <c r="FD296" s="561">
        <v>79</v>
      </c>
      <c r="FE296" s="561">
        <v>2830</v>
      </c>
      <c r="FF296" s="561">
        <v>243</v>
      </c>
      <c r="FG296" s="561">
        <v>0</v>
      </c>
      <c r="FH296" s="561">
        <v>0</v>
      </c>
      <c r="FI296" s="561">
        <v>2781</v>
      </c>
      <c r="FJ296" s="561">
        <v>10480</v>
      </c>
      <c r="FK296" s="561">
        <v>9947</v>
      </c>
      <c r="FL296" s="561">
        <v>18</v>
      </c>
      <c r="FM296" s="561">
        <v>608</v>
      </c>
      <c r="FN296" s="561">
        <v>5414</v>
      </c>
      <c r="FO296" s="561">
        <v>32800</v>
      </c>
      <c r="FP296" s="561">
        <v>0</v>
      </c>
      <c r="FQ296" s="561">
        <v>333</v>
      </c>
      <c r="FR296" s="561">
        <v>704</v>
      </c>
      <c r="FS296" s="561">
        <v>0</v>
      </c>
      <c r="FT296" s="561">
        <v>975</v>
      </c>
      <c r="FU296" s="561">
        <v>1954</v>
      </c>
      <c r="FV296" s="561">
        <v>0</v>
      </c>
      <c r="FW296" s="561">
        <v>556</v>
      </c>
      <c r="FX296" s="561">
        <v>0</v>
      </c>
      <c r="FY296" s="561">
        <v>0</v>
      </c>
      <c r="FZ296" s="561">
        <v>542</v>
      </c>
      <c r="GA296" s="561">
        <v>37</v>
      </c>
      <c r="GB296" s="561">
        <v>698</v>
      </c>
      <c r="GC296" s="561">
        <v>362</v>
      </c>
      <c r="GD296" s="561">
        <v>5127</v>
      </c>
      <c r="GE296" s="561">
        <v>1691</v>
      </c>
      <c r="GF296" s="561">
        <v>951</v>
      </c>
      <c r="GG296" s="561">
        <v>109</v>
      </c>
      <c r="GH296" s="561">
        <v>287</v>
      </c>
      <c r="GI296" s="561">
        <v>0</v>
      </c>
      <c r="GJ296" s="561">
        <v>0</v>
      </c>
      <c r="GK296" s="561">
        <v>0</v>
      </c>
      <c r="GL296" s="561">
        <v>7499</v>
      </c>
      <c r="GM296" s="561">
        <v>11182</v>
      </c>
      <c r="GN296" s="561">
        <v>13172</v>
      </c>
      <c r="GO296" s="561">
        <v>323</v>
      </c>
      <c r="GP296" s="561">
        <v>8522</v>
      </c>
      <c r="GQ296" s="561">
        <v>0</v>
      </c>
      <c r="GR296" s="561">
        <v>0</v>
      </c>
      <c r="GS296" s="561">
        <v>55024</v>
      </c>
      <c r="GT296" s="561">
        <v>437</v>
      </c>
      <c r="GU296" s="561">
        <v>657</v>
      </c>
      <c r="GV296" s="561">
        <v>1681</v>
      </c>
      <c r="GW296" s="561">
        <v>173</v>
      </c>
      <c r="GX296" s="561">
        <v>1676</v>
      </c>
      <c r="GY296" s="561">
        <v>173</v>
      </c>
      <c r="GZ296" s="561">
        <v>20371</v>
      </c>
      <c r="HA296" s="561">
        <v>0</v>
      </c>
      <c r="HB296" s="561">
        <v>0</v>
      </c>
      <c r="HC296" s="561">
        <v>3824</v>
      </c>
      <c r="HD296" s="561">
        <v>28555</v>
      </c>
      <c r="HE296" s="561">
        <v>0</v>
      </c>
      <c r="HF296" s="561">
        <v>116379</v>
      </c>
      <c r="HG296" s="561">
        <v>437</v>
      </c>
      <c r="HH296" s="561">
        <v>0</v>
      </c>
      <c r="HI296" s="561">
        <v>0</v>
      </c>
      <c r="HJ296" s="561">
        <v>0</v>
      </c>
      <c r="HK296" s="561">
        <v>0</v>
      </c>
      <c r="HL296" s="561">
        <v>0</v>
      </c>
      <c r="HM296" s="561">
        <v>0</v>
      </c>
      <c r="HN296" s="561">
        <v>0</v>
      </c>
      <c r="HO296" s="561">
        <v>7769</v>
      </c>
      <c r="HP296" s="561">
        <v>1912</v>
      </c>
      <c r="HQ296" s="561">
        <v>0</v>
      </c>
      <c r="HR296" s="561">
        <v>2400</v>
      </c>
      <c r="HS296" s="561">
        <v>2745</v>
      </c>
      <c r="HT296" s="561">
        <v>836</v>
      </c>
      <c r="HU296" s="561">
        <v>0</v>
      </c>
      <c r="HV296" s="561">
        <v>-351</v>
      </c>
      <c r="HW296" s="561">
        <v>891</v>
      </c>
      <c r="HX296" s="561">
        <v>1385</v>
      </c>
      <c r="HY296" s="561">
        <v>313</v>
      </c>
      <c r="HZ296" s="561">
        <v>-44</v>
      </c>
      <c r="IA296" s="561">
        <v>10187</v>
      </c>
      <c r="IB296" s="561">
        <v>0</v>
      </c>
      <c r="IC296" s="561">
        <v>610</v>
      </c>
      <c r="ID296" s="561">
        <v>0</v>
      </c>
      <c r="IE296" s="561">
        <v>6195</v>
      </c>
      <c r="IF296" s="561">
        <v>0</v>
      </c>
      <c r="IG296" s="561">
        <v>0</v>
      </c>
      <c r="IH296" s="561">
        <v>18478</v>
      </c>
      <c r="II296" s="561">
        <v>53326</v>
      </c>
      <c r="IJ296" s="561">
        <v>3754</v>
      </c>
      <c r="IK296" s="561">
        <v>0</v>
      </c>
      <c r="IL296" s="561">
        <v>18209</v>
      </c>
      <c r="IM296" s="561">
        <v>0</v>
      </c>
      <c r="IN296" s="561">
        <v>9388</v>
      </c>
      <c r="IO296" s="561">
        <v>2888</v>
      </c>
      <c r="IP296" s="561">
        <v>0</v>
      </c>
      <c r="IQ296" s="561">
        <v>0</v>
      </c>
      <c r="IR296" s="561">
        <v>364439</v>
      </c>
      <c r="IS296" s="561">
        <v>65926</v>
      </c>
      <c r="IT296" s="561">
        <v>156717</v>
      </c>
      <c r="IU296" s="561">
        <v>298395</v>
      </c>
      <c r="IV296" s="561">
        <v>38495</v>
      </c>
      <c r="IW296" s="561">
        <v>26210</v>
      </c>
      <c r="IX296" s="561">
        <v>32800</v>
      </c>
      <c r="IY296" s="561">
        <v>55024</v>
      </c>
      <c r="IZ296" s="561">
        <v>28555</v>
      </c>
      <c r="JA296" s="561">
        <v>0</v>
      </c>
      <c r="JB296" s="561">
        <v>0</v>
      </c>
      <c r="JC296" s="561">
        <v>53326</v>
      </c>
      <c r="JD296" s="561">
        <v>0</v>
      </c>
      <c r="JE296" s="561">
        <v>1119887</v>
      </c>
      <c r="JF296" s="561">
        <v>69688</v>
      </c>
      <c r="JG296" s="561">
        <v>6835</v>
      </c>
      <c r="JH296" s="561">
        <v>56211</v>
      </c>
      <c r="JI296" s="561">
        <v>0</v>
      </c>
      <c r="JJ296" s="561">
        <v>0</v>
      </c>
      <c r="JK296" s="561">
        <v>677</v>
      </c>
      <c r="JL296" s="561">
        <v>23590</v>
      </c>
      <c r="JM296" s="561">
        <v>0</v>
      </c>
      <c r="JN296" s="561">
        <v>0</v>
      </c>
      <c r="JO296" s="561">
        <v>0</v>
      </c>
      <c r="JP296" s="561">
        <v>-5914</v>
      </c>
      <c r="JQ296" s="561">
        <v>7181</v>
      </c>
      <c r="JR296" s="561">
        <v>0</v>
      </c>
      <c r="JS296" s="561">
        <v>0</v>
      </c>
      <c r="JT296" s="561">
        <v>0</v>
      </c>
      <c r="JU296" s="561">
        <v>0</v>
      </c>
      <c r="JV296" s="561">
        <v>1278155</v>
      </c>
      <c r="JW296" s="561">
        <v>274</v>
      </c>
      <c r="JX296" s="561">
        <v>1429</v>
      </c>
      <c r="JY296" s="561">
        <v>0</v>
      </c>
      <c r="JZ296" s="561">
        <v>0</v>
      </c>
      <c r="KA296" s="561">
        <v>0</v>
      </c>
      <c r="KB296" s="561">
        <v>-290</v>
      </c>
      <c r="KC296" s="561">
        <v>12014</v>
      </c>
      <c r="KD296" s="561">
        <v>0</v>
      </c>
      <c r="KE296" s="561">
        <v>32370</v>
      </c>
      <c r="KF296" s="561">
        <v>-11915</v>
      </c>
      <c r="KG296" s="561">
        <v>1312037</v>
      </c>
      <c r="KH296" s="561">
        <v>-6801</v>
      </c>
      <c r="KI296" s="561">
        <v>0</v>
      </c>
      <c r="KJ296" s="561">
        <v>0</v>
      </c>
      <c r="KK296" s="561">
        <v>0</v>
      </c>
      <c r="KL296" s="561">
        <v>-139075</v>
      </c>
      <c r="KM296" s="561">
        <v>0</v>
      </c>
      <c r="KN296" s="561">
        <v>-1282</v>
      </c>
      <c r="KO296" s="561">
        <v>0</v>
      </c>
      <c r="KP296" s="561">
        <v>0</v>
      </c>
      <c r="KQ296" s="561">
        <v>0</v>
      </c>
      <c r="KR296" s="561">
        <v>1164879</v>
      </c>
      <c r="KS296" s="561">
        <v>0</v>
      </c>
      <c r="KT296" s="561">
        <v>-613024</v>
      </c>
      <c r="KU296" s="561">
        <v>551855</v>
      </c>
      <c r="KV296" s="561">
        <v>0</v>
      </c>
      <c r="KW296" s="561">
        <v>-1581</v>
      </c>
      <c r="KX296" s="561">
        <v>-4200</v>
      </c>
      <c r="KY296" s="561">
        <v>-637</v>
      </c>
      <c r="KZ296" s="561">
        <v>-1128</v>
      </c>
      <c r="LA296" s="561">
        <v>0</v>
      </c>
      <c r="LB296" s="561">
        <v>-46500</v>
      </c>
      <c r="LC296" s="561">
        <v>0</v>
      </c>
      <c r="LD296" s="561">
        <v>-208412</v>
      </c>
      <c r="LE296" s="561">
        <v>-4684</v>
      </c>
      <c r="LF296" s="561">
        <v>0</v>
      </c>
      <c r="LG296" s="561">
        <v>284713</v>
      </c>
      <c r="LH296" s="561">
        <v>8954</v>
      </c>
      <c r="LI296" s="561">
        <v>0</v>
      </c>
      <c r="LJ296" s="561">
        <v>12514</v>
      </c>
      <c r="LK296" s="561">
        <v>7867</v>
      </c>
      <c r="LL296" s="561">
        <v>274713</v>
      </c>
      <c r="LM296" s="561">
        <v>15051</v>
      </c>
      <c r="LN296" s="561">
        <v>7373</v>
      </c>
      <c r="LO296" s="561">
        <v>0</v>
      </c>
      <c r="LP296" s="561">
        <v>8314</v>
      </c>
      <c r="LQ296" s="561">
        <v>7230</v>
      </c>
      <c r="LR296" s="561">
        <v>273585</v>
      </c>
      <c r="LS296" s="561">
        <v>15051</v>
      </c>
      <c r="LT296" s="561">
        <v>0</v>
      </c>
      <c r="LU296" s="561">
        <v>53271</v>
      </c>
      <c r="LV296" s="561">
        <v>0</v>
      </c>
      <c r="LW296" s="561">
        <v>137660</v>
      </c>
      <c r="LX296" s="561">
        <v>-52544</v>
      </c>
      <c r="LY296" s="561">
        <v>27227</v>
      </c>
      <c r="LZ296" s="561">
        <v>165774</v>
      </c>
      <c r="MA296" s="561">
        <v>0</v>
      </c>
      <c r="MB296" s="561">
        <v>0</v>
      </c>
      <c r="MC296" s="561">
        <v>194883</v>
      </c>
      <c r="MD296" s="561">
        <v>192943</v>
      </c>
      <c r="ME296" s="561">
        <v>1940</v>
      </c>
      <c r="MF296" s="561">
        <v>16622</v>
      </c>
      <c r="MG296" s="561">
        <v>18562</v>
      </c>
      <c r="MH296" s="561">
        <v>18999</v>
      </c>
      <c r="MI296" s="561">
        <v>25168</v>
      </c>
      <c r="MJ296" s="561">
        <v>44167</v>
      </c>
      <c r="MK296" s="561">
        <v>0</v>
      </c>
      <c r="ML296" s="561">
        <v>31947</v>
      </c>
      <c r="MM296" s="561">
        <v>95036</v>
      </c>
      <c r="MN296" s="561">
        <v>145755</v>
      </c>
      <c r="MO296" s="561">
        <v>847</v>
      </c>
      <c r="MP296" s="561">
        <v>0</v>
      </c>
      <c r="MQ296" s="561">
        <v>364439</v>
      </c>
      <c r="MR296" s="561">
        <v>65926</v>
      </c>
      <c r="MS296" s="561">
        <v>156717</v>
      </c>
      <c r="MT296" s="561">
        <v>298395</v>
      </c>
      <c r="MU296" s="561">
        <v>38495</v>
      </c>
      <c r="MV296" s="561">
        <v>26210</v>
      </c>
      <c r="MW296" s="561">
        <v>32800</v>
      </c>
      <c r="MX296" s="561">
        <v>55024</v>
      </c>
      <c r="MY296" s="561">
        <v>28555</v>
      </c>
      <c r="MZ296" s="561">
        <v>0</v>
      </c>
      <c r="NA296" s="561">
        <v>0</v>
      </c>
      <c r="NB296" s="561">
        <v>53326</v>
      </c>
      <c r="NC296" s="561">
        <v>0</v>
      </c>
      <c r="ND296" s="561">
        <v>1119887</v>
      </c>
      <c r="NE296" s="561">
        <v>67</v>
      </c>
      <c r="NF296" s="561">
        <v>0</v>
      </c>
      <c r="NG296" s="561">
        <v>0</v>
      </c>
      <c r="NH296" s="561">
        <v>0</v>
      </c>
      <c r="NI296" s="561">
        <v>0</v>
      </c>
      <c r="NJ296" s="561">
        <v>0</v>
      </c>
      <c r="NK296" s="561">
        <v>0</v>
      </c>
      <c r="NL296" s="561">
        <v>0</v>
      </c>
      <c r="NM296" s="561">
        <v>0</v>
      </c>
      <c r="NN296" s="561">
        <v>0</v>
      </c>
      <c r="NO296" s="561">
        <v>0</v>
      </c>
      <c r="NP296" s="561">
        <v>0</v>
      </c>
      <c r="NQ296" s="561">
        <v>0</v>
      </c>
      <c r="NR296" s="561">
        <v>0</v>
      </c>
      <c r="NS296" s="561">
        <v>0</v>
      </c>
      <c r="NT296" s="561">
        <v>0</v>
      </c>
      <c r="NU296" s="561">
        <v>0</v>
      </c>
      <c r="NV296" s="561">
        <v>1940</v>
      </c>
      <c r="NW296" s="561">
        <v>-5914</v>
      </c>
      <c r="NX296" s="561">
        <v>0</v>
      </c>
      <c r="NY296" s="561">
        <v>-5914</v>
      </c>
      <c r="NZ296" s="561">
        <v>0</v>
      </c>
      <c r="OA296" s="561">
        <v>0</v>
      </c>
      <c r="OB296" s="561">
        <v>0</v>
      </c>
      <c r="OC296" s="561">
        <v>0</v>
      </c>
      <c r="OD296" s="561">
        <v>0</v>
      </c>
      <c r="OE296" s="561">
        <v>0</v>
      </c>
      <c r="OF296" s="561">
        <v>0</v>
      </c>
      <c r="OG296" s="561">
        <v>0</v>
      </c>
      <c r="OH296" s="561">
        <v>0</v>
      </c>
      <c r="OI296" s="561">
        <v>1774</v>
      </c>
      <c r="OJ296" s="561">
        <v>0</v>
      </c>
      <c r="OK296" s="561">
        <v>3169</v>
      </c>
      <c r="OL296" s="561">
        <v>0</v>
      </c>
      <c r="OM296" s="561">
        <v>1759</v>
      </c>
      <c r="ON296" s="561">
        <v>479</v>
      </c>
      <c r="OO296" s="561">
        <v>0</v>
      </c>
      <c r="OP296" s="561">
        <v>0</v>
      </c>
      <c r="OQ296" s="561">
        <v>0</v>
      </c>
      <c r="OR296" s="561">
        <v>0</v>
      </c>
      <c r="OS296" s="561">
        <v>0</v>
      </c>
      <c r="OT296" s="561">
        <v>0</v>
      </c>
      <c r="OU296" s="561">
        <v>0</v>
      </c>
      <c r="OV296" s="561">
        <v>0</v>
      </c>
      <c r="OW296" s="561">
        <v>0</v>
      </c>
      <c r="OX296" s="561">
        <v>7181</v>
      </c>
      <c r="OY296" s="561">
        <v>0</v>
      </c>
      <c r="OZ296" s="561">
        <v>0</v>
      </c>
      <c r="PA296" s="561">
        <v>0</v>
      </c>
      <c r="PB296" s="561">
        <v>0</v>
      </c>
      <c r="PC296" s="561">
        <v>0</v>
      </c>
      <c r="PD296" s="561">
        <v>0</v>
      </c>
      <c r="PE296" s="561">
        <v>0</v>
      </c>
      <c r="PF296" s="561">
        <v>0</v>
      </c>
      <c r="PG296" s="561">
        <v>0</v>
      </c>
      <c r="PH296" s="561">
        <v>0</v>
      </c>
      <c r="PI296" s="561">
        <v>0</v>
      </c>
      <c r="PJ296" s="561">
        <v>0</v>
      </c>
    </row>
    <row r="297" spans="1:426" ht="14" x14ac:dyDescent="0.3">
      <c r="A297" t="s">
        <v>3337</v>
      </c>
      <c r="B297" t="s">
        <v>3338</v>
      </c>
      <c r="C297" t="s">
        <v>4655</v>
      </c>
      <c r="E297" t="s">
        <v>2466</v>
      </c>
      <c r="F297" s="561">
        <v>0</v>
      </c>
      <c r="G297" s="561">
        <v>0</v>
      </c>
      <c r="H297" s="561">
        <v>0</v>
      </c>
      <c r="I297" s="561">
        <v>0</v>
      </c>
      <c r="J297" s="561">
        <v>0</v>
      </c>
      <c r="K297" s="561">
        <v>0</v>
      </c>
      <c r="L297" s="561">
        <v>0</v>
      </c>
      <c r="M297" s="561">
        <v>0</v>
      </c>
      <c r="N297" s="561">
        <v>0</v>
      </c>
      <c r="O297" s="561">
        <v>0</v>
      </c>
      <c r="P297" s="561">
        <v>0</v>
      </c>
      <c r="Q297" s="561">
        <v>0</v>
      </c>
      <c r="R297" s="561">
        <v>0</v>
      </c>
      <c r="S297" s="561">
        <v>0</v>
      </c>
      <c r="T297" s="561">
        <v>0</v>
      </c>
      <c r="U297" s="561">
        <v>0</v>
      </c>
      <c r="V297" s="561">
        <v>0</v>
      </c>
      <c r="W297" s="561">
        <v>0</v>
      </c>
      <c r="X297" s="561">
        <v>0</v>
      </c>
      <c r="Y297" s="561">
        <v>0</v>
      </c>
      <c r="Z297" s="561">
        <v>0</v>
      </c>
      <c r="AA297" s="561">
        <v>0</v>
      </c>
      <c r="AB297" s="561">
        <v>0</v>
      </c>
      <c r="AC297" s="561">
        <v>0</v>
      </c>
      <c r="AD297" s="561">
        <v>0</v>
      </c>
      <c r="AE297" s="561">
        <v>0</v>
      </c>
      <c r="AF297" s="561">
        <v>0</v>
      </c>
      <c r="AG297" s="561">
        <v>0</v>
      </c>
      <c r="AH297" s="561">
        <v>0</v>
      </c>
      <c r="AI297" s="561">
        <v>0</v>
      </c>
      <c r="AJ297" s="561">
        <v>0</v>
      </c>
      <c r="AK297" s="561">
        <v>0</v>
      </c>
      <c r="AL297" s="561">
        <v>0</v>
      </c>
      <c r="AM297" s="561">
        <v>0</v>
      </c>
      <c r="AN297" s="561">
        <v>0</v>
      </c>
      <c r="AO297" s="561">
        <v>0</v>
      </c>
      <c r="AP297" s="561">
        <v>0</v>
      </c>
      <c r="AQ297" s="561">
        <v>0</v>
      </c>
      <c r="AR297" s="561">
        <v>0</v>
      </c>
      <c r="AS297" s="561">
        <v>0</v>
      </c>
      <c r="AT297" s="561">
        <v>0</v>
      </c>
      <c r="AU297" s="561">
        <v>0</v>
      </c>
      <c r="AV297" s="561">
        <v>0</v>
      </c>
      <c r="AW297" s="561">
        <v>0</v>
      </c>
      <c r="AX297" s="561">
        <v>0</v>
      </c>
      <c r="AY297" s="561">
        <v>0</v>
      </c>
      <c r="AZ297" s="561">
        <v>0</v>
      </c>
      <c r="BA297" s="561">
        <v>0</v>
      </c>
      <c r="BB297" s="561">
        <v>0</v>
      </c>
      <c r="BC297" s="561">
        <v>0</v>
      </c>
      <c r="BD297" s="561">
        <v>0</v>
      </c>
      <c r="BE297" s="561">
        <v>0</v>
      </c>
      <c r="BF297" s="561">
        <v>0</v>
      </c>
      <c r="BG297" s="561">
        <v>0</v>
      </c>
      <c r="BH297" s="561">
        <v>0</v>
      </c>
      <c r="BI297" s="561">
        <v>0</v>
      </c>
      <c r="BJ297" s="561">
        <v>0</v>
      </c>
      <c r="BK297" s="561">
        <v>0</v>
      </c>
      <c r="BL297" s="561">
        <v>0</v>
      </c>
      <c r="BM297" s="561">
        <v>0</v>
      </c>
      <c r="BN297" s="561">
        <v>0</v>
      </c>
      <c r="BO297" s="561">
        <v>0</v>
      </c>
      <c r="BP297" s="561">
        <v>0</v>
      </c>
      <c r="BQ297" s="561">
        <v>0</v>
      </c>
      <c r="BR297" s="561">
        <v>0</v>
      </c>
      <c r="BS297" s="561">
        <v>0</v>
      </c>
      <c r="BT297" s="561">
        <v>0</v>
      </c>
      <c r="BU297" s="561">
        <v>0</v>
      </c>
      <c r="BV297" s="561">
        <v>0</v>
      </c>
      <c r="BW297" s="561">
        <v>0</v>
      </c>
      <c r="BX297" s="561">
        <v>0</v>
      </c>
      <c r="BY297" s="561">
        <v>0</v>
      </c>
      <c r="BZ297" s="561">
        <v>0</v>
      </c>
      <c r="CA297" s="561">
        <v>0</v>
      </c>
      <c r="CB297" s="561">
        <v>0</v>
      </c>
      <c r="CC297" s="561">
        <v>0</v>
      </c>
      <c r="CD297" s="561">
        <v>0</v>
      </c>
      <c r="CE297" s="561">
        <v>0</v>
      </c>
      <c r="CF297" s="561">
        <v>0</v>
      </c>
      <c r="CG297" s="561">
        <v>0</v>
      </c>
      <c r="CH297" s="561">
        <v>0</v>
      </c>
      <c r="CI297" s="561">
        <v>0</v>
      </c>
      <c r="CJ297" s="561">
        <v>0</v>
      </c>
      <c r="CK297" s="561">
        <v>0</v>
      </c>
      <c r="CL297" s="561">
        <v>0</v>
      </c>
      <c r="CM297" s="561">
        <v>0</v>
      </c>
      <c r="CN297" s="561">
        <v>0</v>
      </c>
      <c r="CO297" s="561">
        <v>0</v>
      </c>
      <c r="CP297" s="561">
        <v>0</v>
      </c>
      <c r="CQ297" s="561">
        <v>0</v>
      </c>
      <c r="CR297" s="561">
        <v>0</v>
      </c>
      <c r="CS297" s="561">
        <v>0</v>
      </c>
      <c r="CT297" s="561">
        <v>0</v>
      </c>
      <c r="CU297" s="561">
        <v>0</v>
      </c>
      <c r="CV297" s="561">
        <v>0</v>
      </c>
      <c r="CW297" s="561">
        <v>0</v>
      </c>
      <c r="CX297" s="561">
        <v>0</v>
      </c>
      <c r="CY297" s="561">
        <v>0</v>
      </c>
      <c r="CZ297" s="561">
        <v>0</v>
      </c>
      <c r="DA297" s="561">
        <v>0</v>
      </c>
      <c r="DB297" s="561">
        <v>0</v>
      </c>
      <c r="DC297" s="561">
        <v>0</v>
      </c>
      <c r="DD297" s="561">
        <v>0</v>
      </c>
      <c r="DE297" s="561">
        <v>0</v>
      </c>
      <c r="DF297" s="561">
        <v>0</v>
      </c>
      <c r="DG297" s="561">
        <v>0</v>
      </c>
      <c r="DH297" s="561">
        <v>0</v>
      </c>
      <c r="DI297" s="561">
        <v>0</v>
      </c>
      <c r="DJ297" s="561">
        <v>0</v>
      </c>
      <c r="DK297" s="561">
        <v>0</v>
      </c>
      <c r="DL297" s="561">
        <v>0</v>
      </c>
      <c r="DM297" s="561">
        <v>0</v>
      </c>
      <c r="DN297" s="561">
        <v>0</v>
      </c>
      <c r="DO297" s="561">
        <v>0</v>
      </c>
      <c r="DP297" s="561">
        <v>0</v>
      </c>
      <c r="DQ297" s="561">
        <v>0</v>
      </c>
      <c r="DR297" s="561">
        <v>0</v>
      </c>
      <c r="DS297" s="561">
        <v>0</v>
      </c>
      <c r="DT297" s="561">
        <v>0</v>
      </c>
      <c r="DU297" s="561">
        <v>0</v>
      </c>
      <c r="DV297" s="561">
        <v>0</v>
      </c>
      <c r="DW297" s="561">
        <v>0</v>
      </c>
      <c r="DX297" s="561">
        <v>0</v>
      </c>
      <c r="DY297" s="561">
        <v>0</v>
      </c>
      <c r="DZ297" s="561">
        <v>0</v>
      </c>
      <c r="EA297" s="561">
        <v>0</v>
      </c>
      <c r="EB297" s="561">
        <v>0</v>
      </c>
      <c r="EC297" s="561">
        <v>0</v>
      </c>
      <c r="ED297" s="561">
        <v>0</v>
      </c>
      <c r="EE297" s="561">
        <v>0</v>
      </c>
      <c r="EF297" s="561">
        <v>0</v>
      </c>
      <c r="EG297" s="561">
        <v>0</v>
      </c>
      <c r="EH297" s="561">
        <v>0</v>
      </c>
      <c r="EI297" s="561">
        <v>0</v>
      </c>
      <c r="EJ297" s="561">
        <v>0</v>
      </c>
      <c r="EK297" s="561">
        <v>0</v>
      </c>
      <c r="EL297" s="561">
        <v>0</v>
      </c>
      <c r="EM297" s="561">
        <v>0</v>
      </c>
      <c r="EN297" s="561">
        <v>0</v>
      </c>
      <c r="EO297" s="561">
        <v>0</v>
      </c>
      <c r="EP297" s="561">
        <v>0</v>
      </c>
      <c r="EQ297" s="561">
        <v>0</v>
      </c>
      <c r="ER297" s="561">
        <v>0</v>
      </c>
      <c r="ES297" s="561" t="s">
        <v>4565</v>
      </c>
      <c r="ET297" s="561">
        <v>0</v>
      </c>
      <c r="EU297" s="561">
        <v>0</v>
      </c>
      <c r="EV297" s="561">
        <v>0</v>
      </c>
      <c r="EW297" s="561">
        <v>0</v>
      </c>
      <c r="EX297" s="561">
        <v>0</v>
      </c>
      <c r="EY297" s="561">
        <v>0</v>
      </c>
      <c r="EZ297" s="561">
        <v>0</v>
      </c>
      <c r="FA297" s="561">
        <v>0</v>
      </c>
      <c r="FB297" s="561">
        <v>0</v>
      </c>
      <c r="FC297" s="561">
        <v>0</v>
      </c>
      <c r="FD297" s="561">
        <v>0</v>
      </c>
      <c r="FE297" s="561">
        <v>0</v>
      </c>
      <c r="FF297" s="561">
        <v>0</v>
      </c>
      <c r="FG297" s="561">
        <v>0</v>
      </c>
      <c r="FH297" s="561">
        <v>0</v>
      </c>
      <c r="FI297" s="561">
        <v>0</v>
      </c>
      <c r="FJ297" s="561">
        <v>0</v>
      </c>
      <c r="FK297" s="561">
        <v>0</v>
      </c>
      <c r="FL297" s="561">
        <v>0</v>
      </c>
      <c r="FM297" s="561">
        <v>0</v>
      </c>
      <c r="FN297" s="561">
        <v>0</v>
      </c>
      <c r="FO297" s="561">
        <v>0</v>
      </c>
      <c r="FP297" s="561">
        <v>0</v>
      </c>
      <c r="FQ297" s="561">
        <v>0</v>
      </c>
      <c r="FR297" s="561">
        <v>0</v>
      </c>
      <c r="FS297" s="561">
        <v>0</v>
      </c>
      <c r="FT297" s="561">
        <v>0</v>
      </c>
      <c r="FU297" s="561">
        <v>0</v>
      </c>
      <c r="FV297" s="561">
        <v>0</v>
      </c>
      <c r="FW297" s="561">
        <v>0</v>
      </c>
      <c r="FX297" s="561">
        <v>0</v>
      </c>
      <c r="FY297" s="561">
        <v>0</v>
      </c>
      <c r="FZ297" s="561">
        <v>0</v>
      </c>
      <c r="GA297" s="561">
        <v>0</v>
      </c>
      <c r="GB297" s="561">
        <v>0</v>
      </c>
      <c r="GC297" s="561">
        <v>0</v>
      </c>
      <c r="GD297" s="561">
        <v>0</v>
      </c>
      <c r="GE297" s="561">
        <v>0</v>
      </c>
      <c r="GF297" s="561">
        <v>0</v>
      </c>
      <c r="GG297" s="561">
        <v>0</v>
      </c>
      <c r="GH297" s="561">
        <v>0</v>
      </c>
      <c r="GI297" s="561">
        <v>0</v>
      </c>
      <c r="GJ297" s="561">
        <v>0</v>
      </c>
      <c r="GK297" s="561">
        <v>0</v>
      </c>
      <c r="GL297" s="561">
        <v>0</v>
      </c>
      <c r="GM297" s="561">
        <v>0</v>
      </c>
      <c r="GN297" s="561">
        <v>0</v>
      </c>
      <c r="GO297" s="561">
        <v>0</v>
      </c>
      <c r="GP297" s="561">
        <v>0</v>
      </c>
      <c r="GQ297" s="561">
        <v>0</v>
      </c>
      <c r="GR297" s="561">
        <v>0</v>
      </c>
      <c r="GS297" s="561">
        <v>0</v>
      </c>
      <c r="GT297" s="561">
        <v>0</v>
      </c>
      <c r="GU297" s="561">
        <v>0</v>
      </c>
      <c r="GV297" s="561">
        <v>0</v>
      </c>
      <c r="GW297" s="561">
        <v>0</v>
      </c>
      <c r="GX297" s="561">
        <v>0</v>
      </c>
      <c r="GY297" s="561">
        <v>0</v>
      </c>
      <c r="GZ297" s="561">
        <v>0</v>
      </c>
      <c r="HA297" s="561">
        <v>0</v>
      </c>
      <c r="HB297" s="561">
        <v>0</v>
      </c>
      <c r="HC297" s="561">
        <v>0</v>
      </c>
      <c r="HD297" s="561">
        <v>0</v>
      </c>
      <c r="HE297" s="561">
        <v>0</v>
      </c>
      <c r="HF297" s="561">
        <v>0</v>
      </c>
      <c r="HG297" s="561">
        <v>0</v>
      </c>
      <c r="HH297" s="561">
        <v>0</v>
      </c>
      <c r="HI297" s="561">
        <v>0</v>
      </c>
      <c r="HJ297" s="561">
        <v>1651</v>
      </c>
      <c r="HK297" s="561">
        <v>26409</v>
      </c>
      <c r="HL297" s="561">
        <v>112</v>
      </c>
      <c r="HM297" s="561">
        <v>28172</v>
      </c>
      <c r="HN297" s="561">
        <v>25</v>
      </c>
      <c r="HO297" s="561">
        <v>396</v>
      </c>
      <c r="HP297" s="561">
        <v>0</v>
      </c>
      <c r="HQ297" s="561">
        <v>0</v>
      </c>
      <c r="HR297" s="561">
        <v>0</v>
      </c>
      <c r="HS297" s="561">
        <v>0</v>
      </c>
      <c r="HT297" s="561">
        <v>0</v>
      </c>
      <c r="HU297" s="561">
        <v>0</v>
      </c>
      <c r="HV297" s="561">
        <v>0</v>
      </c>
      <c r="HW297" s="561">
        <v>0</v>
      </c>
      <c r="HX297" s="561">
        <v>0</v>
      </c>
      <c r="HY297" s="561">
        <v>0</v>
      </c>
      <c r="HZ297" s="561">
        <v>0</v>
      </c>
      <c r="IA297" s="561">
        <v>0</v>
      </c>
      <c r="IB297" s="561">
        <v>0</v>
      </c>
      <c r="IC297" s="561">
        <v>0</v>
      </c>
      <c r="ID297" s="561">
        <v>0</v>
      </c>
      <c r="IE297" s="561">
        <v>0</v>
      </c>
      <c r="IF297" s="561">
        <v>0</v>
      </c>
      <c r="IG297" s="561">
        <v>0</v>
      </c>
      <c r="IH297" s="561">
        <v>0</v>
      </c>
      <c r="II297" s="561">
        <v>396</v>
      </c>
      <c r="IJ297" s="561">
        <v>0</v>
      </c>
      <c r="IK297" s="561">
        <v>0</v>
      </c>
      <c r="IL297" s="561">
        <v>0</v>
      </c>
      <c r="IM297" s="561">
        <v>0</v>
      </c>
      <c r="IN297" s="561">
        <v>0</v>
      </c>
      <c r="IO297" s="561">
        <v>0</v>
      </c>
      <c r="IP297" s="561">
        <v>0</v>
      </c>
      <c r="IQ297" s="561">
        <v>0</v>
      </c>
      <c r="IR297" s="561">
        <v>0</v>
      </c>
      <c r="IS297" s="561">
        <v>0</v>
      </c>
      <c r="IT297" s="561">
        <v>0</v>
      </c>
      <c r="IU297" s="561">
        <v>0</v>
      </c>
      <c r="IV297" s="561">
        <v>0</v>
      </c>
      <c r="IW297" s="561">
        <v>0</v>
      </c>
      <c r="IX297" s="561">
        <v>0</v>
      </c>
      <c r="IY297" s="561">
        <v>0</v>
      </c>
      <c r="IZ297" s="561">
        <v>0</v>
      </c>
      <c r="JA297" s="561">
        <v>0</v>
      </c>
      <c r="JB297" s="561">
        <v>28172</v>
      </c>
      <c r="JC297" s="561">
        <v>396</v>
      </c>
      <c r="JD297" s="561">
        <v>0</v>
      </c>
      <c r="JE297" s="561">
        <v>28568</v>
      </c>
      <c r="JF297" s="561">
        <v>0</v>
      </c>
      <c r="JG297" s="561">
        <v>0</v>
      </c>
      <c r="JH297" s="561">
        <v>0</v>
      </c>
      <c r="JI297" s="561">
        <v>0</v>
      </c>
      <c r="JJ297" s="561">
        <v>0</v>
      </c>
      <c r="JK297" s="561">
        <v>0</v>
      </c>
      <c r="JL297" s="561">
        <v>0</v>
      </c>
      <c r="JM297" s="561">
        <v>0</v>
      </c>
      <c r="JN297" s="561">
        <v>0</v>
      </c>
      <c r="JO297" s="561">
        <v>0</v>
      </c>
      <c r="JP297" s="561">
        <v>0</v>
      </c>
      <c r="JQ297" s="561">
        <v>0</v>
      </c>
      <c r="JR297" s="561">
        <v>0</v>
      </c>
      <c r="JS297" s="561">
        <v>0</v>
      </c>
      <c r="JT297" s="561">
        <v>22</v>
      </c>
      <c r="JU297" s="561">
        <v>0</v>
      </c>
      <c r="JV297" s="561">
        <v>28590</v>
      </c>
      <c r="JW297" s="561">
        <v>0</v>
      </c>
      <c r="JX297" s="561">
        <v>3968</v>
      </c>
      <c r="JY297" s="561">
        <v>0</v>
      </c>
      <c r="JZ297" s="561">
        <v>0</v>
      </c>
      <c r="KA297" s="561">
        <v>0</v>
      </c>
      <c r="KB297" s="561">
        <v>-3</v>
      </c>
      <c r="KC297" s="561">
        <v>387</v>
      </c>
      <c r="KD297" s="561">
        <v>0</v>
      </c>
      <c r="KE297" s="561">
        <v>231</v>
      </c>
      <c r="KF297" s="561">
        <v>0</v>
      </c>
      <c r="KG297" s="561">
        <v>33173</v>
      </c>
      <c r="KH297" s="561">
        <v>-474</v>
      </c>
      <c r="KI297" s="561">
        <v>0</v>
      </c>
      <c r="KJ297" s="561">
        <v>0</v>
      </c>
      <c r="KK297" s="561">
        <v>0</v>
      </c>
      <c r="KL297" s="561">
        <v>0</v>
      </c>
      <c r="KM297" s="561">
        <v>0</v>
      </c>
      <c r="KN297" s="561">
        <v>0</v>
      </c>
      <c r="KO297" s="561">
        <v>0</v>
      </c>
      <c r="KP297" s="561">
        <v>0</v>
      </c>
      <c r="KQ297" s="561">
        <v>0</v>
      </c>
      <c r="KR297" s="561">
        <v>32699</v>
      </c>
      <c r="KS297" s="561">
        <v>0</v>
      </c>
      <c r="KT297" s="561">
        <v>-3156</v>
      </c>
      <c r="KU297" s="561">
        <v>29543</v>
      </c>
      <c r="KV297" s="561">
        <v>0</v>
      </c>
      <c r="KW297" s="561">
        <v>0</v>
      </c>
      <c r="KX297" s="561">
        <v>0</v>
      </c>
      <c r="KY297" s="561">
        <v>0</v>
      </c>
      <c r="KZ297" s="561">
        <v>-971</v>
      </c>
      <c r="LA297" s="561">
        <v>-1612</v>
      </c>
      <c r="LB297" s="561">
        <v>-2701</v>
      </c>
      <c r="LC297" s="561">
        <v>0</v>
      </c>
      <c r="LD297" s="561">
        <v>-4089</v>
      </c>
      <c r="LE297" s="561">
        <v>-47</v>
      </c>
      <c r="LF297" s="561">
        <v>0</v>
      </c>
      <c r="LG297" s="561">
        <v>20123</v>
      </c>
      <c r="LH297" s="561">
        <v>0</v>
      </c>
      <c r="LI297" s="561">
        <v>0</v>
      </c>
      <c r="LJ297" s="561">
        <v>0</v>
      </c>
      <c r="LK297" s="561">
        <v>0</v>
      </c>
      <c r="LL297" s="561">
        <v>10671</v>
      </c>
      <c r="LM297" s="561">
        <v>2889</v>
      </c>
      <c r="LN297" s="561">
        <v>0</v>
      </c>
      <c r="LO297" s="561">
        <v>0</v>
      </c>
      <c r="LP297" s="561">
        <v>0</v>
      </c>
      <c r="LQ297" s="561">
        <v>0</v>
      </c>
      <c r="LR297" s="561">
        <v>9700</v>
      </c>
      <c r="LS297" s="561">
        <v>1277</v>
      </c>
      <c r="LT297" s="561">
        <v>0</v>
      </c>
      <c r="LU297" s="561">
        <v>2903</v>
      </c>
      <c r="LV297" s="561">
        <v>0</v>
      </c>
      <c r="LW297" s="561">
        <v>0</v>
      </c>
      <c r="LX297" s="561">
        <v>0</v>
      </c>
      <c r="LY297" s="561">
        <v>0</v>
      </c>
      <c r="LZ297" s="561">
        <v>2903</v>
      </c>
      <c r="MA297" s="561">
        <v>0</v>
      </c>
      <c r="MB297" s="561">
        <v>0</v>
      </c>
      <c r="MC297" s="561">
        <v>0</v>
      </c>
      <c r="MD297" s="561">
        <v>0</v>
      </c>
      <c r="ME297" s="561">
        <v>0</v>
      </c>
      <c r="MF297" s="561">
        <v>0</v>
      </c>
      <c r="MG297" s="561">
        <v>0</v>
      </c>
      <c r="MH297" s="561">
        <v>0</v>
      </c>
      <c r="MI297" s="561">
        <v>0</v>
      </c>
      <c r="MJ297" s="561">
        <v>0</v>
      </c>
      <c r="MK297" s="561">
        <v>0</v>
      </c>
      <c r="ML297" s="561">
        <v>5101</v>
      </c>
      <c r="MM297" s="561">
        <v>506</v>
      </c>
      <c r="MN297" s="561">
        <v>0</v>
      </c>
      <c r="MO297" s="561">
        <v>4093</v>
      </c>
      <c r="MP297" s="561">
        <v>0</v>
      </c>
      <c r="MQ297" s="561">
        <v>0</v>
      </c>
      <c r="MR297" s="561">
        <v>0</v>
      </c>
      <c r="MS297" s="561">
        <v>0</v>
      </c>
      <c r="MT297" s="561">
        <v>0</v>
      </c>
      <c r="MU297" s="561">
        <v>0</v>
      </c>
      <c r="MV297" s="561">
        <v>0</v>
      </c>
      <c r="MW297" s="561">
        <v>0</v>
      </c>
      <c r="MX297" s="561">
        <v>0</v>
      </c>
      <c r="MY297" s="561">
        <v>0</v>
      </c>
      <c r="MZ297" s="561">
        <v>0</v>
      </c>
      <c r="NA297" s="561">
        <v>28172</v>
      </c>
      <c r="NB297" s="561">
        <v>396</v>
      </c>
      <c r="NC297" s="561">
        <v>0</v>
      </c>
      <c r="ND297" s="561">
        <v>28568</v>
      </c>
      <c r="NE297" s="561">
        <v>0</v>
      </c>
      <c r="NF297" s="561">
        <v>0</v>
      </c>
      <c r="NG297" s="561">
        <v>0</v>
      </c>
      <c r="NH297" s="561">
        <v>0</v>
      </c>
      <c r="NI297" s="561">
        <v>0</v>
      </c>
      <c r="NJ297" s="561">
        <v>0</v>
      </c>
      <c r="NK297" s="561">
        <v>0</v>
      </c>
      <c r="NL297" s="561">
        <v>0</v>
      </c>
      <c r="NM297" s="561">
        <v>0</v>
      </c>
      <c r="NN297" s="561">
        <v>0</v>
      </c>
      <c r="NO297" s="561">
        <v>0</v>
      </c>
      <c r="NP297" s="561">
        <v>0</v>
      </c>
      <c r="NQ297" s="561">
        <v>0</v>
      </c>
      <c r="NR297" s="561">
        <v>0</v>
      </c>
      <c r="NS297" s="561">
        <v>0</v>
      </c>
      <c r="NT297" s="561">
        <v>0</v>
      </c>
      <c r="NU297" s="561">
        <v>-5374</v>
      </c>
      <c r="NV297" s="561">
        <v>0</v>
      </c>
      <c r="NW297" s="561">
        <v>0</v>
      </c>
      <c r="NX297" s="561">
        <v>0</v>
      </c>
      <c r="NY297" s="561">
        <v>0</v>
      </c>
      <c r="NZ297" s="561">
        <v>0</v>
      </c>
      <c r="OA297" s="561">
        <v>0</v>
      </c>
      <c r="OB297" s="561">
        <v>0</v>
      </c>
      <c r="OC297" s="561">
        <v>0</v>
      </c>
      <c r="OD297" s="561">
        <v>0</v>
      </c>
      <c r="OE297" s="561">
        <v>0</v>
      </c>
      <c r="OF297" s="561">
        <v>0</v>
      </c>
      <c r="OG297" s="561">
        <v>0</v>
      </c>
      <c r="OH297" s="561">
        <v>0</v>
      </c>
      <c r="OI297" s="561">
        <v>0</v>
      </c>
      <c r="OJ297" s="561">
        <v>0</v>
      </c>
      <c r="OK297" s="561">
        <v>0</v>
      </c>
      <c r="OL297" s="561">
        <v>0</v>
      </c>
      <c r="OM297" s="561">
        <v>0</v>
      </c>
      <c r="ON297" s="561">
        <v>0</v>
      </c>
      <c r="OO297" s="561">
        <v>0</v>
      </c>
      <c r="OP297" s="561">
        <v>0</v>
      </c>
      <c r="OQ297" s="561">
        <v>0</v>
      </c>
      <c r="OR297" s="561">
        <v>0</v>
      </c>
      <c r="OS297" s="561">
        <v>0</v>
      </c>
      <c r="OT297" s="561">
        <v>0</v>
      </c>
      <c r="OU297" s="561">
        <v>0</v>
      </c>
      <c r="OV297" s="561">
        <v>8465</v>
      </c>
      <c r="OW297" s="561">
        <v>0</v>
      </c>
      <c r="OX297" s="561">
        <v>0</v>
      </c>
      <c r="OY297" s="561">
        <v>0</v>
      </c>
      <c r="OZ297" s="561">
        <v>0</v>
      </c>
      <c r="PA297" s="561">
        <v>0</v>
      </c>
      <c r="PB297" s="561">
        <v>0</v>
      </c>
      <c r="PC297" s="561">
        <v>0</v>
      </c>
      <c r="PD297" s="561">
        <v>0</v>
      </c>
      <c r="PE297" s="561">
        <v>0</v>
      </c>
      <c r="PF297" s="561">
        <v>0</v>
      </c>
      <c r="PG297" s="561">
        <v>0</v>
      </c>
      <c r="PH297" s="561">
        <v>0</v>
      </c>
      <c r="PI297" s="561">
        <v>0</v>
      </c>
      <c r="PJ297" s="561">
        <v>0</v>
      </c>
    </row>
    <row r="298" spans="1:426" ht="14" x14ac:dyDescent="0.3">
      <c r="A298" t="s">
        <v>3334</v>
      </c>
      <c r="B298" t="s">
        <v>3335</v>
      </c>
      <c r="C298" t="s">
        <v>4656</v>
      </c>
      <c r="E298" t="s">
        <v>385</v>
      </c>
      <c r="F298" s="561">
        <v>32608</v>
      </c>
      <c r="G298" s="561">
        <v>70990</v>
      </c>
      <c r="H298" s="561">
        <v>6802</v>
      </c>
      <c r="I298" s="561">
        <v>38948</v>
      </c>
      <c r="J298" s="561">
        <v>1616</v>
      </c>
      <c r="K298" s="561">
        <v>26412</v>
      </c>
      <c r="L298" s="561">
        <v>177376</v>
      </c>
      <c r="M298" s="561">
        <v>1855</v>
      </c>
      <c r="N298" s="561">
        <v>-16</v>
      </c>
      <c r="O298" s="561">
        <v>296</v>
      </c>
      <c r="P298" s="561">
        <v>64</v>
      </c>
      <c r="Q298" s="561">
        <v>149</v>
      </c>
      <c r="R298" s="561">
        <v>880</v>
      </c>
      <c r="S298" s="561">
        <v>4480</v>
      </c>
      <c r="T298" s="561">
        <v>2722</v>
      </c>
      <c r="U298" s="561">
        <v>1998</v>
      </c>
      <c r="V298" s="561">
        <v>2363</v>
      </c>
      <c r="W298" s="561">
        <v>0</v>
      </c>
      <c r="X298" s="561">
        <v>0</v>
      </c>
      <c r="Y298" s="561">
        <v>424</v>
      </c>
      <c r="Z298" s="561">
        <v>724</v>
      </c>
      <c r="AA298" s="561">
        <v>-861</v>
      </c>
      <c r="AB298" s="561">
        <v>-2222</v>
      </c>
      <c r="AC298" s="561">
        <v>2234</v>
      </c>
      <c r="AD298" s="561">
        <v>0</v>
      </c>
      <c r="AE298" s="561">
        <v>5474</v>
      </c>
      <c r="AF298" s="561">
        <v>15</v>
      </c>
      <c r="AG298" s="561">
        <v>0</v>
      </c>
      <c r="AH298" s="561">
        <v>104</v>
      </c>
      <c r="AI298" s="561">
        <v>0</v>
      </c>
      <c r="AJ298" s="561">
        <v>18828</v>
      </c>
      <c r="AK298" s="561">
        <v>2607</v>
      </c>
      <c r="AL298" s="561">
        <v>0</v>
      </c>
      <c r="AM298" s="561">
        <v>0</v>
      </c>
      <c r="AN298" s="561">
        <v>0</v>
      </c>
      <c r="AO298" s="561">
        <v>0</v>
      </c>
      <c r="AP298" s="561">
        <v>0</v>
      </c>
      <c r="AQ298" s="561">
        <v>0</v>
      </c>
      <c r="AR298" s="561">
        <v>0</v>
      </c>
      <c r="AS298" s="561">
        <v>65</v>
      </c>
      <c r="AT298" s="561">
        <v>1150</v>
      </c>
      <c r="AU298" s="561">
        <v>0</v>
      </c>
      <c r="AV298" s="561">
        <v>0</v>
      </c>
      <c r="AW298" s="561">
        <v>0</v>
      </c>
      <c r="AX298" s="561">
        <v>1299</v>
      </c>
      <c r="AY298" s="561">
        <v>59002</v>
      </c>
      <c r="AZ298" s="561">
        <v>2</v>
      </c>
      <c r="BA298" s="561">
        <v>3899</v>
      </c>
      <c r="BB298" s="561">
        <v>179</v>
      </c>
      <c r="BC298" s="561">
        <v>14289</v>
      </c>
      <c r="BD298" s="561">
        <v>2029</v>
      </c>
      <c r="BE298" s="561">
        <v>237</v>
      </c>
      <c r="BF298" s="561">
        <v>80936</v>
      </c>
      <c r="BG298" s="561">
        <v>3928</v>
      </c>
      <c r="BH298" s="561">
        <v>15267</v>
      </c>
      <c r="BI298" s="561">
        <v>52398</v>
      </c>
      <c r="BJ298" s="561">
        <v>405</v>
      </c>
      <c r="BK298" s="561">
        <v>139</v>
      </c>
      <c r="BL298" s="561">
        <v>452</v>
      </c>
      <c r="BM298" s="561">
        <v>6439</v>
      </c>
      <c r="BN298" s="561">
        <v>47813</v>
      </c>
      <c r="BO298" s="561">
        <v>5584</v>
      </c>
      <c r="BP298" s="561">
        <v>5717</v>
      </c>
      <c r="BQ298" s="561">
        <v>2930</v>
      </c>
      <c r="BR298" s="561">
        <v>108</v>
      </c>
      <c r="BS298" s="561">
        <v>3</v>
      </c>
      <c r="BT298" s="561">
        <v>2072</v>
      </c>
      <c r="BU298" s="561">
        <v>321</v>
      </c>
      <c r="BV298" s="561">
        <v>576</v>
      </c>
      <c r="BW298" s="561">
        <v>10578</v>
      </c>
      <c r="BX298" s="561">
        <v>1598</v>
      </c>
      <c r="BY298" s="561">
        <v>10234</v>
      </c>
      <c r="BZ298" s="561">
        <v>162634</v>
      </c>
      <c r="CA298" s="561">
        <v>1477</v>
      </c>
      <c r="CB298" s="561">
        <v>470</v>
      </c>
      <c r="CC298" s="561">
        <v>888</v>
      </c>
      <c r="CD298" s="561">
        <v>187</v>
      </c>
      <c r="CE298" s="561">
        <v>582</v>
      </c>
      <c r="CF298" s="561">
        <v>1877</v>
      </c>
      <c r="CG298" s="561">
        <v>45</v>
      </c>
      <c r="CH298" s="561">
        <v>451</v>
      </c>
      <c r="CI298" s="561">
        <v>28</v>
      </c>
      <c r="CJ298" s="561">
        <v>28</v>
      </c>
      <c r="CK298" s="561">
        <v>405</v>
      </c>
      <c r="CL298" s="561">
        <v>215</v>
      </c>
      <c r="CM298" s="561">
        <v>2198</v>
      </c>
      <c r="CN298" s="561">
        <v>1864</v>
      </c>
      <c r="CO298" s="561">
        <v>21</v>
      </c>
      <c r="CP298" s="561">
        <v>5</v>
      </c>
      <c r="CQ298" s="561">
        <v>419</v>
      </c>
      <c r="CR298" s="561">
        <v>364</v>
      </c>
      <c r="CS298" s="561">
        <v>4</v>
      </c>
      <c r="CT298" s="561">
        <v>1288</v>
      </c>
      <c r="CU298" s="561">
        <v>2734</v>
      </c>
      <c r="CV298" s="561">
        <v>555</v>
      </c>
      <c r="CW298" s="561">
        <v>1</v>
      </c>
      <c r="CX298" s="561">
        <v>217</v>
      </c>
      <c r="CY298" s="561">
        <v>803</v>
      </c>
      <c r="CZ298" s="561">
        <v>15649</v>
      </c>
      <c r="DA298" s="561">
        <v>37</v>
      </c>
      <c r="DB298" s="561">
        <v>0</v>
      </c>
      <c r="DC298" s="561">
        <v>0</v>
      </c>
      <c r="DD298" s="561">
        <v>0</v>
      </c>
      <c r="DE298" s="561">
        <v>0</v>
      </c>
      <c r="DF298" s="561">
        <v>0</v>
      </c>
      <c r="DG298" s="561">
        <v>0</v>
      </c>
      <c r="DH298" s="561">
        <v>560</v>
      </c>
      <c r="DI298" s="561">
        <v>0</v>
      </c>
      <c r="DJ298" s="561">
        <v>2</v>
      </c>
      <c r="DK298" s="561">
        <v>516</v>
      </c>
      <c r="DL298" s="561">
        <v>0</v>
      </c>
      <c r="DM298" s="561">
        <v>0</v>
      </c>
      <c r="DN298" s="561">
        <v>0</v>
      </c>
      <c r="DO298" s="561">
        <v>826</v>
      </c>
      <c r="DP298" s="561">
        <v>0</v>
      </c>
      <c r="DQ298" s="561">
        <v>980</v>
      </c>
      <c r="DR298" s="561">
        <v>0</v>
      </c>
      <c r="DS298" s="561">
        <v>0</v>
      </c>
      <c r="DT298" s="561">
        <v>2905</v>
      </c>
      <c r="DU298" s="561">
        <v>4711</v>
      </c>
      <c r="DV298" s="561">
        <v>0</v>
      </c>
      <c r="DW298" s="561">
        <v>0</v>
      </c>
      <c r="DX298" s="561">
        <v>0</v>
      </c>
      <c r="DY298" s="561">
        <v>4</v>
      </c>
      <c r="DZ298" s="561">
        <v>16</v>
      </c>
      <c r="EA298" s="561">
        <v>2604</v>
      </c>
      <c r="EB298" s="561">
        <v>27</v>
      </c>
      <c r="EC298" s="561">
        <v>8440</v>
      </c>
      <c r="ED298" s="561">
        <v>78</v>
      </c>
      <c r="EE298" s="561">
        <v>21525</v>
      </c>
      <c r="EF298" s="561">
        <v>99</v>
      </c>
      <c r="EG298" s="561">
        <v>1425</v>
      </c>
      <c r="EH298" s="561">
        <v>6</v>
      </c>
      <c r="EI298" s="561">
        <v>0</v>
      </c>
      <c r="EJ298" s="561">
        <v>1394</v>
      </c>
      <c r="EK298" s="561">
        <v>0</v>
      </c>
      <c r="EL298" s="561">
        <v>0</v>
      </c>
      <c r="EM298" s="561">
        <v>0</v>
      </c>
      <c r="EN298" s="561">
        <v>7973</v>
      </c>
      <c r="EO298" s="561">
        <v>5199</v>
      </c>
      <c r="EP298" s="561">
        <v>0</v>
      </c>
      <c r="EQ298" s="561">
        <v>166</v>
      </c>
      <c r="ER298" s="561">
        <v>3455</v>
      </c>
      <c r="ES298" s="561" t="s">
        <v>4565</v>
      </c>
      <c r="ET298" s="561">
        <v>0</v>
      </c>
      <c r="EU298" s="561">
        <v>-8</v>
      </c>
      <c r="EV298" s="561">
        <v>80</v>
      </c>
      <c r="EW298" s="561">
        <v>0</v>
      </c>
      <c r="EX298" s="561">
        <v>4409</v>
      </c>
      <c r="EY298" s="561">
        <v>50</v>
      </c>
      <c r="EZ298" s="561">
        <v>3125</v>
      </c>
      <c r="FA298" s="561">
        <v>11735</v>
      </c>
      <c r="FB298" s="561">
        <v>310</v>
      </c>
      <c r="FC298" s="561">
        <v>122</v>
      </c>
      <c r="FD298" s="561">
        <v>113</v>
      </c>
      <c r="FE298" s="561">
        <v>1068</v>
      </c>
      <c r="FF298" s="561">
        <v>-820</v>
      </c>
      <c r="FG298" s="561">
        <v>465</v>
      </c>
      <c r="FH298" s="561">
        <v>0</v>
      </c>
      <c r="FI298" s="561">
        <v>122</v>
      </c>
      <c r="FJ298" s="561">
        <v>2266</v>
      </c>
      <c r="FK298" s="561">
        <v>3753</v>
      </c>
      <c r="FL298" s="561">
        <v>0</v>
      </c>
      <c r="FM298" s="561">
        <v>-2</v>
      </c>
      <c r="FN298" s="561">
        <v>2641</v>
      </c>
      <c r="FO298" s="561">
        <v>10038</v>
      </c>
      <c r="FP298" s="561">
        <v>34</v>
      </c>
      <c r="FQ298" s="561">
        <v>-333</v>
      </c>
      <c r="FR298" s="561">
        <v>281</v>
      </c>
      <c r="FS298" s="561">
        <v>124</v>
      </c>
      <c r="FT298" s="561">
        <v>66</v>
      </c>
      <c r="FU298" s="561">
        <v>382</v>
      </c>
      <c r="FV298" s="561">
        <v>37</v>
      </c>
      <c r="FW298" s="561">
        <v>66</v>
      </c>
      <c r="FX298" s="561">
        <v>0</v>
      </c>
      <c r="FY298" s="561">
        <v>0</v>
      </c>
      <c r="FZ298" s="561">
        <v>929</v>
      </c>
      <c r="GA298" s="561">
        <v>31</v>
      </c>
      <c r="GB298" s="561">
        <v>89</v>
      </c>
      <c r="GC298" s="561">
        <v>422</v>
      </c>
      <c r="GD298" s="561">
        <v>0</v>
      </c>
      <c r="GE298" s="561">
        <v>8</v>
      </c>
      <c r="GF298" s="561">
        <v>371</v>
      </c>
      <c r="GG298" s="561">
        <v>0</v>
      </c>
      <c r="GH298" s="561">
        <v>382</v>
      </c>
      <c r="GI298" s="561">
        <v>0</v>
      </c>
      <c r="GJ298" s="561">
        <v>0</v>
      </c>
      <c r="GK298" s="561">
        <v>216</v>
      </c>
      <c r="GL298" s="561">
        <v>3555</v>
      </c>
      <c r="GM298" s="561">
        <v>4756</v>
      </c>
      <c r="GN298" s="561">
        <v>7246</v>
      </c>
      <c r="GO298" s="561">
        <v>0</v>
      </c>
      <c r="GP298" s="561">
        <v>9035</v>
      </c>
      <c r="GQ298" s="561">
        <v>0</v>
      </c>
      <c r="GR298" s="561">
        <v>216</v>
      </c>
      <c r="GS298" s="561">
        <v>27879</v>
      </c>
      <c r="GT298" s="561">
        <v>24</v>
      </c>
      <c r="GU298" s="561">
        <v>188</v>
      </c>
      <c r="GV298" s="561">
        <v>-438</v>
      </c>
      <c r="GW298" s="561">
        <v>771</v>
      </c>
      <c r="GX298" s="561">
        <v>1827</v>
      </c>
      <c r="GY298" s="561">
        <v>15</v>
      </c>
      <c r="GZ298" s="561">
        <v>5615</v>
      </c>
      <c r="HA298" s="561">
        <v>0</v>
      </c>
      <c r="HB298" s="561">
        <v>742</v>
      </c>
      <c r="HC298" s="561">
        <v>99</v>
      </c>
      <c r="HD298" s="561">
        <v>8819</v>
      </c>
      <c r="HE298" s="561">
        <v>140</v>
      </c>
      <c r="HF298" s="561">
        <v>46736</v>
      </c>
      <c r="HG298" s="561">
        <v>198</v>
      </c>
      <c r="HH298" s="561">
        <v>0</v>
      </c>
      <c r="HI298" s="561">
        <v>0</v>
      </c>
      <c r="HJ298" s="561">
        <v>0</v>
      </c>
      <c r="HK298" s="561">
        <v>0</v>
      </c>
      <c r="HL298" s="561">
        <v>0</v>
      </c>
      <c r="HM298" s="561">
        <v>0</v>
      </c>
      <c r="HN298" s="561">
        <v>0</v>
      </c>
      <c r="HO298" s="561">
        <v>3414</v>
      </c>
      <c r="HP298" s="561">
        <v>793</v>
      </c>
      <c r="HQ298" s="561">
        <v>0</v>
      </c>
      <c r="HR298" s="561">
        <v>0</v>
      </c>
      <c r="HS298" s="561">
        <v>1918</v>
      </c>
      <c r="HT298" s="561">
        <v>793</v>
      </c>
      <c r="HU298" s="561">
        <v>0</v>
      </c>
      <c r="HV298" s="561">
        <v>-21</v>
      </c>
      <c r="HW298" s="561">
        <v>646</v>
      </c>
      <c r="HX298" s="561">
        <v>203</v>
      </c>
      <c r="HY298" s="561">
        <v>0</v>
      </c>
      <c r="HZ298" s="561">
        <v>-153</v>
      </c>
      <c r="IA298" s="561">
        <v>337</v>
      </c>
      <c r="IB298" s="561">
        <v>0</v>
      </c>
      <c r="IC298" s="561">
        <v>491</v>
      </c>
      <c r="ID298" s="561">
        <v>0</v>
      </c>
      <c r="IE298" s="561">
        <v>1500</v>
      </c>
      <c r="IF298" s="561">
        <v>0</v>
      </c>
      <c r="IG298" s="561">
        <v>0</v>
      </c>
      <c r="IH298" s="561">
        <v>6027</v>
      </c>
      <c r="II298" s="561">
        <v>15948</v>
      </c>
      <c r="IJ298" s="561">
        <v>472</v>
      </c>
      <c r="IK298" s="561">
        <v>7399</v>
      </c>
      <c r="IL298" s="561">
        <v>19025</v>
      </c>
      <c r="IM298" s="561">
        <v>0</v>
      </c>
      <c r="IN298" s="561">
        <v>230</v>
      </c>
      <c r="IO298" s="561">
        <v>5298</v>
      </c>
      <c r="IP298" s="561">
        <v>4434</v>
      </c>
      <c r="IQ298" s="561">
        <v>0</v>
      </c>
      <c r="IR298" s="561">
        <v>177376</v>
      </c>
      <c r="IS298" s="561">
        <v>18828</v>
      </c>
      <c r="IT298" s="561">
        <v>80936</v>
      </c>
      <c r="IU298" s="561">
        <v>162634</v>
      </c>
      <c r="IV298" s="561">
        <v>15649</v>
      </c>
      <c r="IW298" s="561">
        <v>8440</v>
      </c>
      <c r="IX298" s="561">
        <v>10038</v>
      </c>
      <c r="IY298" s="561">
        <v>27879</v>
      </c>
      <c r="IZ298" s="561">
        <v>8819</v>
      </c>
      <c r="JA298" s="561">
        <v>0</v>
      </c>
      <c r="JB298" s="561">
        <v>0</v>
      </c>
      <c r="JC298" s="561">
        <v>15948</v>
      </c>
      <c r="JD298" s="561">
        <v>4434</v>
      </c>
      <c r="JE298" s="561">
        <v>530981</v>
      </c>
      <c r="JF298" s="561">
        <v>37351</v>
      </c>
      <c r="JG298" s="561">
        <v>3273</v>
      </c>
      <c r="JH298" s="561">
        <v>7233</v>
      </c>
      <c r="JI298" s="561">
        <v>0</v>
      </c>
      <c r="JJ298" s="561">
        <v>0</v>
      </c>
      <c r="JK298" s="561">
        <v>10831</v>
      </c>
      <c r="JL298" s="561">
        <v>0</v>
      </c>
      <c r="JM298" s="561">
        <v>0</v>
      </c>
      <c r="JN298" s="561">
        <v>0</v>
      </c>
      <c r="JO298" s="561">
        <v>0</v>
      </c>
      <c r="JP298" s="561">
        <v>-40</v>
      </c>
      <c r="JQ298" s="561">
        <v>-179</v>
      </c>
      <c r="JR298" s="561">
        <v>0</v>
      </c>
      <c r="JS298" s="561">
        <v>0</v>
      </c>
      <c r="JT298" s="561">
        <v>-668</v>
      </c>
      <c r="JU298" s="561">
        <v>0</v>
      </c>
      <c r="JV298" s="561">
        <v>588782</v>
      </c>
      <c r="JW298" s="561">
        <v>154</v>
      </c>
      <c r="JX298" s="561">
        <v>953</v>
      </c>
      <c r="JY298" s="561">
        <v>0</v>
      </c>
      <c r="JZ298" s="561">
        <v>0</v>
      </c>
      <c r="KA298" s="561">
        <v>0</v>
      </c>
      <c r="KB298" s="561">
        <v>674</v>
      </c>
      <c r="KC298" s="561">
        <v>18352</v>
      </c>
      <c r="KD298" s="561">
        <v>0</v>
      </c>
      <c r="KE298" s="561">
        <v>19393</v>
      </c>
      <c r="KF298" s="561">
        <v>1018</v>
      </c>
      <c r="KG298" s="561">
        <v>629326</v>
      </c>
      <c r="KH298" s="561">
        <v>-4180</v>
      </c>
      <c r="KI298" s="561">
        <v>0</v>
      </c>
      <c r="KJ298" s="561">
        <v>315</v>
      </c>
      <c r="KK298" s="561">
        <v>0</v>
      </c>
      <c r="KL298" s="561">
        <v>-57690</v>
      </c>
      <c r="KM298" s="561">
        <v>0</v>
      </c>
      <c r="KN298" s="561">
        <v>-326</v>
      </c>
      <c r="KO298" s="561">
        <v>0</v>
      </c>
      <c r="KP298" s="561">
        <v>0</v>
      </c>
      <c r="KQ298" s="561">
        <v>-15334</v>
      </c>
      <c r="KR298" s="561">
        <v>552111</v>
      </c>
      <c r="KS298" s="561">
        <v>-546</v>
      </c>
      <c r="KT298" s="561">
        <v>-265672</v>
      </c>
      <c r="KU298" s="561">
        <v>285893</v>
      </c>
      <c r="KV298" s="561">
        <v>0</v>
      </c>
      <c r="KW298" s="561">
        <v>-647</v>
      </c>
      <c r="KX298" s="561">
        <v>0</v>
      </c>
      <c r="KY298" s="561">
        <v>-102</v>
      </c>
      <c r="KZ298" s="561">
        <v>-9204</v>
      </c>
      <c r="LA298" s="561">
        <v>-3412</v>
      </c>
      <c r="LB298" s="561">
        <v>-7974</v>
      </c>
      <c r="LC298" s="561">
        <v>0</v>
      </c>
      <c r="LD298" s="561">
        <v>-49455</v>
      </c>
      <c r="LE298" s="561">
        <v>835</v>
      </c>
      <c r="LF298" s="561">
        <v>0</v>
      </c>
      <c r="LG298" s="561">
        <v>215935</v>
      </c>
      <c r="LH298" s="561">
        <v>7340</v>
      </c>
      <c r="LI298" s="561">
        <v>0</v>
      </c>
      <c r="LJ298" s="561">
        <v>0</v>
      </c>
      <c r="LK298" s="561">
        <v>3220</v>
      </c>
      <c r="LL298" s="561">
        <v>24847</v>
      </c>
      <c r="LM298" s="561">
        <v>8237</v>
      </c>
      <c r="LN298" s="561">
        <v>6693</v>
      </c>
      <c r="LO298" s="561">
        <v>-15334</v>
      </c>
      <c r="LP298" s="561">
        <v>0</v>
      </c>
      <c r="LQ298" s="561">
        <v>3118</v>
      </c>
      <c r="LR298" s="561">
        <v>15643</v>
      </c>
      <c r="LS298" s="561">
        <v>4825</v>
      </c>
      <c r="LT298" s="561">
        <v>0</v>
      </c>
      <c r="LU298" s="561">
        <v>56638</v>
      </c>
      <c r="LV298" s="561">
        <v>36</v>
      </c>
      <c r="LW298" s="561">
        <v>9101</v>
      </c>
      <c r="LX298" s="561">
        <v>-69884</v>
      </c>
      <c r="LY298" s="561">
        <v>58130</v>
      </c>
      <c r="LZ298" s="561">
        <v>77197</v>
      </c>
      <c r="MA298" s="561">
        <v>0</v>
      </c>
      <c r="MB298" s="561">
        <v>0</v>
      </c>
      <c r="MC298" s="561">
        <v>24449</v>
      </c>
      <c r="MD298" s="561">
        <v>21324</v>
      </c>
      <c r="ME298" s="561">
        <v>3125</v>
      </c>
      <c r="MF298" s="561">
        <v>11735</v>
      </c>
      <c r="MG298" s="561">
        <v>14860</v>
      </c>
      <c r="MH298" s="561">
        <v>9860</v>
      </c>
      <c r="MI298" s="561">
        <v>7443</v>
      </c>
      <c r="MJ298" s="561">
        <v>17303</v>
      </c>
      <c r="MK298" s="561">
        <v>0</v>
      </c>
      <c r="ML298" s="561">
        <v>0</v>
      </c>
      <c r="MM298" s="561">
        <v>15643</v>
      </c>
      <c r="MN298" s="561">
        <v>0</v>
      </c>
      <c r="MO298" s="561">
        <v>0</v>
      </c>
      <c r="MP298" s="561">
        <v>0</v>
      </c>
      <c r="MQ298" s="561">
        <v>177376</v>
      </c>
      <c r="MR298" s="561">
        <v>18828</v>
      </c>
      <c r="MS298" s="561">
        <v>80936</v>
      </c>
      <c r="MT298" s="561">
        <v>162634</v>
      </c>
      <c r="MU298" s="561">
        <v>15649</v>
      </c>
      <c r="MV298" s="561">
        <v>8440</v>
      </c>
      <c r="MW298" s="561">
        <v>10038</v>
      </c>
      <c r="MX298" s="561">
        <v>27879</v>
      </c>
      <c r="MY298" s="561">
        <v>8819</v>
      </c>
      <c r="MZ298" s="561">
        <v>0</v>
      </c>
      <c r="NA298" s="561">
        <v>0</v>
      </c>
      <c r="NB298" s="561">
        <v>15948</v>
      </c>
      <c r="NC298" s="561">
        <v>4434</v>
      </c>
      <c r="ND298" s="561">
        <v>530981</v>
      </c>
      <c r="NE298" s="561">
        <v>0</v>
      </c>
      <c r="NF298" s="561">
        <v>0</v>
      </c>
      <c r="NG298" s="561">
        <v>0</v>
      </c>
      <c r="NH298" s="561">
        <v>0</v>
      </c>
      <c r="NI298" s="561">
        <v>0</v>
      </c>
      <c r="NJ298" s="561">
        <v>-30</v>
      </c>
      <c r="NK298" s="561">
        <v>0</v>
      </c>
      <c r="NL298" s="561">
        <v>0</v>
      </c>
      <c r="NM298" s="561">
        <v>0</v>
      </c>
      <c r="NN298" s="561">
        <v>0</v>
      </c>
      <c r="NO298" s="561">
        <v>0</v>
      </c>
      <c r="NP298" s="561">
        <v>0</v>
      </c>
      <c r="NQ298" s="561">
        <v>0</v>
      </c>
      <c r="NR298" s="561">
        <v>0</v>
      </c>
      <c r="NS298" s="561">
        <v>0</v>
      </c>
      <c r="NT298" s="561">
        <v>0</v>
      </c>
      <c r="NU298" s="561">
        <v>0</v>
      </c>
      <c r="NV298" s="561">
        <v>0</v>
      </c>
      <c r="NW298" s="561">
        <v>-40</v>
      </c>
      <c r="NX298" s="561">
        <v>0</v>
      </c>
      <c r="NY298" s="561">
        <v>-40</v>
      </c>
      <c r="NZ298" s="561">
        <v>0</v>
      </c>
      <c r="OA298" s="561">
        <v>0</v>
      </c>
      <c r="OB298" s="561">
        <v>0</v>
      </c>
      <c r="OC298" s="561">
        <v>0</v>
      </c>
      <c r="OD298" s="561">
        <v>0</v>
      </c>
      <c r="OE298" s="561">
        <v>0</v>
      </c>
      <c r="OF298" s="561">
        <v>0</v>
      </c>
      <c r="OG298" s="561">
        <v>0</v>
      </c>
      <c r="OH298" s="561">
        <v>0</v>
      </c>
      <c r="OI298" s="561">
        <v>0</v>
      </c>
      <c r="OJ298" s="561">
        <v>0</v>
      </c>
      <c r="OK298" s="561">
        <v>0</v>
      </c>
      <c r="OL298" s="561">
        <v>0</v>
      </c>
      <c r="OM298" s="561">
        <v>0</v>
      </c>
      <c r="ON298" s="561">
        <v>0</v>
      </c>
      <c r="OO298" s="561">
        <v>0</v>
      </c>
      <c r="OP298" s="561">
        <v>-184</v>
      </c>
      <c r="OQ298" s="561">
        <v>0</v>
      </c>
      <c r="OR298" s="561">
        <v>0</v>
      </c>
      <c r="OS298" s="561">
        <v>0</v>
      </c>
      <c r="OT298" s="561">
        <v>0</v>
      </c>
      <c r="OU298" s="561">
        <v>0</v>
      </c>
      <c r="OV298" s="561">
        <v>124</v>
      </c>
      <c r="OW298" s="561">
        <v>0</v>
      </c>
      <c r="OX298" s="561">
        <v>-179</v>
      </c>
      <c r="OY298" s="561">
        <v>0</v>
      </c>
      <c r="OZ298" s="561">
        <v>0</v>
      </c>
      <c r="PA298" s="561">
        <v>0</v>
      </c>
      <c r="PB298" s="561">
        <v>0</v>
      </c>
      <c r="PC298" s="561">
        <v>0</v>
      </c>
      <c r="PD298" s="561">
        <v>0</v>
      </c>
      <c r="PE298" s="561">
        <v>0</v>
      </c>
      <c r="PF298" s="561">
        <v>0</v>
      </c>
      <c r="PG298" s="561">
        <v>0</v>
      </c>
      <c r="PH298" s="561">
        <v>0</v>
      </c>
      <c r="PI298" s="561">
        <v>0</v>
      </c>
      <c r="PJ298" s="561">
        <v>0</v>
      </c>
    </row>
    <row r="299" spans="1:426" ht="14" x14ac:dyDescent="0.3">
      <c r="A299" t="s">
        <v>3340</v>
      </c>
      <c r="B299" t="s">
        <v>3341</v>
      </c>
      <c r="C299" t="s">
        <v>4657</v>
      </c>
      <c r="E299" t="s">
        <v>385</v>
      </c>
      <c r="F299" s="561" t="s">
        <v>2453</v>
      </c>
      <c r="G299" s="561" t="s">
        <v>2453</v>
      </c>
      <c r="H299" s="561" t="s">
        <v>2453</v>
      </c>
      <c r="I299" s="561" t="s">
        <v>2453</v>
      </c>
      <c r="J299" s="561" t="s">
        <v>2453</v>
      </c>
      <c r="K299" s="561" t="s">
        <v>2453</v>
      </c>
      <c r="L299" s="561" t="s">
        <v>2453</v>
      </c>
      <c r="M299" s="561" t="s">
        <v>2453</v>
      </c>
      <c r="N299" s="561" t="s">
        <v>2453</v>
      </c>
      <c r="O299" s="561" t="s">
        <v>2453</v>
      </c>
      <c r="P299" s="561" t="s">
        <v>2453</v>
      </c>
      <c r="Q299" s="561" t="s">
        <v>2453</v>
      </c>
      <c r="R299" s="561" t="s">
        <v>2453</v>
      </c>
      <c r="S299" s="561" t="s">
        <v>2453</v>
      </c>
      <c r="T299" s="561" t="s">
        <v>2453</v>
      </c>
      <c r="U299" s="561" t="s">
        <v>2453</v>
      </c>
      <c r="V299" s="561" t="s">
        <v>2453</v>
      </c>
      <c r="W299" s="561" t="s">
        <v>2453</v>
      </c>
      <c r="X299" s="561" t="s">
        <v>2453</v>
      </c>
      <c r="Y299" s="561" t="s">
        <v>2453</v>
      </c>
      <c r="Z299" s="561" t="s">
        <v>2453</v>
      </c>
      <c r="AA299" s="561" t="s">
        <v>2453</v>
      </c>
      <c r="AB299" s="561" t="s">
        <v>2453</v>
      </c>
      <c r="AC299" s="561" t="s">
        <v>2453</v>
      </c>
      <c r="AD299" s="561" t="s">
        <v>2453</v>
      </c>
      <c r="AE299" s="561" t="s">
        <v>2453</v>
      </c>
      <c r="AF299" s="561" t="s">
        <v>2453</v>
      </c>
      <c r="AG299" s="561" t="s">
        <v>2453</v>
      </c>
      <c r="AH299" s="561" t="s">
        <v>2453</v>
      </c>
      <c r="AI299" s="561" t="s">
        <v>2453</v>
      </c>
      <c r="AJ299" s="561" t="s">
        <v>2453</v>
      </c>
      <c r="AK299" s="561" t="s">
        <v>2453</v>
      </c>
      <c r="AL299" s="561" t="s">
        <v>2453</v>
      </c>
      <c r="AM299" s="561" t="s">
        <v>2453</v>
      </c>
      <c r="AN299" s="561" t="s">
        <v>2453</v>
      </c>
      <c r="AO299" s="561" t="s">
        <v>2453</v>
      </c>
      <c r="AP299" s="561" t="s">
        <v>2453</v>
      </c>
      <c r="AQ299" s="561" t="s">
        <v>2453</v>
      </c>
      <c r="AR299" s="561" t="s">
        <v>2453</v>
      </c>
      <c r="AS299" s="561" t="s">
        <v>2453</v>
      </c>
      <c r="AT299" s="561" t="s">
        <v>2453</v>
      </c>
      <c r="AU299" s="561" t="s">
        <v>2453</v>
      </c>
      <c r="AV299" s="561" t="s">
        <v>2453</v>
      </c>
      <c r="AW299" s="561" t="s">
        <v>2453</v>
      </c>
      <c r="AX299" s="561" t="s">
        <v>2453</v>
      </c>
      <c r="AY299" s="561" t="s">
        <v>2453</v>
      </c>
      <c r="AZ299" s="561" t="s">
        <v>2453</v>
      </c>
      <c r="BA299" s="561" t="s">
        <v>2453</v>
      </c>
      <c r="BB299" s="561" t="s">
        <v>2453</v>
      </c>
      <c r="BC299" s="561" t="s">
        <v>2453</v>
      </c>
      <c r="BD299" s="561" t="s">
        <v>2453</v>
      </c>
      <c r="BE299" s="561" t="s">
        <v>2453</v>
      </c>
      <c r="BF299" s="561" t="s">
        <v>2453</v>
      </c>
      <c r="BG299" s="561" t="s">
        <v>2453</v>
      </c>
      <c r="BH299" s="561" t="s">
        <v>2453</v>
      </c>
      <c r="BI299" s="561" t="s">
        <v>2453</v>
      </c>
      <c r="BJ299" s="561" t="s">
        <v>2453</v>
      </c>
      <c r="BK299" s="561" t="s">
        <v>2453</v>
      </c>
      <c r="BL299" s="561" t="s">
        <v>2453</v>
      </c>
      <c r="BM299" s="561" t="s">
        <v>2453</v>
      </c>
      <c r="BN299" s="561" t="s">
        <v>2453</v>
      </c>
      <c r="BO299" s="561" t="s">
        <v>2453</v>
      </c>
      <c r="BP299" s="561" t="s">
        <v>2453</v>
      </c>
      <c r="BQ299" s="561" t="s">
        <v>2453</v>
      </c>
      <c r="BR299" s="561" t="s">
        <v>2453</v>
      </c>
      <c r="BS299" s="561" t="s">
        <v>2453</v>
      </c>
      <c r="BT299" s="561" t="s">
        <v>2453</v>
      </c>
      <c r="BU299" s="561" t="s">
        <v>2453</v>
      </c>
      <c r="BV299" s="561" t="s">
        <v>2453</v>
      </c>
      <c r="BW299" s="561" t="s">
        <v>2453</v>
      </c>
      <c r="BX299" s="561" t="s">
        <v>2453</v>
      </c>
      <c r="BY299" s="561" t="s">
        <v>2453</v>
      </c>
      <c r="BZ299" s="561" t="s">
        <v>2453</v>
      </c>
      <c r="CA299" s="561" t="s">
        <v>2453</v>
      </c>
      <c r="CB299" s="561" t="s">
        <v>2453</v>
      </c>
      <c r="CC299" s="561" t="s">
        <v>2453</v>
      </c>
      <c r="CD299" s="561" t="s">
        <v>2453</v>
      </c>
      <c r="CE299" s="561" t="s">
        <v>2453</v>
      </c>
      <c r="CF299" s="561" t="s">
        <v>2453</v>
      </c>
      <c r="CG299" s="561" t="s">
        <v>2453</v>
      </c>
      <c r="CH299" s="561" t="s">
        <v>2453</v>
      </c>
      <c r="CI299" s="561" t="s">
        <v>2453</v>
      </c>
      <c r="CJ299" s="561" t="s">
        <v>2453</v>
      </c>
      <c r="CK299" s="561" t="s">
        <v>2453</v>
      </c>
      <c r="CL299" s="561" t="s">
        <v>2453</v>
      </c>
      <c r="CM299" s="561" t="s">
        <v>2453</v>
      </c>
      <c r="CN299" s="561" t="s">
        <v>2453</v>
      </c>
      <c r="CO299" s="561" t="s">
        <v>2453</v>
      </c>
      <c r="CP299" s="561" t="s">
        <v>2453</v>
      </c>
      <c r="CQ299" s="561" t="s">
        <v>2453</v>
      </c>
      <c r="CR299" s="561" t="s">
        <v>2453</v>
      </c>
      <c r="CS299" s="561" t="s">
        <v>2453</v>
      </c>
      <c r="CT299" s="561" t="s">
        <v>2453</v>
      </c>
      <c r="CU299" s="561" t="s">
        <v>2453</v>
      </c>
      <c r="CV299" s="561" t="s">
        <v>2453</v>
      </c>
      <c r="CW299" s="561" t="s">
        <v>2453</v>
      </c>
      <c r="CX299" s="561" t="s">
        <v>2453</v>
      </c>
      <c r="CY299" s="561" t="s">
        <v>2453</v>
      </c>
      <c r="CZ299" s="561" t="s">
        <v>2453</v>
      </c>
      <c r="DA299" s="561" t="s">
        <v>2453</v>
      </c>
      <c r="DB299" s="561" t="s">
        <v>2453</v>
      </c>
      <c r="DC299" s="561" t="s">
        <v>2453</v>
      </c>
      <c r="DD299" s="561" t="s">
        <v>2453</v>
      </c>
      <c r="DE299" s="561" t="s">
        <v>2453</v>
      </c>
      <c r="DF299" s="561" t="s">
        <v>2453</v>
      </c>
      <c r="DG299" s="561" t="s">
        <v>2453</v>
      </c>
      <c r="DH299" s="561" t="s">
        <v>2453</v>
      </c>
      <c r="DI299" s="561" t="s">
        <v>2453</v>
      </c>
      <c r="DJ299" s="561" t="s">
        <v>2453</v>
      </c>
      <c r="DK299" s="561" t="s">
        <v>2453</v>
      </c>
      <c r="DL299" s="561" t="s">
        <v>2453</v>
      </c>
      <c r="DM299" s="561" t="s">
        <v>2453</v>
      </c>
      <c r="DN299" s="561" t="s">
        <v>2453</v>
      </c>
      <c r="DO299" s="561" t="s">
        <v>2453</v>
      </c>
      <c r="DP299" s="561" t="s">
        <v>2453</v>
      </c>
      <c r="DQ299" s="561" t="s">
        <v>2453</v>
      </c>
      <c r="DR299" s="561" t="s">
        <v>2453</v>
      </c>
      <c r="DS299" s="561" t="s">
        <v>2453</v>
      </c>
      <c r="DT299" s="561" t="s">
        <v>2453</v>
      </c>
      <c r="DU299" s="561" t="s">
        <v>2453</v>
      </c>
      <c r="DV299" s="561" t="s">
        <v>2453</v>
      </c>
      <c r="DW299" s="561" t="s">
        <v>2453</v>
      </c>
      <c r="DX299" s="561" t="s">
        <v>2453</v>
      </c>
      <c r="DY299" s="561" t="s">
        <v>2453</v>
      </c>
      <c r="DZ299" s="561" t="s">
        <v>2453</v>
      </c>
      <c r="EA299" s="561" t="s">
        <v>2453</v>
      </c>
      <c r="EB299" s="561" t="s">
        <v>2453</v>
      </c>
      <c r="EC299" s="561" t="s">
        <v>2453</v>
      </c>
      <c r="ED299" s="561" t="s">
        <v>2453</v>
      </c>
      <c r="EE299" s="561" t="s">
        <v>2453</v>
      </c>
      <c r="EF299" s="561" t="s">
        <v>2453</v>
      </c>
      <c r="EG299" s="561" t="s">
        <v>2453</v>
      </c>
      <c r="EH299" s="561" t="s">
        <v>2453</v>
      </c>
      <c r="EI299" s="561" t="s">
        <v>2453</v>
      </c>
      <c r="EJ299" s="561" t="s">
        <v>2453</v>
      </c>
      <c r="EK299" s="561" t="s">
        <v>2453</v>
      </c>
      <c r="EL299" s="561" t="s">
        <v>2453</v>
      </c>
      <c r="EM299" s="561" t="s">
        <v>2453</v>
      </c>
      <c r="EN299" s="561" t="s">
        <v>2453</v>
      </c>
      <c r="EO299" s="561" t="s">
        <v>2453</v>
      </c>
      <c r="EP299" s="561" t="s">
        <v>2453</v>
      </c>
      <c r="EQ299" s="561" t="s">
        <v>2453</v>
      </c>
      <c r="ER299" s="561" t="s">
        <v>2453</v>
      </c>
      <c r="ES299" s="561" t="s">
        <v>4565</v>
      </c>
      <c r="ET299" s="561" t="s">
        <v>2453</v>
      </c>
      <c r="EU299" s="561" t="s">
        <v>2453</v>
      </c>
      <c r="EV299" s="561" t="s">
        <v>2453</v>
      </c>
      <c r="EW299" s="561" t="s">
        <v>2453</v>
      </c>
      <c r="EX299" s="561" t="s">
        <v>2453</v>
      </c>
      <c r="EY299" s="561" t="s">
        <v>2453</v>
      </c>
      <c r="EZ299" s="561" t="s">
        <v>2453</v>
      </c>
      <c r="FA299" s="561" t="s">
        <v>2453</v>
      </c>
      <c r="FB299" s="561" t="s">
        <v>2453</v>
      </c>
      <c r="FC299" s="561" t="s">
        <v>2453</v>
      </c>
      <c r="FD299" s="561" t="s">
        <v>2453</v>
      </c>
      <c r="FE299" s="561" t="s">
        <v>2453</v>
      </c>
      <c r="FF299" s="561" t="s">
        <v>2453</v>
      </c>
      <c r="FG299" s="561" t="s">
        <v>2453</v>
      </c>
      <c r="FH299" s="561" t="s">
        <v>2453</v>
      </c>
      <c r="FI299" s="561" t="s">
        <v>2453</v>
      </c>
      <c r="FJ299" s="561" t="s">
        <v>2453</v>
      </c>
      <c r="FK299" s="561" t="s">
        <v>2453</v>
      </c>
      <c r="FL299" s="561" t="s">
        <v>2453</v>
      </c>
      <c r="FM299" s="561" t="s">
        <v>2453</v>
      </c>
      <c r="FN299" s="561" t="s">
        <v>2453</v>
      </c>
      <c r="FO299" s="561" t="s">
        <v>2453</v>
      </c>
      <c r="FP299" s="561" t="s">
        <v>2453</v>
      </c>
      <c r="FQ299" s="561" t="s">
        <v>2453</v>
      </c>
      <c r="FR299" s="561" t="s">
        <v>2453</v>
      </c>
      <c r="FS299" s="561" t="s">
        <v>2453</v>
      </c>
      <c r="FT299" s="561" t="s">
        <v>2453</v>
      </c>
      <c r="FU299" s="561" t="s">
        <v>2453</v>
      </c>
      <c r="FV299" s="561" t="s">
        <v>2453</v>
      </c>
      <c r="FW299" s="561" t="s">
        <v>2453</v>
      </c>
      <c r="FX299" s="561" t="s">
        <v>2453</v>
      </c>
      <c r="FY299" s="561" t="s">
        <v>2453</v>
      </c>
      <c r="FZ299" s="561" t="s">
        <v>2453</v>
      </c>
      <c r="GA299" s="561" t="s">
        <v>2453</v>
      </c>
      <c r="GB299" s="561" t="s">
        <v>2453</v>
      </c>
      <c r="GC299" s="561" t="s">
        <v>2453</v>
      </c>
      <c r="GD299" s="561" t="s">
        <v>2453</v>
      </c>
      <c r="GE299" s="561" t="s">
        <v>2453</v>
      </c>
      <c r="GF299" s="561" t="s">
        <v>2453</v>
      </c>
      <c r="GG299" s="561" t="s">
        <v>2453</v>
      </c>
      <c r="GH299" s="561" t="s">
        <v>2453</v>
      </c>
      <c r="GI299" s="561" t="s">
        <v>2453</v>
      </c>
      <c r="GJ299" s="561" t="s">
        <v>2453</v>
      </c>
      <c r="GK299" s="561" t="s">
        <v>2453</v>
      </c>
      <c r="GL299" s="561" t="s">
        <v>2453</v>
      </c>
      <c r="GM299" s="561" t="s">
        <v>2453</v>
      </c>
      <c r="GN299" s="561" t="s">
        <v>2453</v>
      </c>
      <c r="GO299" s="561" t="s">
        <v>2453</v>
      </c>
      <c r="GP299" s="561" t="s">
        <v>2453</v>
      </c>
      <c r="GQ299" s="561" t="s">
        <v>2453</v>
      </c>
      <c r="GR299" s="561" t="s">
        <v>2453</v>
      </c>
      <c r="GS299" s="561" t="s">
        <v>2453</v>
      </c>
      <c r="GT299" s="561" t="s">
        <v>2453</v>
      </c>
      <c r="GU299" s="561" t="s">
        <v>2453</v>
      </c>
      <c r="GV299" s="561" t="s">
        <v>2453</v>
      </c>
      <c r="GW299" s="561" t="s">
        <v>2453</v>
      </c>
      <c r="GX299" s="561" t="s">
        <v>2453</v>
      </c>
      <c r="GY299" s="561" t="s">
        <v>2453</v>
      </c>
      <c r="GZ299" s="561" t="s">
        <v>2453</v>
      </c>
      <c r="HA299" s="561" t="s">
        <v>2453</v>
      </c>
      <c r="HB299" s="561" t="s">
        <v>2453</v>
      </c>
      <c r="HC299" s="561" t="s">
        <v>2453</v>
      </c>
      <c r="HD299" s="561" t="s">
        <v>2453</v>
      </c>
      <c r="HE299" s="561" t="s">
        <v>2453</v>
      </c>
      <c r="HF299" s="561" t="s">
        <v>2453</v>
      </c>
      <c r="HG299" s="561" t="s">
        <v>2453</v>
      </c>
      <c r="HH299" s="561" t="s">
        <v>2453</v>
      </c>
      <c r="HI299" s="561" t="s">
        <v>2453</v>
      </c>
      <c r="HJ299" s="561" t="s">
        <v>2453</v>
      </c>
      <c r="HK299" s="561" t="s">
        <v>2453</v>
      </c>
      <c r="HL299" s="561" t="s">
        <v>2453</v>
      </c>
      <c r="HM299" s="561" t="s">
        <v>2453</v>
      </c>
      <c r="HN299" s="561" t="s">
        <v>2453</v>
      </c>
      <c r="HO299" s="561" t="s">
        <v>2453</v>
      </c>
      <c r="HP299" s="561" t="s">
        <v>2453</v>
      </c>
      <c r="HQ299" s="561" t="s">
        <v>2453</v>
      </c>
      <c r="HR299" s="561" t="s">
        <v>2453</v>
      </c>
      <c r="HS299" s="561" t="s">
        <v>2453</v>
      </c>
      <c r="HT299" s="561" t="s">
        <v>2453</v>
      </c>
      <c r="HU299" s="561" t="s">
        <v>2453</v>
      </c>
      <c r="HV299" s="561" t="s">
        <v>2453</v>
      </c>
      <c r="HW299" s="561" t="s">
        <v>2453</v>
      </c>
      <c r="HX299" s="561" t="s">
        <v>2453</v>
      </c>
      <c r="HY299" s="561" t="s">
        <v>2453</v>
      </c>
      <c r="HZ299" s="561" t="s">
        <v>2453</v>
      </c>
      <c r="IA299" s="561" t="s">
        <v>2453</v>
      </c>
      <c r="IB299" s="561" t="s">
        <v>2453</v>
      </c>
      <c r="IC299" s="561" t="s">
        <v>2453</v>
      </c>
      <c r="ID299" s="561" t="s">
        <v>2453</v>
      </c>
      <c r="IE299" s="561" t="s">
        <v>2453</v>
      </c>
      <c r="IF299" s="561" t="s">
        <v>2453</v>
      </c>
      <c r="IG299" s="561" t="s">
        <v>2453</v>
      </c>
      <c r="IH299" s="561" t="s">
        <v>2453</v>
      </c>
      <c r="II299" s="561" t="s">
        <v>2453</v>
      </c>
      <c r="IJ299" s="561" t="s">
        <v>2453</v>
      </c>
      <c r="IK299" s="561" t="s">
        <v>2453</v>
      </c>
      <c r="IL299" s="561" t="s">
        <v>2453</v>
      </c>
      <c r="IM299" s="561" t="s">
        <v>2453</v>
      </c>
      <c r="IN299" s="561" t="s">
        <v>2453</v>
      </c>
      <c r="IO299" s="561" t="s">
        <v>2453</v>
      </c>
      <c r="IP299" s="561" t="s">
        <v>2453</v>
      </c>
      <c r="IQ299" s="561" t="s">
        <v>2453</v>
      </c>
      <c r="IR299" s="561" t="s">
        <v>2453</v>
      </c>
      <c r="IS299" s="561" t="s">
        <v>2453</v>
      </c>
      <c r="IT299" s="561" t="s">
        <v>2453</v>
      </c>
      <c r="IU299" s="561" t="s">
        <v>2453</v>
      </c>
      <c r="IV299" s="561" t="s">
        <v>2453</v>
      </c>
      <c r="IW299" s="561" t="s">
        <v>2453</v>
      </c>
      <c r="IX299" s="561" t="s">
        <v>2453</v>
      </c>
      <c r="IY299" s="561" t="s">
        <v>2453</v>
      </c>
      <c r="IZ299" s="561" t="s">
        <v>2453</v>
      </c>
      <c r="JA299" s="561" t="s">
        <v>2453</v>
      </c>
      <c r="JB299" s="561" t="s">
        <v>2453</v>
      </c>
      <c r="JC299" s="561" t="s">
        <v>2453</v>
      </c>
      <c r="JD299" s="561" t="s">
        <v>2453</v>
      </c>
      <c r="JE299" s="561" t="s">
        <v>2453</v>
      </c>
      <c r="JF299" s="561" t="s">
        <v>2453</v>
      </c>
      <c r="JG299" s="561" t="s">
        <v>2453</v>
      </c>
      <c r="JH299" s="561" t="s">
        <v>2453</v>
      </c>
      <c r="JI299" s="561" t="s">
        <v>2453</v>
      </c>
      <c r="JJ299" s="561" t="s">
        <v>2453</v>
      </c>
      <c r="JK299" s="561" t="s">
        <v>2453</v>
      </c>
      <c r="JL299" s="561" t="s">
        <v>2453</v>
      </c>
      <c r="JM299" s="561" t="s">
        <v>2453</v>
      </c>
      <c r="JN299" s="561" t="s">
        <v>2453</v>
      </c>
      <c r="JO299" s="561" t="s">
        <v>2453</v>
      </c>
      <c r="JP299" s="561" t="s">
        <v>2453</v>
      </c>
      <c r="JQ299" s="561" t="s">
        <v>2453</v>
      </c>
      <c r="JR299" s="561" t="s">
        <v>2453</v>
      </c>
      <c r="JS299" s="561" t="s">
        <v>2453</v>
      </c>
      <c r="JT299" s="561" t="s">
        <v>2453</v>
      </c>
      <c r="JU299" s="561" t="s">
        <v>2453</v>
      </c>
      <c r="JV299" s="561" t="s">
        <v>2453</v>
      </c>
      <c r="JW299" s="561" t="s">
        <v>2453</v>
      </c>
      <c r="JX299" s="561" t="s">
        <v>2453</v>
      </c>
      <c r="JY299" s="561" t="s">
        <v>2453</v>
      </c>
      <c r="JZ299" s="561" t="s">
        <v>2453</v>
      </c>
      <c r="KA299" s="561" t="s">
        <v>2453</v>
      </c>
      <c r="KB299" s="561" t="s">
        <v>2453</v>
      </c>
      <c r="KC299" s="561" t="s">
        <v>2453</v>
      </c>
      <c r="KD299" s="561" t="s">
        <v>2453</v>
      </c>
      <c r="KE299" s="561" t="s">
        <v>2453</v>
      </c>
      <c r="KF299" s="561" t="s">
        <v>2453</v>
      </c>
      <c r="KG299" s="561" t="s">
        <v>2453</v>
      </c>
      <c r="KH299" s="561" t="s">
        <v>2453</v>
      </c>
      <c r="KI299" s="561" t="s">
        <v>2453</v>
      </c>
      <c r="KJ299" s="561" t="s">
        <v>2453</v>
      </c>
      <c r="KK299" s="561" t="s">
        <v>2453</v>
      </c>
      <c r="KL299" s="561" t="s">
        <v>2453</v>
      </c>
      <c r="KM299" s="561" t="s">
        <v>2453</v>
      </c>
      <c r="KN299" s="561" t="s">
        <v>2453</v>
      </c>
      <c r="KO299" s="561" t="s">
        <v>2453</v>
      </c>
      <c r="KP299" s="561" t="s">
        <v>2453</v>
      </c>
      <c r="KQ299" s="561" t="s">
        <v>2453</v>
      </c>
      <c r="KR299" s="561" t="s">
        <v>2453</v>
      </c>
      <c r="KS299" s="561" t="s">
        <v>2453</v>
      </c>
      <c r="KT299" s="561" t="s">
        <v>2453</v>
      </c>
      <c r="KU299" s="561" t="s">
        <v>2453</v>
      </c>
      <c r="KV299" s="561" t="s">
        <v>2453</v>
      </c>
      <c r="KW299" s="561" t="s">
        <v>2453</v>
      </c>
      <c r="KX299" s="561" t="s">
        <v>2453</v>
      </c>
      <c r="KY299" s="561" t="s">
        <v>2453</v>
      </c>
      <c r="KZ299" s="561" t="s">
        <v>2453</v>
      </c>
      <c r="LA299" s="561" t="s">
        <v>2453</v>
      </c>
      <c r="LB299" s="561" t="s">
        <v>2453</v>
      </c>
      <c r="LC299" s="561" t="s">
        <v>2453</v>
      </c>
      <c r="LD299" s="561" t="s">
        <v>2453</v>
      </c>
      <c r="LE299" s="561" t="s">
        <v>2453</v>
      </c>
      <c r="LF299" s="561" t="s">
        <v>2453</v>
      </c>
      <c r="LG299" s="561" t="s">
        <v>2453</v>
      </c>
      <c r="LH299" s="561" t="s">
        <v>2453</v>
      </c>
      <c r="LI299" s="561" t="s">
        <v>2453</v>
      </c>
      <c r="LJ299" s="561" t="s">
        <v>2453</v>
      </c>
      <c r="LK299" s="561" t="s">
        <v>2453</v>
      </c>
      <c r="LL299" s="561" t="s">
        <v>2453</v>
      </c>
      <c r="LM299" s="561" t="s">
        <v>2453</v>
      </c>
      <c r="LN299" s="561" t="s">
        <v>2453</v>
      </c>
      <c r="LO299" s="561" t="s">
        <v>2453</v>
      </c>
      <c r="LP299" s="561" t="s">
        <v>2453</v>
      </c>
      <c r="LQ299" s="561" t="s">
        <v>2453</v>
      </c>
      <c r="LR299" s="561" t="s">
        <v>2453</v>
      </c>
      <c r="LS299" s="561" t="s">
        <v>2453</v>
      </c>
      <c r="LT299" s="561" t="s">
        <v>2453</v>
      </c>
      <c r="LU299" s="561" t="s">
        <v>2453</v>
      </c>
      <c r="LV299" s="561" t="s">
        <v>2453</v>
      </c>
      <c r="LW299" s="561" t="s">
        <v>2453</v>
      </c>
      <c r="LX299" s="561" t="s">
        <v>2453</v>
      </c>
      <c r="LY299" s="561" t="s">
        <v>2453</v>
      </c>
      <c r="LZ299" s="561" t="s">
        <v>2453</v>
      </c>
      <c r="MA299" s="561" t="s">
        <v>2453</v>
      </c>
      <c r="MB299" s="561" t="s">
        <v>2453</v>
      </c>
      <c r="MC299" s="561" t="s">
        <v>2453</v>
      </c>
      <c r="MD299" s="561" t="s">
        <v>2453</v>
      </c>
      <c r="ME299" s="561" t="s">
        <v>2453</v>
      </c>
      <c r="MF299" s="561" t="s">
        <v>2453</v>
      </c>
      <c r="MG299" s="561" t="s">
        <v>2453</v>
      </c>
      <c r="MH299" s="561" t="s">
        <v>2453</v>
      </c>
      <c r="MI299" s="561" t="s">
        <v>2453</v>
      </c>
      <c r="MJ299" s="561" t="s">
        <v>2453</v>
      </c>
      <c r="MK299" s="561" t="s">
        <v>2453</v>
      </c>
      <c r="ML299" s="561" t="s">
        <v>2453</v>
      </c>
      <c r="MM299" s="561" t="s">
        <v>2453</v>
      </c>
      <c r="MN299" s="561" t="s">
        <v>2453</v>
      </c>
      <c r="MO299" s="561" t="s">
        <v>2453</v>
      </c>
      <c r="MP299" s="561" t="s">
        <v>2453</v>
      </c>
      <c r="MQ299" s="561" t="s">
        <v>2453</v>
      </c>
      <c r="MR299" s="561" t="s">
        <v>2453</v>
      </c>
      <c r="MS299" s="561" t="s">
        <v>2453</v>
      </c>
      <c r="MT299" s="561" t="s">
        <v>2453</v>
      </c>
      <c r="MU299" s="561" t="s">
        <v>2453</v>
      </c>
      <c r="MV299" s="561" t="s">
        <v>2453</v>
      </c>
      <c r="MW299" s="561" t="s">
        <v>2453</v>
      </c>
      <c r="MX299" s="561" t="s">
        <v>2453</v>
      </c>
      <c r="MY299" s="561" t="s">
        <v>2453</v>
      </c>
      <c r="MZ299" s="561" t="s">
        <v>2453</v>
      </c>
      <c r="NA299" s="561" t="s">
        <v>2453</v>
      </c>
      <c r="NB299" s="561" t="s">
        <v>2453</v>
      </c>
      <c r="NC299" s="561" t="s">
        <v>2453</v>
      </c>
      <c r="ND299" s="561" t="s">
        <v>2453</v>
      </c>
      <c r="NE299" s="561" t="s">
        <v>2453</v>
      </c>
      <c r="NF299" s="561" t="s">
        <v>2453</v>
      </c>
      <c r="NG299" s="561" t="s">
        <v>2453</v>
      </c>
      <c r="NH299" s="561" t="s">
        <v>2453</v>
      </c>
      <c r="NI299" s="561" t="s">
        <v>2453</v>
      </c>
      <c r="NJ299" s="561" t="s">
        <v>2453</v>
      </c>
      <c r="NK299" s="561" t="s">
        <v>2453</v>
      </c>
      <c r="NL299" s="561" t="s">
        <v>2453</v>
      </c>
      <c r="NM299" s="561" t="s">
        <v>2453</v>
      </c>
      <c r="NN299" s="561" t="s">
        <v>2453</v>
      </c>
      <c r="NO299" s="561" t="s">
        <v>2453</v>
      </c>
      <c r="NP299" s="561" t="s">
        <v>2453</v>
      </c>
      <c r="NQ299" s="561" t="s">
        <v>2453</v>
      </c>
      <c r="NR299" s="561" t="s">
        <v>2453</v>
      </c>
      <c r="NS299" s="561" t="s">
        <v>2453</v>
      </c>
      <c r="NT299" s="561" t="s">
        <v>2453</v>
      </c>
      <c r="NU299" s="561">
        <v>0</v>
      </c>
      <c r="NV299" s="561" t="s">
        <v>2453</v>
      </c>
      <c r="NW299" s="561" t="s">
        <v>2453</v>
      </c>
      <c r="NX299" s="561" t="s">
        <v>2453</v>
      </c>
      <c r="NY299" s="561" t="s">
        <v>2453</v>
      </c>
      <c r="NZ299" s="561" t="s">
        <v>2453</v>
      </c>
      <c r="OA299" s="561" t="s">
        <v>2453</v>
      </c>
      <c r="OB299" s="561" t="s">
        <v>2453</v>
      </c>
      <c r="OC299" s="561" t="s">
        <v>2453</v>
      </c>
      <c r="OD299" s="561" t="s">
        <v>2453</v>
      </c>
      <c r="OE299" s="561" t="s">
        <v>2453</v>
      </c>
      <c r="OF299" s="561" t="s">
        <v>2453</v>
      </c>
      <c r="OG299" s="561" t="s">
        <v>2453</v>
      </c>
      <c r="OH299" s="561" t="s">
        <v>2453</v>
      </c>
      <c r="OI299" s="561" t="s">
        <v>2453</v>
      </c>
      <c r="OJ299" s="561" t="s">
        <v>2453</v>
      </c>
      <c r="OK299" s="561" t="s">
        <v>2453</v>
      </c>
      <c r="OL299" s="561" t="s">
        <v>2453</v>
      </c>
      <c r="OM299" s="561" t="s">
        <v>2453</v>
      </c>
      <c r="ON299" s="561" t="s">
        <v>2453</v>
      </c>
      <c r="OO299" s="561" t="s">
        <v>2453</v>
      </c>
      <c r="OP299" s="561" t="s">
        <v>2453</v>
      </c>
      <c r="OQ299" s="561" t="s">
        <v>2453</v>
      </c>
      <c r="OR299" s="561" t="s">
        <v>2453</v>
      </c>
      <c r="OS299" s="561" t="s">
        <v>2453</v>
      </c>
      <c r="OT299" s="561" t="s">
        <v>2453</v>
      </c>
      <c r="OU299" s="561" t="s">
        <v>2453</v>
      </c>
      <c r="OV299" s="561">
        <v>0</v>
      </c>
      <c r="OW299" s="561" t="s">
        <v>2453</v>
      </c>
      <c r="OX299" s="561" t="s">
        <v>2453</v>
      </c>
      <c r="OY299" s="561" t="s">
        <v>2453</v>
      </c>
      <c r="OZ299" s="561" t="s">
        <v>2453</v>
      </c>
      <c r="PA299" s="561" t="s">
        <v>2453</v>
      </c>
      <c r="PB299" s="561" t="s">
        <v>2453</v>
      </c>
      <c r="PC299" s="561" t="s">
        <v>2453</v>
      </c>
      <c r="PD299" s="561" t="s">
        <v>2453</v>
      </c>
      <c r="PE299" s="561" t="s">
        <v>2453</v>
      </c>
      <c r="PF299" s="561" t="s">
        <v>2453</v>
      </c>
      <c r="PG299" s="561" t="s">
        <v>2453</v>
      </c>
      <c r="PH299" s="561" t="s">
        <v>2453</v>
      </c>
      <c r="PI299" s="561" t="s">
        <v>2453</v>
      </c>
      <c r="PJ299" s="561" t="s">
        <v>2453</v>
      </c>
    </row>
    <row r="300" spans="1:426" ht="14" x14ac:dyDescent="0.3">
      <c r="A300" t="s">
        <v>3343</v>
      </c>
      <c r="B300" t="s">
        <v>3344</v>
      </c>
      <c r="C300" t="s">
        <v>3345</v>
      </c>
      <c r="E300" t="s">
        <v>379</v>
      </c>
      <c r="F300" s="561">
        <v>27848</v>
      </c>
      <c r="G300" s="561">
        <v>60254</v>
      </c>
      <c r="H300" s="561">
        <v>12860</v>
      </c>
      <c r="I300" s="561">
        <v>43771</v>
      </c>
      <c r="J300" s="561">
        <v>2448</v>
      </c>
      <c r="K300" s="561">
        <v>20515</v>
      </c>
      <c r="L300" s="561">
        <v>167696</v>
      </c>
      <c r="M300" s="561">
        <v>2739</v>
      </c>
      <c r="N300" s="561">
        <v>118</v>
      </c>
      <c r="O300" s="561">
        <v>404</v>
      </c>
      <c r="P300" s="561">
        <v>0</v>
      </c>
      <c r="Q300" s="561">
        <v>996</v>
      </c>
      <c r="R300" s="561">
        <v>213</v>
      </c>
      <c r="S300" s="561">
        <v>530</v>
      </c>
      <c r="T300" s="561">
        <v>757</v>
      </c>
      <c r="U300" s="561">
        <v>693</v>
      </c>
      <c r="V300" s="561">
        <v>2998</v>
      </c>
      <c r="W300" s="561">
        <v>0</v>
      </c>
      <c r="X300" s="561">
        <v>216</v>
      </c>
      <c r="Y300" s="561">
        <v>2147</v>
      </c>
      <c r="Z300" s="561">
        <v>1304</v>
      </c>
      <c r="AA300" s="561">
        <v>123</v>
      </c>
      <c r="AB300" s="561">
        <v>-359</v>
      </c>
      <c r="AC300" s="561">
        <v>0</v>
      </c>
      <c r="AD300" s="561">
        <v>0</v>
      </c>
      <c r="AE300" s="561">
        <v>0</v>
      </c>
      <c r="AF300" s="561">
        <v>0</v>
      </c>
      <c r="AG300" s="561">
        <v>0</v>
      </c>
      <c r="AH300" s="561">
        <v>47</v>
      </c>
      <c r="AI300" s="561">
        <v>0</v>
      </c>
      <c r="AJ300" s="561">
        <v>10187</v>
      </c>
      <c r="AK300" s="561">
        <v>461</v>
      </c>
      <c r="AL300" s="561">
        <v>0</v>
      </c>
      <c r="AM300" s="561">
        <v>0</v>
      </c>
      <c r="AN300" s="561">
        <v>0</v>
      </c>
      <c r="AO300" s="561">
        <v>0</v>
      </c>
      <c r="AP300" s="561">
        <v>0</v>
      </c>
      <c r="AQ300" s="561">
        <v>0</v>
      </c>
      <c r="AR300" s="561">
        <v>0</v>
      </c>
      <c r="AS300" s="561">
        <v>884</v>
      </c>
      <c r="AT300" s="561">
        <v>0</v>
      </c>
      <c r="AU300" s="561">
        <v>0</v>
      </c>
      <c r="AV300" s="561">
        <v>0</v>
      </c>
      <c r="AW300" s="561">
        <v>0</v>
      </c>
      <c r="AX300" s="561">
        <v>0</v>
      </c>
      <c r="AY300" s="561">
        <v>38580.28</v>
      </c>
      <c r="AZ300" s="561">
        <v>472</v>
      </c>
      <c r="BA300" s="561">
        <v>9939</v>
      </c>
      <c r="BB300" s="561">
        <v>1052</v>
      </c>
      <c r="BC300" s="561">
        <v>25570</v>
      </c>
      <c r="BD300" s="561">
        <v>723</v>
      </c>
      <c r="BE300" s="561">
        <v>35</v>
      </c>
      <c r="BF300" s="561">
        <v>76371.28</v>
      </c>
      <c r="BG300" s="561">
        <v>7477</v>
      </c>
      <c r="BH300" s="561">
        <v>7683</v>
      </c>
      <c r="BI300" s="561">
        <v>24851</v>
      </c>
      <c r="BJ300" s="561">
        <v>482</v>
      </c>
      <c r="BK300" s="561">
        <v>766</v>
      </c>
      <c r="BL300" s="561">
        <v>543</v>
      </c>
      <c r="BM300" s="561">
        <v>7832</v>
      </c>
      <c r="BN300" s="561">
        <v>25954</v>
      </c>
      <c r="BO300" s="561">
        <v>5812</v>
      </c>
      <c r="BP300" s="561">
        <v>4435</v>
      </c>
      <c r="BQ300" s="561">
        <v>3235</v>
      </c>
      <c r="BR300" s="561">
        <v>0</v>
      </c>
      <c r="BS300" s="561">
        <v>0</v>
      </c>
      <c r="BT300" s="561">
        <v>303</v>
      </c>
      <c r="BU300" s="561">
        <v>0</v>
      </c>
      <c r="BV300" s="561">
        <v>318</v>
      </c>
      <c r="BW300" s="561">
        <v>11279</v>
      </c>
      <c r="BX300" s="561">
        <v>2816</v>
      </c>
      <c r="BY300" s="561">
        <v>5100</v>
      </c>
      <c r="BZ300" s="561">
        <v>101409</v>
      </c>
      <c r="CA300" s="561">
        <v>2321</v>
      </c>
      <c r="CB300" s="561">
        <v>1197</v>
      </c>
      <c r="CC300" s="561">
        <v>668</v>
      </c>
      <c r="CD300" s="561">
        <v>201</v>
      </c>
      <c r="CE300" s="561">
        <v>447</v>
      </c>
      <c r="CF300" s="561">
        <v>199</v>
      </c>
      <c r="CG300" s="561">
        <v>67</v>
      </c>
      <c r="CH300" s="561">
        <v>187</v>
      </c>
      <c r="CI300" s="561">
        <v>311</v>
      </c>
      <c r="CJ300" s="561">
        <v>103</v>
      </c>
      <c r="CK300" s="561">
        <v>360</v>
      </c>
      <c r="CL300" s="561">
        <v>241</v>
      </c>
      <c r="CM300" s="561">
        <v>1254</v>
      </c>
      <c r="CN300" s="561">
        <v>1112</v>
      </c>
      <c r="CO300" s="561">
        <v>479</v>
      </c>
      <c r="CP300" s="561">
        <v>195</v>
      </c>
      <c r="CQ300" s="561">
        <v>290</v>
      </c>
      <c r="CR300" s="561">
        <v>557</v>
      </c>
      <c r="CS300" s="561">
        <v>50</v>
      </c>
      <c r="CT300" s="561">
        <v>779</v>
      </c>
      <c r="CU300" s="561">
        <v>3539</v>
      </c>
      <c r="CV300" s="561">
        <v>304</v>
      </c>
      <c r="CW300" s="561">
        <v>0</v>
      </c>
      <c r="CX300" s="561">
        <v>493</v>
      </c>
      <c r="CY300" s="561">
        <v>1910</v>
      </c>
      <c r="CZ300" s="561">
        <v>14943</v>
      </c>
      <c r="DA300" s="561">
        <v>30</v>
      </c>
      <c r="DB300" s="561">
        <v>0</v>
      </c>
      <c r="DC300" s="561">
        <v>0</v>
      </c>
      <c r="DD300" s="561">
        <v>0</v>
      </c>
      <c r="DE300" s="561">
        <v>0</v>
      </c>
      <c r="DF300" s="561">
        <v>0</v>
      </c>
      <c r="DG300" s="561">
        <v>0</v>
      </c>
      <c r="DH300" s="561">
        <v>1149</v>
      </c>
      <c r="DI300" s="561">
        <v>0</v>
      </c>
      <c r="DJ300" s="561">
        <v>42</v>
      </c>
      <c r="DK300" s="561">
        <v>0</v>
      </c>
      <c r="DL300" s="561">
        <v>0</v>
      </c>
      <c r="DM300" s="561">
        <v>0</v>
      </c>
      <c r="DN300" s="561">
        <v>0</v>
      </c>
      <c r="DO300" s="561">
        <v>226</v>
      </c>
      <c r="DP300" s="561">
        <v>0</v>
      </c>
      <c r="DQ300" s="561">
        <v>0</v>
      </c>
      <c r="DR300" s="561">
        <v>0</v>
      </c>
      <c r="DS300" s="561">
        <v>2385</v>
      </c>
      <c r="DT300" s="561">
        <v>1262</v>
      </c>
      <c r="DU300" s="561">
        <v>3873</v>
      </c>
      <c r="DV300" s="561">
        <v>0</v>
      </c>
      <c r="DW300" s="561">
        <v>0</v>
      </c>
      <c r="DX300" s="561">
        <v>2193</v>
      </c>
      <c r="DY300" s="561">
        <v>706</v>
      </c>
      <c r="DZ300" s="561">
        <v>0</v>
      </c>
      <c r="EA300" s="561">
        <v>0</v>
      </c>
      <c r="EB300" s="561">
        <v>0</v>
      </c>
      <c r="EC300" s="561">
        <v>7963</v>
      </c>
      <c r="ED300" s="561">
        <v>88</v>
      </c>
      <c r="EE300" s="561">
        <v>49454.54</v>
      </c>
      <c r="EF300" s="561">
        <v>1257.96</v>
      </c>
      <c r="EG300" s="561">
        <v>3476.22</v>
      </c>
      <c r="EH300" s="561">
        <v>117.34</v>
      </c>
      <c r="EI300" s="561">
        <v>0</v>
      </c>
      <c r="EJ300" s="561">
        <v>0</v>
      </c>
      <c r="EK300" s="561">
        <v>518.19000000000005</v>
      </c>
      <c r="EL300" s="561">
        <v>0</v>
      </c>
      <c r="EM300" s="561">
        <v>0</v>
      </c>
      <c r="EN300" s="561">
        <v>13971.64</v>
      </c>
      <c r="EO300" s="561">
        <v>13517.73</v>
      </c>
      <c r="EP300" s="561">
        <v>10.91</v>
      </c>
      <c r="EQ300" s="561">
        <v>2397.86</v>
      </c>
      <c r="ER300" s="561">
        <v>7205.24</v>
      </c>
      <c r="ES300" s="561" t="s">
        <v>4565</v>
      </c>
      <c r="ET300" s="561">
        <v>620.97</v>
      </c>
      <c r="EU300" s="561">
        <v>3145.34</v>
      </c>
      <c r="EV300" s="561">
        <v>71.06</v>
      </c>
      <c r="EW300" s="561">
        <v>0</v>
      </c>
      <c r="EX300" s="561">
        <v>12000</v>
      </c>
      <c r="EY300" s="561">
        <v>762.24</v>
      </c>
      <c r="EZ300" s="561">
        <v>1121.26</v>
      </c>
      <c r="FA300" s="561">
        <v>9289</v>
      </c>
      <c r="FB300" s="561">
        <v>0</v>
      </c>
      <c r="FC300" s="561">
        <v>0</v>
      </c>
      <c r="FD300" s="561">
        <v>0</v>
      </c>
      <c r="FE300" s="561">
        <v>0</v>
      </c>
      <c r="FF300" s="561">
        <v>1020</v>
      </c>
      <c r="FG300" s="561">
        <v>0</v>
      </c>
      <c r="FH300" s="561">
        <v>0</v>
      </c>
      <c r="FI300" s="561">
        <v>79</v>
      </c>
      <c r="FJ300" s="561">
        <v>287</v>
      </c>
      <c r="FK300" s="561">
        <v>251</v>
      </c>
      <c r="FL300" s="561">
        <v>-8</v>
      </c>
      <c r="FM300" s="561">
        <v>0</v>
      </c>
      <c r="FN300" s="561">
        <v>3344</v>
      </c>
      <c r="FO300" s="561">
        <v>4973</v>
      </c>
      <c r="FP300" s="561">
        <v>131</v>
      </c>
      <c r="FQ300" s="561">
        <v>-1953</v>
      </c>
      <c r="FR300" s="561">
        <v>503</v>
      </c>
      <c r="FS300" s="561">
        <v>0</v>
      </c>
      <c r="FT300" s="561">
        <v>738</v>
      </c>
      <c r="FU300" s="561">
        <v>688</v>
      </c>
      <c r="FV300" s="561">
        <v>50</v>
      </c>
      <c r="FW300" s="561">
        <v>0</v>
      </c>
      <c r="FX300" s="561">
        <v>0</v>
      </c>
      <c r="FY300" s="561">
        <v>0</v>
      </c>
      <c r="FZ300" s="561">
        <v>0</v>
      </c>
      <c r="GA300" s="561">
        <v>6</v>
      </c>
      <c r="GB300" s="561">
        <v>71</v>
      </c>
      <c r="GC300" s="561">
        <v>218</v>
      </c>
      <c r="GD300" s="561">
        <v>150</v>
      </c>
      <c r="GE300" s="561">
        <v>-18</v>
      </c>
      <c r="GF300" s="561">
        <v>119</v>
      </c>
      <c r="GG300" s="561">
        <v>834</v>
      </c>
      <c r="GH300" s="561">
        <v>0</v>
      </c>
      <c r="GI300" s="561">
        <v>0</v>
      </c>
      <c r="GJ300" s="561">
        <v>0</v>
      </c>
      <c r="GK300" s="561">
        <v>0</v>
      </c>
      <c r="GL300" s="561">
        <v>6984</v>
      </c>
      <c r="GM300" s="561">
        <v>3548</v>
      </c>
      <c r="GN300" s="561">
        <v>6181</v>
      </c>
      <c r="GO300" s="561">
        <v>0</v>
      </c>
      <c r="GP300" s="561">
        <v>5010</v>
      </c>
      <c r="GQ300" s="561">
        <v>0</v>
      </c>
      <c r="GR300" s="561">
        <v>571</v>
      </c>
      <c r="GS300" s="561">
        <v>23700</v>
      </c>
      <c r="GT300" s="561">
        <v>159</v>
      </c>
      <c r="GU300" s="561">
        <v>388</v>
      </c>
      <c r="GV300" s="561">
        <v>1161</v>
      </c>
      <c r="GW300" s="561">
        <v>0</v>
      </c>
      <c r="GX300" s="561">
        <v>522</v>
      </c>
      <c r="GY300" s="561">
        <v>851</v>
      </c>
      <c r="GZ300" s="561">
        <v>-3829</v>
      </c>
      <c r="HA300" s="561">
        <v>0</v>
      </c>
      <c r="HB300" s="561">
        <v>363</v>
      </c>
      <c r="HC300" s="561">
        <v>869</v>
      </c>
      <c r="HD300" s="561">
        <v>325</v>
      </c>
      <c r="HE300" s="561">
        <v>403</v>
      </c>
      <c r="HF300" s="561">
        <v>28998</v>
      </c>
      <c r="HG300" s="561">
        <v>0</v>
      </c>
      <c r="HH300" s="561">
        <v>0</v>
      </c>
      <c r="HI300" s="561">
        <v>0</v>
      </c>
      <c r="HJ300" s="561">
        <v>0</v>
      </c>
      <c r="HK300" s="561">
        <v>0</v>
      </c>
      <c r="HL300" s="561">
        <v>0</v>
      </c>
      <c r="HM300" s="561">
        <v>0</v>
      </c>
      <c r="HN300" s="561">
        <v>0</v>
      </c>
      <c r="HO300" s="561">
        <v>3521</v>
      </c>
      <c r="HP300" s="561">
        <v>1440</v>
      </c>
      <c r="HQ300" s="561">
        <v>0</v>
      </c>
      <c r="HR300" s="561">
        <v>0</v>
      </c>
      <c r="HS300" s="561">
        <v>326</v>
      </c>
      <c r="HT300" s="561">
        <v>0</v>
      </c>
      <c r="HU300" s="561">
        <v>0</v>
      </c>
      <c r="HV300" s="561">
        <v>352</v>
      </c>
      <c r="HW300" s="561">
        <v>324</v>
      </c>
      <c r="HX300" s="561">
        <v>345</v>
      </c>
      <c r="HY300" s="561">
        <v>403</v>
      </c>
      <c r="HZ300" s="561">
        <v>-203</v>
      </c>
      <c r="IA300" s="561">
        <v>-2</v>
      </c>
      <c r="IB300" s="561">
        <v>0</v>
      </c>
      <c r="IC300" s="561">
        <v>840</v>
      </c>
      <c r="ID300" s="561">
        <v>0</v>
      </c>
      <c r="IE300" s="561">
        <v>-634</v>
      </c>
      <c r="IF300" s="561">
        <v>1630</v>
      </c>
      <c r="IG300" s="561">
        <v>0</v>
      </c>
      <c r="IH300" s="561">
        <v>551</v>
      </c>
      <c r="II300" s="561">
        <v>8893</v>
      </c>
      <c r="IJ300" s="561">
        <v>65</v>
      </c>
      <c r="IK300" s="561">
        <v>25</v>
      </c>
      <c r="IL300" s="561">
        <v>0</v>
      </c>
      <c r="IM300" s="561">
        <v>0</v>
      </c>
      <c r="IN300" s="561">
        <v>0</v>
      </c>
      <c r="IO300" s="561">
        <v>0</v>
      </c>
      <c r="IP300" s="561">
        <v>46</v>
      </c>
      <c r="IQ300" s="561">
        <v>46</v>
      </c>
      <c r="IR300" s="561">
        <v>167696</v>
      </c>
      <c r="IS300" s="561">
        <v>10187</v>
      </c>
      <c r="IT300" s="561">
        <v>76371.28</v>
      </c>
      <c r="IU300" s="561">
        <v>101409</v>
      </c>
      <c r="IV300" s="561">
        <v>14943</v>
      </c>
      <c r="IW300" s="561">
        <v>7963</v>
      </c>
      <c r="IX300" s="561">
        <v>4973</v>
      </c>
      <c r="IY300" s="561">
        <v>23700</v>
      </c>
      <c r="IZ300" s="561">
        <v>325</v>
      </c>
      <c r="JA300" s="561">
        <v>0</v>
      </c>
      <c r="JB300" s="561">
        <v>0</v>
      </c>
      <c r="JC300" s="561">
        <v>8893</v>
      </c>
      <c r="JD300" s="561">
        <v>46</v>
      </c>
      <c r="JE300" s="561">
        <v>416506.28</v>
      </c>
      <c r="JF300" s="561">
        <v>16458</v>
      </c>
      <c r="JG300" s="561">
        <v>740</v>
      </c>
      <c r="JH300" s="561">
        <v>14117</v>
      </c>
      <c r="JI300" s="561">
        <v>239</v>
      </c>
      <c r="JJ300" s="561">
        <v>0</v>
      </c>
      <c r="JK300" s="561">
        <v>1693</v>
      </c>
      <c r="JL300" s="561">
        <v>8796</v>
      </c>
      <c r="JM300" s="561">
        <v>0</v>
      </c>
      <c r="JN300" s="561">
        <v>0</v>
      </c>
      <c r="JO300" s="561">
        <v>431</v>
      </c>
      <c r="JP300" s="561">
        <v>-82.31</v>
      </c>
      <c r="JQ300" s="561">
        <v>-27.13</v>
      </c>
      <c r="JR300" s="561">
        <v>0</v>
      </c>
      <c r="JS300" s="561">
        <v>0</v>
      </c>
      <c r="JT300" s="561">
        <v>-494</v>
      </c>
      <c r="JU300" s="561">
        <v>0</v>
      </c>
      <c r="JV300" s="561">
        <v>458376.84</v>
      </c>
      <c r="JW300" s="561">
        <v>96</v>
      </c>
      <c r="JX300" s="561">
        <v>3</v>
      </c>
      <c r="JY300" s="561">
        <v>0</v>
      </c>
      <c r="JZ300" s="561">
        <v>0</v>
      </c>
      <c r="KA300" s="561">
        <v>-15615</v>
      </c>
      <c r="KB300" s="561">
        <v>1701</v>
      </c>
      <c r="KC300" s="561">
        <v>12836</v>
      </c>
      <c r="KD300" s="561">
        <v>185</v>
      </c>
      <c r="KE300" s="561">
        <v>12264</v>
      </c>
      <c r="KF300" s="561">
        <v>-6519</v>
      </c>
      <c r="KG300" s="561">
        <v>463327.84</v>
      </c>
      <c r="KH300" s="561">
        <v>-11510</v>
      </c>
      <c r="KI300" s="561">
        <v>0</v>
      </c>
      <c r="KJ300" s="561">
        <v>17</v>
      </c>
      <c r="KK300" s="561">
        <v>0</v>
      </c>
      <c r="KL300" s="561">
        <v>-31553</v>
      </c>
      <c r="KM300" s="561">
        <v>0</v>
      </c>
      <c r="KN300" s="561">
        <v>-26</v>
      </c>
      <c r="KO300" s="561">
        <v>0</v>
      </c>
      <c r="KP300" s="561">
        <v>0</v>
      </c>
      <c r="KQ300" s="561">
        <v>-7328</v>
      </c>
      <c r="KR300" s="561">
        <v>412927.84</v>
      </c>
      <c r="KS300" s="561">
        <v>0</v>
      </c>
      <c r="KT300" s="561">
        <v>-194882</v>
      </c>
      <c r="KU300" s="561">
        <v>218045.84</v>
      </c>
      <c r="KV300" s="561">
        <v>0</v>
      </c>
      <c r="KW300" s="561">
        <v>-2070</v>
      </c>
      <c r="KX300" s="561">
        <v>0</v>
      </c>
      <c r="KY300" s="561">
        <v>-47</v>
      </c>
      <c r="KZ300" s="561">
        <v>-17910</v>
      </c>
      <c r="LA300" s="561">
        <v>2750</v>
      </c>
      <c r="LB300" s="561">
        <v>0</v>
      </c>
      <c r="LC300" s="561">
        <v>0</v>
      </c>
      <c r="LD300" s="561">
        <v>-64965</v>
      </c>
      <c r="LE300" s="561">
        <v>-931</v>
      </c>
      <c r="LF300" s="561">
        <v>0</v>
      </c>
      <c r="LG300" s="561">
        <v>134872</v>
      </c>
      <c r="LH300" s="561">
        <v>11003</v>
      </c>
      <c r="LI300" s="561">
        <v>-20740</v>
      </c>
      <c r="LJ300" s="561">
        <v>0</v>
      </c>
      <c r="LK300" s="561">
        <v>927</v>
      </c>
      <c r="LL300" s="561">
        <v>63140</v>
      </c>
      <c r="LM300" s="561">
        <v>13498</v>
      </c>
      <c r="LN300" s="561">
        <v>8933</v>
      </c>
      <c r="LO300" s="561">
        <v>-28068</v>
      </c>
      <c r="LP300" s="561">
        <v>0</v>
      </c>
      <c r="LQ300" s="561">
        <v>880</v>
      </c>
      <c r="LR300" s="561">
        <v>45230</v>
      </c>
      <c r="LS300" s="561">
        <v>16248</v>
      </c>
      <c r="LT300" s="561">
        <v>0</v>
      </c>
      <c r="LU300" s="561">
        <v>45453</v>
      </c>
      <c r="LV300" s="561">
        <v>2353</v>
      </c>
      <c r="LW300" s="561">
        <v>3462</v>
      </c>
      <c r="LX300" s="561">
        <v>-17344</v>
      </c>
      <c r="LY300" s="561">
        <v>10078</v>
      </c>
      <c r="LZ300" s="561">
        <v>44330</v>
      </c>
      <c r="MA300" s="561">
        <v>0</v>
      </c>
      <c r="MB300" s="561">
        <v>0</v>
      </c>
      <c r="MC300" s="561">
        <v>54824.25</v>
      </c>
      <c r="MD300" s="561">
        <v>53702.99</v>
      </c>
      <c r="ME300" s="561">
        <v>1121.26</v>
      </c>
      <c r="MF300" s="561">
        <v>9289</v>
      </c>
      <c r="MG300" s="561">
        <v>10410.26</v>
      </c>
      <c r="MH300" s="561">
        <v>5925</v>
      </c>
      <c r="MI300" s="561">
        <v>7552</v>
      </c>
      <c r="MJ300" s="561">
        <v>13477</v>
      </c>
      <c r="MK300" s="561">
        <v>0</v>
      </c>
      <c r="ML300" s="561">
        <v>93</v>
      </c>
      <c r="MM300" s="561">
        <v>38248</v>
      </c>
      <c r="MN300" s="561">
        <v>6134</v>
      </c>
      <c r="MO300" s="561">
        <v>755</v>
      </c>
      <c r="MP300" s="561">
        <v>0</v>
      </c>
      <c r="MQ300" s="561">
        <v>167696</v>
      </c>
      <c r="MR300" s="561">
        <v>10187</v>
      </c>
      <c r="MS300" s="561">
        <v>76371.28</v>
      </c>
      <c r="MT300" s="561">
        <v>101409</v>
      </c>
      <c r="MU300" s="561">
        <v>14943</v>
      </c>
      <c r="MV300" s="561">
        <v>7963</v>
      </c>
      <c r="MW300" s="561">
        <v>4973</v>
      </c>
      <c r="MX300" s="561">
        <v>23700</v>
      </c>
      <c r="MY300" s="561">
        <v>325</v>
      </c>
      <c r="MZ300" s="561">
        <v>0</v>
      </c>
      <c r="NA300" s="561">
        <v>0</v>
      </c>
      <c r="NB300" s="561">
        <v>8893</v>
      </c>
      <c r="NC300" s="561">
        <v>46</v>
      </c>
      <c r="ND300" s="561">
        <v>416506.28</v>
      </c>
      <c r="NE300" s="561">
        <v>0</v>
      </c>
      <c r="NF300" s="561">
        <v>0</v>
      </c>
      <c r="NG300" s="561">
        <v>0</v>
      </c>
      <c r="NH300" s="561">
        <v>0</v>
      </c>
      <c r="NI300" s="561">
        <v>0</v>
      </c>
      <c r="NJ300" s="561">
        <v>0</v>
      </c>
      <c r="NK300" s="561">
        <v>0</v>
      </c>
      <c r="NL300" s="561">
        <v>0</v>
      </c>
      <c r="NM300" s="561">
        <v>0</v>
      </c>
      <c r="NN300" s="561">
        <v>0</v>
      </c>
      <c r="NO300" s="561">
        <v>0</v>
      </c>
      <c r="NP300" s="561">
        <v>0</v>
      </c>
      <c r="NQ300" s="561">
        <v>0</v>
      </c>
      <c r="NR300" s="561">
        <v>0</v>
      </c>
      <c r="NS300" s="561">
        <v>0</v>
      </c>
      <c r="NT300" s="561">
        <v>0</v>
      </c>
      <c r="NU300" s="561">
        <v>0</v>
      </c>
      <c r="NV300" s="561">
        <v>0</v>
      </c>
      <c r="NW300" s="561">
        <v>-82.31</v>
      </c>
      <c r="NX300" s="561">
        <v>0</v>
      </c>
      <c r="NY300" s="561">
        <v>-82.31</v>
      </c>
      <c r="NZ300" s="561">
        <v>0</v>
      </c>
      <c r="OA300" s="561">
        <v>0</v>
      </c>
      <c r="OB300" s="561">
        <v>0</v>
      </c>
      <c r="OC300" s="561">
        <v>0</v>
      </c>
      <c r="OD300" s="561">
        <v>0</v>
      </c>
      <c r="OE300" s="561">
        <v>0</v>
      </c>
      <c r="OF300" s="561">
        <v>0</v>
      </c>
      <c r="OG300" s="561">
        <v>0</v>
      </c>
      <c r="OH300" s="561">
        <v>0</v>
      </c>
      <c r="OI300" s="561">
        <v>0</v>
      </c>
      <c r="OJ300" s="561">
        <v>0</v>
      </c>
      <c r="OK300" s="561">
        <v>0</v>
      </c>
      <c r="OL300" s="561">
        <v>0</v>
      </c>
      <c r="OM300" s="561">
        <v>0</v>
      </c>
      <c r="ON300" s="561">
        <v>0</v>
      </c>
      <c r="OO300" s="561">
        <v>0</v>
      </c>
      <c r="OP300" s="561">
        <v>-27.13</v>
      </c>
      <c r="OQ300" s="561">
        <v>0</v>
      </c>
      <c r="OR300" s="561">
        <v>0</v>
      </c>
      <c r="OS300" s="561">
        <v>0</v>
      </c>
      <c r="OT300" s="561">
        <v>0</v>
      </c>
      <c r="OU300" s="561">
        <v>0</v>
      </c>
      <c r="OV300" s="561">
        <v>677</v>
      </c>
      <c r="OW300" s="561">
        <v>0</v>
      </c>
      <c r="OX300" s="561">
        <v>-27.13</v>
      </c>
      <c r="OY300" s="561">
        <v>0</v>
      </c>
      <c r="OZ300" s="561">
        <v>0</v>
      </c>
      <c r="PA300" s="561">
        <v>0</v>
      </c>
      <c r="PB300" s="561">
        <v>0</v>
      </c>
      <c r="PC300" s="561">
        <v>0</v>
      </c>
      <c r="PD300" s="561">
        <v>0</v>
      </c>
      <c r="PE300" s="561">
        <v>0</v>
      </c>
      <c r="PF300" s="561">
        <v>0</v>
      </c>
      <c r="PG300" s="561">
        <v>0</v>
      </c>
      <c r="PH300" s="561">
        <v>0</v>
      </c>
      <c r="PI300" s="561">
        <v>0</v>
      </c>
      <c r="PJ300" s="561">
        <v>0</v>
      </c>
    </row>
    <row r="301" spans="1:426" ht="14" x14ac:dyDescent="0.3">
      <c r="A301" t="s">
        <v>3346</v>
      </c>
      <c r="B301" t="s">
        <v>3347</v>
      </c>
      <c r="C301" t="s">
        <v>3348</v>
      </c>
      <c r="E301" t="s">
        <v>385</v>
      </c>
      <c r="F301" s="561">
        <v>64296</v>
      </c>
      <c r="G301" s="561">
        <v>126180</v>
      </c>
      <c r="H301" s="561">
        <v>20724</v>
      </c>
      <c r="I301" s="561">
        <v>83601</v>
      </c>
      <c r="J301" s="561">
        <v>6198</v>
      </c>
      <c r="K301" s="561">
        <v>37076</v>
      </c>
      <c r="L301" s="561">
        <v>338075</v>
      </c>
      <c r="M301" s="561">
        <v>2208</v>
      </c>
      <c r="N301" s="561">
        <v>8872</v>
      </c>
      <c r="O301" s="561">
        <v>-2337</v>
      </c>
      <c r="P301" s="561">
        <v>-5</v>
      </c>
      <c r="Q301" s="561">
        <v>0</v>
      </c>
      <c r="R301" s="561">
        <v>1074</v>
      </c>
      <c r="S301" s="561">
        <v>0</v>
      </c>
      <c r="T301" s="561">
        <v>6486</v>
      </c>
      <c r="U301" s="561">
        <v>1669</v>
      </c>
      <c r="V301" s="561">
        <v>6006</v>
      </c>
      <c r="W301" s="561">
        <v>0</v>
      </c>
      <c r="X301" s="561">
        <v>-133</v>
      </c>
      <c r="Y301" s="561">
        <v>4649</v>
      </c>
      <c r="Z301" s="561">
        <v>177</v>
      </c>
      <c r="AA301" s="561">
        <v>-1510</v>
      </c>
      <c r="AB301" s="561">
        <v>-5773</v>
      </c>
      <c r="AC301" s="561">
        <v>3127</v>
      </c>
      <c r="AD301" s="561">
        <v>173</v>
      </c>
      <c r="AE301" s="561">
        <v>5214</v>
      </c>
      <c r="AF301" s="561">
        <v>0</v>
      </c>
      <c r="AG301" s="561">
        <v>103</v>
      </c>
      <c r="AH301" s="561">
        <v>5217</v>
      </c>
      <c r="AI301" s="561">
        <v>0</v>
      </c>
      <c r="AJ301" s="561">
        <v>33009</v>
      </c>
      <c r="AK301" s="561">
        <v>712</v>
      </c>
      <c r="AL301" s="561">
        <v>0</v>
      </c>
      <c r="AM301" s="561">
        <v>0</v>
      </c>
      <c r="AN301" s="561">
        <v>0</v>
      </c>
      <c r="AO301" s="561">
        <v>0</v>
      </c>
      <c r="AP301" s="561">
        <v>0</v>
      </c>
      <c r="AQ301" s="561">
        <v>0</v>
      </c>
      <c r="AR301" s="561">
        <v>0</v>
      </c>
      <c r="AS301" s="561">
        <v>1682</v>
      </c>
      <c r="AT301" s="561">
        <v>741</v>
      </c>
      <c r="AU301" s="561">
        <v>0</v>
      </c>
      <c r="AV301" s="561">
        <v>0</v>
      </c>
      <c r="AW301" s="561">
        <v>0</v>
      </c>
      <c r="AX301" s="561">
        <v>311</v>
      </c>
      <c r="AY301" s="561">
        <v>91551</v>
      </c>
      <c r="AZ301" s="561">
        <v>0</v>
      </c>
      <c r="BA301" s="561">
        <v>17169</v>
      </c>
      <c r="BB301" s="561">
        <v>1680</v>
      </c>
      <c r="BC301" s="561">
        <v>37194</v>
      </c>
      <c r="BD301" s="561">
        <v>-803</v>
      </c>
      <c r="BE301" s="561">
        <v>627</v>
      </c>
      <c r="BF301" s="561">
        <v>147729</v>
      </c>
      <c r="BG301" s="561">
        <v>2957</v>
      </c>
      <c r="BH301" s="561">
        <v>29538</v>
      </c>
      <c r="BI301" s="561">
        <v>93536</v>
      </c>
      <c r="BJ301" s="561">
        <v>2337</v>
      </c>
      <c r="BK301" s="561">
        <v>1912</v>
      </c>
      <c r="BL301" s="561">
        <v>0</v>
      </c>
      <c r="BM301" s="561">
        <v>0</v>
      </c>
      <c r="BN301" s="561">
        <v>88850</v>
      </c>
      <c r="BO301" s="561">
        <v>10981</v>
      </c>
      <c r="BP301" s="561">
        <v>17710</v>
      </c>
      <c r="BQ301" s="561">
        <v>15704</v>
      </c>
      <c r="BR301" s="561">
        <v>0</v>
      </c>
      <c r="BS301" s="561">
        <v>209</v>
      </c>
      <c r="BT301" s="561">
        <v>0</v>
      </c>
      <c r="BU301" s="561">
        <v>229</v>
      </c>
      <c r="BV301" s="561">
        <v>3861</v>
      </c>
      <c r="BW301" s="561">
        <v>17523</v>
      </c>
      <c r="BX301" s="561">
        <v>0</v>
      </c>
      <c r="BY301" s="561">
        <v>5647</v>
      </c>
      <c r="BZ301" s="561">
        <v>288037</v>
      </c>
      <c r="CA301" s="561">
        <v>3441</v>
      </c>
      <c r="CB301" s="561">
        <v>3298.88</v>
      </c>
      <c r="CC301" s="561">
        <v>1139.7</v>
      </c>
      <c r="CD301" s="561">
        <v>142.71</v>
      </c>
      <c r="CE301" s="561">
        <v>590.15</v>
      </c>
      <c r="CF301" s="561">
        <v>76.430000000000007</v>
      </c>
      <c r="CG301" s="561">
        <v>223.93</v>
      </c>
      <c r="CH301" s="561">
        <v>257.10000000000002</v>
      </c>
      <c r="CI301" s="561">
        <v>151.28</v>
      </c>
      <c r="CJ301" s="561">
        <v>141.9</v>
      </c>
      <c r="CK301" s="561">
        <v>809.22</v>
      </c>
      <c r="CL301" s="561">
        <v>704.11</v>
      </c>
      <c r="CM301" s="561">
        <v>3381.76</v>
      </c>
      <c r="CN301" s="561">
        <v>2962.21</v>
      </c>
      <c r="CO301" s="561">
        <v>527.52</v>
      </c>
      <c r="CP301" s="561">
        <v>328.47</v>
      </c>
      <c r="CQ301" s="561">
        <v>288.93</v>
      </c>
      <c r="CR301" s="561">
        <v>1219.28</v>
      </c>
      <c r="CS301" s="561">
        <v>476.23</v>
      </c>
      <c r="CT301" s="561">
        <v>52.92</v>
      </c>
      <c r="CU301" s="561">
        <v>8783.27</v>
      </c>
      <c r="CV301" s="561">
        <v>0</v>
      </c>
      <c r="CW301" s="561">
        <v>0</v>
      </c>
      <c r="CX301" s="561">
        <v>445.52</v>
      </c>
      <c r="CY301" s="561">
        <v>1719.18</v>
      </c>
      <c r="CZ301" s="561">
        <v>27720.7</v>
      </c>
      <c r="DA301" s="561">
        <v>56</v>
      </c>
      <c r="DB301" s="561">
        <v>0</v>
      </c>
      <c r="DC301" s="561">
        <v>0</v>
      </c>
      <c r="DD301" s="561">
        <v>0</v>
      </c>
      <c r="DE301" s="561">
        <v>0</v>
      </c>
      <c r="DF301" s="561">
        <v>0</v>
      </c>
      <c r="DG301" s="561">
        <v>0</v>
      </c>
      <c r="DH301" s="561">
        <v>869</v>
      </c>
      <c r="DI301" s="561">
        <v>0</v>
      </c>
      <c r="DJ301" s="561">
        <v>562</v>
      </c>
      <c r="DK301" s="561">
        <v>0</v>
      </c>
      <c r="DL301" s="561">
        <v>499</v>
      </c>
      <c r="DM301" s="561">
        <v>75</v>
      </c>
      <c r="DN301" s="561">
        <v>1542</v>
      </c>
      <c r="DO301" s="561">
        <v>3273</v>
      </c>
      <c r="DP301" s="561">
        <v>43</v>
      </c>
      <c r="DQ301" s="561">
        <v>0</v>
      </c>
      <c r="DR301" s="561">
        <v>206</v>
      </c>
      <c r="DS301" s="561">
        <v>5722</v>
      </c>
      <c r="DT301" s="561">
        <v>1730</v>
      </c>
      <c r="DU301" s="561">
        <v>13090</v>
      </c>
      <c r="DV301" s="561">
        <v>-122</v>
      </c>
      <c r="DW301" s="561">
        <v>0</v>
      </c>
      <c r="DX301" s="561">
        <v>0</v>
      </c>
      <c r="DY301" s="561">
        <v>3063</v>
      </c>
      <c r="DZ301" s="561">
        <v>72</v>
      </c>
      <c r="EA301" s="561">
        <v>4125</v>
      </c>
      <c r="EB301" s="561">
        <v>963</v>
      </c>
      <c r="EC301" s="561">
        <v>22622</v>
      </c>
      <c r="ED301" s="561">
        <v>496</v>
      </c>
      <c r="EE301" s="561">
        <v>50356</v>
      </c>
      <c r="EF301" s="561">
        <v>1271</v>
      </c>
      <c r="EG301" s="561">
        <v>3876</v>
      </c>
      <c r="EH301" s="561">
        <v>1466</v>
      </c>
      <c r="EI301" s="561">
        <v>33</v>
      </c>
      <c r="EJ301" s="561">
        <v>0</v>
      </c>
      <c r="EK301" s="561">
        <v>197</v>
      </c>
      <c r="EL301" s="561">
        <v>0</v>
      </c>
      <c r="EM301" s="561">
        <v>-9</v>
      </c>
      <c r="EN301" s="561">
        <v>14283</v>
      </c>
      <c r="EO301" s="561">
        <v>10141</v>
      </c>
      <c r="EP301" s="561">
        <v>1390</v>
      </c>
      <c r="EQ301" s="561">
        <v>1995</v>
      </c>
      <c r="ER301" s="561">
        <v>5015</v>
      </c>
      <c r="ES301" s="561" t="s">
        <v>4565</v>
      </c>
      <c r="ET301" s="561">
        <v>0</v>
      </c>
      <c r="EU301" s="561">
        <v>0</v>
      </c>
      <c r="EV301" s="561">
        <v>0</v>
      </c>
      <c r="EW301" s="561">
        <v>4222</v>
      </c>
      <c r="EX301" s="561">
        <v>15550</v>
      </c>
      <c r="EY301" s="561">
        <v>-49</v>
      </c>
      <c r="EZ301" s="561">
        <v>4643</v>
      </c>
      <c r="FA301" s="561">
        <v>13376</v>
      </c>
      <c r="FB301" s="561">
        <v>0</v>
      </c>
      <c r="FC301" s="561">
        <v>0</v>
      </c>
      <c r="FD301" s="561">
        <v>2669</v>
      </c>
      <c r="FE301" s="561">
        <v>0</v>
      </c>
      <c r="FF301" s="561">
        <v>0</v>
      </c>
      <c r="FG301" s="561">
        <v>829</v>
      </c>
      <c r="FH301" s="561">
        <v>263</v>
      </c>
      <c r="FI301" s="561">
        <v>2</v>
      </c>
      <c r="FJ301" s="561">
        <v>0</v>
      </c>
      <c r="FK301" s="561">
        <v>8781</v>
      </c>
      <c r="FL301" s="561">
        <v>-1</v>
      </c>
      <c r="FM301" s="561">
        <v>-88</v>
      </c>
      <c r="FN301" s="561">
        <v>7738</v>
      </c>
      <c r="FO301" s="561">
        <v>20193</v>
      </c>
      <c r="FP301" s="561">
        <v>81</v>
      </c>
      <c r="FQ301" s="561">
        <v>-1252</v>
      </c>
      <c r="FR301" s="561">
        <v>1944</v>
      </c>
      <c r="FS301" s="561">
        <v>0</v>
      </c>
      <c r="FT301" s="561">
        <v>1105</v>
      </c>
      <c r="FU301" s="561">
        <v>2569</v>
      </c>
      <c r="FV301" s="561">
        <v>547</v>
      </c>
      <c r="FW301" s="561">
        <v>0</v>
      </c>
      <c r="FX301" s="561">
        <v>0</v>
      </c>
      <c r="FY301" s="561">
        <v>0</v>
      </c>
      <c r="FZ301" s="561">
        <v>1</v>
      </c>
      <c r="GA301" s="561">
        <v>242</v>
      </c>
      <c r="GB301" s="561">
        <v>1082</v>
      </c>
      <c r="GC301" s="561">
        <v>-1031</v>
      </c>
      <c r="GD301" s="561">
        <v>526</v>
      </c>
      <c r="GE301" s="561">
        <v>1291</v>
      </c>
      <c r="GF301" s="561">
        <v>472</v>
      </c>
      <c r="GG301" s="561">
        <v>3370</v>
      </c>
      <c r="GH301" s="561">
        <v>51</v>
      </c>
      <c r="GI301" s="561">
        <v>2295</v>
      </c>
      <c r="GJ301" s="561">
        <v>0</v>
      </c>
      <c r="GK301" s="561">
        <v>-384</v>
      </c>
      <c r="GL301" s="561">
        <v>6075</v>
      </c>
      <c r="GM301" s="561">
        <v>17850</v>
      </c>
      <c r="GN301" s="561">
        <v>27683</v>
      </c>
      <c r="GO301" s="561">
        <v>-8</v>
      </c>
      <c r="GP301" s="561">
        <v>6299</v>
      </c>
      <c r="GQ301" s="561">
        <v>0</v>
      </c>
      <c r="GR301" s="561">
        <v>720</v>
      </c>
      <c r="GS301" s="561">
        <v>71447</v>
      </c>
      <c r="GT301" s="561">
        <v>347</v>
      </c>
      <c r="GU301" s="561">
        <v>135</v>
      </c>
      <c r="GV301" s="561">
        <v>4588</v>
      </c>
      <c r="GW301" s="561">
        <v>0</v>
      </c>
      <c r="GX301" s="561">
        <v>3671</v>
      </c>
      <c r="GY301" s="561">
        <v>328</v>
      </c>
      <c r="GZ301" s="561">
        <v>13082</v>
      </c>
      <c r="HA301" s="561">
        <v>0</v>
      </c>
      <c r="HB301" s="561">
        <v>220</v>
      </c>
      <c r="HC301" s="561">
        <v>2083</v>
      </c>
      <c r="HD301" s="561">
        <v>24107</v>
      </c>
      <c r="HE301" s="561">
        <v>2395</v>
      </c>
      <c r="HF301" s="561">
        <v>115747</v>
      </c>
      <c r="HG301" s="561">
        <v>2823</v>
      </c>
      <c r="HH301" s="561">
        <v>0</v>
      </c>
      <c r="HI301" s="561">
        <v>0</v>
      </c>
      <c r="HJ301" s="561">
        <v>0</v>
      </c>
      <c r="HK301" s="561">
        <v>0</v>
      </c>
      <c r="HL301" s="561">
        <v>0</v>
      </c>
      <c r="HM301" s="561">
        <v>0</v>
      </c>
      <c r="HN301" s="561">
        <v>0</v>
      </c>
      <c r="HO301" s="561">
        <v>9236</v>
      </c>
      <c r="HP301" s="561">
        <v>4942</v>
      </c>
      <c r="HQ301" s="561">
        <v>0</v>
      </c>
      <c r="HR301" s="561">
        <v>0</v>
      </c>
      <c r="HS301" s="561">
        <v>16</v>
      </c>
      <c r="HT301" s="561">
        <v>118</v>
      </c>
      <c r="HU301" s="561">
        <v>0</v>
      </c>
      <c r="HV301" s="561">
        <v>581</v>
      </c>
      <c r="HW301" s="561">
        <v>363</v>
      </c>
      <c r="HX301" s="561">
        <v>3440</v>
      </c>
      <c r="HY301" s="561">
        <v>631</v>
      </c>
      <c r="HZ301" s="561">
        <v>-330</v>
      </c>
      <c r="IA301" s="561">
        <v>0</v>
      </c>
      <c r="IB301" s="561">
        <v>957</v>
      </c>
      <c r="IC301" s="561">
        <v>1520</v>
      </c>
      <c r="ID301" s="561">
        <v>30</v>
      </c>
      <c r="IE301" s="561">
        <v>7598</v>
      </c>
      <c r="IF301" s="561">
        <v>0</v>
      </c>
      <c r="IG301" s="561">
        <v>0</v>
      </c>
      <c r="IH301" s="561">
        <v>0</v>
      </c>
      <c r="II301" s="561">
        <v>29102</v>
      </c>
      <c r="IJ301" s="561">
        <v>549</v>
      </c>
      <c r="IK301" s="561">
        <v>4390</v>
      </c>
      <c r="IL301" s="561">
        <v>77928</v>
      </c>
      <c r="IM301" s="561">
        <v>0</v>
      </c>
      <c r="IN301" s="561">
        <v>0</v>
      </c>
      <c r="IO301" s="561">
        <v>6661</v>
      </c>
      <c r="IP301" s="561">
        <v>8049</v>
      </c>
      <c r="IQ301" s="561">
        <v>0</v>
      </c>
      <c r="IR301" s="561">
        <v>338075</v>
      </c>
      <c r="IS301" s="561">
        <v>33009</v>
      </c>
      <c r="IT301" s="561">
        <v>147729</v>
      </c>
      <c r="IU301" s="561">
        <v>288037</v>
      </c>
      <c r="IV301" s="561">
        <v>27720.7</v>
      </c>
      <c r="IW301" s="561">
        <v>22622</v>
      </c>
      <c r="IX301" s="561">
        <v>20193</v>
      </c>
      <c r="IY301" s="561">
        <v>71447</v>
      </c>
      <c r="IZ301" s="561">
        <v>24107</v>
      </c>
      <c r="JA301" s="561">
        <v>0</v>
      </c>
      <c r="JB301" s="561">
        <v>0</v>
      </c>
      <c r="JC301" s="561">
        <v>29102</v>
      </c>
      <c r="JD301" s="561">
        <v>8049</v>
      </c>
      <c r="JE301" s="561">
        <v>1010090.7</v>
      </c>
      <c r="JF301" s="561">
        <v>74951</v>
      </c>
      <c r="JG301" s="561">
        <v>920</v>
      </c>
      <c r="JH301" s="561">
        <v>14768</v>
      </c>
      <c r="JI301" s="561">
        <v>0</v>
      </c>
      <c r="JJ301" s="561">
        <v>0</v>
      </c>
      <c r="JK301" s="561">
        <v>33169</v>
      </c>
      <c r="JL301" s="561">
        <v>0</v>
      </c>
      <c r="JM301" s="561">
        <v>0</v>
      </c>
      <c r="JN301" s="561">
        <v>0</v>
      </c>
      <c r="JO301" s="561">
        <v>1218</v>
      </c>
      <c r="JP301" s="561">
        <v>-1897</v>
      </c>
      <c r="JQ301" s="561">
        <v>4911</v>
      </c>
      <c r="JR301" s="561">
        <v>0</v>
      </c>
      <c r="JS301" s="561">
        <v>0</v>
      </c>
      <c r="JT301" s="561">
        <v>0</v>
      </c>
      <c r="JU301" s="561">
        <v>0</v>
      </c>
      <c r="JV301" s="561">
        <v>1138130.7</v>
      </c>
      <c r="JW301" s="561">
        <v>780</v>
      </c>
      <c r="JX301" s="561">
        <v>3971</v>
      </c>
      <c r="JY301" s="561">
        <v>0</v>
      </c>
      <c r="JZ301" s="561">
        <v>-23176</v>
      </c>
      <c r="KA301" s="561">
        <v>-36884</v>
      </c>
      <c r="KB301" s="561">
        <v>1302</v>
      </c>
      <c r="KC301" s="561">
        <v>24647</v>
      </c>
      <c r="KD301" s="561">
        <v>0</v>
      </c>
      <c r="KE301" s="561">
        <v>30093</v>
      </c>
      <c r="KF301" s="561">
        <v>0</v>
      </c>
      <c r="KG301" s="561">
        <v>1138863.7</v>
      </c>
      <c r="KH301" s="561">
        <v>-26995</v>
      </c>
      <c r="KI301" s="561">
        <v>0</v>
      </c>
      <c r="KJ301" s="561">
        <v>0</v>
      </c>
      <c r="KK301" s="561">
        <v>0</v>
      </c>
      <c r="KL301" s="561">
        <v>-104099</v>
      </c>
      <c r="KM301" s="561">
        <v>0</v>
      </c>
      <c r="KN301" s="561">
        <v>0</v>
      </c>
      <c r="KO301" s="561">
        <v>0</v>
      </c>
      <c r="KP301" s="561">
        <v>0</v>
      </c>
      <c r="KQ301" s="561">
        <v>-28082</v>
      </c>
      <c r="KR301" s="561">
        <v>979687.7</v>
      </c>
      <c r="KS301" s="561">
        <v>0</v>
      </c>
      <c r="KT301" s="561">
        <v>-439785</v>
      </c>
      <c r="KU301" s="561">
        <v>539902.69999999995</v>
      </c>
      <c r="KV301" s="561">
        <v>0</v>
      </c>
      <c r="KW301" s="561">
        <v>-5296</v>
      </c>
      <c r="KX301" s="561">
        <v>0</v>
      </c>
      <c r="KY301" s="561">
        <v>1100</v>
      </c>
      <c r="KZ301" s="561">
        <v>-6300</v>
      </c>
      <c r="LA301" s="561">
        <v>8976</v>
      </c>
      <c r="LB301" s="561">
        <v>-8458</v>
      </c>
      <c r="LC301" s="561">
        <v>0</v>
      </c>
      <c r="LD301" s="561">
        <v>-129455</v>
      </c>
      <c r="LE301" s="561">
        <v>-6230</v>
      </c>
      <c r="LF301" s="561">
        <v>0</v>
      </c>
      <c r="LG301" s="561">
        <v>394240</v>
      </c>
      <c r="LH301" s="561">
        <v>21224</v>
      </c>
      <c r="LI301" s="561">
        <v>-33911</v>
      </c>
      <c r="LJ301" s="561">
        <v>0</v>
      </c>
      <c r="LK301" s="561">
        <v>2370</v>
      </c>
      <c r="LL301" s="561">
        <v>115352</v>
      </c>
      <c r="LM301" s="561">
        <v>54224</v>
      </c>
      <c r="LN301" s="561">
        <v>15928</v>
      </c>
      <c r="LO301" s="561">
        <v>-61993</v>
      </c>
      <c r="LP301" s="561">
        <v>0</v>
      </c>
      <c r="LQ301" s="561">
        <v>3470</v>
      </c>
      <c r="LR301" s="561">
        <v>109052</v>
      </c>
      <c r="LS301" s="561">
        <v>63200</v>
      </c>
      <c r="LT301" s="561">
        <v>0</v>
      </c>
      <c r="LU301" s="561">
        <v>0</v>
      </c>
      <c r="LV301" s="561">
        <v>0</v>
      </c>
      <c r="LW301" s="561">
        <v>0</v>
      </c>
      <c r="LX301" s="561">
        <v>0</v>
      </c>
      <c r="LY301" s="561">
        <v>41574</v>
      </c>
      <c r="LZ301" s="561">
        <v>41574</v>
      </c>
      <c r="MA301" s="561">
        <v>0</v>
      </c>
      <c r="MB301" s="561">
        <v>0</v>
      </c>
      <c r="MC301" s="561">
        <v>57190</v>
      </c>
      <c r="MD301" s="561">
        <v>52547</v>
      </c>
      <c r="ME301" s="561">
        <v>4643</v>
      </c>
      <c r="MF301" s="561">
        <v>13376</v>
      </c>
      <c r="MG301" s="561">
        <v>18019</v>
      </c>
      <c r="MH301" s="561">
        <v>17476</v>
      </c>
      <c r="MI301" s="561">
        <v>19339</v>
      </c>
      <c r="MJ301" s="561">
        <v>36815</v>
      </c>
      <c r="MK301" s="561">
        <v>0</v>
      </c>
      <c r="ML301" s="561">
        <v>14863</v>
      </c>
      <c r="MM301" s="561">
        <v>19981</v>
      </c>
      <c r="MN301" s="561">
        <v>5289</v>
      </c>
      <c r="MO301" s="561">
        <v>54007</v>
      </c>
      <c r="MP301" s="561">
        <v>14912</v>
      </c>
      <c r="MQ301" s="561">
        <v>338075</v>
      </c>
      <c r="MR301" s="561">
        <v>33009</v>
      </c>
      <c r="MS301" s="561">
        <v>147729</v>
      </c>
      <c r="MT301" s="561">
        <v>288037</v>
      </c>
      <c r="MU301" s="561">
        <v>27720.7</v>
      </c>
      <c r="MV301" s="561">
        <v>22622</v>
      </c>
      <c r="MW301" s="561">
        <v>20193</v>
      </c>
      <c r="MX301" s="561">
        <v>71447</v>
      </c>
      <c r="MY301" s="561">
        <v>24107</v>
      </c>
      <c r="MZ301" s="561">
        <v>0</v>
      </c>
      <c r="NA301" s="561">
        <v>0</v>
      </c>
      <c r="NB301" s="561">
        <v>29102</v>
      </c>
      <c r="NC301" s="561">
        <v>8049</v>
      </c>
      <c r="ND301" s="561">
        <v>1010090.7</v>
      </c>
      <c r="NE301" s="561">
        <v>0</v>
      </c>
      <c r="NF301" s="561">
        <v>0</v>
      </c>
      <c r="NG301" s="561">
        <v>-87</v>
      </c>
      <c r="NH301" s="561">
        <v>0</v>
      </c>
      <c r="NI301" s="561">
        <v>0</v>
      </c>
      <c r="NJ301" s="561">
        <v>0</v>
      </c>
      <c r="NK301" s="561">
        <v>0</v>
      </c>
      <c r="NL301" s="561">
        <v>0</v>
      </c>
      <c r="NM301" s="561">
        <v>0</v>
      </c>
      <c r="NN301" s="561">
        <v>0</v>
      </c>
      <c r="NO301" s="561">
        <v>0</v>
      </c>
      <c r="NP301" s="561">
        <v>0</v>
      </c>
      <c r="NQ301" s="561">
        <v>0</v>
      </c>
      <c r="NR301" s="561">
        <v>0</v>
      </c>
      <c r="NS301" s="561">
        <v>0</v>
      </c>
      <c r="NT301" s="561">
        <v>0</v>
      </c>
      <c r="NU301" s="561">
        <v>0</v>
      </c>
      <c r="NV301" s="561">
        <v>0</v>
      </c>
      <c r="NW301" s="561">
        <v>-1897</v>
      </c>
      <c r="NX301" s="561">
        <v>0</v>
      </c>
      <c r="NY301" s="561">
        <v>-1897</v>
      </c>
      <c r="NZ301" s="561">
        <v>0</v>
      </c>
      <c r="OA301" s="561">
        <v>0</v>
      </c>
      <c r="OB301" s="561">
        <v>0</v>
      </c>
      <c r="OC301" s="561">
        <v>0</v>
      </c>
      <c r="OD301" s="561">
        <v>0</v>
      </c>
      <c r="OE301" s="561">
        <v>0</v>
      </c>
      <c r="OF301" s="561">
        <v>0</v>
      </c>
      <c r="OG301" s="561">
        <v>0</v>
      </c>
      <c r="OH301" s="561">
        <v>0</v>
      </c>
      <c r="OI301" s="561">
        <v>0</v>
      </c>
      <c r="OJ301" s="561">
        <v>0</v>
      </c>
      <c r="OK301" s="561">
        <v>0</v>
      </c>
      <c r="OL301" s="561">
        <v>0</v>
      </c>
      <c r="OM301" s="561">
        <v>0</v>
      </c>
      <c r="ON301" s="561">
        <v>0</v>
      </c>
      <c r="OO301" s="561">
        <v>0</v>
      </c>
      <c r="OP301" s="561">
        <v>0</v>
      </c>
      <c r="OQ301" s="561">
        <v>0</v>
      </c>
      <c r="OR301" s="561">
        <v>0</v>
      </c>
      <c r="OS301" s="561">
        <v>0</v>
      </c>
      <c r="OT301" s="561">
        <v>0</v>
      </c>
      <c r="OU301" s="561">
        <v>0</v>
      </c>
      <c r="OV301" s="561">
        <v>-19</v>
      </c>
      <c r="OW301" s="561">
        <v>0</v>
      </c>
      <c r="OX301" s="561">
        <v>4911</v>
      </c>
      <c r="OY301" s="561">
        <v>0</v>
      </c>
      <c r="OZ301" s="561">
        <v>0</v>
      </c>
      <c r="PA301" s="561">
        <v>0</v>
      </c>
      <c r="PB301" s="561">
        <v>0</v>
      </c>
      <c r="PC301" s="561">
        <v>0</v>
      </c>
      <c r="PD301" s="561">
        <v>0</v>
      </c>
      <c r="PE301" s="561">
        <v>0</v>
      </c>
      <c r="PF301" s="561">
        <v>0</v>
      </c>
      <c r="PG301" s="561">
        <v>0</v>
      </c>
      <c r="PH301" s="561">
        <v>0</v>
      </c>
      <c r="PI301" s="561">
        <v>0</v>
      </c>
      <c r="PJ301" s="561">
        <v>0</v>
      </c>
    </row>
    <row r="302" spans="1:426" ht="14" x14ac:dyDescent="0.3">
      <c r="A302" t="s">
        <v>3349</v>
      </c>
      <c r="B302" t="s">
        <v>3350</v>
      </c>
      <c r="C302" t="s">
        <v>3351</v>
      </c>
      <c r="E302" t="s">
        <v>384</v>
      </c>
      <c r="F302" s="561">
        <v>0</v>
      </c>
      <c r="G302" s="561">
        <v>0</v>
      </c>
      <c r="H302" s="561">
        <v>0</v>
      </c>
      <c r="I302" s="561">
        <v>0</v>
      </c>
      <c r="J302" s="561">
        <v>0</v>
      </c>
      <c r="K302" s="561">
        <v>0</v>
      </c>
      <c r="L302" s="561">
        <v>0</v>
      </c>
      <c r="M302" s="561">
        <v>0</v>
      </c>
      <c r="N302" s="561">
        <v>0</v>
      </c>
      <c r="O302" s="561">
        <v>1</v>
      </c>
      <c r="P302" s="561">
        <v>0</v>
      </c>
      <c r="Q302" s="561">
        <v>0</v>
      </c>
      <c r="R302" s="561">
        <v>0</v>
      </c>
      <c r="S302" s="561">
        <v>0</v>
      </c>
      <c r="T302" s="561">
        <v>0</v>
      </c>
      <c r="U302" s="561">
        <v>0</v>
      </c>
      <c r="V302" s="561">
        <v>0</v>
      </c>
      <c r="W302" s="561">
        <v>0</v>
      </c>
      <c r="X302" s="561">
        <v>0</v>
      </c>
      <c r="Y302" s="561">
        <v>0</v>
      </c>
      <c r="Z302" s="561">
        <v>0</v>
      </c>
      <c r="AA302" s="561">
        <v>0</v>
      </c>
      <c r="AB302" s="561">
        <v>0</v>
      </c>
      <c r="AC302" s="561">
        <v>0</v>
      </c>
      <c r="AD302" s="561">
        <v>0</v>
      </c>
      <c r="AE302" s="561">
        <v>0</v>
      </c>
      <c r="AF302" s="561">
        <v>0</v>
      </c>
      <c r="AG302" s="561">
        <v>0</v>
      </c>
      <c r="AH302" s="561">
        <v>0</v>
      </c>
      <c r="AI302" s="561">
        <v>0</v>
      </c>
      <c r="AJ302" s="561">
        <v>1</v>
      </c>
      <c r="AK302" s="561">
        <v>0</v>
      </c>
      <c r="AL302" s="561">
        <v>0</v>
      </c>
      <c r="AM302" s="561">
        <v>0</v>
      </c>
      <c r="AN302" s="561">
        <v>0</v>
      </c>
      <c r="AO302" s="561">
        <v>0</v>
      </c>
      <c r="AP302" s="561">
        <v>0</v>
      </c>
      <c r="AQ302" s="561">
        <v>0</v>
      </c>
      <c r="AR302" s="561">
        <v>0</v>
      </c>
      <c r="AS302" s="561">
        <v>0</v>
      </c>
      <c r="AT302" s="561">
        <v>0</v>
      </c>
      <c r="AU302" s="561">
        <v>0</v>
      </c>
      <c r="AV302" s="561">
        <v>0</v>
      </c>
      <c r="AW302" s="561">
        <v>0</v>
      </c>
      <c r="AX302" s="561">
        <v>0</v>
      </c>
      <c r="AY302" s="561">
        <v>0</v>
      </c>
      <c r="AZ302" s="561">
        <v>0</v>
      </c>
      <c r="BA302" s="561">
        <v>0</v>
      </c>
      <c r="BB302" s="561">
        <v>0</v>
      </c>
      <c r="BC302" s="561">
        <v>0</v>
      </c>
      <c r="BD302" s="561">
        <v>0</v>
      </c>
      <c r="BE302" s="561">
        <v>0</v>
      </c>
      <c r="BF302" s="561">
        <v>0</v>
      </c>
      <c r="BG302" s="561">
        <v>0</v>
      </c>
      <c r="BH302" s="561">
        <v>0</v>
      </c>
      <c r="BI302" s="561">
        <v>0</v>
      </c>
      <c r="BJ302" s="561">
        <v>0</v>
      </c>
      <c r="BK302" s="561">
        <v>126</v>
      </c>
      <c r="BL302" s="561">
        <v>0</v>
      </c>
      <c r="BM302" s="561">
        <v>0</v>
      </c>
      <c r="BN302" s="561">
        <v>0</v>
      </c>
      <c r="BO302" s="561">
        <v>0</v>
      </c>
      <c r="BP302" s="561">
        <v>0</v>
      </c>
      <c r="BQ302" s="561">
        <v>0</v>
      </c>
      <c r="BR302" s="561">
        <v>0</v>
      </c>
      <c r="BS302" s="561">
        <v>0</v>
      </c>
      <c r="BT302" s="561">
        <v>0</v>
      </c>
      <c r="BU302" s="561">
        <v>0</v>
      </c>
      <c r="BV302" s="561">
        <v>0</v>
      </c>
      <c r="BW302" s="561">
        <v>0</v>
      </c>
      <c r="BX302" s="561">
        <v>0</v>
      </c>
      <c r="BY302" s="561">
        <v>0</v>
      </c>
      <c r="BZ302" s="561">
        <v>126</v>
      </c>
      <c r="CA302" s="561">
        <v>0</v>
      </c>
      <c r="CB302" s="561">
        <v>0</v>
      </c>
      <c r="CC302" s="561">
        <v>0</v>
      </c>
      <c r="CD302" s="561">
        <v>0</v>
      </c>
      <c r="CE302" s="561">
        <v>0</v>
      </c>
      <c r="CF302" s="561">
        <v>0</v>
      </c>
      <c r="CG302" s="561">
        <v>0</v>
      </c>
      <c r="CH302" s="561">
        <v>0</v>
      </c>
      <c r="CI302" s="561">
        <v>0</v>
      </c>
      <c r="CJ302" s="561">
        <v>0</v>
      </c>
      <c r="CK302" s="561">
        <v>0</v>
      </c>
      <c r="CL302" s="561">
        <v>0</v>
      </c>
      <c r="CM302" s="561">
        <v>0</v>
      </c>
      <c r="CN302" s="561">
        <v>0</v>
      </c>
      <c r="CO302" s="561">
        <v>0</v>
      </c>
      <c r="CP302" s="561">
        <v>0</v>
      </c>
      <c r="CQ302" s="561">
        <v>0</v>
      </c>
      <c r="CR302" s="561">
        <v>0</v>
      </c>
      <c r="CS302" s="561">
        <v>0</v>
      </c>
      <c r="CT302" s="561">
        <v>0</v>
      </c>
      <c r="CU302" s="561">
        <v>0</v>
      </c>
      <c r="CV302" s="561">
        <v>0</v>
      </c>
      <c r="CW302" s="561">
        <v>0</v>
      </c>
      <c r="CX302" s="561">
        <v>0</v>
      </c>
      <c r="CY302" s="561">
        <v>0</v>
      </c>
      <c r="CZ302" s="561">
        <v>0</v>
      </c>
      <c r="DA302" s="561">
        <v>0</v>
      </c>
      <c r="DB302" s="561">
        <v>0</v>
      </c>
      <c r="DC302" s="561">
        <v>0</v>
      </c>
      <c r="DD302" s="561">
        <v>0</v>
      </c>
      <c r="DE302" s="561">
        <v>0</v>
      </c>
      <c r="DF302" s="561">
        <v>0</v>
      </c>
      <c r="DG302" s="561">
        <v>0</v>
      </c>
      <c r="DH302" s="561">
        <v>397</v>
      </c>
      <c r="DI302" s="561">
        <v>0</v>
      </c>
      <c r="DJ302" s="561">
        <v>8</v>
      </c>
      <c r="DK302" s="561">
        <v>0</v>
      </c>
      <c r="DL302" s="561">
        <v>0</v>
      </c>
      <c r="DM302" s="561">
        <v>443</v>
      </c>
      <c r="DN302" s="561">
        <v>46</v>
      </c>
      <c r="DO302" s="561">
        <v>98</v>
      </c>
      <c r="DP302" s="561">
        <v>0</v>
      </c>
      <c r="DQ302" s="561">
        <v>0</v>
      </c>
      <c r="DR302" s="561">
        <v>0</v>
      </c>
      <c r="DS302" s="561">
        <v>1501</v>
      </c>
      <c r="DT302" s="561">
        <v>0</v>
      </c>
      <c r="DU302" s="561">
        <v>2088</v>
      </c>
      <c r="DV302" s="561">
        <v>0</v>
      </c>
      <c r="DW302" s="561">
        <v>0</v>
      </c>
      <c r="DX302" s="561">
        <v>0</v>
      </c>
      <c r="DY302" s="561">
        <v>0</v>
      </c>
      <c r="DZ302" s="561">
        <v>89</v>
      </c>
      <c r="EA302" s="561">
        <v>250</v>
      </c>
      <c r="EB302" s="561">
        <v>220</v>
      </c>
      <c r="EC302" s="561">
        <v>3052</v>
      </c>
      <c r="ED302" s="561">
        <v>0</v>
      </c>
      <c r="EE302" s="561">
        <v>37897</v>
      </c>
      <c r="EF302" s="561">
        <v>493</v>
      </c>
      <c r="EG302" s="561">
        <v>1442</v>
      </c>
      <c r="EH302" s="561">
        <v>88</v>
      </c>
      <c r="EI302" s="561">
        <v>256</v>
      </c>
      <c r="EJ302" s="561">
        <v>921</v>
      </c>
      <c r="EK302" s="561">
        <v>458</v>
      </c>
      <c r="EL302" s="561">
        <v>0</v>
      </c>
      <c r="EM302" s="561">
        <v>0</v>
      </c>
      <c r="EN302" s="561">
        <v>8749</v>
      </c>
      <c r="EO302" s="561">
        <v>6561</v>
      </c>
      <c r="EP302" s="561">
        <v>1848</v>
      </c>
      <c r="EQ302" s="561">
        <v>503</v>
      </c>
      <c r="ER302" s="561">
        <v>7935</v>
      </c>
      <c r="ES302" s="561" t="s">
        <v>4565</v>
      </c>
      <c r="ET302" s="561">
        <v>1405</v>
      </c>
      <c r="EU302" s="561">
        <v>5633</v>
      </c>
      <c r="EV302" s="561">
        <v>32</v>
      </c>
      <c r="EW302" s="561">
        <v>0</v>
      </c>
      <c r="EX302" s="561">
        <v>7646</v>
      </c>
      <c r="EY302" s="561">
        <v>102</v>
      </c>
      <c r="EZ302" s="561">
        <v>1141</v>
      </c>
      <c r="FA302" s="561">
        <v>12488</v>
      </c>
      <c r="FB302" s="561">
        <v>0</v>
      </c>
      <c r="FC302" s="561">
        <v>0</v>
      </c>
      <c r="FD302" s="561">
        <v>0</v>
      </c>
      <c r="FE302" s="561">
        <v>0</v>
      </c>
      <c r="FF302" s="561">
        <v>0</v>
      </c>
      <c r="FG302" s="561">
        <v>67</v>
      </c>
      <c r="FH302" s="561">
        <v>0</v>
      </c>
      <c r="FI302" s="561">
        <v>164</v>
      </c>
      <c r="FJ302" s="561">
        <v>10</v>
      </c>
      <c r="FK302" s="561">
        <v>0</v>
      </c>
      <c r="FL302" s="561">
        <v>0</v>
      </c>
      <c r="FM302" s="561">
        <v>0</v>
      </c>
      <c r="FN302" s="561">
        <v>0</v>
      </c>
      <c r="FO302" s="561">
        <v>241</v>
      </c>
      <c r="FP302" s="561">
        <v>6</v>
      </c>
      <c r="FQ302" s="561">
        <v>5</v>
      </c>
      <c r="FR302" s="561">
        <v>0</v>
      </c>
      <c r="FS302" s="561">
        <v>2</v>
      </c>
      <c r="FT302" s="561">
        <v>313</v>
      </c>
      <c r="FU302" s="561">
        <v>661</v>
      </c>
      <c r="FV302" s="561">
        <v>210</v>
      </c>
      <c r="FW302" s="561">
        <v>140</v>
      </c>
      <c r="FX302" s="561">
        <v>0</v>
      </c>
      <c r="FY302" s="561">
        <v>0</v>
      </c>
      <c r="FZ302" s="561">
        <v>0</v>
      </c>
      <c r="GA302" s="561">
        <v>0</v>
      </c>
      <c r="GB302" s="561">
        <v>85</v>
      </c>
      <c r="GC302" s="561">
        <v>-255</v>
      </c>
      <c r="GD302" s="561">
        <v>85</v>
      </c>
      <c r="GE302" s="561">
        <v>37</v>
      </c>
      <c r="GF302" s="561">
        <v>0</v>
      </c>
      <c r="GG302" s="561">
        <v>40</v>
      </c>
      <c r="GH302" s="561">
        <v>345</v>
      </c>
      <c r="GI302" s="561">
        <v>0</v>
      </c>
      <c r="GJ302" s="561">
        <v>0</v>
      </c>
      <c r="GK302" s="561">
        <v>0</v>
      </c>
      <c r="GL302" s="561">
        <v>842</v>
      </c>
      <c r="GM302" s="561">
        <v>3502</v>
      </c>
      <c r="GN302" s="561">
        <v>0</v>
      </c>
      <c r="GO302" s="561">
        <v>-1234</v>
      </c>
      <c r="GP302" s="561">
        <v>3107</v>
      </c>
      <c r="GQ302" s="561">
        <v>740</v>
      </c>
      <c r="GR302" s="561">
        <v>0</v>
      </c>
      <c r="GS302" s="561">
        <v>8625</v>
      </c>
      <c r="GT302" s="561">
        <v>783</v>
      </c>
      <c r="GU302" s="561">
        <v>124</v>
      </c>
      <c r="GV302" s="561">
        <v>861</v>
      </c>
      <c r="GW302" s="561">
        <v>1056</v>
      </c>
      <c r="GX302" s="561">
        <v>2112</v>
      </c>
      <c r="GY302" s="561">
        <v>397</v>
      </c>
      <c r="GZ302" s="561">
        <v>519</v>
      </c>
      <c r="HA302" s="561">
        <v>0</v>
      </c>
      <c r="HB302" s="561">
        <v>0</v>
      </c>
      <c r="HC302" s="561">
        <v>1272</v>
      </c>
      <c r="HD302" s="561">
        <v>6341</v>
      </c>
      <c r="HE302" s="561">
        <v>912</v>
      </c>
      <c r="HF302" s="561">
        <v>15207</v>
      </c>
      <c r="HG302" s="561">
        <v>1701</v>
      </c>
      <c r="HH302" s="561">
        <v>0</v>
      </c>
      <c r="HI302" s="561">
        <v>0</v>
      </c>
      <c r="HJ302" s="561">
        <v>0</v>
      </c>
      <c r="HK302" s="561">
        <v>0</v>
      </c>
      <c r="HL302" s="561">
        <v>0</v>
      </c>
      <c r="HM302" s="561">
        <v>0</v>
      </c>
      <c r="HN302" s="561">
        <v>0</v>
      </c>
      <c r="HO302" s="561">
        <v>3308</v>
      </c>
      <c r="HP302" s="561">
        <v>990</v>
      </c>
      <c r="HQ302" s="561">
        <v>0</v>
      </c>
      <c r="HR302" s="561">
        <v>0</v>
      </c>
      <c r="HS302" s="561">
        <v>0</v>
      </c>
      <c r="HT302" s="561">
        <v>76</v>
      </c>
      <c r="HU302" s="561">
        <v>0</v>
      </c>
      <c r="HV302" s="561">
        <v>0</v>
      </c>
      <c r="HW302" s="561">
        <v>322</v>
      </c>
      <c r="HX302" s="561">
        <v>24</v>
      </c>
      <c r="HY302" s="561">
        <v>28</v>
      </c>
      <c r="HZ302" s="561">
        <v>-403</v>
      </c>
      <c r="IA302" s="561">
        <v>0</v>
      </c>
      <c r="IB302" s="561">
        <v>240</v>
      </c>
      <c r="IC302" s="561">
        <v>0</v>
      </c>
      <c r="ID302" s="561">
        <v>0</v>
      </c>
      <c r="IE302" s="561">
        <v>0</v>
      </c>
      <c r="IF302" s="561">
        <v>0</v>
      </c>
      <c r="IG302" s="561">
        <v>0</v>
      </c>
      <c r="IH302" s="561">
        <v>3744</v>
      </c>
      <c r="II302" s="561">
        <v>8329</v>
      </c>
      <c r="IJ302" s="561">
        <v>913</v>
      </c>
      <c r="IK302" s="561">
        <v>8563</v>
      </c>
      <c r="IL302" s="561">
        <v>0</v>
      </c>
      <c r="IM302" s="561">
        <v>0</v>
      </c>
      <c r="IN302" s="561">
        <v>0</v>
      </c>
      <c r="IO302" s="561">
        <v>136</v>
      </c>
      <c r="IP302" s="561">
        <v>0</v>
      </c>
      <c r="IQ302" s="561">
        <v>0</v>
      </c>
      <c r="IR302" s="561">
        <v>0</v>
      </c>
      <c r="IS302" s="561">
        <v>1</v>
      </c>
      <c r="IT302" s="561">
        <v>0</v>
      </c>
      <c r="IU302" s="561">
        <v>126</v>
      </c>
      <c r="IV302" s="561">
        <v>0</v>
      </c>
      <c r="IW302" s="561">
        <v>3052</v>
      </c>
      <c r="IX302" s="561">
        <v>241</v>
      </c>
      <c r="IY302" s="561">
        <v>8625</v>
      </c>
      <c r="IZ302" s="561">
        <v>6341</v>
      </c>
      <c r="JA302" s="561">
        <v>0</v>
      </c>
      <c r="JB302" s="561">
        <v>0</v>
      </c>
      <c r="JC302" s="561">
        <v>8329</v>
      </c>
      <c r="JD302" s="561">
        <v>0</v>
      </c>
      <c r="JE302" s="561">
        <v>26715</v>
      </c>
      <c r="JF302" s="561">
        <v>8663</v>
      </c>
      <c r="JG302" s="561">
        <v>1162</v>
      </c>
      <c r="JH302" s="561">
        <v>9685</v>
      </c>
      <c r="JI302" s="561">
        <v>0</v>
      </c>
      <c r="JJ302" s="561">
        <v>0</v>
      </c>
      <c r="JK302" s="561">
        <v>7555</v>
      </c>
      <c r="JL302" s="561">
        <v>0</v>
      </c>
      <c r="JM302" s="561">
        <v>0</v>
      </c>
      <c r="JN302" s="561">
        <v>0</v>
      </c>
      <c r="JO302" s="561">
        <v>600</v>
      </c>
      <c r="JP302" s="561">
        <v>0</v>
      </c>
      <c r="JQ302" s="561">
        <v>0</v>
      </c>
      <c r="JR302" s="561">
        <v>0</v>
      </c>
      <c r="JS302" s="561">
        <v>0</v>
      </c>
      <c r="JT302" s="561">
        <v>0</v>
      </c>
      <c r="JU302" s="561">
        <v>0</v>
      </c>
      <c r="JV302" s="561">
        <v>54380</v>
      </c>
      <c r="JW302" s="561">
        <v>254</v>
      </c>
      <c r="JX302" s="561">
        <v>1675</v>
      </c>
      <c r="JY302" s="561">
        <v>0</v>
      </c>
      <c r="JZ302" s="561">
        <v>0</v>
      </c>
      <c r="KA302" s="561">
        <v>0</v>
      </c>
      <c r="KB302" s="561">
        <v>75</v>
      </c>
      <c r="KC302" s="561">
        <v>1099</v>
      </c>
      <c r="KD302" s="561">
        <v>0</v>
      </c>
      <c r="KE302" s="561">
        <v>10587</v>
      </c>
      <c r="KF302" s="561">
        <v>-7014</v>
      </c>
      <c r="KG302" s="561">
        <v>61056</v>
      </c>
      <c r="KH302" s="561">
        <v>-9194</v>
      </c>
      <c r="KI302" s="561">
        <v>0</v>
      </c>
      <c r="KJ302" s="561">
        <v>0</v>
      </c>
      <c r="KK302" s="561">
        <v>0</v>
      </c>
      <c r="KL302" s="561">
        <v>-18913</v>
      </c>
      <c r="KM302" s="561">
        <v>0</v>
      </c>
      <c r="KN302" s="561">
        <v>0</v>
      </c>
      <c r="KO302" s="561">
        <v>0</v>
      </c>
      <c r="KP302" s="561">
        <v>0</v>
      </c>
      <c r="KQ302" s="561">
        <v>0</v>
      </c>
      <c r="KR302" s="561">
        <v>32949</v>
      </c>
      <c r="KS302" s="561">
        <v>0</v>
      </c>
      <c r="KT302" s="561">
        <v>-5894</v>
      </c>
      <c r="KU302" s="561">
        <v>27055</v>
      </c>
      <c r="KV302" s="561">
        <v>0</v>
      </c>
      <c r="KW302" s="561">
        <v>0</v>
      </c>
      <c r="KX302" s="561">
        <v>0</v>
      </c>
      <c r="KY302" s="561">
        <v>0</v>
      </c>
      <c r="KZ302" s="561">
        <v>3951</v>
      </c>
      <c r="LA302" s="561">
        <v>3923</v>
      </c>
      <c r="LB302" s="561">
        <v>-243</v>
      </c>
      <c r="LC302" s="561">
        <v>0</v>
      </c>
      <c r="LD302" s="561">
        <v>-15769</v>
      </c>
      <c r="LE302" s="561">
        <v>89</v>
      </c>
      <c r="LF302" s="561">
        <v>238</v>
      </c>
      <c r="LG302" s="561">
        <v>19244</v>
      </c>
      <c r="LH302" s="561">
        <v>0</v>
      </c>
      <c r="LI302" s="561">
        <v>0</v>
      </c>
      <c r="LJ302" s="561">
        <v>0</v>
      </c>
      <c r="LK302" s="561">
        <v>0</v>
      </c>
      <c r="LL302" s="561">
        <v>31363</v>
      </c>
      <c r="LM302" s="561">
        <v>19979</v>
      </c>
      <c r="LN302" s="561">
        <v>0</v>
      </c>
      <c r="LO302" s="561">
        <v>0</v>
      </c>
      <c r="LP302" s="561">
        <v>0</v>
      </c>
      <c r="LQ302" s="561">
        <v>0</v>
      </c>
      <c r="LR302" s="561">
        <v>35314</v>
      </c>
      <c r="LS302" s="561">
        <v>23902</v>
      </c>
      <c r="LT302" s="561">
        <v>0</v>
      </c>
      <c r="LU302" s="561">
        <v>10576</v>
      </c>
      <c r="LV302" s="561">
        <v>0</v>
      </c>
      <c r="LW302" s="561">
        <v>0</v>
      </c>
      <c r="LX302" s="561">
        <v>0</v>
      </c>
      <c r="LY302" s="561">
        <v>1041</v>
      </c>
      <c r="LZ302" s="561">
        <v>11617</v>
      </c>
      <c r="MA302" s="561">
        <v>0</v>
      </c>
      <c r="MB302" s="561">
        <v>0</v>
      </c>
      <c r="MC302" s="561">
        <v>41555</v>
      </c>
      <c r="MD302" s="561">
        <v>40414</v>
      </c>
      <c r="ME302" s="561">
        <v>1141</v>
      </c>
      <c r="MF302" s="561">
        <v>12488</v>
      </c>
      <c r="MG302" s="561">
        <v>13629</v>
      </c>
      <c r="MH302" s="561">
        <v>2999</v>
      </c>
      <c r="MI302" s="561">
        <v>5469</v>
      </c>
      <c r="MJ302" s="561">
        <v>8468</v>
      </c>
      <c r="MK302" s="561">
        <v>0</v>
      </c>
      <c r="ML302" s="561">
        <v>111</v>
      </c>
      <c r="MM302" s="561">
        <v>28947</v>
      </c>
      <c r="MN302" s="561">
        <v>912</v>
      </c>
      <c r="MO302" s="561">
        <v>5344</v>
      </c>
      <c r="MP302" s="561">
        <v>0</v>
      </c>
      <c r="MQ302" s="561">
        <v>0</v>
      </c>
      <c r="MR302" s="561">
        <v>1</v>
      </c>
      <c r="MS302" s="561">
        <v>0</v>
      </c>
      <c r="MT302" s="561">
        <v>126</v>
      </c>
      <c r="MU302" s="561">
        <v>0</v>
      </c>
      <c r="MV302" s="561">
        <v>3052</v>
      </c>
      <c r="MW302" s="561">
        <v>241</v>
      </c>
      <c r="MX302" s="561">
        <v>8625</v>
      </c>
      <c r="MY302" s="561">
        <v>6341</v>
      </c>
      <c r="MZ302" s="561">
        <v>0</v>
      </c>
      <c r="NA302" s="561">
        <v>0</v>
      </c>
      <c r="NB302" s="561">
        <v>8329</v>
      </c>
      <c r="NC302" s="561">
        <v>0</v>
      </c>
      <c r="ND302" s="561">
        <v>26715</v>
      </c>
      <c r="NE302" s="561">
        <v>0</v>
      </c>
      <c r="NF302" s="561">
        <v>0</v>
      </c>
      <c r="NG302" s="561">
        <v>0</v>
      </c>
      <c r="NH302" s="561">
        <v>0</v>
      </c>
      <c r="NI302" s="561">
        <v>0</v>
      </c>
      <c r="NJ302" s="561">
        <v>0</v>
      </c>
      <c r="NK302" s="561">
        <v>0</v>
      </c>
      <c r="NL302" s="561">
        <v>0</v>
      </c>
      <c r="NM302" s="561">
        <v>0</v>
      </c>
      <c r="NN302" s="561">
        <v>0</v>
      </c>
      <c r="NO302" s="561">
        <v>0</v>
      </c>
      <c r="NP302" s="561">
        <v>0</v>
      </c>
      <c r="NQ302" s="561">
        <v>0</v>
      </c>
      <c r="NR302" s="561">
        <v>0</v>
      </c>
      <c r="NS302" s="561">
        <v>0</v>
      </c>
      <c r="NT302" s="561">
        <v>0</v>
      </c>
      <c r="NU302" s="561">
        <v>-201</v>
      </c>
      <c r="NV302" s="561">
        <v>0</v>
      </c>
      <c r="NW302" s="561">
        <v>0</v>
      </c>
      <c r="NX302" s="561">
        <v>0</v>
      </c>
      <c r="NY302" s="561">
        <v>0</v>
      </c>
      <c r="NZ302" s="561">
        <v>0</v>
      </c>
      <c r="OA302" s="561">
        <v>0</v>
      </c>
      <c r="OB302" s="561">
        <v>0</v>
      </c>
      <c r="OC302" s="561">
        <v>0</v>
      </c>
      <c r="OD302" s="561">
        <v>0</v>
      </c>
      <c r="OE302" s="561">
        <v>0</v>
      </c>
      <c r="OF302" s="561">
        <v>0</v>
      </c>
      <c r="OG302" s="561">
        <v>0</v>
      </c>
      <c r="OH302" s="561">
        <v>0</v>
      </c>
      <c r="OI302" s="561">
        <v>0</v>
      </c>
      <c r="OJ302" s="561">
        <v>0</v>
      </c>
      <c r="OK302" s="561">
        <v>0</v>
      </c>
      <c r="OL302" s="561">
        <v>0</v>
      </c>
      <c r="OM302" s="561">
        <v>0</v>
      </c>
      <c r="ON302" s="561">
        <v>0</v>
      </c>
      <c r="OO302" s="561">
        <v>0</v>
      </c>
      <c r="OP302" s="561">
        <v>0</v>
      </c>
      <c r="OQ302" s="561">
        <v>0</v>
      </c>
      <c r="OR302" s="561">
        <v>0</v>
      </c>
      <c r="OS302" s="561">
        <v>0</v>
      </c>
      <c r="OT302" s="561">
        <v>0</v>
      </c>
      <c r="OU302" s="561">
        <v>0</v>
      </c>
      <c r="OV302" s="561">
        <v>7379</v>
      </c>
      <c r="OW302" s="561">
        <v>0</v>
      </c>
      <c r="OX302" s="561">
        <v>0</v>
      </c>
      <c r="OY302" s="561">
        <v>0</v>
      </c>
      <c r="OZ302" s="561">
        <v>0</v>
      </c>
      <c r="PA302" s="561">
        <v>0</v>
      </c>
      <c r="PB302" s="561">
        <v>0</v>
      </c>
      <c r="PC302" s="561">
        <v>0</v>
      </c>
      <c r="PD302" s="561">
        <v>0</v>
      </c>
      <c r="PE302" s="561">
        <v>0</v>
      </c>
      <c r="PF302" s="561">
        <v>0</v>
      </c>
      <c r="PG302" s="561">
        <v>0</v>
      </c>
      <c r="PH302" s="561">
        <v>0</v>
      </c>
      <c r="PI302" s="561">
        <v>0</v>
      </c>
      <c r="PJ302" s="561">
        <v>0</v>
      </c>
    </row>
    <row r="303" spans="1:426" ht="14" x14ac:dyDescent="0.3">
      <c r="A303" t="s">
        <v>3352</v>
      </c>
      <c r="B303" t="s">
        <v>3353</v>
      </c>
      <c r="C303" t="s">
        <v>3354</v>
      </c>
      <c r="E303" t="s">
        <v>384</v>
      </c>
      <c r="F303" s="561">
        <v>0</v>
      </c>
      <c r="G303" s="561">
        <v>0</v>
      </c>
      <c r="H303" s="561">
        <v>0</v>
      </c>
      <c r="I303" s="561">
        <v>0</v>
      </c>
      <c r="J303" s="561">
        <v>0</v>
      </c>
      <c r="K303" s="561">
        <v>0</v>
      </c>
      <c r="L303" s="561">
        <v>0</v>
      </c>
      <c r="M303" s="561">
        <v>0</v>
      </c>
      <c r="N303" s="561">
        <v>0</v>
      </c>
      <c r="O303" s="561">
        <v>0</v>
      </c>
      <c r="P303" s="561">
        <v>0</v>
      </c>
      <c r="Q303" s="561">
        <v>0</v>
      </c>
      <c r="R303" s="561">
        <v>0</v>
      </c>
      <c r="S303" s="561">
        <v>-34</v>
      </c>
      <c r="T303" s="561">
        <v>0</v>
      </c>
      <c r="U303" s="561">
        <v>0</v>
      </c>
      <c r="V303" s="561">
        <v>0</v>
      </c>
      <c r="W303" s="561">
        <v>0</v>
      </c>
      <c r="X303" s="561">
        <v>0</v>
      </c>
      <c r="Y303" s="561">
        <v>0</v>
      </c>
      <c r="Z303" s="561">
        <v>0</v>
      </c>
      <c r="AA303" s="561">
        <v>0</v>
      </c>
      <c r="AB303" s="561">
        <v>85</v>
      </c>
      <c r="AC303" s="561">
        <v>-13</v>
      </c>
      <c r="AD303" s="561">
        <v>0</v>
      </c>
      <c r="AE303" s="561">
        <v>0</v>
      </c>
      <c r="AF303" s="561">
        <v>0</v>
      </c>
      <c r="AG303" s="561">
        <v>0</v>
      </c>
      <c r="AH303" s="561">
        <v>25</v>
      </c>
      <c r="AI303" s="561">
        <v>0</v>
      </c>
      <c r="AJ303" s="561">
        <v>63</v>
      </c>
      <c r="AK303" s="561">
        <v>0</v>
      </c>
      <c r="AL303" s="561">
        <v>0</v>
      </c>
      <c r="AM303" s="561">
        <v>0</v>
      </c>
      <c r="AN303" s="561">
        <v>0</v>
      </c>
      <c r="AO303" s="561">
        <v>0</v>
      </c>
      <c r="AP303" s="561">
        <v>0</v>
      </c>
      <c r="AQ303" s="561">
        <v>0</v>
      </c>
      <c r="AR303" s="561">
        <v>0</v>
      </c>
      <c r="AS303" s="561">
        <v>0</v>
      </c>
      <c r="AT303" s="561">
        <v>0</v>
      </c>
      <c r="AU303" s="561">
        <v>0</v>
      </c>
      <c r="AV303" s="561">
        <v>0</v>
      </c>
      <c r="AW303" s="561">
        <v>0</v>
      </c>
      <c r="AX303" s="561">
        <v>0</v>
      </c>
      <c r="AY303" s="561">
        <v>0</v>
      </c>
      <c r="AZ303" s="561">
        <v>0</v>
      </c>
      <c r="BA303" s="561">
        <v>0</v>
      </c>
      <c r="BB303" s="561">
        <v>0</v>
      </c>
      <c r="BC303" s="561">
        <v>0</v>
      </c>
      <c r="BD303" s="561">
        <v>0</v>
      </c>
      <c r="BE303" s="561">
        <v>0</v>
      </c>
      <c r="BF303" s="561">
        <v>0</v>
      </c>
      <c r="BG303" s="561">
        <v>0</v>
      </c>
      <c r="BH303" s="561">
        <v>0</v>
      </c>
      <c r="BI303" s="561">
        <v>0</v>
      </c>
      <c r="BJ303" s="561">
        <v>0</v>
      </c>
      <c r="BK303" s="561">
        <v>0</v>
      </c>
      <c r="BL303" s="561">
        <v>0</v>
      </c>
      <c r="BM303" s="561">
        <v>0</v>
      </c>
      <c r="BN303" s="561">
        <v>0</v>
      </c>
      <c r="BO303" s="561">
        <v>0</v>
      </c>
      <c r="BP303" s="561">
        <v>0</v>
      </c>
      <c r="BQ303" s="561">
        <v>0</v>
      </c>
      <c r="BR303" s="561">
        <v>0</v>
      </c>
      <c r="BS303" s="561">
        <v>0</v>
      </c>
      <c r="BT303" s="561">
        <v>0</v>
      </c>
      <c r="BU303" s="561">
        <v>0</v>
      </c>
      <c r="BV303" s="561">
        <v>0</v>
      </c>
      <c r="BW303" s="561">
        <v>0</v>
      </c>
      <c r="BX303" s="561">
        <v>0</v>
      </c>
      <c r="BY303" s="561">
        <v>0</v>
      </c>
      <c r="BZ303" s="561">
        <v>0</v>
      </c>
      <c r="CA303" s="561">
        <v>0</v>
      </c>
      <c r="CB303" s="561">
        <v>0</v>
      </c>
      <c r="CC303" s="561">
        <v>0</v>
      </c>
      <c r="CD303" s="561">
        <v>0</v>
      </c>
      <c r="CE303" s="561">
        <v>0</v>
      </c>
      <c r="CF303" s="561">
        <v>0</v>
      </c>
      <c r="CG303" s="561">
        <v>0</v>
      </c>
      <c r="CH303" s="561">
        <v>0</v>
      </c>
      <c r="CI303" s="561">
        <v>0</v>
      </c>
      <c r="CJ303" s="561">
        <v>0</v>
      </c>
      <c r="CK303" s="561">
        <v>0</v>
      </c>
      <c r="CL303" s="561">
        <v>0</v>
      </c>
      <c r="CM303" s="561">
        <v>0</v>
      </c>
      <c r="CN303" s="561">
        <v>0</v>
      </c>
      <c r="CO303" s="561">
        <v>0</v>
      </c>
      <c r="CP303" s="561">
        <v>0</v>
      </c>
      <c r="CQ303" s="561">
        <v>0</v>
      </c>
      <c r="CR303" s="561">
        <v>0</v>
      </c>
      <c r="CS303" s="561">
        <v>0</v>
      </c>
      <c r="CT303" s="561">
        <v>0</v>
      </c>
      <c r="CU303" s="561">
        <v>0</v>
      </c>
      <c r="CV303" s="561">
        <v>0</v>
      </c>
      <c r="CW303" s="561">
        <v>0</v>
      </c>
      <c r="CX303" s="561">
        <v>0</v>
      </c>
      <c r="CY303" s="561">
        <v>0</v>
      </c>
      <c r="CZ303" s="561">
        <v>0</v>
      </c>
      <c r="DA303" s="561">
        <v>0</v>
      </c>
      <c r="DB303" s="561">
        <v>0</v>
      </c>
      <c r="DC303" s="561">
        <v>0</v>
      </c>
      <c r="DD303" s="561">
        <v>0</v>
      </c>
      <c r="DE303" s="561">
        <v>0</v>
      </c>
      <c r="DF303" s="561">
        <v>0</v>
      </c>
      <c r="DG303" s="561">
        <v>0</v>
      </c>
      <c r="DH303" s="561">
        <v>790</v>
      </c>
      <c r="DI303" s="561">
        <v>0</v>
      </c>
      <c r="DJ303" s="561">
        <v>134</v>
      </c>
      <c r="DK303" s="561">
        <v>0</v>
      </c>
      <c r="DL303" s="561">
        <v>0</v>
      </c>
      <c r="DM303" s="561">
        <v>0</v>
      </c>
      <c r="DN303" s="561">
        <v>0</v>
      </c>
      <c r="DO303" s="561">
        <v>9</v>
      </c>
      <c r="DP303" s="561">
        <v>0</v>
      </c>
      <c r="DQ303" s="561">
        <v>0</v>
      </c>
      <c r="DR303" s="561">
        <v>0</v>
      </c>
      <c r="DS303" s="561">
        <v>0</v>
      </c>
      <c r="DT303" s="561">
        <v>0</v>
      </c>
      <c r="DU303" s="561">
        <v>9</v>
      </c>
      <c r="DV303" s="561">
        <v>117</v>
      </c>
      <c r="DW303" s="561">
        <v>0</v>
      </c>
      <c r="DX303" s="561">
        <v>0</v>
      </c>
      <c r="DY303" s="561">
        <v>1031</v>
      </c>
      <c r="DZ303" s="561">
        <v>0</v>
      </c>
      <c r="EA303" s="561">
        <v>0</v>
      </c>
      <c r="EB303" s="561">
        <v>0</v>
      </c>
      <c r="EC303" s="561">
        <v>2081</v>
      </c>
      <c r="ED303" s="561">
        <v>28</v>
      </c>
      <c r="EE303" s="561">
        <v>14155</v>
      </c>
      <c r="EF303" s="561">
        <v>90</v>
      </c>
      <c r="EG303" s="561">
        <v>182</v>
      </c>
      <c r="EH303" s="561">
        <v>34</v>
      </c>
      <c r="EI303" s="561">
        <v>59</v>
      </c>
      <c r="EJ303" s="561">
        <v>766</v>
      </c>
      <c r="EK303" s="561">
        <v>161</v>
      </c>
      <c r="EL303" s="561">
        <v>0</v>
      </c>
      <c r="EM303" s="561">
        <v>1</v>
      </c>
      <c r="EN303" s="561">
        <v>5741</v>
      </c>
      <c r="EO303" s="561">
        <v>2824</v>
      </c>
      <c r="EP303" s="561">
        <v>1163</v>
      </c>
      <c r="EQ303" s="561">
        <v>104</v>
      </c>
      <c r="ER303" s="561">
        <v>1238</v>
      </c>
      <c r="ES303" s="561" t="s">
        <v>4565</v>
      </c>
      <c r="ET303" s="561">
        <v>4140</v>
      </c>
      <c r="EU303" s="561">
        <v>0</v>
      </c>
      <c r="EV303" s="561">
        <v>0</v>
      </c>
      <c r="EW303" s="561">
        <v>0</v>
      </c>
      <c r="EX303" s="561">
        <v>0</v>
      </c>
      <c r="EY303" s="561">
        <v>27</v>
      </c>
      <c r="EZ303" s="561">
        <v>211</v>
      </c>
      <c r="FA303" s="561">
        <v>3608</v>
      </c>
      <c r="FB303" s="561">
        <v>0</v>
      </c>
      <c r="FC303" s="561">
        <v>16</v>
      </c>
      <c r="FD303" s="561">
        <v>0</v>
      </c>
      <c r="FE303" s="561">
        <v>0</v>
      </c>
      <c r="FF303" s="561">
        <v>226</v>
      </c>
      <c r="FG303" s="561">
        <v>295</v>
      </c>
      <c r="FH303" s="561">
        <v>0</v>
      </c>
      <c r="FI303" s="561">
        <v>690</v>
      </c>
      <c r="FJ303" s="561">
        <v>1010</v>
      </c>
      <c r="FK303" s="561">
        <v>2993</v>
      </c>
      <c r="FL303" s="561">
        <v>1</v>
      </c>
      <c r="FM303" s="561">
        <v>113</v>
      </c>
      <c r="FN303" s="561">
        <v>0</v>
      </c>
      <c r="FO303" s="561">
        <v>5344</v>
      </c>
      <c r="FP303" s="561">
        <v>39</v>
      </c>
      <c r="FQ303" s="561">
        <v>77</v>
      </c>
      <c r="FR303" s="561">
        <v>0</v>
      </c>
      <c r="FS303" s="561">
        <v>0</v>
      </c>
      <c r="FT303" s="561">
        <v>220</v>
      </c>
      <c r="FU303" s="561">
        <v>610</v>
      </c>
      <c r="FV303" s="561">
        <v>140</v>
      </c>
      <c r="FW303" s="561">
        <v>0</v>
      </c>
      <c r="FX303" s="561">
        <v>0</v>
      </c>
      <c r="FY303" s="561">
        <v>0</v>
      </c>
      <c r="FZ303" s="561">
        <v>17</v>
      </c>
      <c r="GA303" s="561">
        <v>22</v>
      </c>
      <c r="GB303" s="561">
        <v>-1</v>
      </c>
      <c r="GC303" s="561">
        <v>280</v>
      </c>
      <c r="GD303" s="561">
        <v>308</v>
      </c>
      <c r="GE303" s="561">
        <v>246</v>
      </c>
      <c r="GF303" s="561">
        <v>0</v>
      </c>
      <c r="GG303" s="561">
        <v>91</v>
      </c>
      <c r="GH303" s="561">
        <v>0</v>
      </c>
      <c r="GI303" s="561">
        <v>0</v>
      </c>
      <c r="GJ303" s="561">
        <v>0</v>
      </c>
      <c r="GK303" s="561">
        <v>0</v>
      </c>
      <c r="GL303" s="561">
        <v>699</v>
      </c>
      <c r="GM303" s="561">
        <v>3937</v>
      </c>
      <c r="GN303" s="561">
        <v>-80</v>
      </c>
      <c r="GO303" s="561">
        <v>-72</v>
      </c>
      <c r="GP303" s="561">
        <v>1548</v>
      </c>
      <c r="GQ303" s="561">
        <v>0</v>
      </c>
      <c r="GR303" s="561">
        <v>0</v>
      </c>
      <c r="GS303" s="561">
        <v>8042</v>
      </c>
      <c r="GT303" s="561">
        <v>943</v>
      </c>
      <c r="GU303" s="561">
        <v>89</v>
      </c>
      <c r="GV303" s="561">
        <v>938</v>
      </c>
      <c r="GW303" s="561">
        <v>0</v>
      </c>
      <c r="GX303" s="561">
        <v>631</v>
      </c>
      <c r="GY303" s="561">
        <v>252</v>
      </c>
      <c r="GZ303" s="561">
        <v>482</v>
      </c>
      <c r="HA303" s="561">
        <v>0</v>
      </c>
      <c r="HB303" s="561">
        <v>0</v>
      </c>
      <c r="HC303" s="561">
        <v>28</v>
      </c>
      <c r="HD303" s="561">
        <v>2420</v>
      </c>
      <c r="HE303" s="561">
        <v>50</v>
      </c>
      <c r="HF303" s="561">
        <v>15806</v>
      </c>
      <c r="HG303" s="561">
        <v>1032</v>
      </c>
      <c r="HH303" s="561">
        <v>0</v>
      </c>
      <c r="HI303" s="561">
        <v>0</v>
      </c>
      <c r="HJ303" s="561">
        <v>0</v>
      </c>
      <c r="HK303" s="561">
        <v>0</v>
      </c>
      <c r="HL303" s="561">
        <v>0</v>
      </c>
      <c r="HM303" s="561">
        <v>0</v>
      </c>
      <c r="HN303" s="561">
        <v>0</v>
      </c>
      <c r="HO303" s="561">
        <v>999</v>
      </c>
      <c r="HP303" s="561">
        <v>356</v>
      </c>
      <c r="HQ303" s="561">
        <v>0</v>
      </c>
      <c r="HR303" s="561">
        <v>0</v>
      </c>
      <c r="HS303" s="561">
        <v>0</v>
      </c>
      <c r="HT303" s="561">
        <v>-73</v>
      </c>
      <c r="HU303" s="561">
        <v>0</v>
      </c>
      <c r="HV303" s="561">
        <v>0</v>
      </c>
      <c r="HW303" s="561">
        <v>44</v>
      </c>
      <c r="HX303" s="561">
        <v>316</v>
      </c>
      <c r="HY303" s="561">
        <v>18</v>
      </c>
      <c r="HZ303" s="561">
        <v>22</v>
      </c>
      <c r="IA303" s="561">
        <v>0</v>
      </c>
      <c r="IB303" s="561">
        <v>475</v>
      </c>
      <c r="IC303" s="561">
        <v>0</v>
      </c>
      <c r="ID303" s="561">
        <v>0</v>
      </c>
      <c r="IE303" s="561">
        <v>158</v>
      </c>
      <c r="IF303" s="561">
        <v>0</v>
      </c>
      <c r="IG303" s="561">
        <v>0</v>
      </c>
      <c r="IH303" s="561">
        <v>0</v>
      </c>
      <c r="II303" s="561">
        <v>2315</v>
      </c>
      <c r="IJ303" s="561">
        <v>412</v>
      </c>
      <c r="IK303" s="561">
        <v>0</v>
      </c>
      <c r="IL303" s="561">
        <v>6641</v>
      </c>
      <c r="IM303" s="561">
        <v>0</v>
      </c>
      <c r="IN303" s="561">
        <v>1316</v>
      </c>
      <c r="IO303" s="561">
        <v>93</v>
      </c>
      <c r="IP303" s="561">
        <v>0</v>
      </c>
      <c r="IQ303" s="561">
        <v>0</v>
      </c>
      <c r="IR303" s="561">
        <v>0</v>
      </c>
      <c r="IS303" s="561">
        <v>63</v>
      </c>
      <c r="IT303" s="561">
        <v>0</v>
      </c>
      <c r="IU303" s="561">
        <v>0</v>
      </c>
      <c r="IV303" s="561">
        <v>0</v>
      </c>
      <c r="IW303" s="561">
        <v>2081</v>
      </c>
      <c r="IX303" s="561">
        <v>5344</v>
      </c>
      <c r="IY303" s="561">
        <v>8042</v>
      </c>
      <c r="IZ303" s="561">
        <v>2420</v>
      </c>
      <c r="JA303" s="561">
        <v>0</v>
      </c>
      <c r="JB303" s="561">
        <v>0</v>
      </c>
      <c r="JC303" s="561">
        <v>2315</v>
      </c>
      <c r="JD303" s="561">
        <v>0</v>
      </c>
      <c r="JE303" s="561">
        <v>20265</v>
      </c>
      <c r="JF303" s="561">
        <v>6638</v>
      </c>
      <c r="JG303" s="561">
        <v>4405</v>
      </c>
      <c r="JH303" s="561">
        <v>0</v>
      </c>
      <c r="JI303" s="561">
        <v>0</v>
      </c>
      <c r="JJ303" s="561">
        <v>0</v>
      </c>
      <c r="JK303" s="561">
        <v>1123</v>
      </c>
      <c r="JL303" s="561">
        <v>0</v>
      </c>
      <c r="JM303" s="561">
        <v>0</v>
      </c>
      <c r="JN303" s="561">
        <v>0</v>
      </c>
      <c r="JO303" s="561">
        <v>0</v>
      </c>
      <c r="JP303" s="561">
        <v>-522</v>
      </c>
      <c r="JQ303" s="561">
        <v>0</v>
      </c>
      <c r="JR303" s="561">
        <v>387</v>
      </c>
      <c r="JS303" s="561">
        <v>0</v>
      </c>
      <c r="JT303" s="561">
        <v>-59</v>
      </c>
      <c r="JU303" s="561">
        <v>43</v>
      </c>
      <c r="JV303" s="561">
        <v>32280</v>
      </c>
      <c r="JW303" s="561">
        <v>0</v>
      </c>
      <c r="JX303" s="561">
        <v>572</v>
      </c>
      <c r="JY303" s="561">
        <v>0</v>
      </c>
      <c r="JZ303" s="561">
        <v>0</v>
      </c>
      <c r="KA303" s="561">
        <v>0</v>
      </c>
      <c r="KB303" s="561">
        <v>-183</v>
      </c>
      <c r="KC303" s="561">
        <v>36</v>
      </c>
      <c r="KD303" s="561">
        <v>10</v>
      </c>
      <c r="KE303" s="561">
        <v>5</v>
      </c>
      <c r="KF303" s="561">
        <v>0</v>
      </c>
      <c r="KG303" s="561">
        <v>32720</v>
      </c>
      <c r="KH303" s="561">
        <v>-2238</v>
      </c>
      <c r="KI303" s="561">
        <v>0</v>
      </c>
      <c r="KJ303" s="561">
        <v>0</v>
      </c>
      <c r="KK303" s="561">
        <v>0</v>
      </c>
      <c r="KL303" s="561">
        <v>-11026</v>
      </c>
      <c r="KM303" s="561">
        <v>0</v>
      </c>
      <c r="KN303" s="561">
        <v>0</v>
      </c>
      <c r="KO303" s="561">
        <v>0</v>
      </c>
      <c r="KP303" s="561">
        <v>0</v>
      </c>
      <c r="KQ303" s="561">
        <v>0</v>
      </c>
      <c r="KR303" s="561">
        <v>19456</v>
      </c>
      <c r="KS303" s="561">
        <v>0</v>
      </c>
      <c r="KT303" s="561">
        <v>-3814</v>
      </c>
      <c r="KU303" s="561">
        <v>15642</v>
      </c>
      <c r="KV303" s="561">
        <v>0</v>
      </c>
      <c r="KW303" s="561">
        <v>0</v>
      </c>
      <c r="KX303" s="561">
        <v>0</v>
      </c>
      <c r="KY303" s="561">
        <v>0</v>
      </c>
      <c r="KZ303" s="561">
        <v>8669</v>
      </c>
      <c r="LA303" s="561">
        <v>-8380</v>
      </c>
      <c r="LB303" s="561">
        <v>-105</v>
      </c>
      <c r="LC303" s="561">
        <v>0</v>
      </c>
      <c r="LD303" s="561">
        <v>-7730</v>
      </c>
      <c r="LE303" s="561">
        <v>7</v>
      </c>
      <c r="LF303" s="561">
        <v>0</v>
      </c>
      <c r="LG303" s="561">
        <v>8103</v>
      </c>
      <c r="LH303" s="561">
        <v>0</v>
      </c>
      <c r="LI303" s="561">
        <v>0</v>
      </c>
      <c r="LJ303" s="561">
        <v>0</v>
      </c>
      <c r="LK303" s="561">
        <v>0</v>
      </c>
      <c r="LL303" s="561">
        <v>10585</v>
      </c>
      <c r="LM303" s="561">
        <v>15625</v>
      </c>
      <c r="LN303" s="561">
        <v>0</v>
      </c>
      <c r="LO303" s="561">
        <v>0</v>
      </c>
      <c r="LP303" s="561">
        <v>0</v>
      </c>
      <c r="LQ303" s="561">
        <v>0</v>
      </c>
      <c r="LR303" s="561">
        <v>19254</v>
      </c>
      <c r="LS303" s="561">
        <v>7245</v>
      </c>
      <c r="LT303" s="561">
        <v>2711</v>
      </c>
      <c r="LU303" s="561">
        <v>2255</v>
      </c>
      <c r="LV303" s="561">
        <v>16</v>
      </c>
      <c r="LW303" s="561">
        <v>-41</v>
      </c>
      <c r="LX303" s="561">
        <v>0</v>
      </c>
      <c r="LY303" s="561">
        <v>0</v>
      </c>
      <c r="LZ303" s="561">
        <v>2230</v>
      </c>
      <c r="MA303" s="561">
        <v>0</v>
      </c>
      <c r="MB303" s="561">
        <v>0</v>
      </c>
      <c r="MC303" s="561">
        <v>15448</v>
      </c>
      <c r="MD303" s="561">
        <v>15237</v>
      </c>
      <c r="ME303" s="561">
        <v>211</v>
      </c>
      <c r="MF303" s="561">
        <v>3608</v>
      </c>
      <c r="MG303" s="561">
        <v>3819</v>
      </c>
      <c r="MH303" s="561">
        <v>2157</v>
      </c>
      <c r="MI303" s="561">
        <v>3696</v>
      </c>
      <c r="MJ303" s="561">
        <v>5853</v>
      </c>
      <c r="MK303" s="561">
        <v>0</v>
      </c>
      <c r="ML303" s="561">
        <v>0</v>
      </c>
      <c r="MM303" s="561">
        <v>9104</v>
      </c>
      <c r="MN303" s="561">
        <v>0</v>
      </c>
      <c r="MO303" s="561">
        <v>10150</v>
      </c>
      <c r="MP303" s="561">
        <v>0</v>
      </c>
      <c r="MQ303" s="561">
        <v>0</v>
      </c>
      <c r="MR303" s="561">
        <v>63</v>
      </c>
      <c r="MS303" s="561">
        <v>0</v>
      </c>
      <c r="MT303" s="561">
        <v>0</v>
      </c>
      <c r="MU303" s="561">
        <v>0</v>
      </c>
      <c r="MV303" s="561">
        <v>2081</v>
      </c>
      <c r="MW303" s="561">
        <v>5344</v>
      </c>
      <c r="MX303" s="561">
        <v>8042</v>
      </c>
      <c r="MY303" s="561">
        <v>2420</v>
      </c>
      <c r="MZ303" s="561">
        <v>0</v>
      </c>
      <c r="NA303" s="561">
        <v>0</v>
      </c>
      <c r="NB303" s="561">
        <v>2315</v>
      </c>
      <c r="NC303" s="561">
        <v>0</v>
      </c>
      <c r="ND303" s="561">
        <v>20265</v>
      </c>
      <c r="NE303" s="561">
        <v>0</v>
      </c>
      <c r="NF303" s="561">
        <v>0</v>
      </c>
      <c r="NG303" s="561">
        <v>0</v>
      </c>
      <c r="NH303" s="561">
        <v>0</v>
      </c>
      <c r="NI303" s="561">
        <v>0</v>
      </c>
      <c r="NJ303" s="561">
        <v>0</v>
      </c>
      <c r="NK303" s="561">
        <v>0</v>
      </c>
      <c r="NL303" s="561">
        <v>0</v>
      </c>
      <c r="NM303" s="561">
        <v>0</v>
      </c>
      <c r="NN303" s="561">
        <v>0</v>
      </c>
      <c r="NO303" s="561">
        <v>0</v>
      </c>
      <c r="NP303" s="561">
        <v>0</v>
      </c>
      <c r="NQ303" s="561">
        <v>0</v>
      </c>
      <c r="NR303" s="561">
        <v>0</v>
      </c>
      <c r="NS303" s="561">
        <v>0</v>
      </c>
      <c r="NT303" s="561">
        <v>-142</v>
      </c>
      <c r="NU303" s="561">
        <v>0</v>
      </c>
      <c r="NV303" s="561">
        <v>7</v>
      </c>
      <c r="NW303" s="561">
        <v>-135</v>
      </c>
      <c r="NX303" s="561">
        <v>-387</v>
      </c>
      <c r="NY303" s="561">
        <v>-522</v>
      </c>
      <c r="NZ303" s="561">
        <v>0</v>
      </c>
      <c r="OA303" s="561">
        <v>0</v>
      </c>
      <c r="OB303" s="561">
        <v>0</v>
      </c>
      <c r="OC303" s="561">
        <v>0</v>
      </c>
      <c r="OD303" s="561">
        <v>0</v>
      </c>
      <c r="OE303" s="561">
        <v>0</v>
      </c>
      <c r="OF303" s="561">
        <v>0</v>
      </c>
      <c r="OG303" s="561">
        <v>0</v>
      </c>
      <c r="OH303" s="561">
        <v>0</v>
      </c>
      <c r="OI303" s="561">
        <v>0</v>
      </c>
      <c r="OJ303" s="561">
        <v>0</v>
      </c>
      <c r="OK303" s="561">
        <v>0</v>
      </c>
      <c r="OL303" s="561">
        <v>0</v>
      </c>
      <c r="OM303" s="561">
        <v>0</v>
      </c>
      <c r="ON303" s="561">
        <v>0</v>
      </c>
      <c r="OO303" s="561">
        <v>0</v>
      </c>
      <c r="OP303" s="561">
        <v>0</v>
      </c>
      <c r="OQ303" s="561">
        <v>0</v>
      </c>
      <c r="OR303" s="561">
        <v>0</v>
      </c>
      <c r="OS303" s="561">
        <v>0</v>
      </c>
      <c r="OT303" s="561">
        <v>0</v>
      </c>
      <c r="OU303" s="561">
        <v>0</v>
      </c>
      <c r="OV303" s="561">
        <v>0</v>
      </c>
      <c r="OW303" s="561">
        <v>0</v>
      </c>
      <c r="OX303" s="561">
        <v>0</v>
      </c>
      <c r="OY303" s="561">
        <v>2</v>
      </c>
      <c r="OZ303" s="561">
        <v>0</v>
      </c>
      <c r="PA303" s="561">
        <v>-389</v>
      </c>
      <c r="PB303" s="561">
        <v>0</v>
      </c>
      <c r="PC303" s="561">
        <v>0</v>
      </c>
      <c r="PD303" s="561">
        <v>-387</v>
      </c>
      <c r="PE303" s="561">
        <v>0</v>
      </c>
      <c r="PF303" s="561">
        <v>0</v>
      </c>
      <c r="PG303" s="561">
        <v>0</v>
      </c>
      <c r="PH303" s="561">
        <v>0</v>
      </c>
      <c r="PI303" s="561">
        <v>0</v>
      </c>
      <c r="PJ303" s="561">
        <v>0</v>
      </c>
    </row>
    <row r="304" spans="1:426" ht="14" x14ac:dyDescent="0.3">
      <c r="A304" t="s">
        <v>3355</v>
      </c>
      <c r="B304" t="s">
        <v>3356</v>
      </c>
      <c r="C304" t="s">
        <v>3357</v>
      </c>
      <c r="E304" t="s">
        <v>2466</v>
      </c>
      <c r="F304" s="561">
        <v>0</v>
      </c>
      <c r="G304" s="561">
        <v>0</v>
      </c>
      <c r="H304" s="561">
        <v>0</v>
      </c>
      <c r="I304" s="561">
        <v>0</v>
      </c>
      <c r="J304" s="561">
        <v>0</v>
      </c>
      <c r="K304" s="561">
        <v>0</v>
      </c>
      <c r="L304" s="561">
        <v>0</v>
      </c>
      <c r="M304" s="561">
        <v>0</v>
      </c>
      <c r="N304" s="561">
        <v>0</v>
      </c>
      <c r="O304" s="561">
        <v>0</v>
      </c>
      <c r="P304" s="561">
        <v>0</v>
      </c>
      <c r="Q304" s="561">
        <v>0</v>
      </c>
      <c r="R304" s="561">
        <v>0</v>
      </c>
      <c r="S304" s="561">
        <v>0</v>
      </c>
      <c r="T304" s="561">
        <v>0</v>
      </c>
      <c r="U304" s="561">
        <v>0</v>
      </c>
      <c r="V304" s="561">
        <v>0</v>
      </c>
      <c r="W304" s="561">
        <v>0</v>
      </c>
      <c r="X304" s="561">
        <v>0</v>
      </c>
      <c r="Y304" s="561">
        <v>0</v>
      </c>
      <c r="Z304" s="561">
        <v>0</v>
      </c>
      <c r="AA304" s="561">
        <v>0</v>
      </c>
      <c r="AB304" s="561">
        <v>0</v>
      </c>
      <c r="AC304" s="561">
        <v>0</v>
      </c>
      <c r="AD304" s="561">
        <v>0</v>
      </c>
      <c r="AE304" s="561">
        <v>0</v>
      </c>
      <c r="AF304" s="561">
        <v>0</v>
      </c>
      <c r="AG304" s="561">
        <v>0</v>
      </c>
      <c r="AH304" s="561">
        <v>0</v>
      </c>
      <c r="AI304" s="561">
        <v>0</v>
      </c>
      <c r="AJ304" s="561">
        <v>0</v>
      </c>
      <c r="AK304" s="561">
        <v>0</v>
      </c>
      <c r="AL304" s="561">
        <v>0</v>
      </c>
      <c r="AM304" s="561">
        <v>0</v>
      </c>
      <c r="AN304" s="561">
        <v>0</v>
      </c>
      <c r="AO304" s="561">
        <v>0</v>
      </c>
      <c r="AP304" s="561">
        <v>0</v>
      </c>
      <c r="AQ304" s="561">
        <v>0</v>
      </c>
      <c r="AR304" s="561">
        <v>0</v>
      </c>
      <c r="AS304" s="561">
        <v>0</v>
      </c>
      <c r="AT304" s="561">
        <v>0</v>
      </c>
      <c r="AU304" s="561">
        <v>0</v>
      </c>
      <c r="AV304" s="561">
        <v>0</v>
      </c>
      <c r="AW304" s="561">
        <v>0</v>
      </c>
      <c r="AX304" s="561">
        <v>0</v>
      </c>
      <c r="AY304" s="561">
        <v>0</v>
      </c>
      <c r="AZ304" s="561">
        <v>0</v>
      </c>
      <c r="BA304" s="561">
        <v>0</v>
      </c>
      <c r="BB304" s="561">
        <v>0</v>
      </c>
      <c r="BC304" s="561">
        <v>0</v>
      </c>
      <c r="BD304" s="561">
        <v>0</v>
      </c>
      <c r="BE304" s="561">
        <v>0</v>
      </c>
      <c r="BF304" s="561">
        <v>0</v>
      </c>
      <c r="BG304" s="561">
        <v>0</v>
      </c>
      <c r="BH304" s="561">
        <v>0</v>
      </c>
      <c r="BI304" s="561">
        <v>0</v>
      </c>
      <c r="BJ304" s="561">
        <v>0</v>
      </c>
      <c r="BK304" s="561">
        <v>0</v>
      </c>
      <c r="BL304" s="561">
        <v>0</v>
      </c>
      <c r="BM304" s="561">
        <v>0</v>
      </c>
      <c r="BN304" s="561">
        <v>0</v>
      </c>
      <c r="BO304" s="561">
        <v>0</v>
      </c>
      <c r="BP304" s="561">
        <v>0</v>
      </c>
      <c r="BQ304" s="561">
        <v>0</v>
      </c>
      <c r="BR304" s="561">
        <v>0</v>
      </c>
      <c r="BS304" s="561">
        <v>0</v>
      </c>
      <c r="BT304" s="561">
        <v>0</v>
      </c>
      <c r="BU304" s="561">
        <v>0</v>
      </c>
      <c r="BV304" s="561">
        <v>0</v>
      </c>
      <c r="BW304" s="561">
        <v>0</v>
      </c>
      <c r="BX304" s="561">
        <v>0</v>
      </c>
      <c r="BY304" s="561">
        <v>0</v>
      </c>
      <c r="BZ304" s="561">
        <v>0</v>
      </c>
      <c r="CA304" s="561">
        <v>0</v>
      </c>
      <c r="CB304" s="561">
        <v>0</v>
      </c>
      <c r="CC304" s="561">
        <v>0</v>
      </c>
      <c r="CD304" s="561">
        <v>0</v>
      </c>
      <c r="CE304" s="561">
        <v>0</v>
      </c>
      <c r="CF304" s="561">
        <v>0</v>
      </c>
      <c r="CG304" s="561">
        <v>0</v>
      </c>
      <c r="CH304" s="561">
        <v>0</v>
      </c>
      <c r="CI304" s="561">
        <v>0</v>
      </c>
      <c r="CJ304" s="561">
        <v>0</v>
      </c>
      <c r="CK304" s="561">
        <v>0</v>
      </c>
      <c r="CL304" s="561">
        <v>0</v>
      </c>
      <c r="CM304" s="561">
        <v>0</v>
      </c>
      <c r="CN304" s="561">
        <v>0</v>
      </c>
      <c r="CO304" s="561">
        <v>0</v>
      </c>
      <c r="CP304" s="561">
        <v>0</v>
      </c>
      <c r="CQ304" s="561">
        <v>0</v>
      </c>
      <c r="CR304" s="561">
        <v>0</v>
      </c>
      <c r="CS304" s="561">
        <v>0</v>
      </c>
      <c r="CT304" s="561">
        <v>0</v>
      </c>
      <c r="CU304" s="561">
        <v>0</v>
      </c>
      <c r="CV304" s="561">
        <v>0</v>
      </c>
      <c r="CW304" s="561">
        <v>0</v>
      </c>
      <c r="CX304" s="561">
        <v>0</v>
      </c>
      <c r="CY304" s="561">
        <v>0</v>
      </c>
      <c r="CZ304" s="561">
        <v>0</v>
      </c>
      <c r="DA304" s="561">
        <v>0</v>
      </c>
      <c r="DB304" s="561">
        <v>0</v>
      </c>
      <c r="DC304" s="561">
        <v>0</v>
      </c>
      <c r="DD304" s="561">
        <v>0</v>
      </c>
      <c r="DE304" s="561">
        <v>0</v>
      </c>
      <c r="DF304" s="561">
        <v>0</v>
      </c>
      <c r="DG304" s="561">
        <v>0</v>
      </c>
      <c r="DH304" s="561">
        <v>0</v>
      </c>
      <c r="DI304" s="561">
        <v>0</v>
      </c>
      <c r="DJ304" s="561">
        <v>0</v>
      </c>
      <c r="DK304" s="561">
        <v>0</v>
      </c>
      <c r="DL304" s="561">
        <v>0</v>
      </c>
      <c r="DM304" s="561">
        <v>0</v>
      </c>
      <c r="DN304" s="561">
        <v>0</v>
      </c>
      <c r="DO304" s="561">
        <v>0</v>
      </c>
      <c r="DP304" s="561">
        <v>0</v>
      </c>
      <c r="DQ304" s="561">
        <v>0</v>
      </c>
      <c r="DR304" s="561">
        <v>0</v>
      </c>
      <c r="DS304" s="561">
        <v>0</v>
      </c>
      <c r="DT304" s="561">
        <v>0</v>
      </c>
      <c r="DU304" s="561">
        <v>0</v>
      </c>
      <c r="DV304" s="561">
        <v>0</v>
      </c>
      <c r="DW304" s="561">
        <v>0</v>
      </c>
      <c r="DX304" s="561">
        <v>0</v>
      </c>
      <c r="DY304" s="561">
        <v>0</v>
      </c>
      <c r="DZ304" s="561">
        <v>0</v>
      </c>
      <c r="EA304" s="561">
        <v>0</v>
      </c>
      <c r="EB304" s="561">
        <v>0</v>
      </c>
      <c r="EC304" s="561">
        <v>0</v>
      </c>
      <c r="ED304" s="561">
        <v>0</v>
      </c>
      <c r="EE304" s="561">
        <v>0</v>
      </c>
      <c r="EF304" s="561">
        <v>0</v>
      </c>
      <c r="EG304" s="561">
        <v>0</v>
      </c>
      <c r="EH304" s="561">
        <v>0</v>
      </c>
      <c r="EI304" s="561">
        <v>0</v>
      </c>
      <c r="EJ304" s="561">
        <v>0</v>
      </c>
      <c r="EK304" s="561">
        <v>0</v>
      </c>
      <c r="EL304" s="561">
        <v>0</v>
      </c>
      <c r="EM304" s="561">
        <v>0</v>
      </c>
      <c r="EN304" s="561">
        <v>0</v>
      </c>
      <c r="EO304" s="561">
        <v>0</v>
      </c>
      <c r="EP304" s="561">
        <v>0</v>
      </c>
      <c r="EQ304" s="561">
        <v>0</v>
      </c>
      <c r="ER304" s="561">
        <v>0</v>
      </c>
      <c r="ES304" s="561" t="s">
        <v>4565</v>
      </c>
      <c r="ET304" s="561">
        <v>0</v>
      </c>
      <c r="EU304" s="561">
        <v>0</v>
      </c>
      <c r="EV304" s="561">
        <v>0</v>
      </c>
      <c r="EW304" s="561">
        <v>0</v>
      </c>
      <c r="EX304" s="561">
        <v>0</v>
      </c>
      <c r="EY304" s="561">
        <v>0</v>
      </c>
      <c r="EZ304" s="561">
        <v>0</v>
      </c>
      <c r="FA304" s="561">
        <v>0</v>
      </c>
      <c r="FB304" s="561">
        <v>0</v>
      </c>
      <c r="FC304" s="561">
        <v>0</v>
      </c>
      <c r="FD304" s="561">
        <v>4</v>
      </c>
      <c r="FE304" s="561">
        <v>0</v>
      </c>
      <c r="FF304" s="561">
        <v>0</v>
      </c>
      <c r="FG304" s="561">
        <v>0</v>
      </c>
      <c r="FH304" s="561">
        <v>0</v>
      </c>
      <c r="FI304" s="561">
        <v>0</v>
      </c>
      <c r="FJ304" s="561">
        <v>0</v>
      </c>
      <c r="FK304" s="561">
        <v>2724</v>
      </c>
      <c r="FL304" s="561">
        <v>0</v>
      </c>
      <c r="FM304" s="561">
        <v>435</v>
      </c>
      <c r="FN304" s="561">
        <v>0</v>
      </c>
      <c r="FO304" s="561">
        <v>3163</v>
      </c>
      <c r="FP304" s="561">
        <v>0</v>
      </c>
      <c r="FQ304" s="561">
        <v>0</v>
      </c>
      <c r="FR304" s="561">
        <v>0</v>
      </c>
      <c r="FS304" s="561">
        <v>0</v>
      </c>
      <c r="FT304" s="561">
        <v>0</v>
      </c>
      <c r="FU304" s="561">
        <v>0</v>
      </c>
      <c r="FV304" s="561">
        <v>0</v>
      </c>
      <c r="FW304" s="561">
        <v>0</v>
      </c>
      <c r="FX304" s="561">
        <v>0</v>
      </c>
      <c r="FY304" s="561">
        <v>0</v>
      </c>
      <c r="FZ304" s="561">
        <v>0</v>
      </c>
      <c r="GA304" s="561">
        <v>0</v>
      </c>
      <c r="GB304" s="561">
        <v>0</v>
      </c>
      <c r="GC304" s="561">
        <v>0</v>
      </c>
      <c r="GD304" s="561">
        <v>0</v>
      </c>
      <c r="GE304" s="561">
        <v>0</v>
      </c>
      <c r="GF304" s="561">
        <v>0</v>
      </c>
      <c r="GG304" s="561">
        <v>0</v>
      </c>
      <c r="GH304" s="561">
        <v>0</v>
      </c>
      <c r="GI304" s="561">
        <v>0</v>
      </c>
      <c r="GJ304" s="561">
        <v>0</v>
      </c>
      <c r="GK304" s="561">
        <v>3</v>
      </c>
      <c r="GL304" s="561">
        <v>0</v>
      </c>
      <c r="GM304" s="561">
        <v>0</v>
      </c>
      <c r="GN304" s="561">
        <v>0</v>
      </c>
      <c r="GO304" s="561">
        <v>0</v>
      </c>
      <c r="GP304" s="561">
        <v>0</v>
      </c>
      <c r="GQ304" s="561">
        <v>0</v>
      </c>
      <c r="GR304" s="561">
        <v>0</v>
      </c>
      <c r="GS304" s="561">
        <v>3</v>
      </c>
      <c r="GT304" s="561">
        <v>0</v>
      </c>
      <c r="GU304" s="561">
        <v>0</v>
      </c>
      <c r="GV304" s="561">
        <v>5640</v>
      </c>
      <c r="GW304" s="561">
        <v>0</v>
      </c>
      <c r="GX304" s="561">
        <v>1194</v>
      </c>
      <c r="GY304" s="561">
        <v>1164</v>
      </c>
      <c r="GZ304" s="561">
        <v>0</v>
      </c>
      <c r="HA304" s="561">
        <v>0</v>
      </c>
      <c r="HB304" s="561">
        <v>0</v>
      </c>
      <c r="HC304" s="561">
        <v>250</v>
      </c>
      <c r="HD304" s="561">
        <v>8248</v>
      </c>
      <c r="HE304" s="561">
        <v>0</v>
      </c>
      <c r="HF304" s="561">
        <v>11414</v>
      </c>
      <c r="HG304" s="561">
        <v>0</v>
      </c>
      <c r="HH304" s="561">
        <v>0</v>
      </c>
      <c r="HI304" s="561">
        <v>0</v>
      </c>
      <c r="HJ304" s="561">
        <v>0</v>
      </c>
      <c r="HK304" s="561">
        <v>0</v>
      </c>
      <c r="HL304" s="561">
        <v>0</v>
      </c>
      <c r="HM304" s="561">
        <v>0</v>
      </c>
      <c r="HN304" s="561">
        <v>0</v>
      </c>
      <c r="HO304" s="561">
        <v>901</v>
      </c>
      <c r="HP304" s="561">
        <v>0</v>
      </c>
      <c r="HQ304" s="561">
        <v>0</v>
      </c>
      <c r="HR304" s="561">
        <v>0</v>
      </c>
      <c r="HS304" s="561">
        <v>0</v>
      </c>
      <c r="HT304" s="561">
        <v>0</v>
      </c>
      <c r="HU304" s="561">
        <v>0</v>
      </c>
      <c r="HV304" s="561">
        <v>0</v>
      </c>
      <c r="HW304" s="561">
        <v>0</v>
      </c>
      <c r="HX304" s="561">
        <v>0</v>
      </c>
      <c r="HY304" s="561">
        <v>0</v>
      </c>
      <c r="HZ304" s="561">
        <v>0</v>
      </c>
      <c r="IA304" s="561">
        <v>0</v>
      </c>
      <c r="IB304" s="561">
        <v>0</v>
      </c>
      <c r="IC304" s="561">
        <v>0</v>
      </c>
      <c r="ID304" s="561">
        <v>0</v>
      </c>
      <c r="IE304" s="561">
        <v>0</v>
      </c>
      <c r="IF304" s="561">
        <v>0</v>
      </c>
      <c r="IG304" s="561">
        <v>0</v>
      </c>
      <c r="IH304" s="561">
        <v>277</v>
      </c>
      <c r="II304" s="561">
        <v>1178</v>
      </c>
      <c r="IJ304" s="561">
        <v>0</v>
      </c>
      <c r="IK304" s="561">
        <v>1499</v>
      </c>
      <c r="IL304" s="561">
        <v>3736</v>
      </c>
      <c r="IM304" s="561">
        <v>0</v>
      </c>
      <c r="IN304" s="561">
        <v>0</v>
      </c>
      <c r="IO304" s="561">
        <v>0</v>
      </c>
      <c r="IP304" s="561">
        <v>0</v>
      </c>
      <c r="IQ304" s="561">
        <v>0</v>
      </c>
      <c r="IR304" s="561">
        <v>0</v>
      </c>
      <c r="IS304" s="561">
        <v>0</v>
      </c>
      <c r="IT304" s="561">
        <v>0</v>
      </c>
      <c r="IU304" s="561">
        <v>0</v>
      </c>
      <c r="IV304" s="561">
        <v>0</v>
      </c>
      <c r="IW304" s="561">
        <v>0</v>
      </c>
      <c r="IX304" s="561">
        <v>3163</v>
      </c>
      <c r="IY304" s="561">
        <v>3</v>
      </c>
      <c r="IZ304" s="561">
        <v>8248</v>
      </c>
      <c r="JA304" s="561">
        <v>0</v>
      </c>
      <c r="JB304" s="561">
        <v>0</v>
      </c>
      <c r="JC304" s="561">
        <v>1178</v>
      </c>
      <c r="JD304" s="561">
        <v>0</v>
      </c>
      <c r="JE304" s="561">
        <v>12592</v>
      </c>
      <c r="JF304" s="561">
        <v>0</v>
      </c>
      <c r="JG304" s="561">
        <v>0</v>
      </c>
      <c r="JH304" s="561">
        <v>0</v>
      </c>
      <c r="JI304" s="561">
        <v>0</v>
      </c>
      <c r="JJ304" s="561">
        <v>0</v>
      </c>
      <c r="JK304" s="561">
        <v>0</v>
      </c>
      <c r="JL304" s="561">
        <v>0</v>
      </c>
      <c r="JM304" s="561">
        <v>0</v>
      </c>
      <c r="JN304" s="561">
        <v>0</v>
      </c>
      <c r="JO304" s="561">
        <v>0</v>
      </c>
      <c r="JP304" s="561">
        <v>0</v>
      </c>
      <c r="JQ304" s="561">
        <v>0</v>
      </c>
      <c r="JR304" s="561">
        <v>0</v>
      </c>
      <c r="JS304" s="561">
        <v>0</v>
      </c>
      <c r="JT304" s="561">
        <v>-3</v>
      </c>
      <c r="JU304" s="561">
        <v>0</v>
      </c>
      <c r="JV304" s="561">
        <v>12589</v>
      </c>
      <c r="JW304" s="561">
        <v>0</v>
      </c>
      <c r="JX304" s="561">
        <v>261</v>
      </c>
      <c r="JY304" s="561">
        <v>0</v>
      </c>
      <c r="JZ304" s="561">
        <v>0</v>
      </c>
      <c r="KA304" s="561">
        <v>0</v>
      </c>
      <c r="KB304" s="561">
        <v>485</v>
      </c>
      <c r="KC304" s="561">
        <v>0</v>
      </c>
      <c r="KD304" s="561">
        <v>11</v>
      </c>
      <c r="KE304" s="561">
        <v>0</v>
      </c>
      <c r="KF304" s="561">
        <v>0</v>
      </c>
      <c r="KG304" s="561">
        <v>13346</v>
      </c>
      <c r="KH304" s="561">
        <v>-838</v>
      </c>
      <c r="KI304" s="561">
        <v>0</v>
      </c>
      <c r="KJ304" s="561">
        <v>0</v>
      </c>
      <c r="KK304" s="561">
        <v>0</v>
      </c>
      <c r="KL304" s="561">
        <v>0</v>
      </c>
      <c r="KM304" s="561">
        <v>0</v>
      </c>
      <c r="KN304" s="561">
        <v>-1142</v>
      </c>
      <c r="KO304" s="561">
        <v>0</v>
      </c>
      <c r="KP304" s="561">
        <v>0</v>
      </c>
      <c r="KQ304" s="561">
        <v>0</v>
      </c>
      <c r="KR304" s="561">
        <v>11366</v>
      </c>
      <c r="KS304" s="561">
        <v>0</v>
      </c>
      <c r="KT304" s="561">
        <v>-11366</v>
      </c>
      <c r="KU304" s="561">
        <v>0</v>
      </c>
      <c r="KV304" s="561">
        <v>0</v>
      </c>
      <c r="KW304" s="561">
        <v>0</v>
      </c>
      <c r="KX304" s="561">
        <v>0</v>
      </c>
      <c r="KY304" s="561">
        <v>0</v>
      </c>
      <c r="KZ304" s="561">
        <v>499</v>
      </c>
      <c r="LA304" s="561">
        <v>-499</v>
      </c>
      <c r="LB304" s="561">
        <v>0</v>
      </c>
      <c r="LC304" s="561">
        <v>0</v>
      </c>
      <c r="LD304" s="561">
        <v>0</v>
      </c>
      <c r="LE304" s="561">
        <v>0</v>
      </c>
      <c r="LF304" s="561">
        <v>0</v>
      </c>
      <c r="LG304" s="561">
        <v>0</v>
      </c>
      <c r="LH304" s="561">
        <v>0</v>
      </c>
      <c r="LI304" s="561">
        <v>0</v>
      </c>
      <c r="LJ304" s="561">
        <v>0</v>
      </c>
      <c r="LK304" s="561">
        <v>0</v>
      </c>
      <c r="LL304" s="561">
        <v>12702</v>
      </c>
      <c r="LM304" s="561">
        <v>499</v>
      </c>
      <c r="LN304" s="561">
        <v>0</v>
      </c>
      <c r="LO304" s="561">
        <v>0</v>
      </c>
      <c r="LP304" s="561">
        <v>0</v>
      </c>
      <c r="LQ304" s="561">
        <v>0</v>
      </c>
      <c r="LR304" s="561">
        <v>13201</v>
      </c>
      <c r="LS304" s="561">
        <v>0</v>
      </c>
      <c r="LT304" s="561">
        <v>0</v>
      </c>
      <c r="LU304" s="561">
        <v>260</v>
      </c>
      <c r="LV304" s="561">
        <v>0</v>
      </c>
      <c r="LW304" s="561">
        <v>15</v>
      </c>
      <c r="LX304" s="561">
        <v>4</v>
      </c>
      <c r="LY304" s="561">
        <v>1804</v>
      </c>
      <c r="LZ304" s="561">
        <v>2083</v>
      </c>
      <c r="MA304" s="561">
        <v>0</v>
      </c>
      <c r="MB304" s="561">
        <v>0</v>
      </c>
      <c r="MC304" s="561">
        <v>0</v>
      </c>
      <c r="MD304" s="561">
        <v>0</v>
      </c>
      <c r="ME304" s="561">
        <v>0</v>
      </c>
      <c r="MF304" s="561">
        <v>0</v>
      </c>
      <c r="MG304" s="561">
        <v>0</v>
      </c>
      <c r="MH304" s="561">
        <v>0</v>
      </c>
      <c r="MI304" s="561">
        <v>0</v>
      </c>
      <c r="MJ304" s="561">
        <v>0</v>
      </c>
      <c r="MK304" s="561">
        <v>0</v>
      </c>
      <c r="ML304" s="561">
        <v>0</v>
      </c>
      <c r="MM304" s="561">
        <v>13201</v>
      </c>
      <c r="MN304" s="561">
        <v>0</v>
      </c>
      <c r="MO304" s="561">
        <v>0</v>
      </c>
      <c r="MP304" s="561">
        <v>0</v>
      </c>
      <c r="MQ304" s="561">
        <v>0</v>
      </c>
      <c r="MR304" s="561">
        <v>0</v>
      </c>
      <c r="MS304" s="561">
        <v>0</v>
      </c>
      <c r="MT304" s="561">
        <v>0</v>
      </c>
      <c r="MU304" s="561">
        <v>0</v>
      </c>
      <c r="MV304" s="561">
        <v>0</v>
      </c>
      <c r="MW304" s="561">
        <v>3163</v>
      </c>
      <c r="MX304" s="561">
        <v>3</v>
      </c>
      <c r="MY304" s="561">
        <v>8248</v>
      </c>
      <c r="MZ304" s="561">
        <v>0</v>
      </c>
      <c r="NA304" s="561">
        <v>0</v>
      </c>
      <c r="NB304" s="561">
        <v>1178</v>
      </c>
      <c r="NC304" s="561">
        <v>0</v>
      </c>
      <c r="ND304" s="561">
        <v>12592</v>
      </c>
      <c r="NE304" s="561">
        <v>0</v>
      </c>
      <c r="NF304" s="561">
        <v>0</v>
      </c>
      <c r="NG304" s="561">
        <v>0</v>
      </c>
      <c r="NH304" s="561">
        <v>0</v>
      </c>
      <c r="NI304" s="561">
        <v>0</v>
      </c>
      <c r="NJ304" s="561">
        <v>0</v>
      </c>
      <c r="NK304" s="561">
        <v>0</v>
      </c>
      <c r="NL304" s="561">
        <v>0</v>
      </c>
      <c r="NM304" s="561">
        <v>0</v>
      </c>
      <c r="NN304" s="561">
        <v>0</v>
      </c>
      <c r="NO304" s="561">
        <v>0</v>
      </c>
      <c r="NP304" s="561">
        <v>0</v>
      </c>
      <c r="NQ304" s="561">
        <v>0</v>
      </c>
      <c r="NR304" s="561">
        <v>0</v>
      </c>
      <c r="NS304" s="561">
        <v>0</v>
      </c>
      <c r="NT304" s="561">
        <v>0</v>
      </c>
      <c r="NU304" s="561">
        <v>-314</v>
      </c>
      <c r="NV304" s="561">
        <v>0</v>
      </c>
      <c r="NW304" s="561">
        <v>0</v>
      </c>
      <c r="NX304" s="561">
        <v>0</v>
      </c>
      <c r="NY304" s="561">
        <v>0</v>
      </c>
      <c r="NZ304" s="561">
        <v>0</v>
      </c>
      <c r="OA304" s="561">
        <v>0</v>
      </c>
      <c r="OB304" s="561">
        <v>0</v>
      </c>
      <c r="OC304" s="561">
        <v>0</v>
      </c>
      <c r="OD304" s="561">
        <v>0</v>
      </c>
      <c r="OE304" s="561">
        <v>0</v>
      </c>
      <c r="OF304" s="561">
        <v>0</v>
      </c>
      <c r="OG304" s="561">
        <v>0</v>
      </c>
      <c r="OH304" s="561">
        <v>0</v>
      </c>
      <c r="OI304" s="561">
        <v>0</v>
      </c>
      <c r="OJ304" s="561">
        <v>0</v>
      </c>
      <c r="OK304" s="561">
        <v>0</v>
      </c>
      <c r="OL304" s="561">
        <v>0</v>
      </c>
      <c r="OM304" s="561">
        <v>0</v>
      </c>
      <c r="ON304" s="561">
        <v>0</v>
      </c>
      <c r="OO304" s="561">
        <v>0</v>
      </c>
      <c r="OP304" s="561">
        <v>0</v>
      </c>
      <c r="OQ304" s="561">
        <v>0</v>
      </c>
      <c r="OR304" s="561">
        <v>0</v>
      </c>
      <c r="OS304" s="561">
        <v>0</v>
      </c>
      <c r="OT304" s="561">
        <v>0</v>
      </c>
      <c r="OU304" s="561">
        <v>0</v>
      </c>
      <c r="OV304" s="561">
        <v>0</v>
      </c>
      <c r="OW304" s="561">
        <v>0</v>
      </c>
      <c r="OX304" s="561">
        <v>0</v>
      </c>
      <c r="OY304" s="561">
        <v>0</v>
      </c>
      <c r="OZ304" s="561">
        <v>0</v>
      </c>
      <c r="PA304" s="561">
        <v>0</v>
      </c>
      <c r="PB304" s="561">
        <v>0</v>
      </c>
      <c r="PC304" s="561">
        <v>0</v>
      </c>
      <c r="PD304" s="561">
        <v>0</v>
      </c>
      <c r="PE304" s="561">
        <v>0</v>
      </c>
      <c r="PF304" s="561">
        <v>0</v>
      </c>
      <c r="PG304" s="561">
        <v>0</v>
      </c>
      <c r="PH304" s="561">
        <v>0</v>
      </c>
      <c r="PI304" s="561">
        <v>0</v>
      </c>
      <c r="PJ304" s="561">
        <v>0</v>
      </c>
    </row>
    <row r="305" spans="1:426" ht="14" x14ac:dyDescent="0.3">
      <c r="A305" t="s">
        <v>3358</v>
      </c>
      <c r="B305" t="s">
        <v>3359</v>
      </c>
      <c r="C305" t="s">
        <v>4658</v>
      </c>
      <c r="E305" t="s">
        <v>385</v>
      </c>
      <c r="F305" s="561">
        <v>37608</v>
      </c>
      <c r="G305" s="561">
        <v>86018</v>
      </c>
      <c r="H305" s="561">
        <v>2632</v>
      </c>
      <c r="I305" s="561">
        <v>33565</v>
      </c>
      <c r="J305" s="561">
        <v>9763</v>
      </c>
      <c r="K305" s="561">
        <v>17520</v>
      </c>
      <c r="L305" s="561">
        <v>187106</v>
      </c>
      <c r="M305" s="561">
        <v>2972</v>
      </c>
      <c r="N305" s="561">
        <v>162</v>
      </c>
      <c r="O305" s="561">
        <v>1321</v>
      </c>
      <c r="P305" s="561">
        <v>444</v>
      </c>
      <c r="Q305" s="561">
        <v>1730</v>
      </c>
      <c r="R305" s="561">
        <v>679</v>
      </c>
      <c r="S305" s="561">
        <v>293</v>
      </c>
      <c r="T305" s="561">
        <v>5407</v>
      </c>
      <c r="U305" s="561">
        <v>877</v>
      </c>
      <c r="V305" s="561">
        <v>1782</v>
      </c>
      <c r="W305" s="561">
        <v>0</v>
      </c>
      <c r="X305" s="561">
        <v>178</v>
      </c>
      <c r="Y305" s="561">
        <v>883</v>
      </c>
      <c r="Z305" s="561">
        <v>679</v>
      </c>
      <c r="AA305" s="561">
        <v>423</v>
      </c>
      <c r="AB305" s="561">
        <v>531</v>
      </c>
      <c r="AC305" s="561">
        <v>64</v>
      </c>
      <c r="AD305" s="561">
        <v>7</v>
      </c>
      <c r="AE305" s="561">
        <v>221</v>
      </c>
      <c r="AF305" s="561">
        <v>0</v>
      </c>
      <c r="AG305" s="561">
        <v>0</v>
      </c>
      <c r="AH305" s="561">
        <v>618</v>
      </c>
      <c r="AI305" s="561">
        <v>0</v>
      </c>
      <c r="AJ305" s="561">
        <v>16299</v>
      </c>
      <c r="AK305" s="561">
        <v>708</v>
      </c>
      <c r="AL305" s="561">
        <v>0</v>
      </c>
      <c r="AM305" s="561">
        <v>0</v>
      </c>
      <c r="AN305" s="561">
        <v>0</v>
      </c>
      <c r="AO305" s="561">
        <v>0</v>
      </c>
      <c r="AP305" s="561">
        <v>0</v>
      </c>
      <c r="AQ305" s="561">
        <v>0</v>
      </c>
      <c r="AR305" s="561">
        <v>0</v>
      </c>
      <c r="AS305" s="561">
        <v>463</v>
      </c>
      <c r="AT305" s="561">
        <v>10</v>
      </c>
      <c r="AU305" s="561">
        <v>0</v>
      </c>
      <c r="AV305" s="561">
        <v>0</v>
      </c>
      <c r="AW305" s="561">
        <v>0</v>
      </c>
      <c r="AX305" s="561">
        <v>1454</v>
      </c>
      <c r="AY305" s="561">
        <v>25465</v>
      </c>
      <c r="AZ305" s="561">
        <v>1197</v>
      </c>
      <c r="BA305" s="561">
        <v>10053</v>
      </c>
      <c r="BB305" s="561">
        <v>1481</v>
      </c>
      <c r="BC305" s="561">
        <v>14998</v>
      </c>
      <c r="BD305" s="561">
        <v>5063</v>
      </c>
      <c r="BE305" s="561">
        <v>3098</v>
      </c>
      <c r="BF305" s="561">
        <v>62809</v>
      </c>
      <c r="BG305" s="561">
        <v>4078</v>
      </c>
      <c r="BH305" s="561">
        <v>13308</v>
      </c>
      <c r="BI305" s="561">
        <v>30043</v>
      </c>
      <c r="BJ305" s="561">
        <v>559</v>
      </c>
      <c r="BK305" s="561">
        <v>519</v>
      </c>
      <c r="BL305" s="561">
        <v>332</v>
      </c>
      <c r="BM305" s="561">
        <v>5979</v>
      </c>
      <c r="BN305" s="561">
        <v>47060</v>
      </c>
      <c r="BO305" s="561">
        <v>6191</v>
      </c>
      <c r="BP305" s="561">
        <v>9335</v>
      </c>
      <c r="BQ305" s="561">
        <v>9775</v>
      </c>
      <c r="BR305" s="561">
        <v>183</v>
      </c>
      <c r="BS305" s="561">
        <v>2205</v>
      </c>
      <c r="BT305" s="561">
        <v>1378</v>
      </c>
      <c r="BU305" s="561">
        <v>733</v>
      </c>
      <c r="BV305" s="561">
        <v>642</v>
      </c>
      <c r="BW305" s="561">
        <v>11369</v>
      </c>
      <c r="BX305" s="561">
        <v>2109</v>
      </c>
      <c r="BY305" s="561">
        <v>9538</v>
      </c>
      <c r="BZ305" s="561">
        <v>151258</v>
      </c>
      <c r="CA305" s="561">
        <v>1505</v>
      </c>
      <c r="CB305" s="561">
        <v>707</v>
      </c>
      <c r="CC305" s="561">
        <v>601</v>
      </c>
      <c r="CD305" s="561">
        <v>192</v>
      </c>
      <c r="CE305" s="561">
        <v>218</v>
      </c>
      <c r="CF305" s="561">
        <v>202</v>
      </c>
      <c r="CG305" s="561">
        <v>62</v>
      </c>
      <c r="CH305" s="561">
        <v>505</v>
      </c>
      <c r="CI305" s="561">
        <v>122</v>
      </c>
      <c r="CJ305" s="561">
        <v>78</v>
      </c>
      <c r="CK305" s="561">
        <v>107</v>
      </c>
      <c r="CL305" s="561">
        <v>16</v>
      </c>
      <c r="CM305" s="561">
        <v>1504</v>
      </c>
      <c r="CN305" s="561">
        <v>306</v>
      </c>
      <c r="CO305" s="561">
        <v>461</v>
      </c>
      <c r="CP305" s="561">
        <v>34</v>
      </c>
      <c r="CQ305" s="561">
        <v>184</v>
      </c>
      <c r="CR305" s="561">
        <v>584</v>
      </c>
      <c r="CS305" s="561">
        <v>115</v>
      </c>
      <c r="CT305" s="561">
        <v>1383</v>
      </c>
      <c r="CU305" s="561">
        <v>2328</v>
      </c>
      <c r="CV305" s="561">
        <v>200</v>
      </c>
      <c r="CW305" s="561">
        <v>45</v>
      </c>
      <c r="CX305" s="561">
        <v>341</v>
      </c>
      <c r="CY305" s="561">
        <v>435</v>
      </c>
      <c r="CZ305" s="561">
        <v>10730</v>
      </c>
      <c r="DA305" s="561">
        <v>0</v>
      </c>
      <c r="DB305" s="561">
        <v>0</v>
      </c>
      <c r="DC305" s="561">
        <v>0</v>
      </c>
      <c r="DD305" s="561">
        <v>0</v>
      </c>
      <c r="DE305" s="561">
        <v>0</v>
      </c>
      <c r="DF305" s="561">
        <v>0</v>
      </c>
      <c r="DG305" s="561">
        <v>0</v>
      </c>
      <c r="DH305" s="561">
        <v>1225</v>
      </c>
      <c r="DI305" s="561">
        <v>0</v>
      </c>
      <c r="DJ305" s="561">
        <v>9</v>
      </c>
      <c r="DK305" s="561">
        <v>-4</v>
      </c>
      <c r="DL305" s="561">
        <v>0</v>
      </c>
      <c r="DM305" s="561">
        <v>0</v>
      </c>
      <c r="DN305" s="561">
        <v>0</v>
      </c>
      <c r="DO305" s="561">
        <v>574</v>
      </c>
      <c r="DP305" s="561">
        <v>0</v>
      </c>
      <c r="DQ305" s="561">
        <v>-25</v>
      </c>
      <c r="DR305" s="561">
        <v>426</v>
      </c>
      <c r="DS305" s="561">
        <v>699</v>
      </c>
      <c r="DT305" s="561">
        <v>0</v>
      </c>
      <c r="DU305" s="561">
        <v>1674</v>
      </c>
      <c r="DV305" s="561">
        <v>253</v>
      </c>
      <c r="DW305" s="561">
        <v>0</v>
      </c>
      <c r="DX305" s="561">
        <v>0</v>
      </c>
      <c r="DY305" s="561">
        <v>1315</v>
      </c>
      <c r="DZ305" s="561">
        <v>41</v>
      </c>
      <c r="EA305" s="561">
        <v>1899</v>
      </c>
      <c r="EB305" s="561">
        <v>0</v>
      </c>
      <c r="EC305" s="561">
        <v>6412</v>
      </c>
      <c r="ED305" s="561">
        <v>190</v>
      </c>
      <c r="EE305" s="561">
        <v>0</v>
      </c>
      <c r="EF305" s="561">
        <v>0</v>
      </c>
      <c r="EG305" s="561">
        <v>0</v>
      </c>
      <c r="EH305" s="561">
        <v>0</v>
      </c>
      <c r="EI305" s="561">
        <v>0</v>
      </c>
      <c r="EJ305" s="561">
        <v>0</v>
      </c>
      <c r="EK305" s="561">
        <v>0</v>
      </c>
      <c r="EL305" s="561">
        <v>0</v>
      </c>
      <c r="EM305" s="561">
        <v>0</v>
      </c>
      <c r="EN305" s="561">
        <v>0</v>
      </c>
      <c r="EO305" s="561">
        <v>0</v>
      </c>
      <c r="EP305" s="561">
        <v>0</v>
      </c>
      <c r="EQ305" s="561">
        <v>0</v>
      </c>
      <c r="ER305" s="561">
        <v>0</v>
      </c>
      <c r="ES305" s="561" t="s">
        <v>4565</v>
      </c>
      <c r="ET305" s="561">
        <v>0</v>
      </c>
      <c r="EU305" s="561">
        <v>0</v>
      </c>
      <c r="EV305" s="561">
        <v>0</v>
      </c>
      <c r="EW305" s="561">
        <v>0</v>
      </c>
      <c r="EX305" s="561">
        <v>0</v>
      </c>
      <c r="EY305" s="561">
        <v>0</v>
      </c>
      <c r="EZ305" s="561">
        <v>0</v>
      </c>
      <c r="FA305" s="561">
        <v>0</v>
      </c>
      <c r="FB305" s="561">
        <v>167</v>
      </c>
      <c r="FC305" s="561">
        <v>0</v>
      </c>
      <c r="FD305" s="561">
        <v>100</v>
      </c>
      <c r="FE305" s="561">
        <v>0</v>
      </c>
      <c r="FF305" s="561">
        <v>14</v>
      </c>
      <c r="FG305" s="561">
        <v>0</v>
      </c>
      <c r="FH305" s="561">
        <v>0</v>
      </c>
      <c r="FI305" s="561">
        <v>6</v>
      </c>
      <c r="FJ305" s="561">
        <v>-135</v>
      </c>
      <c r="FK305" s="561">
        <v>4275</v>
      </c>
      <c r="FL305" s="561">
        <v>0</v>
      </c>
      <c r="FM305" s="561">
        <v>0</v>
      </c>
      <c r="FN305" s="561">
        <v>2534</v>
      </c>
      <c r="FO305" s="561">
        <v>6961</v>
      </c>
      <c r="FP305" s="561">
        <v>25</v>
      </c>
      <c r="FQ305" s="561">
        <v>-270</v>
      </c>
      <c r="FR305" s="561">
        <v>631</v>
      </c>
      <c r="FS305" s="561">
        <v>0</v>
      </c>
      <c r="FT305" s="561">
        <v>405</v>
      </c>
      <c r="FU305" s="561">
        <v>932</v>
      </c>
      <c r="FV305" s="561">
        <v>717</v>
      </c>
      <c r="FW305" s="561">
        <v>514</v>
      </c>
      <c r="FX305" s="561">
        <v>0</v>
      </c>
      <c r="FY305" s="561">
        <v>0</v>
      </c>
      <c r="FZ305" s="561">
        <v>113</v>
      </c>
      <c r="GA305" s="561">
        <v>254</v>
      </c>
      <c r="GB305" s="561">
        <v>88</v>
      </c>
      <c r="GC305" s="561">
        <v>85</v>
      </c>
      <c r="GD305" s="561">
        <v>1257</v>
      </c>
      <c r="GE305" s="561">
        <v>0</v>
      </c>
      <c r="GF305" s="561">
        <v>300</v>
      </c>
      <c r="GG305" s="561">
        <v>401</v>
      </c>
      <c r="GH305" s="561">
        <v>379</v>
      </c>
      <c r="GI305" s="561">
        <v>0</v>
      </c>
      <c r="GJ305" s="561">
        <v>0</v>
      </c>
      <c r="GK305" s="561">
        <v>32</v>
      </c>
      <c r="GL305" s="561">
        <v>3061</v>
      </c>
      <c r="GM305" s="561">
        <v>9375</v>
      </c>
      <c r="GN305" s="561">
        <v>12307</v>
      </c>
      <c r="GO305" s="561">
        <v>0</v>
      </c>
      <c r="GP305" s="561">
        <v>4305</v>
      </c>
      <c r="GQ305" s="561">
        <v>284</v>
      </c>
      <c r="GR305" s="561">
        <v>2281</v>
      </c>
      <c r="GS305" s="561">
        <v>37451</v>
      </c>
      <c r="GT305" s="561">
        <v>134</v>
      </c>
      <c r="GU305" s="561">
        <v>313</v>
      </c>
      <c r="GV305" s="561">
        <v>446</v>
      </c>
      <c r="GW305" s="561">
        <v>219</v>
      </c>
      <c r="GX305" s="561">
        <v>1527</v>
      </c>
      <c r="GY305" s="561">
        <v>130</v>
      </c>
      <c r="GZ305" s="561">
        <v>1520</v>
      </c>
      <c r="HA305" s="561">
        <v>0</v>
      </c>
      <c r="HB305" s="561">
        <v>0</v>
      </c>
      <c r="HC305" s="561">
        <v>1514</v>
      </c>
      <c r="HD305" s="561">
        <v>5669</v>
      </c>
      <c r="HE305" s="561">
        <v>0</v>
      </c>
      <c r="HF305" s="561">
        <v>50081</v>
      </c>
      <c r="HG305" s="561">
        <v>159</v>
      </c>
      <c r="HH305" s="561">
        <v>0</v>
      </c>
      <c r="HI305" s="561">
        <v>0</v>
      </c>
      <c r="HJ305" s="561">
        <v>0</v>
      </c>
      <c r="HK305" s="561">
        <v>0</v>
      </c>
      <c r="HL305" s="561">
        <v>0</v>
      </c>
      <c r="HM305" s="561">
        <v>0</v>
      </c>
      <c r="HN305" s="561">
        <v>0</v>
      </c>
      <c r="HO305" s="561">
        <v>8907</v>
      </c>
      <c r="HP305" s="561">
        <v>1918</v>
      </c>
      <c r="HQ305" s="561">
        <v>0</v>
      </c>
      <c r="HR305" s="561">
        <v>0</v>
      </c>
      <c r="HS305" s="561">
        <v>992</v>
      </c>
      <c r="HT305" s="561">
        <v>-118</v>
      </c>
      <c r="HU305" s="561">
        <v>0</v>
      </c>
      <c r="HV305" s="561">
        <v>-95</v>
      </c>
      <c r="HW305" s="561">
        <v>230</v>
      </c>
      <c r="HX305" s="561">
        <v>151</v>
      </c>
      <c r="HY305" s="561">
        <v>111</v>
      </c>
      <c r="HZ305" s="561">
        <v>-234</v>
      </c>
      <c r="IA305" s="561">
        <v>3228</v>
      </c>
      <c r="IB305" s="561">
        <v>0</v>
      </c>
      <c r="IC305" s="561">
        <v>790</v>
      </c>
      <c r="ID305" s="561">
        <v>8.06</v>
      </c>
      <c r="IE305" s="561">
        <v>-2680.81</v>
      </c>
      <c r="IF305" s="561">
        <v>0</v>
      </c>
      <c r="IG305" s="561">
        <v>0</v>
      </c>
      <c r="IH305" s="561">
        <v>-553</v>
      </c>
      <c r="II305" s="561">
        <v>12654.25</v>
      </c>
      <c r="IJ305" s="561">
        <v>1087</v>
      </c>
      <c r="IK305" s="561">
        <v>0</v>
      </c>
      <c r="IL305" s="561">
        <v>24478</v>
      </c>
      <c r="IM305" s="561">
        <v>0</v>
      </c>
      <c r="IN305" s="561">
        <v>0</v>
      </c>
      <c r="IO305" s="561">
        <v>2532</v>
      </c>
      <c r="IP305" s="561">
        <v>11016</v>
      </c>
      <c r="IQ305" s="561">
        <v>0</v>
      </c>
      <c r="IR305" s="561">
        <v>187106</v>
      </c>
      <c r="IS305" s="561">
        <v>16299</v>
      </c>
      <c r="IT305" s="561">
        <v>62809</v>
      </c>
      <c r="IU305" s="561">
        <v>151258</v>
      </c>
      <c r="IV305" s="561">
        <v>10730</v>
      </c>
      <c r="IW305" s="561">
        <v>6412</v>
      </c>
      <c r="IX305" s="561">
        <v>6961</v>
      </c>
      <c r="IY305" s="561">
        <v>37451</v>
      </c>
      <c r="IZ305" s="561">
        <v>5669</v>
      </c>
      <c r="JA305" s="561">
        <v>0</v>
      </c>
      <c r="JB305" s="561">
        <v>0</v>
      </c>
      <c r="JC305" s="561">
        <v>12654.25</v>
      </c>
      <c r="JD305" s="561">
        <v>11016</v>
      </c>
      <c r="JE305" s="561">
        <v>508365.25</v>
      </c>
      <c r="JF305" s="561">
        <v>35986</v>
      </c>
      <c r="JG305" s="561">
        <v>3288</v>
      </c>
      <c r="JH305" s="561">
        <v>0</v>
      </c>
      <c r="JI305" s="561">
        <v>0</v>
      </c>
      <c r="JJ305" s="561">
        <v>0</v>
      </c>
      <c r="JK305" s="561">
        <v>10824</v>
      </c>
      <c r="JL305" s="561">
        <v>4014</v>
      </c>
      <c r="JM305" s="561">
        <v>0</v>
      </c>
      <c r="JN305" s="561">
        <v>0</v>
      </c>
      <c r="JO305" s="561">
        <v>0</v>
      </c>
      <c r="JP305" s="561">
        <v>13</v>
      </c>
      <c r="JQ305" s="561">
        <v>-1440</v>
      </c>
      <c r="JR305" s="561">
        <v>0</v>
      </c>
      <c r="JS305" s="561">
        <v>0</v>
      </c>
      <c r="JT305" s="561">
        <v>0</v>
      </c>
      <c r="JU305" s="561">
        <v>0</v>
      </c>
      <c r="JV305" s="561">
        <v>561050.25</v>
      </c>
      <c r="JW305" s="561">
        <v>427</v>
      </c>
      <c r="JX305" s="561">
        <v>2720</v>
      </c>
      <c r="JY305" s="561">
        <v>0</v>
      </c>
      <c r="JZ305" s="561">
        <v>0</v>
      </c>
      <c r="KA305" s="561">
        <v>0</v>
      </c>
      <c r="KB305" s="561">
        <v>2989</v>
      </c>
      <c r="KC305" s="561">
        <v>6096</v>
      </c>
      <c r="KD305" s="561">
        <v>0</v>
      </c>
      <c r="KE305" s="561">
        <v>11918</v>
      </c>
      <c r="KF305" s="561">
        <v>0</v>
      </c>
      <c r="KG305" s="561">
        <v>585200.25</v>
      </c>
      <c r="KH305" s="561">
        <v>-14029</v>
      </c>
      <c r="KI305" s="561">
        <v>0</v>
      </c>
      <c r="KJ305" s="561">
        <v>0</v>
      </c>
      <c r="KK305" s="561">
        <v>0</v>
      </c>
      <c r="KL305" s="561">
        <v>-43562.77</v>
      </c>
      <c r="KM305" s="561">
        <v>0</v>
      </c>
      <c r="KN305" s="561">
        <v>-1118</v>
      </c>
      <c r="KO305" s="561">
        <v>0</v>
      </c>
      <c r="KP305" s="561">
        <v>0</v>
      </c>
      <c r="KQ305" s="561">
        <v>-11455</v>
      </c>
      <c r="KR305" s="561">
        <v>515035.48</v>
      </c>
      <c r="KS305" s="561">
        <v>0</v>
      </c>
      <c r="KT305" s="561">
        <v>-248442</v>
      </c>
      <c r="KU305" s="561">
        <v>266593.48</v>
      </c>
      <c r="KV305" s="561">
        <v>0</v>
      </c>
      <c r="KW305" s="561">
        <v>-3276</v>
      </c>
      <c r="KX305" s="561">
        <v>0</v>
      </c>
      <c r="KY305" s="561">
        <v>46</v>
      </c>
      <c r="KZ305" s="561">
        <v>4705.3500000000004</v>
      </c>
      <c r="LA305" s="561">
        <v>0</v>
      </c>
      <c r="LB305" s="561">
        <v>0</v>
      </c>
      <c r="LC305" s="561">
        <v>0</v>
      </c>
      <c r="LD305" s="561">
        <v>-68902</v>
      </c>
      <c r="LE305" s="561">
        <v>0</v>
      </c>
      <c r="LF305" s="561">
        <v>0</v>
      </c>
      <c r="LG305" s="561">
        <v>199167</v>
      </c>
      <c r="LH305" s="561">
        <v>6313</v>
      </c>
      <c r="LI305" s="561">
        <v>-27460</v>
      </c>
      <c r="LJ305" s="561">
        <v>0</v>
      </c>
      <c r="LK305" s="561">
        <v>2131</v>
      </c>
      <c r="LL305" s="561">
        <v>127973.39</v>
      </c>
      <c r="LM305" s="561">
        <v>19010</v>
      </c>
      <c r="LN305" s="561">
        <v>3037</v>
      </c>
      <c r="LO305" s="561">
        <v>-38915</v>
      </c>
      <c r="LP305" s="561">
        <v>0</v>
      </c>
      <c r="LQ305" s="561">
        <v>2177</v>
      </c>
      <c r="LR305" s="561">
        <v>132678.74</v>
      </c>
      <c r="LS305" s="561">
        <v>19010</v>
      </c>
      <c r="LT305" s="561">
        <v>0</v>
      </c>
      <c r="LU305" s="561">
        <v>44426</v>
      </c>
      <c r="LV305" s="561">
        <v>1008</v>
      </c>
      <c r="LW305" s="561">
        <v>10323</v>
      </c>
      <c r="LX305" s="561">
        <v>-75591</v>
      </c>
      <c r="LY305" s="561">
        <v>37959</v>
      </c>
      <c r="LZ305" s="561">
        <v>19323</v>
      </c>
      <c r="MA305" s="561">
        <v>0</v>
      </c>
      <c r="MB305" s="561">
        <v>0</v>
      </c>
      <c r="MC305" s="561">
        <v>0</v>
      </c>
      <c r="MD305" s="561">
        <v>0</v>
      </c>
      <c r="ME305" s="561">
        <v>0</v>
      </c>
      <c r="MF305" s="561">
        <v>0</v>
      </c>
      <c r="MG305" s="561">
        <v>0</v>
      </c>
      <c r="MH305" s="561">
        <v>5760</v>
      </c>
      <c r="MI305" s="561">
        <v>6354</v>
      </c>
      <c r="MJ305" s="561">
        <v>12114</v>
      </c>
      <c r="MK305" s="561">
        <v>0</v>
      </c>
      <c r="ML305" s="561">
        <v>5191.95</v>
      </c>
      <c r="MM305" s="561">
        <v>76811.3</v>
      </c>
      <c r="MN305" s="561">
        <v>437</v>
      </c>
      <c r="MO305" s="561">
        <v>50238.49</v>
      </c>
      <c r="MP305" s="561">
        <v>0</v>
      </c>
      <c r="MQ305" s="561">
        <v>187106</v>
      </c>
      <c r="MR305" s="561">
        <v>16299</v>
      </c>
      <c r="MS305" s="561">
        <v>62809</v>
      </c>
      <c r="MT305" s="561">
        <v>151258</v>
      </c>
      <c r="MU305" s="561">
        <v>10730</v>
      </c>
      <c r="MV305" s="561">
        <v>6412</v>
      </c>
      <c r="MW305" s="561">
        <v>6961</v>
      </c>
      <c r="MX305" s="561">
        <v>37451</v>
      </c>
      <c r="MY305" s="561">
        <v>5669</v>
      </c>
      <c r="MZ305" s="561">
        <v>0</v>
      </c>
      <c r="NA305" s="561">
        <v>0</v>
      </c>
      <c r="NB305" s="561">
        <v>12654.25</v>
      </c>
      <c r="NC305" s="561">
        <v>11016</v>
      </c>
      <c r="ND305" s="561">
        <v>508365.25</v>
      </c>
      <c r="NE305" s="561">
        <v>0</v>
      </c>
      <c r="NF305" s="561">
        <v>0</v>
      </c>
      <c r="NG305" s="561">
        <v>0</v>
      </c>
      <c r="NH305" s="561">
        <v>0</v>
      </c>
      <c r="NI305" s="561">
        <v>0</v>
      </c>
      <c r="NJ305" s="561">
        <v>0</v>
      </c>
      <c r="NK305" s="561">
        <v>0</v>
      </c>
      <c r="NL305" s="561">
        <v>0</v>
      </c>
      <c r="NM305" s="561">
        <v>0</v>
      </c>
      <c r="NN305" s="561">
        <v>0</v>
      </c>
      <c r="NO305" s="561">
        <v>0</v>
      </c>
      <c r="NP305" s="561">
        <v>0</v>
      </c>
      <c r="NQ305" s="561">
        <v>197</v>
      </c>
      <c r="NR305" s="561">
        <v>0</v>
      </c>
      <c r="NS305" s="561">
        <v>0</v>
      </c>
      <c r="NT305" s="561">
        <v>-287</v>
      </c>
      <c r="NU305" s="561">
        <v>0</v>
      </c>
      <c r="NV305" s="561">
        <v>0</v>
      </c>
      <c r="NW305" s="561">
        <v>13</v>
      </c>
      <c r="NX305" s="561">
        <v>0</v>
      </c>
      <c r="NY305" s="561">
        <v>13</v>
      </c>
      <c r="NZ305" s="561">
        <v>197</v>
      </c>
      <c r="OA305" s="561">
        <v>0</v>
      </c>
      <c r="OB305" s="561">
        <v>-1795</v>
      </c>
      <c r="OC305" s="561">
        <v>0</v>
      </c>
      <c r="OD305" s="561">
        <v>0</v>
      </c>
      <c r="OE305" s="561">
        <v>0</v>
      </c>
      <c r="OF305" s="561">
        <v>0</v>
      </c>
      <c r="OG305" s="561">
        <v>0</v>
      </c>
      <c r="OH305" s="561">
        <v>0</v>
      </c>
      <c r="OI305" s="561">
        <v>1460</v>
      </c>
      <c r="OJ305" s="561">
        <v>0</v>
      </c>
      <c r="OK305" s="561">
        <v>-34</v>
      </c>
      <c r="OL305" s="561">
        <v>-50</v>
      </c>
      <c r="OM305" s="561">
        <v>-1250</v>
      </c>
      <c r="ON305" s="561">
        <v>-551</v>
      </c>
      <c r="OO305" s="561">
        <v>0</v>
      </c>
      <c r="OP305" s="561">
        <v>0</v>
      </c>
      <c r="OQ305" s="561">
        <v>0</v>
      </c>
      <c r="OR305" s="561">
        <v>0</v>
      </c>
      <c r="OS305" s="561">
        <v>-9</v>
      </c>
      <c r="OT305" s="561">
        <v>0</v>
      </c>
      <c r="OU305" s="561">
        <v>0</v>
      </c>
      <c r="OV305" s="561">
        <v>0</v>
      </c>
      <c r="OW305" s="561">
        <v>0</v>
      </c>
      <c r="OX305" s="561">
        <v>-1440</v>
      </c>
      <c r="OY305" s="561">
        <v>0</v>
      </c>
      <c r="OZ305" s="561">
        <v>0</v>
      </c>
      <c r="PA305" s="561">
        <v>0</v>
      </c>
      <c r="PB305" s="561">
        <v>0</v>
      </c>
      <c r="PC305" s="561">
        <v>0</v>
      </c>
      <c r="PD305" s="561">
        <v>0</v>
      </c>
      <c r="PE305" s="561">
        <v>0</v>
      </c>
      <c r="PF305" s="561">
        <v>0</v>
      </c>
      <c r="PG305" s="561">
        <v>0</v>
      </c>
      <c r="PH305" s="561">
        <v>0</v>
      </c>
      <c r="PI305" s="561">
        <v>0</v>
      </c>
      <c r="PJ305" s="561">
        <v>0</v>
      </c>
    </row>
    <row r="306" spans="1:426" ht="14" x14ac:dyDescent="0.3">
      <c r="A306" t="s">
        <v>3361</v>
      </c>
      <c r="B306" t="s">
        <v>3362</v>
      </c>
      <c r="C306" t="s">
        <v>3363</v>
      </c>
      <c r="E306" t="s">
        <v>384</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0</v>
      </c>
      <c r="W306" s="561">
        <v>0</v>
      </c>
      <c r="X306" s="561">
        <v>0</v>
      </c>
      <c r="Y306" s="561">
        <v>0</v>
      </c>
      <c r="Z306" s="561">
        <v>0</v>
      </c>
      <c r="AA306" s="561">
        <v>0</v>
      </c>
      <c r="AB306" s="561">
        <v>-1522</v>
      </c>
      <c r="AC306" s="561">
        <v>0</v>
      </c>
      <c r="AD306" s="561">
        <v>0</v>
      </c>
      <c r="AE306" s="561">
        <v>0</v>
      </c>
      <c r="AF306" s="561">
        <v>0</v>
      </c>
      <c r="AG306" s="561">
        <v>0</v>
      </c>
      <c r="AH306" s="561">
        <v>0</v>
      </c>
      <c r="AI306" s="561">
        <v>-168</v>
      </c>
      <c r="AJ306" s="561">
        <v>-1690</v>
      </c>
      <c r="AK306" s="561">
        <v>0</v>
      </c>
      <c r="AL306" s="561">
        <v>0</v>
      </c>
      <c r="AM306" s="561">
        <v>0</v>
      </c>
      <c r="AN306" s="561">
        <v>0</v>
      </c>
      <c r="AO306" s="561">
        <v>0</v>
      </c>
      <c r="AP306" s="561">
        <v>0</v>
      </c>
      <c r="AQ306" s="561">
        <v>0</v>
      </c>
      <c r="AR306" s="561">
        <v>0</v>
      </c>
      <c r="AS306" s="561">
        <v>0</v>
      </c>
      <c r="AT306" s="561">
        <v>0</v>
      </c>
      <c r="AU306" s="561">
        <v>0</v>
      </c>
      <c r="AV306" s="561">
        <v>0</v>
      </c>
      <c r="AW306" s="561">
        <v>0</v>
      </c>
      <c r="AX306" s="561">
        <v>0</v>
      </c>
      <c r="AY306" s="561">
        <v>0</v>
      </c>
      <c r="AZ306" s="561">
        <v>0</v>
      </c>
      <c r="BA306" s="561">
        <v>0</v>
      </c>
      <c r="BB306" s="561">
        <v>0</v>
      </c>
      <c r="BC306" s="561">
        <v>0</v>
      </c>
      <c r="BD306" s="561">
        <v>0</v>
      </c>
      <c r="BE306" s="561">
        <v>0</v>
      </c>
      <c r="BF306" s="561">
        <v>0</v>
      </c>
      <c r="BG306" s="561">
        <v>0</v>
      </c>
      <c r="BH306" s="561">
        <v>0</v>
      </c>
      <c r="BI306" s="561">
        <v>0</v>
      </c>
      <c r="BJ306" s="561">
        <v>0</v>
      </c>
      <c r="BK306" s="561">
        <v>0</v>
      </c>
      <c r="BL306" s="561">
        <v>0</v>
      </c>
      <c r="BM306" s="561">
        <v>0</v>
      </c>
      <c r="BN306" s="561">
        <v>0</v>
      </c>
      <c r="BO306" s="561">
        <v>0</v>
      </c>
      <c r="BP306" s="561">
        <v>0</v>
      </c>
      <c r="BQ306" s="561">
        <v>0</v>
      </c>
      <c r="BR306" s="561">
        <v>0</v>
      </c>
      <c r="BS306" s="561">
        <v>0</v>
      </c>
      <c r="BT306" s="561">
        <v>0</v>
      </c>
      <c r="BU306" s="561">
        <v>0</v>
      </c>
      <c r="BV306" s="561">
        <v>0</v>
      </c>
      <c r="BW306" s="561">
        <v>0</v>
      </c>
      <c r="BX306" s="561">
        <v>0</v>
      </c>
      <c r="BY306" s="561">
        <v>0</v>
      </c>
      <c r="BZ306" s="561">
        <v>0</v>
      </c>
      <c r="CA306" s="561">
        <v>0</v>
      </c>
      <c r="CB306" s="561">
        <v>0</v>
      </c>
      <c r="CC306" s="561">
        <v>0</v>
      </c>
      <c r="CD306" s="561">
        <v>0</v>
      </c>
      <c r="CE306" s="561">
        <v>0</v>
      </c>
      <c r="CF306" s="561">
        <v>0</v>
      </c>
      <c r="CG306" s="561">
        <v>0</v>
      </c>
      <c r="CH306" s="561">
        <v>0</v>
      </c>
      <c r="CI306" s="561">
        <v>0</v>
      </c>
      <c r="CJ306" s="561">
        <v>0</v>
      </c>
      <c r="CK306" s="561">
        <v>0</v>
      </c>
      <c r="CL306" s="561">
        <v>0</v>
      </c>
      <c r="CM306" s="561">
        <v>0</v>
      </c>
      <c r="CN306" s="561">
        <v>0</v>
      </c>
      <c r="CO306" s="561">
        <v>0</v>
      </c>
      <c r="CP306" s="561">
        <v>0</v>
      </c>
      <c r="CQ306" s="561">
        <v>0</v>
      </c>
      <c r="CR306" s="561">
        <v>0</v>
      </c>
      <c r="CS306" s="561">
        <v>0</v>
      </c>
      <c r="CT306" s="561">
        <v>0</v>
      </c>
      <c r="CU306" s="561">
        <v>0</v>
      </c>
      <c r="CV306" s="561">
        <v>0</v>
      </c>
      <c r="CW306" s="561">
        <v>0</v>
      </c>
      <c r="CX306" s="561">
        <v>0</v>
      </c>
      <c r="CY306" s="561">
        <v>0</v>
      </c>
      <c r="CZ306" s="561">
        <v>0</v>
      </c>
      <c r="DA306" s="561">
        <v>0</v>
      </c>
      <c r="DB306" s="561">
        <v>0</v>
      </c>
      <c r="DC306" s="561">
        <v>0</v>
      </c>
      <c r="DD306" s="561">
        <v>0</v>
      </c>
      <c r="DE306" s="561">
        <v>0</v>
      </c>
      <c r="DF306" s="561">
        <v>0</v>
      </c>
      <c r="DG306" s="561">
        <v>0</v>
      </c>
      <c r="DH306" s="561">
        <v>539</v>
      </c>
      <c r="DI306" s="561">
        <v>0</v>
      </c>
      <c r="DJ306" s="561">
        <v>109</v>
      </c>
      <c r="DK306" s="561">
        <v>0</v>
      </c>
      <c r="DL306" s="561">
        <v>0</v>
      </c>
      <c r="DM306" s="561">
        <v>61</v>
      </c>
      <c r="DN306" s="561">
        <v>0</v>
      </c>
      <c r="DO306" s="561">
        <v>-583</v>
      </c>
      <c r="DP306" s="561">
        <v>-64</v>
      </c>
      <c r="DQ306" s="561">
        <v>1</v>
      </c>
      <c r="DR306" s="561">
        <v>1798</v>
      </c>
      <c r="DS306" s="561">
        <v>-26</v>
      </c>
      <c r="DT306" s="561">
        <v>0</v>
      </c>
      <c r="DU306" s="561">
        <v>1187</v>
      </c>
      <c r="DV306" s="561">
        <v>96</v>
      </c>
      <c r="DW306" s="561">
        <v>0</v>
      </c>
      <c r="DX306" s="561">
        <v>0</v>
      </c>
      <c r="DY306" s="561">
        <v>893</v>
      </c>
      <c r="DZ306" s="561">
        <v>0</v>
      </c>
      <c r="EA306" s="561">
        <v>0</v>
      </c>
      <c r="EB306" s="561">
        <v>0</v>
      </c>
      <c r="EC306" s="561">
        <v>2824</v>
      </c>
      <c r="ED306" s="561">
        <v>0</v>
      </c>
      <c r="EE306" s="561">
        <v>0</v>
      </c>
      <c r="EF306" s="561">
        <v>0</v>
      </c>
      <c r="EG306" s="561">
        <v>0</v>
      </c>
      <c r="EH306" s="561">
        <v>0</v>
      </c>
      <c r="EI306" s="561">
        <v>0</v>
      </c>
      <c r="EJ306" s="561">
        <v>0</v>
      </c>
      <c r="EK306" s="561">
        <v>0</v>
      </c>
      <c r="EL306" s="561">
        <v>0</v>
      </c>
      <c r="EM306" s="561">
        <v>0</v>
      </c>
      <c r="EN306" s="561">
        <v>0</v>
      </c>
      <c r="EO306" s="561">
        <v>0</v>
      </c>
      <c r="EP306" s="561">
        <v>0</v>
      </c>
      <c r="EQ306" s="561">
        <v>0</v>
      </c>
      <c r="ER306" s="561">
        <v>0</v>
      </c>
      <c r="ES306" s="561" t="s">
        <v>4565</v>
      </c>
      <c r="ET306" s="561">
        <v>0</v>
      </c>
      <c r="EU306" s="561">
        <v>0</v>
      </c>
      <c r="EV306" s="561">
        <v>0</v>
      </c>
      <c r="EW306" s="561">
        <v>0</v>
      </c>
      <c r="EX306" s="561">
        <v>0</v>
      </c>
      <c r="EY306" s="561">
        <v>0</v>
      </c>
      <c r="EZ306" s="561">
        <v>0</v>
      </c>
      <c r="FA306" s="561">
        <v>0</v>
      </c>
      <c r="FB306" s="561">
        <v>0</v>
      </c>
      <c r="FC306" s="561">
        <v>0</v>
      </c>
      <c r="FD306" s="561">
        <v>0</v>
      </c>
      <c r="FE306" s="561">
        <v>0</v>
      </c>
      <c r="FF306" s="561">
        <v>0</v>
      </c>
      <c r="FG306" s="561">
        <v>0</v>
      </c>
      <c r="FH306" s="561">
        <v>0</v>
      </c>
      <c r="FI306" s="561">
        <v>350</v>
      </c>
      <c r="FJ306" s="561">
        <v>-294</v>
      </c>
      <c r="FK306" s="561">
        <v>861</v>
      </c>
      <c r="FL306" s="561">
        <v>0</v>
      </c>
      <c r="FM306" s="561">
        <v>0</v>
      </c>
      <c r="FN306" s="561">
        <v>0</v>
      </c>
      <c r="FO306" s="561">
        <v>917</v>
      </c>
      <c r="FP306" s="561">
        <v>0</v>
      </c>
      <c r="FQ306" s="561">
        <v>47</v>
      </c>
      <c r="FR306" s="561">
        <v>0</v>
      </c>
      <c r="FS306" s="561">
        <v>73</v>
      </c>
      <c r="FT306" s="561">
        <v>146</v>
      </c>
      <c r="FU306" s="561">
        <v>248</v>
      </c>
      <c r="FV306" s="561">
        <v>65</v>
      </c>
      <c r="FW306" s="561">
        <v>24</v>
      </c>
      <c r="FX306" s="561">
        <v>0</v>
      </c>
      <c r="FY306" s="561">
        <v>0</v>
      </c>
      <c r="FZ306" s="561">
        <v>0</v>
      </c>
      <c r="GA306" s="561">
        <v>797</v>
      </c>
      <c r="GB306" s="561">
        <v>211</v>
      </c>
      <c r="GC306" s="561">
        <v>214</v>
      </c>
      <c r="GD306" s="561">
        <v>59</v>
      </c>
      <c r="GE306" s="561">
        <v>0</v>
      </c>
      <c r="GF306" s="561">
        <v>0</v>
      </c>
      <c r="GG306" s="561">
        <v>48</v>
      </c>
      <c r="GH306" s="561">
        <v>0</v>
      </c>
      <c r="GI306" s="561">
        <v>0</v>
      </c>
      <c r="GJ306" s="561">
        <v>-26</v>
      </c>
      <c r="GK306" s="561">
        <v>0</v>
      </c>
      <c r="GL306" s="561">
        <v>999</v>
      </c>
      <c r="GM306" s="561">
        <v>3365</v>
      </c>
      <c r="GN306" s="561">
        <v>295</v>
      </c>
      <c r="GO306" s="561">
        <v>40</v>
      </c>
      <c r="GP306" s="561">
        <v>0</v>
      </c>
      <c r="GQ306" s="561">
        <v>0</v>
      </c>
      <c r="GR306" s="561">
        <v>3125</v>
      </c>
      <c r="GS306" s="561">
        <v>9730</v>
      </c>
      <c r="GT306" s="561">
        <v>0</v>
      </c>
      <c r="GU306" s="561">
        <v>247</v>
      </c>
      <c r="GV306" s="561">
        <v>885</v>
      </c>
      <c r="GW306" s="561">
        <v>0</v>
      </c>
      <c r="GX306" s="561">
        <v>327</v>
      </c>
      <c r="GY306" s="561">
        <v>72</v>
      </c>
      <c r="GZ306" s="561">
        <v>892</v>
      </c>
      <c r="HA306" s="561">
        <v>0</v>
      </c>
      <c r="HB306" s="561">
        <v>0</v>
      </c>
      <c r="HC306" s="561">
        <v>214</v>
      </c>
      <c r="HD306" s="561">
        <v>2637</v>
      </c>
      <c r="HE306" s="561">
        <v>0</v>
      </c>
      <c r="HF306" s="561">
        <v>13284</v>
      </c>
      <c r="HG306" s="561">
        <v>0</v>
      </c>
      <c r="HH306" s="561">
        <v>0</v>
      </c>
      <c r="HI306" s="561">
        <v>0</v>
      </c>
      <c r="HJ306" s="561">
        <v>0</v>
      </c>
      <c r="HK306" s="561">
        <v>0</v>
      </c>
      <c r="HL306" s="561">
        <v>0</v>
      </c>
      <c r="HM306" s="561">
        <v>0</v>
      </c>
      <c r="HN306" s="561">
        <v>0</v>
      </c>
      <c r="HO306" s="561">
        <v>1672</v>
      </c>
      <c r="HP306" s="561">
        <v>462</v>
      </c>
      <c r="HQ306" s="561">
        <v>0</v>
      </c>
      <c r="HR306" s="561">
        <v>0</v>
      </c>
      <c r="HS306" s="561">
        <v>269</v>
      </c>
      <c r="HT306" s="561">
        <v>0</v>
      </c>
      <c r="HU306" s="561">
        <v>0</v>
      </c>
      <c r="HV306" s="561">
        <v>0</v>
      </c>
      <c r="HW306" s="561">
        <v>371</v>
      </c>
      <c r="HX306" s="561">
        <v>439</v>
      </c>
      <c r="HY306" s="561">
        <v>156</v>
      </c>
      <c r="HZ306" s="561">
        <v>104</v>
      </c>
      <c r="IA306" s="561">
        <v>0</v>
      </c>
      <c r="IB306" s="561">
        <v>0</v>
      </c>
      <c r="IC306" s="561">
        <v>0</v>
      </c>
      <c r="ID306" s="561">
        <v>0</v>
      </c>
      <c r="IE306" s="561">
        <v>250</v>
      </c>
      <c r="IF306" s="561">
        <v>0</v>
      </c>
      <c r="IG306" s="561">
        <v>0</v>
      </c>
      <c r="IH306" s="561">
        <v>0</v>
      </c>
      <c r="II306" s="561">
        <v>3723</v>
      </c>
      <c r="IJ306" s="561">
        <v>0</v>
      </c>
      <c r="IK306" s="561">
        <v>0</v>
      </c>
      <c r="IL306" s="561">
        <v>0</v>
      </c>
      <c r="IM306" s="561">
        <v>0</v>
      </c>
      <c r="IN306" s="561">
        <v>0</v>
      </c>
      <c r="IO306" s="561">
        <v>0</v>
      </c>
      <c r="IP306" s="561">
        <v>0</v>
      </c>
      <c r="IQ306" s="561">
        <v>0</v>
      </c>
      <c r="IR306" s="561">
        <v>0</v>
      </c>
      <c r="IS306" s="561">
        <v>-1690</v>
      </c>
      <c r="IT306" s="561">
        <v>0</v>
      </c>
      <c r="IU306" s="561">
        <v>0</v>
      </c>
      <c r="IV306" s="561">
        <v>0</v>
      </c>
      <c r="IW306" s="561">
        <v>2824</v>
      </c>
      <c r="IX306" s="561">
        <v>917</v>
      </c>
      <c r="IY306" s="561">
        <v>9730</v>
      </c>
      <c r="IZ306" s="561">
        <v>2637</v>
      </c>
      <c r="JA306" s="561">
        <v>0</v>
      </c>
      <c r="JB306" s="561">
        <v>0</v>
      </c>
      <c r="JC306" s="561">
        <v>3723</v>
      </c>
      <c r="JD306" s="561">
        <v>0</v>
      </c>
      <c r="JE306" s="561">
        <v>18141</v>
      </c>
      <c r="JF306" s="561">
        <v>13630</v>
      </c>
      <c r="JG306" s="561">
        <v>282</v>
      </c>
      <c r="JH306" s="561">
        <v>0</v>
      </c>
      <c r="JI306" s="561">
        <v>0</v>
      </c>
      <c r="JJ306" s="561">
        <v>0</v>
      </c>
      <c r="JK306" s="561">
        <v>3704</v>
      </c>
      <c r="JL306" s="561">
        <v>0</v>
      </c>
      <c r="JM306" s="561">
        <v>0</v>
      </c>
      <c r="JN306" s="561">
        <v>0</v>
      </c>
      <c r="JO306" s="561">
        <v>0</v>
      </c>
      <c r="JP306" s="561">
        <v>0</v>
      </c>
      <c r="JQ306" s="561">
        <v>0</v>
      </c>
      <c r="JR306" s="561">
        <v>0</v>
      </c>
      <c r="JS306" s="561">
        <v>0</v>
      </c>
      <c r="JT306" s="561">
        <v>0</v>
      </c>
      <c r="JU306" s="561">
        <v>25</v>
      </c>
      <c r="JV306" s="561">
        <v>35782</v>
      </c>
      <c r="JW306" s="561">
        <v>0</v>
      </c>
      <c r="JX306" s="561">
        <v>964</v>
      </c>
      <c r="JY306" s="561">
        <v>0</v>
      </c>
      <c r="JZ306" s="561">
        <v>0</v>
      </c>
      <c r="KA306" s="561">
        <v>0</v>
      </c>
      <c r="KB306" s="561">
        <v>0</v>
      </c>
      <c r="KC306" s="561">
        <v>605</v>
      </c>
      <c r="KD306" s="561">
        <v>0</v>
      </c>
      <c r="KE306" s="561">
        <v>370</v>
      </c>
      <c r="KF306" s="561">
        <v>0</v>
      </c>
      <c r="KG306" s="561">
        <v>37721</v>
      </c>
      <c r="KH306" s="561">
        <v>-2504</v>
      </c>
      <c r="KI306" s="561">
        <v>0</v>
      </c>
      <c r="KJ306" s="561">
        <v>0</v>
      </c>
      <c r="KK306" s="561">
        <v>0</v>
      </c>
      <c r="KL306" s="561">
        <v>-13688</v>
      </c>
      <c r="KM306" s="561">
        <v>0</v>
      </c>
      <c r="KN306" s="561">
        <v>0</v>
      </c>
      <c r="KO306" s="561">
        <v>0</v>
      </c>
      <c r="KP306" s="561">
        <v>0</v>
      </c>
      <c r="KQ306" s="561">
        <v>0</v>
      </c>
      <c r="KR306" s="561">
        <v>21529</v>
      </c>
      <c r="KS306" s="561">
        <v>0</v>
      </c>
      <c r="KT306" s="561">
        <v>-4636</v>
      </c>
      <c r="KU306" s="561">
        <v>16893</v>
      </c>
      <c r="KV306" s="561">
        <v>0</v>
      </c>
      <c r="KW306" s="561">
        <v>0</v>
      </c>
      <c r="KX306" s="561">
        <v>0</v>
      </c>
      <c r="KY306" s="561">
        <v>0</v>
      </c>
      <c r="KZ306" s="561">
        <v>-923</v>
      </c>
      <c r="LA306" s="561">
        <v>49</v>
      </c>
      <c r="LB306" s="561">
        <v>-147</v>
      </c>
      <c r="LC306" s="561">
        <v>0</v>
      </c>
      <c r="LD306" s="561">
        <v>-4112</v>
      </c>
      <c r="LE306" s="561">
        <v>-317</v>
      </c>
      <c r="LF306" s="561">
        <v>0</v>
      </c>
      <c r="LG306" s="561">
        <v>11443</v>
      </c>
      <c r="LH306" s="561">
        <v>0</v>
      </c>
      <c r="LI306" s="561">
        <v>0</v>
      </c>
      <c r="LJ306" s="561">
        <v>0</v>
      </c>
      <c r="LK306" s="561">
        <v>0</v>
      </c>
      <c r="LL306" s="561">
        <v>15473</v>
      </c>
      <c r="LM306" s="561">
        <v>2142</v>
      </c>
      <c r="LN306" s="561">
        <v>0</v>
      </c>
      <c r="LO306" s="561">
        <v>0</v>
      </c>
      <c r="LP306" s="561">
        <v>0</v>
      </c>
      <c r="LQ306" s="561">
        <v>0</v>
      </c>
      <c r="LR306" s="561">
        <v>14550</v>
      </c>
      <c r="LS306" s="561">
        <v>2191</v>
      </c>
      <c r="LT306" s="561">
        <v>0</v>
      </c>
      <c r="LU306" s="561">
        <v>3149</v>
      </c>
      <c r="LV306" s="561">
        <v>0</v>
      </c>
      <c r="LW306" s="561">
        <v>1891</v>
      </c>
      <c r="LX306" s="561">
        <v>0</v>
      </c>
      <c r="LY306" s="561">
        <v>2928</v>
      </c>
      <c r="LZ306" s="561">
        <v>7968</v>
      </c>
      <c r="MA306" s="561">
        <v>0</v>
      </c>
      <c r="MB306" s="561">
        <v>0</v>
      </c>
      <c r="MC306" s="561">
        <v>0</v>
      </c>
      <c r="MD306" s="561">
        <v>0</v>
      </c>
      <c r="ME306" s="561">
        <v>0</v>
      </c>
      <c r="MF306" s="561">
        <v>0</v>
      </c>
      <c r="MG306" s="561">
        <v>0</v>
      </c>
      <c r="MH306" s="561">
        <v>3149</v>
      </c>
      <c r="MI306" s="561">
        <v>3128</v>
      </c>
      <c r="MJ306" s="561">
        <v>6277</v>
      </c>
      <c r="MK306" s="561">
        <v>0</v>
      </c>
      <c r="ML306" s="561">
        <v>0</v>
      </c>
      <c r="MM306" s="561">
        <v>6665</v>
      </c>
      <c r="MN306" s="561">
        <v>7885</v>
      </c>
      <c r="MO306" s="561">
        <v>0</v>
      </c>
      <c r="MP306" s="561">
        <v>0</v>
      </c>
      <c r="MQ306" s="561">
        <v>0</v>
      </c>
      <c r="MR306" s="561">
        <v>-1690</v>
      </c>
      <c r="MS306" s="561">
        <v>0</v>
      </c>
      <c r="MT306" s="561">
        <v>0</v>
      </c>
      <c r="MU306" s="561">
        <v>0</v>
      </c>
      <c r="MV306" s="561">
        <v>2824</v>
      </c>
      <c r="MW306" s="561">
        <v>917</v>
      </c>
      <c r="MX306" s="561">
        <v>9730</v>
      </c>
      <c r="MY306" s="561">
        <v>2637</v>
      </c>
      <c r="MZ306" s="561">
        <v>0</v>
      </c>
      <c r="NA306" s="561">
        <v>0</v>
      </c>
      <c r="NB306" s="561">
        <v>3723</v>
      </c>
      <c r="NC306" s="561">
        <v>0</v>
      </c>
      <c r="ND306" s="561">
        <v>18141</v>
      </c>
      <c r="NE306" s="561">
        <v>0</v>
      </c>
      <c r="NF306" s="561">
        <v>0</v>
      </c>
      <c r="NG306" s="561">
        <v>0</v>
      </c>
      <c r="NH306" s="561">
        <v>0</v>
      </c>
      <c r="NI306" s="561">
        <v>0</v>
      </c>
      <c r="NJ306" s="561">
        <v>0</v>
      </c>
      <c r="NK306" s="561">
        <v>0</v>
      </c>
      <c r="NL306" s="561">
        <v>0</v>
      </c>
      <c r="NM306" s="561">
        <v>0</v>
      </c>
      <c r="NN306" s="561">
        <v>0</v>
      </c>
      <c r="NO306" s="561">
        <v>0</v>
      </c>
      <c r="NP306" s="561">
        <v>0</v>
      </c>
      <c r="NQ306" s="561">
        <v>0</v>
      </c>
      <c r="NR306" s="561">
        <v>0</v>
      </c>
      <c r="NS306" s="561">
        <v>0</v>
      </c>
      <c r="NT306" s="561">
        <v>0</v>
      </c>
      <c r="NU306" s="561">
        <v>0</v>
      </c>
      <c r="NV306" s="561">
        <v>0</v>
      </c>
      <c r="NW306" s="561">
        <v>0</v>
      </c>
      <c r="NX306" s="561">
        <v>0</v>
      </c>
      <c r="NY306" s="561">
        <v>0</v>
      </c>
      <c r="NZ306" s="561">
        <v>0</v>
      </c>
      <c r="OA306" s="561">
        <v>0</v>
      </c>
      <c r="OB306" s="561">
        <v>0</v>
      </c>
      <c r="OC306" s="561">
        <v>0</v>
      </c>
      <c r="OD306" s="561">
        <v>0</v>
      </c>
      <c r="OE306" s="561">
        <v>0</v>
      </c>
      <c r="OF306" s="561">
        <v>0</v>
      </c>
      <c r="OG306" s="561">
        <v>0</v>
      </c>
      <c r="OH306" s="561">
        <v>0</v>
      </c>
      <c r="OI306" s="561">
        <v>0</v>
      </c>
      <c r="OJ306" s="561">
        <v>0</v>
      </c>
      <c r="OK306" s="561">
        <v>0</v>
      </c>
      <c r="OL306" s="561">
        <v>0</v>
      </c>
      <c r="OM306" s="561">
        <v>0</v>
      </c>
      <c r="ON306" s="561">
        <v>0</v>
      </c>
      <c r="OO306" s="561">
        <v>0</v>
      </c>
      <c r="OP306" s="561">
        <v>0</v>
      </c>
      <c r="OQ306" s="561">
        <v>0</v>
      </c>
      <c r="OR306" s="561">
        <v>0</v>
      </c>
      <c r="OS306" s="561">
        <v>0</v>
      </c>
      <c r="OT306" s="561">
        <v>0</v>
      </c>
      <c r="OU306" s="561">
        <v>0</v>
      </c>
      <c r="OV306" s="561">
        <v>-483</v>
      </c>
      <c r="OW306" s="561">
        <v>0</v>
      </c>
      <c r="OX306" s="561">
        <v>0</v>
      </c>
      <c r="OY306" s="561">
        <v>0</v>
      </c>
      <c r="OZ306" s="561">
        <v>0</v>
      </c>
      <c r="PA306" s="561">
        <v>0</v>
      </c>
      <c r="PB306" s="561">
        <v>0</v>
      </c>
      <c r="PC306" s="561">
        <v>0</v>
      </c>
      <c r="PD306" s="561">
        <v>0</v>
      </c>
      <c r="PE306" s="561">
        <v>0</v>
      </c>
      <c r="PF306" s="561">
        <v>0</v>
      </c>
      <c r="PG306" s="561">
        <v>0</v>
      </c>
      <c r="PH306" s="561">
        <v>0</v>
      </c>
      <c r="PI306" s="561">
        <v>0</v>
      </c>
      <c r="PJ306" s="561">
        <v>0</v>
      </c>
    </row>
    <row r="307" spans="1:426" ht="14" x14ac:dyDescent="0.3">
      <c r="A307" t="s">
        <v>3364</v>
      </c>
      <c r="B307" t="s">
        <v>3365</v>
      </c>
      <c r="C307" t="s">
        <v>3366</v>
      </c>
      <c r="E307" t="s">
        <v>384</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44</v>
      </c>
      <c r="W307" s="561">
        <v>0</v>
      </c>
      <c r="X307" s="561">
        <v>0</v>
      </c>
      <c r="Y307" s="561">
        <v>0</v>
      </c>
      <c r="Z307" s="561">
        <v>0</v>
      </c>
      <c r="AA307" s="561">
        <v>0</v>
      </c>
      <c r="AB307" s="561">
        <v>-210</v>
      </c>
      <c r="AC307" s="561">
        <v>29</v>
      </c>
      <c r="AD307" s="561">
        <v>0</v>
      </c>
      <c r="AE307" s="561">
        <v>0</v>
      </c>
      <c r="AF307" s="561">
        <v>0</v>
      </c>
      <c r="AG307" s="561">
        <v>0</v>
      </c>
      <c r="AH307" s="561">
        <v>0</v>
      </c>
      <c r="AI307" s="561">
        <v>0</v>
      </c>
      <c r="AJ307" s="561">
        <v>-137</v>
      </c>
      <c r="AK307" s="561">
        <v>0</v>
      </c>
      <c r="AL307" s="561">
        <v>0</v>
      </c>
      <c r="AM307" s="561">
        <v>0</v>
      </c>
      <c r="AN307" s="561">
        <v>0</v>
      </c>
      <c r="AO307" s="561">
        <v>0</v>
      </c>
      <c r="AP307" s="561">
        <v>0</v>
      </c>
      <c r="AQ307" s="561">
        <v>0</v>
      </c>
      <c r="AR307" s="561">
        <v>0</v>
      </c>
      <c r="AS307" s="561">
        <v>0</v>
      </c>
      <c r="AT307" s="561">
        <v>0</v>
      </c>
      <c r="AU307" s="561">
        <v>0</v>
      </c>
      <c r="AV307" s="561">
        <v>0</v>
      </c>
      <c r="AW307" s="561">
        <v>0</v>
      </c>
      <c r="AX307" s="561">
        <v>0</v>
      </c>
      <c r="AY307" s="561">
        <v>0</v>
      </c>
      <c r="AZ307" s="561">
        <v>0</v>
      </c>
      <c r="BA307" s="561">
        <v>0</v>
      </c>
      <c r="BB307" s="561">
        <v>0</v>
      </c>
      <c r="BC307" s="561">
        <v>0</v>
      </c>
      <c r="BD307" s="561">
        <v>0</v>
      </c>
      <c r="BE307" s="561">
        <v>0</v>
      </c>
      <c r="BF307" s="561">
        <v>0</v>
      </c>
      <c r="BG307" s="561">
        <v>0</v>
      </c>
      <c r="BH307" s="561">
        <v>0</v>
      </c>
      <c r="BI307" s="561">
        <v>0</v>
      </c>
      <c r="BJ307" s="561">
        <v>0</v>
      </c>
      <c r="BK307" s="561">
        <v>0</v>
      </c>
      <c r="BL307" s="561">
        <v>0</v>
      </c>
      <c r="BM307" s="561">
        <v>0</v>
      </c>
      <c r="BN307" s="561">
        <v>0</v>
      </c>
      <c r="BO307" s="561">
        <v>0</v>
      </c>
      <c r="BP307" s="561">
        <v>0</v>
      </c>
      <c r="BQ307" s="561">
        <v>0</v>
      </c>
      <c r="BR307" s="561">
        <v>0</v>
      </c>
      <c r="BS307" s="561">
        <v>0</v>
      </c>
      <c r="BT307" s="561">
        <v>0</v>
      </c>
      <c r="BU307" s="561">
        <v>0</v>
      </c>
      <c r="BV307" s="561">
        <v>0</v>
      </c>
      <c r="BW307" s="561">
        <v>0</v>
      </c>
      <c r="BX307" s="561">
        <v>0</v>
      </c>
      <c r="BY307" s="561">
        <v>0</v>
      </c>
      <c r="BZ307" s="561">
        <v>0</v>
      </c>
      <c r="CA307" s="561">
        <v>0</v>
      </c>
      <c r="CB307" s="561">
        <v>0</v>
      </c>
      <c r="CC307" s="561">
        <v>0</v>
      </c>
      <c r="CD307" s="561">
        <v>0</v>
      </c>
      <c r="CE307" s="561">
        <v>0</v>
      </c>
      <c r="CF307" s="561">
        <v>0</v>
      </c>
      <c r="CG307" s="561">
        <v>0</v>
      </c>
      <c r="CH307" s="561">
        <v>0</v>
      </c>
      <c r="CI307" s="561">
        <v>0</v>
      </c>
      <c r="CJ307" s="561">
        <v>0</v>
      </c>
      <c r="CK307" s="561">
        <v>0</v>
      </c>
      <c r="CL307" s="561">
        <v>0</v>
      </c>
      <c r="CM307" s="561">
        <v>0</v>
      </c>
      <c r="CN307" s="561">
        <v>0</v>
      </c>
      <c r="CO307" s="561">
        <v>0</v>
      </c>
      <c r="CP307" s="561">
        <v>0</v>
      </c>
      <c r="CQ307" s="561">
        <v>0</v>
      </c>
      <c r="CR307" s="561">
        <v>0</v>
      </c>
      <c r="CS307" s="561">
        <v>0</v>
      </c>
      <c r="CT307" s="561">
        <v>0</v>
      </c>
      <c r="CU307" s="561">
        <v>0</v>
      </c>
      <c r="CV307" s="561">
        <v>0</v>
      </c>
      <c r="CW307" s="561">
        <v>0</v>
      </c>
      <c r="CX307" s="561">
        <v>0</v>
      </c>
      <c r="CY307" s="561">
        <v>0</v>
      </c>
      <c r="CZ307" s="561">
        <v>0</v>
      </c>
      <c r="DA307" s="561">
        <v>0</v>
      </c>
      <c r="DB307" s="561">
        <v>0</v>
      </c>
      <c r="DC307" s="561">
        <v>0</v>
      </c>
      <c r="DD307" s="561">
        <v>0</v>
      </c>
      <c r="DE307" s="561">
        <v>0</v>
      </c>
      <c r="DF307" s="561">
        <v>0</v>
      </c>
      <c r="DG307" s="561">
        <v>0</v>
      </c>
      <c r="DH307" s="561">
        <v>48</v>
      </c>
      <c r="DI307" s="561">
        <v>0</v>
      </c>
      <c r="DJ307" s="561">
        <v>-621</v>
      </c>
      <c r="DK307" s="561">
        <v>0</v>
      </c>
      <c r="DL307" s="561">
        <v>0</v>
      </c>
      <c r="DM307" s="561">
        <v>-14</v>
      </c>
      <c r="DN307" s="561">
        <v>680</v>
      </c>
      <c r="DO307" s="561">
        <v>0</v>
      </c>
      <c r="DP307" s="561">
        <v>0</v>
      </c>
      <c r="DQ307" s="561">
        <v>0</v>
      </c>
      <c r="DR307" s="561">
        <v>0</v>
      </c>
      <c r="DS307" s="561">
        <v>0</v>
      </c>
      <c r="DT307" s="561">
        <v>0</v>
      </c>
      <c r="DU307" s="561">
        <v>666</v>
      </c>
      <c r="DV307" s="561">
        <v>4</v>
      </c>
      <c r="DW307" s="561">
        <v>-114</v>
      </c>
      <c r="DX307" s="561">
        <v>-4</v>
      </c>
      <c r="DY307" s="561">
        <v>-66</v>
      </c>
      <c r="DZ307" s="561">
        <v>-131</v>
      </c>
      <c r="EA307" s="561">
        <v>0</v>
      </c>
      <c r="EB307" s="561">
        <v>0</v>
      </c>
      <c r="EC307" s="561">
        <v>-218</v>
      </c>
      <c r="ED307" s="561">
        <v>0</v>
      </c>
      <c r="EE307" s="561">
        <v>18441</v>
      </c>
      <c r="EF307" s="561">
        <v>0</v>
      </c>
      <c r="EG307" s="561">
        <v>1267</v>
      </c>
      <c r="EH307" s="561">
        <v>19</v>
      </c>
      <c r="EI307" s="561">
        <v>-12</v>
      </c>
      <c r="EJ307" s="561">
        <v>390</v>
      </c>
      <c r="EK307" s="561">
        <v>32</v>
      </c>
      <c r="EL307" s="561">
        <v>0</v>
      </c>
      <c r="EM307" s="561">
        <v>0</v>
      </c>
      <c r="EN307" s="561">
        <v>5059</v>
      </c>
      <c r="EO307" s="561">
        <v>3241</v>
      </c>
      <c r="EP307" s="561">
        <v>0</v>
      </c>
      <c r="EQ307" s="561">
        <v>89</v>
      </c>
      <c r="ER307" s="561">
        <v>2347</v>
      </c>
      <c r="ES307" s="561" t="s">
        <v>4565</v>
      </c>
      <c r="ET307" s="561">
        <v>0</v>
      </c>
      <c r="EU307" s="561">
        <v>0</v>
      </c>
      <c r="EV307" s="561">
        <v>0</v>
      </c>
      <c r="EW307" s="561">
        <v>3383</v>
      </c>
      <c r="EX307" s="561">
        <v>5444</v>
      </c>
      <c r="EY307" s="561">
        <v>98</v>
      </c>
      <c r="EZ307" s="561">
        <v>476</v>
      </c>
      <c r="FA307" s="561">
        <v>15596</v>
      </c>
      <c r="FB307" s="561">
        <v>0</v>
      </c>
      <c r="FC307" s="561">
        <v>18</v>
      </c>
      <c r="FD307" s="561">
        <v>142</v>
      </c>
      <c r="FE307" s="561">
        <v>268</v>
      </c>
      <c r="FF307" s="561">
        <v>503</v>
      </c>
      <c r="FG307" s="561">
        <v>0</v>
      </c>
      <c r="FH307" s="561">
        <v>0</v>
      </c>
      <c r="FI307" s="561">
        <v>15</v>
      </c>
      <c r="FJ307" s="561">
        <v>433</v>
      </c>
      <c r="FK307" s="561">
        <v>550</v>
      </c>
      <c r="FL307" s="561">
        <v>3</v>
      </c>
      <c r="FM307" s="561">
        <v>32</v>
      </c>
      <c r="FN307" s="561">
        <v>0</v>
      </c>
      <c r="FO307" s="561">
        <v>1964</v>
      </c>
      <c r="FP307" s="561">
        <v>211</v>
      </c>
      <c r="FQ307" s="561">
        <v>0</v>
      </c>
      <c r="FR307" s="561">
        <v>0</v>
      </c>
      <c r="FS307" s="561">
        <v>0</v>
      </c>
      <c r="FT307" s="561">
        <v>347</v>
      </c>
      <c r="FU307" s="561">
        <v>125</v>
      </c>
      <c r="FV307" s="561">
        <v>0</v>
      </c>
      <c r="FW307" s="561">
        <v>49</v>
      </c>
      <c r="FX307" s="561">
        <v>0</v>
      </c>
      <c r="FY307" s="561">
        <v>0</v>
      </c>
      <c r="FZ307" s="561">
        <v>0</v>
      </c>
      <c r="GA307" s="561">
        <v>110</v>
      </c>
      <c r="GB307" s="561">
        <v>69</v>
      </c>
      <c r="GC307" s="561">
        <v>80</v>
      </c>
      <c r="GD307" s="561">
        <v>0</v>
      </c>
      <c r="GE307" s="561">
        <v>163</v>
      </c>
      <c r="GF307" s="561">
        <v>33</v>
      </c>
      <c r="GG307" s="561">
        <v>0</v>
      </c>
      <c r="GH307" s="561">
        <v>0</v>
      </c>
      <c r="GI307" s="561">
        <v>3078</v>
      </c>
      <c r="GJ307" s="561">
        <v>0</v>
      </c>
      <c r="GK307" s="561">
        <v>0</v>
      </c>
      <c r="GL307" s="561">
        <v>709</v>
      </c>
      <c r="GM307" s="561">
        <v>-786</v>
      </c>
      <c r="GN307" s="561">
        <v>0</v>
      </c>
      <c r="GO307" s="561">
        <v>0</v>
      </c>
      <c r="GP307" s="561">
        <v>3227</v>
      </c>
      <c r="GQ307" s="561">
        <v>276</v>
      </c>
      <c r="GR307" s="561">
        <v>-62</v>
      </c>
      <c r="GS307" s="561">
        <v>7418</v>
      </c>
      <c r="GT307" s="561">
        <v>1176</v>
      </c>
      <c r="GU307" s="561">
        <v>96</v>
      </c>
      <c r="GV307" s="561">
        <v>85</v>
      </c>
      <c r="GW307" s="561">
        <v>0</v>
      </c>
      <c r="GX307" s="561">
        <v>-1450</v>
      </c>
      <c r="GY307" s="561">
        <v>0</v>
      </c>
      <c r="GZ307" s="561">
        <v>-533</v>
      </c>
      <c r="HA307" s="561">
        <v>0</v>
      </c>
      <c r="HB307" s="561">
        <v>311</v>
      </c>
      <c r="HC307" s="561">
        <v>49</v>
      </c>
      <c r="HD307" s="561">
        <v>-1442</v>
      </c>
      <c r="HE307" s="561">
        <v>322</v>
      </c>
      <c r="HF307" s="561">
        <v>7940</v>
      </c>
      <c r="HG307" s="561">
        <v>1709</v>
      </c>
      <c r="HH307" s="561">
        <v>0</v>
      </c>
      <c r="HI307" s="561">
        <v>0</v>
      </c>
      <c r="HJ307" s="561">
        <v>0</v>
      </c>
      <c r="HK307" s="561">
        <v>0</v>
      </c>
      <c r="HL307" s="561">
        <v>0</v>
      </c>
      <c r="HM307" s="561">
        <v>0</v>
      </c>
      <c r="HN307" s="561">
        <v>0</v>
      </c>
      <c r="HO307" s="561">
        <v>4961</v>
      </c>
      <c r="HP307" s="561">
        <v>-193</v>
      </c>
      <c r="HQ307" s="561">
        <v>263</v>
      </c>
      <c r="HR307" s="561">
        <v>0</v>
      </c>
      <c r="HS307" s="561">
        <v>2</v>
      </c>
      <c r="HT307" s="561">
        <v>-97</v>
      </c>
      <c r="HU307" s="561">
        <v>0</v>
      </c>
      <c r="HV307" s="561">
        <v>0</v>
      </c>
      <c r="HW307" s="561">
        <v>37</v>
      </c>
      <c r="HX307" s="561">
        <v>5</v>
      </c>
      <c r="HY307" s="561">
        <v>26</v>
      </c>
      <c r="HZ307" s="561">
        <v>30</v>
      </c>
      <c r="IA307" s="561">
        <v>0</v>
      </c>
      <c r="IB307" s="561">
        <v>0</v>
      </c>
      <c r="IC307" s="561">
        <v>0</v>
      </c>
      <c r="ID307" s="561">
        <v>0</v>
      </c>
      <c r="IE307" s="561">
        <v>7</v>
      </c>
      <c r="IF307" s="561">
        <v>0</v>
      </c>
      <c r="IG307" s="561">
        <v>0</v>
      </c>
      <c r="IH307" s="561">
        <v>-50</v>
      </c>
      <c r="II307" s="561">
        <v>4991</v>
      </c>
      <c r="IJ307" s="561">
        <v>0</v>
      </c>
      <c r="IK307" s="561">
        <v>50</v>
      </c>
      <c r="IL307" s="561">
        <v>0</v>
      </c>
      <c r="IM307" s="561">
        <v>0</v>
      </c>
      <c r="IN307" s="561">
        <v>0</v>
      </c>
      <c r="IO307" s="561">
        <v>0</v>
      </c>
      <c r="IP307" s="561">
        <v>-231</v>
      </c>
      <c r="IQ307" s="561">
        <v>0</v>
      </c>
      <c r="IR307" s="561">
        <v>0</v>
      </c>
      <c r="IS307" s="561">
        <v>-137</v>
      </c>
      <c r="IT307" s="561">
        <v>0</v>
      </c>
      <c r="IU307" s="561">
        <v>0</v>
      </c>
      <c r="IV307" s="561">
        <v>0</v>
      </c>
      <c r="IW307" s="561">
        <v>-218</v>
      </c>
      <c r="IX307" s="561">
        <v>1964</v>
      </c>
      <c r="IY307" s="561">
        <v>7418</v>
      </c>
      <c r="IZ307" s="561">
        <v>-1442</v>
      </c>
      <c r="JA307" s="561">
        <v>0</v>
      </c>
      <c r="JB307" s="561">
        <v>0</v>
      </c>
      <c r="JC307" s="561">
        <v>4991</v>
      </c>
      <c r="JD307" s="561">
        <v>-231</v>
      </c>
      <c r="JE307" s="561">
        <v>12345</v>
      </c>
      <c r="JF307" s="561">
        <v>5317</v>
      </c>
      <c r="JG307" s="561">
        <v>0</v>
      </c>
      <c r="JH307" s="561">
        <v>5574</v>
      </c>
      <c r="JI307" s="561">
        <v>0</v>
      </c>
      <c r="JJ307" s="561">
        <v>0</v>
      </c>
      <c r="JK307" s="561">
        <v>1299</v>
      </c>
      <c r="JL307" s="561">
        <v>0</v>
      </c>
      <c r="JM307" s="561">
        <v>0</v>
      </c>
      <c r="JN307" s="561">
        <v>0</v>
      </c>
      <c r="JO307" s="561">
        <v>0</v>
      </c>
      <c r="JP307" s="561">
        <v>0</v>
      </c>
      <c r="JQ307" s="561">
        <v>0</v>
      </c>
      <c r="JR307" s="561">
        <v>0</v>
      </c>
      <c r="JS307" s="561">
        <v>0</v>
      </c>
      <c r="JT307" s="561">
        <v>0</v>
      </c>
      <c r="JU307" s="561">
        <v>0</v>
      </c>
      <c r="JV307" s="561">
        <v>24535</v>
      </c>
      <c r="JW307" s="561">
        <v>0</v>
      </c>
      <c r="JX307" s="561">
        <v>4869</v>
      </c>
      <c r="JY307" s="561">
        <v>0</v>
      </c>
      <c r="JZ307" s="561">
        <v>0</v>
      </c>
      <c r="KA307" s="561">
        <v>0</v>
      </c>
      <c r="KB307" s="561">
        <v>85</v>
      </c>
      <c r="KC307" s="561">
        <v>391</v>
      </c>
      <c r="KD307" s="561">
        <v>0</v>
      </c>
      <c r="KE307" s="561">
        <v>0</v>
      </c>
      <c r="KF307" s="561">
        <v>0</v>
      </c>
      <c r="KG307" s="561">
        <v>29880</v>
      </c>
      <c r="KH307" s="561">
        <v>-1602</v>
      </c>
      <c r="KI307" s="561">
        <v>0</v>
      </c>
      <c r="KJ307" s="561">
        <v>0</v>
      </c>
      <c r="KK307" s="561">
        <v>0</v>
      </c>
      <c r="KL307" s="561">
        <v>-10787</v>
      </c>
      <c r="KM307" s="561">
        <v>0</v>
      </c>
      <c r="KN307" s="561">
        <v>0</v>
      </c>
      <c r="KO307" s="561">
        <v>0</v>
      </c>
      <c r="KP307" s="561">
        <v>0</v>
      </c>
      <c r="KQ307" s="561">
        <v>0</v>
      </c>
      <c r="KR307" s="561">
        <v>17491</v>
      </c>
      <c r="KS307" s="561">
        <v>0</v>
      </c>
      <c r="KT307" s="561">
        <v>-4650</v>
      </c>
      <c r="KU307" s="561">
        <v>12841</v>
      </c>
      <c r="KV307" s="561">
        <v>0</v>
      </c>
      <c r="KW307" s="561">
        <v>0</v>
      </c>
      <c r="KX307" s="561">
        <v>0</v>
      </c>
      <c r="KY307" s="561">
        <v>0</v>
      </c>
      <c r="KZ307" s="561">
        <v>2650</v>
      </c>
      <c r="LA307" s="561">
        <v>0</v>
      </c>
      <c r="LB307" s="561">
        <v>-452</v>
      </c>
      <c r="LC307" s="561">
        <v>0</v>
      </c>
      <c r="LD307" s="561">
        <v>-7344</v>
      </c>
      <c r="LE307" s="561">
        <v>-51</v>
      </c>
      <c r="LF307" s="561">
        <v>0</v>
      </c>
      <c r="LG307" s="561">
        <v>7644</v>
      </c>
      <c r="LH307" s="561">
        <v>0</v>
      </c>
      <c r="LI307" s="561">
        <v>0</v>
      </c>
      <c r="LJ307" s="561">
        <v>0</v>
      </c>
      <c r="LK307" s="561">
        <v>0</v>
      </c>
      <c r="LL307" s="561">
        <v>6026</v>
      </c>
      <c r="LM307" s="561">
        <v>2078</v>
      </c>
      <c r="LN307" s="561">
        <v>0</v>
      </c>
      <c r="LO307" s="561">
        <v>0</v>
      </c>
      <c r="LP307" s="561">
        <v>0</v>
      </c>
      <c r="LQ307" s="561">
        <v>0</v>
      </c>
      <c r="LR307" s="561">
        <v>8676</v>
      </c>
      <c r="LS307" s="561">
        <v>2078</v>
      </c>
      <c r="LT307" s="561">
        <v>0</v>
      </c>
      <c r="LU307" s="561">
        <v>0</v>
      </c>
      <c r="LV307" s="561">
        <v>0</v>
      </c>
      <c r="LW307" s="561">
        <v>0</v>
      </c>
      <c r="LX307" s="561">
        <v>0</v>
      </c>
      <c r="LY307" s="561">
        <v>0</v>
      </c>
      <c r="LZ307" s="561">
        <v>0</v>
      </c>
      <c r="MA307" s="561">
        <v>0</v>
      </c>
      <c r="MB307" s="561">
        <v>0</v>
      </c>
      <c r="MC307" s="561">
        <v>20137</v>
      </c>
      <c r="MD307" s="561">
        <v>19661</v>
      </c>
      <c r="ME307" s="561">
        <v>476</v>
      </c>
      <c r="MF307" s="561">
        <v>15596</v>
      </c>
      <c r="MG307" s="561">
        <v>16072</v>
      </c>
      <c r="MH307" s="561">
        <v>2703</v>
      </c>
      <c r="MI307" s="561">
        <v>2238</v>
      </c>
      <c r="MJ307" s="561">
        <v>4941</v>
      </c>
      <c r="MK307" s="561">
        <v>0</v>
      </c>
      <c r="ML307" s="561">
        <v>0</v>
      </c>
      <c r="MM307" s="561">
        <v>4299</v>
      </c>
      <c r="MN307" s="561">
        <v>0</v>
      </c>
      <c r="MO307" s="561">
        <v>4377</v>
      </c>
      <c r="MP307" s="561">
        <v>0</v>
      </c>
      <c r="MQ307" s="561">
        <v>0</v>
      </c>
      <c r="MR307" s="561">
        <v>-137</v>
      </c>
      <c r="MS307" s="561">
        <v>0</v>
      </c>
      <c r="MT307" s="561">
        <v>0</v>
      </c>
      <c r="MU307" s="561">
        <v>0</v>
      </c>
      <c r="MV307" s="561">
        <v>-218</v>
      </c>
      <c r="MW307" s="561">
        <v>1964</v>
      </c>
      <c r="MX307" s="561">
        <v>7418</v>
      </c>
      <c r="MY307" s="561">
        <v>-1442</v>
      </c>
      <c r="MZ307" s="561">
        <v>0</v>
      </c>
      <c r="NA307" s="561">
        <v>0</v>
      </c>
      <c r="NB307" s="561">
        <v>4991</v>
      </c>
      <c r="NC307" s="561">
        <v>-231</v>
      </c>
      <c r="ND307" s="561">
        <v>12345</v>
      </c>
      <c r="NE307" s="561">
        <v>0</v>
      </c>
      <c r="NF307" s="561">
        <v>0</v>
      </c>
      <c r="NG307" s="561">
        <v>0</v>
      </c>
      <c r="NH307" s="561">
        <v>0</v>
      </c>
      <c r="NI307" s="561">
        <v>0</v>
      </c>
      <c r="NJ307" s="561">
        <v>0</v>
      </c>
      <c r="NK307" s="561">
        <v>0</v>
      </c>
      <c r="NL307" s="561">
        <v>0</v>
      </c>
      <c r="NM307" s="561">
        <v>0</v>
      </c>
      <c r="NN307" s="561">
        <v>0</v>
      </c>
      <c r="NO307" s="561">
        <v>0</v>
      </c>
      <c r="NP307" s="561">
        <v>0</v>
      </c>
      <c r="NQ307" s="561">
        <v>0</v>
      </c>
      <c r="NR307" s="561">
        <v>0</v>
      </c>
      <c r="NS307" s="561">
        <v>0</v>
      </c>
      <c r="NT307" s="561">
        <v>0</v>
      </c>
      <c r="NU307" s="561">
        <v>0</v>
      </c>
      <c r="NV307" s="561">
        <v>0</v>
      </c>
      <c r="NW307" s="561">
        <v>0</v>
      </c>
      <c r="NX307" s="561">
        <v>0</v>
      </c>
      <c r="NY307" s="561">
        <v>0</v>
      </c>
      <c r="NZ307" s="561">
        <v>0</v>
      </c>
      <c r="OA307" s="561">
        <v>0</v>
      </c>
      <c r="OB307" s="561">
        <v>0</v>
      </c>
      <c r="OC307" s="561">
        <v>0</v>
      </c>
      <c r="OD307" s="561">
        <v>0</v>
      </c>
      <c r="OE307" s="561">
        <v>0</v>
      </c>
      <c r="OF307" s="561">
        <v>0</v>
      </c>
      <c r="OG307" s="561">
        <v>0</v>
      </c>
      <c r="OH307" s="561">
        <v>0</v>
      </c>
      <c r="OI307" s="561">
        <v>0</v>
      </c>
      <c r="OJ307" s="561">
        <v>0</v>
      </c>
      <c r="OK307" s="561">
        <v>0</v>
      </c>
      <c r="OL307" s="561">
        <v>0</v>
      </c>
      <c r="OM307" s="561">
        <v>0</v>
      </c>
      <c r="ON307" s="561">
        <v>0</v>
      </c>
      <c r="OO307" s="561">
        <v>0</v>
      </c>
      <c r="OP307" s="561">
        <v>0</v>
      </c>
      <c r="OQ307" s="561">
        <v>0</v>
      </c>
      <c r="OR307" s="561">
        <v>0</v>
      </c>
      <c r="OS307" s="561">
        <v>0</v>
      </c>
      <c r="OT307" s="561">
        <v>0</v>
      </c>
      <c r="OU307" s="561">
        <v>0</v>
      </c>
      <c r="OV307" s="561">
        <v>0</v>
      </c>
      <c r="OW307" s="561">
        <v>0</v>
      </c>
      <c r="OX307" s="561">
        <v>0</v>
      </c>
      <c r="OY307" s="561">
        <v>0</v>
      </c>
      <c r="OZ307" s="561">
        <v>0</v>
      </c>
      <c r="PA307" s="561">
        <v>0</v>
      </c>
      <c r="PB307" s="561">
        <v>0</v>
      </c>
      <c r="PC307" s="561">
        <v>0</v>
      </c>
      <c r="PD307" s="561">
        <v>0</v>
      </c>
      <c r="PE307" s="561">
        <v>0</v>
      </c>
      <c r="PF307" s="561">
        <v>0</v>
      </c>
      <c r="PG307" s="561">
        <v>0</v>
      </c>
      <c r="PH307" s="561">
        <v>0</v>
      </c>
      <c r="PI307" s="561">
        <v>0</v>
      </c>
      <c r="PJ307" s="561">
        <v>0</v>
      </c>
    </row>
    <row r="308" spans="1:426" ht="14" x14ac:dyDescent="0.3">
      <c r="A308" t="s">
        <v>3367</v>
      </c>
      <c r="B308" t="s">
        <v>3368</v>
      </c>
      <c r="C308" t="s">
        <v>3369</v>
      </c>
      <c r="E308" t="s">
        <v>384</v>
      </c>
      <c r="F308" s="561">
        <v>0</v>
      </c>
      <c r="G308" s="561">
        <v>0</v>
      </c>
      <c r="H308" s="561">
        <v>0</v>
      </c>
      <c r="I308" s="561">
        <v>0</v>
      </c>
      <c r="J308" s="561">
        <v>0</v>
      </c>
      <c r="K308" s="561">
        <v>0</v>
      </c>
      <c r="L308" s="561">
        <v>0</v>
      </c>
      <c r="M308" s="561">
        <v>0</v>
      </c>
      <c r="N308" s="561">
        <v>0</v>
      </c>
      <c r="O308" s="561">
        <v>0</v>
      </c>
      <c r="P308" s="561">
        <v>0</v>
      </c>
      <c r="Q308" s="561">
        <v>0</v>
      </c>
      <c r="R308" s="561">
        <v>0</v>
      </c>
      <c r="S308" s="561">
        <v>32</v>
      </c>
      <c r="T308" s="561">
        <v>0</v>
      </c>
      <c r="U308" s="561">
        <v>0</v>
      </c>
      <c r="V308" s="561">
        <v>1092</v>
      </c>
      <c r="W308" s="561">
        <v>0</v>
      </c>
      <c r="X308" s="561">
        <v>0</v>
      </c>
      <c r="Y308" s="561">
        <v>0</v>
      </c>
      <c r="Z308" s="561">
        <v>0</v>
      </c>
      <c r="AA308" s="561">
        <v>0</v>
      </c>
      <c r="AB308" s="561">
        <v>-911</v>
      </c>
      <c r="AC308" s="561">
        <v>0</v>
      </c>
      <c r="AD308" s="561">
        <v>0</v>
      </c>
      <c r="AE308" s="561">
        <v>0</v>
      </c>
      <c r="AF308" s="561">
        <v>0</v>
      </c>
      <c r="AG308" s="561">
        <v>0</v>
      </c>
      <c r="AH308" s="561">
        <v>97</v>
      </c>
      <c r="AI308" s="561">
        <v>0</v>
      </c>
      <c r="AJ308" s="561">
        <v>310</v>
      </c>
      <c r="AK308" s="561">
        <v>0</v>
      </c>
      <c r="AL308" s="561">
        <v>0</v>
      </c>
      <c r="AM308" s="561">
        <v>0</v>
      </c>
      <c r="AN308" s="561">
        <v>0</v>
      </c>
      <c r="AO308" s="561">
        <v>0</v>
      </c>
      <c r="AP308" s="561">
        <v>0</v>
      </c>
      <c r="AQ308" s="561">
        <v>0</v>
      </c>
      <c r="AR308" s="561">
        <v>0</v>
      </c>
      <c r="AS308" s="561">
        <v>0</v>
      </c>
      <c r="AT308" s="561">
        <v>0</v>
      </c>
      <c r="AU308" s="561">
        <v>0</v>
      </c>
      <c r="AV308" s="561">
        <v>0</v>
      </c>
      <c r="AW308" s="561">
        <v>0</v>
      </c>
      <c r="AX308" s="561">
        <v>0</v>
      </c>
      <c r="AY308" s="561">
        <v>0</v>
      </c>
      <c r="AZ308" s="561">
        <v>0</v>
      </c>
      <c r="BA308" s="561">
        <v>0</v>
      </c>
      <c r="BB308" s="561">
        <v>0</v>
      </c>
      <c r="BC308" s="561">
        <v>0</v>
      </c>
      <c r="BD308" s="561">
        <v>0</v>
      </c>
      <c r="BE308" s="561">
        <v>0</v>
      </c>
      <c r="BF308" s="561">
        <v>0</v>
      </c>
      <c r="BG308" s="561">
        <v>0</v>
      </c>
      <c r="BH308" s="561">
        <v>0</v>
      </c>
      <c r="BI308" s="561">
        <v>0</v>
      </c>
      <c r="BJ308" s="561">
        <v>0</v>
      </c>
      <c r="BK308" s="561">
        <v>0</v>
      </c>
      <c r="BL308" s="561">
        <v>0</v>
      </c>
      <c r="BM308" s="561">
        <v>0</v>
      </c>
      <c r="BN308" s="561">
        <v>0</v>
      </c>
      <c r="BO308" s="561">
        <v>0</v>
      </c>
      <c r="BP308" s="561">
        <v>0</v>
      </c>
      <c r="BQ308" s="561">
        <v>0</v>
      </c>
      <c r="BR308" s="561">
        <v>0</v>
      </c>
      <c r="BS308" s="561">
        <v>0</v>
      </c>
      <c r="BT308" s="561">
        <v>0</v>
      </c>
      <c r="BU308" s="561">
        <v>0</v>
      </c>
      <c r="BV308" s="561">
        <v>0</v>
      </c>
      <c r="BW308" s="561">
        <v>0</v>
      </c>
      <c r="BX308" s="561">
        <v>0</v>
      </c>
      <c r="BY308" s="561">
        <v>0</v>
      </c>
      <c r="BZ308" s="561">
        <v>0</v>
      </c>
      <c r="CA308" s="561">
        <v>0</v>
      </c>
      <c r="CB308" s="561">
        <v>0</v>
      </c>
      <c r="CC308" s="561">
        <v>0</v>
      </c>
      <c r="CD308" s="561">
        <v>0</v>
      </c>
      <c r="CE308" s="561">
        <v>0</v>
      </c>
      <c r="CF308" s="561">
        <v>0</v>
      </c>
      <c r="CG308" s="561">
        <v>0</v>
      </c>
      <c r="CH308" s="561">
        <v>0</v>
      </c>
      <c r="CI308" s="561">
        <v>0</v>
      </c>
      <c r="CJ308" s="561">
        <v>0</v>
      </c>
      <c r="CK308" s="561">
        <v>0</v>
      </c>
      <c r="CL308" s="561">
        <v>0</v>
      </c>
      <c r="CM308" s="561">
        <v>0</v>
      </c>
      <c r="CN308" s="561">
        <v>0</v>
      </c>
      <c r="CO308" s="561">
        <v>0</v>
      </c>
      <c r="CP308" s="561">
        <v>0</v>
      </c>
      <c r="CQ308" s="561">
        <v>0</v>
      </c>
      <c r="CR308" s="561">
        <v>0</v>
      </c>
      <c r="CS308" s="561">
        <v>0</v>
      </c>
      <c r="CT308" s="561">
        <v>0</v>
      </c>
      <c r="CU308" s="561">
        <v>0</v>
      </c>
      <c r="CV308" s="561">
        <v>0</v>
      </c>
      <c r="CW308" s="561">
        <v>0</v>
      </c>
      <c r="CX308" s="561">
        <v>0</v>
      </c>
      <c r="CY308" s="561">
        <v>0</v>
      </c>
      <c r="CZ308" s="561">
        <v>0</v>
      </c>
      <c r="DA308" s="561">
        <v>0</v>
      </c>
      <c r="DB308" s="561">
        <v>0</v>
      </c>
      <c r="DC308" s="561">
        <v>0</v>
      </c>
      <c r="DD308" s="561">
        <v>0</v>
      </c>
      <c r="DE308" s="561">
        <v>0</v>
      </c>
      <c r="DF308" s="561">
        <v>0</v>
      </c>
      <c r="DG308" s="561">
        <v>0</v>
      </c>
      <c r="DH308" s="561">
        <v>493</v>
      </c>
      <c r="DI308" s="561">
        <v>-3</v>
      </c>
      <c r="DJ308" s="561">
        <v>131</v>
      </c>
      <c r="DK308" s="561">
        <v>-735</v>
      </c>
      <c r="DL308" s="561">
        <v>0</v>
      </c>
      <c r="DM308" s="561">
        <v>0</v>
      </c>
      <c r="DN308" s="561">
        <v>0</v>
      </c>
      <c r="DO308" s="561">
        <v>50</v>
      </c>
      <c r="DP308" s="561">
        <v>0</v>
      </c>
      <c r="DQ308" s="561">
        <v>0</v>
      </c>
      <c r="DR308" s="561">
        <v>0</v>
      </c>
      <c r="DS308" s="561">
        <v>498</v>
      </c>
      <c r="DT308" s="561">
        <v>888</v>
      </c>
      <c r="DU308" s="561">
        <v>1436</v>
      </c>
      <c r="DV308" s="561">
        <v>0</v>
      </c>
      <c r="DW308" s="561">
        <v>0</v>
      </c>
      <c r="DX308" s="561">
        <v>0</v>
      </c>
      <c r="DY308" s="561">
        <v>24</v>
      </c>
      <c r="DZ308" s="561">
        <v>-1</v>
      </c>
      <c r="EA308" s="561">
        <v>0</v>
      </c>
      <c r="EB308" s="561">
        <v>0</v>
      </c>
      <c r="EC308" s="561">
        <v>1345</v>
      </c>
      <c r="ED308" s="561">
        <v>74</v>
      </c>
      <c r="EE308" s="561">
        <v>28729</v>
      </c>
      <c r="EF308" s="561">
        <v>284</v>
      </c>
      <c r="EG308" s="561">
        <v>1105</v>
      </c>
      <c r="EH308" s="561">
        <v>0</v>
      </c>
      <c r="EI308" s="561">
        <v>0</v>
      </c>
      <c r="EJ308" s="561">
        <v>1457</v>
      </c>
      <c r="EK308" s="561">
        <v>0</v>
      </c>
      <c r="EL308" s="561">
        <v>0</v>
      </c>
      <c r="EM308" s="561">
        <v>0</v>
      </c>
      <c r="EN308" s="561">
        <v>12472</v>
      </c>
      <c r="EO308" s="561">
        <v>8041</v>
      </c>
      <c r="EP308" s="561">
        <v>0</v>
      </c>
      <c r="EQ308" s="561">
        <v>-52</v>
      </c>
      <c r="ER308" s="561">
        <v>2138</v>
      </c>
      <c r="ES308" s="561" t="s">
        <v>4565</v>
      </c>
      <c r="ET308" s="561">
        <v>3222</v>
      </c>
      <c r="EU308" s="561">
        <v>0</v>
      </c>
      <c r="EV308" s="561">
        <v>38</v>
      </c>
      <c r="EW308" s="561">
        <v>0</v>
      </c>
      <c r="EX308" s="561">
        <v>11680</v>
      </c>
      <c r="EY308" s="561">
        <v>380</v>
      </c>
      <c r="EZ308" s="561">
        <v>-6344</v>
      </c>
      <c r="FA308" s="561">
        <v>15178</v>
      </c>
      <c r="FB308" s="561">
        <v>0</v>
      </c>
      <c r="FC308" s="561">
        <v>14</v>
      </c>
      <c r="FD308" s="561">
        <v>0</v>
      </c>
      <c r="FE308" s="561">
        <v>2</v>
      </c>
      <c r="FF308" s="561">
        <v>1107</v>
      </c>
      <c r="FG308" s="561">
        <v>0</v>
      </c>
      <c r="FH308" s="561">
        <v>0</v>
      </c>
      <c r="FI308" s="561">
        <v>10</v>
      </c>
      <c r="FJ308" s="561">
        <v>1246</v>
      </c>
      <c r="FK308" s="561">
        <v>557</v>
      </c>
      <c r="FL308" s="561">
        <v>0</v>
      </c>
      <c r="FM308" s="561">
        <v>0</v>
      </c>
      <c r="FN308" s="561">
        <v>0</v>
      </c>
      <c r="FO308" s="561">
        <v>2936</v>
      </c>
      <c r="FP308" s="561">
        <v>0</v>
      </c>
      <c r="FQ308" s="561">
        <v>123</v>
      </c>
      <c r="FR308" s="561">
        <v>0</v>
      </c>
      <c r="FS308" s="561">
        <v>30</v>
      </c>
      <c r="FT308" s="561">
        <v>325</v>
      </c>
      <c r="FU308" s="561">
        <v>118</v>
      </c>
      <c r="FV308" s="561">
        <v>0</v>
      </c>
      <c r="FW308" s="561">
        <v>103</v>
      </c>
      <c r="FX308" s="561">
        <v>0</v>
      </c>
      <c r="FY308" s="561">
        <v>0</v>
      </c>
      <c r="FZ308" s="561">
        <v>0</v>
      </c>
      <c r="GA308" s="561">
        <v>49</v>
      </c>
      <c r="GB308" s="561">
        <v>164</v>
      </c>
      <c r="GC308" s="561">
        <v>89</v>
      </c>
      <c r="GD308" s="561">
        <v>447</v>
      </c>
      <c r="GE308" s="561">
        <v>402</v>
      </c>
      <c r="GF308" s="561">
        <v>0</v>
      </c>
      <c r="GG308" s="561">
        <v>41</v>
      </c>
      <c r="GH308" s="561">
        <v>65</v>
      </c>
      <c r="GI308" s="561">
        <v>0</v>
      </c>
      <c r="GJ308" s="561">
        <v>0</v>
      </c>
      <c r="GK308" s="561">
        <v>0</v>
      </c>
      <c r="GL308" s="561">
        <v>241</v>
      </c>
      <c r="GM308" s="561">
        <v>1307</v>
      </c>
      <c r="GN308" s="561">
        <v>0</v>
      </c>
      <c r="GO308" s="561">
        <v>0</v>
      </c>
      <c r="GP308" s="561">
        <v>1627</v>
      </c>
      <c r="GQ308" s="561">
        <v>0</v>
      </c>
      <c r="GR308" s="561">
        <v>130</v>
      </c>
      <c r="GS308" s="561">
        <v>5261</v>
      </c>
      <c r="GT308" s="561">
        <v>53</v>
      </c>
      <c r="GU308" s="561">
        <v>192</v>
      </c>
      <c r="GV308" s="561">
        <v>84</v>
      </c>
      <c r="GW308" s="561">
        <v>121</v>
      </c>
      <c r="GX308" s="561">
        <v>535</v>
      </c>
      <c r="GY308" s="561">
        <v>0</v>
      </c>
      <c r="GZ308" s="561">
        <v>683</v>
      </c>
      <c r="HA308" s="561">
        <v>-47</v>
      </c>
      <c r="HB308" s="561">
        <v>0</v>
      </c>
      <c r="HC308" s="561">
        <v>0</v>
      </c>
      <c r="HD308" s="561">
        <v>1568</v>
      </c>
      <c r="HE308" s="561">
        <v>47</v>
      </c>
      <c r="HF308" s="561">
        <v>9765</v>
      </c>
      <c r="HG308" s="561">
        <v>100</v>
      </c>
      <c r="HH308" s="561">
        <v>0</v>
      </c>
      <c r="HI308" s="561">
        <v>0</v>
      </c>
      <c r="HJ308" s="561">
        <v>0</v>
      </c>
      <c r="HK308" s="561">
        <v>0</v>
      </c>
      <c r="HL308" s="561">
        <v>0</v>
      </c>
      <c r="HM308" s="561">
        <v>0</v>
      </c>
      <c r="HN308" s="561">
        <v>0</v>
      </c>
      <c r="HO308" s="561">
        <v>2314</v>
      </c>
      <c r="HP308" s="561">
        <v>269</v>
      </c>
      <c r="HQ308" s="561">
        <v>0</v>
      </c>
      <c r="HR308" s="561">
        <v>0</v>
      </c>
      <c r="HS308" s="561">
        <v>272</v>
      </c>
      <c r="HT308" s="561">
        <v>39</v>
      </c>
      <c r="HU308" s="561">
        <v>0</v>
      </c>
      <c r="HV308" s="561">
        <v>0</v>
      </c>
      <c r="HW308" s="561">
        <v>304</v>
      </c>
      <c r="HX308" s="561">
        <v>82</v>
      </c>
      <c r="HY308" s="561">
        <v>64</v>
      </c>
      <c r="HZ308" s="561">
        <v>43</v>
      </c>
      <c r="IA308" s="561">
        <v>0</v>
      </c>
      <c r="IB308" s="561">
        <v>55</v>
      </c>
      <c r="IC308" s="561">
        <v>0</v>
      </c>
      <c r="ID308" s="561">
        <v>0</v>
      </c>
      <c r="IE308" s="561">
        <v>33</v>
      </c>
      <c r="IF308" s="561">
        <v>0</v>
      </c>
      <c r="IG308" s="561">
        <v>0</v>
      </c>
      <c r="IH308" s="561">
        <v>2000</v>
      </c>
      <c r="II308" s="561">
        <v>5475</v>
      </c>
      <c r="IJ308" s="561">
        <v>612</v>
      </c>
      <c r="IK308" s="561">
        <v>0</v>
      </c>
      <c r="IL308" s="561">
        <v>7863</v>
      </c>
      <c r="IM308" s="561">
        <v>0</v>
      </c>
      <c r="IN308" s="561">
        <v>0</v>
      </c>
      <c r="IO308" s="561">
        <v>0</v>
      </c>
      <c r="IP308" s="561">
        <v>0</v>
      </c>
      <c r="IQ308" s="561">
        <v>0</v>
      </c>
      <c r="IR308" s="561">
        <v>0</v>
      </c>
      <c r="IS308" s="561">
        <v>310</v>
      </c>
      <c r="IT308" s="561">
        <v>0</v>
      </c>
      <c r="IU308" s="561">
        <v>0</v>
      </c>
      <c r="IV308" s="561">
        <v>0</v>
      </c>
      <c r="IW308" s="561">
        <v>1345</v>
      </c>
      <c r="IX308" s="561">
        <v>2936</v>
      </c>
      <c r="IY308" s="561">
        <v>5261</v>
      </c>
      <c r="IZ308" s="561">
        <v>1568</v>
      </c>
      <c r="JA308" s="561">
        <v>0</v>
      </c>
      <c r="JB308" s="561">
        <v>0</v>
      </c>
      <c r="JC308" s="561">
        <v>5475</v>
      </c>
      <c r="JD308" s="561">
        <v>0</v>
      </c>
      <c r="JE308" s="561">
        <v>16895</v>
      </c>
      <c r="JF308" s="561">
        <v>9366</v>
      </c>
      <c r="JG308" s="561">
        <v>0</v>
      </c>
      <c r="JH308" s="561">
        <v>7808</v>
      </c>
      <c r="JI308" s="561">
        <v>0</v>
      </c>
      <c r="JJ308" s="561">
        <v>0</v>
      </c>
      <c r="JK308" s="561">
        <v>2398</v>
      </c>
      <c r="JL308" s="561">
        <v>0</v>
      </c>
      <c r="JM308" s="561">
        <v>0</v>
      </c>
      <c r="JN308" s="561">
        <v>0</v>
      </c>
      <c r="JO308" s="561">
        <v>976</v>
      </c>
      <c r="JP308" s="561">
        <v>-120</v>
      </c>
      <c r="JQ308" s="561">
        <v>0</v>
      </c>
      <c r="JR308" s="561">
        <v>-191</v>
      </c>
      <c r="JS308" s="561">
        <v>0</v>
      </c>
      <c r="JT308" s="561">
        <v>0</v>
      </c>
      <c r="JU308" s="561">
        <v>0</v>
      </c>
      <c r="JV308" s="561">
        <v>37132</v>
      </c>
      <c r="JW308" s="561">
        <v>0</v>
      </c>
      <c r="JX308" s="561">
        <v>2130</v>
      </c>
      <c r="JY308" s="561">
        <v>0</v>
      </c>
      <c r="JZ308" s="561">
        <v>0</v>
      </c>
      <c r="KA308" s="561">
        <v>0</v>
      </c>
      <c r="KB308" s="561">
        <v>0</v>
      </c>
      <c r="KC308" s="561">
        <v>281</v>
      </c>
      <c r="KD308" s="561">
        <v>0</v>
      </c>
      <c r="KE308" s="561">
        <v>2140</v>
      </c>
      <c r="KF308" s="561">
        <v>487</v>
      </c>
      <c r="KG308" s="561">
        <v>42170</v>
      </c>
      <c r="KH308" s="561">
        <v>-4282</v>
      </c>
      <c r="KI308" s="561">
        <v>0</v>
      </c>
      <c r="KJ308" s="561">
        <v>0</v>
      </c>
      <c r="KK308" s="561">
        <v>0</v>
      </c>
      <c r="KL308" s="561">
        <v>-17054</v>
      </c>
      <c r="KM308" s="561">
        <v>0</v>
      </c>
      <c r="KN308" s="561">
        <v>0</v>
      </c>
      <c r="KO308" s="561">
        <v>0</v>
      </c>
      <c r="KP308" s="561">
        <v>0</v>
      </c>
      <c r="KQ308" s="561">
        <v>0</v>
      </c>
      <c r="KR308" s="561">
        <v>20834</v>
      </c>
      <c r="KS308" s="561">
        <v>0</v>
      </c>
      <c r="KT308" s="561">
        <v>-6472</v>
      </c>
      <c r="KU308" s="561">
        <v>14362</v>
      </c>
      <c r="KV308" s="561">
        <v>0</v>
      </c>
      <c r="KW308" s="561">
        <v>0</v>
      </c>
      <c r="KX308" s="561">
        <v>0</v>
      </c>
      <c r="KY308" s="561">
        <v>0</v>
      </c>
      <c r="KZ308" s="561">
        <v>5520</v>
      </c>
      <c r="LA308" s="561">
        <v>-4139</v>
      </c>
      <c r="LB308" s="561">
        <v>-153</v>
      </c>
      <c r="LC308" s="561">
        <v>0</v>
      </c>
      <c r="LD308" s="561">
        <v>-4483</v>
      </c>
      <c r="LE308" s="561">
        <v>432</v>
      </c>
      <c r="LF308" s="561">
        <v>0</v>
      </c>
      <c r="LG308" s="561">
        <v>11539</v>
      </c>
      <c r="LH308" s="561">
        <v>0</v>
      </c>
      <c r="LI308" s="561">
        <v>0</v>
      </c>
      <c r="LJ308" s="561">
        <v>0</v>
      </c>
      <c r="LK308" s="561">
        <v>0</v>
      </c>
      <c r="LL308" s="561">
        <v>18622</v>
      </c>
      <c r="LM308" s="561">
        <v>6675</v>
      </c>
      <c r="LN308" s="561">
        <v>0</v>
      </c>
      <c r="LO308" s="561">
        <v>0</v>
      </c>
      <c r="LP308" s="561">
        <v>0</v>
      </c>
      <c r="LQ308" s="561">
        <v>0</v>
      </c>
      <c r="LR308" s="561">
        <v>24142</v>
      </c>
      <c r="LS308" s="561">
        <v>2536</v>
      </c>
      <c r="LT308" s="561">
        <v>0</v>
      </c>
      <c r="LU308" s="561">
        <v>4450</v>
      </c>
      <c r="LV308" s="561">
        <v>0</v>
      </c>
      <c r="LW308" s="561">
        <v>0</v>
      </c>
      <c r="LX308" s="561">
        <v>0</v>
      </c>
      <c r="LY308" s="561">
        <v>0</v>
      </c>
      <c r="LZ308" s="561">
        <v>4450</v>
      </c>
      <c r="MA308" s="561">
        <v>0</v>
      </c>
      <c r="MB308" s="561">
        <v>0</v>
      </c>
      <c r="MC308" s="561">
        <v>31575</v>
      </c>
      <c r="MD308" s="561">
        <v>37919</v>
      </c>
      <c r="ME308" s="561">
        <v>-6344</v>
      </c>
      <c r="MF308" s="561">
        <v>15178</v>
      </c>
      <c r="MG308" s="561">
        <v>8834</v>
      </c>
      <c r="MH308" s="561">
        <v>3378</v>
      </c>
      <c r="MI308" s="561">
        <v>4279</v>
      </c>
      <c r="MJ308" s="561">
        <v>7657</v>
      </c>
      <c r="MK308" s="561">
        <v>0</v>
      </c>
      <c r="ML308" s="561">
        <v>0</v>
      </c>
      <c r="MM308" s="561">
        <v>24142</v>
      </c>
      <c r="MN308" s="561">
        <v>0</v>
      </c>
      <c r="MO308" s="561">
        <v>0</v>
      </c>
      <c r="MP308" s="561">
        <v>0</v>
      </c>
      <c r="MQ308" s="561">
        <v>0</v>
      </c>
      <c r="MR308" s="561">
        <v>310</v>
      </c>
      <c r="MS308" s="561">
        <v>0</v>
      </c>
      <c r="MT308" s="561">
        <v>0</v>
      </c>
      <c r="MU308" s="561">
        <v>0</v>
      </c>
      <c r="MV308" s="561">
        <v>1345</v>
      </c>
      <c r="MW308" s="561">
        <v>2936</v>
      </c>
      <c r="MX308" s="561">
        <v>5261</v>
      </c>
      <c r="MY308" s="561">
        <v>1568</v>
      </c>
      <c r="MZ308" s="561">
        <v>0</v>
      </c>
      <c r="NA308" s="561">
        <v>0</v>
      </c>
      <c r="NB308" s="561">
        <v>5475</v>
      </c>
      <c r="NC308" s="561">
        <v>0</v>
      </c>
      <c r="ND308" s="561">
        <v>16895</v>
      </c>
      <c r="NE308" s="561">
        <v>0</v>
      </c>
      <c r="NF308" s="561">
        <v>0</v>
      </c>
      <c r="NG308" s="561">
        <v>0</v>
      </c>
      <c r="NH308" s="561">
        <v>0</v>
      </c>
      <c r="NI308" s="561">
        <v>0</v>
      </c>
      <c r="NJ308" s="561">
        <v>0</v>
      </c>
      <c r="NK308" s="561">
        <v>0</v>
      </c>
      <c r="NL308" s="561">
        <v>0</v>
      </c>
      <c r="NM308" s="561">
        <v>0</v>
      </c>
      <c r="NN308" s="561">
        <v>0</v>
      </c>
      <c r="NO308" s="561">
        <v>0</v>
      </c>
      <c r="NP308" s="561">
        <v>0</v>
      </c>
      <c r="NQ308" s="561">
        <v>0</v>
      </c>
      <c r="NR308" s="561">
        <v>0</v>
      </c>
      <c r="NS308" s="561">
        <v>0</v>
      </c>
      <c r="NT308" s="561">
        <v>-471</v>
      </c>
      <c r="NU308" s="561">
        <v>0</v>
      </c>
      <c r="NV308" s="561">
        <v>160</v>
      </c>
      <c r="NW308" s="561">
        <v>-311</v>
      </c>
      <c r="NX308" s="561">
        <v>191</v>
      </c>
      <c r="NY308" s="561">
        <v>-120</v>
      </c>
      <c r="NZ308" s="561">
        <v>0</v>
      </c>
      <c r="OA308" s="561">
        <v>0</v>
      </c>
      <c r="OB308" s="561">
        <v>0</v>
      </c>
      <c r="OC308" s="561">
        <v>0</v>
      </c>
      <c r="OD308" s="561">
        <v>0</v>
      </c>
      <c r="OE308" s="561">
        <v>0</v>
      </c>
      <c r="OF308" s="561">
        <v>0</v>
      </c>
      <c r="OG308" s="561">
        <v>0</v>
      </c>
      <c r="OH308" s="561">
        <v>0</v>
      </c>
      <c r="OI308" s="561">
        <v>0</v>
      </c>
      <c r="OJ308" s="561">
        <v>0</v>
      </c>
      <c r="OK308" s="561">
        <v>0</v>
      </c>
      <c r="OL308" s="561">
        <v>0</v>
      </c>
      <c r="OM308" s="561">
        <v>0</v>
      </c>
      <c r="ON308" s="561">
        <v>0</v>
      </c>
      <c r="OO308" s="561">
        <v>0</v>
      </c>
      <c r="OP308" s="561">
        <v>0</v>
      </c>
      <c r="OQ308" s="561">
        <v>0</v>
      </c>
      <c r="OR308" s="561">
        <v>0</v>
      </c>
      <c r="OS308" s="561">
        <v>0</v>
      </c>
      <c r="OT308" s="561">
        <v>0</v>
      </c>
      <c r="OU308" s="561">
        <v>0</v>
      </c>
      <c r="OV308" s="561">
        <v>0</v>
      </c>
      <c r="OW308" s="561">
        <v>0</v>
      </c>
      <c r="OX308" s="561">
        <v>0</v>
      </c>
      <c r="OY308" s="561">
        <v>191</v>
      </c>
      <c r="OZ308" s="561">
        <v>0</v>
      </c>
      <c r="PA308" s="561">
        <v>0</v>
      </c>
      <c r="PB308" s="561">
        <v>0</v>
      </c>
      <c r="PC308" s="561">
        <v>0</v>
      </c>
      <c r="PD308" s="561">
        <v>191</v>
      </c>
      <c r="PE308" s="561">
        <v>0</v>
      </c>
      <c r="PF308" s="561">
        <v>0</v>
      </c>
      <c r="PG308" s="561">
        <v>0</v>
      </c>
      <c r="PH308" s="561">
        <v>0</v>
      </c>
      <c r="PI308" s="561">
        <v>0</v>
      </c>
      <c r="PJ308" s="561">
        <v>0</v>
      </c>
    </row>
    <row r="309" spans="1:426" ht="14" x14ac:dyDescent="0.3">
      <c r="A309" t="s">
        <v>3370</v>
      </c>
      <c r="B309" t="s">
        <v>3371</v>
      </c>
      <c r="C309" t="s">
        <v>3372</v>
      </c>
      <c r="E309" t="s">
        <v>384</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-7.78</v>
      </c>
      <c r="W309" s="561">
        <v>0</v>
      </c>
      <c r="X309" s="561">
        <v>0</v>
      </c>
      <c r="Y309" s="561">
        <v>0</v>
      </c>
      <c r="Z309" s="561">
        <v>0</v>
      </c>
      <c r="AA309" s="561">
        <v>0</v>
      </c>
      <c r="AB309" s="561">
        <v>-131.41999999999999</v>
      </c>
      <c r="AC309" s="561">
        <v>0</v>
      </c>
      <c r="AD309" s="561">
        <v>0</v>
      </c>
      <c r="AE309" s="561">
        <v>0</v>
      </c>
      <c r="AF309" s="561">
        <v>0</v>
      </c>
      <c r="AG309" s="561">
        <v>0</v>
      </c>
      <c r="AH309" s="561">
        <v>0</v>
      </c>
      <c r="AI309" s="561">
        <v>0</v>
      </c>
      <c r="AJ309" s="561">
        <v>-139.19999999999999</v>
      </c>
      <c r="AK309" s="561">
        <v>0</v>
      </c>
      <c r="AL309" s="561">
        <v>0</v>
      </c>
      <c r="AM309" s="561">
        <v>0</v>
      </c>
      <c r="AN309" s="561">
        <v>0</v>
      </c>
      <c r="AO309" s="561">
        <v>0</v>
      </c>
      <c r="AP309" s="561">
        <v>0</v>
      </c>
      <c r="AQ309" s="561">
        <v>0</v>
      </c>
      <c r="AR309" s="561">
        <v>0</v>
      </c>
      <c r="AS309" s="561">
        <v>0</v>
      </c>
      <c r="AT309" s="561">
        <v>0</v>
      </c>
      <c r="AU309" s="561">
        <v>0</v>
      </c>
      <c r="AV309" s="561">
        <v>0</v>
      </c>
      <c r="AW309" s="561">
        <v>0</v>
      </c>
      <c r="AX309" s="561">
        <v>0</v>
      </c>
      <c r="AY309" s="561">
        <v>0</v>
      </c>
      <c r="AZ309" s="561">
        <v>0</v>
      </c>
      <c r="BA309" s="561">
        <v>0</v>
      </c>
      <c r="BB309" s="561">
        <v>0</v>
      </c>
      <c r="BC309" s="561">
        <v>0</v>
      </c>
      <c r="BD309" s="561">
        <v>0</v>
      </c>
      <c r="BE309" s="561">
        <v>0</v>
      </c>
      <c r="BF309" s="561">
        <v>0</v>
      </c>
      <c r="BG309" s="561">
        <v>0</v>
      </c>
      <c r="BH309" s="561">
        <v>0</v>
      </c>
      <c r="BI309" s="561">
        <v>0</v>
      </c>
      <c r="BJ309" s="561">
        <v>0</v>
      </c>
      <c r="BK309" s="561">
        <v>0</v>
      </c>
      <c r="BL309" s="561">
        <v>0</v>
      </c>
      <c r="BM309" s="561">
        <v>0</v>
      </c>
      <c r="BN309" s="561">
        <v>0</v>
      </c>
      <c r="BO309" s="561">
        <v>0</v>
      </c>
      <c r="BP309" s="561">
        <v>0</v>
      </c>
      <c r="BQ309" s="561">
        <v>0</v>
      </c>
      <c r="BR309" s="561">
        <v>0</v>
      </c>
      <c r="BS309" s="561">
        <v>0</v>
      </c>
      <c r="BT309" s="561">
        <v>0</v>
      </c>
      <c r="BU309" s="561">
        <v>0</v>
      </c>
      <c r="BV309" s="561">
        <v>0</v>
      </c>
      <c r="BW309" s="561">
        <v>0</v>
      </c>
      <c r="BX309" s="561">
        <v>0</v>
      </c>
      <c r="BY309" s="561">
        <v>0</v>
      </c>
      <c r="BZ309" s="561">
        <v>0</v>
      </c>
      <c r="CA309" s="561">
        <v>0</v>
      </c>
      <c r="CB309" s="561">
        <v>0</v>
      </c>
      <c r="CC309" s="561">
        <v>0</v>
      </c>
      <c r="CD309" s="561">
        <v>0</v>
      </c>
      <c r="CE309" s="561">
        <v>0</v>
      </c>
      <c r="CF309" s="561">
        <v>0</v>
      </c>
      <c r="CG309" s="561">
        <v>0</v>
      </c>
      <c r="CH309" s="561">
        <v>0</v>
      </c>
      <c r="CI309" s="561">
        <v>0</v>
      </c>
      <c r="CJ309" s="561">
        <v>0</v>
      </c>
      <c r="CK309" s="561">
        <v>0</v>
      </c>
      <c r="CL309" s="561">
        <v>0</v>
      </c>
      <c r="CM309" s="561">
        <v>0</v>
      </c>
      <c r="CN309" s="561">
        <v>0</v>
      </c>
      <c r="CO309" s="561">
        <v>0</v>
      </c>
      <c r="CP309" s="561">
        <v>0</v>
      </c>
      <c r="CQ309" s="561">
        <v>0</v>
      </c>
      <c r="CR309" s="561">
        <v>0</v>
      </c>
      <c r="CS309" s="561">
        <v>0</v>
      </c>
      <c r="CT309" s="561">
        <v>0</v>
      </c>
      <c r="CU309" s="561">
        <v>0</v>
      </c>
      <c r="CV309" s="561">
        <v>0</v>
      </c>
      <c r="CW309" s="561">
        <v>0</v>
      </c>
      <c r="CX309" s="561">
        <v>0</v>
      </c>
      <c r="CY309" s="561">
        <v>0</v>
      </c>
      <c r="CZ309" s="561">
        <v>0</v>
      </c>
      <c r="DA309" s="561">
        <v>0</v>
      </c>
      <c r="DB309" s="561">
        <v>0</v>
      </c>
      <c r="DC309" s="561">
        <v>0</v>
      </c>
      <c r="DD309" s="561">
        <v>0</v>
      </c>
      <c r="DE309" s="561">
        <v>0</v>
      </c>
      <c r="DF309" s="561">
        <v>0</v>
      </c>
      <c r="DG309" s="561">
        <v>0</v>
      </c>
      <c r="DH309" s="561">
        <v>69.17</v>
      </c>
      <c r="DI309" s="561">
        <v>0</v>
      </c>
      <c r="DJ309" s="561">
        <v>0</v>
      </c>
      <c r="DK309" s="561">
        <v>0</v>
      </c>
      <c r="DL309" s="561">
        <v>542.85</v>
      </c>
      <c r="DM309" s="561">
        <v>0</v>
      </c>
      <c r="DN309" s="561">
        <v>0</v>
      </c>
      <c r="DO309" s="561">
        <v>0</v>
      </c>
      <c r="DP309" s="561">
        <v>-354.98</v>
      </c>
      <c r="DQ309" s="561">
        <v>0</v>
      </c>
      <c r="DR309" s="561">
        <v>249.92</v>
      </c>
      <c r="DS309" s="561">
        <v>617.20000000000005</v>
      </c>
      <c r="DT309" s="561">
        <v>283.41000000000003</v>
      </c>
      <c r="DU309" s="561">
        <v>1338.4</v>
      </c>
      <c r="DV309" s="561">
        <v>170.2</v>
      </c>
      <c r="DW309" s="561">
        <v>0</v>
      </c>
      <c r="DX309" s="561">
        <v>0</v>
      </c>
      <c r="DY309" s="561">
        <v>402.73</v>
      </c>
      <c r="DZ309" s="561">
        <v>0</v>
      </c>
      <c r="EA309" s="561">
        <v>233.39</v>
      </c>
      <c r="EB309" s="561">
        <v>0</v>
      </c>
      <c r="EC309" s="561">
        <v>2213.89</v>
      </c>
      <c r="ED309" s="561">
        <v>85</v>
      </c>
      <c r="EE309" s="561">
        <v>0</v>
      </c>
      <c r="EF309" s="561">
        <v>0</v>
      </c>
      <c r="EG309" s="561">
        <v>0</v>
      </c>
      <c r="EH309" s="561">
        <v>0</v>
      </c>
      <c r="EI309" s="561">
        <v>0</v>
      </c>
      <c r="EJ309" s="561">
        <v>0</v>
      </c>
      <c r="EK309" s="561">
        <v>0</v>
      </c>
      <c r="EL309" s="561">
        <v>0</v>
      </c>
      <c r="EM309" s="561">
        <v>0</v>
      </c>
      <c r="EN309" s="561">
        <v>0</v>
      </c>
      <c r="EO309" s="561">
        <v>0</v>
      </c>
      <c r="EP309" s="561">
        <v>0</v>
      </c>
      <c r="EQ309" s="561">
        <v>0</v>
      </c>
      <c r="ER309" s="561">
        <v>0</v>
      </c>
      <c r="ES309" s="561" t="s">
        <v>4565</v>
      </c>
      <c r="ET309" s="561">
        <v>0</v>
      </c>
      <c r="EU309" s="561">
        <v>0</v>
      </c>
      <c r="EV309" s="561">
        <v>0</v>
      </c>
      <c r="EW309" s="561">
        <v>0</v>
      </c>
      <c r="EX309" s="561">
        <v>0</v>
      </c>
      <c r="EY309" s="561">
        <v>0</v>
      </c>
      <c r="EZ309" s="561">
        <v>0</v>
      </c>
      <c r="FA309" s="561">
        <v>0</v>
      </c>
      <c r="FB309" s="561">
        <v>0</v>
      </c>
      <c r="FC309" s="561">
        <v>0</v>
      </c>
      <c r="FD309" s="561">
        <v>0</v>
      </c>
      <c r="FE309" s="561">
        <v>0</v>
      </c>
      <c r="FF309" s="561">
        <v>0</v>
      </c>
      <c r="FG309" s="561">
        <v>0</v>
      </c>
      <c r="FH309" s="561">
        <v>0</v>
      </c>
      <c r="FI309" s="561">
        <v>0.1</v>
      </c>
      <c r="FJ309" s="561">
        <v>664.66</v>
      </c>
      <c r="FK309" s="561">
        <v>279.16000000000003</v>
      </c>
      <c r="FL309" s="561">
        <v>0</v>
      </c>
      <c r="FM309" s="561">
        <v>15.5</v>
      </c>
      <c r="FN309" s="561">
        <v>0</v>
      </c>
      <c r="FO309" s="561">
        <v>959.42</v>
      </c>
      <c r="FP309" s="561">
        <v>0</v>
      </c>
      <c r="FQ309" s="561">
        <v>0</v>
      </c>
      <c r="FR309" s="561">
        <v>0</v>
      </c>
      <c r="FS309" s="561">
        <v>0</v>
      </c>
      <c r="FT309" s="561">
        <v>225.23</v>
      </c>
      <c r="FU309" s="561">
        <v>545.55999999999995</v>
      </c>
      <c r="FV309" s="561">
        <v>316.83999999999997</v>
      </c>
      <c r="FW309" s="561">
        <v>0</v>
      </c>
      <c r="FX309" s="561">
        <v>0</v>
      </c>
      <c r="FY309" s="561">
        <v>0</v>
      </c>
      <c r="FZ309" s="561">
        <v>-2.2400000000000002</v>
      </c>
      <c r="GA309" s="561">
        <v>-0.49</v>
      </c>
      <c r="GB309" s="561">
        <v>42.4</v>
      </c>
      <c r="GC309" s="561">
        <v>-67.23</v>
      </c>
      <c r="GD309" s="561">
        <v>0</v>
      </c>
      <c r="GE309" s="561">
        <v>0</v>
      </c>
      <c r="GF309" s="561">
        <v>0</v>
      </c>
      <c r="GG309" s="561">
        <v>0</v>
      </c>
      <c r="GH309" s="561">
        <v>0</v>
      </c>
      <c r="GI309" s="561">
        <v>236.99</v>
      </c>
      <c r="GJ309" s="561">
        <v>0</v>
      </c>
      <c r="GK309" s="561">
        <v>0</v>
      </c>
      <c r="GL309" s="561">
        <v>529.89</v>
      </c>
      <c r="GM309" s="561">
        <v>3272.26</v>
      </c>
      <c r="GN309" s="561">
        <v>0</v>
      </c>
      <c r="GO309" s="561">
        <v>-247.02</v>
      </c>
      <c r="GP309" s="561">
        <v>-985.42</v>
      </c>
      <c r="GQ309" s="561">
        <v>0</v>
      </c>
      <c r="GR309" s="561">
        <v>0</v>
      </c>
      <c r="GS309" s="561">
        <v>3866.77</v>
      </c>
      <c r="GT309" s="561">
        <v>226</v>
      </c>
      <c r="GU309" s="561">
        <v>-172.97</v>
      </c>
      <c r="GV309" s="561">
        <v>122.77</v>
      </c>
      <c r="GW309" s="561">
        <v>0</v>
      </c>
      <c r="GX309" s="561">
        <v>401.14</v>
      </c>
      <c r="GY309" s="561">
        <v>0</v>
      </c>
      <c r="GZ309" s="561">
        <v>637.21</v>
      </c>
      <c r="HA309" s="561">
        <v>0</v>
      </c>
      <c r="HB309" s="561">
        <v>35.4</v>
      </c>
      <c r="HC309" s="561">
        <v>609.54</v>
      </c>
      <c r="HD309" s="561">
        <v>1633.09</v>
      </c>
      <c r="HE309" s="561">
        <v>239</v>
      </c>
      <c r="HF309" s="561">
        <v>6459.28</v>
      </c>
      <c r="HG309" s="561">
        <v>465</v>
      </c>
      <c r="HH309" s="561">
        <v>0</v>
      </c>
      <c r="HI309" s="561">
        <v>0</v>
      </c>
      <c r="HJ309" s="561">
        <v>0</v>
      </c>
      <c r="HK309" s="561">
        <v>0</v>
      </c>
      <c r="HL309" s="561">
        <v>0</v>
      </c>
      <c r="HM309" s="561">
        <v>0</v>
      </c>
      <c r="HN309" s="561">
        <v>0</v>
      </c>
      <c r="HO309" s="561">
        <v>1194.6500000000001</v>
      </c>
      <c r="HP309" s="561">
        <v>553.39</v>
      </c>
      <c r="HQ309" s="561">
        <v>0</v>
      </c>
      <c r="HR309" s="561">
        <v>46.29</v>
      </c>
      <c r="HS309" s="561">
        <v>101</v>
      </c>
      <c r="HT309" s="561">
        <v>-78.290000000000006</v>
      </c>
      <c r="HU309" s="561">
        <v>0</v>
      </c>
      <c r="HV309" s="561">
        <v>0</v>
      </c>
      <c r="HW309" s="561">
        <v>53.96</v>
      </c>
      <c r="HX309" s="561">
        <v>99.02</v>
      </c>
      <c r="HY309" s="561">
        <v>58.54</v>
      </c>
      <c r="HZ309" s="561">
        <v>-160.59</v>
      </c>
      <c r="IA309" s="561">
        <v>0</v>
      </c>
      <c r="IB309" s="561">
        <v>171.83</v>
      </c>
      <c r="IC309" s="561">
        <v>0</v>
      </c>
      <c r="ID309" s="561">
        <v>0</v>
      </c>
      <c r="IE309" s="561">
        <v>1549.87</v>
      </c>
      <c r="IF309" s="561">
        <v>0</v>
      </c>
      <c r="IG309" s="561">
        <v>0</v>
      </c>
      <c r="IH309" s="561">
        <v>6213.02</v>
      </c>
      <c r="II309" s="561">
        <v>9802.69</v>
      </c>
      <c r="IJ309" s="561">
        <v>119</v>
      </c>
      <c r="IK309" s="561">
        <v>26.92</v>
      </c>
      <c r="IL309" s="561">
        <v>0</v>
      </c>
      <c r="IM309" s="561">
        <v>0</v>
      </c>
      <c r="IN309" s="561">
        <v>0</v>
      </c>
      <c r="IO309" s="561">
        <v>141.80000000000001</v>
      </c>
      <c r="IP309" s="561">
        <v>0</v>
      </c>
      <c r="IQ309" s="561">
        <v>0</v>
      </c>
      <c r="IR309" s="561">
        <v>0</v>
      </c>
      <c r="IS309" s="561">
        <v>-139.19999999999999</v>
      </c>
      <c r="IT309" s="561">
        <v>0</v>
      </c>
      <c r="IU309" s="561">
        <v>0</v>
      </c>
      <c r="IV309" s="561">
        <v>0</v>
      </c>
      <c r="IW309" s="561">
        <v>2213.89</v>
      </c>
      <c r="IX309" s="561">
        <v>959.42</v>
      </c>
      <c r="IY309" s="561">
        <v>3866.77</v>
      </c>
      <c r="IZ309" s="561">
        <v>1633.09</v>
      </c>
      <c r="JA309" s="561">
        <v>0</v>
      </c>
      <c r="JB309" s="561">
        <v>0</v>
      </c>
      <c r="JC309" s="561">
        <v>9802.69</v>
      </c>
      <c r="JD309" s="561">
        <v>0</v>
      </c>
      <c r="JE309" s="561">
        <v>18336.66</v>
      </c>
      <c r="JF309" s="561">
        <v>16383.62</v>
      </c>
      <c r="JG309" s="561">
        <v>622.84</v>
      </c>
      <c r="JH309" s="561">
        <v>0</v>
      </c>
      <c r="JI309" s="561">
        <v>0</v>
      </c>
      <c r="JJ309" s="561">
        <v>0</v>
      </c>
      <c r="JK309" s="561">
        <v>5296</v>
      </c>
      <c r="JL309" s="561">
        <v>0</v>
      </c>
      <c r="JM309" s="561">
        <v>0</v>
      </c>
      <c r="JN309" s="561">
        <v>0</v>
      </c>
      <c r="JO309" s="561">
        <v>0</v>
      </c>
      <c r="JP309" s="561">
        <v>0</v>
      </c>
      <c r="JQ309" s="561">
        <v>0</v>
      </c>
      <c r="JR309" s="561">
        <v>0</v>
      </c>
      <c r="JS309" s="561">
        <v>0</v>
      </c>
      <c r="JT309" s="561">
        <v>283.17</v>
      </c>
      <c r="JU309" s="561">
        <v>-31.4</v>
      </c>
      <c r="JV309" s="561">
        <v>40890.89</v>
      </c>
      <c r="JW309" s="561">
        <v>0</v>
      </c>
      <c r="JX309" s="561">
        <v>1630.29</v>
      </c>
      <c r="JY309" s="561">
        <v>0</v>
      </c>
      <c r="JZ309" s="561">
        <v>0</v>
      </c>
      <c r="KA309" s="561">
        <v>0</v>
      </c>
      <c r="KB309" s="561">
        <v>0</v>
      </c>
      <c r="KC309" s="561">
        <v>0</v>
      </c>
      <c r="KD309" s="561">
        <v>-8.49</v>
      </c>
      <c r="KE309" s="561">
        <v>1598.94</v>
      </c>
      <c r="KF309" s="561">
        <v>0</v>
      </c>
      <c r="KG309" s="561">
        <v>44111.63</v>
      </c>
      <c r="KH309" s="561">
        <v>-4618.9799999999996</v>
      </c>
      <c r="KI309" s="561">
        <v>0</v>
      </c>
      <c r="KJ309" s="561">
        <v>0</v>
      </c>
      <c r="KK309" s="561">
        <v>0</v>
      </c>
      <c r="KL309" s="561">
        <v>-17049.93</v>
      </c>
      <c r="KM309" s="561">
        <v>0</v>
      </c>
      <c r="KN309" s="561">
        <v>-118.9</v>
      </c>
      <c r="KO309" s="561">
        <v>0</v>
      </c>
      <c r="KP309" s="561">
        <v>0</v>
      </c>
      <c r="KQ309" s="561">
        <v>0</v>
      </c>
      <c r="KR309" s="561">
        <v>22323.82</v>
      </c>
      <c r="KS309" s="561">
        <v>0</v>
      </c>
      <c r="KT309" s="561">
        <v>-4952</v>
      </c>
      <c r="KU309" s="561">
        <v>17371.82</v>
      </c>
      <c r="KV309" s="561">
        <v>0</v>
      </c>
      <c r="KW309" s="561">
        <v>0</v>
      </c>
      <c r="KX309" s="561">
        <v>0</v>
      </c>
      <c r="KY309" s="561">
        <v>0</v>
      </c>
      <c r="KZ309" s="561">
        <v>460.63</v>
      </c>
      <c r="LA309" s="561">
        <v>7086.2</v>
      </c>
      <c r="LB309" s="561">
        <v>-265</v>
      </c>
      <c r="LC309" s="561">
        <v>0</v>
      </c>
      <c r="LD309" s="561">
        <v>-10200.19</v>
      </c>
      <c r="LE309" s="561">
        <v>-103.16</v>
      </c>
      <c r="LF309" s="561">
        <v>0</v>
      </c>
      <c r="LG309" s="561">
        <v>14350</v>
      </c>
      <c r="LH309" s="561">
        <v>0</v>
      </c>
      <c r="LI309" s="561">
        <v>0</v>
      </c>
      <c r="LJ309" s="561">
        <v>0</v>
      </c>
      <c r="LK309" s="561">
        <v>0</v>
      </c>
      <c r="LL309" s="561">
        <v>41799</v>
      </c>
      <c r="LM309" s="561">
        <v>6419</v>
      </c>
      <c r="LN309" s="561">
        <v>0</v>
      </c>
      <c r="LO309" s="561">
        <v>0</v>
      </c>
      <c r="LP309" s="561">
        <v>0</v>
      </c>
      <c r="LQ309" s="561">
        <v>0</v>
      </c>
      <c r="LR309" s="561">
        <v>42259.63</v>
      </c>
      <c r="LS309" s="561">
        <v>13505.2</v>
      </c>
      <c r="LT309" s="561">
        <v>0</v>
      </c>
      <c r="LU309" s="561">
        <v>2272</v>
      </c>
      <c r="LV309" s="561">
        <v>0</v>
      </c>
      <c r="LW309" s="561">
        <v>3081</v>
      </c>
      <c r="LX309" s="561">
        <v>0</v>
      </c>
      <c r="LY309" s="561">
        <v>4387</v>
      </c>
      <c r="LZ309" s="561">
        <v>9740</v>
      </c>
      <c r="MA309" s="561">
        <v>0</v>
      </c>
      <c r="MB309" s="561">
        <v>0</v>
      </c>
      <c r="MC309" s="561">
        <v>0</v>
      </c>
      <c r="MD309" s="561">
        <v>0</v>
      </c>
      <c r="ME309" s="561">
        <v>0</v>
      </c>
      <c r="MF309" s="561">
        <v>0</v>
      </c>
      <c r="MG309" s="561">
        <v>0</v>
      </c>
      <c r="MH309" s="561">
        <v>3777</v>
      </c>
      <c r="MI309" s="561">
        <v>4334.0200000000004</v>
      </c>
      <c r="MJ309" s="561">
        <v>8111.02</v>
      </c>
      <c r="MK309" s="561">
        <v>0</v>
      </c>
      <c r="ML309" s="561">
        <v>0</v>
      </c>
      <c r="MM309" s="561">
        <v>39768.01</v>
      </c>
      <c r="MN309" s="561">
        <v>2250.16</v>
      </c>
      <c r="MO309" s="561">
        <v>241.46</v>
      </c>
      <c r="MP309" s="561">
        <v>0</v>
      </c>
      <c r="MQ309" s="561">
        <v>0</v>
      </c>
      <c r="MR309" s="561">
        <v>-139.19999999999999</v>
      </c>
      <c r="MS309" s="561">
        <v>0</v>
      </c>
      <c r="MT309" s="561">
        <v>0</v>
      </c>
      <c r="MU309" s="561">
        <v>0</v>
      </c>
      <c r="MV309" s="561">
        <v>2213.89</v>
      </c>
      <c r="MW309" s="561">
        <v>959.42</v>
      </c>
      <c r="MX309" s="561">
        <v>3866.77</v>
      </c>
      <c r="MY309" s="561">
        <v>1633.09</v>
      </c>
      <c r="MZ309" s="561">
        <v>0</v>
      </c>
      <c r="NA309" s="561">
        <v>0</v>
      </c>
      <c r="NB309" s="561">
        <v>9802.69</v>
      </c>
      <c r="NC309" s="561">
        <v>0</v>
      </c>
      <c r="ND309" s="561">
        <v>18336.66</v>
      </c>
      <c r="NE309" s="561">
        <v>0</v>
      </c>
      <c r="NF309" s="561">
        <v>0</v>
      </c>
      <c r="NG309" s="561">
        <v>0</v>
      </c>
      <c r="NH309" s="561">
        <v>0</v>
      </c>
      <c r="NI309" s="561">
        <v>0</v>
      </c>
      <c r="NJ309" s="561">
        <v>0</v>
      </c>
      <c r="NK309" s="561">
        <v>0</v>
      </c>
      <c r="NL309" s="561">
        <v>0</v>
      </c>
      <c r="NM309" s="561">
        <v>0</v>
      </c>
      <c r="NN309" s="561">
        <v>0</v>
      </c>
      <c r="NO309" s="561">
        <v>0</v>
      </c>
      <c r="NP309" s="561">
        <v>0</v>
      </c>
      <c r="NQ309" s="561">
        <v>0</v>
      </c>
      <c r="NR309" s="561">
        <v>0</v>
      </c>
      <c r="NS309" s="561">
        <v>0</v>
      </c>
      <c r="NT309" s="561">
        <v>0</v>
      </c>
      <c r="NU309" s="561">
        <v>0</v>
      </c>
      <c r="NV309" s="561">
        <v>0</v>
      </c>
      <c r="NW309" s="561">
        <v>0</v>
      </c>
      <c r="NX309" s="561">
        <v>0</v>
      </c>
      <c r="NY309" s="561">
        <v>0</v>
      </c>
      <c r="NZ309" s="561">
        <v>0</v>
      </c>
      <c r="OA309" s="561">
        <v>0</v>
      </c>
      <c r="OB309" s="561">
        <v>0</v>
      </c>
      <c r="OC309" s="561">
        <v>0</v>
      </c>
      <c r="OD309" s="561">
        <v>0</v>
      </c>
      <c r="OE309" s="561">
        <v>0</v>
      </c>
      <c r="OF309" s="561">
        <v>0</v>
      </c>
      <c r="OG309" s="561">
        <v>0</v>
      </c>
      <c r="OH309" s="561">
        <v>0</v>
      </c>
      <c r="OI309" s="561">
        <v>0</v>
      </c>
      <c r="OJ309" s="561">
        <v>0</v>
      </c>
      <c r="OK309" s="561">
        <v>0</v>
      </c>
      <c r="OL309" s="561">
        <v>0</v>
      </c>
      <c r="OM309" s="561">
        <v>0</v>
      </c>
      <c r="ON309" s="561">
        <v>0</v>
      </c>
      <c r="OO309" s="561">
        <v>0</v>
      </c>
      <c r="OP309" s="561">
        <v>0</v>
      </c>
      <c r="OQ309" s="561">
        <v>0</v>
      </c>
      <c r="OR309" s="561">
        <v>0</v>
      </c>
      <c r="OS309" s="561">
        <v>0</v>
      </c>
      <c r="OT309" s="561">
        <v>0</v>
      </c>
      <c r="OU309" s="561">
        <v>0</v>
      </c>
      <c r="OV309" s="561">
        <v>0</v>
      </c>
      <c r="OW309" s="561">
        <v>0</v>
      </c>
      <c r="OX309" s="561">
        <v>0</v>
      </c>
      <c r="OY309" s="561">
        <v>0</v>
      </c>
      <c r="OZ309" s="561">
        <v>0</v>
      </c>
      <c r="PA309" s="561">
        <v>0</v>
      </c>
      <c r="PB309" s="561">
        <v>0</v>
      </c>
      <c r="PC309" s="561">
        <v>0</v>
      </c>
      <c r="PD309" s="561">
        <v>0</v>
      </c>
      <c r="PE309" s="561">
        <v>0</v>
      </c>
      <c r="PF309" s="561">
        <v>0</v>
      </c>
      <c r="PG309" s="561">
        <v>0</v>
      </c>
      <c r="PH309" s="561">
        <v>0</v>
      </c>
      <c r="PI309" s="561">
        <v>0</v>
      </c>
      <c r="PJ309" s="561">
        <v>0</v>
      </c>
    </row>
    <row r="310" spans="1:426" ht="14" x14ac:dyDescent="0.3">
      <c r="A310" t="s">
        <v>3373</v>
      </c>
      <c r="B310" t="s">
        <v>3374</v>
      </c>
      <c r="C310" t="s">
        <v>3375</v>
      </c>
      <c r="E310" t="s">
        <v>384</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9</v>
      </c>
      <c r="AA310" s="561">
        <v>0</v>
      </c>
      <c r="AB310" s="561">
        <v>-753</v>
      </c>
      <c r="AC310" s="561">
        <v>0</v>
      </c>
      <c r="AD310" s="561">
        <v>0</v>
      </c>
      <c r="AE310" s="561">
        <v>0</v>
      </c>
      <c r="AF310" s="561">
        <v>0</v>
      </c>
      <c r="AG310" s="561">
        <v>0</v>
      </c>
      <c r="AH310" s="561">
        <v>0</v>
      </c>
      <c r="AI310" s="561">
        <v>0</v>
      </c>
      <c r="AJ310" s="561">
        <v>-744</v>
      </c>
      <c r="AK310" s="561">
        <v>1</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561">
        <v>0</v>
      </c>
      <c r="BI310" s="561">
        <v>0</v>
      </c>
      <c r="BJ310" s="561">
        <v>0</v>
      </c>
      <c r="BK310" s="561">
        <v>0</v>
      </c>
      <c r="BL310" s="561">
        <v>0</v>
      </c>
      <c r="BM310" s="561">
        <v>0</v>
      </c>
      <c r="BN310" s="561">
        <v>0</v>
      </c>
      <c r="BO310" s="561">
        <v>0</v>
      </c>
      <c r="BP310" s="561">
        <v>0</v>
      </c>
      <c r="BQ310" s="561">
        <v>0</v>
      </c>
      <c r="BR310" s="561">
        <v>0</v>
      </c>
      <c r="BS310" s="561">
        <v>0</v>
      </c>
      <c r="BT310" s="561">
        <v>0</v>
      </c>
      <c r="BU310" s="561">
        <v>0</v>
      </c>
      <c r="BV310" s="561">
        <v>0</v>
      </c>
      <c r="BW310" s="561">
        <v>0</v>
      </c>
      <c r="BX310" s="561">
        <v>0</v>
      </c>
      <c r="BY310" s="561">
        <v>0</v>
      </c>
      <c r="BZ310" s="561">
        <v>0</v>
      </c>
      <c r="CA310" s="561">
        <v>0</v>
      </c>
      <c r="CB310" s="561">
        <v>0</v>
      </c>
      <c r="CC310" s="561">
        <v>0</v>
      </c>
      <c r="CD310" s="561">
        <v>0</v>
      </c>
      <c r="CE310" s="561">
        <v>0</v>
      </c>
      <c r="CF310" s="561">
        <v>0</v>
      </c>
      <c r="CG310" s="561">
        <v>0</v>
      </c>
      <c r="CH310" s="561">
        <v>0</v>
      </c>
      <c r="CI310" s="561">
        <v>0</v>
      </c>
      <c r="CJ310" s="561">
        <v>0</v>
      </c>
      <c r="CK310" s="561">
        <v>0</v>
      </c>
      <c r="CL310" s="561">
        <v>0</v>
      </c>
      <c r="CM310" s="561">
        <v>0</v>
      </c>
      <c r="CN310" s="561">
        <v>0</v>
      </c>
      <c r="CO310" s="561">
        <v>0</v>
      </c>
      <c r="CP310" s="561">
        <v>0</v>
      </c>
      <c r="CQ310" s="561">
        <v>0</v>
      </c>
      <c r="CR310" s="561">
        <v>0</v>
      </c>
      <c r="CS310" s="561">
        <v>0</v>
      </c>
      <c r="CT310" s="561">
        <v>0</v>
      </c>
      <c r="CU310" s="561">
        <v>0</v>
      </c>
      <c r="CV310" s="561">
        <v>0</v>
      </c>
      <c r="CW310" s="561">
        <v>0</v>
      </c>
      <c r="CX310" s="561">
        <v>0</v>
      </c>
      <c r="CY310" s="561">
        <v>0</v>
      </c>
      <c r="CZ310" s="561">
        <v>0</v>
      </c>
      <c r="DA310" s="561">
        <v>0</v>
      </c>
      <c r="DB310" s="561">
        <v>0</v>
      </c>
      <c r="DC310" s="561">
        <v>0</v>
      </c>
      <c r="DD310" s="561">
        <v>0</v>
      </c>
      <c r="DE310" s="561">
        <v>0</v>
      </c>
      <c r="DF310" s="561">
        <v>0</v>
      </c>
      <c r="DG310" s="561">
        <v>0</v>
      </c>
      <c r="DH310" s="561">
        <v>462</v>
      </c>
      <c r="DI310" s="561">
        <v>222</v>
      </c>
      <c r="DJ310" s="561">
        <v>0</v>
      </c>
      <c r="DK310" s="561">
        <v>255</v>
      </c>
      <c r="DL310" s="561">
        <v>0</v>
      </c>
      <c r="DM310" s="561">
        <v>368</v>
      </c>
      <c r="DN310" s="561">
        <v>0</v>
      </c>
      <c r="DO310" s="561">
        <v>0</v>
      </c>
      <c r="DP310" s="561">
        <v>0</v>
      </c>
      <c r="DQ310" s="561">
        <v>0</v>
      </c>
      <c r="DR310" s="561">
        <v>25</v>
      </c>
      <c r="DS310" s="561">
        <v>197</v>
      </c>
      <c r="DT310" s="561">
        <v>0</v>
      </c>
      <c r="DU310" s="561">
        <v>590</v>
      </c>
      <c r="DV310" s="561">
        <v>0</v>
      </c>
      <c r="DW310" s="561">
        <v>0</v>
      </c>
      <c r="DX310" s="561">
        <v>0</v>
      </c>
      <c r="DY310" s="561">
        <v>0</v>
      </c>
      <c r="DZ310" s="561">
        <v>-181</v>
      </c>
      <c r="EA310" s="561">
        <v>0</v>
      </c>
      <c r="EB310" s="561">
        <v>0</v>
      </c>
      <c r="EC310" s="561">
        <v>1348</v>
      </c>
      <c r="ED310" s="561">
        <v>25</v>
      </c>
      <c r="EE310" s="561">
        <v>0</v>
      </c>
      <c r="EF310" s="561">
        <v>0</v>
      </c>
      <c r="EG310" s="561">
        <v>0</v>
      </c>
      <c r="EH310" s="561">
        <v>0</v>
      </c>
      <c r="EI310" s="561">
        <v>0</v>
      </c>
      <c r="EJ310" s="561">
        <v>0</v>
      </c>
      <c r="EK310" s="561">
        <v>0</v>
      </c>
      <c r="EL310" s="561">
        <v>0</v>
      </c>
      <c r="EM310" s="561">
        <v>0</v>
      </c>
      <c r="EN310" s="561">
        <v>0</v>
      </c>
      <c r="EO310" s="561">
        <v>0</v>
      </c>
      <c r="EP310" s="561">
        <v>0</v>
      </c>
      <c r="EQ310" s="561">
        <v>0</v>
      </c>
      <c r="ER310" s="561">
        <v>0</v>
      </c>
      <c r="ES310" s="561" t="s">
        <v>4565</v>
      </c>
      <c r="ET310" s="561">
        <v>0</v>
      </c>
      <c r="EU310" s="561">
        <v>0</v>
      </c>
      <c r="EV310" s="561">
        <v>0</v>
      </c>
      <c r="EW310" s="561">
        <v>0</v>
      </c>
      <c r="EX310" s="561">
        <v>0</v>
      </c>
      <c r="EY310" s="561">
        <v>0</v>
      </c>
      <c r="EZ310" s="561">
        <v>0</v>
      </c>
      <c r="FA310" s="561">
        <v>0</v>
      </c>
      <c r="FB310" s="561">
        <v>0</v>
      </c>
      <c r="FC310" s="561">
        <v>106</v>
      </c>
      <c r="FD310" s="561">
        <v>0</v>
      </c>
      <c r="FE310" s="561">
        <v>0</v>
      </c>
      <c r="FF310" s="561">
        <v>666</v>
      </c>
      <c r="FG310" s="561">
        <v>0</v>
      </c>
      <c r="FH310" s="561">
        <v>0</v>
      </c>
      <c r="FI310" s="561">
        <v>187</v>
      </c>
      <c r="FJ310" s="561">
        <v>891</v>
      </c>
      <c r="FK310" s="561">
        <v>315</v>
      </c>
      <c r="FL310" s="561">
        <v>0</v>
      </c>
      <c r="FM310" s="561">
        <v>0</v>
      </c>
      <c r="FN310" s="561">
        <v>0</v>
      </c>
      <c r="FO310" s="561">
        <v>2165</v>
      </c>
      <c r="FP310" s="561">
        <v>102</v>
      </c>
      <c r="FQ310" s="561">
        <v>-35</v>
      </c>
      <c r="FR310" s="561">
        <v>0</v>
      </c>
      <c r="FS310" s="561">
        <v>0</v>
      </c>
      <c r="FT310" s="561">
        <v>476</v>
      </c>
      <c r="FU310" s="561">
        <v>0</v>
      </c>
      <c r="FV310" s="561">
        <v>0</v>
      </c>
      <c r="FW310" s="561">
        <v>0</v>
      </c>
      <c r="FX310" s="561">
        <v>0</v>
      </c>
      <c r="FY310" s="561">
        <v>0</v>
      </c>
      <c r="FZ310" s="561">
        <v>0</v>
      </c>
      <c r="GA310" s="561">
        <v>269</v>
      </c>
      <c r="GB310" s="561">
        <v>411</v>
      </c>
      <c r="GC310" s="561">
        <v>-226</v>
      </c>
      <c r="GD310" s="561">
        <v>254</v>
      </c>
      <c r="GE310" s="561">
        <v>0</v>
      </c>
      <c r="GF310" s="561">
        <v>107</v>
      </c>
      <c r="GG310" s="561">
        <v>0</v>
      </c>
      <c r="GH310" s="561">
        <v>80</v>
      </c>
      <c r="GI310" s="561">
        <v>0</v>
      </c>
      <c r="GJ310" s="561">
        <v>0</v>
      </c>
      <c r="GK310" s="561">
        <v>0</v>
      </c>
      <c r="GL310" s="561">
        <v>2016</v>
      </c>
      <c r="GM310" s="561">
        <v>1487</v>
      </c>
      <c r="GN310" s="561">
        <v>0</v>
      </c>
      <c r="GO310" s="561">
        <v>0</v>
      </c>
      <c r="GP310" s="561">
        <v>3505</v>
      </c>
      <c r="GQ310" s="561">
        <v>0</v>
      </c>
      <c r="GR310" s="561">
        <v>0</v>
      </c>
      <c r="GS310" s="561">
        <v>8344</v>
      </c>
      <c r="GT310" s="561">
        <v>0</v>
      </c>
      <c r="GU310" s="561">
        <v>103</v>
      </c>
      <c r="GV310" s="561">
        <v>713</v>
      </c>
      <c r="GW310" s="561">
        <v>116</v>
      </c>
      <c r="GX310" s="561">
        <v>1363</v>
      </c>
      <c r="GY310" s="561">
        <v>0</v>
      </c>
      <c r="GZ310" s="561">
        <v>425</v>
      </c>
      <c r="HA310" s="561">
        <v>0</v>
      </c>
      <c r="HB310" s="561">
        <v>0</v>
      </c>
      <c r="HC310" s="561">
        <v>0</v>
      </c>
      <c r="HD310" s="561">
        <v>2720</v>
      </c>
      <c r="HE310" s="561">
        <v>195</v>
      </c>
      <c r="HF310" s="561">
        <v>13229</v>
      </c>
      <c r="HG310" s="561">
        <v>298</v>
      </c>
      <c r="HH310" s="561">
        <v>0</v>
      </c>
      <c r="HI310" s="561">
        <v>0</v>
      </c>
      <c r="HJ310" s="561">
        <v>0</v>
      </c>
      <c r="HK310" s="561">
        <v>0</v>
      </c>
      <c r="HL310" s="561">
        <v>0</v>
      </c>
      <c r="HM310" s="561">
        <v>0</v>
      </c>
      <c r="HN310" s="561">
        <v>0</v>
      </c>
      <c r="HO310" s="561">
        <v>932</v>
      </c>
      <c r="HP310" s="561">
        <v>613</v>
      </c>
      <c r="HQ310" s="561">
        <v>0</v>
      </c>
      <c r="HR310" s="561">
        <v>0</v>
      </c>
      <c r="HS310" s="561">
        <v>-466</v>
      </c>
      <c r="HT310" s="561">
        <v>172</v>
      </c>
      <c r="HU310" s="561">
        <v>0</v>
      </c>
      <c r="HV310" s="561">
        <v>0</v>
      </c>
      <c r="HW310" s="561">
        <v>197</v>
      </c>
      <c r="HX310" s="561">
        <v>113</v>
      </c>
      <c r="HY310" s="561">
        <v>31</v>
      </c>
      <c r="HZ310" s="561">
        <v>-220</v>
      </c>
      <c r="IA310" s="561">
        <v>0</v>
      </c>
      <c r="IB310" s="561">
        <v>831</v>
      </c>
      <c r="IC310" s="561">
        <v>0</v>
      </c>
      <c r="ID310" s="561">
        <v>0</v>
      </c>
      <c r="IE310" s="561">
        <v>661</v>
      </c>
      <c r="IF310" s="561">
        <v>0</v>
      </c>
      <c r="IG310" s="561">
        <v>0</v>
      </c>
      <c r="IH310" s="561">
        <v>8942</v>
      </c>
      <c r="II310" s="561">
        <v>11806</v>
      </c>
      <c r="IJ310" s="561">
        <v>873</v>
      </c>
      <c r="IK310" s="561">
        <v>0</v>
      </c>
      <c r="IL310" s="561">
        <v>0</v>
      </c>
      <c r="IM310" s="561">
        <v>0</v>
      </c>
      <c r="IN310" s="561">
        <v>0</v>
      </c>
      <c r="IO310" s="561">
        <v>8346</v>
      </c>
      <c r="IP310" s="561">
        <v>0</v>
      </c>
      <c r="IQ310" s="561">
        <v>0</v>
      </c>
      <c r="IR310" s="561">
        <v>0</v>
      </c>
      <c r="IS310" s="561">
        <v>-744</v>
      </c>
      <c r="IT310" s="561">
        <v>0</v>
      </c>
      <c r="IU310" s="561">
        <v>0</v>
      </c>
      <c r="IV310" s="561">
        <v>0</v>
      </c>
      <c r="IW310" s="561">
        <v>1348</v>
      </c>
      <c r="IX310" s="561">
        <v>2165</v>
      </c>
      <c r="IY310" s="561">
        <v>8344</v>
      </c>
      <c r="IZ310" s="561">
        <v>2720</v>
      </c>
      <c r="JA310" s="561">
        <v>0</v>
      </c>
      <c r="JB310" s="561">
        <v>0</v>
      </c>
      <c r="JC310" s="561">
        <v>11806</v>
      </c>
      <c r="JD310" s="561">
        <v>0</v>
      </c>
      <c r="JE310" s="561">
        <v>25639</v>
      </c>
      <c r="JF310" s="561">
        <v>16807</v>
      </c>
      <c r="JG310" s="561">
        <v>209</v>
      </c>
      <c r="JH310" s="561">
        <v>0</v>
      </c>
      <c r="JI310" s="561">
        <v>0</v>
      </c>
      <c r="JJ310" s="561">
        <v>0</v>
      </c>
      <c r="JK310" s="561">
        <v>7551</v>
      </c>
      <c r="JL310" s="561">
        <v>0</v>
      </c>
      <c r="JM310" s="561">
        <v>0</v>
      </c>
      <c r="JN310" s="561">
        <v>0</v>
      </c>
      <c r="JO310" s="561">
        <v>0</v>
      </c>
      <c r="JP310" s="561">
        <v>635</v>
      </c>
      <c r="JQ310" s="561">
        <v>0</v>
      </c>
      <c r="JR310" s="561">
        <v>-1387</v>
      </c>
      <c r="JS310" s="561">
        <v>0</v>
      </c>
      <c r="JT310" s="561">
        <v>0</v>
      </c>
      <c r="JU310" s="561">
        <v>0</v>
      </c>
      <c r="JV310" s="561">
        <v>49454</v>
      </c>
      <c r="JW310" s="561">
        <v>0</v>
      </c>
      <c r="JX310" s="561">
        <v>0</v>
      </c>
      <c r="JY310" s="561">
        <v>0</v>
      </c>
      <c r="JZ310" s="561">
        <v>0</v>
      </c>
      <c r="KA310" s="561">
        <v>0</v>
      </c>
      <c r="KB310" s="561">
        <v>0</v>
      </c>
      <c r="KC310" s="561">
        <v>0</v>
      </c>
      <c r="KD310" s="561">
        <v>0</v>
      </c>
      <c r="KE310" s="561">
        <v>0</v>
      </c>
      <c r="KF310" s="561">
        <v>0</v>
      </c>
      <c r="KG310" s="561">
        <v>49454</v>
      </c>
      <c r="KH310" s="561">
        <v>-9586</v>
      </c>
      <c r="KI310" s="561">
        <v>0</v>
      </c>
      <c r="KJ310" s="561">
        <v>0</v>
      </c>
      <c r="KK310" s="561">
        <v>0</v>
      </c>
      <c r="KL310" s="561">
        <v>-17016</v>
      </c>
      <c r="KM310" s="561">
        <v>0</v>
      </c>
      <c r="KN310" s="561">
        <v>-735</v>
      </c>
      <c r="KO310" s="561">
        <v>0</v>
      </c>
      <c r="KP310" s="561">
        <v>0</v>
      </c>
      <c r="KQ310" s="561">
        <v>0</v>
      </c>
      <c r="KR310" s="561">
        <v>22117</v>
      </c>
      <c r="KS310" s="561">
        <v>0</v>
      </c>
      <c r="KT310" s="561">
        <v>-3568</v>
      </c>
      <c r="KU310" s="561">
        <v>18549</v>
      </c>
      <c r="KV310" s="561">
        <v>0</v>
      </c>
      <c r="KW310" s="561">
        <v>0</v>
      </c>
      <c r="KX310" s="561">
        <v>0</v>
      </c>
      <c r="KY310" s="561">
        <v>0</v>
      </c>
      <c r="KZ310" s="561">
        <v>193</v>
      </c>
      <c r="LA310" s="561">
        <v>2406</v>
      </c>
      <c r="LB310" s="561">
        <v>-123</v>
      </c>
      <c r="LC310" s="561">
        <v>0</v>
      </c>
      <c r="LD310" s="561">
        <v>-3882</v>
      </c>
      <c r="LE310" s="561">
        <v>-425</v>
      </c>
      <c r="LF310" s="561">
        <v>0</v>
      </c>
      <c r="LG310" s="561">
        <v>16718</v>
      </c>
      <c r="LH310" s="561">
        <v>0</v>
      </c>
      <c r="LI310" s="561">
        <v>0</v>
      </c>
      <c r="LJ310" s="561">
        <v>0</v>
      </c>
      <c r="LK310" s="561">
        <v>0</v>
      </c>
      <c r="LL310" s="561">
        <v>15969</v>
      </c>
      <c r="LM310" s="561">
        <v>47569</v>
      </c>
      <c r="LN310" s="561">
        <v>0</v>
      </c>
      <c r="LO310" s="561">
        <v>0</v>
      </c>
      <c r="LP310" s="561">
        <v>0</v>
      </c>
      <c r="LQ310" s="561">
        <v>0</v>
      </c>
      <c r="LR310" s="561">
        <v>16162</v>
      </c>
      <c r="LS310" s="561">
        <v>49975</v>
      </c>
      <c r="LT310" s="561">
        <v>0</v>
      </c>
      <c r="LU310" s="561">
        <v>928</v>
      </c>
      <c r="LV310" s="561">
        <v>0</v>
      </c>
      <c r="LW310" s="561">
        <v>2729</v>
      </c>
      <c r="LX310" s="561">
        <v>-17973</v>
      </c>
      <c r="LY310" s="561">
        <v>7570</v>
      </c>
      <c r="LZ310" s="561">
        <v>-6746</v>
      </c>
      <c r="MA310" s="561">
        <v>0</v>
      </c>
      <c r="MB310" s="561">
        <v>0</v>
      </c>
      <c r="MC310" s="561">
        <v>0</v>
      </c>
      <c r="MD310" s="561">
        <v>0</v>
      </c>
      <c r="ME310" s="561">
        <v>0</v>
      </c>
      <c r="MF310" s="561">
        <v>0</v>
      </c>
      <c r="MG310" s="561">
        <v>0</v>
      </c>
      <c r="MH310" s="561">
        <v>3117</v>
      </c>
      <c r="MI310" s="561">
        <v>4337</v>
      </c>
      <c r="MJ310" s="561">
        <v>7454</v>
      </c>
      <c r="MK310" s="561">
        <v>0</v>
      </c>
      <c r="ML310" s="561">
        <v>0</v>
      </c>
      <c r="MM310" s="561">
        <v>16162</v>
      </c>
      <c r="MN310" s="561">
        <v>0</v>
      </c>
      <c r="MO310" s="561">
        <v>0</v>
      </c>
      <c r="MP310" s="561">
        <v>0</v>
      </c>
      <c r="MQ310" s="561">
        <v>0</v>
      </c>
      <c r="MR310" s="561">
        <v>-744</v>
      </c>
      <c r="MS310" s="561">
        <v>0</v>
      </c>
      <c r="MT310" s="561">
        <v>0</v>
      </c>
      <c r="MU310" s="561">
        <v>0</v>
      </c>
      <c r="MV310" s="561">
        <v>1348</v>
      </c>
      <c r="MW310" s="561">
        <v>2165</v>
      </c>
      <c r="MX310" s="561">
        <v>8344</v>
      </c>
      <c r="MY310" s="561">
        <v>2720</v>
      </c>
      <c r="MZ310" s="561">
        <v>0</v>
      </c>
      <c r="NA310" s="561">
        <v>0</v>
      </c>
      <c r="NB310" s="561">
        <v>11806</v>
      </c>
      <c r="NC310" s="561">
        <v>0</v>
      </c>
      <c r="ND310" s="561">
        <v>25639</v>
      </c>
      <c r="NE310" s="561">
        <v>0</v>
      </c>
      <c r="NF310" s="561">
        <v>0</v>
      </c>
      <c r="NG310" s="561">
        <v>0</v>
      </c>
      <c r="NH310" s="561">
        <v>0</v>
      </c>
      <c r="NI310" s="561">
        <v>0</v>
      </c>
      <c r="NJ310" s="561">
        <v>0</v>
      </c>
      <c r="NK310" s="561">
        <v>0</v>
      </c>
      <c r="NL310" s="561">
        <v>0</v>
      </c>
      <c r="NM310" s="561">
        <v>0</v>
      </c>
      <c r="NN310" s="561">
        <v>0</v>
      </c>
      <c r="NO310" s="561">
        <v>0</v>
      </c>
      <c r="NP310" s="561">
        <v>0</v>
      </c>
      <c r="NQ310" s="561">
        <v>0</v>
      </c>
      <c r="NR310" s="561">
        <v>0</v>
      </c>
      <c r="NS310" s="561">
        <v>0</v>
      </c>
      <c r="NT310" s="561">
        <v>-752</v>
      </c>
      <c r="NU310" s="561">
        <v>-379</v>
      </c>
      <c r="NV310" s="561">
        <v>0</v>
      </c>
      <c r="NW310" s="561">
        <v>-752</v>
      </c>
      <c r="NX310" s="561">
        <v>1387</v>
      </c>
      <c r="NY310" s="561">
        <v>635</v>
      </c>
      <c r="NZ310" s="561">
        <v>0</v>
      </c>
      <c r="OA310" s="561">
        <v>0</v>
      </c>
      <c r="OB310" s="561">
        <v>0</v>
      </c>
      <c r="OC310" s="561">
        <v>0</v>
      </c>
      <c r="OD310" s="561">
        <v>0</v>
      </c>
      <c r="OE310" s="561">
        <v>0</v>
      </c>
      <c r="OF310" s="561">
        <v>0</v>
      </c>
      <c r="OG310" s="561">
        <v>0</v>
      </c>
      <c r="OH310" s="561">
        <v>0</v>
      </c>
      <c r="OI310" s="561">
        <v>0</v>
      </c>
      <c r="OJ310" s="561">
        <v>0</v>
      </c>
      <c r="OK310" s="561">
        <v>0</v>
      </c>
      <c r="OL310" s="561">
        <v>0</v>
      </c>
      <c r="OM310" s="561">
        <v>0</v>
      </c>
      <c r="ON310" s="561">
        <v>0</v>
      </c>
      <c r="OO310" s="561">
        <v>0</v>
      </c>
      <c r="OP310" s="561">
        <v>0</v>
      </c>
      <c r="OQ310" s="561">
        <v>0</v>
      </c>
      <c r="OR310" s="561">
        <v>0</v>
      </c>
      <c r="OS310" s="561">
        <v>0</v>
      </c>
      <c r="OT310" s="561">
        <v>0</v>
      </c>
      <c r="OU310" s="561">
        <v>0</v>
      </c>
      <c r="OV310" s="561">
        <v>0</v>
      </c>
      <c r="OW310" s="561">
        <v>0</v>
      </c>
      <c r="OX310" s="561">
        <v>0</v>
      </c>
      <c r="OY310" s="561">
        <v>36</v>
      </c>
      <c r="OZ310" s="561">
        <v>0</v>
      </c>
      <c r="PA310" s="561">
        <v>1306</v>
      </c>
      <c r="PB310" s="561">
        <v>0</v>
      </c>
      <c r="PC310" s="561">
        <v>45</v>
      </c>
      <c r="PD310" s="561">
        <v>1387</v>
      </c>
      <c r="PE310" s="561">
        <v>0</v>
      </c>
      <c r="PF310" s="561">
        <v>0</v>
      </c>
      <c r="PG310" s="561">
        <v>0</v>
      </c>
      <c r="PH310" s="561">
        <v>0</v>
      </c>
      <c r="PI310" s="561">
        <v>0</v>
      </c>
      <c r="PJ310" s="561">
        <v>0</v>
      </c>
    </row>
    <row r="311" spans="1:426" ht="14" x14ac:dyDescent="0.3">
      <c r="A311" t="s">
        <v>3376</v>
      </c>
      <c r="B311" t="s">
        <v>3377</v>
      </c>
      <c r="C311" t="s">
        <v>3378</v>
      </c>
      <c r="E311" t="s">
        <v>384</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0</v>
      </c>
      <c r="W311" s="561">
        <v>0</v>
      </c>
      <c r="X311" s="561">
        <v>0</v>
      </c>
      <c r="Y311" s="561">
        <v>0</v>
      </c>
      <c r="Z311" s="561">
        <v>0</v>
      </c>
      <c r="AA311" s="561">
        <v>0</v>
      </c>
      <c r="AB311" s="561">
        <v>67</v>
      </c>
      <c r="AC311" s="561">
        <v>0</v>
      </c>
      <c r="AD311" s="561">
        <v>0</v>
      </c>
      <c r="AE311" s="561">
        <v>0</v>
      </c>
      <c r="AF311" s="561">
        <v>0</v>
      </c>
      <c r="AG311" s="561">
        <v>0</v>
      </c>
      <c r="AH311" s="561">
        <v>0</v>
      </c>
      <c r="AI311" s="561">
        <v>0</v>
      </c>
      <c r="AJ311" s="561">
        <v>67</v>
      </c>
      <c r="AK311" s="561">
        <v>0</v>
      </c>
      <c r="AL311" s="561">
        <v>0</v>
      </c>
      <c r="AM311" s="561">
        <v>0</v>
      </c>
      <c r="AN311" s="561">
        <v>0</v>
      </c>
      <c r="AO311" s="561">
        <v>0</v>
      </c>
      <c r="AP311" s="561">
        <v>0</v>
      </c>
      <c r="AQ311" s="561">
        <v>0</v>
      </c>
      <c r="AR311" s="561">
        <v>0</v>
      </c>
      <c r="AS311" s="561">
        <v>0</v>
      </c>
      <c r="AT311" s="561">
        <v>0</v>
      </c>
      <c r="AU311" s="561">
        <v>0</v>
      </c>
      <c r="AV311" s="561">
        <v>0</v>
      </c>
      <c r="AW311" s="561">
        <v>0</v>
      </c>
      <c r="AX311" s="561">
        <v>0</v>
      </c>
      <c r="AY311" s="561">
        <v>0</v>
      </c>
      <c r="AZ311" s="561">
        <v>0</v>
      </c>
      <c r="BA311" s="561">
        <v>0</v>
      </c>
      <c r="BB311" s="561">
        <v>0</v>
      </c>
      <c r="BC311" s="561">
        <v>0</v>
      </c>
      <c r="BD311" s="561">
        <v>0</v>
      </c>
      <c r="BE311" s="561">
        <v>0</v>
      </c>
      <c r="BF311" s="561">
        <v>0</v>
      </c>
      <c r="BG311" s="561">
        <v>0</v>
      </c>
      <c r="BH311" s="561">
        <v>0</v>
      </c>
      <c r="BI311" s="561">
        <v>0</v>
      </c>
      <c r="BJ311" s="561">
        <v>0</v>
      </c>
      <c r="BK311" s="561">
        <v>0</v>
      </c>
      <c r="BL311" s="561">
        <v>0</v>
      </c>
      <c r="BM311" s="561">
        <v>0</v>
      </c>
      <c r="BN311" s="561">
        <v>0</v>
      </c>
      <c r="BO311" s="561">
        <v>0</v>
      </c>
      <c r="BP311" s="561">
        <v>0</v>
      </c>
      <c r="BQ311" s="561">
        <v>0</v>
      </c>
      <c r="BR311" s="561">
        <v>0</v>
      </c>
      <c r="BS311" s="561">
        <v>0</v>
      </c>
      <c r="BT311" s="561">
        <v>0</v>
      </c>
      <c r="BU311" s="561">
        <v>0</v>
      </c>
      <c r="BV311" s="561">
        <v>0</v>
      </c>
      <c r="BW311" s="561">
        <v>0</v>
      </c>
      <c r="BX311" s="561">
        <v>0</v>
      </c>
      <c r="BY311" s="561">
        <v>0</v>
      </c>
      <c r="BZ311" s="561">
        <v>0</v>
      </c>
      <c r="CA311" s="561">
        <v>0</v>
      </c>
      <c r="CB311" s="561">
        <v>0</v>
      </c>
      <c r="CC311" s="561">
        <v>0</v>
      </c>
      <c r="CD311" s="561">
        <v>0</v>
      </c>
      <c r="CE311" s="561">
        <v>0</v>
      </c>
      <c r="CF311" s="561">
        <v>0</v>
      </c>
      <c r="CG311" s="561">
        <v>0</v>
      </c>
      <c r="CH311" s="561">
        <v>0</v>
      </c>
      <c r="CI311" s="561">
        <v>0</v>
      </c>
      <c r="CJ311" s="561">
        <v>0</v>
      </c>
      <c r="CK311" s="561">
        <v>0</v>
      </c>
      <c r="CL311" s="561">
        <v>0</v>
      </c>
      <c r="CM311" s="561">
        <v>0</v>
      </c>
      <c r="CN311" s="561">
        <v>0</v>
      </c>
      <c r="CO311" s="561">
        <v>0</v>
      </c>
      <c r="CP311" s="561">
        <v>0</v>
      </c>
      <c r="CQ311" s="561">
        <v>0</v>
      </c>
      <c r="CR311" s="561">
        <v>0</v>
      </c>
      <c r="CS311" s="561">
        <v>0</v>
      </c>
      <c r="CT311" s="561">
        <v>0</v>
      </c>
      <c r="CU311" s="561">
        <v>0</v>
      </c>
      <c r="CV311" s="561">
        <v>0</v>
      </c>
      <c r="CW311" s="561">
        <v>0</v>
      </c>
      <c r="CX311" s="561">
        <v>0</v>
      </c>
      <c r="CY311" s="561">
        <v>110</v>
      </c>
      <c r="CZ311" s="561">
        <v>110</v>
      </c>
      <c r="DA311" s="561">
        <v>0</v>
      </c>
      <c r="DB311" s="561">
        <v>0</v>
      </c>
      <c r="DC311" s="561">
        <v>0</v>
      </c>
      <c r="DD311" s="561">
        <v>0</v>
      </c>
      <c r="DE311" s="561">
        <v>0</v>
      </c>
      <c r="DF311" s="561">
        <v>0</v>
      </c>
      <c r="DG311" s="561">
        <v>0</v>
      </c>
      <c r="DH311" s="561">
        <v>177</v>
      </c>
      <c r="DI311" s="561">
        <v>0</v>
      </c>
      <c r="DJ311" s="561">
        <v>8</v>
      </c>
      <c r="DK311" s="561">
        <v>0</v>
      </c>
      <c r="DL311" s="561">
        <v>0</v>
      </c>
      <c r="DM311" s="561">
        <v>61</v>
      </c>
      <c r="DN311" s="561">
        <v>0</v>
      </c>
      <c r="DO311" s="561">
        <v>494</v>
      </c>
      <c r="DP311" s="561">
        <v>0</v>
      </c>
      <c r="DQ311" s="561">
        <v>0</v>
      </c>
      <c r="DR311" s="561">
        <v>155</v>
      </c>
      <c r="DS311" s="561">
        <v>-98</v>
      </c>
      <c r="DT311" s="561">
        <v>230</v>
      </c>
      <c r="DU311" s="561">
        <v>842</v>
      </c>
      <c r="DV311" s="561">
        <v>0</v>
      </c>
      <c r="DW311" s="561">
        <v>0</v>
      </c>
      <c r="DX311" s="561">
        <v>0</v>
      </c>
      <c r="DY311" s="561">
        <v>337</v>
      </c>
      <c r="DZ311" s="561">
        <v>0</v>
      </c>
      <c r="EA311" s="561">
        <v>-170</v>
      </c>
      <c r="EB311" s="561">
        <v>0</v>
      </c>
      <c r="EC311" s="561">
        <v>1194</v>
      </c>
      <c r="ED311" s="561">
        <v>0</v>
      </c>
      <c r="EE311" s="561">
        <v>0</v>
      </c>
      <c r="EF311" s="561">
        <v>0</v>
      </c>
      <c r="EG311" s="561">
        <v>0</v>
      </c>
      <c r="EH311" s="561">
        <v>0</v>
      </c>
      <c r="EI311" s="561">
        <v>0</v>
      </c>
      <c r="EJ311" s="561">
        <v>0</v>
      </c>
      <c r="EK311" s="561">
        <v>0</v>
      </c>
      <c r="EL311" s="561">
        <v>0</v>
      </c>
      <c r="EM311" s="561">
        <v>0</v>
      </c>
      <c r="EN311" s="561">
        <v>0</v>
      </c>
      <c r="EO311" s="561">
        <v>0</v>
      </c>
      <c r="EP311" s="561">
        <v>0</v>
      </c>
      <c r="EQ311" s="561">
        <v>0</v>
      </c>
      <c r="ER311" s="561">
        <v>0</v>
      </c>
      <c r="ES311" s="561" t="s">
        <v>4565</v>
      </c>
      <c r="ET311" s="561">
        <v>0</v>
      </c>
      <c r="EU311" s="561">
        <v>0</v>
      </c>
      <c r="EV311" s="561">
        <v>0</v>
      </c>
      <c r="EW311" s="561">
        <v>0</v>
      </c>
      <c r="EX311" s="561">
        <v>0</v>
      </c>
      <c r="EY311" s="561">
        <v>0</v>
      </c>
      <c r="EZ311" s="561">
        <v>0</v>
      </c>
      <c r="FA311" s="561">
        <v>0</v>
      </c>
      <c r="FB311" s="561">
        <v>0</v>
      </c>
      <c r="FC311" s="561">
        <v>126</v>
      </c>
      <c r="FD311" s="561">
        <v>0</v>
      </c>
      <c r="FE311" s="561">
        <v>193</v>
      </c>
      <c r="FF311" s="561">
        <v>292</v>
      </c>
      <c r="FG311" s="561">
        <v>54</v>
      </c>
      <c r="FH311" s="561">
        <v>0</v>
      </c>
      <c r="FI311" s="561">
        <v>229</v>
      </c>
      <c r="FJ311" s="561">
        <v>1158</v>
      </c>
      <c r="FK311" s="561">
        <v>2311</v>
      </c>
      <c r="FL311" s="561">
        <v>0</v>
      </c>
      <c r="FM311" s="561">
        <v>0</v>
      </c>
      <c r="FN311" s="561">
        <v>0</v>
      </c>
      <c r="FO311" s="561">
        <v>4363</v>
      </c>
      <c r="FP311" s="561">
        <v>0</v>
      </c>
      <c r="FQ311" s="561">
        <v>0</v>
      </c>
      <c r="FR311" s="561">
        <v>0</v>
      </c>
      <c r="FS311" s="561">
        <v>0</v>
      </c>
      <c r="FT311" s="561">
        <v>169</v>
      </c>
      <c r="FU311" s="561">
        <v>81</v>
      </c>
      <c r="FV311" s="561">
        <v>216</v>
      </c>
      <c r="FW311" s="561">
        <v>0</v>
      </c>
      <c r="FX311" s="561">
        <v>0</v>
      </c>
      <c r="FY311" s="561">
        <v>0</v>
      </c>
      <c r="FZ311" s="561">
        <v>180</v>
      </c>
      <c r="GA311" s="561">
        <v>11</v>
      </c>
      <c r="GB311" s="561">
        <v>192</v>
      </c>
      <c r="GC311" s="561">
        <v>204</v>
      </c>
      <c r="GD311" s="561">
        <v>219</v>
      </c>
      <c r="GE311" s="561">
        <v>0</v>
      </c>
      <c r="GF311" s="561">
        <v>26</v>
      </c>
      <c r="GG311" s="561">
        <v>0</v>
      </c>
      <c r="GH311" s="561">
        <v>0</v>
      </c>
      <c r="GI311" s="561">
        <v>0</v>
      </c>
      <c r="GJ311" s="561">
        <v>0</v>
      </c>
      <c r="GK311" s="561">
        <v>0</v>
      </c>
      <c r="GL311" s="561">
        <v>1558</v>
      </c>
      <c r="GM311" s="561">
        <v>1533</v>
      </c>
      <c r="GN311" s="561">
        <v>0</v>
      </c>
      <c r="GO311" s="561">
        <v>195</v>
      </c>
      <c r="GP311" s="561">
        <v>721</v>
      </c>
      <c r="GQ311" s="561">
        <v>0</v>
      </c>
      <c r="GR311" s="561">
        <v>11</v>
      </c>
      <c r="GS311" s="561">
        <v>5316</v>
      </c>
      <c r="GT311" s="561">
        <v>446</v>
      </c>
      <c r="GU311" s="561">
        <v>144</v>
      </c>
      <c r="GV311" s="561">
        <v>708</v>
      </c>
      <c r="GW311" s="561">
        <v>60</v>
      </c>
      <c r="GX311" s="561">
        <v>490</v>
      </c>
      <c r="GY311" s="561">
        <v>0</v>
      </c>
      <c r="GZ311" s="561">
        <v>2009</v>
      </c>
      <c r="HA311" s="561">
        <v>0</v>
      </c>
      <c r="HB311" s="561">
        <v>-120</v>
      </c>
      <c r="HC311" s="561">
        <v>515</v>
      </c>
      <c r="HD311" s="561">
        <v>3806</v>
      </c>
      <c r="HE311" s="561">
        <v>74</v>
      </c>
      <c r="HF311" s="561">
        <v>13485</v>
      </c>
      <c r="HG311" s="561">
        <v>0</v>
      </c>
      <c r="HH311" s="561">
        <v>0</v>
      </c>
      <c r="HI311" s="561">
        <v>0</v>
      </c>
      <c r="HJ311" s="561">
        <v>0</v>
      </c>
      <c r="HK311" s="561">
        <v>0</v>
      </c>
      <c r="HL311" s="561">
        <v>0</v>
      </c>
      <c r="HM311" s="561">
        <v>0</v>
      </c>
      <c r="HN311" s="561">
        <v>0</v>
      </c>
      <c r="HO311" s="561">
        <v>2939</v>
      </c>
      <c r="HP311" s="561">
        <v>341</v>
      </c>
      <c r="HQ311" s="561">
        <v>0</v>
      </c>
      <c r="HR311" s="561">
        <v>0</v>
      </c>
      <c r="HS311" s="561">
        <v>231</v>
      </c>
      <c r="HT311" s="561">
        <v>12</v>
      </c>
      <c r="HU311" s="561">
        <v>0</v>
      </c>
      <c r="HV311" s="561">
        <v>0</v>
      </c>
      <c r="HW311" s="561">
        <v>273</v>
      </c>
      <c r="HX311" s="561">
        <v>182</v>
      </c>
      <c r="HY311" s="561">
        <v>1</v>
      </c>
      <c r="HZ311" s="561">
        <v>24</v>
      </c>
      <c r="IA311" s="561">
        <v>-12</v>
      </c>
      <c r="IB311" s="561">
        <v>54</v>
      </c>
      <c r="IC311" s="561">
        <v>0</v>
      </c>
      <c r="ID311" s="561">
        <v>0</v>
      </c>
      <c r="IE311" s="561">
        <v>278</v>
      </c>
      <c r="IF311" s="561">
        <v>0</v>
      </c>
      <c r="IG311" s="561">
        <v>0</v>
      </c>
      <c r="IH311" s="561">
        <v>1824</v>
      </c>
      <c r="II311" s="561">
        <v>6147</v>
      </c>
      <c r="IJ311" s="561">
        <v>166</v>
      </c>
      <c r="IK311" s="561">
        <v>1742</v>
      </c>
      <c r="IL311" s="561">
        <v>5269</v>
      </c>
      <c r="IM311" s="561">
        <v>0</v>
      </c>
      <c r="IN311" s="561">
        <v>0</v>
      </c>
      <c r="IO311" s="561">
        <v>3834</v>
      </c>
      <c r="IP311" s="561">
        <v>0</v>
      </c>
      <c r="IQ311" s="561">
        <v>0</v>
      </c>
      <c r="IR311" s="561">
        <v>0</v>
      </c>
      <c r="IS311" s="561">
        <v>67</v>
      </c>
      <c r="IT311" s="561">
        <v>0</v>
      </c>
      <c r="IU311" s="561">
        <v>0</v>
      </c>
      <c r="IV311" s="561">
        <v>110</v>
      </c>
      <c r="IW311" s="561">
        <v>1194</v>
      </c>
      <c r="IX311" s="561">
        <v>4363</v>
      </c>
      <c r="IY311" s="561">
        <v>5316</v>
      </c>
      <c r="IZ311" s="561">
        <v>3806</v>
      </c>
      <c r="JA311" s="561">
        <v>0</v>
      </c>
      <c r="JB311" s="561">
        <v>0</v>
      </c>
      <c r="JC311" s="561">
        <v>6147</v>
      </c>
      <c r="JD311" s="561">
        <v>0</v>
      </c>
      <c r="JE311" s="561">
        <v>21003</v>
      </c>
      <c r="JF311" s="561">
        <v>15017</v>
      </c>
      <c r="JG311" s="561">
        <v>54</v>
      </c>
      <c r="JH311" s="561">
        <v>0</v>
      </c>
      <c r="JI311" s="561">
        <v>0</v>
      </c>
      <c r="JJ311" s="561">
        <v>0</v>
      </c>
      <c r="JK311" s="561">
        <v>404</v>
      </c>
      <c r="JL311" s="561">
        <v>0</v>
      </c>
      <c r="JM311" s="561">
        <v>0</v>
      </c>
      <c r="JN311" s="561">
        <v>0</v>
      </c>
      <c r="JO311" s="561">
        <v>53</v>
      </c>
      <c r="JP311" s="561">
        <v>0</v>
      </c>
      <c r="JQ311" s="561">
        <v>0</v>
      </c>
      <c r="JR311" s="561">
        <v>0</v>
      </c>
      <c r="JS311" s="561">
        <v>0</v>
      </c>
      <c r="JT311" s="561">
        <v>63</v>
      </c>
      <c r="JU311" s="561">
        <v>0</v>
      </c>
      <c r="JV311" s="561">
        <v>36594</v>
      </c>
      <c r="JW311" s="561">
        <v>0</v>
      </c>
      <c r="JX311" s="561">
        <v>420</v>
      </c>
      <c r="JY311" s="561">
        <v>0</v>
      </c>
      <c r="JZ311" s="561">
        <v>0</v>
      </c>
      <c r="KA311" s="561">
        <v>0</v>
      </c>
      <c r="KB311" s="561">
        <v>4</v>
      </c>
      <c r="KC311" s="561">
        <v>419</v>
      </c>
      <c r="KD311" s="561">
        <v>0</v>
      </c>
      <c r="KE311" s="561">
        <v>8</v>
      </c>
      <c r="KF311" s="561">
        <v>0</v>
      </c>
      <c r="KG311" s="561">
        <v>37445</v>
      </c>
      <c r="KH311" s="561">
        <v>-2309</v>
      </c>
      <c r="KI311" s="561">
        <v>0</v>
      </c>
      <c r="KJ311" s="561">
        <v>0</v>
      </c>
      <c r="KK311" s="561">
        <v>0</v>
      </c>
      <c r="KL311" s="561">
        <v>-14874</v>
      </c>
      <c r="KM311" s="561">
        <v>0</v>
      </c>
      <c r="KN311" s="561">
        <v>-221</v>
      </c>
      <c r="KO311" s="561">
        <v>0</v>
      </c>
      <c r="KP311" s="561">
        <v>0</v>
      </c>
      <c r="KQ311" s="561">
        <v>0</v>
      </c>
      <c r="KR311" s="561">
        <v>20041</v>
      </c>
      <c r="KS311" s="561">
        <v>0</v>
      </c>
      <c r="KT311" s="561">
        <v>-4262</v>
      </c>
      <c r="KU311" s="561">
        <v>15779</v>
      </c>
      <c r="KV311" s="561">
        <v>0</v>
      </c>
      <c r="KW311" s="561">
        <v>0</v>
      </c>
      <c r="KX311" s="561">
        <v>0</v>
      </c>
      <c r="KY311" s="561">
        <v>0</v>
      </c>
      <c r="KZ311" s="561">
        <v>786</v>
      </c>
      <c r="LA311" s="561">
        <v>0</v>
      </c>
      <c r="LB311" s="561">
        <v>-109</v>
      </c>
      <c r="LC311" s="561">
        <v>0</v>
      </c>
      <c r="LD311" s="561">
        <v>-7301</v>
      </c>
      <c r="LE311" s="561">
        <v>-70</v>
      </c>
      <c r="LF311" s="561">
        <v>0</v>
      </c>
      <c r="LG311" s="561">
        <v>9085</v>
      </c>
      <c r="LH311" s="561">
        <v>0</v>
      </c>
      <c r="LI311" s="561">
        <v>0</v>
      </c>
      <c r="LJ311" s="561">
        <v>0</v>
      </c>
      <c r="LK311" s="561">
        <v>0</v>
      </c>
      <c r="LL311" s="561">
        <v>13941</v>
      </c>
      <c r="LM311" s="561">
        <v>5167</v>
      </c>
      <c r="LN311" s="561">
        <v>0</v>
      </c>
      <c r="LO311" s="561">
        <v>0</v>
      </c>
      <c r="LP311" s="561">
        <v>0</v>
      </c>
      <c r="LQ311" s="561">
        <v>0</v>
      </c>
      <c r="LR311" s="561">
        <v>14727</v>
      </c>
      <c r="LS311" s="561">
        <v>5167</v>
      </c>
      <c r="LT311" s="561">
        <v>0</v>
      </c>
      <c r="LU311" s="561">
        <v>2730</v>
      </c>
      <c r="LV311" s="561">
        <v>11094</v>
      </c>
      <c r="LW311" s="561">
        <v>414</v>
      </c>
      <c r="LX311" s="561">
        <v>-9735</v>
      </c>
      <c r="LY311" s="561">
        <v>894</v>
      </c>
      <c r="LZ311" s="561">
        <v>5432</v>
      </c>
      <c r="MA311" s="561">
        <v>0</v>
      </c>
      <c r="MB311" s="561">
        <v>0</v>
      </c>
      <c r="MC311" s="561">
        <v>0</v>
      </c>
      <c r="MD311" s="561">
        <v>0</v>
      </c>
      <c r="ME311" s="561">
        <v>0</v>
      </c>
      <c r="MF311" s="561">
        <v>0</v>
      </c>
      <c r="MG311" s="561">
        <v>0</v>
      </c>
      <c r="MH311" s="561">
        <v>2848</v>
      </c>
      <c r="MI311" s="561">
        <v>3940</v>
      </c>
      <c r="MJ311" s="561">
        <v>6788</v>
      </c>
      <c r="MK311" s="561">
        <v>0</v>
      </c>
      <c r="ML311" s="561">
        <v>0</v>
      </c>
      <c r="MM311" s="561">
        <v>9500</v>
      </c>
      <c r="MN311" s="561">
        <v>596</v>
      </c>
      <c r="MO311" s="561">
        <v>4631</v>
      </c>
      <c r="MP311" s="561">
        <v>0</v>
      </c>
      <c r="MQ311" s="561">
        <v>0</v>
      </c>
      <c r="MR311" s="561">
        <v>67</v>
      </c>
      <c r="MS311" s="561">
        <v>0</v>
      </c>
      <c r="MT311" s="561">
        <v>0</v>
      </c>
      <c r="MU311" s="561">
        <v>110</v>
      </c>
      <c r="MV311" s="561">
        <v>1194</v>
      </c>
      <c r="MW311" s="561">
        <v>4363</v>
      </c>
      <c r="MX311" s="561">
        <v>5316</v>
      </c>
      <c r="MY311" s="561">
        <v>3806</v>
      </c>
      <c r="MZ311" s="561">
        <v>0</v>
      </c>
      <c r="NA311" s="561">
        <v>0</v>
      </c>
      <c r="NB311" s="561">
        <v>6147</v>
      </c>
      <c r="NC311" s="561">
        <v>0</v>
      </c>
      <c r="ND311" s="561">
        <v>21003</v>
      </c>
      <c r="NE311" s="561">
        <v>0</v>
      </c>
      <c r="NF311" s="561">
        <v>0</v>
      </c>
      <c r="NG311" s="561">
        <v>0</v>
      </c>
      <c r="NH311" s="561">
        <v>0</v>
      </c>
      <c r="NI311" s="561">
        <v>0</v>
      </c>
      <c r="NJ311" s="561">
        <v>0</v>
      </c>
      <c r="NK311" s="561">
        <v>0</v>
      </c>
      <c r="NL311" s="561">
        <v>0</v>
      </c>
      <c r="NM311" s="561">
        <v>0</v>
      </c>
      <c r="NN311" s="561">
        <v>0</v>
      </c>
      <c r="NO311" s="561">
        <v>0</v>
      </c>
      <c r="NP311" s="561">
        <v>0</v>
      </c>
      <c r="NQ311" s="561">
        <v>0</v>
      </c>
      <c r="NR311" s="561">
        <v>0</v>
      </c>
      <c r="NS311" s="561">
        <v>0</v>
      </c>
      <c r="NT311" s="561">
        <v>0</v>
      </c>
      <c r="NU311" s="561">
        <v>0</v>
      </c>
      <c r="NV311" s="561">
        <v>0</v>
      </c>
      <c r="NW311" s="561">
        <v>0</v>
      </c>
      <c r="NX311" s="561">
        <v>0</v>
      </c>
      <c r="NY311" s="561">
        <v>0</v>
      </c>
      <c r="NZ311" s="561">
        <v>0</v>
      </c>
      <c r="OA311" s="561">
        <v>0</v>
      </c>
      <c r="OB311" s="561">
        <v>0</v>
      </c>
      <c r="OC311" s="561">
        <v>0</v>
      </c>
      <c r="OD311" s="561">
        <v>0</v>
      </c>
      <c r="OE311" s="561">
        <v>0</v>
      </c>
      <c r="OF311" s="561">
        <v>0</v>
      </c>
      <c r="OG311" s="561">
        <v>0</v>
      </c>
      <c r="OH311" s="561">
        <v>0</v>
      </c>
      <c r="OI311" s="561">
        <v>0</v>
      </c>
      <c r="OJ311" s="561">
        <v>0</v>
      </c>
      <c r="OK311" s="561">
        <v>0</v>
      </c>
      <c r="OL311" s="561">
        <v>0</v>
      </c>
      <c r="OM311" s="561">
        <v>0</v>
      </c>
      <c r="ON311" s="561">
        <v>0</v>
      </c>
      <c r="OO311" s="561">
        <v>0</v>
      </c>
      <c r="OP311" s="561">
        <v>0</v>
      </c>
      <c r="OQ311" s="561">
        <v>0</v>
      </c>
      <c r="OR311" s="561">
        <v>0</v>
      </c>
      <c r="OS311" s="561">
        <v>0</v>
      </c>
      <c r="OT311" s="561">
        <v>0</v>
      </c>
      <c r="OU311" s="561">
        <v>0</v>
      </c>
      <c r="OV311" s="561">
        <v>0</v>
      </c>
      <c r="OW311" s="561">
        <v>0</v>
      </c>
      <c r="OX311" s="561">
        <v>0</v>
      </c>
      <c r="OY311" s="561">
        <v>0</v>
      </c>
      <c r="OZ311" s="561">
        <v>0</v>
      </c>
      <c r="PA311" s="561">
        <v>0</v>
      </c>
      <c r="PB311" s="561">
        <v>0</v>
      </c>
      <c r="PC311" s="561">
        <v>0</v>
      </c>
      <c r="PD311" s="561">
        <v>0</v>
      </c>
      <c r="PE311" s="561">
        <v>0</v>
      </c>
      <c r="PF311" s="561">
        <v>0</v>
      </c>
      <c r="PG311" s="561">
        <v>0</v>
      </c>
      <c r="PH311" s="561">
        <v>0</v>
      </c>
      <c r="PI311" s="561">
        <v>0</v>
      </c>
      <c r="PJ311" s="561">
        <v>0</v>
      </c>
    </row>
    <row r="312" spans="1:426" ht="14" x14ac:dyDescent="0.3">
      <c r="A312" t="s">
        <v>3379</v>
      </c>
      <c r="B312" t="s">
        <v>3380</v>
      </c>
      <c r="C312" t="s">
        <v>3381</v>
      </c>
      <c r="E312" t="s">
        <v>384</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107</v>
      </c>
      <c r="W312" s="561">
        <v>0</v>
      </c>
      <c r="X312" s="561">
        <v>0</v>
      </c>
      <c r="Y312" s="561">
        <v>0</v>
      </c>
      <c r="Z312" s="561">
        <v>0</v>
      </c>
      <c r="AA312" s="561">
        <v>-1</v>
      </c>
      <c r="AB312" s="561">
        <v>47</v>
      </c>
      <c r="AC312" s="561">
        <v>0</v>
      </c>
      <c r="AD312" s="561">
        <v>0</v>
      </c>
      <c r="AE312" s="561">
        <v>0</v>
      </c>
      <c r="AF312" s="561">
        <v>0</v>
      </c>
      <c r="AG312" s="561">
        <v>0</v>
      </c>
      <c r="AH312" s="561">
        <v>0</v>
      </c>
      <c r="AI312" s="561">
        <v>0</v>
      </c>
      <c r="AJ312" s="561">
        <v>153</v>
      </c>
      <c r="AK312" s="561">
        <v>0</v>
      </c>
      <c r="AL312" s="561">
        <v>0</v>
      </c>
      <c r="AM312" s="561">
        <v>0</v>
      </c>
      <c r="AN312" s="561">
        <v>0</v>
      </c>
      <c r="AO312" s="561">
        <v>0</v>
      </c>
      <c r="AP312" s="561">
        <v>0</v>
      </c>
      <c r="AQ312" s="561">
        <v>0</v>
      </c>
      <c r="AR312" s="561">
        <v>0</v>
      </c>
      <c r="AS312" s="561">
        <v>7</v>
      </c>
      <c r="AT312" s="561">
        <v>0</v>
      </c>
      <c r="AU312" s="561">
        <v>0</v>
      </c>
      <c r="AV312" s="561">
        <v>0</v>
      </c>
      <c r="AW312" s="561">
        <v>0</v>
      </c>
      <c r="AX312" s="561">
        <v>0</v>
      </c>
      <c r="AY312" s="561">
        <v>0</v>
      </c>
      <c r="AZ312" s="561">
        <v>0</v>
      </c>
      <c r="BA312" s="561">
        <v>0</v>
      </c>
      <c r="BB312" s="561">
        <v>0</v>
      </c>
      <c r="BC312" s="561">
        <v>0</v>
      </c>
      <c r="BD312" s="561">
        <v>0</v>
      </c>
      <c r="BE312" s="561">
        <v>0</v>
      </c>
      <c r="BF312" s="561">
        <v>0</v>
      </c>
      <c r="BG312" s="561">
        <v>0</v>
      </c>
      <c r="BH312" s="561">
        <v>0</v>
      </c>
      <c r="BI312" s="561">
        <v>0</v>
      </c>
      <c r="BJ312" s="561">
        <v>0</v>
      </c>
      <c r="BK312" s="561">
        <v>0</v>
      </c>
      <c r="BL312" s="561">
        <v>0</v>
      </c>
      <c r="BM312" s="561">
        <v>0</v>
      </c>
      <c r="BN312" s="561">
        <v>0</v>
      </c>
      <c r="BO312" s="561">
        <v>0</v>
      </c>
      <c r="BP312" s="561">
        <v>0</v>
      </c>
      <c r="BQ312" s="561">
        <v>0</v>
      </c>
      <c r="BR312" s="561">
        <v>0</v>
      </c>
      <c r="BS312" s="561">
        <v>0</v>
      </c>
      <c r="BT312" s="561">
        <v>0</v>
      </c>
      <c r="BU312" s="561">
        <v>0</v>
      </c>
      <c r="BV312" s="561">
        <v>0</v>
      </c>
      <c r="BW312" s="561">
        <v>0</v>
      </c>
      <c r="BX312" s="561">
        <v>0</v>
      </c>
      <c r="BY312" s="561">
        <v>0</v>
      </c>
      <c r="BZ312" s="561">
        <v>0</v>
      </c>
      <c r="CA312" s="561">
        <v>0</v>
      </c>
      <c r="CB312" s="561">
        <v>0</v>
      </c>
      <c r="CC312" s="561">
        <v>0</v>
      </c>
      <c r="CD312" s="561">
        <v>0</v>
      </c>
      <c r="CE312" s="561">
        <v>0</v>
      </c>
      <c r="CF312" s="561">
        <v>0</v>
      </c>
      <c r="CG312" s="561">
        <v>0</v>
      </c>
      <c r="CH312" s="561">
        <v>0</v>
      </c>
      <c r="CI312" s="561">
        <v>0</v>
      </c>
      <c r="CJ312" s="561">
        <v>0</v>
      </c>
      <c r="CK312" s="561">
        <v>0</v>
      </c>
      <c r="CL312" s="561">
        <v>0</v>
      </c>
      <c r="CM312" s="561">
        <v>0</v>
      </c>
      <c r="CN312" s="561">
        <v>0</v>
      </c>
      <c r="CO312" s="561">
        <v>0</v>
      </c>
      <c r="CP312" s="561">
        <v>0</v>
      </c>
      <c r="CQ312" s="561">
        <v>0</v>
      </c>
      <c r="CR312" s="561">
        <v>0</v>
      </c>
      <c r="CS312" s="561">
        <v>0</v>
      </c>
      <c r="CT312" s="561">
        <v>0</v>
      </c>
      <c r="CU312" s="561">
        <v>0</v>
      </c>
      <c r="CV312" s="561">
        <v>0</v>
      </c>
      <c r="CW312" s="561">
        <v>0</v>
      </c>
      <c r="CX312" s="561">
        <v>0</v>
      </c>
      <c r="CY312" s="561">
        <v>71</v>
      </c>
      <c r="CZ312" s="561">
        <v>71</v>
      </c>
      <c r="DA312" s="561">
        <v>0</v>
      </c>
      <c r="DB312" s="561">
        <v>0</v>
      </c>
      <c r="DC312" s="561">
        <v>0</v>
      </c>
      <c r="DD312" s="561">
        <v>0</v>
      </c>
      <c r="DE312" s="561">
        <v>0</v>
      </c>
      <c r="DF312" s="561">
        <v>0</v>
      </c>
      <c r="DG312" s="561">
        <v>0</v>
      </c>
      <c r="DH312" s="561">
        <v>84</v>
      </c>
      <c r="DI312" s="561">
        <v>0</v>
      </c>
      <c r="DJ312" s="561">
        <v>0</v>
      </c>
      <c r="DK312" s="561">
        <v>0</v>
      </c>
      <c r="DL312" s="561">
        <v>0</v>
      </c>
      <c r="DM312" s="561">
        <v>0</v>
      </c>
      <c r="DN312" s="561">
        <v>12</v>
      </c>
      <c r="DO312" s="561">
        <v>2</v>
      </c>
      <c r="DP312" s="561">
        <v>0</v>
      </c>
      <c r="DQ312" s="561">
        <v>0</v>
      </c>
      <c r="DR312" s="561">
        <v>0</v>
      </c>
      <c r="DS312" s="561">
        <v>630</v>
      </c>
      <c r="DT312" s="561">
        <v>0</v>
      </c>
      <c r="DU312" s="561">
        <v>644</v>
      </c>
      <c r="DV312" s="561">
        <v>-80</v>
      </c>
      <c r="DW312" s="561">
        <v>0</v>
      </c>
      <c r="DX312" s="561">
        <v>0</v>
      </c>
      <c r="DY312" s="561">
        <v>868</v>
      </c>
      <c r="DZ312" s="561">
        <v>0</v>
      </c>
      <c r="EA312" s="561">
        <v>0</v>
      </c>
      <c r="EB312" s="561">
        <v>0</v>
      </c>
      <c r="EC312" s="561">
        <v>1516</v>
      </c>
      <c r="ED312" s="561">
        <v>79</v>
      </c>
      <c r="EE312" s="561">
        <v>0</v>
      </c>
      <c r="EF312" s="561">
        <v>0</v>
      </c>
      <c r="EG312" s="561">
        <v>0</v>
      </c>
      <c r="EH312" s="561">
        <v>0</v>
      </c>
      <c r="EI312" s="561">
        <v>0</v>
      </c>
      <c r="EJ312" s="561">
        <v>0</v>
      </c>
      <c r="EK312" s="561">
        <v>0</v>
      </c>
      <c r="EL312" s="561">
        <v>0</v>
      </c>
      <c r="EM312" s="561">
        <v>0</v>
      </c>
      <c r="EN312" s="561">
        <v>0</v>
      </c>
      <c r="EO312" s="561">
        <v>0</v>
      </c>
      <c r="EP312" s="561">
        <v>0</v>
      </c>
      <c r="EQ312" s="561">
        <v>0</v>
      </c>
      <c r="ER312" s="561">
        <v>0</v>
      </c>
      <c r="ES312" s="561" t="s">
        <v>4565</v>
      </c>
      <c r="ET312" s="561">
        <v>0</v>
      </c>
      <c r="EU312" s="561">
        <v>0</v>
      </c>
      <c r="EV312" s="561">
        <v>0</v>
      </c>
      <c r="EW312" s="561">
        <v>0</v>
      </c>
      <c r="EX312" s="561">
        <v>0</v>
      </c>
      <c r="EY312" s="561">
        <v>0</v>
      </c>
      <c r="EZ312" s="561">
        <v>0</v>
      </c>
      <c r="FA312" s="561">
        <v>0</v>
      </c>
      <c r="FB312" s="561">
        <v>0</v>
      </c>
      <c r="FC312" s="561">
        <v>0</v>
      </c>
      <c r="FD312" s="561">
        <v>0</v>
      </c>
      <c r="FE312" s="561">
        <v>0</v>
      </c>
      <c r="FF312" s="561">
        <v>0</v>
      </c>
      <c r="FG312" s="561">
        <v>0</v>
      </c>
      <c r="FH312" s="561">
        <v>0</v>
      </c>
      <c r="FI312" s="561">
        <v>0</v>
      </c>
      <c r="FJ312" s="561">
        <v>1131</v>
      </c>
      <c r="FK312" s="561">
        <v>1011</v>
      </c>
      <c r="FL312" s="561">
        <v>0</v>
      </c>
      <c r="FM312" s="561">
        <v>15</v>
      </c>
      <c r="FN312" s="561">
        <v>0</v>
      </c>
      <c r="FO312" s="561">
        <v>2157</v>
      </c>
      <c r="FP312" s="561">
        <v>252</v>
      </c>
      <c r="FQ312" s="561">
        <v>-232</v>
      </c>
      <c r="FR312" s="561">
        <v>0</v>
      </c>
      <c r="FS312" s="561">
        <v>0</v>
      </c>
      <c r="FT312" s="561">
        <v>215</v>
      </c>
      <c r="FU312" s="561">
        <v>170</v>
      </c>
      <c r="FV312" s="561">
        <v>110</v>
      </c>
      <c r="FW312" s="561">
        <v>75</v>
      </c>
      <c r="FX312" s="561">
        <v>0</v>
      </c>
      <c r="FY312" s="561">
        <v>0</v>
      </c>
      <c r="FZ312" s="561">
        <v>11</v>
      </c>
      <c r="GA312" s="561">
        <v>0</v>
      </c>
      <c r="GB312" s="561">
        <v>114</v>
      </c>
      <c r="GC312" s="561">
        <v>220</v>
      </c>
      <c r="GD312" s="561">
        <v>16</v>
      </c>
      <c r="GE312" s="561">
        <v>0</v>
      </c>
      <c r="GF312" s="561">
        <v>-12</v>
      </c>
      <c r="GG312" s="561">
        <v>8</v>
      </c>
      <c r="GH312" s="561">
        <v>21</v>
      </c>
      <c r="GI312" s="561">
        <v>0</v>
      </c>
      <c r="GJ312" s="561">
        <v>0</v>
      </c>
      <c r="GK312" s="561">
        <v>0</v>
      </c>
      <c r="GL312" s="561">
        <v>416</v>
      </c>
      <c r="GM312" s="561">
        <v>3460</v>
      </c>
      <c r="GN312" s="561">
        <v>0</v>
      </c>
      <c r="GO312" s="561">
        <v>0</v>
      </c>
      <c r="GP312" s="561">
        <v>-174</v>
      </c>
      <c r="GQ312" s="561">
        <v>0</v>
      </c>
      <c r="GR312" s="561">
        <v>51</v>
      </c>
      <c r="GS312" s="561">
        <v>4469</v>
      </c>
      <c r="GT312" s="561">
        <v>42</v>
      </c>
      <c r="GU312" s="561">
        <v>97</v>
      </c>
      <c r="GV312" s="561">
        <v>930</v>
      </c>
      <c r="GW312" s="561">
        <v>48</v>
      </c>
      <c r="GX312" s="561">
        <v>504</v>
      </c>
      <c r="GY312" s="561">
        <v>23</v>
      </c>
      <c r="GZ312" s="561">
        <v>214</v>
      </c>
      <c r="HA312" s="561">
        <v>0</v>
      </c>
      <c r="HB312" s="561">
        <v>-1861</v>
      </c>
      <c r="HC312" s="561">
        <v>0</v>
      </c>
      <c r="HD312" s="561">
        <v>-45</v>
      </c>
      <c r="HE312" s="561">
        <v>52</v>
      </c>
      <c r="HF312" s="561">
        <v>6581</v>
      </c>
      <c r="HG312" s="561">
        <v>346</v>
      </c>
      <c r="HH312" s="561">
        <v>0</v>
      </c>
      <c r="HI312" s="561">
        <v>0</v>
      </c>
      <c r="HJ312" s="561">
        <v>0</v>
      </c>
      <c r="HK312" s="561">
        <v>0</v>
      </c>
      <c r="HL312" s="561">
        <v>0</v>
      </c>
      <c r="HM312" s="561">
        <v>0</v>
      </c>
      <c r="HN312" s="561">
        <v>0</v>
      </c>
      <c r="HO312" s="561">
        <v>1737</v>
      </c>
      <c r="HP312" s="561">
        <v>764</v>
      </c>
      <c r="HQ312" s="561">
        <v>0</v>
      </c>
      <c r="HR312" s="561">
        <v>0</v>
      </c>
      <c r="HS312" s="561">
        <v>949</v>
      </c>
      <c r="HT312" s="561">
        <v>40</v>
      </c>
      <c r="HU312" s="561">
        <v>0</v>
      </c>
      <c r="HV312" s="561">
        <v>0</v>
      </c>
      <c r="HW312" s="561">
        <v>306</v>
      </c>
      <c r="HX312" s="561">
        <v>42</v>
      </c>
      <c r="HY312" s="561">
        <v>62</v>
      </c>
      <c r="HZ312" s="561">
        <v>19</v>
      </c>
      <c r="IA312" s="561">
        <v>0</v>
      </c>
      <c r="IB312" s="561">
        <v>0</v>
      </c>
      <c r="IC312" s="561">
        <v>0</v>
      </c>
      <c r="ID312" s="561">
        <v>0</v>
      </c>
      <c r="IE312" s="561">
        <v>875</v>
      </c>
      <c r="IF312" s="561">
        <v>0</v>
      </c>
      <c r="IG312" s="561">
        <v>0</v>
      </c>
      <c r="IH312" s="561">
        <v>-31</v>
      </c>
      <c r="II312" s="561">
        <v>4763</v>
      </c>
      <c r="IJ312" s="561">
        <v>426</v>
      </c>
      <c r="IK312" s="561">
        <v>6457</v>
      </c>
      <c r="IL312" s="561">
        <v>0</v>
      </c>
      <c r="IM312" s="561">
        <v>0</v>
      </c>
      <c r="IN312" s="561">
        <v>0</v>
      </c>
      <c r="IO312" s="561">
        <v>0</v>
      </c>
      <c r="IP312" s="561">
        <v>6908</v>
      </c>
      <c r="IQ312" s="561">
        <v>0</v>
      </c>
      <c r="IR312" s="561">
        <v>0</v>
      </c>
      <c r="IS312" s="561">
        <v>153</v>
      </c>
      <c r="IT312" s="561">
        <v>0</v>
      </c>
      <c r="IU312" s="561">
        <v>0</v>
      </c>
      <c r="IV312" s="561">
        <v>71</v>
      </c>
      <c r="IW312" s="561">
        <v>1516</v>
      </c>
      <c r="IX312" s="561">
        <v>2157</v>
      </c>
      <c r="IY312" s="561">
        <v>4469</v>
      </c>
      <c r="IZ312" s="561">
        <v>-45</v>
      </c>
      <c r="JA312" s="561">
        <v>0</v>
      </c>
      <c r="JB312" s="561">
        <v>0</v>
      </c>
      <c r="JC312" s="561">
        <v>4763</v>
      </c>
      <c r="JD312" s="561">
        <v>6908</v>
      </c>
      <c r="JE312" s="561">
        <v>19992</v>
      </c>
      <c r="JF312" s="561">
        <v>14752</v>
      </c>
      <c r="JG312" s="561">
        <v>0</v>
      </c>
      <c r="JH312" s="561">
        <v>0</v>
      </c>
      <c r="JI312" s="561">
        <v>0</v>
      </c>
      <c r="JJ312" s="561">
        <v>0</v>
      </c>
      <c r="JK312" s="561">
        <v>2794</v>
      </c>
      <c r="JL312" s="561">
        <v>0</v>
      </c>
      <c r="JM312" s="561">
        <v>0</v>
      </c>
      <c r="JN312" s="561">
        <v>0</v>
      </c>
      <c r="JO312" s="561">
        <v>0</v>
      </c>
      <c r="JP312" s="561">
        <v>0</v>
      </c>
      <c r="JQ312" s="561">
        <v>0</v>
      </c>
      <c r="JR312" s="561">
        <v>0</v>
      </c>
      <c r="JS312" s="561">
        <v>0</v>
      </c>
      <c r="JT312" s="561">
        <v>0</v>
      </c>
      <c r="JU312" s="561">
        <v>0</v>
      </c>
      <c r="JV312" s="561">
        <v>37538</v>
      </c>
      <c r="JW312" s="561">
        <v>0</v>
      </c>
      <c r="JX312" s="561">
        <v>1022</v>
      </c>
      <c r="JY312" s="561">
        <v>0</v>
      </c>
      <c r="JZ312" s="561">
        <v>0</v>
      </c>
      <c r="KA312" s="561">
        <v>0</v>
      </c>
      <c r="KB312" s="561">
        <v>0</v>
      </c>
      <c r="KC312" s="561">
        <v>543</v>
      </c>
      <c r="KD312" s="561">
        <v>0</v>
      </c>
      <c r="KE312" s="561">
        <v>237</v>
      </c>
      <c r="KF312" s="561">
        <v>0</v>
      </c>
      <c r="KG312" s="561">
        <v>39340</v>
      </c>
      <c r="KH312" s="561">
        <v>-802</v>
      </c>
      <c r="KI312" s="561">
        <v>0</v>
      </c>
      <c r="KJ312" s="561">
        <v>0</v>
      </c>
      <c r="KK312" s="561">
        <v>0</v>
      </c>
      <c r="KL312" s="561">
        <v>-14584</v>
      </c>
      <c r="KM312" s="561">
        <v>0</v>
      </c>
      <c r="KN312" s="561">
        <v>0</v>
      </c>
      <c r="KO312" s="561">
        <v>0</v>
      </c>
      <c r="KP312" s="561">
        <v>0</v>
      </c>
      <c r="KQ312" s="561">
        <v>0</v>
      </c>
      <c r="KR312" s="561">
        <v>23954</v>
      </c>
      <c r="KS312" s="561">
        <v>0</v>
      </c>
      <c r="KT312" s="561">
        <v>-1387</v>
      </c>
      <c r="KU312" s="561">
        <v>22567</v>
      </c>
      <c r="KV312" s="561">
        <v>0</v>
      </c>
      <c r="KW312" s="561">
        <v>0</v>
      </c>
      <c r="KX312" s="561">
        <v>0</v>
      </c>
      <c r="KY312" s="561">
        <v>0</v>
      </c>
      <c r="KZ312" s="561">
        <v>351</v>
      </c>
      <c r="LA312" s="561">
        <v>-428</v>
      </c>
      <c r="LB312" s="561">
        <v>-216</v>
      </c>
      <c r="LC312" s="561">
        <v>0</v>
      </c>
      <c r="LD312" s="561">
        <v>-14062</v>
      </c>
      <c r="LE312" s="561">
        <v>183</v>
      </c>
      <c r="LF312" s="561">
        <v>0</v>
      </c>
      <c r="LG312" s="561">
        <v>8395</v>
      </c>
      <c r="LH312" s="561">
        <v>0</v>
      </c>
      <c r="LI312" s="561">
        <v>0</v>
      </c>
      <c r="LJ312" s="561">
        <v>0</v>
      </c>
      <c r="LK312" s="561">
        <v>0</v>
      </c>
      <c r="LL312" s="561">
        <v>8252</v>
      </c>
      <c r="LM312" s="561">
        <v>8331</v>
      </c>
      <c r="LN312" s="561">
        <v>0</v>
      </c>
      <c r="LO312" s="561">
        <v>0</v>
      </c>
      <c r="LP312" s="561">
        <v>0</v>
      </c>
      <c r="LQ312" s="561">
        <v>0</v>
      </c>
      <c r="LR312" s="561">
        <v>8603</v>
      </c>
      <c r="LS312" s="561">
        <v>7903</v>
      </c>
      <c r="LT312" s="561">
        <v>0</v>
      </c>
      <c r="LU312" s="561">
        <v>891</v>
      </c>
      <c r="LV312" s="561">
        <v>0</v>
      </c>
      <c r="LW312" s="561">
        <v>0</v>
      </c>
      <c r="LX312" s="561">
        <v>0</v>
      </c>
      <c r="LY312" s="561">
        <v>0</v>
      </c>
      <c r="LZ312" s="561">
        <v>891</v>
      </c>
      <c r="MA312" s="561">
        <v>0</v>
      </c>
      <c r="MB312" s="561">
        <v>0</v>
      </c>
      <c r="MC312" s="561">
        <v>0</v>
      </c>
      <c r="MD312" s="561">
        <v>0</v>
      </c>
      <c r="ME312" s="561">
        <v>0</v>
      </c>
      <c r="MF312" s="561">
        <v>0</v>
      </c>
      <c r="MG312" s="561">
        <v>0</v>
      </c>
      <c r="MH312" s="561">
        <v>3472</v>
      </c>
      <c r="MI312" s="561">
        <v>2655</v>
      </c>
      <c r="MJ312" s="561">
        <v>6127</v>
      </c>
      <c r="MK312" s="561">
        <v>0</v>
      </c>
      <c r="ML312" s="561">
        <v>0</v>
      </c>
      <c r="MM312" s="561">
        <v>0</v>
      </c>
      <c r="MN312" s="561">
        <v>0</v>
      </c>
      <c r="MO312" s="561">
        <v>8603</v>
      </c>
      <c r="MP312" s="561">
        <v>0</v>
      </c>
      <c r="MQ312" s="561">
        <v>0</v>
      </c>
      <c r="MR312" s="561">
        <v>153</v>
      </c>
      <c r="MS312" s="561">
        <v>0</v>
      </c>
      <c r="MT312" s="561">
        <v>0</v>
      </c>
      <c r="MU312" s="561">
        <v>71</v>
      </c>
      <c r="MV312" s="561">
        <v>1516</v>
      </c>
      <c r="MW312" s="561">
        <v>2157</v>
      </c>
      <c r="MX312" s="561">
        <v>4469</v>
      </c>
      <c r="MY312" s="561">
        <v>-45</v>
      </c>
      <c r="MZ312" s="561">
        <v>0</v>
      </c>
      <c r="NA312" s="561">
        <v>0</v>
      </c>
      <c r="NB312" s="561">
        <v>4763</v>
      </c>
      <c r="NC312" s="561">
        <v>6908</v>
      </c>
      <c r="ND312" s="561">
        <v>19992</v>
      </c>
      <c r="NE312" s="561">
        <v>0</v>
      </c>
      <c r="NF312" s="561">
        <v>0</v>
      </c>
      <c r="NG312" s="561">
        <v>0</v>
      </c>
      <c r="NH312" s="561">
        <v>0</v>
      </c>
      <c r="NI312" s="561">
        <v>0</v>
      </c>
      <c r="NJ312" s="561">
        <v>0</v>
      </c>
      <c r="NK312" s="561">
        <v>0</v>
      </c>
      <c r="NL312" s="561">
        <v>0</v>
      </c>
      <c r="NM312" s="561">
        <v>0</v>
      </c>
      <c r="NN312" s="561">
        <v>0</v>
      </c>
      <c r="NO312" s="561">
        <v>0</v>
      </c>
      <c r="NP312" s="561">
        <v>0</v>
      </c>
      <c r="NQ312" s="561">
        <v>0</v>
      </c>
      <c r="NR312" s="561">
        <v>0</v>
      </c>
      <c r="NS312" s="561">
        <v>0</v>
      </c>
      <c r="NT312" s="561">
        <v>0</v>
      </c>
      <c r="NU312" s="561">
        <v>-333</v>
      </c>
      <c r="NV312" s="561">
        <v>0</v>
      </c>
      <c r="NW312" s="561">
        <v>0</v>
      </c>
      <c r="NX312" s="561">
        <v>0</v>
      </c>
      <c r="NY312" s="561">
        <v>0</v>
      </c>
      <c r="NZ312" s="561">
        <v>0</v>
      </c>
      <c r="OA312" s="561">
        <v>0</v>
      </c>
      <c r="OB312" s="561">
        <v>0</v>
      </c>
      <c r="OC312" s="561">
        <v>0</v>
      </c>
      <c r="OD312" s="561">
        <v>0</v>
      </c>
      <c r="OE312" s="561">
        <v>0</v>
      </c>
      <c r="OF312" s="561">
        <v>0</v>
      </c>
      <c r="OG312" s="561">
        <v>0</v>
      </c>
      <c r="OH312" s="561">
        <v>0</v>
      </c>
      <c r="OI312" s="561">
        <v>0</v>
      </c>
      <c r="OJ312" s="561">
        <v>0</v>
      </c>
      <c r="OK312" s="561">
        <v>0</v>
      </c>
      <c r="OL312" s="561">
        <v>0</v>
      </c>
      <c r="OM312" s="561">
        <v>0</v>
      </c>
      <c r="ON312" s="561">
        <v>0</v>
      </c>
      <c r="OO312" s="561">
        <v>0</v>
      </c>
      <c r="OP312" s="561">
        <v>0</v>
      </c>
      <c r="OQ312" s="561">
        <v>0</v>
      </c>
      <c r="OR312" s="561">
        <v>0</v>
      </c>
      <c r="OS312" s="561">
        <v>0</v>
      </c>
      <c r="OT312" s="561">
        <v>0</v>
      </c>
      <c r="OU312" s="561">
        <v>0</v>
      </c>
      <c r="OV312" s="561">
        <v>0</v>
      </c>
      <c r="OW312" s="561">
        <v>0</v>
      </c>
      <c r="OX312" s="561">
        <v>0</v>
      </c>
      <c r="OY312" s="561">
        <v>0</v>
      </c>
      <c r="OZ312" s="561">
        <v>0</v>
      </c>
      <c r="PA312" s="561">
        <v>0</v>
      </c>
      <c r="PB312" s="561">
        <v>0</v>
      </c>
      <c r="PC312" s="561">
        <v>0</v>
      </c>
      <c r="PD312" s="561">
        <v>0</v>
      </c>
      <c r="PE312" s="561">
        <v>0</v>
      </c>
      <c r="PF312" s="561">
        <v>0</v>
      </c>
      <c r="PG312" s="561">
        <v>0</v>
      </c>
      <c r="PH312" s="561">
        <v>0</v>
      </c>
      <c r="PI312" s="561">
        <v>0</v>
      </c>
      <c r="PJ312" s="561">
        <v>0</v>
      </c>
    </row>
    <row r="313" spans="1:426" ht="14" x14ac:dyDescent="0.3">
      <c r="A313" t="s">
        <v>3382</v>
      </c>
      <c r="B313" t="s">
        <v>3383</v>
      </c>
      <c r="C313" t="s">
        <v>3384</v>
      </c>
      <c r="E313" t="s">
        <v>379</v>
      </c>
      <c r="F313" s="561">
        <v>13491</v>
      </c>
      <c r="G313" s="561">
        <v>52123</v>
      </c>
      <c r="H313" s="561">
        <v>46953</v>
      </c>
      <c r="I313" s="561">
        <v>21592</v>
      </c>
      <c r="J313" s="561">
        <v>2002</v>
      </c>
      <c r="K313" s="561">
        <v>28028</v>
      </c>
      <c r="L313" s="561">
        <v>164189</v>
      </c>
      <c r="M313" s="561">
        <v>3623</v>
      </c>
      <c r="N313" s="561">
        <v>87</v>
      </c>
      <c r="O313" s="561">
        <v>149</v>
      </c>
      <c r="P313" s="561">
        <v>0</v>
      </c>
      <c r="Q313" s="561">
        <v>-67</v>
      </c>
      <c r="R313" s="561">
        <v>80</v>
      </c>
      <c r="S313" s="561">
        <v>-83</v>
      </c>
      <c r="T313" s="561">
        <v>727</v>
      </c>
      <c r="U313" s="561">
        <v>831</v>
      </c>
      <c r="V313" s="561">
        <v>6154</v>
      </c>
      <c r="W313" s="561">
        <v>0</v>
      </c>
      <c r="X313" s="561">
        <v>13</v>
      </c>
      <c r="Y313" s="561">
        <v>620</v>
      </c>
      <c r="Z313" s="561">
        <v>-43</v>
      </c>
      <c r="AA313" s="561">
        <v>-84</v>
      </c>
      <c r="AB313" s="561">
        <v>-572</v>
      </c>
      <c r="AC313" s="561">
        <v>0</v>
      </c>
      <c r="AD313" s="561">
        <v>0</v>
      </c>
      <c r="AE313" s="561">
        <v>0</v>
      </c>
      <c r="AF313" s="561">
        <v>0</v>
      </c>
      <c r="AG313" s="561">
        <v>0</v>
      </c>
      <c r="AH313" s="561">
        <v>0</v>
      </c>
      <c r="AI313" s="561">
        <v>0</v>
      </c>
      <c r="AJ313" s="561">
        <v>7812</v>
      </c>
      <c r="AK313" s="561">
        <v>59</v>
      </c>
      <c r="AL313" s="561">
        <v>0</v>
      </c>
      <c r="AM313" s="561">
        <v>0</v>
      </c>
      <c r="AN313" s="561">
        <v>0</v>
      </c>
      <c r="AO313" s="561">
        <v>0</v>
      </c>
      <c r="AP313" s="561">
        <v>0</v>
      </c>
      <c r="AQ313" s="561">
        <v>0</v>
      </c>
      <c r="AR313" s="561">
        <v>832</v>
      </c>
      <c r="AS313" s="561">
        <v>39</v>
      </c>
      <c r="AT313" s="561">
        <v>119</v>
      </c>
      <c r="AU313" s="561">
        <v>0</v>
      </c>
      <c r="AV313" s="561">
        <v>0</v>
      </c>
      <c r="AW313" s="561">
        <v>0</v>
      </c>
      <c r="AX313" s="561">
        <v>1864</v>
      </c>
      <c r="AY313" s="561">
        <v>33268</v>
      </c>
      <c r="AZ313" s="561">
        <v>1232</v>
      </c>
      <c r="BA313" s="561">
        <v>10139</v>
      </c>
      <c r="BB313" s="561">
        <v>908</v>
      </c>
      <c r="BC313" s="561">
        <v>6928</v>
      </c>
      <c r="BD313" s="561">
        <v>0</v>
      </c>
      <c r="BE313" s="561">
        <v>1936</v>
      </c>
      <c r="BF313" s="561">
        <v>56275</v>
      </c>
      <c r="BG313" s="561">
        <v>2694</v>
      </c>
      <c r="BH313" s="561">
        <v>1164</v>
      </c>
      <c r="BI313" s="561">
        <v>21525</v>
      </c>
      <c r="BJ313" s="561">
        <v>183</v>
      </c>
      <c r="BK313" s="561">
        <v>202</v>
      </c>
      <c r="BL313" s="561">
        <v>39</v>
      </c>
      <c r="BM313" s="561">
        <v>7461</v>
      </c>
      <c r="BN313" s="561">
        <v>24962</v>
      </c>
      <c r="BO313" s="561">
        <v>4878</v>
      </c>
      <c r="BP313" s="561">
        <v>3012</v>
      </c>
      <c r="BQ313" s="561">
        <v>2926</v>
      </c>
      <c r="BR313" s="561">
        <v>312</v>
      </c>
      <c r="BS313" s="561">
        <v>0</v>
      </c>
      <c r="BT313" s="561">
        <v>470</v>
      </c>
      <c r="BU313" s="561">
        <v>460</v>
      </c>
      <c r="BV313" s="561">
        <v>47</v>
      </c>
      <c r="BW313" s="561">
        <v>8775</v>
      </c>
      <c r="BX313" s="561">
        <v>417</v>
      </c>
      <c r="BY313" s="561">
        <v>6027</v>
      </c>
      <c r="BZ313" s="561">
        <v>82860</v>
      </c>
      <c r="CA313" s="561">
        <v>1616</v>
      </c>
      <c r="CB313" s="561">
        <v>1186</v>
      </c>
      <c r="CC313" s="561">
        <v>570</v>
      </c>
      <c r="CD313" s="561">
        <v>247</v>
      </c>
      <c r="CE313" s="561">
        <v>159</v>
      </c>
      <c r="CF313" s="561">
        <v>84</v>
      </c>
      <c r="CG313" s="561">
        <v>247</v>
      </c>
      <c r="CH313" s="561">
        <v>62</v>
      </c>
      <c r="CI313" s="561">
        <v>517</v>
      </c>
      <c r="CJ313" s="561">
        <v>654</v>
      </c>
      <c r="CK313" s="561">
        <v>502</v>
      </c>
      <c r="CL313" s="561">
        <v>638</v>
      </c>
      <c r="CM313" s="561">
        <v>1019</v>
      </c>
      <c r="CN313" s="561">
        <v>1019</v>
      </c>
      <c r="CO313" s="561">
        <v>1471</v>
      </c>
      <c r="CP313" s="561">
        <v>970</v>
      </c>
      <c r="CQ313" s="561">
        <v>150</v>
      </c>
      <c r="CR313" s="561">
        <v>533</v>
      </c>
      <c r="CS313" s="561">
        <v>113</v>
      </c>
      <c r="CT313" s="561">
        <v>209</v>
      </c>
      <c r="CU313" s="561">
        <v>3013</v>
      </c>
      <c r="CV313" s="561">
        <v>209</v>
      </c>
      <c r="CW313" s="561">
        <v>69</v>
      </c>
      <c r="CX313" s="561">
        <v>1329</v>
      </c>
      <c r="CY313" s="561">
        <v>1031</v>
      </c>
      <c r="CZ313" s="561">
        <v>16001</v>
      </c>
      <c r="DA313" s="561">
        <v>0</v>
      </c>
      <c r="DB313" s="561">
        <v>205.4</v>
      </c>
      <c r="DC313" s="561">
        <v>0</v>
      </c>
      <c r="DD313" s="561">
        <v>247.07</v>
      </c>
      <c r="DE313" s="561">
        <v>0</v>
      </c>
      <c r="DF313" s="561">
        <v>0</v>
      </c>
      <c r="DG313" s="561">
        <v>36</v>
      </c>
      <c r="DH313" s="561">
        <v>80</v>
      </c>
      <c r="DI313" s="561">
        <v>4</v>
      </c>
      <c r="DJ313" s="561">
        <v>35</v>
      </c>
      <c r="DK313" s="561">
        <v>0</v>
      </c>
      <c r="DL313" s="561">
        <v>16</v>
      </c>
      <c r="DM313" s="561">
        <v>1</v>
      </c>
      <c r="DN313" s="561">
        <v>9</v>
      </c>
      <c r="DO313" s="561">
        <v>64</v>
      </c>
      <c r="DP313" s="561">
        <v>39</v>
      </c>
      <c r="DQ313" s="561">
        <v>9</v>
      </c>
      <c r="DR313" s="561">
        <v>554</v>
      </c>
      <c r="DS313" s="561">
        <v>0</v>
      </c>
      <c r="DT313" s="561">
        <v>0</v>
      </c>
      <c r="DU313" s="561">
        <v>692</v>
      </c>
      <c r="DV313" s="561">
        <v>33</v>
      </c>
      <c r="DW313" s="561">
        <v>0</v>
      </c>
      <c r="DX313" s="561">
        <v>36</v>
      </c>
      <c r="DY313" s="561">
        <v>414</v>
      </c>
      <c r="DZ313" s="561">
        <v>472</v>
      </c>
      <c r="EA313" s="561">
        <v>0</v>
      </c>
      <c r="EB313" s="561">
        <v>0</v>
      </c>
      <c r="EC313" s="561">
        <v>1766</v>
      </c>
      <c r="ED313" s="561">
        <v>2070</v>
      </c>
      <c r="EE313" s="561">
        <v>74087</v>
      </c>
      <c r="EF313" s="561">
        <v>1877</v>
      </c>
      <c r="EG313" s="561">
        <v>2280</v>
      </c>
      <c r="EH313" s="561">
        <v>1346</v>
      </c>
      <c r="EI313" s="561">
        <v>0</v>
      </c>
      <c r="EJ313" s="561">
        <v>279</v>
      </c>
      <c r="EK313" s="561">
        <v>0</v>
      </c>
      <c r="EL313" s="561">
        <v>0</v>
      </c>
      <c r="EM313" s="561">
        <v>0</v>
      </c>
      <c r="EN313" s="561">
        <v>20940</v>
      </c>
      <c r="EO313" s="561">
        <v>18775</v>
      </c>
      <c r="EP313" s="561">
        <v>0</v>
      </c>
      <c r="EQ313" s="561">
        <v>3913</v>
      </c>
      <c r="ER313" s="561">
        <v>10832</v>
      </c>
      <c r="ES313" s="561" t="s">
        <v>4565</v>
      </c>
      <c r="ET313" s="561">
        <v>0</v>
      </c>
      <c r="EU313" s="561">
        <v>0</v>
      </c>
      <c r="EV313" s="561">
        <v>54</v>
      </c>
      <c r="EW313" s="561">
        <v>121</v>
      </c>
      <c r="EX313" s="561">
        <v>29949</v>
      </c>
      <c r="EY313" s="561">
        <v>818</v>
      </c>
      <c r="EZ313" s="561">
        <v>-5533</v>
      </c>
      <c r="FA313" s="561">
        <v>17862</v>
      </c>
      <c r="FB313" s="561">
        <v>69</v>
      </c>
      <c r="FC313" s="561">
        <v>646</v>
      </c>
      <c r="FD313" s="561">
        <v>51</v>
      </c>
      <c r="FE313" s="561">
        <v>824</v>
      </c>
      <c r="FF313" s="561">
        <v>800</v>
      </c>
      <c r="FG313" s="561">
        <v>1151</v>
      </c>
      <c r="FH313" s="561">
        <v>28</v>
      </c>
      <c r="FI313" s="561">
        <v>365</v>
      </c>
      <c r="FJ313" s="561">
        <v>1820</v>
      </c>
      <c r="FK313" s="561">
        <v>1713</v>
      </c>
      <c r="FL313" s="561">
        <v>20</v>
      </c>
      <c r="FM313" s="561">
        <v>311</v>
      </c>
      <c r="FN313" s="561">
        <v>2696</v>
      </c>
      <c r="FO313" s="561">
        <v>10494</v>
      </c>
      <c r="FP313" s="561">
        <v>7</v>
      </c>
      <c r="FQ313" s="561">
        <v>-810</v>
      </c>
      <c r="FR313" s="561">
        <v>107</v>
      </c>
      <c r="FS313" s="561">
        <v>68</v>
      </c>
      <c r="FT313" s="561">
        <v>132</v>
      </c>
      <c r="FU313" s="561">
        <v>162</v>
      </c>
      <c r="FV313" s="561">
        <v>306</v>
      </c>
      <c r="FW313" s="561">
        <v>57</v>
      </c>
      <c r="FX313" s="561">
        <v>79</v>
      </c>
      <c r="FY313" s="561">
        <v>57</v>
      </c>
      <c r="FZ313" s="561">
        <v>-63</v>
      </c>
      <c r="GA313" s="561">
        <v>0</v>
      </c>
      <c r="GB313" s="561">
        <v>126</v>
      </c>
      <c r="GC313" s="561">
        <v>8</v>
      </c>
      <c r="GD313" s="561">
        <v>654</v>
      </c>
      <c r="GE313" s="561">
        <v>147</v>
      </c>
      <c r="GF313" s="561">
        <v>150</v>
      </c>
      <c r="GG313" s="561">
        <v>57</v>
      </c>
      <c r="GH313" s="561">
        <v>0</v>
      </c>
      <c r="GI313" s="561">
        <v>0</v>
      </c>
      <c r="GJ313" s="561">
        <v>393</v>
      </c>
      <c r="GK313" s="561">
        <v>125</v>
      </c>
      <c r="GL313" s="561">
        <v>2249</v>
      </c>
      <c r="GM313" s="561">
        <v>3880</v>
      </c>
      <c r="GN313" s="561">
        <v>8469</v>
      </c>
      <c r="GO313" s="561">
        <v>-1106</v>
      </c>
      <c r="GP313" s="561">
        <v>762</v>
      </c>
      <c r="GQ313" s="561">
        <v>19</v>
      </c>
      <c r="GR313" s="561">
        <v>241</v>
      </c>
      <c r="GS313" s="561">
        <v>16269</v>
      </c>
      <c r="GT313" s="561">
        <v>798</v>
      </c>
      <c r="GU313" s="561">
        <v>361</v>
      </c>
      <c r="GV313" s="561">
        <v>411</v>
      </c>
      <c r="GW313" s="561">
        <v>9</v>
      </c>
      <c r="GX313" s="561">
        <v>503</v>
      </c>
      <c r="GY313" s="561">
        <v>197</v>
      </c>
      <c r="GZ313" s="561">
        <v>1861</v>
      </c>
      <c r="HA313" s="561">
        <v>0</v>
      </c>
      <c r="HB313" s="561">
        <v>4026</v>
      </c>
      <c r="HC313" s="561">
        <v>67</v>
      </c>
      <c r="HD313" s="561">
        <v>7435</v>
      </c>
      <c r="HE313" s="561">
        <v>0</v>
      </c>
      <c r="HF313" s="561">
        <v>34198</v>
      </c>
      <c r="HG313" s="561">
        <v>0</v>
      </c>
      <c r="HH313" s="561">
        <v>0</v>
      </c>
      <c r="HI313" s="561">
        <v>0</v>
      </c>
      <c r="HJ313" s="561">
        <v>0</v>
      </c>
      <c r="HK313" s="561">
        <v>0</v>
      </c>
      <c r="HL313" s="561">
        <v>0</v>
      </c>
      <c r="HM313" s="561">
        <v>0</v>
      </c>
      <c r="HN313" s="561">
        <v>0</v>
      </c>
      <c r="HO313" s="561">
        <v>3806</v>
      </c>
      <c r="HP313" s="561">
        <v>1145</v>
      </c>
      <c r="HQ313" s="561">
        <v>0</v>
      </c>
      <c r="HR313" s="561">
        <v>40</v>
      </c>
      <c r="HS313" s="561">
        <v>0</v>
      </c>
      <c r="HT313" s="561">
        <v>-134</v>
      </c>
      <c r="HU313" s="561">
        <v>0</v>
      </c>
      <c r="HV313" s="561">
        <v>6</v>
      </c>
      <c r="HW313" s="561">
        <v>114</v>
      </c>
      <c r="HX313" s="561">
        <v>381</v>
      </c>
      <c r="HY313" s="561">
        <v>1018</v>
      </c>
      <c r="HZ313" s="561">
        <v>-48</v>
      </c>
      <c r="IA313" s="561">
        <v>0</v>
      </c>
      <c r="IB313" s="561">
        <v>208</v>
      </c>
      <c r="IC313" s="561">
        <v>514</v>
      </c>
      <c r="ID313" s="561">
        <v>0</v>
      </c>
      <c r="IE313" s="561">
        <v>1981</v>
      </c>
      <c r="IF313" s="561">
        <v>0</v>
      </c>
      <c r="IG313" s="561">
        <v>109</v>
      </c>
      <c r="IH313" s="561">
        <v>-0.01</v>
      </c>
      <c r="II313" s="561">
        <v>9139.99</v>
      </c>
      <c r="IJ313" s="561">
        <v>593</v>
      </c>
      <c r="IK313" s="561">
        <v>0</v>
      </c>
      <c r="IL313" s="561">
        <v>1517.12</v>
      </c>
      <c r="IM313" s="561">
        <v>0</v>
      </c>
      <c r="IN313" s="561">
        <v>3075.06</v>
      </c>
      <c r="IO313" s="561">
        <v>16133.83</v>
      </c>
      <c r="IP313" s="561">
        <v>-1008</v>
      </c>
      <c r="IQ313" s="561">
        <v>0</v>
      </c>
      <c r="IR313" s="561">
        <v>164189</v>
      </c>
      <c r="IS313" s="561">
        <v>7812</v>
      </c>
      <c r="IT313" s="561">
        <v>56275</v>
      </c>
      <c r="IU313" s="561">
        <v>82860</v>
      </c>
      <c r="IV313" s="561">
        <v>16001</v>
      </c>
      <c r="IW313" s="561">
        <v>1766</v>
      </c>
      <c r="IX313" s="561">
        <v>10494</v>
      </c>
      <c r="IY313" s="561">
        <v>16269</v>
      </c>
      <c r="IZ313" s="561">
        <v>7435</v>
      </c>
      <c r="JA313" s="561">
        <v>0</v>
      </c>
      <c r="JB313" s="561">
        <v>0</v>
      </c>
      <c r="JC313" s="561">
        <v>9139.99</v>
      </c>
      <c r="JD313" s="561">
        <v>-1008</v>
      </c>
      <c r="JE313" s="561">
        <v>371232.99</v>
      </c>
      <c r="JF313" s="561">
        <v>20739</v>
      </c>
      <c r="JG313" s="561">
        <v>0</v>
      </c>
      <c r="JH313" s="561">
        <v>22108</v>
      </c>
      <c r="JI313" s="561">
        <v>0</v>
      </c>
      <c r="JJ313" s="561">
        <v>0</v>
      </c>
      <c r="JK313" s="561">
        <v>0</v>
      </c>
      <c r="JL313" s="561">
        <v>9153</v>
      </c>
      <c r="JM313" s="561">
        <v>0</v>
      </c>
      <c r="JN313" s="561">
        <v>0</v>
      </c>
      <c r="JO313" s="561">
        <v>0</v>
      </c>
      <c r="JP313" s="561">
        <v>-55</v>
      </c>
      <c r="JQ313" s="561">
        <v>1808</v>
      </c>
      <c r="JR313" s="561">
        <v>0</v>
      </c>
      <c r="JS313" s="561">
        <v>0</v>
      </c>
      <c r="JT313" s="561">
        <v>37</v>
      </c>
      <c r="JU313" s="561">
        <v>0</v>
      </c>
      <c r="JV313" s="561">
        <v>425022.99</v>
      </c>
      <c r="JW313" s="561">
        <v>150</v>
      </c>
      <c r="JX313" s="561">
        <v>592</v>
      </c>
      <c r="JY313" s="561">
        <v>0</v>
      </c>
      <c r="JZ313" s="561">
        <v>0</v>
      </c>
      <c r="KA313" s="561">
        <v>0</v>
      </c>
      <c r="KB313" s="561">
        <v>332</v>
      </c>
      <c r="KC313" s="561">
        <v>7968</v>
      </c>
      <c r="KD313" s="561">
        <v>0</v>
      </c>
      <c r="KE313" s="561">
        <v>24952</v>
      </c>
      <c r="KF313" s="561">
        <v>-10553</v>
      </c>
      <c r="KG313" s="561">
        <v>448463.99</v>
      </c>
      <c r="KH313" s="561">
        <v>-3962</v>
      </c>
      <c r="KI313" s="561">
        <v>0</v>
      </c>
      <c r="KJ313" s="561">
        <v>191</v>
      </c>
      <c r="KK313" s="561">
        <v>0</v>
      </c>
      <c r="KL313" s="561">
        <v>-46581</v>
      </c>
      <c r="KM313" s="561">
        <v>0</v>
      </c>
      <c r="KN313" s="561">
        <v>0</v>
      </c>
      <c r="KO313" s="561">
        <v>0</v>
      </c>
      <c r="KP313" s="561">
        <v>0</v>
      </c>
      <c r="KQ313" s="561">
        <v>-110</v>
      </c>
      <c r="KR313" s="561">
        <v>398001.99</v>
      </c>
      <c r="KS313" s="561">
        <v>0</v>
      </c>
      <c r="KT313" s="561">
        <v>-225725</v>
      </c>
      <c r="KU313" s="561">
        <v>172276.99</v>
      </c>
      <c r="KV313" s="561">
        <v>0</v>
      </c>
      <c r="KW313" s="561">
        <v>-6020</v>
      </c>
      <c r="KX313" s="561">
        <v>0</v>
      </c>
      <c r="KY313" s="561">
        <v>-271</v>
      </c>
      <c r="KZ313" s="561">
        <v>-11157</v>
      </c>
      <c r="LA313" s="561">
        <v>-6510</v>
      </c>
      <c r="LB313" s="561">
        <v>-18459</v>
      </c>
      <c r="LC313" s="561">
        <v>0</v>
      </c>
      <c r="LD313" s="561">
        <v>-53059</v>
      </c>
      <c r="LE313" s="561">
        <v>-1420</v>
      </c>
      <c r="LF313" s="561">
        <v>0</v>
      </c>
      <c r="LG313" s="561">
        <v>75380</v>
      </c>
      <c r="LH313" s="561">
        <v>2128</v>
      </c>
      <c r="LI313" s="561">
        <v>-5429</v>
      </c>
      <c r="LJ313" s="561">
        <v>0</v>
      </c>
      <c r="LK313" s="561">
        <v>1948</v>
      </c>
      <c r="LL313" s="561">
        <v>29178</v>
      </c>
      <c r="LM313" s="561">
        <v>11212</v>
      </c>
      <c r="LN313" s="561">
        <v>-3892</v>
      </c>
      <c r="LO313" s="561">
        <v>-5539</v>
      </c>
      <c r="LP313" s="561">
        <v>0</v>
      </c>
      <c r="LQ313" s="561">
        <v>1677</v>
      </c>
      <c r="LR313" s="561">
        <v>18021</v>
      </c>
      <c r="LS313" s="561">
        <v>4702</v>
      </c>
      <c r="LT313" s="561">
        <v>0</v>
      </c>
      <c r="LU313" s="561">
        <v>37655.78</v>
      </c>
      <c r="LV313" s="561">
        <v>11326.59</v>
      </c>
      <c r="LW313" s="561">
        <v>5201.95</v>
      </c>
      <c r="LX313" s="561">
        <v>-16725.59</v>
      </c>
      <c r="LY313" s="561">
        <v>11697.76</v>
      </c>
      <c r="LZ313" s="561">
        <v>49156.49</v>
      </c>
      <c r="MA313" s="561">
        <v>0</v>
      </c>
      <c r="MB313" s="561">
        <v>0</v>
      </c>
      <c r="MC313" s="561">
        <v>79869</v>
      </c>
      <c r="MD313" s="561">
        <v>85402</v>
      </c>
      <c r="ME313" s="561">
        <v>-5533</v>
      </c>
      <c r="MF313" s="561">
        <v>17862</v>
      </c>
      <c r="MG313" s="561">
        <v>12329</v>
      </c>
      <c r="MH313" s="561">
        <v>7669.3</v>
      </c>
      <c r="MI313" s="561">
        <v>8830.2800000000007</v>
      </c>
      <c r="MJ313" s="561">
        <v>16499.580000000002</v>
      </c>
      <c r="MK313" s="561">
        <v>0</v>
      </c>
      <c r="ML313" s="561">
        <v>2195</v>
      </c>
      <c r="MM313" s="561">
        <v>8222</v>
      </c>
      <c r="MN313" s="561">
        <v>5779</v>
      </c>
      <c r="MO313" s="561">
        <v>1825</v>
      </c>
      <c r="MP313" s="561">
        <v>0</v>
      </c>
      <c r="MQ313" s="561">
        <v>164189</v>
      </c>
      <c r="MR313" s="561">
        <v>7812</v>
      </c>
      <c r="MS313" s="561">
        <v>56275</v>
      </c>
      <c r="MT313" s="561">
        <v>82860</v>
      </c>
      <c r="MU313" s="561">
        <v>16001</v>
      </c>
      <c r="MV313" s="561">
        <v>1766</v>
      </c>
      <c r="MW313" s="561">
        <v>10494</v>
      </c>
      <c r="MX313" s="561">
        <v>16269</v>
      </c>
      <c r="MY313" s="561">
        <v>7435</v>
      </c>
      <c r="MZ313" s="561">
        <v>0</v>
      </c>
      <c r="NA313" s="561">
        <v>0</v>
      </c>
      <c r="NB313" s="561">
        <v>9139.99</v>
      </c>
      <c r="NC313" s="561">
        <v>-1008</v>
      </c>
      <c r="ND313" s="561">
        <v>371232.99</v>
      </c>
      <c r="NE313" s="561">
        <v>0</v>
      </c>
      <c r="NF313" s="561">
        <v>0</v>
      </c>
      <c r="NG313" s="561">
        <v>0</v>
      </c>
      <c r="NH313" s="561">
        <v>0</v>
      </c>
      <c r="NI313" s="561">
        <v>0</v>
      </c>
      <c r="NJ313" s="561">
        <v>0</v>
      </c>
      <c r="NK313" s="561">
        <v>0</v>
      </c>
      <c r="NL313" s="561">
        <v>0</v>
      </c>
      <c r="NM313" s="561">
        <v>0</v>
      </c>
      <c r="NN313" s="561">
        <v>0</v>
      </c>
      <c r="NO313" s="561">
        <v>0</v>
      </c>
      <c r="NP313" s="561">
        <v>0</v>
      </c>
      <c r="NQ313" s="561">
        <v>0</v>
      </c>
      <c r="NR313" s="561">
        <v>0</v>
      </c>
      <c r="NS313" s="561">
        <v>0</v>
      </c>
      <c r="NT313" s="561">
        <v>0</v>
      </c>
      <c r="NU313" s="561">
        <v>0</v>
      </c>
      <c r="NV313" s="561">
        <v>-55</v>
      </c>
      <c r="NW313" s="561">
        <v>-55</v>
      </c>
      <c r="NX313" s="561">
        <v>0</v>
      </c>
      <c r="NY313" s="561">
        <v>-55</v>
      </c>
      <c r="NZ313" s="561">
        <v>0</v>
      </c>
      <c r="OA313" s="561">
        <v>0</v>
      </c>
      <c r="OB313" s="561">
        <v>0</v>
      </c>
      <c r="OC313" s="561">
        <v>0</v>
      </c>
      <c r="OD313" s="561">
        <v>0</v>
      </c>
      <c r="OE313" s="561">
        <v>0</v>
      </c>
      <c r="OF313" s="561">
        <v>0</v>
      </c>
      <c r="OG313" s="561">
        <v>0</v>
      </c>
      <c r="OH313" s="561">
        <v>0</v>
      </c>
      <c r="OI313" s="561">
        <v>0</v>
      </c>
      <c r="OJ313" s="561">
        <v>0</v>
      </c>
      <c r="OK313" s="561">
        <v>0</v>
      </c>
      <c r="OL313" s="561">
        <v>0</v>
      </c>
      <c r="OM313" s="561">
        <v>0</v>
      </c>
      <c r="ON313" s="561">
        <v>0</v>
      </c>
      <c r="OO313" s="561">
        <v>0</v>
      </c>
      <c r="OP313" s="561">
        <v>1808</v>
      </c>
      <c r="OQ313" s="561">
        <v>0</v>
      </c>
      <c r="OR313" s="561">
        <v>0</v>
      </c>
      <c r="OS313" s="561">
        <v>0</v>
      </c>
      <c r="OT313" s="561">
        <v>0</v>
      </c>
      <c r="OU313" s="561">
        <v>0</v>
      </c>
      <c r="OV313" s="561">
        <v>0</v>
      </c>
      <c r="OW313" s="561">
        <v>0</v>
      </c>
      <c r="OX313" s="561">
        <v>1808</v>
      </c>
      <c r="OY313" s="561">
        <v>0</v>
      </c>
      <c r="OZ313" s="561">
        <v>0</v>
      </c>
      <c r="PA313" s="561">
        <v>0</v>
      </c>
      <c r="PB313" s="561">
        <v>0</v>
      </c>
      <c r="PC313" s="561">
        <v>0</v>
      </c>
      <c r="PD313" s="561">
        <v>0</v>
      </c>
      <c r="PE313" s="561">
        <v>0</v>
      </c>
      <c r="PF313" s="561">
        <v>0</v>
      </c>
      <c r="PG313" s="561">
        <v>0</v>
      </c>
      <c r="PH313" s="561">
        <v>0</v>
      </c>
      <c r="PI313" s="561">
        <v>0</v>
      </c>
      <c r="PJ313" s="561">
        <v>0</v>
      </c>
    </row>
    <row r="314" spans="1:426" ht="14" x14ac:dyDescent="0.3">
      <c r="A314" t="s">
        <v>3385</v>
      </c>
      <c r="B314" t="s">
        <v>3386</v>
      </c>
      <c r="C314" t="s">
        <v>4659</v>
      </c>
      <c r="E314" t="s">
        <v>2466</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0</v>
      </c>
      <c r="W314" s="561">
        <v>0</v>
      </c>
      <c r="X314" s="561">
        <v>0</v>
      </c>
      <c r="Y314" s="561">
        <v>0</v>
      </c>
      <c r="Z314" s="561">
        <v>0</v>
      </c>
      <c r="AA314" s="561">
        <v>0</v>
      </c>
      <c r="AB314" s="561">
        <v>0</v>
      </c>
      <c r="AC314" s="561">
        <v>0</v>
      </c>
      <c r="AD314" s="561">
        <v>0</v>
      </c>
      <c r="AE314" s="561">
        <v>0</v>
      </c>
      <c r="AF314" s="561">
        <v>0</v>
      </c>
      <c r="AG314" s="561">
        <v>0</v>
      </c>
      <c r="AH314" s="561">
        <v>0</v>
      </c>
      <c r="AI314" s="561">
        <v>0</v>
      </c>
      <c r="AJ314" s="561">
        <v>0</v>
      </c>
      <c r="AK314" s="561">
        <v>0</v>
      </c>
      <c r="AL314" s="561">
        <v>0</v>
      </c>
      <c r="AM314" s="561">
        <v>0</v>
      </c>
      <c r="AN314" s="561">
        <v>0</v>
      </c>
      <c r="AO314" s="561">
        <v>0</v>
      </c>
      <c r="AP314" s="561">
        <v>0</v>
      </c>
      <c r="AQ314" s="561">
        <v>0</v>
      </c>
      <c r="AR314" s="561">
        <v>0</v>
      </c>
      <c r="AS314" s="561">
        <v>0</v>
      </c>
      <c r="AT314" s="561">
        <v>0</v>
      </c>
      <c r="AU314" s="561">
        <v>0</v>
      </c>
      <c r="AV314" s="561">
        <v>0</v>
      </c>
      <c r="AW314" s="561">
        <v>0</v>
      </c>
      <c r="AX314" s="561">
        <v>0</v>
      </c>
      <c r="AY314" s="561">
        <v>0</v>
      </c>
      <c r="AZ314" s="561">
        <v>0</v>
      </c>
      <c r="BA314" s="561">
        <v>0</v>
      </c>
      <c r="BB314" s="561">
        <v>0</v>
      </c>
      <c r="BC314" s="561">
        <v>0</v>
      </c>
      <c r="BD314" s="561">
        <v>0</v>
      </c>
      <c r="BE314" s="561">
        <v>0</v>
      </c>
      <c r="BF314" s="561">
        <v>0</v>
      </c>
      <c r="BG314" s="561">
        <v>0</v>
      </c>
      <c r="BH314" s="561">
        <v>0</v>
      </c>
      <c r="BI314" s="561">
        <v>0</v>
      </c>
      <c r="BJ314" s="561">
        <v>0</v>
      </c>
      <c r="BK314" s="561">
        <v>0</v>
      </c>
      <c r="BL314" s="561">
        <v>0</v>
      </c>
      <c r="BM314" s="561">
        <v>0</v>
      </c>
      <c r="BN314" s="561">
        <v>0</v>
      </c>
      <c r="BO314" s="561">
        <v>0</v>
      </c>
      <c r="BP314" s="561">
        <v>0</v>
      </c>
      <c r="BQ314" s="561">
        <v>0</v>
      </c>
      <c r="BR314" s="561">
        <v>0</v>
      </c>
      <c r="BS314" s="561">
        <v>0</v>
      </c>
      <c r="BT314" s="561">
        <v>0</v>
      </c>
      <c r="BU314" s="561">
        <v>0</v>
      </c>
      <c r="BV314" s="561">
        <v>0</v>
      </c>
      <c r="BW314" s="561">
        <v>0</v>
      </c>
      <c r="BX314" s="561">
        <v>0</v>
      </c>
      <c r="BY314" s="561">
        <v>0</v>
      </c>
      <c r="BZ314" s="561">
        <v>0</v>
      </c>
      <c r="CA314" s="561">
        <v>0</v>
      </c>
      <c r="CB314" s="561">
        <v>0</v>
      </c>
      <c r="CC314" s="561">
        <v>0</v>
      </c>
      <c r="CD314" s="561">
        <v>0</v>
      </c>
      <c r="CE314" s="561">
        <v>0</v>
      </c>
      <c r="CF314" s="561">
        <v>0</v>
      </c>
      <c r="CG314" s="561">
        <v>0</v>
      </c>
      <c r="CH314" s="561">
        <v>0</v>
      </c>
      <c r="CI314" s="561">
        <v>0</v>
      </c>
      <c r="CJ314" s="561">
        <v>0</v>
      </c>
      <c r="CK314" s="561">
        <v>0</v>
      </c>
      <c r="CL314" s="561">
        <v>0</v>
      </c>
      <c r="CM314" s="561">
        <v>0</v>
      </c>
      <c r="CN314" s="561">
        <v>0</v>
      </c>
      <c r="CO314" s="561">
        <v>0</v>
      </c>
      <c r="CP314" s="561">
        <v>0</v>
      </c>
      <c r="CQ314" s="561">
        <v>0</v>
      </c>
      <c r="CR314" s="561">
        <v>0</v>
      </c>
      <c r="CS314" s="561">
        <v>0</v>
      </c>
      <c r="CT314" s="561">
        <v>0</v>
      </c>
      <c r="CU314" s="561">
        <v>0</v>
      </c>
      <c r="CV314" s="561">
        <v>0</v>
      </c>
      <c r="CW314" s="561">
        <v>0</v>
      </c>
      <c r="CX314" s="561">
        <v>0</v>
      </c>
      <c r="CY314" s="561">
        <v>0</v>
      </c>
      <c r="CZ314" s="561">
        <v>0</v>
      </c>
      <c r="DA314" s="561">
        <v>0</v>
      </c>
      <c r="DB314" s="561">
        <v>0</v>
      </c>
      <c r="DC314" s="561">
        <v>0</v>
      </c>
      <c r="DD314" s="561">
        <v>0</v>
      </c>
      <c r="DE314" s="561">
        <v>0</v>
      </c>
      <c r="DF314" s="561">
        <v>0</v>
      </c>
      <c r="DG314" s="561">
        <v>0</v>
      </c>
      <c r="DH314" s="561">
        <v>0</v>
      </c>
      <c r="DI314" s="561">
        <v>0</v>
      </c>
      <c r="DJ314" s="561">
        <v>0</v>
      </c>
      <c r="DK314" s="561">
        <v>0</v>
      </c>
      <c r="DL314" s="561">
        <v>0</v>
      </c>
      <c r="DM314" s="561">
        <v>0</v>
      </c>
      <c r="DN314" s="561">
        <v>0</v>
      </c>
      <c r="DO314" s="561">
        <v>0</v>
      </c>
      <c r="DP314" s="561">
        <v>0</v>
      </c>
      <c r="DQ314" s="561">
        <v>0</v>
      </c>
      <c r="DR314" s="561">
        <v>0</v>
      </c>
      <c r="DS314" s="561">
        <v>0</v>
      </c>
      <c r="DT314" s="561">
        <v>0</v>
      </c>
      <c r="DU314" s="561">
        <v>0</v>
      </c>
      <c r="DV314" s="561">
        <v>0</v>
      </c>
      <c r="DW314" s="561">
        <v>0</v>
      </c>
      <c r="DX314" s="561">
        <v>0</v>
      </c>
      <c r="DY314" s="561">
        <v>0</v>
      </c>
      <c r="DZ314" s="561">
        <v>0</v>
      </c>
      <c r="EA314" s="561">
        <v>0</v>
      </c>
      <c r="EB314" s="561">
        <v>0</v>
      </c>
      <c r="EC314" s="561">
        <v>0</v>
      </c>
      <c r="ED314" s="561">
        <v>0</v>
      </c>
      <c r="EE314" s="561">
        <v>0</v>
      </c>
      <c r="EF314" s="561">
        <v>0</v>
      </c>
      <c r="EG314" s="561">
        <v>0</v>
      </c>
      <c r="EH314" s="561">
        <v>0</v>
      </c>
      <c r="EI314" s="561">
        <v>0</v>
      </c>
      <c r="EJ314" s="561">
        <v>0</v>
      </c>
      <c r="EK314" s="561">
        <v>0</v>
      </c>
      <c r="EL314" s="561">
        <v>0</v>
      </c>
      <c r="EM314" s="561">
        <v>0</v>
      </c>
      <c r="EN314" s="561">
        <v>0</v>
      </c>
      <c r="EO314" s="561">
        <v>0</v>
      </c>
      <c r="EP314" s="561">
        <v>0</v>
      </c>
      <c r="EQ314" s="561">
        <v>0</v>
      </c>
      <c r="ER314" s="561">
        <v>0</v>
      </c>
      <c r="ES314" s="561" t="s">
        <v>4565</v>
      </c>
      <c r="ET314" s="561">
        <v>0</v>
      </c>
      <c r="EU314" s="561">
        <v>0</v>
      </c>
      <c r="EV314" s="561">
        <v>0</v>
      </c>
      <c r="EW314" s="561">
        <v>0</v>
      </c>
      <c r="EX314" s="561">
        <v>0</v>
      </c>
      <c r="EY314" s="561">
        <v>0</v>
      </c>
      <c r="EZ314" s="561">
        <v>0</v>
      </c>
      <c r="FA314" s="561">
        <v>0</v>
      </c>
      <c r="FB314" s="561">
        <v>0</v>
      </c>
      <c r="FC314" s="561">
        <v>0</v>
      </c>
      <c r="FD314" s="561">
        <v>0</v>
      </c>
      <c r="FE314" s="561">
        <v>0</v>
      </c>
      <c r="FF314" s="561">
        <v>0</v>
      </c>
      <c r="FG314" s="561">
        <v>0</v>
      </c>
      <c r="FH314" s="561">
        <v>0</v>
      </c>
      <c r="FI314" s="561">
        <v>0</v>
      </c>
      <c r="FJ314" s="561">
        <v>0</v>
      </c>
      <c r="FK314" s="561">
        <v>0</v>
      </c>
      <c r="FL314" s="561">
        <v>0</v>
      </c>
      <c r="FM314" s="561">
        <v>0</v>
      </c>
      <c r="FN314" s="561">
        <v>0</v>
      </c>
      <c r="FO314" s="561">
        <v>0</v>
      </c>
      <c r="FP314" s="561">
        <v>0</v>
      </c>
      <c r="FQ314" s="561">
        <v>0</v>
      </c>
      <c r="FR314" s="561">
        <v>0</v>
      </c>
      <c r="FS314" s="561">
        <v>0</v>
      </c>
      <c r="FT314" s="561">
        <v>0</v>
      </c>
      <c r="FU314" s="561">
        <v>0</v>
      </c>
      <c r="FV314" s="561">
        <v>0</v>
      </c>
      <c r="FW314" s="561">
        <v>0</v>
      </c>
      <c r="FX314" s="561">
        <v>0</v>
      </c>
      <c r="FY314" s="561">
        <v>0</v>
      </c>
      <c r="FZ314" s="561">
        <v>0</v>
      </c>
      <c r="GA314" s="561">
        <v>0</v>
      </c>
      <c r="GB314" s="561">
        <v>0</v>
      </c>
      <c r="GC314" s="561">
        <v>0</v>
      </c>
      <c r="GD314" s="561">
        <v>0</v>
      </c>
      <c r="GE314" s="561">
        <v>0</v>
      </c>
      <c r="GF314" s="561">
        <v>0</v>
      </c>
      <c r="GG314" s="561">
        <v>0</v>
      </c>
      <c r="GH314" s="561">
        <v>0</v>
      </c>
      <c r="GI314" s="561">
        <v>0</v>
      </c>
      <c r="GJ314" s="561">
        <v>0</v>
      </c>
      <c r="GK314" s="561">
        <v>0</v>
      </c>
      <c r="GL314" s="561">
        <v>0</v>
      </c>
      <c r="GM314" s="561">
        <v>0</v>
      </c>
      <c r="GN314" s="561">
        <v>0</v>
      </c>
      <c r="GO314" s="561">
        <v>0</v>
      </c>
      <c r="GP314" s="561">
        <v>0</v>
      </c>
      <c r="GQ314" s="561">
        <v>0</v>
      </c>
      <c r="GR314" s="561">
        <v>0</v>
      </c>
      <c r="GS314" s="561">
        <v>0</v>
      </c>
      <c r="GT314" s="561">
        <v>0</v>
      </c>
      <c r="GU314" s="561">
        <v>0</v>
      </c>
      <c r="GV314" s="561">
        <v>0</v>
      </c>
      <c r="GW314" s="561">
        <v>0</v>
      </c>
      <c r="GX314" s="561">
        <v>0</v>
      </c>
      <c r="GY314" s="561">
        <v>0</v>
      </c>
      <c r="GZ314" s="561">
        <v>0</v>
      </c>
      <c r="HA314" s="561">
        <v>0</v>
      </c>
      <c r="HB314" s="561">
        <v>0</v>
      </c>
      <c r="HC314" s="561">
        <v>0</v>
      </c>
      <c r="HD314" s="561">
        <v>0</v>
      </c>
      <c r="HE314" s="561">
        <v>0</v>
      </c>
      <c r="HF314" s="561">
        <v>0</v>
      </c>
      <c r="HG314" s="561">
        <v>0</v>
      </c>
      <c r="HH314" s="561">
        <v>0</v>
      </c>
      <c r="HI314" s="561">
        <v>0</v>
      </c>
      <c r="HJ314" s="561">
        <v>7110.09</v>
      </c>
      <c r="HK314" s="561">
        <v>57527.94</v>
      </c>
      <c r="HL314" s="561">
        <v>0</v>
      </c>
      <c r="HM314" s="561">
        <v>64638.03</v>
      </c>
      <c r="HN314" s="561">
        <v>0</v>
      </c>
      <c r="HO314" s="561">
        <v>793.33</v>
      </c>
      <c r="HP314" s="561">
        <v>0</v>
      </c>
      <c r="HQ314" s="561">
        <v>0</v>
      </c>
      <c r="HR314" s="561">
        <v>0</v>
      </c>
      <c r="HS314" s="561">
        <v>0</v>
      </c>
      <c r="HT314" s="561">
        <v>0</v>
      </c>
      <c r="HU314" s="561">
        <v>0</v>
      </c>
      <c r="HV314" s="561">
        <v>0</v>
      </c>
      <c r="HW314" s="561">
        <v>0</v>
      </c>
      <c r="HX314" s="561">
        <v>0</v>
      </c>
      <c r="HY314" s="561">
        <v>0</v>
      </c>
      <c r="HZ314" s="561">
        <v>0</v>
      </c>
      <c r="IA314" s="561">
        <v>0</v>
      </c>
      <c r="IB314" s="561">
        <v>0</v>
      </c>
      <c r="IC314" s="561">
        <v>0</v>
      </c>
      <c r="ID314" s="561">
        <v>0</v>
      </c>
      <c r="IE314" s="561">
        <v>908</v>
      </c>
      <c r="IF314" s="561">
        <v>0</v>
      </c>
      <c r="IG314" s="561">
        <v>0</v>
      </c>
      <c r="IH314" s="561">
        <v>0</v>
      </c>
      <c r="II314" s="561">
        <v>1701.33</v>
      </c>
      <c r="IJ314" s="561">
        <v>0</v>
      </c>
      <c r="IK314" s="561">
        <v>0</v>
      </c>
      <c r="IL314" s="561">
        <v>0</v>
      </c>
      <c r="IM314" s="561">
        <v>0</v>
      </c>
      <c r="IN314" s="561">
        <v>0</v>
      </c>
      <c r="IO314" s="561">
        <v>0</v>
      </c>
      <c r="IP314" s="561">
        <v>0</v>
      </c>
      <c r="IQ314" s="561">
        <v>0</v>
      </c>
      <c r="IR314" s="561">
        <v>0</v>
      </c>
      <c r="IS314" s="561">
        <v>0</v>
      </c>
      <c r="IT314" s="561">
        <v>0</v>
      </c>
      <c r="IU314" s="561">
        <v>0</v>
      </c>
      <c r="IV314" s="561">
        <v>0</v>
      </c>
      <c r="IW314" s="561">
        <v>0</v>
      </c>
      <c r="IX314" s="561">
        <v>0</v>
      </c>
      <c r="IY314" s="561">
        <v>0</v>
      </c>
      <c r="IZ314" s="561">
        <v>0</v>
      </c>
      <c r="JA314" s="561">
        <v>0</v>
      </c>
      <c r="JB314" s="561">
        <v>64638.03</v>
      </c>
      <c r="JC314" s="561">
        <v>1701.33</v>
      </c>
      <c r="JD314" s="561">
        <v>0</v>
      </c>
      <c r="JE314" s="561">
        <v>66339.360000000001</v>
      </c>
      <c r="JF314" s="561">
        <v>0</v>
      </c>
      <c r="JG314" s="561">
        <v>0</v>
      </c>
      <c r="JH314" s="561">
        <v>0</v>
      </c>
      <c r="JI314" s="561">
        <v>0</v>
      </c>
      <c r="JJ314" s="561">
        <v>0</v>
      </c>
      <c r="JK314" s="561">
        <v>0</v>
      </c>
      <c r="JL314" s="561">
        <v>0</v>
      </c>
      <c r="JM314" s="561">
        <v>0</v>
      </c>
      <c r="JN314" s="561">
        <v>0</v>
      </c>
      <c r="JO314" s="561">
        <v>0</v>
      </c>
      <c r="JP314" s="561">
        <v>0</v>
      </c>
      <c r="JQ314" s="561">
        <v>0</v>
      </c>
      <c r="JR314" s="561">
        <v>0</v>
      </c>
      <c r="JS314" s="561">
        <v>0</v>
      </c>
      <c r="JT314" s="561">
        <v>0</v>
      </c>
      <c r="JU314" s="561">
        <v>0</v>
      </c>
      <c r="JV314" s="561">
        <v>66339.360000000001</v>
      </c>
      <c r="JW314" s="561">
        <v>0</v>
      </c>
      <c r="JX314" s="561">
        <v>3184</v>
      </c>
      <c r="JY314" s="561">
        <v>0</v>
      </c>
      <c r="JZ314" s="561">
        <v>0</v>
      </c>
      <c r="KA314" s="561">
        <v>0</v>
      </c>
      <c r="KB314" s="561">
        <v>0</v>
      </c>
      <c r="KC314" s="561">
        <v>518</v>
      </c>
      <c r="KD314" s="561">
        <v>0</v>
      </c>
      <c r="KE314" s="561">
        <v>1150</v>
      </c>
      <c r="KF314" s="561">
        <v>0</v>
      </c>
      <c r="KG314" s="561">
        <v>71191.360000000001</v>
      </c>
      <c r="KH314" s="561">
        <v>-419</v>
      </c>
      <c r="KI314" s="561">
        <v>0</v>
      </c>
      <c r="KJ314" s="561">
        <v>0</v>
      </c>
      <c r="KK314" s="561">
        <v>0</v>
      </c>
      <c r="KL314" s="561">
        <v>0</v>
      </c>
      <c r="KM314" s="561">
        <v>0</v>
      </c>
      <c r="KN314" s="561">
        <v>0</v>
      </c>
      <c r="KO314" s="561">
        <v>0</v>
      </c>
      <c r="KP314" s="561">
        <v>0</v>
      </c>
      <c r="KQ314" s="561">
        <v>0</v>
      </c>
      <c r="KR314" s="561">
        <v>70772.36</v>
      </c>
      <c r="KS314" s="561">
        <v>0</v>
      </c>
      <c r="KT314" s="561">
        <v>-7793</v>
      </c>
      <c r="KU314" s="561">
        <v>62979.360000000001</v>
      </c>
      <c r="KV314" s="561">
        <v>0</v>
      </c>
      <c r="KW314" s="561">
        <v>0</v>
      </c>
      <c r="KX314" s="561">
        <v>0</v>
      </c>
      <c r="KY314" s="561">
        <v>0</v>
      </c>
      <c r="KZ314" s="561">
        <v>-205</v>
      </c>
      <c r="LA314" s="561">
        <v>0</v>
      </c>
      <c r="LB314" s="561">
        <v>-12992</v>
      </c>
      <c r="LC314" s="561">
        <v>0</v>
      </c>
      <c r="LD314" s="561">
        <v>-17301</v>
      </c>
      <c r="LE314" s="561">
        <v>-623</v>
      </c>
      <c r="LF314" s="561">
        <v>-102</v>
      </c>
      <c r="LG314" s="561">
        <v>31756</v>
      </c>
      <c r="LH314" s="561">
        <v>0</v>
      </c>
      <c r="LI314" s="561">
        <v>0</v>
      </c>
      <c r="LJ314" s="561">
        <v>0</v>
      </c>
      <c r="LK314" s="561">
        <v>0</v>
      </c>
      <c r="LL314" s="561">
        <v>14837</v>
      </c>
      <c r="LM314" s="561">
        <v>5000</v>
      </c>
      <c r="LN314" s="561">
        <v>0</v>
      </c>
      <c r="LO314" s="561">
        <v>0</v>
      </c>
      <c r="LP314" s="561">
        <v>0</v>
      </c>
      <c r="LQ314" s="561">
        <v>0</v>
      </c>
      <c r="LR314" s="561">
        <v>14632</v>
      </c>
      <c r="LS314" s="561">
        <v>5000</v>
      </c>
      <c r="LT314" s="561">
        <v>0</v>
      </c>
      <c r="LU314" s="561">
        <v>3846</v>
      </c>
      <c r="LV314" s="561">
        <v>0</v>
      </c>
      <c r="LW314" s="561">
        <v>773</v>
      </c>
      <c r="LX314" s="561">
        <v>0</v>
      </c>
      <c r="LY314" s="561">
        <v>0</v>
      </c>
      <c r="LZ314" s="561">
        <v>4619</v>
      </c>
      <c r="MA314" s="561">
        <v>0</v>
      </c>
      <c r="MB314" s="561">
        <v>0</v>
      </c>
      <c r="MC314" s="561">
        <v>0</v>
      </c>
      <c r="MD314" s="561">
        <v>0</v>
      </c>
      <c r="ME314" s="561">
        <v>0</v>
      </c>
      <c r="MF314" s="561">
        <v>0</v>
      </c>
      <c r="MG314" s="561">
        <v>0</v>
      </c>
      <c r="MH314" s="561">
        <v>0</v>
      </c>
      <c r="MI314" s="561">
        <v>0</v>
      </c>
      <c r="MJ314" s="561">
        <v>0</v>
      </c>
      <c r="MK314" s="561">
        <v>0</v>
      </c>
      <c r="ML314" s="561">
        <v>0</v>
      </c>
      <c r="MM314" s="561">
        <v>4999</v>
      </c>
      <c r="MN314" s="561">
        <v>9633</v>
      </c>
      <c r="MO314" s="561">
        <v>0</v>
      </c>
      <c r="MP314" s="561">
        <v>0</v>
      </c>
      <c r="MQ314" s="561">
        <v>0</v>
      </c>
      <c r="MR314" s="561">
        <v>0</v>
      </c>
      <c r="MS314" s="561">
        <v>0</v>
      </c>
      <c r="MT314" s="561">
        <v>0</v>
      </c>
      <c r="MU314" s="561">
        <v>0</v>
      </c>
      <c r="MV314" s="561">
        <v>0</v>
      </c>
      <c r="MW314" s="561">
        <v>0</v>
      </c>
      <c r="MX314" s="561">
        <v>0</v>
      </c>
      <c r="MY314" s="561">
        <v>0</v>
      </c>
      <c r="MZ314" s="561">
        <v>0</v>
      </c>
      <c r="NA314" s="561">
        <v>64638.03</v>
      </c>
      <c r="NB314" s="561">
        <v>1701.33</v>
      </c>
      <c r="NC314" s="561">
        <v>0</v>
      </c>
      <c r="ND314" s="561">
        <v>66339.360000000001</v>
      </c>
      <c r="NE314" s="561">
        <v>0</v>
      </c>
      <c r="NF314" s="561">
        <v>0</v>
      </c>
      <c r="NG314" s="561">
        <v>0</v>
      </c>
      <c r="NH314" s="561">
        <v>0</v>
      </c>
      <c r="NI314" s="561">
        <v>0</v>
      </c>
      <c r="NJ314" s="561">
        <v>0</v>
      </c>
      <c r="NK314" s="561">
        <v>0</v>
      </c>
      <c r="NL314" s="561">
        <v>0</v>
      </c>
      <c r="NM314" s="561">
        <v>0</v>
      </c>
      <c r="NN314" s="561">
        <v>0</v>
      </c>
      <c r="NO314" s="561">
        <v>0</v>
      </c>
      <c r="NP314" s="561">
        <v>0</v>
      </c>
      <c r="NQ314" s="561">
        <v>0</v>
      </c>
      <c r="NR314" s="561">
        <v>0</v>
      </c>
      <c r="NS314" s="561">
        <v>0</v>
      </c>
      <c r="NT314" s="561">
        <v>0</v>
      </c>
      <c r="NU314" s="561">
        <v>0</v>
      </c>
      <c r="NV314" s="561">
        <v>0</v>
      </c>
      <c r="NW314" s="561">
        <v>0</v>
      </c>
      <c r="NX314" s="561">
        <v>0</v>
      </c>
      <c r="NY314" s="561">
        <v>0</v>
      </c>
      <c r="NZ314" s="561">
        <v>0</v>
      </c>
      <c r="OA314" s="561">
        <v>0</v>
      </c>
      <c r="OB314" s="561">
        <v>0</v>
      </c>
      <c r="OC314" s="561">
        <v>0</v>
      </c>
      <c r="OD314" s="561">
        <v>0</v>
      </c>
      <c r="OE314" s="561">
        <v>0</v>
      </c>
      <c r="OF314" s="561">
        <v>0</v>
      </c>
      <c r="OG314" s="561">
        <v>0</v>
      </c>
      <c r="OH314" s="561">
        <v>0</v>
      </c>
      <c r="OI314" s="561">
        <v>0</v>
      </c>
      <c r="OJ314" s="561">
        <v>0</v>
      </c>
      <c r="OK314" s="561">
        <v>0</v>
      </c>
      <c r="OL314" s="561">
        <v>0</v>
      </c>
      <c r="OM314" s="561">
        <v>0</v>
      </c>
      <c r="ON314" s="561">
        <v>0</v>
      </c>
      <c r="OO314" s="561">
        <v>0</v>
      </c>
      <c r="OP314" s="561">
        <v>0</v>
      </c>
      <c r="OQ314" s="561">
        <v>0</v>
      </c>
      <c r="OR314" s="561">
        <v>0</v>
      </c>
      <c r="OS314" s="561">
        <v>0</v>
      </c>
      <c r="OT314" s="561">
        <v>0</v>
      </c>
      <c r="OU314" s="561">
        <v>0</v>
      </c>
      <c r="OV314" s="561">
        <v>1767</v>
      </c>
      <c r="OW314" s="561">
        <v>0</v>
      </c>
      <c r="OX314" s="561">
        <v>0</v>
      </c>
      <c r="OY314" s="561">
        <v>0</v>
      </c>
      <c r="OZ314" s="561">
        <v>0</v>
      </c>
      <c r="PA314" s="561">
        <v>0</v>
      </c>
      <c r="PB314" s="561">
        <v>0</v>
      </c>
      <c r="PC314" s="561">
        <v>0</v>
      </c>
      <c r="PD314" s="561">
        <v>0</v>
      </c>
      <c r="PE314" s="561">
        <v>0</v>
      </c>
      <c r="PF314" s="561">
        <v>0</v>
      </c>
      <c r="PG314" s="561">
        <v>0</v>
      </c>
      <c r="PH314" s="561">
        <v>0</v>
      </c>
      <c r="PI314" s="561">
        <v>0</v>
      </c>
      <c r="PJ314" s="561">
        <v>0</v>
      </c>
    </row>
    <row r="315" spans="1:426" ht="14" x14ac:dyDescent="0.3">
      <c r="A315" t="s">
        <v>3388</v>
      </c>
      <c r="B315" t="s">
        <v>3389</v>
      </c>
      <c r="C315" t="s">
        <v>3390</v>
      </c>
      <c r="E315" t="s">
        <v>2466</v>
      </c>
      <c r="F315" s="561">
        <v>0</v>
      </c>
      <c r="G315" s="561">
        <v>0</v>
      </c>
      <c r="H315" s="561">
        <v>0</v>
      </c>
      <c r="I315" s="561">
        <v>0</v>
      </c>
      <c r="J315" s="561">
        <v>43846</v>
      </c>
      <c r="K315" s="561">
        <v>10507</v>
      </c>
      <c r="L315" s="561">
        <v>54353</v>
      </c>
      <c r="M315" s="561">
        <v>0</v>
      </c>
      <c r="N315" s="561">
        <v>0</v>
      </c>
      <c r="O315" s="561">
        <v>4995</v>
      </c>
      <c r="P315" s="561">
        <v>0</v>
      </c>
      <c r="Q315" s="561">
        <v>0</v>
      </c>
      <c r="R315" s="561">
        <v>0</v>
      </c>
      <c r="S315" s="561">
        <v>0</v>
      </c>
      <c r="T315" s="561">
        <v>0</v>
      </c>
      <c r="U315" s="561">
        <v>0</v>
      </c>
      <c r="V315" s="561">
        <v>0</v>
      </c>
      <c r="W315" s="561">
        <v>0</v>
      </c>
      <c r="X315" s="561">
        <v>0</v>
      </c>
      <c r="Y315" s="561">
        <v>0</v>
      </c>
      <c r="Z315" s="561">
        <v>0</v>
      </c>
      <c r="AA315" s="561">
        <v>0</v>
      </c>
      <c r="AB315" s="561">
        <v>0</v>
      </c>
      <c r="AC315" s="561">
        <v>19335</v>
      </c>
      <c r="AD315" s="561">
        <v>4595</v>
      </c>
      <c r="AE315" s="561">
        <v>0</v>
      </c>
      <c r="AF315" s="561">
        <v>0</v>
      </c>
      <c r="AG315" s="561">
        <v>21189</v>
      </c>
      <c r="AH315" s="561">
        <v>11989</v>
      </c>
      <c r="AI315" s="561">
        <v>0</v>
      </c>
      <c r="AJ315" s="561">
        <v>62103</v>
      </c>
      <c r="AK315" s="561">
        <v>0</v>
      </c>
      <c r="AL315" s="561">
        <v>0</v>
      </c>
      <c r="AM315" s="561">
        <v>0</v>
      </c>
      <c r="AN315" s="561">
        <v>0</v>
      </c>
      <c r="AO315" s="561">
        <v>0</v>
      </c>
      <c r="AP315" s="561">
        <v>0</v>
      </c>
      <c r="AQ315" s="561">
        <v>0</v>
      </c>
      <c r="AR315" s="561">
        <v>0</v>
      </c>
      <c r="AS315" s="561">
        <v>0</v>
      </c>
      <c r="AT315" s="561">
        <v>0</v>
      </c>
      <c r="AU315" s="561">
        <v>0</v>
      </c>
      <c r="AV315" s="561">
        <v>0</v>
      </c>
      <c r="AW315" s="561">
        <v>0</v>
      </c>
      <c r="AX315" s="561">
        <v>0</v>
      </c>
      <c r="AY315" s="561">
        <v>0</v>
      </c>
      <c r="AZ315" s="561">
        <v>0</v>
      </c>
      <c r="BA315" s="561">
        <v>0</v>
      </c>
      <c r="BB315" s="561">
        <v>0</v>
      </c>
      <c r="BC315" s="561">
        <v>0</v>
      </c>
      <c r="BD315" s="561">
        <v>0</v>
      </c>
      <c r="BE315" s="561">
        <v>0</v>
      </c>
      <c r="BF315" s="561">
        <v>0</v>
      </c>
      <c r="BG315" s="561">
        <v>0</v>
      </c>
      <c r="BH315" s="561">
        <v>0</v>
      </c>
      <c r="BI315" s="561">
        <v>0</v>
      </c>
      <c r="BJ315" s="561">
        <v>0</v>
      </c>
      <c r="BK315" s="561">
        <v>0</v>
      </c>
      <c r="BL315" s="561">
        <v>0</v>
      </c>
      <c r="BM315" s="561">
        <v>0</v>
      </c>
      <c r="BN315" s="561">
        <v>0</v>
      </c>
      <c r="BO315" s="561">
        <v>0</v>
      </c>
      <c r="BP315" s="561">
        <v>0</v>
      </c>
      <c r="BQ315" s="561">
        <v>0</v>
      </c>
      <c r="BR315" s="561">
        <v>0</v>
      </c>
      <c r="BS315" s="561">
        <v>0</v>
      </c>
      <c r="BT315" s="561">
        <v>0</v>
      </c>
      <c r="BU315" s="561">
        <v>0</v>
      </c>
      <c r="BV315" s="561">
        <v>0</v>
      </c>
      <c r="BW315" s="561">
        <v>0</v>
      </c>
      <c r="BX315" s="561">
        <v>0</v>
      </c>
      <c r="BY315" s="561">
        <v>0</v>
      </c>
      <c r="BZ315" s="561">
        <v>0</v>
      </c>
      <c r="CA315" s="561">
        <v>0</v>
      </c>
      <c r="CB315" s="561">
        <v>0</v>
      </c>
      <c r="CC315" s="561">
        <v>0</v>
      </c>
      <c r="CD315" s="561">
        <v>0</v>
      </c>
      <c r="CE315" s="561">
        <v>0</v>
      </c>
      <c r="CF315" s="561">
        <v>0</v>
      </c>
      <c r="CG315" s="561">
        <v>0</v>
      </c>
      <c r="CH315" s="561">
        <v>0</v>
      </c>
      <c r="CI315" s="561">
        <v>0</v>
      </c>
      <c r="CJ315" s="561">
        <v>0</v>
      </c>
      <c r="CK315" s="561">
        <v>323</v>
      </c>
      <c r="CL315" s="561">
        <v>0</v>
      </c>
      <c r="CM315" s="561">
        <v>0</v>
      </c>
      <c r="CN315" s="561">
        <v>0</v>
      </c>
      <c r="CO315" s="561">
        <v>0</v>
      </c>
      <c r="CP315" s="561">
        <v>0</v>
      </c>
      <c r="CQ315" s="561">
        <v>0</v>
      </c>
      <c r="CR315" s="561">
        <v>0</v>
      </c>
      <c r="CS315" s="561">
        <v>0</v>
      </c>
      <c r="CT315" s="561">
        <v>0</v>
      </c>
      <c r="CU315" s="561">
        <v>0</v>
      </c>
      <c r="CV315" s="561">
        <v>0</v>
      </c>
      <c r="CW315" s="561">
        <v>0</v>
      </c>
      <c r="CX315" s="561">
        <v>0</v>
      </c>
      <c r="CY315" s="561">
        <v>0</v>
      </c>
      <c r="CZ315" s="561">
        <v>323</v>
      </c>
      <c r="DA315" s="561">
        <v>0</v>
      </c>
      <c r="DB315" s="561">
        <v>0</v>
      </c>
      <c r="DC315" s="561">
        <v>0</v>
      </c>
      <c r="DD315" s="561">
        <v>0</v>
      </c>
      <c r="DE315" s="561">
        <v>0</v>
      </c>
      <c r="DF315" s="561">
        <v>0</v>
      </c>
      <c r="DG315" s="561">
        <v>0</v>
      </c>
      <c r="DH315" s="561">
        <v>92</v>
      </c>
      <c r="DI315" s="561">
        <v>0</v>
      </c>
      <c r="DJ315" s="561">
        <v>0</v>
      </c>
      <c r="DK315" s="561">
        <v>0</v>
      </c>
      <c r="DL315" s="561">
        <v>0</v>
      </c>
      <c r="DM315" s="561">
        <v>0</v>
      </c>
      <c r="DN315" s="561">
        <v>0</v>
      </c>
      <c r="DO315" s="561">
        <v>0</v>
      </c>
      <c r="DP315" s="561">
        <v>0</v>
      </c>
      <c r="DQ315" s="561">
        <v>0</v>
      </c>
      <c r="DR315" s="561">
        <v>0</v>
      </c>
      <c r="DS315" s="561">
        <v>0</v>
      </c>
      <c r="DT315" s="561">
        <v>0</v>
      </c>
      <c r="DU315" s="561">
        <v>0</v>
      </c>
      <c r="DV315" s="561">
        <v>0</v>
      </c>
      <c r="DW315" s="561">
        <v>0</v>
      </c>
      <c r="DX315" s="561">
        <v>0</v>
      </c>
      <c r="DY315" s="561">
        <v>0</v>
      </c>
      <c r="DZ315" s="561">
        <v>0</v>
      </c>
      <c r="EA315" s="561">
        <v>0</v>
      </c>
      <c r="EB315" s="561">
        <v>0</v>
      </c>
      <c r="EC315" s="561">
        <v>92</v>
      </c>
      <c r="ED315" s="561">
        <v>0</v>
      </c>
      <c r="EE315" s="561">
        <v>0</v>
      </c>
      <c r="EF315" s="561">
        <v>0</v>
      </c>
      <c r="EG315" s="561">
        <v>0</v>
      </c>
      <c r="EH315" s="561">
        <v>0</v>
      </c>
      <c r="EI315" s="561">
        <v>0</v>
      </c>
      <c r="EJ315" s="561">
        <v>0</v>
      </c>
      <c r="EK315" s="561">
        <v>0</v>
      </c>
      <c r="EL315" s="561">
        <v>0</v>
      </c>
      <c r="EM315" s="561">
        <v>0</v>
      </c>
      <c r="EN315" s="561">
        <v>0</v>
      </c>
      <c r="EO315" s="561">
        <v>0</v>
      </c>
      <c r="EP315" s="561">
        <v>0</v>
      </c>
      <c r="EQ315" s="561">
        <v>0</v>
      </c>
      <c r="ER315" s="561">
        <v>0</v>
      </c>
      <c r="ES315" s="561" t="s">
        <v>4565</v>
      </c>
      <c r="ET315" s="561">
        <v>0</v>
      </c>
      <c r="EU315" s="561">
        <v>0</v>
      </c>
      <c r="EV315" s="561">
        <v>0</v>
      </c>
      <c r="EW315" s="561">
        <v>0</v>
      </c>
      <c r="EX315" s="561">
        <v>0</v>
      </c>
      <c r="EY315" s="561">
        <v>0</v>
      </c>
      <c r="EZ315" s="561">
        <v>0</v>
      </c>
      <c r="FA315" s="561">
        <v>0</v>
      </c>
      <c r="FB315" s="561">
        <v>0</v>
      </c>
      <c r="FC315" s="561">
        <v>1309</v>
      </c>
      <c r="FD315" s="561">
        <v>445</v>
      </c>
      <c r="FE315" s="561">
        <v>0</v>
      </c>
      <c r="FF315" s="561">
        <v>0</v>
      </c>
      <c r="FG315" s="561">
        <v>0</v>
      </c>
      <c r="FH315" s="561">
        <v>0</v>
      </c>
      <c r="FI315" s="561">
        <v>0</v>
      </c>
      <c r="FJ315" s="561">
        <v>0</v>
      </c>
      <c r="FK315" s="561">
        <v>0</v>
      </c>
      <c r="FL315" s="561">
        <v>0</v>
      </c>
      <c r="FM315" s="561">
        <v>0</v>
      </c>
      <c r="FN315" s="561">
        <v>0</v>
      </c>
      <c r="FO315" s="561">
        <v>1754</v>
      </c>
      <c r="FP315" s="561">
        <v>0</v>
      </c>
      <c r="FQ315" s="561">
        <v>0</v>
      </c>
      <c r="FR315" s="561">
        <v>0</v>
      </c>
      <c r="FS315" s="561">
        <v>0</v>
      </c>
      <c r="FT315" s="561">
        <v>0</v>
      </c>
      <c r="FU315" s="561">
        <v>0</v>
      </c>
      <c r="FV315" s="561">
        <v>0</v>
      </c>
      <c r="FW315" s="561">
        <v>0</v>
      </c>
      <c r="FX315" s="561">
        <v>0</v>
      </c>
      <c r="FY315" s="561">
        <v>0</v>
      </c>
      <c r="FZ315" s="561">
        <v>0</v>
      </c>
      <c r="GA315" s="561">
        <v>0</v>
      </c>
      <c r="GB315" s="561">
        <v>0</v>
      </c>
      <c r="GC315" s="561">
        <v>0</v>
      </c>
      <c r="GD315" s="561">
        <v>0</v>
      </c>
      <c r="GE315" s="561">
        <v>785</v>
      </c>
      <c r="GF315" s="561">
        <v>0</v>
      </c>
      <c r="GG315" s="561">
        <v>0</v>
      </c>
      <c r="GH315" s="561">
        <v>0</v>
      </c>
      <c r="GI315" s="561">
        <v>0</v>
      </c>
      <c r="GJ315" s="561">
        <v>0</v>
      </c>
      <c r="GK315" s="561">
        <v>0</v>
      </c>
      <c r="GL315" s="561">
        <v>0</v>
      </c>
      <c r="GM315" s="561">
        <v>0</v>
      </c>
      <c r="GN315" s="561">
        <v>0</v>
      </c>
      <c r="GO315" s="561">
        <v>0</v>
      </c>
      <c r="GP315" s="561">
        <v>0</v>
      </c>
      <c r="GQ315" s="561">
        <v>0</v>
      </c>
      <c r="GR315" s="561">
        <v>0</v>
      </c>
      <c r="GS315" s="561">
        <v>785</v>
      </c>
      <c r="GT315" s="561">
        <v>0</v>
      </c>
      <c r="GU315" s="561">
        <v>0</v>
      </c>
      <c r="GV315" s="561">
        <v>0</v>
      </c>
      <c r="GW315" s="561">
        <v>0</v>
      </c>
      <c r="GX315" s="561">
        <v>424</v>
      </c>
      <c r="GY315" s="561">
        <v>764</v>
      </c>
      <c r="GZ315" s="561">
        <v>3123</v>
      </c>
      <c r="HA315" s="561">
        <v>0</v>
      </c>
      <c r="HB315" s="561">
        <v>1990</v>
      </c>
      <c r="HC315" s="561">
        <v>19276</v>
      </c>
      <c r="HD315" s="561">
        <v>25577</v>
      </c>
      <c r="HE315" s="561">
        <v>0</v>
      </c>
      <c r="HF315" s="561">
        <v>28116</v>
      </c>
      <c r="HG315" s="561">
        <v>0</v>
      </c>
      <c r="HH315" s="561">
        <v>0</v>
      </c>
      <c r="HI315" s="561">
        <v>0</v>
      </c>
      <c r="HJ315" s="561">
        <v>0</v>
      </c>
      <c r="HK315" s="561">
        <v>0</v>
      </c>
      <c r="HL315" s="561">
        <v>0</v>
      </c>
      <c r="HM315" s="561">
        <v>0</v>
      </c>
      <c r="HN315" s="561">
        <v>0</v>
      </c>
      <c r="HO315" s="561">
        <v>15000</v>
      </c>
      <c r="HP315" s="561">
        <v>0</v>
      </c>
      <c r="HQ315" s="561">
        <v>0</v>
      </c>
      <c r="HR315" s="561">
        <v>0</v>
      </c>
      <c r="HS315" s="561">
        <v>0</v>
      </c>
      <c r="HT315" s="561">
        <v>0</v>
      </c>
      <c r="HU315" s="561">
        <v>0</v>
      </c>
      <c r="HV315" s="561">
        <v>0</v>
      </c>
      <c r="HW315" s="561">
        <v>0</v>
      </c>
      <c r="HX315" s="561">
        <v>0</v>
      </c>
      <c r="HY315" s="561">
        <v>0</v>
      </c>
      <c r="HZ315" s="561">
        <v>0</v>
      </c>
      <c r="IA315" s="561">
        <v>0</v>
      </c>
      <c r="IB315" s="561">
        <v>0</v>
      </c>
      <c r="IC315" s="561">
        <v>0</v>
      </c>
      <c r="ID315" s="561">
        <v>0</v>
      </c>
      <c r="IE315" s="561">
        <v>0</v>
      </c>
      <c r="IF315" s="561">
        <v>0</v>
      </c>
      <c r="IG315" s="561">
        <v>0</v>
      </c>
      <c r="IH315" s="561">
        <v>0</v>
      </c>
      <c r="II315" s="561">
        <v>15000</v>
      </c>
      <c r="IJ315" s="561">
        <v>0</v>
      </c>
      <c r="IK315" s="561">
        <v>0</v>
      </c>
      <c r="IL315" s="561">
        <v>0</v>
      </c>
      <c r="IM315" s="561">
        <v>0</v>
      </c>
      <c r="IN315" s="561">
        <v>0</v>
      </c>
      <c r="IO315" s="561">
        <v>0</v>
      </c>
      <c r="IP315" s="561">
        <v>0</v>
      </c>
      <c r="IQ315" s="561">
        <v>0</v>
      </c>
      <c r="IR315" s="561">
        <v>54353</v>
      </c>
      <c r="IS315" s="561">
        <v>62103</v>
      </c>
      <c r="IT315" s="561">
        <v>0</v>
      </c>
      <c r="IU315" s="561">
        <v>0</v>
      </c>
      <c r="IV315" s="561">
        <v>323</v>
      </c>
      <c r="IW315" s="561">
        <v>92</v>
      </c>
      <c r="IX315" s="561">
        <v>1754</v>
      </c>
      <c r="IY315" s="561">
        <v>785</v>
      </c>
      <c r="IZ315" s="561">
        <v>25577</v>
      </c>
      <c r="JA315" s="561">
        <v>0</v>
      </c>
      <c r="JB315" s="561">
        <v>0</v>
      </c>
      <c r="JC315" s="561">
        <v>15000</v>
      </c>
      <c r="JD315" s="561">
        <v>0</v>
      </c>
      <c r="JE315" s="561">
        <v>159987</v>
      </c>
      <c r="JF315" s="561">
        <v>0</v>
      </c>
      <c r="JG315" s="561">
        <v>0</v>
      </c>
      <c r="JH315" s="561">
        <v>0</v>
      </c>
      <c r="JI315" s="561">
        <v>0</v>
      </c>
      <c r="JJ315" s="561">
        <v>0</v>
      </c>
      <c r="JK315" s="561">
        <v>0</v>
      </c>
      <c r="JL315" s="561">
        <v>-56561</v>
      </c>
      <c r="JM315" s="561">
        <v>0</v>
      </c>
      <c r="JN315" s="561">
        <v>0</v>
      </c>
      <c r="JO315" s="561">
        <v>-1191</v>
      </c>
      <c r="JP315" s="561">
        <v>0</v>
      </c>
      <c r="JQ315" s="561">
        <v>0</v>
      </c>
      <c r="JR315" s="561">
        <v>0</v>
      </c>
      <c r="JS315" s="561">
        <v>0</v>
      </c>
      <c r="JT315" s="561">
        <v>0</v>
      </c>
      <c r="JU315" s="561">
        <v>0</v>
      </c>
      <c r="JV315" s="561">
        <v>102235</v>
      </c>
      <c r="JW315" s="561">
        <v>0</v>
      </c>
      <c r="JX315" s="561">
        <v>0</v>
      </c>
      <c r="JY315" s="561">
        <v>0</v>
      </c>
      <c r="JZ315" s="561">
        <v>0</v>
      </c>
      <c r="KA315" s="561">
        <v>0</v>
      </c>
      <c r="KB315" s="561">
        <v>896</v>
      </c>
      <c r="KC315" s="561">
        <v>3838</v>
      </c>
      <c r="KD315" s="561">
        <v>0</v>
      </c>
      <c r="KE315" s="561">
        <v>2497</v>
      </c>
      <c r="KF315" s="561">
        <v>0</v>
      </c>
      <c r="KG315" s="561">
        <v>109466</v>
      </c>
      <c r="KH315" s="561">
        <v>-23374</v>
      </c>
      <c r="KI315" s="561">
        <v>0</v>
      </c>
      <c r="KJ315" s="561">
        <v>0</v>
      </c>
      <c r="KK315" s="561">
        <v>0</v>
      </c>
      <c r="KL315" s="561">
        <v>-44134</v>
      </c>
      <c r="KM315" s="561">
        <v>0</v>
      </c>
      <c r="KN315" s="561">
        <v>0</v>
      </c>
      <c r="KO315" s="561">
        <v>0</v>
      </c>
      <c r="KP315" s="561">
        <v>0</v>
      </c>
      <c r="KQ315" s="561">
        <v>0</v>
      </c>
      <c r="KR315" s="561">
        <v>41958</v>
      </c>
      <c r="KS315" s="561">
        <v>0</v>
      </c>
      <c r="KT315" s="561">
        <v>-60319.74</v>
      </c>
      <c r="KU315" s="561">
        <v>-18361.740000000002</v>
      </c>
      <c r="KV315" s="561">
        <v>0</v>
      </c>
      <c r="KW315" s="561">
        <v>0</v>
      </c>
      <c r="KX315" s="561">
        <v>0</v>
      </c>
      <c r="KY315" s="561">
        <v>0</v>
      </c>
      <c r="KZ315" s="561">
        <v>21337</v>
      </c>
      <c r="LA315" s="561">
        <v>0</v>
      </c>
      <c r="LB315" s="561">
        <v>0</v>
      </c>
      <c r="LC315" s="561">
        <v>0</v>
      </c>
      <c r="LD315" s="561">
        <v>-2975</v>
      </c>
      <c r="LE315" s="561">
        <v>0</v>
      </c>
      <c r="LF315" s="561">
        <v>0</v>
      </c>
      <c r="LG315" s="561">
        <v>0</v>
      </c>
      <c r="LH315" s="561">
        <v>0</v>
      </c>
      <c r="LI315" s="561">
        <v>0</v>
      </c>
      <c r="LJ315" s="561">
        <v>0</v>
      </c>
      <c r="LK315" s="561">
        <v>0</v>
      </c>
      <c r="LL315" s="561">
        <v>108272</v>
      </c>
      <c r="LM315" s="561">
        <v>5002</v>
      </c>
      <c r="LN315" s="561">
        <v>0</v>
      </c>
      <c r="LO315" s="561">
        <v>0</v>
      </c>
      <c r="LP315" s="561">
        <v>0</v>
      </c>
      <c r="LQ315" s="561">
        <v>0</v>
      </c>
      <c r="LR315" s="561">
        <v>129609</v>
      </c>
      <c r="LS315" s="561">
        <v>5002</v>
      </c>
      <c r="LT315" s="561">
        <v>0</v>
      </c>
      <c r="LU315" s="561">
        <v>6457</v>
      </c>
      <c r="LV315" s="561">
        <v>3431</v>
      </c>
      <c r="LW315" s="561">
        <v>-830</v>
      </c>
      <c r="LX315" s="561">
        <v>-137098</v>
      </c>
      <c r="LY315" s="561">
        <v>127038</v>
      </c>
      <c r="LZ315" s="561">
        <v>3489</v>
      </c>
      <c r="MA315" s="561">
        <v>0</v>
      </c>
      <c r="MB315" s="561">
        <v>0</v>
      </c>
      <c r="MC315" s="561">
        <v>0</v>
      </c>
      <c r="MD315" s="561">
        <v>0</v>
      </c>
      <c r="ME315" s="561">
        <v>0</v>
      </c>
      <c r="MF315" s="561">
        <v>0</v>
      </c>
      <c r="MG315" s="561">
        <v>0</v>
      </c>
      <c r="MH315" s="561">
        <v>0</v>
      </c>
      <c r="MI315" s="561">
        <v>0</v>
      </c>
      <c r="MJ315" s="561">
        <v>0</v>
      </c>
      <c r="MK315" s="561">
        <v>0</v>
      </c>
      <c r="ML315" s="561">
        <v>13324</v>
      </c>
      <c r="MM315" s="561">
        <v>65730</v>
      </c>
      <c r="MN315" s="561">
        <v>16802</v>
      </c>
      <c r="MO315" s="561">
        <v>33753</v>
      </c>
      <c r="MP315" s="561">
        <v>0</v>
      </c>
      <c r="MQ315" s="561">
        <v>54353</v>
      </c>
      <c r="MR315" s="561">
        <v>62103</v>
      </c>
      <c r="MS315" s="561">
        <v>0</v>
      </c>
      <c r="MT315" s="561">
        <v>0</v>
      </c>
      <c r="MU315" s="561">
        <v>323</v>
      </c>
      <c r="MV315" s="561">
        <v>92</v>
      </c>
      <c r="MW315" s="561">
        <v>1754</v>
      </c>
      <c r="MX315" s="561">
        <v>785</v>
      </c>
      <c r="MY315" s="561">
        <v>25577</v>
      </c>
      <c r="MZ315" s="561">
        <v>0</v>
      </c>
      <c r="NA315" s="561">
        <v>0</v>
      </c>
      <c r="NB315" s="561">
        <v>15000</v>
      </c>
      <c r="NC315" s="561">
        <v>0</v>
      </c>
      <c r="ND315" s="561">
        <v>159987</v>
      </c>
      <c r="NE315" s="561">
        <v>0</v>
      </c>
      <c r="NF315" s="561">
        <v>0</v>
      </c>
      <c r="NG315" s="561">
        <v>0</v>
      </c>
      <c r="NH315" s="561">
        <v>0</v>
      </c>
      <c r="NI315" s="561">
        <v>0</v>
      </c>
      <c r="NJ315" s="561">
        <v>0</v>
      </c>
      <c r="NK315" s="561">
        <v>0</v>
      </c>
      <c r="NL315" s="561">
        <v>0</v>
      </c>
      <c r="NM315" s="561">
        <v>0</v>
      </c>
      <c r="NN315" s="561">
        <v>0</v>
      </c>
      <c r="NO315" s="561">
        <v>0</v>
      </c>
      <c r="NP315" s="561">
        <v>0</v>
      </c>
      <c r="NQ315" s="561">
        <v>0</v>
      </c>
      <c r="NR315" s="561">
        <v>0</v>
      </c>
      <c r="NS315" s="561">
        <v>0</v>
      </c>
      <c r="NT315" s="561">
        <v>0</v>
      </c>
      <c r="NU315" s="561">
        <v>0</v>
      </c>
      <c r="NV315" s="561">
        <v>0</v>
      </c>
      <c r="NW315" s="561">
        <v>0</v>
      </c>
      <c r="NX315" s="561">
        <v>0</v>
      </c>
      <c r="NY315" s="561">
        <v>0</v>
      </c>
      <c r="NZ315" s="561">
        <v>0</v>
      </c>
      <c r="OA315" s="561">
        <v>0</v>
      </c>
      <c r="OB315" s="561">
        <v>0</v>
      </c>
      <c r="OC315" s="561">
        <v>0</v>
      </c>
      <c r="OD315" s="561">
        <v>0</v>
      </c>
      <c r="OE315" s="561">
        <v>0</v>
      </c>
      <c r="OF315" s="561">
        <v>0</v>
      </c>
      <c r="OG315" s="561">
        <v>0</v>
      </c>
      <c r="OH315" s="561">
        <v>0</v>
      </c>
      <c r="OI315" s="561">
        <v>0</v>
      </c>
      <c r="OJ315" s="561">
        <v>0</v>
      </c>
      <c r="OK315" s="561">
        <v>0</v>
      </c>
      <c r="OL315" s="561">
        <v>0</v>
      </c>
      <c r="OM315" s="561">
        <v>0</v>
      </c>
      <c r="ON315" s="561">
        <v>0</v>
      </c>
      <c r="OO315" s="561">
        <v>0</v>
      </c>
      <c r="OP315" s="561">
        <v>0</v>
      </c>
      <c r="OQ315" s="561">
        <v>0</v>
      </c>
      <c r="OR315" s="561">
        <v>0</v>
      </c>
      <c r="OS315" s="561">
        <v>0</v>
      </c>
      <c r="OT315" s="561">
        <v>0</v>
      </c>
      <c r="OU315" s="561">
        <v>0</v>
      </c>
      <c r="OV315" s="561">
        <v>0</v>
      </c>
      <c r="OW315" s="561">
        <v>0</v>
      </c>
      <c r="OX315" s="561">
        <v>0</v>
      </c>
      <c r="OY315" s="561">
        <v>0</v>
      </c>
      <c r="OZ315" s="561">
        <v>0</v>
      </c>
      <c r="PA315" s="561">
        <v>0</v>
      </c>
      <c r="PB315" s="561">
        <v>0</v>
      </c>
      <c r="PC315" s="561">
        <v>0</v>
      </c>
      <c r="PD315" s="561">
        <v>0</v>
      </c>
      <c r="PE315" s="561">
        <v>0</v>
      </c>
      <c r="PF315" s="561">
        <v>0</v>
      </c>
      <c r="PG315" s="561">
        <v>0</v>
      </c>
      <c r="PH315" s="561">
        <v>0</v>
      </c>
      <c r="PI315" s="561">
        <v>0</v>
      </c>
      <c r="PJ315" s="561">
        <v>0</v>
      </c>
    </row>
    <row r="316" spans="1:426" ht="14" x14ac:dyDescent="0.3">
      <c r="A316" t="s">
        <v>3391</v>
      </c>
      <c r="B316" t="s">
        <v>3392</v>
      </c>
      <c r="C316" t="s">
        <v>3393</v>
      </c>
      <c r="E316" t="s">
        <v>2466</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0</v>
      </c>
      <c r="W316" s="561">
        <v>0</v>
      </c>
      <c r="X316" s="561">
        <v>0</v>
      </c>
      <c r="Y316" s="561">
        <v>0</v>
      </c>
      <c r="Z316" s="561">
        <v>0</v>
      </c>
      <c r="AA316" s="561">
        <v>0</v>
      </c>
      <c r="AB316" s="561">
        <v>0</v>
      </c>
      <c r="AC316" s="561">
        <v>0</v>
      </c>
      <c r="AD316" s="561">
        <v>0</v>
      </c>
      <c r="AE316" s="561">
        <v>0</v>
      </c>
      <c r="AF316" s="561">
        <v>0</v>
      </c>
      <c r="AG316" s="561">
        <v>0</v>
      </c>
      <c r="AH316" s="561">
        <v>0</v>
      </c>
      <c r="AI316" s="561">
        <v>0</v>
      </c>
      <c r="AJ316" s="561">
        <v>0</v>
      </c>
      <c r="AK316" s="561">
        <v>0</v>
      </c>
      <c r="AL316" s="561">
        <v>0</v>
      </c>
      <c r="AM316" s="561">
        <v>0</v>
      </c>
      <c r="AN316" s="561">
        <v>0</v>
      </c>
      <c r="AO316" s="561">
        <v>0</v>
      </c>
      <c r="AP316" s="561">
        <v>0</v>
      </c>
      <c r="AQ316" s="561">
        <v>0</v>
      </c>
      <c r="AR316" s="561">
        <v>0</v>
      </c>
      <c r="AS316" s="561">
        <v>0</v>
      </c>
      <c r="AT316" s="561">
        <v>0</v>
      </c>
      <c r="AU316" s="561">
        <v>0</v>
      </c>
      <c r="AV316" s="561">
        <v>0</v>
      </c>
      <c r="AW316" s="561">
        <v>0</v>
      </c>
      <c r="AX316" s="561">
        <v>0</v>
      </c>
      <c r="AY316" s="561">
        <v>0</v>
      </c>
      <c r="AZ316" s="561">
        <v>0</v>
      </c>
      <c r="BA316" s="561">
        <v>0</v>
      </c>
      <c r="BB316" s="561">
        <v>0</v>
      </c>
      <c r="BC316" s="561">
        <v>0</v>
      </c>
      <c r="BD316" s="561">
        <v>0</v>
      </c>
      <c r="BE316" s="561">
        <v>0</v>
      </c>
      <c r="BF316" s="561">
        <v>0</v>
      </c>
      <c r="BG316" s="561">
        <v>0</v>
      </c>
      <c r="BH316" s="561">
        <v>0</v>
      </c>
      <c r="BI316" s="561">
        <v>0</v>
      </c>
      <c r="BJ316" s="561">
        <v>0</v>
      </c>
      <c r="BK316" s="561">
        <v>0</v>
      </c>
      <c r="BL316" s="561">
        <v>0</v>
      </c>
      <c r="BM316" s="561">
        <v>0</v>
      </c>
      <c r="BN316" s="561">
        <v>0</v>
      </c>
      <c r="BO316" s="561">
        <v>0</v>
      </c>
      <c r="BP316" s="561">
        <v>0</v>
      </c>
      <c r="BQ316" s="561">
        <v>0</v>
      </c>
      <c r="BR316" s="561">
        <v>0</v>
      </c>
      <c r="BS316" s="561">
        <v>0</v>
      </c>
      <c r="BT316" s="561">
        <v>0</v>
      </c>
      <c r="BU316" s="561">
        <v>0</v>
      </c>
      <c r="BV316" s="561">
        <v>0</v>
      </c>
      <c r="BW316" s="561">
        <v>0</v>
      </c>
      <c r="BX316" s="561">
        <v>0</v>
      </c>
      <c r="BY316" s="561">
        <v>0</v>
      </c>
      <c r="BZ316" s="561">
        <v>0</v>
      </c>
      <c r="CA316" s="561">
        <v>0</v>
      </c>
      <c r="CB316" s="561">
        <v>0</v>
      </c>
      <c r="CC316" s="561">
        <v>0</v>
      </c>
      <c r="CD316" s="561">
        <v>0</v>
      </c>
      <c r="CE316" s="561">
        <v>0</v>
      </c>
      <c r="CF316" s="561">
        <v>0</v>
      </c>
      <c r="CG316" s="561">
        <v>0</v>
      </c>
      <c r="CH316" s="561">
        <v>0</v>
      </c>
      <c r="CI316" s="561">
        <v>0</v>
      </c>
      <c r="CJ316" s="561">
        <v>0</v>
      </c>
      <c r="CK316" s="561">
        <v>0</v>
      </c>
      <c r="CL316" s="561">
        <v>0</v>
      </c>
      <c r="CM316" s="561">
        <v>0</v>
      </c>
      <c r="CN316" s="561">
        <v>0</v>
      </c>
      <c r="CO316" s="561">
        <v>0</v>
      </c>
      <c r="CP316" s="561">
        <v>0</v>
      </c>
      <c r="CQ316" s="561">
        <v>0</v>
      </c>
      <c r="CR316" s="561">
        <v>0</v>
      </c>
      <c r="CS316" s="561">
        <v>0</v>
      </c>
      <c r="CT316" s="561">
        <v>0</v>
      </c>
      <c r="CU316" s="561">
        <v>0</v>
      </c>
      <c r="CV316" s="561">
        <v>0</v>
      </c>
      <c r="CW316" s="561">
        <v>0</v>
      </c>
      <c r="CX316" s="561">
        <v>0</v>
      </c>
      <c r="CY316" s="561">
        <v>0</v>
      </c>
      <c r="CZ316" s="561">
        <v>0</v>
      </c>
      <c r="DA316" s="561">
        <v>0</v>
      </c>
      <c r="DB316" s="561">
        <v>0</v>
      </c>
      <c r="DC316" s="561">
        <v>0</v>
      </c>
      <c r="DD316" s="561">
        <v>0</v>
      </c>
      <c r="DE316" s="561">
        <v>0</v>
      </c>
      <c r="DF316" s="561">
        <v>0</v>
      </c>
      <c r="DG316" s="561">
        <v>0</v>
      </c>
      <c r="DH316" s="561">
        <v>0</v>
      </c>
      <c r="DI316" s="561">
        <v>0</v>
      </c>
      <c r="DJ316" s="561">
        <v>0</v>
      </c>
      <c r="DK316" s="561">
        <v>0</v>
      </c>
      <c r="DL316" s="561">
        <v>0</v>
      </c>
      <c r="DM316" s="561">
        <v>0</v>
      </c>
      <c r="DN316" s="561">
        <v>0</v>
      </c>
      <c r="DO316" s="561">
        <v>0</v>
      </c>
      <c r="DP316" s="561">
        <v>0</v>
      </c>
      <c r="DQ316" s="561">
        <v>0</v>
      </c>
      <c r="DR316" s="561">
        <v>0</v>
      </c>
      <c r="DS316" s="561">
        <v>0</v>
      </c>
      <c r="DT316" s="561">
        <v>0</v>
      </c>
      <c r="DU316" s="561">
        <v>0</v>
      </c>
      <c r="DV316" s="561">
        <v>0</v>
      </c>
      <c r="DW316" s="561">
        <v>0</v>
      </c>
      <c r="DX316" s="561">
        <v>0</v>
      </c>
      <c r="DY316" s="561">
        <v>0</v>
      </c>
      <c r="DZ316" s="561">
        <v>0</v>
      </c>
      <c r="EA316" s="561">
        <v>0</v>
      </c>
      <c r="EB316" s="561">
        <v>0</v>
      </c>
      <c r="EC316" s="561">
        <v>0</v>
      </c>
      <c r="ED316" s="561">
        <v>0</v>
      </c>
      <c r="EE316" s="561">
        <v>0</v>
      </c>
      <c r="EF316" s="561">
        <v>0</v>
      </c>
      <c r="EG316" s="561">
        <v>0</v>
      </c>
      <c r="EH316" s="561">
        <v>0</v>
      </c>
      <c r="EI316" s="561">
        <v>0</v>
      </c>
      <c r="EJ316" s="561">
        <v>0</v>
      </c>
      <c r="EK316" s="561">
        <v>0</v>
      </c>
      <c r="EL316" s="561">
        <v>0</v>
      </c>
      <c r="EM316" s="561">
        <v>0</v>
      </c>
      <c r="EN316" s="561">
        <v>0</v>
      </c>
      <c r="EO316" s="561">
        <v>0</v>
      </c>
      <c r="EP316" s="561">
        <v>0</v>
      </c>
      <c r="EQ316" s="561">
        <v>0</v>
      </c>
      <c r="ER316" s="561">
        <v>0</v>
      </c>
      <c r="ES316" s="561" t="s">
        <v>4565</v>
      </c>
      <c r="ET316" s="561">
        <v>0</v>
      </c>
      <c r="EU316" s="561">
        <v>0</v>
      </c>
      <c r="EV316" s="561">
        <v>0</v>
      </c>
      <c r="EW316" s="561">
        <v>0</v>
      </c>
      <c r="EX316" s="561">
        <v>0</v>
      </c>
      <c r="EY316" s="561">
        <v>0</v>
      </c>
      <c r="EZ316" s="561">
        <v>0</v>
      </c>
      <c r="FA316" s="561">
        <v>0</v>
      </c>
      <c r="FB316" s="561">
        <v>0</v>
      </c>
      <c r="FC316" s="561">
        <v>0</v>
      </c>
      <c r="FD316" s="561">
        <v>0</v>
      </c>
      <c r="FE316" s="561">
        <v>0</v>
      </c>
      <c r="FF316" s="561">
        <v>0</v>
      </c>
      <c r="FG316" s="561">
        <v>0</v>
      </c>
      <c r="FH316" s="561">
        <v>0</v>
      </c>
      <c r="FI316" s="561">
        <v>0</v>
      </c>
      <c r="FJ316" s="561">
        <v>0</v>
      </c>
      <c r="FK316" s="561">
        <v>0</v>
      </c>
      <c r="FL316" s="561">
        <v>0</v>
      </c>
      <c r="FM316" s="561">
        <v>0</v>
      </c>
      <c r="FN316" s="561">
        <v>0</v>
      </c>
      <c r="FO316" s="561">
        <v>0</v>
      </c>
      <c r="FP316" s="561">
        <v>0</v>
      </c>
      <c r="FQ316" s="561">
        <v>0</v>
      </c>
      <c r="FR316" s="561">
        <v>0</v>
      </c>
      <c r="FS316" s="561">
        <v>0</v>
      </c>
      <c r="FT316" s="561">
        <v>0</v>
      </c>
      <c r="FU316" s="561">
        <v>0</v>
      </c>
      <c r="FV316" s="561">
        <v>0</v>
      </c>
      <c r="FW316" s="561">
        <v>0</v>
      </c>
      <c r="FX316" s="561">
        <v>0</v>
      </c>
      <c r="FY316" s="561">
        <v>0</v>
      </c>
      <c r="FZ316" s="561">
        <v>0</v>
      </c>
      <c r="GA316" s="561">
        <v>0</v>
      </c>
      <c r="GB316" s="561">
        <v>0</v>
      </c>
      <c r="GC316" s="561">
        <v>0</v>
      </c>
      <c r="GD316" s="561">
        <v>0</v>
      </c>
      <c r="GE316" s="561">
        <v>0</v>
      </c>
      <c r="GF316" s="561">
        <v>0</v>
      </c>
      <c r="GG316" s="561">
        <v>0</v>
      </c>
      <c r="GH316" s="561">
        <v>0</v>
      </c>
      <c r="GI316" s="561">
        <v>0</v>
      </c>
      <c r="GJ316" s="561">
        <v>0</v>
      </c>
      <c r="GK316" s="561">
        <v>0</v>
      </c>
      <c r="GL316" s="561">
        <v>0</v>
      </c>
      <c r="GM316" s="561">
        <v>0</v>
      </c>
      <c r="GN316" s="561">
        <v>0</v>
      </c>
      <c r="GO316" s="561">
        <v>0</v>
      </c>
      <c r="GP316" s="561">
        <v>0</v>
      </c>
      <c r="GQ316" s="561">
        <v>0</v>
      </c>
      <c r="GR316" s="561">
        <v>0</v>
      </c>
      <c r="GS316" s="561">
        <v>0</v>
      </c>
      <c r="GT316" s="561">
        <v>0</v>
      </c>
      <c r="GU316" s="561">
        <v>0</v>
      </c>
      <c r="GV316" s="561">
        <v>0</v>
      </c>
      <c r="GW316" s="561">
        <v>0</v>
      </c>
      <c r="GX316" s="561">
        <v>0</v>
      </c>
      <c r="GY316" s="561">
        <v>0</v>
      </c>
      <c r="GZ316" s="561">
        <v>0</v>
      </c>
      <c r="HA316" s="561">
        <v>0</v>
      </c>
      <c r="HB316" s="561">
        <v>0</v>
      </c>
      <c r="HC316" s="561">
        <v>0</v>
      </c>
      <c r="HD316" s="561">
        <v>0</v>
      </c>
      <c r="HE316" s="561">
        <v>0</v>
      </c>
      <c r="HF316" s="561">
        <v>0</v>
      </c>
      <c r="HG316" s="561">
        <v>0</v>
      </c>
      <c r="HH316" s="561">
        <v>410755</v>
      </c>
      <c r="HI316" s="561">
        <v>0</v>
      </c>
      <c r="HJ316" s="561">
        <v>0</v>
      </c>
      <c r="HK316" s="561">
        <v>0</v>
      </c>
      <c r="HL316" s="561">
        <v>0</v>
      </c>
      <c r="HM316" s="561">
        <v>0</v>
      </c>
      <c r="HN316" s="561">
        <v>0</v>
      </c>
      <c r="HO316" s="561">
        <v>0</v>
      </c>
      <c r="HP316" s="561">
        <v>0</v>
      </c>
      <c r="HQ316" s="561">
        <v>0</v>
      </c>
      <c r="HR316" s="561">
        <v>0</v>
      </c>
      <c r="HS316" s="561">
        <v>0</v>
      </c>
      <c r="HT316" s="561">
        <v>0</v>
      </c>
      <c r="HU316" s="561">
        <v>0</v>
      </c>
      <c r="HV316" s="561">
        <v>0</v>
      </c>
      <c r="HW316" s="561">
        <v>0</v>
      </c>
      <c r="HX316" s="561">
        <v>0</v>
      </c>
      <c r="HY316" s="561">
        <v>0</v>
      </c>
      <c r="HZ316" s="561">
        <v>0</v>
      </c>
      <c r="IA316" s="561">
        <v>0</v>
      </c>
      <c r="IB316" s="561">
        <v>0</v>
      </c>
      <c r="IC316" s="561">
        <v>0</v>
      </c>
      <c r="ID316" s="561">
        <v>0</v>
      </c>
      <c r="IE316" s="561">
        <v>0</v>
      </c>
      <c r="IF316" s="561">
        <v>0</v>
      </c>
      <c r="IG316" s="561">
        <v>0</v>
      </c>
      <c r="IH316" s="561">
        <v>0</v>
      </c>
      <c r="II316" s="561">
        <v>0</v>
      </c>
      <c r="IJ316" s="561">
        <v>0</v>
      </c>
      <c r="IK316" s="561">
        <v>0</v>
      </c>
      <c r="IL316" s="561">
        <v>0</v>
      </c>
      <c r="IM316" s="561">
        <v>0</v>
      </c>
      <c r="IN316" s="561">
        <v>0</v>
      </c>
      <c r="IO316" s="561">
        <v>0</v>
      </c>
      <c r="IP316" s="561">
        <v>0</v>
      </c>
      <c r="IQ316" s="561">
        <v>0</v>
      </c>
      <c r="IR316" s="561">
        <v>0</v>
      </c>
      <c r="IS316" s="561">
        <v>0</v>
      </c>
      <c r="IT316" s="561">
        <v>0</v>
      </c>
      <c r="IU316" s="561">
        <v>0</v>
      </c>
      <c r="IV316" s="561">
        <v>0</v>
      </c>
      <c r="IW316" s="561">
        <v>0</v>
      </c>
      <c r="IX316" s="561">
        <v>0</v>
      </c>
      <c r="IY316" s="561">
        <v>0</v>
      </c>
      <c r="IZ316" s="561">
        <v>0</v>
      </c>
      <c r="JA316" s="561">
        <v>410755</v>
      </c>
      <c r="JB316" s="561">
        <v>0</v>
      </c>
      <c r="JC316" s="561">
        <v>0</v>
      </c>
      <c r="JD316" s="561">
        <v>0</v>
      </c>
      <c r="JE316" s="561">
        <v>410755</v>
      </c>
      <c r="JF316" s="561">
        <v>0</v>
      </c>
      <c r="JG316" s="561">
        <v>0</v>
      </c>
      <c r="JH316" s="561">
        <v>0</v>
      </c>
      <c r="JI316" s="561">
        <v>0</v>
      </c>
      <c r="JJ316" s="561">
        <v>0</v>
      </c>
      <c r="JK316" s="561">
        <v>0</v>
      </c>
      <c r="JL316" s="561">
        <v>0</v>
      </c>
      <c r="JM316" s="561">
        <v>0</v>
      </c>
      <c r="JN316" s="561">
        <v>0</v>
      </c>
      <c r="JO316" s="561">
        <v>0</v>
      </c>
      <c r="JP316" s="561">
        <v>0</v>
      </c>
      <c r="JQ316" s="561">
        <v>0</v>
      </c>
      <c r="JR316" s="561">
        <v>0</v>
      </c>
      <c r="JS316" s="561">
        <v>0</v>
      </c>
      <c r="JT316" s="561">
        <v>0</v>
      </c>
      <c r="JU316" s="561">
        <v>0</v>
      </c>
      <c r="JV316" s="561">
        <v>410755</v>
      </c>
      <c r="JW316" s="561">
        <v>0</v>
      </c>
      <c r="JX316" s="561">
        <v>827</v>
      </c>
      <c r="JY316" s="561">
        <v>0</v>
      </c>
      <c r="JZ316" s="561">
        <v>0</v>
      </c>
      <c r="KA316" s="561">
        <v>0</v>
      </c>
      <c r="KB316" s="561">
        <v>0</v>
      </c>
      <c r="KC316" s="561">
        <v>1303</v>
      </c>
      <c r="KD316" s="561">
        <v>0</v>
      </c>
      <c r="KE316" s="561">
        <v>1315</v>
      </c>
      <c r="KF316" s="561">
        <v>0</v>
      </c>
      <c r="KG316" s="561">
        <v>414200</v>
      </c>
      <c r="KH316" s="561">
        <v>-2236</v>
      </c>
      <c r="KI316" s="561">
        <v>0</v>
      </c>
      <c r="KJ316" s="561">
        <v>0</v>
      </c>
      <c r="KK316" s="561">
        <v>0</v>
      </c>
      <c r="KL316" s="561">
        <v>-124</v>
      </c>
      <c r="KM316" s="561">
        <v>0</v>
      </c>
      <c r="KN316" s="561">
        <v>0</v>
      </c>
      <c r="KO316" s="561">
        <v>0</v>
      </c>
      <c r="KP316" s="561">
        <v>0</v>
      </c>
      <c r="KQ316" s="561">
        <v>0</v>
      </c>
      <c r="KR316" s="561">
        <v>411840</v>
      </c>
      <c r="KS316" s="561">
        <v>0</v>
      </c>
      <c r="KT316" s="561">
        <v>-77342</v>
      </c>
      <c r="KU316" s="561">
        <v>334498</v>
      </c>
      <c r="KV316" s="561">
        <v>0</v>
      </c>
      <c r="KW316" s="561">
        <v>0</v>
      </c>
      <c r="KX316" s="561">
        <v>0</v>
      </c>
      <c r="KY316" s="561">
        <v>0</v>
      </c>
      <c r="KZ316" s="561">
        <v>9568</v>
      </c>
      <c r="LA316" s="561">
        <v>9716</v>
      </c>
      <c r="LB316" s="561">
        <v>0</v>
      </c>
      <c r="LC316" s="561">
        <v>-241545</v>
      </c>
      <c r="LD316" s="561">
        <v>0</v>
      </c>
      <c r="LE316" s="561">
        <v>-1573</v>
      </c>
      <c r="LF316" s="561">
        <v>-16932</v>
      </c>
      <c r="LG316" s="561">
        <v>93732</v>
      </c>
      <c r="LH316" s="561">
        <v>0</v>
      </c>
      <c r="LI316" s="561">
        <v>0</v>
      </c>
      <c r="LJ316" s="561">
        <v>0</v>
      </c>
      <c r="LK316" s="561">
        <v>0</v>
      </c>
      <c r="LL316" s="561">
        <v>45095</v>
      </c>
      <c r="LM316" s="561">
        <v>19001</v>
      </c>
      <c r="LN316" s="561">
        <v>0</v>
      </c>
      <c r="LO316" s="561">
        <v>0</v>
      </c>
      <c r="LP316" s="561">
        <v>0</v>
      </c>
      <c r="LQ316" s="561">
        <v>0</v>
      </c>
      <c r="LR316" s="561">
        <v>54663</v>
      </c>
      <c r="LS316" s="561">
        <v>28717</v>
      </c>
      <c r="LT316" s="561">
        <v>0</v>
      </c>
      <c r="LU316" s="561">
        <v>12343</v>
      </c>
      <c r="LV316" s="561">
        <v>0</v>
      </c>
      <c r="LW316" s="561">
        <v>2198</v>
      </c>
      <c r="LX316" s="561">
        <v>0</v>
      </c>
      <c r="LY316" s="561">
        <v>0</v>
      </c>
      <c r="LZ316" s="561">
        <v>14541</v>
      </c>
      <c r="MA316" s="561">
        <v>0</v>
      </c>
      <c r="MB316" s="561">
        <v>0</v>
      </c>
      <c r="MC316" s="561">
        <v>0</v>
      </c>
      <c r="MD316" s="561">
        <v>0</v>
      </c>
      <c r="ME316" s="561">
        <v>0</v>
      </c>
      <c r="MF316" s="561">
        <v>0</v>
      </c>
      <c r="MG316" s="561">
        <v>0</v>
      </c>
      <c r="MH316" s="561">
        <v>0</v>
      </c>
      <c r="MI316" s="561">
        <v>0</v>
      </c>
      <c r="MJ316" s="561">
        <v>0</v>
      </c>
      <c r="MK316" s="561">
        <v>0</v>
      </c>
      <c r="ML316" s="561">
        <v>2472</v>
      </c>
      <c r="MM316" s="561">
        <v>36676</v>
      </c>
      <c r="MN316" s="561">
        <v>9991</v>
      </c>
      <c r="MO316" s="561">
        <v>5522</v>
      </c>
      <c r="MP316" s="561">
        <v>2</v>
      </c>
      <c r="MQ316" s="561">
        <v>0</v>
      </c>
      <c r="MR316" s="561">
        <v>0</v>
      </c>
      <c r="MS316" s="561">
        <v>0</v>
      </c>
      <c r="MT316" s="561">
        <v>0</v>
      </c>
      <c r="MU316" s="561">
        <v>0</v>
      </c>
      <c r="MV316" s="561">
        <v>0</v>
      </c>
      <c r="MW316" s="561">
        <v>0</v>
      </c>
      <c r="MX316" s="561">
        <v>0</v>
      </c>
      <c r="MY316" s="561">
        <v>0</v>
      </c>
      <c r="MZ316" s="561">
        <v>410755</v>
      </c>
      <c r="NA316" s="561">
        <v>0</v>
      </c>
      <c r="NB316" s="561">
        <v>0</v>
      </c>
      <c r="NC316" s="561">
        <v>0</v>
      </c>
      <c r="ND316" s="561">
        <v>410755</v>
      </c>
      <c r="NE316" s="561">
        <v>0</v>
      </c>
      <c r="NF316" s="561">
        <v>0</v>
      </c>
      <c r="NG316" s="561">
        <v>0</v>
      </c>
      <c r="NH316" s="561">
        <v>0</v>
      </c>
      <c r="NI316" s="561">
        <v>0</v>
      </c>
      <c r="NJ316" s="561">
        <v>0</v>
      </c>
      <c r="NK316" s="561">
        <v>0</v>
      </c>
      <c r="NL316" s="561">
        <v>0</v>
      </c>
      <c r="NM316" s="561">
        <v>0</v>
      </c>
      <c r="NN316" s="561">
        <v>0</v>
      </c>
      <c r="NO316" s="561">
        <v>0</v>
      </c>
      <c r="NP316" s="561">
        <v>0</v>
      </c>
      <c r="NQ316" s="561">
        <v>0</v>
      </c>
      <c r="NR316" s="561">
        <v>0</v>
      </c>
      <c r="NS316" s="561">
        <v>0</v>
      </c>
      <c r="NT316" s="561">
        <v>0</v>
      </c>
      <c r="NU316" s="561">
        <v>0</v>
      </c>
      <c r="NV316" s="561">
        <v>0</v>
      </c>
      <c r="NW316" s="561">
        <v>0</v>
      </c>
      <c r="NX316" s="561">
        <v>0</v>
      </c>
      <c r="NY316" s="561">
        <v>0</v>
      </c>
      <c r="NZ316" s="561">
        <v>0</v>
      </c>
      <c r="OA316" s="561">
        <v>0</v>
      </c>
      <c r="OB316" s="561">
        <v>0</v>
      </c>
      <c r="OC316" s="561">
        <v>0</v>
      </c>
      <c r="OD316" s="561">
        <v>0</v>
      </c>
      <c r="OE316" s="561">
        <v>0</v>
      </c>
      <c r="OF316" s="561">
        <v>0</v>
      </c>
      <c r="OG316" s="561">
        <v>0</v>
      </c>
      <c r="OH316" s="561">
        <v>0</v>
      </c>
      <c r="OI316" s="561">
        <v>0</v>
      </c>
      <c r="OJ316" s="561">
        <v>0</v>
      </c>
      <c r="OK316" s="561">
        <v>0</v>
      </c>
      <c r="OL316" s="561">
        <v>0</v>
      </c>
      <c r="OM316" s="561">
        <v>0</v>
      </c>
      <c r="ON316" s="561">
        <v>0</v>
      </c>
      <c r="OO316" s="561">
        <v>0</v>
      </c>
      <c r="OP316" s="561">
        <v>0</v>
      </c>
      <c r="OQ316" s="561">
        <v>0</v>
      </c>
      <c r="OR316" s="561">
        <v>0</v>
      </c>
      <c r="OS316" s="561">
        <v>0</v>
      </c>
      <c r="OT316" s="561">
        <v>0</v>
      </c>
      <c r="OU316" s="561">
        <v>0</v>
      </c>
      <c r="OV316" s="561">
        <v>0</v>
      </c>
      <c r="OW316" s="561">
        <v>0</v>
      </c>
      <c r="OX316" s="561">
        <v>0</v>
      </c>
      <c r="OY316" s="561">
        <v>0</v>
      </c>
      <c r="OZ316" s="561">
        <v>0</v>
      </c>
      <c r="PA316" s="561">
        <v>0</v>
      </c>
      <c r="PB316" s="561">
        <v>0</v>
      </c>
      <c r="PC316" s="561">
        <v>0</v>
      </c>
      <c r="PD316" s="561">
        <v>0</v>
      </c>
      <c r="PE316" s="561">
        <v>0</v>
      </c>
      <c r="PF316" s="561">
        <v>0</v>
      </c>
      <c r="PG316" s="561">
        <v>0</v>
      </c>
      <c r="PH316" s="561">
        <v>0</v>
      </c>
      <c r="PI316" s="561">
        <v>0</v>
      </c>
      <c r="PJ316" s="561">
        <v>0</v>
      </c>
    </row>
    <row r="317" spans="1:426" ht="14" x14ac:dyDescent="0.3">
      <c r="A317" t="s">
        <v>3394</v>
      </c>
      <c r="B317" t="s">
        <v>3395</v>
      </c>
      <c r="C317" t="s">
        <v>4660</v>
      </c>
      <c r="E317" t="s">
        <v>385</v>
      </c>
      <c r="F317" s="561">
        <v>30708</v>
      </c>
      <c r="G317" s="561">
        <v>90511</v>
      </c>
      <c r="H317" s="561">
        <v>76910</v>
      </c>
      <c r="I317" s="561">
        <v>18756</v>
      </c>
      <c r="J317" s="561">
        <v>1582</v>
      </c>
      <c r="K317" s="561">
        <v>19283</v>
      </c>
      <c r="L317" s="561">
        <v>237750</v>
      </c>
      <c r="M317" s="561">
        <v>2568</v>
      </c>
      <c r="N317" s="561">
        <v>888</v>
      </c>
      <c r="O317" s="561">
        <v>1205</v>
      </c>
      <c r="P317" s="561">
        <v>162</v>
      </c>
      <c r="Q317" s="561">
        <v>0</v>
      </c>
      <c r="R317" s="561">
        <v>0</v>
      </c>
      <c r="S317" s="561">
        <v>2261</v>
      </c>
      <c r="T317" s="561">
        <v>0</v>
      </c>
      <c r="U317" s="561">
        <v>726</v>
      </c>
      <c r="V317" s="561">
        <v>6649</v>
      </c>
      <c r="W317" s="561">
        <v>0</v>
      </c>
      <c r="X317" s="561">
        <v>-621</v>
      </c>
      <c r="Y317" s="561">
        <v>239</v>
      </c>
      <c r="Z317" s="561">
        <v>0</v>
      </c>
      <c r="AA317" s="561">
        <v>-2276</v>
      </c>
      <c r="AB317" s="561">
        <v>-3632</v>
      </c>
      <c r="AC317" s="561">
        <v>2930</v>
      </c>
      <c r="AD317" s="561">
        <v>0</v>
      </c>
      <c r="AE317" s="561">
        <v>1408</v>
      </c>
      <c r="AF317" s="561">
        <v>0</v>
      </c>
      <c r="AG317" s="561">
        <v>0</v>
      </c>
      <c r="AH317" s="561">
        <v>0</v>
      </c>
      <c r="AI317" s="561">
        <v>-3962</v>
      </c>
      <c r="AJ317" s="561">
        <v>5977</v>
      </c>
      <c r="AK317" s="561">
        <v>7</v>
      </c>
      <c r="AL317" s="561">
        <v>0</v>
      </c>
      <c r="AM317" s="561">
        <v>0</v>
      </c>
      <c r="AN317" s="561">
        <v>0</v>
      </c>
      <c r="AO317" s="561">
        <v>0</v>
      </c>
      <c r="AP317" s="561">
        <v>0</v>
      </c>
      <c r="AQ317" s="561">
        <v>0</v>
      </c>
      <c r="AR317" s="561">
        <v>0</v>
      </c>
      <c r="AS317" s="561">
        <v>1633</v>
      </c>
      <c r="AT317" s="561">
        <v>3909</v>
      </c>
      <c r="AU317" s="561">
        <v>0</v>
      </c>
      <c r="AV317" s="561">
        <v>0</v>
      </c>
      <c r="AW317" s="561">
        <v>0</v>
      </c>
      <c r="AX317" s="561">
        <v>3615</v>
      </c>
      <c r="AY317" s="561">
        <v>39603</v>
      </c>
      <c r="AZ317" s="561">
        <v>69</v>
      </c>
      <c r="BA317" s="561">
        <v>7619</v>
      </c>
      <c r="BB317" s="561">
        <v>2408</v>
      </c>
      <c r="BC317" s="561">
        <v>15768</v>
      </c>
      <c r="BD317" s="561">
        <v>1467</v>
      </c>
      <c r="BE317" s="561">
        <v>2094</v>
      </c>
      <c r="BF317" s="561">
        <v>72643</v>
      </c>
      <c r="BG317" s="561">
        <v>696</v>
      </c>
      <c r="BH317" s="561">
        <v>6427</v>
      </c>
      <c r="BI317" s="561">
        <v>20376</v>
      </c>
      <c r="BJ317" s="561">
        <v>275</v>
      </c>
      <c r="BK317" s="561">
        <v>456</v>
      </c>
      <c r="BL317" s="561">
        <v>700</v>
      </c>
      <c r="BM317" s="561">
        <v>11074</v>
      </c>
      <c r="BN317" s="561">
        <v>25955</v>
      </c>
      <c r="BO317" s="561">
        <v>3368</v>
      </c>
      <c r="BP317" s="561">
        <v>7435</v>
      </c>
      <c r="BQ317" s="561">
        <v>3501</v>
      </c>
      <c r="BR317" s="561">
        <v>2999</v>
      </c>
      <c r="BS317" s="561">
        <v>245</v>
      </c>
      <c r="BT317" s="561">
        <v>95</v>
      </c>
      <c r="BU317" s="561">
        <v>638</v>
      </c>
      <c r="BV317" s="561">
        <v>1404</v>
      </c>
      <c r="BW317" s="561">
        <v>13522</v>
      </c>
      <c r="BX317" s="561">
        <v>1515</v>
      </c>
      <c r="BY317" s="561">
        <v>16609</v>
      </c>
      <c r="BZ317" s="561">
        <v>116594</v>
      </c>
      <c r="CA317" s="561">
        <v>1077</v>
      </c>
      <c r="CB317" s="561">
        <v>1957</v>
      </c>
      <c r="CC317" s="561">
        <v>826</v>
      </c>
      <c r="CD317" s="561">
        <v>399</v>
      </c>
      <c r="CE317" s="561">
        <v>247</v>
      </c>
      <c r="CF317" s="561">
        <v>330</v>
      </c>
      <c r="CG317" s="561">
        <v>265</v>
      </c>
      <c r="CH317" s="561">
        <v>233</v>
      </c>
      <c r="CI317" s="561">
        <v>136</v>
      </c>
      <c r="CJ317" s="561">
        <v>315</v>
      </c>
      <c r="CK317" s="561">
        <v>134</v>
      </c>
      <c r="CL317" s="561">
        <v>109</v>
      </c>
      <c r="CM317" s="561">
        <v>2176</v>
      </c>
      <c r="CN317" s="561">
        <v>899</v>
      </c>
      <c r="CO317" s="561">
        <v>734</v>
      </c>
      <c r="CP317" s="561">
        <v>589</v>
      </c>
      <c r="CQ317" s="561">
        <v>150</v>
      </c>
      <c r="CR317" s="561">
        <v>1105</v>
      </c>
      <c r="CS317" s="561">
        <v>69</v>
      </c>
      <c r="CT317" s="561">
        <v>1816</v>
      </c>
      <c r="CU317" s="561">
        <v>3685</v>
      </c>
      <c r="CV317" s="561">
        <v>573</v>
      </c>
      <c r="CW317" s="561">
        <v>140</v>
      </c>
      <c r="CX317" s="561">
        <v>671</v>
      </c>
      <c r="CY317" s="561">
        <v>648</v>
      </c>
      <c r="CZ317" s="561">
        <v>18206</v>
      </c>
      <c r="DA317" s="561">
        <v>14</v>
      </c>
      <c r="DB317" s="561">
        <v>187</v>
      </c>
      <c r="DC317" s="561">
        <v>97</v>
      </c>
      <c r="DD317" s="561">
        <v>194</v>
      </c>
      <c r="DE317" s="561">
        <v>0</v>
      </c>
      <c r="DF317" s="561">
        <v>0</v>
      </c>
      <c r="DG317" s="561">
        <v>0</v>
      </c>
      <c r="DH317" s="561">
        <v>0</v>
      </c>
      <c r="DI317" s="561">
        <v>0</v>
      </c>
      <c r="DJ317" s="561">
        <v>106</v>
      </c>
      <c r="DK317" s="561">
        <v>473</v>
      </c>
      <c r="DL317" s="561">
        <v>0</v>
      </c>
      <c r="DM317" s="561">
        <v>0</v>
      </c>
      <c r="DN317" s="561">
        <v>0</v>
      </c>
      <c r="DO317" s="561">
        <v>299</v>
      </c>
      <c r="DP317" s="561">
        <v>0</v>
      </c>
      <c r="DQ317" s="561">
        <v>0</v>
      </c>
      <c r="DR317" s="561">
        <v>120</v>
      </c>
      <c r="DS317" s="561">
        <v>5558</v>
      </c>
      <c r="DT317" s="561">
        <v>0</v>
      </c>
      <c r="DU317" s="561">
        <v>5977</v>
      </c>
      <c r="DV317" s="561">
        <v>284</v>
      </c>
      <c r="DW317" s="561">
        <v>0</v>
      </c>
      <c r="DX317" s="561">
        <v>179</v>
      </c>
      <c r="DY317" s="561">
        <v>1444</v>
      </c>
      <c r="DZ317" s="561">
        <v>35</v>
      </c>
      <c r="EA317" s="561">
        <v>5781</v>
      </c>
      <c r="EB317" s="561">
        <v>0</v>
      </c>
      <c r="EC317" s="561">
        <v>14279</v>
      </c>
      <c r="ED317" s="561">
        <v>1</v>
      </c>
      <c r="EE317" s="561">
        <v>80280</v>
      </c>
      <c r="EF317" s="561">
        <v>1118</v>
      </c>
      <c r="EG317" s="561">
        <v>12321</v>
      </c>
      <c r="EH317" s="561">
        <v>2006</v>
      </c>
      <c r="EI317" s="561">
        <v>0</v>
      </c>
      <c r="EJ317" s="561">
        <v>125</v>
      </c>
      <c r="EK317" s="561">
        <v>0</v>
      </c>
      <c r="EL317" s="561">
        <v>0</v>
      </c>
      <c r="EM317" s="561">
        <v>0</v>
      </c>
      <c r="EN317" s="561">
        <v>27448</v>
      </c>
      <c r="EO317" s="561">
        <v>15332</v>
      </c>
      <c r="EP317" s="561">
        <v>21317</v>
      </c>
      <c r="EQ317" s="561">
        <v>1616</v>
      </c>
      <c r="ER317" s="561">
        <v>6936</v>
      </c>
      <c r="ES317" s="561" t="s">
        <v>4565</v>
      </c>
      <c r="ET317" s="561">
        <v>20817</v>
      </c>
      <c r="EU317" s="561">
        <v>511</v>
      </c>
      <c r="EV317" s="561">
        <v>94</v>
      </c>
      <c r="EW317" s="561">
        <v>0</v>
      </c>
      <c r="EX317" s="561">
        <v>0</v>
      </c>
      <c r="EY317" s="561">
        <v>1279</v>
      </c>
      <c r="EZ317" s="561">
        <v>500</v>
      </c>
      <c r="FA317" s="561">
        <v>2590</v>
      </c>
      <c r="FB317" s="561">
        <v>143</v>
      </c>
      <c r="FC317" s="561">
        <v>361</v>
      </c>
      <c r="FD317" s="561">
        <v>403</v>
      </c>
      <c r="FE317" s="561">
        <v>1487</v>
      </c>
      <c r="FF317" s="561">
        <v>967</v>
      </c>
      <c r="FG317" s="561">
        <v>-56</v>
      </c>
      <c r="FH317" s="561">
        <v>0</v>
      </c>
      <c r="FI317" s="561">
        <v>0</v>
      </c>
      <c r="FJ317" s="561">
        <v>3269</v>
      </c>
      <c r="FK317" s="561">
        <v>3995</v>
      </c>
      <c r="FL317" s="561">
        <v>62</v>
      </c>
      <c r="FM317" s="561">
        <v>0</v>
      </c>
      <c r="FN317" s="561">
        <v>3214</v>
      </c>
      <c r="FO317" s="561">
        <v>13845</v>
      </c>
      <c r="FP317" s="561">
        <v>586</v>
      </c>
      <c r="FQ317" s="561">
        <v>3</v>
      </c>
      <c r="FR317" s="561">
        <v>521</v>
      </c>
      <c r="FS317" s="561">
        <v>0</v>
      </c>
      <c r="FT317" s="561">
        <v>309</v>
      </c>
      <c r="FU317" s="561">
        <v>1164</v>
      </c>
      <c r="FV317" s="561">
        <v>101</v>
      </c>
      <c r="FW317" s="561">
        <v>87</v>
      </c>
      <c r="FX317" s="561">
        <v>-1059</v>
      </c>
      <c r="FY317" s="561">
        <v>0</v>
      </c>
      <c r="FZ317" s="561">
        <v>215</v>
      </c>
      <c r="GA317" s="561">
        <v>92</v>
      </c>
      <c r="GB317" s="561">
        <v>155</v>
      </c>
      <c r="GC317" s="561">
        <v>47</v>
      </c>
      <c r="GD317" s="561">
        <v>347</v>
      </c>
      <c r="GE317" s="561">
        <v>427</v>
      </c>
      <c r="GF317" s="561">
        <v>1043</v>
      </c>
      <c r="GG317" s="561">
        <v>75</v>
      </c>
      <c r="GH317" s="561">
        <v>0</v>
      </c>
      <c r="GI317" s="561">
        <v>0</v>
      </c>
      <c r="GJ317" s="561">
        <v>0</v>
      </c>
      <c r="GK317" s="561">
        <v>36</v>
      </c>
      <c r="GL317" s="561">
        <v>3149</v>
      </c>
      <c r="GM317" s="561">
        <v>5918</v>
      </c>
      <c r="GN317" s="561">
        <v>8638</v>
      </c>
      <c r="GO317" s="561">
        <v>-201</v>
      </c>
      <c r="GP317" s="561">
        <v>2424</v>
      </c>
      <c r="GQ317" s="561">
        <v>0</v>
      </c>
      <c r="GR317" s="561">
        <v>0</v>
      </c>
      <c r="GS317" s="561">
        <v>23491</v>
      </c>
      <c r="GT317" s="561">
        <v>1525</v>
      </c>
      <c r="GU317" s="561">
        <v>191</v>
      </c>
      <c r="GV317" s="561">
        <v>1203</v>
      </c>
      <c r="GW317" s="561">
        <v>0</v>
      </c>
      <c r="GX317" s="561">
        <v>664</v>
      </c>
      <c r="GY317" s="561">
        <v>118</v>
      </c>
      <c r="GZ317" s="561">
        <v>1167</v>
      </c>
      <c r="HA317" s="561">
        <v>0</v>
      </c>
      <c r="HB317" s="561">
        <v>-163</v>
      </c>
      <c r="HC317" s="561">
        <v>6915</v>
      </c>
      <c r="HD317" s="561">
        <v>10095</v>
      </c>
      <c r="HE317" s="561">
        <v>413</v>
      </c>
      <c r="HF317" s="561">
        <v>47431</v>
      </c>
      <c r="HG317" s="561">
        <v>2632</v>
      </c>
      <c r="HH317" s="561">
        <v>0</v>
      </c>
      <c r="HI317" s="561">
        <v>0</v>
      </c>
      <c r="HJ317" s="561">
        <v>0</v>
      </c>
      <c r="HK317" s="561">
        <v>0</v>
      </c>
      <c r="HL317" s="561">
        <v>0</v>
      </c>
      <c r="HM317" s="561">
        <v>0</v>
      </c>
      <c r="HN317" s="561">
        <v>0</v>
      </c>
      <c r="HO317" s="561">
        <v>3038</v>
      </c>
      <c r="HP317" s="561">
        <v>727</v>
      </c>
      <c r="HQ317" s="561">
        <v>0</v>
      </c>
      <c r="HR317" s="561">
        <v>225</v>
      </c>
      <c r="HS317" s="561">
        <v>619</v>
      </c>
      <c r="HT317" s="561">
        <v>-210</v>
      </c>
      <c r="HU317" s="561">
        <v>0</v>
      </c>
      <c r="HV317" s="561">
        <v>-68</v>
      </c>
      <c r="HW317" s="561">
        <v>504</v>
      </c>
      <c r="HX317" s="561">
        <v>274</v>
      </c>
      <c r="HY317" s="561">
        <v>206</v>
      </c>
      <c r="HZ317" s="561">
        <v>-39</v>
      </c>
      <c r="IA317" s="561">
        <v>600</v>
      </c>
      <c r="IB317" s="561">
        <v>540</v>
      </c>
      <c r="IC317" s="561">
        <v>1218</v>
      </c>
      <c r="ID317" s="561">
        <v>0</v>
      </c>
      <c r="IE317" s="561">
        <v>2391</v>
      </c>
      <c r="IF317" s="561">
        <v>0</v>
      </c>
      <c r="IG317" s="561">
        <v>0</v>
      </c>
      <c r="IH317" s="561">
        <v>4407</v>
      </c>
      <c r="II317" s="561">
        <v>14432</v>
      </c>
      <c r="IJ317" s="561">
        <v>4421</v>
      </c>
      <c r="IK317" s="561">
        <v>3557</v>
      </c>
      <c r="IL317" s="561">
        <v>43163</v>
      </c>
      <c r="IM317" s="561">
        <v>0</v>
      </c>
      <c r="IN317" s="561">
        <v>11892</v>
      </c>
      <c r="IO317" s="561">
        <v>1189</v>
      </c>
      <c r="IP317" s="561">
        <v>31327</v>
      </c>
      <c r="IQ317" s="561">
        <v>0</v>
      </c>
      <c r="IR317" s="561">
        <v>237750</v>
      </c>
      <c r="IS317" s="561">
        <v>5977</v>
      </c>
      <c r="IT317" s="561">
        <v>72643</v>
      </c>
      <c r="IU317" s="561">
        <v>116594</v>
      </c>
      <c r="IV317" s="561">
        <v>18206</v>
      </c>
      <c r="IW317" s="561">
        <v>14279</v>
      </c>
      <c r="IX317" s="561">
        <v>13845</v>
      </c>
      <c r="IY317" s="561">
        <v>23491</v>
      </c>
      <c r="IZ317" s="561">
        <v>10095</v>
      </c>
      <c r="JA317" s="561">
        <v>0</v>
      </c>
      <c r="JB317" s="561">
        <v>0</v>
      </c>
      <c r="JC317" s="561">
        <v>14432</v>
      </c>
      <c r="JD317" s="561">
        <v>31327</v>
      </c>
      <c r="JE317" s="561">
        <v>558639</v>
      </c>
      <c r="JF317" s="561">
        <v>37257.32</v>
      </c>
      <c r="JG317" s="561">
        <v>3091.39</v>
      </c>
      <c r="JH317" s="561">
        <v>21793</v>
      </c>
      <c r="JI317" s="561">
        <v>0</v>
      </c>
      <c r="JJ317" s="561">
        <v>0</v>
      </c>
      <c r="JK317" s="561">
        <v>0</v>
      </c>
      <c r="JL317" s="561">
        <v>0</v>
      </c>
      <c r="JM317" s="561">
        <v>0</v>
      </c>
      <c r="JN317" s="561">
        <v>0</v>
      </c>
      <c r="JO317" s="561">
        <v>0</v>
      </c>
      <c r="JP317" s="561">
        <v>0</v>
      </c>
      <c r="JQ317" s="561">
        <v>0</v>
      </c>
      <c r="JR317" s="561">
        <v>0</v>
      </c>
      <c r="JS317" s="561">
        <v>0</v>
      </c>
      <c r="JT317" s="561">
        <v>-2107</v>
      </c>
      <c r="JU317" s="561">
        <v>0</v>
      </c>
      <c r="JV317" s="561">
        <v>618673.71</v>
      </c>
      <c r="JW317" s="561">
        <v>57</v>
      </c>
      <c r="JX317" s="561">
        <v>4128</v>
      </c>
      <c r="JY317" s="561">
        <v>0</v>
      </c>
      <c r="JZ317" s="561">
        <v>0</v>
      </c>
      <c r="KA317" s="561">
        <v>-49709</v>
      </c>
      <c r="KB317" s="561">
        <v>1409</v>
      </c>
      <c r="KC317" s="561">
        <v>9831</v>
      </c>
      <c r="KD317" s="561">
        <v>0</v>
      </c>
      <c r="KE317" s="561">
        <v>4892</v>
      </c>
      <c r="KF317" s="561">
        <v>0</v>
      </c>
      <c r="KG317" s="561">
        <v>589281.71</v>
      </c>
      <c r="KH317" s="561">
        <v>-9415</v>
      </c>
      <c r="KI317" s="561">
        <v>0</v>
      </c>
      <c r="KJ317" s="561">
        <v>0</v>
      </c>
      <c r="KK317" s="561">
        <v>0</v>
      </c>
      <c r="KL317" s="561">
        <v>-61111</v>
      </c>
      <c r="KM317" s="561">
        <v>0</v>
      </c>
      <c r="KN317" s="561">
        <v>-61</v>
      </c>
      <c r="KO317" s="561">
        <v>0</v>
      </c>
      <c r="KP317" s="561">
        <v>0</v>
      </c>
      <c r="KQ317" s="561">
        <v>-5948</v>
      </c>
      <c r="KR317" s="561">
        <v>512746.71</v>
      </c>
      <c r="KS317" s="561">
        <v>0</v>
      </c>
      <c r="KT317" s="561">
        <v>-301226</v>
      </c>
      <c r="KU317" s="561">
        <v>211520.71</v>
      </c>
      <c r="KV317" s="561">
        <v>0</v>
      </c>
      <c r="KW317" s="561">
        <v>-2376</v>
      </c>
      <c r="KX317" s="561">
        <v>-3987</v>
      </c>
      <c r="KY317" s="561">
        <v>1415</v>
      </c>
      <c r="KZ317" s="561">
        <v>4417</v>
      </c>
      <c r="LA317" s="561">
        <v>1934</v>
      </c>
      <c r="LB317" s="561">
        <v>-13733</v>
      </c>
      <c r="LC317" s="561">
        <v>0</v>
      </c>
      <c r="LD317" s="561">
        <v>-78748</v>
      </c>
      <c r="LE317" s="561">
        <v>987</v>
      </c>
      <c r="LF317" s="561">
        <v>0</v>
      </c>
      <c r="LG317" s="561">
        <v>121430</v>
      </c>
      <c r="LH317" s="561">
        <v>4206</v>
      </c>
      <c r="LI317" s="561">
        <v>-11092</v>
      </c>
      <c r="LJ317" s="561">
        <v>3987</v>
      </c>
      <c r="LK317" s="561">
        <v>1069</v>
      </c>
      <c r="LL317" s="561">
        <v>35528</v>
      </c>
      <c r="LM317" s="561">
        <v>10066</v>
      </c>
      <c r="LN317" s="561">
        <v>1830</v>
      </c>
      <c r="LO317" s="561">
        <v>-17040</v>
      </c>
      <c r="LP317" s="561">
        <v>0</v>
      </c>
      <c r="LQ317" s="561">
        <v>2484</v>
      </c>
      <c r="LR317" s="561">
        <v>39945</v>
      </c>
      <c r="LS317" s="561">
        <v>12000</v>
      </c>
      <c r="LT317" s="561">
        <v>0</v>
      </c>
      <c r="LU317" s="561">
        <v>36497</v>
      </c>
      <c r="LV317" s="561">
        <v>0</v>
      </c>
      <c r="LW317" s="561">
        <v>4242</v>
      </c>
      <c r="LX317" s="561">
        <v>-40064</v>
      </c>
      <c r="LY317" s="561">
        <v>63317</v>
      </c>
      <c r="LZ317" s="561">
        <v>63703</v>
      </c>
      <c r="MA317" s="561">
        <v>10916</v>
      </c>
      <c r="MB317" s="561">
        <v>38252</v>
      </c>
      <c r="MC317" s="561">
        <v>95850</v>
      </c>
      <c r="MD317" s="561">
        <v>95350</v>
      </c>
      <c r="ME317" s="561">
        <v>500</v>
      </c>
      <c r="MF317" s="561">
        <v>2590</v>
      </c>
      <c r="MG317" s="561">
        <v>3090</v>
      </c>
      <c r="MH317" s="561">
        <v>6740</v>
      </c>
      <c r="MI317" s="561">
        <v>9965</v>
      </c>
      <c r="MJ317" s="561">
        <v>16705</v>
      </c>
      <c r="MK317" s="561">
        <v>0</v>
      </c>
      <c r="ML317" s="561">
        <v>3611</v>
      </c>
      <c r="MM317" s="561">
        <v>8367</v>
      </c>
      <c r="MN317" s="561">
        <v>8807</v>
      </c>
      <c r="MO317" s="561">
        <v>10977</v>
      </c>
      <c r="MP317" s="561">
        <v>8183</v>
      </c>
      <c r="MQ317" s="561">
        <v>237750</v>
      </c>
      <c r="MR317" s="561">
        <v>5977</v>
      </c>
      <c r="MS317" s="561">
        <v>72643</v>
      </c>
      <c r="MT317" s="561">
        <v>116594</v>
      </c>
      <c r="MU317" s="561">
        <v>18206</v>
      </c>
      <c r="MV317" s="561">
        <v>14279</v>
      </c>
      <c r="MW317" s="561">
        <v>13845</v>
      </c>
      <c r="MX317" s="561">
        <v>23491</v>
      </c>
      <c r="MY317" s="561">
        <v>10095</v>
      </c>
      <c r="MZ317" s="561">
        <v>0</v>
      </c>
      <c r="NA317" s="561">
        <v>0</v>
      </c>
      <c r="NB317" s="561">
        <v>14432</v>
      </c>
      <c r="NC317" s="561">
        <v>31327</v>
      </c>
      <c r="ND317" s="561">
        <v>558639</v>
      </c>
      <c r="NE317" s="561">
        <v>0</v>
      </c>
      <c r="NF317" s="561">
        <v>0</v>
      </c>
      <c r="NG317" s="561">
        <v>0</v>
      </c>
      <c r="NH317" s="561">
        <v>0</v>
      </c>
      <c r="NI317" s="561">
        <v>0</v>
      </c>
      <c r="NJ317" s="561">
        <v>0</v>
      </c>
      <c r="NK317" s="561">
        <v>0</v>
      </c>
      <c r="NL317" s="561">
        <v>0</v>
      </c>
      <c r="NM317" s="561">
        <v>0</v>
      </c>
      <c r="NN317" s="561">
        <v>0</v>
      </c>
      <c r="NO317" s="561">
        <v>0</v>
      </c>
      <c r="NP317" s="561">
        <v>0</v>
      </c>
      <c r="NQ317" s="561">
        <v>0</v>
      </c>
      <c r="NR317" s="561">
        <v>0</v>
      </c>
      <c r="NS317" s="561">
        <v>0</v>
      </c>
      <c r="NT317" s="561">
        <v>0</v>
      </c>
      <c r="NU317" s="561">
        <v>0</v>
      </c>
      <c r="NV317" s="561">
        <v>0</v>
      </c>
      <c r="NW317" s="561">
        <v>0</v>
      </c>
      <c r="NX317" s="561">
        <v>0</v>
      </c>
      <c r="NY317" s="561">
        <v>0</v>
      </c>
      <c r="NZ317" s="561">
        <v>0</v>
      </c>
      <c r="OA317" s="561">
        <v>0</v>
      </c>
      <c r="OB317" s="561">
        <v>0</v>
      </c>
      <c r="OC317" s="561">
        <v>0</v>
      </c>
      <c r="OD317" s="561">
        <v>0</v>
      </c>
      <c r="OE317" s="561">
        <v>0</v>
      </c>
      <c r="OF317" s="561">
        <v>0</v>
      </c>
      <c r="OG317" s="561">
        <v>0</v>
      </c>
      <c r="OH317" s="561">
        <v>0</v>
      </c>
      <c r="OI317" s="561">
        <v>0</v>
      </c>
      <c r="OJ317" s="561">
        <v>0</v>
      </c>
      <c r="OK317" s="561">
        <v>0</v>
      </c>
      <c r="OL317" s="561">
        <v>0</v>
      </c>
      <c r="OM317" s="561">
        <v>0</v>
      </c>
      <c r="ON317" s="561">
        <v>0</v>
      </c>
      <c r="OO317" s="561">
        <v>0</v>
      </c>
      <c r="OP317" s="561">
        <v>0</v>
      </c>
      <c r="OQ317" s="561">
        <v>0</v>
      </c>
      <c r="OR317" s="561">
        <v>0</v>
      </c>
      <c r="OS317" s="561">
        <v>0</v>
      </c>
      <c r="OT317" s="561">
        <v>0</v>
      </c>
      <c r="OU317" s="561">
        <v>0</v>
      </c>
      <c r="OV317" s="561">
        <v>0</v>
      </c>
      <c r="OW317" s="561">
        <v>0</v>
      </c>
      <c r="OX317" s="561">
        <v>0</v>
      </c>
      <c r="OY317" s="561">
        <v>0</v>
      </c>
      <c r="OZ317" s="561">
        <v>0</v>
      </c>
      <c r="PA317" s="561">
        <v>0</v>
      </c>
      <c r="PB317" s="561">
        <v>0</v>
      </c>
      <c r="PC317" s="561">
        <v>0</v>
      </c>
      <c r="PD317" s="561">
        <v>0</v>
      </c>
      <c r="PE317" s="561">
        <v>0</v>
      </c>
      <c r="PF317" s="561">
        <v>0</v>
      </c>
      <c r="PG317" s="561">
        <v>0</v>
      </c>
      <c r="PH317" s="561">
        <v>0</v>
      </c>
      <c r="PI317" s="561">
        <v>0</v>
      </c>
      <c r="PJ317" s="561">
        <v>0</v>
      </c>
    </row>
    <row r="318" spans="1:426" ht="14" x14ac:dyDescent="0.3">
      <c r="A318" t="s">
        <v>3397</v>
      </c>
      <c r="B318" t="s">
        <v>3398</v>
      </c>
      <c r="C318" t="s">
        <v>4661</v>
      </c>
      <c r="E318" t="s">
        <v>385</v>
      </c>
      <c r="F318" s="561">
        <v>17965</v>
      </c>
      <c r="G318" s="561">
        <v>31868</v>
      </c>
      <c r="H318" s="561">
        <v>2810</v>
      </c>
      <c r="I318" s="561">
        <v>18249</v>
      </c>
      <c r="J318" s="561">
        <v>2665</v>
      </c>
      <c r="K318" s="561">
        <v>14882</v>
      </c>
      <c r="L318" s="561">
        <v>88439</v>
      </c>
      <c r="M318" s="561">
        <v>1921</v>
      </c>
      <c r="N318" s="561">
        <v>597</v>
      </c>
      <c r="O318" s="561">
        <v>310</v>
      </c>
      <c r="P318" s="561">
        <v>153</v>
      </c>
      <c r="Q318" s="561">
        <v>1657</v>
      </c>
      <c r="R318" s="561">
        <v>49</v>
      </c>
      <c r="S318" s="561">
        <v>617</v>
      </c>
      <c r="T318" s="561">
        <v>3290</v>
      </c>
      <c r="U318" s="561">
        <v>102</v>
      </c>
      <c r="V318" s="561">
        <v>1068</v>
      </c>
      <c r="W318" s="561">
        <v>0</v>
      </c>
      <c r="X318" s="561">
        <v>0</v>
      </c>
      <c r="Y318" s="561">
        <v>131</v>
      </c>
      <c r="Z318" s="561">
        <v>89</v>
      </c>
      <c r="AA318" s="561">
        <v>-4351</v>
      </c>
      <c r="AB318" s="561">
        <v>-2535</v>
      </c>
      <c r="AC318" s="561">
        <v>2963</v>
      </c>
      <c r="AD318" s="561">
        <v>38</v>
      </c>
      <c r="AE318" s="561">
        <v>0</v>
      </c>
      <c r="AF318" s="561">
        <v>0</v>
      </c>
      <c r="AG318" s="561">
        <v>0</v>
      </c>
      <c r="AH318" s="561">
        <v>421</v>
      </c>
      <c r="AI318" s="561">
        <v>0</v>
      </c>
      <c r="AJ318" s="561">
        <v>4599</v>
      </c>
      <c r="AK318" s="561">
        <v>94</v>
      </c>
      <c r="AL318" s="561">
        <v>0</v>
      </c>
      <c r="AM318" s="561">
        <v>0</v>
      </c>
      <c r="AN318" s="561">
        <v>0</v>
      </c>
      <c r="AO318" s="561">
        <v>0</v>
      </c>
      <c r="AP318" s="561">
        <v>0</v>
      </c>
      <c r="AQ318" s="561">
        <v>65</v>
      </c>
      <c r="AR318" s="561">
        <v>749</v>
      </c>
      <c r="AS318" s="561">
        <v>2051</v>
      </c>
      <c r="AT318" s="561">
        <v>4882</v>
      </c>
      <c r="AU318" s="561">
        <v>0</v>
      </c>
      <c r="AV318" s="561">
        <v>0</v>
      </c>
      <c r="AW318" s="561">
        <v>0</v>
      </c>
      <c r="AX318" s="561">
        <v>1017</v>
      </c>
      <c r="AY318" s="561">
        <v>30972</v>
      </c>
      <c r="AZ318" s="561">
        <v>316</v>
      </c>
      <c r="BA318" s="561">
        <v>4225</v>
      </c>
      <c r="BB318" s="561">
        <v>713</v>
      </c>
      <c r="BC318" s="561">
        <v>12858</v>
      </c>
      <c r="BD318" s="561">
        <v>1889</v>
      </c>
      <c r="BE318" s="561">
        <v>2198</v>
      </c>
      <c r="BF318" s="561">
        <v>54188</v>
      </c>
      <c r="BG318" s="561">
        <v>2780</v>
      </c>
      <c r="BH318" s="561">
        <v>5514</v>
      </c>
      <c r="BI318" s="561">
        <v>20188</v>
      </c>
      <c r="BJ318" s="561">
        <v>64</v>
      </c>
      <c r="BK318" s="561">
        <v>146</v>
      </c>
      <c r="BL318" s="561">
        <v>242</v>
      </c>
      <c r="BM318" s="561">
        <v>2981</v>
      </c>
      <c r="BN318" s="561">
        <v>20615</v>
      </c>
      <c r="BO318" s="561">
        <v>1802</v>
      </c>
      <c r="BP318" s="561">
        <v>5219</v>
      </c>
      <c r="BQ318" s="561">
        <v>1071</v>
      </c>
      <c r="BR318" s="561">
        <v>1293</v>
      </c>
      <c r="BS318" s="561">
        <v>777</v>
      </c>
      <c r="BT318" s="561">
        <v>259</v>
      </c>
      <c r="BU318" s="561">
        <v>0</v>
      </c>
      <c r="BV318" s="561">
        <v>1063</v>
      </c>
      <c r="BW318" s="561">
        <v>10523</v>
      </c>
      <c r="BX318" s="561">
        <v>181</v>
      </c>
      <c r="BY318" s="561">
        <v>528</v>
      </c>
      <c r="BZ318" s="561">
        <v>72466</v>
      </c>
      <c r="CA318" s="561">
        <v>1041</v>
      </c>
      <c r="CB318" s="561">
        <v>684</v>
      </c>
      <c r="CC318" s="561">
        <v>1052</v>
      </c>
      <c r="CD318" s="561">
        <v>153</v>
      </c>
      <c r="CE318" s="561">
        <v>245</v>
      </c>
      <c r="CF318" s="561">
        <v>490</v>
      </c>
      <c r="CG318" s="561">
        <v>70</v>
      </c>
      <c r="CH318" s="561">
        <v>118</v>
      </c>
      <c r="CI318" s="561">
        <v>132</v>
      </c>
      <c r="CJ318" s="561">
        <v>96</v>
      </c>
      <c r="CK318" s="561">
        <v>119</v>
      </c>
      <c r="CL318" s="561">
        <v>95</v>
      </c>
      <c r="CM318" s="561">
        <v>980</v>
      </c>
      <c r="CN318" s="561">
        <v>1476</v>
      </c>
      <c r="CO318" s="561">
        <v>78</v>
      </c>
      <c r="CP318" s="561">
        <v>78</v>
      </c>
      <c r="CQ318" s="561">
        <v>258</v>
      </c>
      <c r="CR318" s="561">
        <v>287</v>
      </c>
      <c r="CS318" s="561">
        <v>62</v>
      </c>
      <c r="CT318" s="561">
        <v>755</v>
      </c>
      <c r="CU318" s="561">
        <v>2854</v>
      </c>
      <c r="CV318" s="561">
        <v>777</v>
      </c>
      <c r="CW318" s="561">
        <v>65</v>
      </c>
      <c r="CX318" s="561">
        <v>35</v>
      </c>
      <c r="CY318" s="561">
        <v>921</v>
      </c>
      <c r="CZ318" s="561">
        <v>11880</v>
      </c>
      <c r="DA318" s="561">
        <v>44</v>
      </c>
      <c r="DB318" s="561">
        <v>261</v>
      </c>
      <c r="DC318" s="561">
        <v>0</v>
      </c>
      <c r="DD318" s="561">
        <v>28</v>
      </c>
      <c r="DE318" s="561">
        <v>0</v>
      </c>
      <c r="DF318" s="561">
        <v>0</v>
      </c>
      <c r="DG318" s="561">
        <v>0</v>
      </c>
      <c r="DH318" s="561">
        <v>2057</v>
      </c>
      <c r="DI318" s="561">
        <v>0</v>
      </c>
      <c r="DJ318" s="561">
        <v>0</v>
      </c>
      <c r="DK318" s="561">
        <v>0</v>
      </c>
      <c r="DL318" s="561">
        <v>473</v>
      </c>
      <c r="DM318" s="561">
        <v>0</v>
      </c>
      <c r="DN318" s="561">
        <v>0</v>
      </c>
      <c r="DO318" s="561">
        <v>110</v>
      </c>
      <c r="DP318" s="561">
        <v>1757</v>
      </c>
      <c r="DQ318" s="561">
        <v>0</v>
      </c>
      <c r="DR318" s="561">
        <v>0</v>
      </c>
      <c r="DS318" s="561">
        <v>1143</v>
      </c>
      <c r="DT318" s="561">
        <v>983</v>
      </c>
      <c r="DU318" s="561">
        <v>4466</v>
      </c>
      <c r="DV318" s="561">
        <v>0</v>
      </c>
      <c r="DW318" s="561">
        <v>0</v>
      </c>
      <c r="DX318" s="561">
        <v>412</v>
      </c>
      <c r="DY318" s="561">
        <v>1407</v>
      </c>
      <c r="DZ318" s="561">
        <v>0</v>
      </c>
      <c r="EA318" s="561">
        <v>1304</v>
      </c>
      <c r="EB318" s="561">
        <v>0</v>
      </c>
      <c r="EC318" s="561">
        <v>9646</v>
      </c>
      <c r="ED318" s="561">
        <v>20</v>
      </c>
      <c r="EE318" s="561">
        <v>32455</v>
      </c>
      <c r="EF318" s="561">
        <v>1931</v>
      </c>
      <c r="EG318" s="561">
        <v>954</v>
      </c>
      <c r="EH318" s="561">
        <v>473</v>
      </c>
      <c r="EI318" s="561">
        <v>0</v>
      </c>
      <c r="EJ318" s="561">
        <v>2194</v>
      </c>
      <c r="EK318" s="561">
        <v>0</v>
      </c>
      <c r="EL318" s="561">
        <v>0</v>
      </c>
      <c r="EM318" s="561">
        <v>0</v>
      </c>
      <c r="EN318" s="561">
        <v>8216</v>
      </c>
      <c r="EO318" s="561">
        <v>9553</v>
      </c>
      <c r="EP318" s="561">
        <v>123</v>
      </c>
      <c r="EQ318" s="561">
        <v>981</v>
      </c>
      <c r="ER318" s="561">
        <v>4347</v>
      </c>
      <c r="ES318" s="561" t="s">
        <v>4565</v>
      </c>
      <c r="ET318" s="561">
        <v>0</v>
      </c>
      <c r="EU318" s="561">
        <v>13266</v>
      </c>
      <c r="EV318" s="561">
        <v>0</v>
      </c>
      <c r="EW318" s="561">
        <v>0</v>
      </c>
      <c r="EX318" s="561">
        <v>22</v>
      </c>
      <c r="EY318" s="561">
        <v>-117</v>
      </c>
      <c r="EZ318" s="561">
        <v>1616</v>
      </c>
      <c r="FA318" s="561">
        <v>36356</v>
      </c>
      <c r="FB318" s="561">
        <v>0</v>
      </c>
      <c r="FC318" s="561">
        <v>142</v>
      </c>
      <c r="FD318" s="561">
        <v>0</v>
      </c>
      <c r="FE318" s="561">
        <v>1603</v>
      </c>
      <c r="FF318" s="561">
        <v>77</v>
      </c>
      <c r="FG318" s="561">
        <v>10</v>
      </c>
      <c r="FH318" s="561">
        <v>1050</v>
      </c>
      <c r="FI318" s="561">
        <v>68</v>
      </c>
      <c r="FJ318" s="561">
        <v>-34</v>
      </c>
      <c r="FK318" s="561">
        <v>3292</v>
      </c>
      <c r="FL318" s="561">
        <v>3</v>
      </c>
      <c r="FM318" s="561">
        <v>641</v>
      </c>
      <c r="FN318" s="561">
        <v>3690</v>
      </c>
      <c r="FO318" s="561">
        <v>10542</v>
      </c>
      <c r="FP318" s="561">
        <v>396</v>
      </c>
      <c r="FQ318" s="561">
        <v>-961</v>
      </c>
      <c r="FR318" s="561">
        <v>324</v>
      </c>
      <c r="FS318" s="561">
        <v>0</v>
      </c>
      <c r="FT318" s="561">
        <v>341</v>
      </c>
      <c r="FU318" s="561">
        <v>462</v>
      </c>
      <c r="FV318" s="561">
        <v>576</v>
      </c>
      <c r="FW318" s="561">
        <v>86</v>
      </c>
      <c r="FX318" s="561">
        <v>0</v>
      </c>
      <c r="FY318" s="561">
        <v>0</v>
      </c>
      <c r="FZ318" s="561">
        <v>0</v>
      </c>
      <c r="GA318" s="561">
        <v>654</v>
      </c>
      <c r="GB318" s="561">
        <v>226</v>
      </c>
      <c r="GC318" s="561">
        <v>-32</v>
      </c>
      <c r="GD318" s="561">
        <v>1567</v>
      </c>
      <c r="GE318" s="561">
        <v>0</v>
      </c>
      <c r="GF318" s="561">
        <v>841</v>
      </c>
      <c r="GG318" s="561">
        <v>326</v>
      </c>
      <c r="GH318" s="561">
        <v>0</v>
      </c>
      <c r="GI318" s="561">
        <v>0</v>
      </c>
      <c r="GJ318" s="561">
        <v>0</v>
      </c>
      <c r="GK318" s="561">
        <v>0</v>
      </c>
      <c r="GL318" s="561">
        <v>1928</v>
      </c>
      <c r="GM318" s="561">
        <v>7754</v>
      </c>
      <c r="GN318" s="561">
        <v>7418</v>
      </c>
      <c r="GO318" s="561">
        <v>0</v>
      </c>
      <c r="GP318" s="561">
        <v>0</v>
      </c>
      <c r="GQ318" s="561">
        <v>0</v>
      </c>
      <c r="GR318" s="561">
        <v>282</v>
      </c>
      <c r="GS318" s="561">
        <v>21792</v>
      </c>
      <c r="GT318" s="561">
        <v>287</v>
      </c>
      <c r="GU318" s="561">
        <v>522</v>
      </c>
      <c r="GV318" s="561">
        <v>454</v>
      </c>
      <c r="GW318" s="561">
        <v>0</v>
      </c>
      <c r="GX318" s="561">
        <v>693</v>
      </c>
      <c r="GY318" s="561">
        <v>0</v>
      </c>
      <c r="GZ318" s="561">
        <v>1347</v>
      </c>
      <c r="HA318" s="561">
        <v>0</v>
      </c>
      <c r="HB318" s="561">
        <v>56</v>
      </c>
      <c r="HC318" s="561">
        <v>0</v>
      </c>
      <c r="HD318" s="561">
        <v>3072</v>
      </c>
      <c r="HE318" s="561">
        <v>69</v>
      </c>
      <c r="HF318" s="561">
        <v>35406</v>
      </c>
      <c r="HG318" s="561">
        <v>752</v>
      </c>
      <c r="HH318" s="561">
        <v>0</v>
      </c>
      <c r="HI318" s="561">
        <v>0</v>
      </c>
      <c r="HJ318" s="561">
        <v>0</v>
      </c>
      <c r="HK318" s="561">
        <v>0</v>
      </c>
      <c r="HL318" s="561">
        <v>0</v>
      </c>
      <c r="HM318" s="561">
        <v>0</v>
      </c>
      <c r="HN318" s="561">
        <v>0</v>
      </c>
      <c r="HO318" s="561">
        <v>5460</v>
      </c>
      <c r="HP318" s="561">
        <v>1101</v>
      </c>
      <c r="HQ318" s="561">
        <v>0</v>
      </c>
      <c r="HR318" s="561">
        <v>0</v>
      </c>
      <c r="HS318" s="561">
        <v>0</v>
      </c>
      <c r="HT318" s="561">
        <v>207</v>
      </c>
      <c r="HU318" s="561">
        <v>0</v>
      </c>
      <c r="HV318" s="561">
        <v>-33</v>
      </c>
      <c r="HW318" s="561">
        <v>353</v>
      </c>
      <c r="HX318" s="561">
        <v>164</v>
      </c>
      <c r="HY318" s="561">
        <v>251</v>
      </c>
      <c r="HZ318" s="561">
        <v>-33</v>
      </c>
      <c r="IA318" s="561">
        <v>474</v>
      </c>
      <c r="IB318" s="561">
        <v>814</v>
      </c>
      <c r="IC318" s="561">
        <v>0</v>
      </c>
      <c r="ID318" s="561">
        <v>0</v>
      </c>
      <c r="IE318" s="561">
        <v>-464</v>
      </c>
      <c r="IF318" s="561">
        <v>0</v>
      </c>
      <c r="IG318" s="561">
        <v>0</v>
      </c>
      <c r="IH318" s="561">
        <v>3277</v>
      </c>
      <c r="II318" s="561">
        <v>11571</v>
      </c>
      <c r="IJ318" s="561">
        <v>847</v>
      </c>
      <c r="IK318" s="561">
        <v>2022</v>
      </c>
      <c r="IL318" s="561">
        <v>22218</v>
      </c>
      <c r="IM318" s="561">
        <v>0</v>
      </c>
      <c r="IN318" s="561">
        <v>613</v>
      </c>
      <c r="IO318" s="561">
        <v>1689</v>
      </c>
      <c r="IP318" s="561">
        <v>0</v>
      </c>
      <c r="IQ318" s="561">
        <v>0</v>
      </c>
      <c r="IR318" s="561">
        <v>88439</v>
      </c>
      <c r="IS318" s="561">
        <v>4599</v>
      </c>
      <c r="IT318" s="561">
        <v>54188</v>
      </c>
      <c r="IU318" s="561">
        <v>72466</v>
      </c>
      <c r="IV318" s="561">
        <v>11880</v>
      </c>
      <c r="IW318" s="561">
        <v>9646</v>
      </c>
      <c r="IX318" s="561">
        <v>10542</v>
      </c>
      <c r="IY318" s="561">
        <v>21792</v>
      </c>
      <c r="IZ318" s="561">
        <v>3072</v>
      </c>
      <c r="JA318" s="561">
        <v>0</v>
      </c>
      <c r="JB318" s="561">
        <v>0</v>
      </c>
      <c r="JC318" s="561">
        <v>11571</v>
      </c>
      <c r="JD318" s="561">
        <v>0</v>
      </c>
      <c r="JE318" s="561">
        <v>288195</v>
      </c>
      <c r="JF318" s="561">
        <v>36994</v>
      </c>
      <c r="JG318" s="561">
        <v>0</v>
      </c>
      <c r="JH318" s="561">
        <v>16624</v>
      </c>
      <c r="JI318" s="561">
        <v>0</v>
      </c>
      <c r="JJ318" s="561">
        <v>0</v>
      </c>
      <c r="JK318" s="561">
        <v>467</v>
      </c>
      <c r="JL318" s="561">
        <v>0</v>
      </c>
      <c r="JM318" s="561">
        <v>0</v>
      </c>
      <c r="JN318" s="561">
        <v>0</v>
      </c>
      <c r="JO318" s="561">
        <v>747</v>
      </c>
      <c r="JP318" s="561">
        <v>-4114</v>
      </c>
      <c r="JQ318" s="561">
        <v>1755</v>
      </c>
      <c r="JR318" s="561">
        <v>383</v>
      </c>
      <c r="JS318" s="561">
        <v>-68</v>
      </c>
      <c r="JT318" s="561">
        <v>1309</v>
      </c>
      <c r="JU318" s="561">
        <v>0</v>
      </c>
      <c r="JV318" s="561">
        <v>342292</v>
      </c>
      <c r="JW318" s="561">
        <v>220</v>
      </c>
      <c r="JX318" s="561">
        <v>506</v>
      </c>
      <c r="JY318" s="561">
        <v>0</v>
      </c>
      <c r="JZ318" s="561">
        <v>0</v>
      </c>
      <c r="KA318" s="561">
        <v>0</v>
      </c>
      <c r="KB318" s="561">
        <v>200</v>
      </c>
      <c r="KC318" s="561">
        <v>7452</v>
      </c>
      <c r="KD318" s="561">
        <v>232</v>
      </c>
      <c r="KE318" s="561">
        <v>12892</v>
      </c>
      <c r="KF318" s="561">
        <v>-2153</v>
      </c>
      <c r="KG318" s="561">
        <v>361641</v>
      </c>
      <c r="KH318" s="561">
        <v>-10728</v>
      </c>
      <c r="KI318" s="561">
        <v>0</v>
      </c>
      <c r="KJ318" s="561">
        <v>6486</v>
      </c>
      <c r="KK318" s="561">
        <v>0</v>
      </c>
      <c r="KL318" s="561">
        <v>-57961</v>
      </c>
      <c r="KM318" s="561">
        <v>0</v>
      </c>
      <c r="KN318" s="561">
        <v>0</v>
      </c>
      <c r="KO318" s="561">
        <v>0</v>
      </c>
      <c r="KP318" s="561">
        <v>0</v>
      </c>
      <c r="KQ318" s="561">
        <v>0</v>
      </c>
      <c r="KR318" s="561">
        <v>299438</v>
      </c>
      <c r="KS318" s="561">
        <v>0</v>
      </c>
      <c r="KT318" s="561">
        <v>-124976</v>
      </c>
      <c r="KU318" s="561">
        <v>174462</v>
      </c>
      <c r="KV318" s="561">
        <v>0</v>
      </c>
      <c r="KW318" s="561">
        <v>-109</v>
      </c>
      <c r="KX318" s="561">
        <v>-4550</v>
      </c>
      <c r="KY318" s="561">
        <v>-141</v>
      </c>
      <c r="KZ318" s="561">
        <v>-10323</v>
      </c>
      <c r="LA318" s="561">
        <v>1000</v>
      </c>
      <c r="LB318" s="561">
        <v>-7590</v>
      </c>
      <c r="LC318" s="561">
        <v>0</v>
      </c>
      <c r="LD318" s="561">
        <v>-47786</v>
      </c>
      <c r="LE318" s="561">
        <v>-1000</v>
      </c>
      <c r="LF318" s="561">
        <v>0</v>
      </c>
      <c r="LG318" s="561">
        <v>103962</v>
      </c>
      <c r="LH318" s="561">
        <v>3725</v>
      </c>
      <c r="LI318" s="561">
        <v>0</v>
      </c>
      <c r="LJ318" s="561">
        <v>11648</v>
      </c>
      <c r="LK318" s="561">
        <v>1659</v>
      </c>
      <c r="LL318" s="561">
        <v>61156</v>
      </c>
      <c r="LM318" s="561">
        <v>10000</v>
      </c>
      <c r="LN318" s="561">
        <v>3616</v>
      </c>
      <c r="LO318" s="561">
        <v>0</v>
      </c>
      <c r="LP318" s="561">
        <v>7098</v>
      </c>
      <c r="LQ318" s="561">
        <v>1518</v>
      </c>
      <c r="LR318" s="561">
        <v>50833</v>
      </c>
      <c r="LS318" s="561">
        <v>11000</v>
      </c>
      <c r="LT318" s="561">
        <v>0</v>
      </c>
      <c r="LU318" s="561">
        <v>14935</v>
      </c>
      <c r="LV318" s="561">
        <v>17912</v>
      </c>
      <c r="LW318" s="561">
        <v>-678</v>
      </c>
      <c r="LX318" s="561">
        <v>-8541</v>
      </c>
      <c r="LY318" s="561">
        <v>7955</v>
      </c>
      <c r="LZ318" s="561">
        <v>30389</v>
      </c>
      <c r="MA318" s="561">
        <v>0</v>
      </c>
      <c r="MB318" s="561">
        <v>0</v>
      </c>
      <c r="MC318" s="561">
        <v>38007</v>
      </c>
      <c r="MD318" s="561">
        <v>36391</v>
      </c>
      <c r="ME318" s="561">
        <v>1616</v>
      </c>
      <c r="MF318" s="561">
        <v>36356</v>
      </c>
      <c r="MG318" s="561">
        <v>37972</v>
      </c>
      <c r="MH318" s="561">
        <v>5640</v>
      </c>
      <c r="MI318" s="561">
        <v>5836</v>
      </c>
      <c r="MJ318" s="561">
        <v>11476</v>
      </c>
      <c r="MK318" s="561">
        <v>0</v>
      </c>
      <c r="ML318" s="561">
        <v>0</v>
      </c>
      <c r="MM318" s="561">
        <v>36158</v>
      </c>
      <c r="MN318" s="561">
        <v>4217</v>
      </c>
      <c r="MO318" s="561">
        <v>10407</v>
      </c>
      <c r="MP318" s="561">
        <v>51</v>
      </c>
      <c r="MQ318" s="561">
        <v>88439</v>
      </c>
      <c r="MR318" s="561">
        <v>4599</v>
      </c>
      <c r="MS318" s="561">
        <v>54188</v>
      </c>
      <c r="MT318" s="561">
        <v>72466</v>
      </c>
      <c r="MU318" s="561">
        <v>11880</v>
      </c>
      <c r="MV318" s="561">
        <v>9646</v>
      </c>
      <c r="MW318" s="561">
        <v>10542</v>
      </c>
      <c r="MX318" s="561">
        <v>21792</v>
      </c>
      <c r="MY318" s="561">
        <v>3072</v>
      </c>
      <c r="MZ318" s="561">
        <v>0</v>
      </c>
      <c r="NA318" s="561">
        <v>0</v>
      </c>
      <c r="NB318" s="561">
        <v>11571</v>
      </c>
      <c r="NC318" s="561">
        <v>0</v>
      </c>
      <c r="ND318" s="561">
        <v>288195</v>
      </c>
      <c r="NE318" s="561">
        <v>0</v>
      </c>
      <c r="NF318" s="561">
        <v>0</v>
      </c>
      <c r="NG318" s="561">
        <v>0</v>
      </c>
      <c r="NH318" s="561">
        <v>0</v>
      </c>
      <c r="NI318" s="561">
        <v>0</v>
      </c>
      <c r="NJ318" s="561">
        <v>0</v>
      </c>
      <c r="NK318" s="561">
        <v>0</v>
      </c>
      <c r="NL318" s="561">
        <v>0</v>
      </c>
      <c r="NM318" s="561">
        <v>0</v>
      </c>
      <c r="NN318" s="561">
        <v>0</v>
      </c>
      <c r="NO318" s="561">
        <v>0</v>
      </c>
      <c r="NP318" s="561">
        <v>0</v>
      </c>
      <c r="NQ318" s="561">
        <v>0</v>
      </c>
      <c r="NR318" s="561">
        <v>-19</v>
      </c>
      <c r="NS318" s="561">
        <v>-3638</v>
      </c>
      <c r="NT318" s="561">
        <v>-74</v>
      </c>
      <c r="NU318" s="561">
        <v>-6177</v>
      </c>
      <c r="NV318" s="561">
        <v>0</v>
      </c>
      <c r="NW318" s="561">
        <v>-3731</v>
      </c>
      <c r="NX318" s="561">
        <v>-383</v>
      </c>
      <c r="NY318" s="561">
        <v>-4114</v>
      </c>
      <c r="NZ318" s="561">
        <v>0</v>
      </c>
      <c r="OA318" s="561">
        <v>0</v>
      </c>
      <c r="OB318" s="561">
        <v>0</v>
      </c>
      <c r="OC318" s="561">
        <v>0</v>
      </c>
      <c r="OD318" s="561">
        <v>0</v>
      </c>
      <c r="OE318" s="561">
        <v>0</v>
      </c>
      <c r="OF318" s="561">
        <v>0</v>
      </c>
      <c r="OG318" s="561">
        <v>0</v>
      </c>
      <c r="OH318" s="561">
        <v>0</v>
      </c>
      <c r="OI318" s="561">
        <v>0</v>
      </c>
      <c r="OJ318" s="561">
        <v>0</v>
      </c>
      <c r="OK318" s="561">
        <v>0</v>
      </c>
      <c r="OL318" s="561">
        <v>1687</v>
      </c>
      <c r="OM318" s="561">
        <v>0</v>
      </c>
      <c r="ON318" s="561">
        <v>0</v>
      </c>
      <c r="OO318" s="561">
        <v>0</v>
      </c>
      <c r="OP318" s="561">
        <v>0</v>
      </c>
      <c r="OQ318" s="561">
        <v>0</v>
      </c>
      <c r="OR318" s="561">
        <v>0</v>
      </c>
      <c r="OS318" s="561">
        <v>0</v>
      </c>
      <c r="OT318" s="561">
        <v>0</v>
      </c>
      <c r="OU318" s="561">
        <v>0</v>
      </c>
      <c r="OV318" s="561">
        <v>0</v>
      </c>
      <c r="OW318" s="561">
        <v>68</v>
      </c>
      <c r="OX318" s="561">
        <v>1755</v>
      </c>
      <c r="OY318" s="561">
        <v>383</v>
      </c>
      <c r="OZ318" s="561">
        <v>442</v>
      </c>
      <c r="PA318" s="561">
        <v>-1208</v>
      </c>
      <c r="PB318" s="561">
        <v>0</v>
      </c>
      <c r="PC318" s="561">
        <v>0</v>
      </c>
      <c r="PD318" s="561">
        <v>-383</v>
      </c>
      <c r="PE318" s="561">
        <v>41</v>
      </c>
      <c r="PF318" s="561">
        <v>27</v>
      </c>
      <c r="PG318" s="561">
        <v>0</v>
      </c>
      <c r="PH318" s="561">
        <v>-38</v>
      </c>
      <c r="PI318" s="561">
        <v>38</v>
      </c>
      <c r="PJ318" s="561">
        <v>68</v>
      </c>
    </row>
    <row r="319" spans="1:426" ht="14" x14ac:dyDescent="0.3">
      <c r="A319" t="s">
        <v>3400</v>
      </c>
      <c r="B319" t="s">
        <v>3401</v>
      </c>
      <c r="C319" t="s">
        <v>3402</v>
      </c>
      <c r="E319" t="s">
        <v>2476</v>
      </c>
      <c r="F319" s="561">
        <v>24404.29</v>
      </c>
      <c r="G319" s="561">
        <v>97242.82</v>
      </c>
      <c r="H319" s="561">
        <v>15879.31</v>
      </c>
      <c r="I319" s="561">
        <v>58144.91</v>
      </c>
      <c r="J319" s="561">
        <v>2675.28</v>
      </c>
      <c r="K319" s="561">
        <v>37649.51</v>
      </c>
      <c r="L319" s="561">
        <v>235996.12</v>
      </c>
      <c r="M319" s="561">
        <v>0</v>
      </c>
      <c r="N319" s="561">
        <v>2625.71</v>
      </c>
      <c r="O319" s="561">
        <v>290.92</v>
      </c>
      <c r="P319" s="561">
        <v>0</v>
      </c>
      <c r="Q319" s="561">
        <v>126.76</v>
      </c>
      <c r="R319" s="561">
        <v>0</v>
      </c>
      <c r="S319" s="561">
        <v>2984.47</v>
      </c>
      <c r="T319" s="561">
        <v>4532.49</v>
      </c>
      <c r="U319" s="561">
        <v>151.05000000000001</v>
      </c>
      <c r="V319" s="561">
        <v>4434.46</v>
      </c>
      <c r="W319" s="561">
        <v>-2.59</v>
      </c>
      <c r="X319" s="561">
        <v>0</v>
      </c>
      <c r="Y319" s="561">
        <v>577.99</v>
      </c>
      <c r="Z319" s="561">
        <v>-985.88</v>
      </c>
      <c r="AA319" s="561">
        <v>-22070.95</v>
      </c>
      <c r="AB319" s="561">
        <v>131.69999999999999</v>
      </c>
      <c r="AC319" s="561">
        <v>11682.66</v>
      </c>
      <c r="AD319" s="561">
        <v>0</v>
      </c>
      <c r="AE319" s="561">
        <v>0</v>
      </c>
      <c r="AF319" s="561">
        <v>0</v>
      </c>
      <c r="AG319" s="561">
        <v>0</v>
      </c>
      <c r="AH319" s="561">
        <v>0</v>
      </c>
      <c r="AI319" s="561">
        <v>0</v>
      </c>
      <c r="AJ319" s="561">
        <v>4478.79</v>
      </c>
      <c r="AK319" s="561">
        <v>0</v>
      </c>
      <c r="AL319" s="561">
        <v>0</v>
      </c>
      <c r="AM319" s="561">
        <v>0</v>
      </c>
      <c r="AN319" s="561">
        <v>0</v>
      </c>
      <c r="AO319" s="561">
        <v>0</v>
      </c>
      <c r="AP319" s="561">
        <v>0</v>
      </c>
      <c r="AQ319" s="561">
        <v>0</v>
      </c>
      <c r="AR319" s="561">
        <v>0</v>
      </c>
      <c r="AS319" s="561">
        <v>18266</v>
      </c>
      <c r="AT319" s="561">
        <v>19098</v>
      </c>
      <c r="AU319" s="561">
        <v>0</v>
      </c>
      <c r="AV319" s="561">
        <v>0</v>
      </c>
      <c r="AW319" s="561">
        <v>0</v>
      </c>
      <c r="AX319" s="561">
        <v>5487.94</v>
      </c>
      <c r="AY319" s="561">
        <v>43888.84</v>
      </c>
      <c r="AZ319" s="561">
        <v>2860.12</v>
      </c>
      <c r="BA319" s="561">
        <v>11617.35</v>
      </c>
      <c r="BB319" s="561">
        <v>3402.25</v>
      </c>
      <c r="BC319" s="561">
        <v>28581.42</v>
      </c>
      <c r="BD319" s="561">
        <v>7062.49</v>
      </c>
      <c r="BE319" s="561">
        <v>1761.8</v>
      </c>
      <c r="BF319" s="561">
        <v>104662.21</v>
      </c>
      <c r="BG319" s="561">
        <v>0</v>
      </c>
      <c r="BH319" s="561">
        <v>7667.66</v>
      </c>
      <c r="BI319" s="561">
        <v>23930.65</v>
      </c>
      <c r="BJ319" s="561">
        <v>214.88</v>
      </c>
      <c r="BK319" s="561">
        <v>355.27</v>
      </c>
      <c r="BL319" s="561">
        <v>490.62</v>
      </c>
      <c r="BM319" s="561">
        <v>3014.18</v>
      </c>
      <c r="BN319" s="561">
        <v>29081.56</v>
      </c>
      <c r="BO319" s="561">
        <v>4312.49</v>
      </c>
      <c r="BP319" s="561">
        <v>5715.51</v>
      </c>
      <c r="BQ319" s="561">
        <v>1426.11</v>
      </c>
      <c r="BR319" s="561">
        <v>400.98</v>
      </c>
      <c r="BS319" s="561">
        <v>4208.62</v>
      </c>
      <c r="BT319" s="561">
        <v>711.04</v>
      </c>
      <c r="BU319" s="561">
        <v>1162.6400000000001</v>
      </c>
      <c r="BV319" s="561">
        <v>677.8</v>
      </c>
      <c r="BW319" s="561">
        <v>12878.04</v>
      </c>
      <c r="BX319" s="561">
        <v>1698.24</v>
      </c>
      <c r="BY319" s="561">
        <v>17675.59</v>
      </c>
      <c r="BZ319" s="561">
        <v>115621.88</v>
      </c>
      <c r="CA319" s="561">
        <v>0</v>
      </c>
      <c r="CB319" s="561">
        <v>7013.74</v>
      </c>
      <c r="CC319" s="561">
        <v>1588.71</v>
      </c>
      <c r="CD319" s="561">
        <v>276.07</v>
      </c>
      <c r="CE319" s="561">
        <v>668.66</v>
      </c>
      <c r="CF319" s="561">
        <v>662.5</v>
      </c>
      <c r="CG319" s="561">
        <v>0</v>
      </c>
      <c r="CH319" s="561">
        <v>2391.14</v>
      </c>
      <c r="CI319" s="561">
        <v>396.15</v>
      </c>
      <c r="CJ319" s="561">
        <v>1287.97</v>
      </c>
      <c r="CK319" s="561">
        <v>0</v>
      </c>
      <c r="CL319" s="561">
        <v>0</v>
      </c>
      <c r="CM319" s="561">
        <v>4274.82</v>
      </c>
      <c r="CN319" s="561">
        <v>0</v>
      </c>
      <c r="CO319" s="561">
        <v>99.03</v>
      </c>
      <c r="CP319" s="561">
        <v>0</v>
      </c>
      <c r="CQ319" s="561">
        <v>0</v>
      </c>
      <c r="CR319" s="561">
        <v>533.54999999999995</v>
      </c>
      <c r="CS319" s="561">
        <v>0</v>
      </c>
      <c r="CT319" s="561">
        <v>1197.1600000000001</v>
      </c>
      <c r="CU319" s="561">
        <v>5910.35</v>
      </c>
      <c r="CV319" s="561">
        <v>0</v>
      </c>
      <c r="CW319" s="561">
        <v>0</v>
      </c>
      <c r="CX319" s="561">
        <v>0</v>
      </c>
      <c r="CY319" s="561">
        <v>1815.18</v>
      </c>
      <c r="CZ319" s="561">
        <v>28115.03</v>
      </c>
      <c r="DA319" s="561">
        <v>0</v>
      </c>
      <c r="DB319" s="561">
        <v>0</v>
      </c>
      <c r="DC319" s="561">
        <v>0</v>
      </c>
      <c r="DD319" s="561">
        <v>0</v>
      </c>
      <c r="DE319" s="561">
        <v>0</v>
      </c>
      <c r="DF319" s="561">
        <v>0</v>
      </c>
      <c r="DG319" s="561">
        <v>0</v>
      </c>
      <c r="DH319" s="561">
        <v>0</v>
      </c>
      <c r="DI319" s="561">
        <v>0</v>
      </c>
      <c r="DJ319" s="561">
        <v>2156.7600000000002</v>
      </c>
      <c r="DK319" s="561">
        <v>150.47</v>
      </c>
      <c r="DL319" s="561">
        <v>28214</v>
      </c>
      <c r="DM319" s="561">
        <v>7478</v>
      </c>
      <c r="DN319" s="561">
        <v>0</v>
      </c>
      <c r="DO319" s="561">
        <v>0</v>
      </c>
      <c r="DP319" s="561">
        <v>0</v>
      </c>
      <c r="DQ319" s="561">
        <v>0</v>
      </c>
      <c r="DR319" s="561">
        <v>11270.48</v>
      </c>
      <c r="DS319" s="561">
        <v>86.05</v>
      </c>
      <c r="DT319" s="561">
        <v>0</v>
      </c>
      <c r="DU319" s="561">
        <v>47048.53</v>
      </c>
      <c r="DV319" s="561">
        <v>0</v>
      </c>
      <c r="DW319" s="561">
        <v>0</v>
      </c>
      <c r="DX319" s="561">
        <v>0</v>
      </c>
      <c r="DY319" s="561">
        <v>0</v>
      </c>
      <c r="DZ319" s="561">
        <v>512.33000000000004</v>
      </c>
      <c r="EA319" s="561">
        <v>-1006.06</v>
      </c>
      <c r="EB319" s="561">
        <v>49.75</v>
      </c>
      <c r="EC319" s="561">
        <v>48911.78</v>
      </c>
      <c r="ED319" s="561">
        <v>0</v>
      </c>
      <c r="EE319" s="561">
        <v>250126</v>
      </c>
      <c r="EF319" s="561">
        <v>7341</v>
      </c>
      <c r="EG319" s="561">
        <v>89640</v>
      </c>
      <c r="EH319" s="561">
        <v>2203</v>
      </c>
      <c r="EI319" s="561">
        <v>22696</v>
      </c>
      <c r="EJ319" s="561">
        <v>5131</v>
      </c>
      <c r="EK319" s="561">
        <v>35309</v>
      </c>
      <c r="EL319" s="561">
        <v>0</v>
      </c>
      <c r="EM319" s="561">
        <v>0</v>
      </c>
      <c r="EN319" s="561">
        <v>36925</v>
      </c>
      <c r="EO319" s="561">
        <v>169390</v>
      </c>
      <c r="EP319" s="561">
        <v>0</v>
      </c>
      <c r="EQ319" s="561">
        <v>14916</v>
      </c>
      <c r="ER319" s="561">
        <v>38680</v>
      </c>
      <c r="ES319" s="561" t="s">
        <v>4565</v>
      </c>
      <c r="ET319" s="561">
        <v>136744</v>
      </c>
      <c r="EU319" s="561">
        <v>0</v>
      </c>
      <c r="EV319" s="561">
        <v>2986</v>
      </c>
      <c r="EW319" s="561">
        <v>597</v>
      </c>
      <c r="EX319" s="561">
        <v>4672</v>
      </c>
      <c r="EY319" s="561">
        <v>3598</v>
      </c>
      <c r="EZ319" s="561">
        <v>3938</v>
      </c>
      <c r="FA319" s="561">
        <v>16922</v>
      </c>
      <c r="FB319" s="561">
        <v>209.4</v>
      </c>
      <c r="FC319" s="561">
        <v>466.07</v>
      </c>
      <c r="FD319" s="561">
        <v>0</v>
      </c>
      <c r="FE319" s="561">
        <v>369.64</v>
      </c>
      <c r="FF319" s="561">
        <v>-307.63</v>
      </c>
      <c r="FG319" s="561">
        <v>0</v>
      </c>
      <c r="FH319" s="561">
        <v>0</v>
      </c>
      <c r="FI319" s="561">
        <v>280.24</v>
      </c>
      <c r="FJ319" s="561">
        <v>8807.5499999999993</v>
      </c>
      <c r="FK319" s="561">
        <v>5668.33</v>
      </c>
      <c r="FL319" s="561">
        <v>0</v>
      </c>
      <c r="FM319" s="561">
        <v>0</v>
      </c>
      <c r="FN319" s="561">
        <v>8860.06</v>
      </c>
      <c r="FO319" s="561">
        <v>24353.66</v>
      </c>
      <c r="FP319" s="561">
        <v>0</v>
      </c>
      <c r="FQ319" s="561">
        <v>-793.24</v>
      </c>
      <c r="FR319" s="561">
        <v>483.88</v>
      </c>
      <c r="FS319" s="561">
        <v>0</v>
      </c>
      <c r="FT319" s="561">
        <v>1268.6300000000001</v>
      </c>
      <c r="FU319" s="561">
        <v>2781.26</v>
      </c>
      <c r="FV319" s="561">
        <v>-2741.84</v>
      </c>
      <c r="FW319" s="561">
        <v>0</v>
      </c>
      <c r="FX319" s="561">
        <v>0</v>
      </c>
      <c r="FY319" s="561">
        <v>0</v>
      </c>
      <c r="FZ319" s="561">
        <v>-53.65</v>
      </c>
      <c r="GA319" s="561">
        <v>0</v>
      </c>
      <c r="GB319" s="561">
        <v>229.63</v>
      </c>
      <c r="GC319" s="561">
        <v>808.24</v>
      </c>
      <c r="GD319" s="561">
        <v>2032.57</v>
      </c>
      <c r="GE319" s="561">
        <v>1968.71</v>
      </c>
      <c r="GF319" s="561">
        <v>1366.63</v>
      </c>
      <c r="GG319" s="561">
        <v>429.53</v>
      </c>
      <c r="GH319" s="561">
        <v>0</v>
      </c>
      <c r="GI319" s="561">
        <v>0</v>
      </c>
      <c r="GJ319" s="561">
        <v>0</v>
      </c>
      <c r="GK319" s="561">
        <v>0</v>
      </c>
      <c r="GL319" s="561">
        <v>11618.16</v>
      </c>
      <c r="GM319" s="561">
        <v>8871.68</v>
      </c>
      <c r="GN319" s="561">
        <v>18782.98</v>
      </c>
      <c r="GO319" s="561">
        <v>172.45</v>
      </c>
      <c r="GP319" s="561">
        <v>0</v>
      </c>
      <c r="GQ319" s="561">
        <v>0</v>
      </c>
      <c r="GR319" s="561">
        <v>0</v>
      </c>
      <c r="GS319" s="561">
        <v>47225.62</v>
      </c>
      <c r="GT319" s="561">
        <v>0</v>
      </c>
      <c r="GU319" s="561">
        <v>1276.27</v>
      </c>
      <c r="GV319" s="561">
        <v>1545.64</v>
      </c>
      <c r="GW319" s="561">
        <v>0</v>
      </c>
      <c r="GX319" s="561">
        <v>229.5</v>
      </c>
      <c r="GY319" s="561">
        <v>1015.97</v>
      </c>
      <c r="GZ319" s="561">
        <v>8216.9599999999991</v>
      </c>
      <c r="HA319" s="561">
        <v>0</v>
      </c>
      <c r="HB319" s="561">
        <v>-265.58999999999997</v>
      </c>
      <c r="HC319" s="561">
        <v>4944.1899999999996</v>
      </c>
      <c r="HD319" s="561">
        <v>16962.939999999999</v>
      </c>
      <c r="HE319" s="561">
        <v>0</v>
      </c>
      <c r="HF319" s="561">
        <v>88542.22</v>
      </c>
      <c r="HG319" s="561">
        <v>0</v>
      </c>
      <c r="HH319" s="561">
        <v>0</v>
      </c>
      <c r="HI319" s="561">
        <v>0</v>
      </c>
      <c r="HJ319" s="561">
        <v>0</v>
      </c>
      <c r="HK319" s="561">
        <v>0</v>
      </c>
      <c r="HL319" s="561">
        <v>0</v>
      </c>
      <c r="HM319" s="561">
        <v>0</v>
      </c>
      <c r="HN319" s="561">
        <v>0</v>
      </c>
      <c r="HO319" s="561">
        <v>11026.2</v>
      </c>
      <c r="HP319" s="561">
        <v>459.91</v>
      </c>
      <c r="HQ319" s="561">
        <v>0</v>
      </c>
      <c r="HR319" s="561">
        <v>0</v>
      </c>
      <c r="HS319" s="561">
        <v>0</v>
      </c>
      <c r="HT319" s="561">
        <v>-65.2</v>
      </c>
      <c r="HU319" s="561">
        <v>0</v>
      </c>
      <c r="HV319" s="561">
        <v>-158.54</v>
      </c>
      <c r="HW319" s="561">
        <v>753.35</v>
      </c>
      <c r="HX319" s="561">
        <v>-664.01</v>
      </c>
      <c r="HY319" s="561">
        <v>228.21</v>
      </c>
      <c r="HZ319" s="561">
        <v>-560.84</v>
      </c>
      <c r="IA319" s="561">
        <v>240.41</v>
      </c>
      <c r="IB319" s="561">
        <v>0</v>
      </c>
      <c r="IC319" s="561">
        <v>578.77</v>
      </c>
      <c r="ID319" s="561">
        <v>0</v>
      </c>
      <c r="IE319" s="561">
        <v>12.31</v>
      </c>
      <c r="IF319" s="561">
        <v>0</v>
      </c>
      <c r="IG319" s="561">
        <v>0</v>
      </c>
      <c r="IH319" s="561">
        <v>62946.19</v>
      </c>
      <c r="II319" s="561">
        <v>74796.759999999995</v>
      </c>
      <c r="IJ319" s="561">
        <v>0</v>
      </c>
      <c r="IK319" s="561">
        <v>0</v>
      </c>
      <c r="IL319" s="561">
        <v>0</v>
      </c>
      <c r="IM319" s="561">
        <v>0</v>
      </c>
      <c r="IN319" s="561">
        <v>0</v>
      </c>
      <c r="IO319" s="561">
        <v>168.54</v>
      </c>
      <c r="IP319" s="561">
        <v>0</v>
      </c>
      <c r="IQ319" s="561">
        <v>0</v>
      </c>
      <c r="IR319" s="561">
        <v>235996.12</v>
      </c>
      <c r="IS319" s="561">
        <v>4478.79</v>
      </c>
      <c r="IT319" s="561">
        <v>104662.21</v>
      </c>
      <c r="IU319" s="561">
        <v>115621.88</v>
      </c>
      <c r="IV319" s="561">
        <v>28115.03</v>
      </c>
      <c r="IW319" s="561">
        <v>48911.78</v>
      </c>
      <c r="IX319" s="561">
        <v>24353.66</v>
      </c>
      <c r="IY319" s="561">
        <v>47225.62</v>
      </c>
      <c r="IZ319" s="561">
        <v>16962.939999999999</v>
      </c>
      <c r="JA319" s="561">
        <v>0</v>
      </c>
      <c r="JB319" s="561">
        <v>0</v>
      </c>
      <c r="JC319" s="561">
        <v>74796.759999999995</v>
      </c>
      <c r="JD319" s="561">
        <v>0</v>
      </c>
      <c r="JE319" s="561">
        <v>701124.79</v>
      </c>
      <c r="JF319" s="561">
        <v>53230.94</v>
      </c>
      <c r="JG319" s="561">
        <v>23354.97</v>
      </c>
      <c r="JH319" s="561">
        <v>67989.960000000006</v>
      </c>
      <c r="JI319" s="561">
        <v>0</v>
      </c>
      <c r="JJ319" s="561">
        <v>530.38</v>
      </c>
      <c r="JK319" s="561">
        <v>0</v>
      </c>
      <c r="JL319" s="561">
        <v>0</v>
      </c>
      <c r="JM319" s="561">
        <v>0</v>
      </c>
      <c r="JN319" s="561">
        <v>1524</v>
      </c>
      <c r="JO319" s="561">
        <v>0</v>
      </c>
      <c r="JP319" s="561">
        <v>0</v>
      </c>
      <c r="JQ319" s="561">
        <v>0</v>
      </c>
      <c r="JR319" s="561">
        <v>0</v>
      </c>
      <c r="JS319" s="561">
        <v>0</v>
      </c>
      <c r="JT319" s="561">
        <v>1262</v>
      </c>
      <c r="JU319" s="561">
        <v>0</v>
      </c>
      <c r="JV319" s="561">
        <v>849017.04</v>
      </c>
      <c r="JW319" s="561">
        <v>267.11</v>
      </c>
      <c r="JX319" s="561">
        <v>2286.14</v>
      </c>
      <c r="JY319" s="561">
        <v>2564</v>
      </c>
      <c r="JZ319" s="561">
        <v>0</v>
      </c>
      <c r="KA319" s="561">
        <v>0</v>
      </c>
      <c r="KB319" s="561">
        <v>30077</v>
      </c>
      <c r="KC319" s="561">
        <v>0</v>
      </c>
      <c r="KD319" s="561">
        <v>0</v>
      </c>
      <c r="KE319" s="561">
        <v>39950</v>
      </c>
      <c r="KF319" s="561">
        <v>0</v>
      </c>
      <c r="KG319" s="561">
        <v>924161.29</v>
      </c>
      <c r="KH319" s="561">
        <v>0</v>
      </c>
      <c r="KI319" s="561">
        <v>0</v>
      </c>
      <c r="KJ319" s="561">
        <v>-1065</v>
      </c>
      <c r="KK319" s="561">
        <v>0</v>
      </c>
      <c r="KL319" s="561">
        <v>-157114.59</v>
      </c>
      <c r="KM319" s="561">
        <v>0</v>
      </c>
      <c r="KN319" s="561">
        <v>-6051</v>
      </c>
      <c r="KO319" s="561">
        <v>0</v>
      </c>
      <c r="KP319" s="561">
        <v>0</v>
      </c>
      <c r="KQ319" s="561">
        <v>0</v>
      </c>
      <c r="KR319" s="561">
        <v>759930.7</v>
      </c>
      <c r="KS319" s="561">
        <v>0</v>
      </c>
      <c r="KT319" s="561">
        <v>-380528.15</v>
      </c>
      <c r="KU319" s="561">
        <v>379402.55</v>
      </c>
      <c r="KV319" s="561">
        <v>0</v>
      </c>
      <c r="KW319" s="561">
        <v>-6</v>
      </c>
      <c r="KX319" s="561">
        <v>4223</v>
      </c>
      <c r="KY319" s="561">
        <v>1371.26</v>
      </c>
      <c r="KZ319" s="561">
        <v>-15300.26</v>
      </c>
      <c r="LA319" s="561">
        <v>0</v>
      </c>
      <c r="LB319" s="561">
        <v>-44969</v>
      </c>
      <c r="LC319" s="561">
        <v>0</v>
      </c>
      <c r="LD319" s="561">
        <v>-176437</v>
      </c>
      <c r="LE319" s="561">
        <v>0</v>
      </c>
      <c r="LF319" s="561">
        <v>0</v>
      </c>
      <c r="LG319" s="561">
        <v>148236</v>
      </c>
      <c r="LH319" s="561">
        <v>15059</v>
      </c>
      <c r="LI319" s="561">
        <v>-21651</v>
      </c>
      <c r="LJ319" s="561">
        <v>8714</v>
      </c>
      <c r="LK319" s="561">
        <v>5738</v>
      </c>
      <c r="LL319" s="561">
        <v>239054</v>
      </c>
      <c r="LM319" s="561">
        <v>22443</v>
      </c>
      <c r="LN319" s="561">
        <v>15053</v>
      </c>
      <c r="LO319" s="561">
        <v>-21651</v>
      </c>
      <c r="LP319" s="561">
        <v>12937</v>
      </c>
      <c r="LQ319" s="561">
        <v>7109.26</v>
      </c>
      <c r="LR319" s="561">
        <v>223753.74</v>
      </c>
      <c r="LS319" s="561">
        <v>22443</v>
      </c>
      <c r="LT319" s="561">
        <v>0</v>
      </c>
      <c r="LU319" s="561">
        <v>0</v>
      </c>
      <c r="LV319" s="561">
        <v>0</v>
      </c>
      <c r="LW319" s="561">
        <v>0</v>
      </c>
      <c r="LX319" s="561">
        <v>0</v>
      </c>
      <c r="LY319" s="561">
        <v>0</v>
      </c>
      <c r="LZ319" s="561">
        <v>0</v>
      </c>
      <c r="MA319" s="561">
        <v>0</v>
      </c>
      <c r="MB319" s="561">
        <v>0</v>
      </c>
      <c r="MC319" s="561">
        <v>412446</v>
      </c>
      <c r="MD319" s="561">
        <v>408508</v>
      </c>
      <c r="ME319" s="561">
        <v>3938</v>
      </c>
      <c r="MF319" s="561">
        <v>16922</v>
      </c>
      <c r="MG319" s="561">
        <v>20860</v>
      </c>
      <c r="MH319" s="561">
        <v>10193</v>
      </c>
      <c r="MI319" s="561">
        <v>15311</v>
      </c>
      <c r="MJ319" s="561">
        <v>25504</v>
      </c>
      <c r="MK319" s="561">
        <v>0</v>
      </c>
      <c r="ML319" s="561">
        <v>58932</v>
      </c>
      <c r="MM319" s="561">
        <v>28717</v>
      </c>
      <c r="MN319" s="561">
        <v>44016</v>
      </c>
      <c r="MO319" s="561">
        <v>92088.74</v>
      </c>
      <c r="MP319" s="561">
        <v>0</v>
      </c>
      <c r="MQ319" s="561">
        <v>235996.12</v>
      </c>
      <c r="MR319" s="561">
        <v>4478.79</v>
      </c>
      <c r="MS319" s="561">
        <v>104662.21</v>
      </c>
      <c r="MT319" s="561">
        <v>115621.88</v>
      </c>
      <c r="MU319" s="561">
        <v>28115.03</v>
      </c>
      <c r="MV319" s="561">
        <v>48911.78</v>
      </c>
      <c r="MW319" s="561">
        <v>24353.66</v>
      </c>
      <c r="MX319" s="561">
        <v>47225.62</v>
      </c>
      <c r="MY319" s="561">
        <v>16962.939999999999</v>
      </c>
      <c r="MZ319" s="561">
        <v>0</v>
      </c>
      <c r="NA319" s="561">
        <v>0</v>
      </c>
      <c r="NB319" s="561">
        <v>74796.759999999995</v>
      </c>
      <c r="NC319" s="561">
        <v>0</v>
      </c>
      <c r="ND319" s="561">
        <v>701124.79</v>
      </c>
      <c r="NE319" s="561">
        <v>0</v>
      </c>
      <c r="NF319" s="561">
        <v>0</v>
      </c>
      <c r="NG319" s="561">
        <v>0</v>
      </c>
      <c r="NH319" s="561">
        <v>0</v>
      </c>
      <c r="NI319" s="561">
        <v>0</v>
      </c>
      <c r="NJ319" s="561">
        <v>0</v>
      </c>
      <c r="NK319" s="561">
        <v>0</v>
      </c>
      <c r="NL319" s="561">
        <v>0</v>
      </c>
      <c r="NM319" s="561">
        <v>0</v>
      </c>
      <c r="NN319" s="561">
        <v>0</v>
      </c>
      <c r="NO319" s="561">
        <v>0</v>
      </c>
      <c r="NP319" s="561">
        <v>0</v>
      </c>
      <c r="NQ319" s="561">
        <v>0</v>
      </c>
      <c r="NR319" s="561">
        <v>0</v>
      </c>
      <c r="NS319" s="561">
        <v>0</v>
      </c>
      <c r="NT319" s="561">
        <v>0</v>
      </c>
      <c r="NU319" s="561">
        <v>-2510</v>
      </c>
      <c r="NV319" s="561">
        <v>0</v>
      </c>
      <c r="NW319" s="561">
        <v>0</v>
      </c>
      <c r="NX319" s="561">
        <v>0</v>
      </c>
      <c r="NY319" s="561">
        <v>0</v>
      </c>
      <c r="NZ319" s="561">
        <v>0</v>
      </c>
      <c r="OA319" s="561">
        <v>0</v>
      </c>
      <c r="OB319" s="561">
        <v>0</v>
      </c>
      <c r="OC319" s="561">
        <v>0</v>
      </c>
      <c r="OD319" s="561">
        <v>0</v>
      </c>
      <c r="OE319" s="561">
        <v>0</v>
      </c>
      <c r="OF319" s="561">
        <v>0</v>
      </c>
      <c r="OG319" s="561">
        <v>0</v>
      </c>
      <c r="OH319" s="561">
        <v>0</v>
      </c>
      <c r="OI319" s="561">
        <v>0</v>
      </c>
      <c r="OJ319" s="561">
        <v>0</v>
      </c>
      <c r="OK319" s="561">
        <v>0</v>
      </c>
      <c r="OL319" s="561">
        <v>0</v>
      </c>
      <c r="OM319" s="561">
        <v>0</v>
      </c>
      <c r="ON319" s="561">
        <v>0</v>
      </c>
      <c r="OO319" s="561">
        <v>0</v>
      </c>
      <c r="OP319" s="561">
        <v>0</v>
      </c>
      <c r="OQ319" s="561">
        <v>0</v>
      </c>
      <c r="OR319" s="561">
        <v>0</v>
      </c>
      <c r="OS319" s="561">
        <v>0</v>
      </c>
      <c r="OT319" s="561">
        <v>0</v>
      </c>
      <c r="OU319" s="561">
        <v>0</v>
      </c>
      <c r="OV319" s="561">
        <v>2650</v>
      </c>
      <c r="OW319" s="561">
        <v>0</v>
      </c>
      <c r="OX319" s="561">
        <v>0</v>
      </c>
      <c r="OY319" s="561">
        <v>0</v>
      </c>
      <c r="OZ319" s="561">
        <v>0</v>
      </c>
      <c r="PA319" s="561">
        <v>0</v>
      </c>
      <c r="PB319" s="561">
        <v>0</v>
      </c>
      <c r="PC319" s="561">
        <v>0</v>
      </c>
      <c r="PD319" s="561">
        <v>0</v>
      </c>
      <c r="PE319" s="561">
        <v>0</v>
      </c>
      <c r="PF319" s="561">
        <v>0</v>
      </c>
      <c r="PG319" s="561">
        <v>0</v>
      </c>
      <c r="PH319" s="561">
        <v>0</v>
      </c>
      <c r="PI319" s="561">
        <v>0</v>
      </c>
      <c r="PJ319" s="561">
        <v>0</v>
      </c>
    </row>
    <row r="320" spans="1:426" ht="14" x14ac:dyDescent="0.3">
      <c r="A320" t="s">
        <v>3403</v>
      </c>
      <c r="B320" t="s">
        <v>3404</v>
      </c>
      <c r="C320" t="s">
        <v>3405</v>
      </c>
      <c r="E320" t="s">
        <v>384</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0</v>
      </c>
      <c r="W320" s="561">
        <v>0</v>
      </c>
      <c r="X320" s="561">
        <v>0</v>
      </c>
      <c r="Y320" s="561">
        <v>0</v>
      </c>
      <c r="Z320" s="561">
        <v>0</v>
      </c>
      <c r="AA320" s="561">
        <v>0</v>
      </c>
      <c r="AB320" s="561">
        <v>-500</v>
      </c>
      <c r="AC320" s="561">
        <v>0</v>
      </c>
      <c r="AD320" s="561">
        <v>0</v>
      </c>
      <c r="AE320" s="561">
        <v>143</v>
      </c>
      <c r="AF320" s="561">
        <v>0</v>
      </c>
      <c r="AG320" s="561">
        <v>0</v>
      </c>
      <c r="AH320" s="561">
        <v>24</v>
      </c>
      <c r="AI320" s="561">
        <v>0</v>
      </c>
      <c r="AJ320" s="561">
        <v>-333</v>
      </c>
      <c r="AK320" s="561">
        <v>12</v>
      </c>
      <c r="AL320" s="561">
        <v>0</v>
      </c>
      <c r="AM320" s="561">
        <v>0</v>
      </c>
      <c r="AN320" s="561">
        <v>0</v>
      </c>
      <c r="AO320" s="561">
        <v>0</v>
      </c>
      <c r="AP320" s="561">
        <v>0</v>
      </c>
      <c r="AQ320" s="561">
        <v>0</v>
      </c>
      <c r="AR320" s="561">
        <v>0</v>
      </c>
      <c r="AS320" s="561">
        <v>0</v>
      </c>
      <c r="AT320" s="561">
        <v>0</v>
      </c>
      <c r="AU320" s="561">
        <v>0</v>
      </c>
      <c r="AV320" s="561">
        <v>0</v>
      </c>
      <c r="AW320" s="561">
        <v>0</v>
      </c>
      <c r="AX320" s="561">
        <v>0</v>
      </c>
      <c r="AY320" s="561">
        <v>0</v>
      </c>
      <c r="AZ320" s="561">
        <v>0</v>
      </c>
      <c r="BA320" s="561">
        <v>632</v>
      </c>
      <c r="BB320" s="561">
        <v>0</v>
      </c>
      <c r="BC320" s="561">
        <v>0</v>
      </c>
      <c r="BD320" s="561">
        <v>1141</v>
      </c>
      <c r="BE320" s="561">
        <v>0</v>
      </c>
      <c r="BF320" s="561">
        <v>1773</v>
      </c>
      <c r="BG320" s="561">
        <v>0</v>
      </c>
      <c r="BH320" s="561">
        <v>0</v>
      </c>
      <c r="BI320" s="561">
        <v>2114</v>
      </c>
      <c r="BJ320" s="561">
        <v>0</v>
      </c>
      <c r="BK320" s="561">
        <v>0</v>
      </c>
      <c r="BL320" s="561">
        <v>0</v>
      </c>
      <c r="BM320" s="561">
        <v>0</v>
      </c>
      <c r="BN320" s="561">
        <v>0</v>
      </c>
      <c r="BO320" s="561">
        <v>0</v>
      </c>
      <c r="BP320" s="561">
        <v>0</v>
      </c>
      <c r="BQ320" s="561">
        <v>0</v>
      </c>
      <c r="BR320" s="561">
        <v>0</v>
      </c>
      <c r="BS320" s="561">
        <v>0</v>
      </c>
      <c r="BT320" s="561">
        <v>0</v>
      </c>
      <c r="BU320" s="561">
        <v>0</v>
      </c>
      <c r="BV320" s="561">
        <v>0</v>
      </c>
      <c r="BW320" s="561">
        <v>0</v>
      </c>
      <c r="BX320" s="561">
        <v>0</v>
      </c>
      <c r="BY320" s="561">
        <v>0</v>
      </c>
      <c r="BZ320" s="561">
        <v>2114</v>
      </c>
      <c r="CA320" s="561">
        <v>0</v>
      </c>
      <c r="CB320" s="561">
        <v>0</v>
      </c>
      <c r="CC320" s="561">
        <v>0</v>
      </c>
      <c r="CD320" s="561">
        <v>0</v>
      </c>
      <c r="CE320" s="561">
        <v>0</v>
      </c>
      <c r="CF320" s="561">
        <v>0</v>
      </c>
      <c r="CG320" s="561">
        <v>0</v>
      </c>
      <c r="CH320" s="561">
        <v>0</v>
      </c>
      <c r="CI320" s="561">
        <v>0</v>
      </c>
      <c r="CJ320" s="561">
        <v>0</v>
      </c>
      <c r="CK320" s="561">
        <v>0</v>
      </c>
      <c r="CL320" s="561">
        <v>0</v>
      </c>
      <c r="CM320" s="561">
        <v>0</v>
      </c>
      <c r="CN320" s="561">
        <v>0</v>
      </c>
      <c r="CO320" s="561">
        <v>0</v>
      </c>
      <c r="CP320" s="561">
        <v>0</v>
      </c>
      <c r="CQ320" s="561">
        <v>0</v>
      </c>
      <c r="CR320" s="561">
        <v>0</v>
      </c>
      <c r="CS320" s="561">
        <v>0</v>
      </c>
      <c r="CT320" s="561">
        <v>0</v>
      </c>
      <c r="CU320" s="561">
        <v>0</v>
      </c>
      <c r="CV320" s="561">
        <v>0</v>
      </c>
      <c r="CW320" s="561">
        <v>0</v>
      </c>
      <c r="CX320" s="561">
        <v>0</v>
      </c>
      <c r="CY320" s="561">
        <v>0</v>
      </c>
      <c r="CZ320" s="561">
        <v>0</v>
      </c>
      <c r="DA320" s="561">
        <v>0</v>
      </c>
      <c r="DB320" s="561">
        <v>0</v>
      </c>
      <c r="DC320" s="561">
        <v>0</v>
      </c>
      <c r="DD320" s="561">
        <v>0</v>
      </c>
      <c r="DE320" s="561">
        <v>0</v>
      </c>
      <c r="DF320" s="561">
        <v>0</v>
      </c>
      <c r="DG320" s="561">
        <v>0</v>
      </c>
      <c r="DH320" s="561">
        <v>57</v>
      </c>
      <c r="DI320" s="561">
        <v>0</v>
      </c>
      <c r="DJ320" s="561">
        <v>0</v>
      </c>
      <c r="DK320" s="561">
        <v>0</v>
      </c>
      <c r="DL320" s="561">
        <v>0</v>
      </c>
      <c r="DM320" s="561">
        <v>96</v>
      </c>
      <c r="DN320" s="561">
        <v>0</v>
      </c>
      <c r="DO320" s="561">
        <v>1635</v>
      </c>
      <c r="DP320" s="561">
        <v>11083</v>
      </c>
      <c r="DQ320" s="561">
        <v>0</v>
      </c>
      <c r="DR320" s="561">
        <v>0</v>
      </c>
      <c r="DS320" s="561">
        <v>2792</v>
      </c>
      <c r="DT320" s="561">
        <v>187</v>
      </c>
      <c r="DU320" s="561">
        <v>15793</v>
      </c>
      <c r="DV320" s="561">
        <v>422</v>
      </c>
      <c r="DW320" s="561">
        <v>0</v>
      </c>
      <c r="DX320" s="561">
        <v>0</v>
      </c>
      <c r="DY320" s="561">
        <v>778</v>
      </c>
      <c r="DZ320" s="561">
        <v>0</v>
      </c>
      <c r="EA320" s="561">
        <v>0</v>
      </c>
      <c r="EB320" s="561">
        <v>0</v>
      </c>
      <c r="EC320" s="561">
        <v>17050</v>
      </c>
      <c r="ED320" s="561">
        <v>0</v>
      </c>
      <c r="EE320" s="561">
        <v>0</v>
      </c>
      <c r="EF320" s="561">
        <v>0</v>
      </c>
      <c r="EG320" s="561">
        <v>0</v>
      </c>
      <c r="EH320" s="561">
        <v>0</v>
      </c>
      <c r="EI320" s="561">
        <v>0</v>
      </c>
      <c r="EJ320" s="561">
        <v>0</v>
      </c>
      <c r="EK320" s="561">
        <v>0</v>
      </c>
      <c r="EL320" s="561">
        <v>0</v>
      </c>
      <c r="EM320" s="561">
        <v>0</v>
      </c>
      <c r="EN320" s="561">
        <v>0</v>
      </c>
      <c r="EO320" s="561">
        <v>0</v>
      </c>
      <c r="EP320" s="561">
        <v>0</v>
      </c>
      <c r="EQ320" s="561">
        <v>0</v>
      </c>
      <c r="ER320" s="561">
        <v>0</v>
      </c>
      <c r="ES320" s="561" t="s">
        <v>4565</v>
      </c>
      <c r="ET320" s="561">
        <v>0</v>
      </c>
      <c r="EU320" s="561">
        <v>0</v>
      </c>
      <c r="EV320" s="561">
        <v>0</v>
      </c>
      <c r="EW320" s="561">
        <v>0</v>
      </c>
      <c r="EX320" s="561">
        <v>0</v>
      </c>
      <c r="EY320" s="561">
        <v>0</v>
      </c>
      <c r="EZ320" s="561">
        <v>0</v>
      </c>
      <c r="FA320" s="561">
        <v>0</v>
      </c>
      <c r="FB320" s="561">
        <v>0</v>
      </c>
      <c r="FC320" s="561">
        <v>27</v>
      </c>
      <c r="FD320" s="561">
        <v>0</v>
      </c>
      <c r="FE320" s="561">
        <v>-6</v>
      </c>
      <c r="FF320" s="561">
        <v>0</v>
      </c>
      <c r="FG320" s="561">
        <v>-29</v>
      </c>
      <c r="FH320" s="561">
        <v>0</v>
      </c>
      <c r="FI320" s="561">
        <v>441</v>
      </c>
      <c r="FJ320" s="561">
        <v>-68</v>
      </c>
      <c r="FK320" s="561">
        <v>1565</v>
      </c>
      <c r="FL320" s="561">
        <v>-27</v>
      </c>
      <c r="FM320" s="561">
        <v>0</v>
      </c>
      <c r="FN320" s="561">
        <v>0</v>
      </c>
      <c r="FO320" s="561">
        <v>1903</v>
      </c>
      <c r="FP320" s="561">
        <v>116</v>
      </c>
      <c r="FQ320" s="561">
        <v>-489</v>
      </c>
      <c r="FR320" s="561">
        <v>0</v>
      </c>
      <c r="FS320" s="561">
        <v>0</v>
      </c>
      <c r="FT320" s="561">
        <v>-1</v>
      </c>
      <c r="FU320" s="561">
        <v>1741</v>
      </c>
      <c r="FV320" s="561">
        <v>0</v>
      </c>
      <c r="FW320" s="561">
        <v>2</v>
      </c>
      <c r="FX320" s="561">
        <v>0</v>
      </c>
      <c r="FY320" s="561">
        <v>0</v>
      </c>
      <c r="FZ320" s="561">
        <v>0</v>
      </c>
      <c r="GA320" s="561">
        <v>0</v>
      </c>
      <c r="GB320" s="561">
        <v>26</v>
      </c>
      <c r="GC320" s="561">
        <v>-2</v>
      </c>
      <c r="GD320" s="561">
        <v>159</v>
      </c>
      <c r="GE320" s="561">
        <v>0</v>
      </c>
      <c r="GF320" s="561">
        <v>170</v>
      </c>
      <c r="GG320" s="561">
        <v>0</v>
      </c>
      <c r="GH320" s="561">
        <v>7</v>
      </c>
      <c r="GI320" s="561">
        <v>0</v>
      </c>
      <c r="GJ320" s="561">
        <v>0</v>
      </c>
      <c r="GK320" s="561">
        <v>0</v>
      </c>
      <c r="GL320" s="561">
        <v>788</v>
      </c>
      <c r="GM320" s="561">
        <v>4494</v>
      </c>
      <c r="GN320" s="561">
        <v>0</v>
      </c>
      <c r="GO320" s="561">
        <v>0</v>
      </c>
      <c r="GP320" s="561">
        <v>-953</v>
      </c>
      <c r="GQ320" s="561">
        <v>0</v>
      </c>
      <c r="GR320" s="561">
        <v>0</v>
      </c>
      <c r="GS320" s="561">
        <v>5942</v>
      </c>
      <c r="GT320" s="561">
        <v>564</v>
      </c>
      <c r="GU320" s="561">
        <v>108</v>
      </c>
      <c r="GV320" s="561">
        <v>1259</v>
      </c>
      <c r="GW320" s="561">
        <v>0</v>
      </c>
      <c r="GX320" s="561">
        <v>899</v>
      </c>
      <c r="GY320" s="561">
        <v>56</v>
      </c>
      <c r="GZ320" s="561">
        <v>890</v>
      </c>
      <c r="HA320" s="561">
        <v>0</v>
      </c>
      <c r="HB320" s="561">
        <v>1742</v>
      </c>
      <c r="HC320" s="561">
        <v>31</v>
      </c>
      <c r="HD320" s="561">
        <v>4985</v>
      </c>
      <c r="HE320" s="561">
        <v>140</v>
      </c>
      <c r="HF320" s="561">
        <v>12830</v>
      </c>
      <c r="HG320" s="561">
        <v>820</v>
      </c>
      <c r="HH320" s="561">
        <v>0</v>
      </c>
      <c r="HI320" s="561">
        <v>0</v>
      </c>
      <c r="HJ320" s="561">
        <v>0</v>
      </c>
      <c r="HK320" s="561">
        <v>0</v>
      </c>
      <c r="HL320" s="561">
        <v>0</v>
      </c>
      <c r="HM320" s="561">
        <v>0</v>
      </c>
      <c r="HN320" s="561">
        <v>0</v>
      </c>
      <c r="HO320" s="561">
        <v>1825</v>
      </c>
      <c r="HP320" s="561">
        <v>1217</v>
      </c>
      <c r="HQ320" s="561">
        <v>0</v>
      </c>
      <c r="HR320" s="561">
        <v>0</v>
      </c>
      <c r="HS320" s="561">
        <v>136</v>
      </c>
      <c r="HT320" s="561">
        <v>-15</v>
      </c>
      <c r="HU320" s="561">
        <v>0</v>
      </c>
      <c r="HV320" s="561">
        <v>0</v>
      </c>
      <c r="HW320" s="561">
        <v>284</v>
      </c>
      <c r="HX320" s="561">
        <v>48</v>
      </c>
      <c r="HY320" s="561">
        <v>87</v>
      </c>
      <c r="HZ320" s="561">
        <v>-10</v>
      </c>
      <c r="IA320" s="561">
        <v>0</v>
      </c>
      <c r="IB320" s="561">
        <v>279</v>
      </c>
      <c r="IC320" s="561">
        <v>0</v>
      </c>
      <c r="ID320" s="561">
        <v>0</v>
      </c>
      <c r="IE320" s="561">
        <v>1607</v>
      </c>
      <c r="IF320" s="561">
        <v>0</v>
      </c>
      <c r="IG320" s="561">
        <v>0</v>
      </c>
      <c r="IH320" s="561">
        <v>836</v>
      </c>
      <c r="II320" s="561">
        <v>6294</v>
      </c>
      <c r="IJ320" s="561">
        <v>364</v>
      </c>
      <c r="IK320" s="561">
        <v>-3179</v>
      </c>
      <c r="IL320" s="561">
        <v>3179</v>
      </c>
      <c r="IM320" s="561">
        <v>0</v>
      </c>
      <c r="IN320" s="561">
        <v>0</v>
      </c>
      <c r="IO320" s="561">
        <v>0</v>
      </c>
      <c r="IP320" s="561">
        <v>0</v>
      </c>
      <c r="IQ320" s="561">
        <v>0</v>
      </c>
      <c r="IR320" s="561">
        <v>0</v>
      </c>
      <c r="IS320" s="561">
        <v>-333</v>
      </c>
      <c r="IT320" s="561">
        <v>1773</v>
      </c>
      <c r="IU320" s="561">
        <v>2114</v>
      </c>
      <c r="IV320" s="561">
        <v>0</v>
      </c>
      <c r="IW320" s="561">
        <v>17050</v>
      </c>
      <c r="IX320" s="561">
        <v>1903</v>
      </c>
      <c r="IY320" s="561">
        <v>5942</v>
      </c>
      <c r="IZ320" s="561">
        <v>4985</v>
      </c>
      <c r="JA320" s="561">
        <v>0</v>
      </c>
      <c r="JB320" s="561">
        <v>0</v>
      </c>
      <c r="JC320" s="561">
        <v>6294</v>
      </c>
      <c r="JD320" s="561">
        <v>0</v>
      </c>
      <c r="JE320" s="561">
        <v>39728</v>
      </c>
      <c r="JF320" s="561">
        <v>18260</v>
      </c>
      <c r="JG320" s="561">
        <v>1781</v>
      </c>
      <c r="JH320" s="561">
        <v>0</v>
      </c>
      <c r="JI320" s="561">
        <v>0</v>
      </c>
      <c r="JJ320" s="561">
        <v>0</v>
      </c>
      <c r="JK320" s="561">
        <v>0</v>
      </c>
      <c r="JL320" s="561">
        <v>0</v>
      </c>
      <c r="JM320" s="561">
        <v>0</v>
      </c>
      <c r="JN320" s="561">
        <v>0</v>
      </c>
      <c r="JO320" s="561">
        <v>0</v>
      </c>
      <c r="JP320" s="561">
        <v>0</v>
      </c>
      <c r="JQ320" s="561">
        <v>0</v>
      </c>
      <c r="JR320" s="561">
        <v>0</v>
      </c>
      <c r="JS320" s="561">
        <v>0</v>
      </c>
      <c r="JT320" s="561">
        <v>0</v>
      </c>
      <c r="JU320" s="561">
        <v>0</v>
      </c>
      <c r="JV320" s="561">
        <v>59769</v>
      </c>
      <c r="JW320" s="561">
        <v>0</v>
      </c>
      <c r="JX320" s="561">
        <v>357</v>
      </c>
      <c r="JY320" s="561">
        <v>0</v>
      </c>
      <c r="JZ320" s="561">
        <v>0</v>
      </c>
      <c r="KA320" s="561">
        <v>0</v>
      </c>
      <c r="KB320" s="561">
        <v>384</v>
      </c>
      <c r="KC320" s="561">
        <v>19268</v>
      </c>
      <c r="KD320" s="561">
        <v>0</v>
      </c>
      <c r="KE320" s="561">
        <v>25255</v>
      </c>
      <c r="KF320" s="561">
        <v>0</v>
      </c>
      <c r="KG320" s="561">
        <v>105033</v>
      </c>
      <c r="KH320" s="561">
        <v>-44254</v>
      </c>
      <c r="KI320" s="561">
        <v>0</v>
      </c>
      <c r="KJ320" s="561">
        <v>0</v>
      </c>
      <c r="KK320" s="561">
        <v>0</v>
      </c>
      <c r="KL320" s="561">
        <v>-19408</v>
      </c>
      <c r="KM320" s="561">
        <v>0</v>
      </c>
      <c r="KN320" s="561">
        <v>-1030</v>
      </c>
      <c r="KO320" s="561">
        <v>0</v>
      </c>
      <c r="KP320" s="561">
        <v>0</v>
      </c>
      <c r="KQ320" s="561">
        <v>0</v>
      </c>
      <c r="KR320" s="561">
        <v>40341</v>
      </c>
      <c r="KS320" s="561">
        <v>0</v>
      </c>
      <c r="KT320" s="561">
        <v>-23844</v>
      </c>
      <c r="KU320" s="561">
        <v>16497</v>
      </c>
      <c r="KV320" s="561">
        <v>0</v>
      </c>
      <c r="KW320" s="561">
        <v>0</v>
      </c>
      <c r="KX320" s="561">
        <v>0</v>
      </c>
      <c r="KY320" s="561">
        <v>0</v>
      </c>
      <c r="KZ320" s="561">
        <v>-6639</v>
      </c>
      <c r="LA320" s="561">
        <v>812</v>
      </c>
      <c r="LB320" s="561">
        <v>-97</v>
      </c>
      <c r="LC320" s="561">
        <v>0</v>
      </c>
      <c r="LD320" s="561">
        <v>-1117</v>
      </c>
      <c r="LE320" s="561">
        <v>-153</v>
      </c>
      <c r="LF320" s="561">
        <v>-575</v>
      </c>
      <c r="LG320" s="561">
        <v>8728</v>
      </c>
      <c r="LH320" s="561">
        <v>0</v>
      </c>
      <c r="LI320" s="561">
        <v>0</v>
      </c>
      <c r="LJ320" s="561">
        <v>0</v>
      </c>
      <c r="LK320" s="561">
        <v>0</v>
      </c>
      <c r="LL320" s="561">
        <v>56745</v>
      </c>
      <c r="LM320" s="561">
        <v>3083</v>
      </c>
      <c r="LN320" s="561">
        <v>0</v>
      </c>
      <c r="LO320" s="561">
        <v>0</v>
      </c>
      <c r="LP320" s="561">
        <v>0</v>
      </c>
      <c r="LQ320" s="561">
        <v>0</v>
      </c>
      <c r="LR320" s="561">
        <v>50106</v>
      </c>
      <c r="LS320" s="561">
        <v>3895</v>
      </c>
      <c r="LT320" s="561">
        <v>0</v>
      </c>
      <c r="LU320" s="561">
        <v>2986</v>
      </c>
      <c r="LV320" s="561">
        <v>0</v>
      </c>
      <c r="LW320" s="561">
        <v>36501</v>
      </c>
      <c r="LX320" s="561">
        <v>-2185</v>
      </c>
      <c r="LY320" s="561">
        <v>1564</v>
      </c>
      <c r="LZ320" s="561">
        <v>69126</v>
      </c>
      <c r="MA320" s="561">
        <v>0</v>
      </c>
      <c r="MB320" s="561">
        <v>0</v>
      </c>
      <c r="MC320" s="561">
        <v>0</v>
      </c>
      <c r="MD320" s="561">
        <v>0</v>
      </c>
      <c r="ME320" s="561">
        <v>0</v>
      </c>
      <c r="MF320" s="561">
        <v>0</v>
      </c>
      <c r="MG320" s="561">
        <v>0</v>
      </c>
      <c r="MH320" s="561">
        <v>2492</v>
      </c>
      <c r="MI320" s="561">
        <v>3609</v>
      </c>
      <c r="MJ320" s="561">
        <v>6101</v>
      </c>
      <c r="MK320" s="561">
        <v>0</v>
      </c>
      <c r="ML320" s="561">
        <v>65</v>
      </c>
      <c r="MM320" s="561">
        <v>6797</v>
      </c>
      <c r="MN320" s="561">
        <v>27237</v>
      </c>
      <c r="MO320" s="561">
        <v>7266</v>
      </c>
      <c r="MP320" s="561">
        <v>8741</v>
      </c>
      <c r="MQ320" s="561">
        <v>0</v>
      </c>
      <c r="MR320" s="561">
        <v>-333</v>
      </c>
      <c r="MS320" s="561">
        <v>1773</v>
      </c>
      <c r="MT320" s="561">
        <v>2114</v>
      </c>
      <c r="MU320" s="561">
        <v>0</v>
      </c>
      <c r="MV320" s="561">
        <v>17050</v>
      </c>
      <c r="MW320" s="561">
        <v>1903</v>
      </c>
      <c r="MX320" s="561">
        <v>5942</v>
      </c>
      <c r="MY320" s="561">
        <v>4985</v>
      </c>
      <c r="MZ320" s="561">
        <v>0</v>
      </c>
      <c r="NA320" s="561">
        <v>0</v>
      </c>
      <c r="NB320" s="561">
        <v>6294</v>
      </c>
      <c r="NC320" s="561">
        <v>0</v>
      </c>
      <c r="ND320" s="561">
        <v>39728</v>
      </c>
      <c r="NE320" s="561">
        <v>0</v>
      </c>
      <c r="NF320" s="561">
        <v>0</v>
      </c>
      <c r="NG320" s="561">
        <v>0</v>
      </c>
      <c r="NH320" s="561">
        <v>0</v>
      </c>
      <c r="NI320" s="561">
        <v>0</v>
      </c>
      <c r="NJ320" s="561">
        <v>0</v>
      </c>
      <c r="NK320" s="561">
        <v>0</v>
      </c>
      <c r="NL320" s="561">
        <v>0</v>
      </c>
      <c r="NM320" s="561">
        <v>0</v>
      </c>
      <c r="NN320" s="561">
        <v>0</v>
      </c>
      <c r="NO320" s="561">
        <v>0</v>
      </c>
      <c r="NP320" s="561">
        <v>0</v>
      </c>
      <c r="NQ320" s="561">
        <v>0</v>
      </c>
      <c r="NR320" s="561">
        <v>0</v>
      </c>
      <c r="NS320" s="561">
        <v>0</v>
      </c>
      <c r="NT320" s="561">
        <v>0</v>
      </c>
      <c r="NU320" s="561">
        <v>-8740</v>
      </c>
      <c r="NV320" s="561">
        <v>0</v>
      </c>
      <c r="NW320" s="561">
        <v>0</v>
      </c>
      <c r="NX320" s="561">
        <v>0</v>
      </c>
      <c r="NY320" s="561">
        <v>0</v>
      </c>
      <c r="NZ320" s="561">
        <v>0</v>
      </c>
      <c r="OA320" s="561">
        <v>0</v>
      </c>
      <c r="OB320" s="561">
        <v>0</v>
      </c>
      <c r="OC320" s="561">
        <v>0</v>
      </c>
      <c r="OD320" s="561">
        <v>0</v>
      </c>
      <c r="OE320" s="561">
        <v>0</v>
      </c>
      <c r="OF320" s="561">
        <v>0</v>
      </c>
      <c r="OG320" s="561">
        <v>0</v>
      </c>
      <c r="OH320" s="561">
        <v>0</v>
      </c>
      <c r="OI320" s="561">
        <v>0</v>
      </c>
      <c r="OJ320" s="561">
        <v>0</v>
      </c>
      <c r="OK320" s="561">
        <v>0</v>
      </c>
      <c r="OL320" s="561">
        <v>0</v>
      </c>
      <c r="OM320" s="561">
        <v>0</v>
      </c>
      <c r="ON320" s="561">
        <v>0</v>
      </c>
      <c r="OO320" s="561">
        <v>0</v>
      </c>
      <c r="OP320" s="561">
        <v>0</v>
      </c>
      <c r="OQ320" s="561">
        <v>0</v>
      </c>
      <c r="OR320" s="561">
        <v>0</v>
      </c>
      <c r="OS320" s="561">
        <v>0</v>
      </c>
      <c r="OT320" s="561">
        <v>0</v>
      </c>
      <c r="OU320" s="561">
        <v>0</v>
      </c>
      <c r="OV320" s="561">
        <v>1304</v>
      </c>
      <c r="OW320" s="561">
        <v>0</v>
      </c>
      <c r="OX320" s="561">
        <v>0</v>
      </c>
      <c r="OY320" s="561">
        <v>0</v>
      </c>
      <c r="OZ320" s="561">
        <v>0</v>
      </c>
      <c r="PA320" s="561">
        <v>0</v>
      </c>
      <c r="PB320" s="561">
        <v>0</v>
      </c>
      <c r="PC320" s="561">
        <v>0</v>
      </c>
      <c r="PD320" s="561">
        <v>0</v>
      </c>
      <c r="PE320" s="561">
        <v>0</v>
      </c>
      <c r="PF320" s="561">
        <v>0</v>
      </c>
      <c r="PG320" s="561">
        <v>0</v>
      </c>
      <c r="PH320" s="561">
        <v>0</v>
      </c>
      <c r="PI320" s="561">
        <v>0</v>
      </c>
      <c r="PJ320" s="561">
        <v>0</v>
      </c>
    </row>
    <row r="321" spans="1:426" ht="14" x14ac:dyDescent="0.3">
      <c r="A321" t="s">
        <v>3406</v>
      </c>
      <c r="B321" t="s">
        <v>3407</v>
      </c>
      <c r="C321" t="s">
        <v>3408</v>
      </c>
      <c r="E321" t="s">
        <v>384</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32.270000000000003</v>
      </c>
      <c r="U321" s="561">
        <v>0</v>
      </c>
      <c r="V321" s="561">
        <v>0</v>
      </c>
      <c r="W321" s="561">
        <v>0</v>
      </c>
      <c r="X321" s="561">
        <v>0</v>
      </c>
      <c r="Y321" s="561">
        <v>0</v>
      </c>
      <c r="Z321" s="561">
        <v>0</v>
      </c>
      <c r="AA321" s="561">
        <v>59.01</v>
      </c>
      <c r="AB321" s="561">
        <v>-3260.59</v>
      </c>
      <c r="AC321" s="561">
        <v>0</v>
      </c>
      <c r="AD321" s="561">
        <v>40.700000000000003</v>
      </c>
      <c r="AE321" s="561">
        <v>0</v>
      </c>
      <c r="AF321" s="561">
        <v>0</v>
      </c>
      <c r="AG321" s="561">
        <v>0</v>
      </c>
      <c r="AH321" s="561">
        <v>0</v>
      </c>
      <c r="AI321" s="561">
        <v>0</v>
      </c>
      <c r="AJ321" s="561">
        <v>-3128.61</v>
      </c>
      <c r="AK321" s="561">
        <v>0</v>
      </c>
      <c r="AL321" s="561">
        <v>0</v>
      </c>
      <c r="AM321" s="561">
        <v>0</v>
      </c>
      <c r="AN321" s="561">
        <v>0</v>
      </c>
      <c r="AO321" s="561">
        <v>0</v>
      </c>
      <c r="AP321" s="561">
        <v>0</v>
      </c>
      <c r="AQ321" s="561">
        <v>0</v>
      </c>
      <c r="AR321" s="561">
        <v>0</v>
      </c>
      <c r="AS321" s="561">
        <v>788</v>
      </c>
      <c r="AT321" s="561">
        <v>1372</v>
      </c>
      <c r="AU321" s="561">
        <v>0</v>
      </c>
      <c r="AV321" s="561">
        <v>0</v>
      </c>
      <c r="AW321" s="561">
        <v>0</v>
      </c>
      <c r="AX321" s="561">
        <v>0</v>
      </c>
      <c r="AY321" s="561">
        <v>0</v>
      </c>
      <c r="AZ321" s="561">
        <v>0</v>
      </c>
      <c r="BA321" s="561">
        <v>0</v>
      </c>
      <c r="BB321" s="561">
        <v>0</v>
      </c>
      <c r="BC321" s="561">
        <v>0</v>
      </c>
      <c r="BD321" s="561">
        <v>0</v>
      </c>
      <c r="BE321" s="561">
        <v>0</v>
      </c>
      <c r="BF321" s="561">
        <v>0</v>
      </c>
      <c r="BG321" s="561">
        <v>0</v>
      </c>
      <c r="BH321" s="561">
        <v>0</v>
      </c>
      <c r="BI321" s="561">
        <v>0</v>
      </c>
      <c r="BJ321" s="561">
        <v>0</v>
      </c>
      <c r="BK321" s="561">
        <v>0</v>
      </c>
      <c r="BL321" s="561">
        <v>0</v>
      </c>
      <c r="BM321" s="561">
        <v>0</v>
      </c>
      <c r="BN321" s="561">
        <v>0</v>
      </c>
      <c r="BO321" s="561">
        <v>0</v>
      </c>
      <c r="BP321" s="561">
        <v>0</v>
      </c>
      <c r="BQ321" s="561">
        <v>0</v>
      </c>
      <c r="BR321" s="561">
        <v>0</v>
      </c>
      <c r="BS321" s="561">
        <v>0</v>
      </c>
      <c r="BT321" s="561">
        <v>0</v>
      </c>
      <c r="BU321" s="561">
        <v>0</v>
      </c>
      <c r="BV321" s="561">
        <v>0</v>
      </c>
      <c r="BW321" s="561">
        <v>0</v>
      </c>
      <c r="BX321" s="561">
        <v>0</v>
      </c>
      <c r="BY321" s="561">
        <v>0</v>
      </c>
      <c r="BZ321" s="561">
        <v>0</v>
      </c>
      <c r="CA321" s="561">
        <v>0</v>
      </c>
      <c r="CB321" s="561">
        <v>0</v>
      </c>
      <c r="CC321" s="561">
        <v>0</v>
      </c>
      <c r="CD321" s="561">
        <v>0</v>
      </c>
      <c r="CE321" s="561">
        <v>0</v>
      </c>
      <c r="CF321" s="561">
        <v>0</v>
      </c>
      <c r="CG321" s="561">
        <v>0</v>
      </c>
      <c r="CH321" s="561">
        <v>0</v>
      </c>
      <c r="CI321" s="561">
        <v>0</v>
      </c>
      <c r="CJ321" s="561">
        <v>0</v>
      </c>
      <c r="CK321" s="561">
        <v>0</v>
      </c>
      <c r="CL321" s="561">
        <v>0</v>
      </c>
      <c r="CM321" s="561">
        <v>0</v>
      </c>
      <c r="CN321" s="561">
        <v>0</v>
      </c>
      <c r="CO321" s="561">
        <v>0</v>
      </c>
      <c r="CP321" s="561">
        <v>0</v>
      </c>
      <c r="CQ321" s="561">
        <v>0</v>
      </c>
      <c r="CR321" s="561">
        <v>0</v>
      </c>
      <c r="CS321" s="561">
        <v>0</v>
      </c>
      <c r="CT321" s="561">
        <v>0</v>
      </c>
      <c r="CU321" s="561">
        <v>0</v>
      </c>
      <c r="CV321" s="561">
        <v>0</v>
      </c>
      <c r="CW321" s="561">
        <v>0</v>
      </c>
      <c r="CX321" s="561">
        <v>0</v>
      </c>
      <c r="CY321" s="561">
        <v>-85.06</v>
      </c>
      <c r="CZ321" s="561">
        <v>-85.06</v>
      </c>
      <c r="DA321" s="561">
        <v>0</v>
      </c>
      <c r="DB321" s="561">
        <v>0</v>
      </c>
      <c r="DC321" s="561">
        <v>0</v>
      </c>
      <c r="DD321" s="561">
        <v>0</v>
      </c>
      <c r="DE321" s="561">
        <v>0</v>
      </c>
      <c r="DF321" s="561">
        <v>0</v>
      </c>
      <c r="DG321" s="561">
        <v>0</v>
      </c>
      <c r="DH321" s="561">
        <v>902.77</v>
      </c>
      <c r="DI321" s="561">
        <v>0</v>
      </c>
      <c r="DJ321" s="561">
        <v>-30.53</v>
      </c>
      <c r="DK321" s="561">
        <v>0</v>
      </c>
      <c r="DL321" s="561">
        <v>0</v>
      </c>
      <c r="DM321" s="561">
        <v>0</v>
      </c>
      <c r="DN321" s="561">
        <v>0</v>
      </c>
      <c r="DO321" s="561">
        <v>0</v>
      </c>
      <c r="DP321" s="561">
        <v>0</v>
      </c>
      <c r="DQ321" s="561">
        <v>-303.14999999999998</v>
      </c>
      <c r="DR321" s="561">
        <v>2239.0300000000002</v>
      </c>
      <c r="DS321" s="561">
        <v>0</v>
      </c>
      <c r="DT321" s="561">
        <v>0</v>
      </c>
      <c r="DU321" s="561">
        <v>1935.88</v>
      </c>
      <c r="DV321" s="561">
        <v>0</v>
      </c>
      <c r="DW321" s="561">
        <v>0</v>
      </c>
      <c r="DX321" s="561">
        <v>0</v>
      </c>
      <c r="DY321" s="561">
        <v>257.5</v>
      </c>
      <c r="DZ321" s="561">
        <v>0</v>
      </c>
      <c r="EA321" s="561">
        <v>0</v>
      </c>
      <c r="EB321" s="561">
        <v>0</v>
      </c>
      <c r="EC321" s="561">
        <v>3065.62</v>
      </c>
      <c r="ED321" s="561">
        <v>22</v>
      </c>
      <c r="EE321" s="561">
        <v>34173</v>
      </c>
      <c r="EF321" s="561">
        <v>1199</v>
      </c>
      <c r="EG321" s="561">
        <v>860</v>
      </c>
      <c r="EH321" s="561">
        <v>0</v>
      </c>
      <c r="EI321" s="561">
        <v>0</v>
      </c>
      <c r="EJ321" s="561">
        <v>201</v>
      </c>
      <c r="EK321" s="561">
        <v>0</v>
      </c>
      <c r="EL321" s="561">
        <v>15064</v>
      </c>
      <c r="EM321" s="561">
        <v>0</v>
      </c>
      <c r="EN321" s="561">
        <v>6806</v>
      </c>
      <c r="EO321" s="561">
        <v>9403</v>
      </c>
      <c r="EP321" s="561">
        <v>0</v>
      </c>
      <c r="EQ321" s="561">
        <v>369</v>
      </c>
      <c r="ER321" s="561">
        <v>4741</v>
      </c>
      <c r="ES321" s="561" t="s">
        <v>4565</v>
      </c>
      <c r="ET321" s="561">
        <v>2784</v>
      </c>
      <c r="EU321" s="561">
        <v>0</v>
      </c>
      <c r="EV321" s="561">
        <v>34</v>
      </c>
      <c r="EW321" s="561">
        <v>0</v>
      </c>
      <c r="EX321" s="561">
        <v>16137</v>
      </c>
      <c r="EY321" s="561">
        <v>-44</v>
      </c>
      <c r="EZ321" s="561">
        <v>11267</v>
      </c>
      <c r="FA321" s="561">
        <v>12635</v>
      </c>
      <c r="FB321" s="561">
        <v>0</v>
      </c>
      <c r="FC321" s="561">
        <v>190.25</v>
      </c>
      <c r="FD321" s="561">
        <v>1256.1500000000001</v>
      </c>
      <c r="FE321" s="561">
        <v>374.6</v>
      </c>
      <c r="FF321" s="561">
        <v>26.45</v>
      </c>
      <c r="FG321" s="561">
        <v>19.170000000000002</v>
      </c>
      <c r="FH321" s="561">
        <v>0</v>
      </c>
      <c r="FI321" s="561">
        <v>275.01</v>
      </c>
      <c r="FJ321" s="561">
        <v>-1748.93</v>
      </c>
      <c r="FK321" s="561">
        <v>1078.6199999999999</v>
      </c>
      <c r="FL321" s="561">
        <v>-28.25</v>
      </c>
      <c r="FM321" s="561">
        <v>0</v>
      </c>
      <c r="FN321" s="561">
        <v>0</v>
      </c>
      <c r="FO321" s="561">
        <v>1443.07</v>
      </c>
      <c r="FP321" s="561">
        <v>121</v>
      </c>
      <c r="FQ321" s="561">
        <v>64.66</v>
      </c>
      <c r="FR321" s="561">
        <v>0</v>
      </c>
      <c r="FS321" s="561">
        <v>0</v>
      </c>
      <c r="FT321" s="561">
        <v>585.24</v>
      </c>
      <c r="FU321" s="561">
        <v>778.21</v>
      </c>
      <c r="FV321" s="561">
        <v>0</v>
      </c>
      <c r="FW321" s="561">
        <v>0</v>
      </c>
      <c r="FX321" s="561">
        <v>0</v>
      </c>
      <c r="FY321" s="561">
        <v>0</v>
      </c>
      <c r="FZ321" s="561">
        <v>7.08</v>
      </c>
      <c r="GA321" s="561">
        <v>231.07</v>
      </c>
      <c r="GB321" s="561">
        <v>120.66</v>
      </c>
      <c r="GC321" s="561">
        <v>24.25</v>
      </c>
      <c r="GD321" s="561">
        <v>219.01</v>
      </c>
      <c r="GE321" s="561">
        <v>0</v>
      </c>
      <c r="GF321" s="561">
        <v>278.67</v>
      </c>
      <c r="GG321" s="561">
        <v>0</v>
      </c>
      <c r="GH321" s="561">
        <v>0</v>
      </c>
      <c r="GI321" s="561">
        <v>0</v>
      </c>
      <c r="GJ321" s="561">
        <v>0</v>
      </c>
      <c r="GK321" s="561">
        <v>0</v>
      </c>
      <c r="GL321" s="561">
        <v>1699.04</v>
      </c>
      <c r="GM321" s="561">
        <v>1557.09</v>
      </c>
      <c r="GN321" s="561">
        <v>0</v>
      </c>
      <c r="GO321" s="561">
        <v>0</v>
      </c>
      <c r="GP321" s="561">
        <v>1530.07</v>
      </c>
      <c r="GQ321" s="561">
        <v>0</v>
      </c>
      <c r="GR321" s="561">
        <v>0</v>
      </c>
      <c r="GS321" s="561">
        <v>7095.05</v>
      </c>
      <c r="GT321" s="561">
        <v>19</v>
      </c>
      <c r="GU321" s="561">
        <v>71.290000000000006</v>
      </c>
      <c r="GV321" s="561">
        <v>2282.75</v>
      </c>
      <c r="GW321" s="561">
        <v>408.11</v>
      </c>
      <c r="GX321" s="561">
        <v>1365.59</v>
      </c>
      <c r="GY321" s="561">
        <v>0</v>
      </c>
      <c r="GZ321" s="561">
        <v>7.15</v>
      </c>
      <c r="HA321" s="561">
        <v>0</v>
      </c>
      <c r="HB321" s="561">
        <v>0</v>
      </c>
      <c r="HC321" s="561">
        <v>106.82</v>
      </c>
      <c r="HD321" s="561">
        <v>4241.71</v>
      </c>
      <c r="HE321" s="561">
        <v>16</v>
      </c>
      <c r="HF321" s="561">
        <v>12779.83</v>
      </c>
      <c r="HG321" s="561">
        <v>156</v>
      </c>
      <c r="HH321" s="561">
        <v>0</v>
      </c>
      <c r="HI321" s="561">
        <v>0</v>
      </c>
      <c r="HJ321" s="561">
        <v>0</v>
      </c>
      <c r="HK321" s="561">
        <v>0</v>
      </c>
      <c r="HL321" s="561">
        <v>0</v>
      </c>
      <c r="HM321" s="561">
        <v>0</v>
      </c>
      <c r="HN321" s="561">
        <v>0</v>
      </c>
      <c r="HO321" s="561">
        <v>2797.73</v>
      </c>
      <c r="HP321" s="561">
        <v>802.25</v>
      </c>
      <c r="HQ321" s="561">
        <v>0</v>
      </c>
      <c r="HR321" s="561">
        <v>74.849999999999994</v>
      </c>
      <c r="HS321" s="561">
        <v>0</v>
      </c>
      <c r="HT321" s="561">
        <v>178.78</v>
      </c>
      <c r="HU321" s="561">
        <v>0</v>
      </c>
      <c r="HV321" s="561">
        <v>0</v>
      </c>
      <c r="HW321" s="561">
        <v>280.41000000000003</v>
      </c>
      <c r="HX321" s="561">
        <v>626.23</v>
      </c>
      <c r="HY321" s="561">
        <v>3.88</v>
      </c>
      <c r="HZ321" s="561">
        <v>38.549999999999997</v>
      </c>
      <c r="IA321" s="561">
        <v>0</v>
      </c>
      <c r="IB321" s="561">
        <v>260.79000000000002</v>
      </c>
      <c r="IC321" s="561">
        <v>0</v>
      </c>
      <c r="ID321" s="561">
        <v>0</v>
      </c>
      <c r="IE321" s="561">
        <v>1162</v>
      </c>
      <c r="IF321" s="561">
        <v>0</v>
      </c>
      <c r="IG321" s="561">
        <v>0</v>
      </c>
      <c r="IH321" s="561">
        <v>-711.02</v>
      </c>
      <c r="II321" s="561">
        <v>5514.45</v>
      </c>
      <c r="IJ321" s="561">
        <v>200</v>
      </c>
      <c r="IK321" s="561">
        <v>9659</v>
      </c>
      <c r="IL321" s="561">
        <v>4554</v>
      </c>
      <c r="IM321" s="561">
        <v>0</v>
      </c>
      <c r="IN321" s="561">
        <v>0</v>
      </c>
      <c r="IO321" s="561">
        <v>0</v>
      </c>
      <c r="IP321" s="561">
        <v>0</v>
      </c>
      <c r="IQ321" s="561">
        <v>0</v>
      </c>
      <c r="IR321" s="561">
        <v>0</v>
      </c>
      <c r="IS321" s="561">
        <v>-3128.61</v>
      </c>
      <c r="IT321" s="561">
        <v>0</v>
      </c>
      <c r="IU321" s="561">
        <v>0</v>
      </c>
      <c r="IV321" s="561">
        <v>-85.06</v>
      </c>
      <c r="IW321" s="561">
        <v>3065.62</v>
      </c>
      <c r="IX321" s="561">
        <v>1443.07</v>
      </c>
      <c r="IY321" s="561">
        <v>7095.05</v>
      </c>
      <c r="IZ321" s="561">
        <v>4241.71</v>
      </c>
      <c r="JA321" s="561">
        <v>0</v>
      </c>
      <c r="JB321" s="561">
        <v>0</v>
      </c>
      <c r="JC321" s="561">
        <v>5514.45</v>
      </c>
      <c r="JD321" s="561">
        <v>0</v>
      </c>
      <c r="JE321" s="561">
        <v>18146.23</v>
      </c>
      <c r="JF321" s="561">
        <v>12319.56</v>
      </c>
      <c r="JG321" s="561">
        <v>95.95</v>
      </c>
      <c r="JH321" s="561">
        <v>7909.13</v>
      </c>
      <c r="JI321" s="561">
        <v>0</v>
      </c>
      <c r="JJ321" s="561">
        <v>0</v>
      </c>
      <c r="JK321" s="561">
        <v>3831</v>
      </c>
      <c r="JL321" s="561">
        <v>0</v>
      </c>
      <c r="JM321" s="561">
        <v>0</v>
      </c>
      <c r="JN321" s="561">
        <v>0</v>
      </c>
      <c r="JO321" s="561">
        <v>0</v>
      </c>
      <c r="JP321" s="561">
        <v>-324.3</v>
      </c>
      <c r="JQ321" s="561">
        <v>0</v>
      </c>
      <c r="JR321" s="561">
        <v>0</v>
      </c>
      <c r="JS321" s="561">
        <v>0</v>
      </c>
      <c r="JT321" s="561">
        <v>0</v>
      </c>
      <c r="JU321" s="561">
        <v>0</v>
      </c>
      <c r="JV321" s="561">
        <v>41977.57</v>
      </c>
      <c r="JW321" s="561">
        <v>0</v>
      </c>
      <c r="JX321" s="561">
        <v>0</v>
      </c>
      <c r="JY321" s="561">
        <v>0</v>
      </c>
      <c r="JZ321" s="561">
        <v>0</v>
      </c>
      <c r="KA321" s="561">
        <v>0</v>
      </c>
      <c r="KB321" s="561">
        <v>19.45</v>
      </c>
      <c r="KC321" s="561">
        <v>2957</v>
      </c>
      <c r="KD321" s="561">
        <v>200.88</v>
      </c>
      <c r="KE321" s="561">
        <v>1589</v>
      </c>
      <c r="KF321" s="561">
        <v>0</v>
      </c>
      <c r="KG321" s="561">
        <v>46743.9</v>
      </c>
      <c r="KH321" s="561">
        <v>-1893.54</v>
      </c>
      <c r="KI321" s="561">
        <v>0</v>
      </c>
      <c r="KJ321" s="561">
        <v>0</v>
      </c>
      <c r="KK321" s="561">
        <v>0</v>
      </c>
      <c r="KL321" s="561">
        <v>-21348.42</v>
      </c>
      <c r="KM321" s="561">
        <v>0</v>
      </c>
      <c r="KN321" s="561">
        <v>0</v>
      </c>
      <c r="KO321" s="561">
        <v>0</v>
      </c>
      <c r="KP321" s="561">
        <v>0</v>
      </c>
      <c r="KQ321" s="561">
        <v>0</v>
      </c>
      <c r="KR321" s="561">
        <v>23501.94</v>
      </c>
      <c r="KS321" s="561">
        <v>0</v>
      </c>
      <c r="KT321" s="561">
        <v>-3623.8</v>
      </c>
      <c r="KU321" s="561">
        <v>19878.14</v>
      </c>
      <c r="KV321" s="561">
        <v>0</v>
      </c>
      <c r="KW321" s="561">
        <v>0</v>
      </c>
      <c r="KX321" s="561">
        <v>0</v>
      </c>
      <c r="KY321" s="561">
        <v>0</v>
      </c>
      <c r="KZ321" s="561">
        <v>-1855</v>
      </c>
      <c r="LA321" s="561">
        <v>412</v>
      </c>
      <c r="LB321" s="561">
        <v>-125</v>
      </c>
      <c r="LC321" s="561">
        <v>0</v>
      </c>
      <c r="LD321" s="561">
        <v>-1596.42</v>
      </c>
      <c r="LE321" s="561">
        <v>-35.14</v>
      </c>
      <c r="LF321" s="561">
        <v>80</v>
      </c>
      <c r="LG321" s="561">
        <v>16759</v>
      </c>
      <c r="LH321" s="561">
        <v>0</v>
      </c>
      <c r="LI321" s="561">
        <v>0</v>
      </c>
      <c r="LJ321" s="561">
        <v>0</v>
      </c>
      <c r="LK321" s="561">
        <v>0</v>
      </c>
      <c r="LL321" s="561">
        <v>5944</v>
      </c>
      <c r="LM321" s="561">
        <v>2392</v>
      </c>
      <c r="LN321" s="561">
        <v>0</v>
      </c>
      <c r="LO321" s="561">
        <v>0</v>
      </c>
      <c r="LP321" s="561">
        <v>0</v>
      </c>
      <c r="LQ321" s="561">
        <v>0</v>
      </c>
      <c r="LR321" s="561">
        <v>4089</v>
      </c>
      <c r="LS321" s="561">
        <v>2804</v>
      </c>
      <c r="LT321" s="561">
        <v>0</v>
      </c>
      <c r="LU321" s="561">
        <v>16941.900000000001</v>
      </c>
      <c r="LV321" s="561">
        <v>-9871.82</v>
      </c>
      <c r="LW321" s="561">
        <v>0</v>
      </c>
      <c r="LX321" s="561">
        <v>394.15</v>
      </c>
      <c r="LY321" s="561">
        <v>131.5</v>
      </c>
      <c r="LZ321" s="561">
        <v>7595.73</v>
      </c>
      <c r="MA321" s="561">
        <v>2623</v>
      </c>
      <c r="MB321" s="561">
        <v>5519</v>
      </c>
      <c r="MC321" s="561">
        <v>51497</v>
      </c>
      <c r="MD321" s="561">
        <v>40230</v>
      </c>
      <c r="ME321" s="561">
        <v>11267</v>
      </c>
      <c r="MF321" s="561">
        <v>12635</v>
      </c>
      <c r="MG321" s="561">
        <v>23902</v>
      </c>
      <c r="MH321" s="561">
        <v>2623</v>
      </c>
      <c r="MI321" s="561">
        <v>5519</v>
      </c>
      <c r="MJ321" s="561">
        <v>8142</v>
      </c>
      <c r="MK321" s="561">
        <v>0</v>
      </c>
      <c r="ML321" s="561">
        <v>0</v>
      </c>
      <c r="MM321" s="561">
        <v>4089</v>
      </c>
      <c r="MN321" s="561">
        <v>0</v>
      </c>
      <c r="MO321" s="561">
        <v>0</v>
      </c>
      <c r="MP321" s="561">
        <v>0</v>
      </c>
      <c r="MQ321" s="561">
        <v>0</v>
      </c>
      <c r="MR321" s="561">
        <v>-3128.61</v>
      </c>
      <c r="MS321" s="561">
        <v>0</v>
      </c>
      <c r="MT321" s="561">
        <v>0</v>
      </c>
      <c r="MU321" s="561">
        <v>-85.06</v>
      </c>
      <c r="MV321" s="561">
        <v>3065.62</v>
      </c>
      <c r="MW321" s="561">
        <v>1443.07</v>
      </c>
      <c r="MX321" s="561">
        <v>7095.05</v>
      </c>
      <c r="MY321" s="561">
        <v>4241.71</v>
      </c>
      <c r="MZ321" s="561">
        <v>0</v>
      </c>
      <c r="NA321" s="561">
        <v>0</v>
      </c>
      <c r="NB321" s="561">
        <v>5514.45</v>
      </c>
      <c r="NC321" s="561">
        <v>0</v>
      </c>
      <c r="ND321" s="561">
        <v>18146.23</v>
      </c>
      <c r="NE321" s="561">
        <v>0</v>
      </c>
      <c r="NF321" s="561">
        <v>0</v>
      </c>
      <c r="NG321" s="561">
        <v>0</v>
      </c>
      <c r="NH321" s="561">
        <v>0</v>
      </c>
      <c r="NI321" s="561">
        <v>0</v>
      </c>
      <c r="NJ321" s="561">
        <v>0</v>
      </c>
      <c r="NK321" s="561">
        <v>0</v>
      </c>
      <c r="NL321" s="561">
        <v>0</v>
      </c>
      <c r="NM321" s="561">
        <v>0</v>
      </c>
      <c r="NN321" s="561">
        <v>0</v>
      </c>
      <c r="NO321" s="561">
        <v>0</v>
      </c>
      <c r="NP321" s="561">
        <v>0</v>
      </c>
      <c r="NQ321" s="561">
        <v>0</v>
      </c>
      <c r="NR321" s="561">
        <v>0</v>
      </c>
      <c r="NS321" s="561">
        <v>0</v>
      </c>
      <c r="NT321" s="561">
        <v>0</v>
      </c>
      <c r="NU321" s="561">
        <v>-40530</v>
      </c>
      <c r="NV321" s="561">
        <v>-324.3</v>
      </c>
      <c r="NW321" s="561">
        <v>-324.3</v>
      </c>
      <c r="NX321" s="561">
        <v>0</v>
      </c>
      <c r="NY321" s="561">
        <v>-324.3</v>
      </c>
      <c r="NZ321" s="561">
        <v>0</v>
      </c>
      <c r="OA321" s="561">
        <v>0</v>
      </c>
      <c r="OB321" s="561">
        <v>0</v>
      </c>
      <c r="OC321" s="561">
        <v>0</v>
      </c>
      <c r="OD321" s="561">
        <v>0</v>
      </c>
      <c r="OE321" s="561">
        <v>0</v>
      </c>
      <c r="OF321" s="561">
        <v>0</v>
      </c>
      <c r="OG321" s="561">
        <v>0</v>
      </c>
      <c r="OH321" s="561">
        <v>0</v>
      </c>
      <c r="OI321" s="561">
        <v>0</v>
      </c>
      <c r="OJ321" s="561">
        <v>0</v>
      </c>
      <c r="OK321" s="561">
        <v>0</v>
      </c>
      <c r="OL321" s="561">
        <v>0</v>
      </c>
      <c r="OM321" s="561">
        <v>0</v>
      </c>
      <c r="ON321" s="561">
        <v>0</v>
      </c>
      <c r="OO321" s="561">
        <v>0</v>
      </c>
      <c r="OP321" s="561">
        <v>0</v>
      </c>
      <c r="OQ321" s="561">
        <v>0</v>
      </c>
      <c r="OR321" s="561">
        <v>0</v>
      </c>
      <c r="OS321" s="561">
        <v>0</v>
      </c>
      <c r="OT321" s="561">
        <v>0</v>
      </c>
      <c r="OU321" s="561">
        <v>0</v>
      </c>
      <c r="OV321" s="561">
        <v>0</v>
      </c>
      <c r="OW321" s="561">
        <v>0</v>
      </c>
      <c r="OX321" s="561">
        <v>0</v>
      </c>
      <c r="OY321" s="561">
        <v>0</v>
      </c>
      <c r="OZ321" s="561">
        <v>0</v>
      </c>
      <c r="PA321" s="561">
        <v>0</v>
      </c>
      <c r="PB321" s="561">
        <v>0</v>
      </c>
      <c r="PC321" s="561">
        <v>0</v>
      </c>
      <c r="PD321" s="561">
        <v>0</v>
      </c>
      <c r="PE321" s="561">
        <v>0</v>
      </c>
      <c r="PF321" s="561">
        <v>0</v>
      </c>
      <c r="PG321" s="561">
        <v>0</v>
      </c>
      <c r="PH321" s="561">
        <v>0</v>
      </c>
      <c r="PI321" s="561">
        <v>0</v>
      </c>
      <c r="PJ321" s="561">
        <v>0</v>
      </c>
    </row>
    <row r="322" spans="1:426" ht="14" x14ac:dyDescent="0.3">
      <c r="A322" t="s">
        <v>3409</v>
      </c>
      <c r="B322" t="s">
        <v>3410</v>
      </c>
      <c r="C322" t="s">
        <v>4662</v>
      </c>
      <c r="E322" t="s">
        <v>379</v>
      </c>
      <c r="F322" s="561">
        <v>17102.27</v>
      </c>
      <c r="G322" s="561">
        <v>84662.83</v>
      </c>
      <c r="H322" s="561">
        <v>29358.92</v>
      </c>
      <c r="I322" s="561">
        <v>14930.27</v>
      </c>
      <c r="J322" s="561">
        <v>3783.67</v>
      </c>
      <c r="K322" s="561">
        <v>25639.56</v>
      </c>
      <c r="L322" s="561">
        <v>175477.52</v>
      </c>
      <c r="M322" s="561">
        <v>3662</v>
      </c>
      <c r="N322" s="561">
        <v>0</v>
      </c>
      <c r="O322" s="561">
        <v>1357.91</v>
      </c>
      <c r="P322" s="561">
        <v>-76.22</v>
      </c>
      <c r="Q322" s="561">
        <v>-312.94</v>
      </c>
      <c r="R322" s="561">
        <v>-38.1</v>
      </c>
      <c r="S322" s="561">
        <v>418.89</v>
      </c>
      <c r="T322" s="561">
        <v>1482.92</v>
      </c>
      <c r="U322" s="561">
        <v>475.8</v>
      </c>
      <c r="V322" s="561">
        <v>1949.01</v>
      </c>
      <c r="W322" s="561">
        <v>0</v>
      </c>
      <c r="X322" s="561">
        <v>0</v>
      </c>
      <c r="Y322" s="561">
        <v>227.86</v>
      </c>
      <c r="Z322" s="561">
        <v>207.89</v>
      </c>
      <c r="AA322" s="561">
        <v>195.39</v>
      </c>
      <c r="AB322" s="561">
        <v>-267.23</v>
      </c>
      <c r="AC322" s="561">
        <v>0</v>
      </c>
      <c r="AD322" s="561">
        <v>0</v>
      </c>
      <c r="AE322" s="561">
        <v>0</v>
      </c>
      <c r="AF322" s="561">
        <v>0</v>
      </c>
      <c r="AG322" s="561">
        <v>0</v>
      </c>
      <c r="AH322" s="561">
        <v>0</v>
      </c>
      <c r="AI322" s="561">
        <v>0</v>
      </c>
      <c r="AJ322" s="561">
        <v>5621.18</v>
      </c>
      <c r="AK322" s="561">
        <v>0</v>
      </c>
      <c r="AL322" s="561">
        <v>0</v>
      </c>
      <c r="AM322" s="561">
        <v>0</v>
      </c>
      <c r="AN322" s="561">
        <v>0</v>
      </c>
      <c r="AO322" s="561">
        <v>0</v>
      </c>
      <c r="AP322" s="561">
        <v>0</v>
      </c>
      <c r="AQ322" s="561">
        <v>167</v>
      </c>
      <c r="AR322" s="561">
        <v>594</v>
      </c>
      <c r="AS322" s="561">
        <v>143</v>
      </c>
      <c r="AT322" s="561">
        <v>90</v>
      </c>
      <c r="AU322" s="561">
        <v>0</v>
      </c>
      <c r="AV322" s="561">
        <v>0</v>
      </c>
      <c r="AW322" s="561">
        <v>0</v>
      </c>
      <c r="AX322" s="561">
        <v>3862.47</v>
      </c>
      <c r="AY322" s="561">
        <v>46660.25</v>
      </c>
      <c r="AZ322" s="561">
        <v>0</v>
      </c>
      <c r="BA322" s="561">
        <v>5181.88</v>
      </c>
      <c r="BB322" s="561">
        <v>570.23</v>
      </c>
      <c r="BC322" s="561">
        <v>16584.88</v>
      </c>
      <c r="BD322" s="561">
        <v>0</v>
      </c>
      <c r="BE322" s="561">
        <v>360.28</v>
      </c>
      <c r="BF322" s="561">
        <v>73219.990000000005</v>
      </c>
      <c r="BG322" s="561">
        <v>4255</v>
      </c>
      <c r="BH322" s="561">
        <v>7828.43</v>
      </c>
      <c r="BI322" s="561">
        <v>14673.45</v>
      </c>
      <c r="BJ322" s="561">
        <v>311.3</v>
      </c>
      <c r="BK322" s="561">
        <v>432.38</v>
      </c>
      <c r="BL322" s="561">
        <v>1087.8699999999999</v>
      </c>
      <c r="BM322" s="561">
        <v>9980.19</v>
      </c>
      <c r="BN322" s="561">
        <v>33697.43</v>
      </c>
      <c r="BO322" s="561">
        <v>2836.26</v>
      </c>
      <c r="BP322" s="561">
        <v>3588.22</v>
      </c>
      <c r="BQ322" s="561">
        <v>1382.22</v>
      </c>
      <c r="BR322" s="561">
        <v>0</v>
      </c>
      <c r="BS322" s="561">
        <v>225.77</v>
      </c>
      <c r="BT322" s="561">
        <v>0</v>
      </c>
      <c r="BU322" s="561">
        <v>256.89</v>
      </c>
      <c r="BV322" s="561">
        <v>1042.42</v>
      </c>
      <c r="BW322" s="561">
        <v>6467.89</v>
      </c>
      <c r="BX322" s="561">
        <v>315.91000000000003</v>
      </c>
      <c r="BY322" s="561">
        <v>4443.1099999999997</v>
      </c>
      <c r="BZ322" s="561">
        <v>88569.74</v>
      </c>
      <c r="CA322" s="561">
        <v>473</v>
      </c>
      <c r="CB322" s="561">
        <v>397</v>
      </c>
      <c r="CC322" s="561">
        <v>1397</v>
      </c>
      <c r="CD322" s="561">
        <v>439</v>
      </c>
      <c r="CE322" s="561">
        <v>219</v>
      </c>
      <c r="CF322" s="561">
        <v>278</v>
      </c>
      <c r="CG322" s="561">
        <v>16</v>
      </c>
      <c r="CH322" s="561">
        <v>340</v>
      </c>
      <c r="CI322" s="561">
        <v>728</v>
      </c>
      <c r="CJ322" s="561">
        <v>324</v>
      </c>
      <c r="CK322" s="561">
        <v>1499</v>
      </c>
      <c r="CL322" s="561">
        <v>31</v>
      </c>
      <c r="CM322" s="561">
        <v>1072</v>
      </c>
      <c r="CN322" s="561">
        <v>442</v>
      </c>
      <c r="CO322" s="561">
        <v>1979</v>
      </c>
      <c r="CP322" s="561">
        <v>1014</v>
      </c>
      <c r="CQ322" s="561">
        <v>325</v>
      </c>
      <c r="CR322" s="561">
        <v>635</v>
      </c>
      <c r="CS322" s="561">
        <v>0</v>
      </c>
      <c r="CT322" s="561">
        <v>1685</v>
      </c>
      <c r="CU322" s="561">
        <v>2946</v>
      </c>
      <c r="CV322" s="561">
        <v>327</v>
      </c>
      <c r="CW322" s="561">
        <v>2</v>
      </c>
      <c r="CX322" s="561">
        <v>101</v>
      </c>
      <c r="CY322" s="561">
        <v>2771</v>
      </c>
      <c r="CZ322" s="561">
        <v>18967</v>
      </c>
      <c r="DA322" s="561">
        <v>165</v>
      </c>
      <c r="DB322" s="561">
        <v>0</v>
      </c>
      <c r="DC322" s="561">
        <v>0</v>
      </c>
      <c r="DD322" s="561">
        <v>0</v>
      </c>
      <c r="DE322" s="561">
        <v>0</v>
      </c>
      <c r="DF322" s="561">
        <v>0</v>
      </c>
      <c r="DG322" s="561">
        <v>0</v>
      </c>
      <c r="DH322" s="561">
        <v>417.51</v>
      </c>
      <c r="DI322" s="561">
        <v>0</v>
      </c>
      <c r="DJ322" s="561">
        <v>0</v>
      </c>
      <c r="DK322" s="561">
        <v>-535.04</v>
      </c>
      <c r="DL322" s="561">
        <v>0</v>
      </c>
      <c r="DM322" s="561">
        <v>0</v>
      </c>
      <c r="DN322" s="561">
        <v>0</v>
      </c>
      <c r="DO322" s="561">
        <v>206.63</v>
      </c>
      <c r="DP322" s="561">
        <v>0</v>
      </c>
      <c r="DQ322" s="561">
        <v>0</v>
      </c>
      <c r="DR322" s="561">
        <v>0</v>
      </c>
      <c r="DS322" s="561">
        <v>343.82</v>
      </c>
      <c r="DT322" s="561">
        <v>1091.05</v>
      </c>
      <c r="DU322" s="561">
        <v>1641.5</v>
      </c>
      <c r="DV322" s="561">
        <v>299.23</v>
      </c>
      <c r="DW322" s="561">
        <v>0</v>
      </c>
      <c r="DX322" s="561">
        <v>0</v>
      </c>
      <c r="DY322" s="561">
        <v>410.49</v>
      </c>
      <c r="DZ322" s="561">
        <v>-13.68</v>
      </c>
      <c r="EA322" s="561">
        <v>2359.94</v>
      </c>
      <c r="EB322" s="561">
        <v>0</v>
      </c>
      <c r="EC322" s="561">
        <v>4579.95</v>
      </c>
      <c r="ED322" s="561">
        <v>0</v>
      </c>
      <c r="EE322" s="561">
        <v>0</v>
      </c>
      <c r="EF322" s="561">
        <v>0</v>
      </c>
      <c r="EG322" s="561">
        <v>0</v>
      </c>
      <c r="EH322" s="561">
        <v>0</v>
      </c>
      <c r="EI322" s="561">
        <v>0</v>
      </c>
      <c r="EJ322" s="561">
        <v>0</v>
      </c>
      <c r="EK322" s="561">
        <v>0</v>
      </c>
      <c r="EL322" s="561">
        <v>0</v>
      </c>
      <c r="EM322" s="561">
        <v>0</v>
      </c>
      <c r="EN322" s="561">
        <v>0</v>
      </c>
      <c r="EO322" s="561">
        <v>0</v>
      </c>
      <c r="EP322" s="561">
        <v>0</v>
      </c>
      <c r="EQ322" s="561">
        <v>0</v>
      </c>
      <c r="ER322" s="561">
        <v>0</v>
      </c>
      <c r="ES322" s="561" t="s">
        <v>4565</v>
      </c>
      <c r="ET322" s="561">
        <v>0</v>
      </c>
      <c r="EU322" s="561">
        <v>0</v>
      </c>
      <c r="EV322" s="561">
        <v>0</v>
      </c>
      <c r="EW322" s="561">
        <v>0</v>
      </c>
      <c r="EX322" s="561">
        <v>0</v>
      </c>
      <c r="EY322" s="561">
        <v>0</v>
      </c>
      <c r="EZ322" s="561">
        <v>0</v>
      </c>
      <c r="FA322" s="561">
        <v>0</v>
      </c>
      <c r="FB322" s="561">
        <v>184.42</v>
      </c>
      <c r="FC322" s="561">
        <v>287.32</v>
      </c>
      <c r="FD322" s="561">
        <v>0</v>
      </c>
      <c r="FE322" s="561">
        <v>0</v>
      </c>
      <c r="FF322" s="561">
        <v>11.04</v>
      </c>
      <c r="FG322" s="561">
        <v>0</v>
      </c>
      <c r="FH322" s="561">
        <v>0</v>
      </c>
      <c r="FI322" s="561">
        <v>-81.36</v>
      </c>
      <c r="FJ322" s="561">
        <v>606.45000000000005</v>
      </c>
      <c r="FK322" s="561">
        <v>2566.48</v>
      </c>
      <c r="FL322" s="561">
        <v>-7.96</v>
      </c>
      <c r="FM322" s="561">
        <v>0</v>
      </c>
      <c r="FN322" s="561">
        <v>2066.37</v>
      </c>
      <c r="FO322" s="561">
        <v>5632.76</v>
      </c>
      <c r="FP322" s="561">
        <v>0</v>
      </c>
      <c r="FQ322" s="561">
        <v>-627.14</v>
      </c>
      <c r="FR322" s="561">
        <v>513.85</v>
      </c>
      <c r="FS322" s="561">
        <v>15.77</v>
      </c>
      <c r="FT322" s="561">
        <v>206.61</v>
      </c>
      <c r="FU322" s="561">
        <v>424.02</v>
      </c>
      <c r="FV322" s="561">
        <v>257.97000000000003</v>
      </c>
      <c r="FW322" s="561">
        <v>203.5</v>
      </c>
      <c r="FX322" s="561">
        <v>0</v>
      </c>
      <c r="FY322" s="561">
        <v>0</v>
      </c>
      <c r="FZ322" s="561">
        <v>198.78</v>
      </c>
      <c r="GA322" s="561">
        <v>14.01</v>
      </c>
      <c r="GB322" s="561">
        <v>135.28</v>
      </c>
      <c r="GC322" s="561">
        <v>-17.82</v>
      </c>
      <c r="GD322" s="561">
        <v>612.84</v>
      </c>
      <c r="GE322" s="561">
        <v>16.010000000000002</v>
      </c>
      <c r="GF322" s="561">
        <v>278.20999999999998</v>
      </c>
      <c r="GG322" s="561">
        <v>132.93</v>
      </c>
      <c r="GH322" s="561">
        <v>0</v>
      </c>
      <c r="GI322" s="561">
        <v>0</v>
      </c>
      <c r="GJ322" s="561">
        <v>0</v>
      </c>
      <c r="GK322" s="561">
        <v>0</v>
      </c>
      <c r="GL322" s="561">
        <v>1970.63</v>
      </c>
      <c r="GM322" s="561">
        <v>2629.87</v>
      </c>
      <c r="GN322" s="561">
        <v>0</v>
      </c>
      <c r="GO322" s="561">
        <v>-146.03</v>
      </c>
      <c r="GP322" s="561">
        <v>4961.8599999999997</v>
      </c>
      <c r="GQ322" s="561">
        <v>0</v>
      </c>
      <c r="GR322" s="561">
        <v>6.55</v>
      </c>
      <c r="GS322" s="561">
        <v>11787.7</v>
      </c>
      <c r="GT322" s="561">
        <v>0</v>
      </c>
      <c r="GU322" s="561">
        <v>567.27</v>
      </c>
      <c r="GV322" s="561">
        <v>1160.1600000000001</v>
      </c>
      <c r="GW322" s="561">
        <v>0</v>
      </c>
      <c r="GX322" s="561">
        <v>382.61</v>
      </c>
      <c r="GY322" s="561">
        <v>0</v>
      </c>
      <c r="GZ322" s="561">
        <v>2816.35</v>
      </c>
      <c r="HA322" s="561">
        <v>-92.05</v>
      </c>
      <c r="HB322" s="561">
        <v>2319.4899999999998</v>
      </c>
      <c r="HC322" s="561">
        <v>0</v>
      </c>
      <c r="HD322" s="561">
        <v>7153.83</v>
      </c>
      <c r="HE322" s="561">
        <v>0</v>
      </c>
      <c r="HF322" s="561">
        <v>24574.29</v>
      </c>
      <c r="HG322" s="561">
        <v>0</v>
      </c>
      <c r="HH322" s="561">
        <v>0</v>
      </c>
      <c r="HI322" s="561">
        <v>0</v>
      </c>
      <c r="HJ322" s="561">
        <v>0</v>
      </c>
      <c r="HK322" s="561">
        <v>0</v>
      </c>
      <c r="HL322" s="561">
        <v>0</v>
      </c>
      <c r="HM322" s="561">
        <v>0</v>
      </c>
      <c r="HN322" s="561">
        <v>0</v>
      </c>
      <c r="HO322" s="561">
        <v>3391</v>
      </c>
      <c r="HP322" s="561">
        <v>1370</v>
      </c>
      <c r="HQ322" s="561">
        <v>0</v>
      </c>
      <c r="HR322" s="561">
        <v>0</v>
      </c>
      <c r="HS322" s="561">
        <v>95</v>
      </c>
      <c r="HT322" s="561">
        <v>641</v>
      </c>
      <c r="HU322" s="561">
        <v>0</v>
      </c>
      <c r="HV322" s="561">
        <v>36</v>
      </c>
      <c r="HW322" s="561">
        <v>202</v>
      </c>
      <c r="HX322" s="561">
        <v>704</v>
      </c>
      <c r="HY322" s="561">
        <v>159</v>
      </c>
      <c r="HZ322" s="561">
        <v>-156</v>
      </c>
      <c r="IA322" s="561">
        <v>3663</v>
      </c>
      <c r="IB322" s="561">
        <v>32</v>
      </c>
      <c r="IC322" s="561">
        <v>375</v>
      </c>
      <c r="ID322" s="561">
        <v>0</v>
      </c>
      <c r="IE322" s="561">
        <v>610</v>
      </c>
      <c r="IF322" s="561">
        <v>183</v>
      </c>
      <c r="IG322" s="561">
        <v>0</v>
      </c>
      <c r="IH322" s="561">
        <v>-512</v>
      </c>
      <c r="II322" s="561">
        <v>10793</v>
      </c>
      <c r="IJ322" s="561">
        <v>541</v>
      </c>
      <c r="IK322" s="561">
        <v>6819</v>
      </c>
      <c r="IL322" s="561">
        <v>29666</v>
      </c>
      <c r="IM322" s="561">
        <v>0</v>
      </c>
      <c r="IN322" s="561">
        <v>216</v>
      </c>
      <c r="IO322" s="561">
        <v>641</v>
      </c>
      <c r="IP322" s="561">
        <v>0</v>
      </c>
      <c r="IQ322" s="561">
        <v>0</v>
      </c>
      <c r="IR322" s="561">
        <v>175477.52</v>
      </c>
      <c r="IS322" s="561">
        <v>5621.18</v>
      </c>
      <c r="IT322" s="561">
        <v>73219.990000000005</v>
      </c>
      <c r="IU322" s="561">
        <v>88569.74</v>
      </c>
      <c r="IV322" s="561">
        <v>18967</v>
      </c>
      <c r="IW322" s="561">
        <v>4579.95</v>
      </c>
      <c r="IX322" s="561">
        <v>5632.76</v>
      </c>
      <c r="IY322" s="561">
        <v>11787.7</v>
      </c>
      <c r="IZ322" s="561">
        <v>7153.83</v>
      </c>
      <c r="JA322" s="561">
        <v>0</v>
      </c>
      <c r="JB322" s="561">
        <v>0</v>
      </c>
      <c r="JC322" s="561">
        <v>10793</v>
      </c>
      <c r="JD322" s="561">
        <v>0</v>
      </c>
      <c r="JE322" s="561">
        <v>401802.67</v>
      </c>
      <c r="JF322" s="561">
        <v>46606</v>
      </c>
      <c r="JG322" s="561">
        <v>0</v>
      </c>
      <c r="JH322" s="561">
        <v>0</v>
      </c>
      <c r="JI322" s="561">
        <v>0</v>
      </c>
      <c r="JJ322" s="561">
        <v>0</v>
      </c>
      <c r="JK322" s="561">
        <v>378</v>
      </c>
      <c r="JL322" s="561">
        <v>13486</v>
      </c>
      <c r="JM322" s="561">
        <v>9848</v>
      </c>
      <c r="JN322" s="561">
        <v>0</v>
      </c>
      <c r="JO322" s="561">
        <v>547</v>
      </c>
      <c r="JP322" s="561">
        <v>699</v>
      </c>
      <c r="JQ322" s="561">
        <v>205</v>
      </c>
      <c r="JR322" s="561">
        <v>0</v>
      </c>
      <c r="JS322" s="561">
        <v>-1792</v>
      </c>
      <c r="JT322" s="561">
        <v>-569</v>
      </c>
      <c r="JU322" s="561">
        <v>0</v>
      </c>
      <c r="JV322" s="561">
        <v>471210.67</v>
      </c>
      <c r="JW322" s="561">
        <v>107</v>
      </c>
      <c r="JX322" s="561">
        <v>750</v>
      </c>
      <c r="JY322" s="561">
        <v>0</v>
      </c>
      <c r="JZ322" s="561">
        <v>0</v>
      </c>
      <c r="KA322" s="561">
        <v>0</v>
      </c>
      <c r="KB322" s="561">
        <v>1541</v>
      </c>
      <c r="KC322" s="561">
        <v>4645</v>
      </c>
      <c r="KD322" s="561">
        <v>0</v>
      </c>
      <c r="KE322" s="561">
        <v>5449</v>
      </c>
      <c r="KF322" s="561">
        <v>0</v>
      </c>
      <c r="KG322" s="561">
        <v>483702.67</v>
      </c>
      <c r="KH322" s="561">
        <v>-8387</v>
      </c>
      <c r="KI322" s="561">
        <v>0</v>
      </c>
      <c r="KJ322" s="561">
        <v>50</v>
      </c>
      <c r="KK322" s="561">
        <v>0</v>
      </c>
      <c r="KL322" s="561">
        <v>-47724</v>
      </c>
      <c r="KM322" s="561">
        <v>0</v>
      </c>
      <c r="KN322" s="561">
        <v>0</v>
      </c>
      <c r="KO322" s="561">
        <v>0</v>
      </c>
      <c r="KP322" s="561">
        <v>0</v>
      </c>
      <c r="KQ322" s="561">
        <v>-135</v>
      </c>
      <c r="KR322" s="561">
        <v>427506.67</v>
      </c>
      <c r="KS322" s="561">
        <v>0</v>
      </c>
      <c r="KT322" s="561">
        <v>-223561</v>
      </c>
      <c r="KU322" s="561">
        <v>203945.67</v>
      </c>
      <c r="KV322" s="561">
        <v>0</v>
      </c>
      <c r="KW322" s="561">
        <v>-1067.05</v>
      </c>
      <c r="KX322" s="561">
        <v>-3178.58</v>
      </c>
      <c r="KY322" s="561">
        <v>-255.47</v>
      </c>
      <c r="KZ322" s="561">
        <v>-11924.31</v>
      </c>
      <c r="LA322" s="561">
        <v>8330</v>
      </c>
      <c r="LB322" s="561">
        <v>0</v>
      </c>
      <c r="LC322" s="561">
        <v>0</v>
      </c>
      <c r="LD322" s="561">
        <v>-100496</v>
      </c>
      <c r="LE322" s="561">
        <v>843</v>
      </c>
      <c r="LF322" s="561">
        <v>0</v>
      </c>
      <c r="LG322" s="561">
        <v>96197</v>
      </c>
      <c r="LH322" s="561">
        <v>10015</v>
      </c>
      <c r="LI322" s="561">
        <v>-1297</v>
      </c>
      <c r="LJ322" s="561">
        <v>3179</v>
      </c>
      <c r="LK322" s="561">
        <v>1584.47</v>
      </c>
      <c r="LL322" s="561">
        <v>40050</v>
      </c>
      <c r="LM322" s="561">
        <v>16994</v>
      </c>
      <c r="LN322" s="561">
        <v>8947.9500000000007</v>
      </c>
      <c r="LO322" s="561">
        <v>-1432</v>
      </c>
      <c r="LP322" s="561">
        <v>0.42</v>
      </c>
      <c r="LQ322" s="561">
        <v>1329</v>
      </c>
      <c r="LR322" s="561">
        <v>28125.69</v>
      </c>
      <c r="LS322" s="561">
        <v>25324</v>
      </c>
      <c r="LT322" s="561">
        <v>0</v>
      </c>
      <c r="LU322" s="561">
        <v>16835</v>
      </c>
      <c r="LV322" s="561">
        <v>0</v>
      </c>
      <c r="LW322" s="561">
        <v>-830</v>
      </c>
      <c r="LX322" s="561">
        <v>-49707</v>
      </c>
      <c r="LY322" s="561">
        <v>7173</v>
      </c>
      <c r="LZ322" s="561">
        <v>-28368</v>
      </c>
      <c r="MA322" s="561">
        <v>0</v>
      </c>
      <c r="MB322" s="561">
        <v>0</v>
      </c>
      <c r="MC322" s="561">
        <v>0</v>
      </c>
      <c r="MD322" s="561">
        <v>0</v>
      </c>
      <c r="ME322" s="561">
        <v>0</v>
      </c>
      <c r="MF322" s="561">
        <v>0</v>
      </c>
      <c r="MG322" s="561">
        <v>0</v>
      </c>
      <c r="MH322" s="561">
        <v>6628</v>
      </c>
      <c r="MI322" s="561">
        <v>8568</v>
      </c>
      <c r="MJ322" s="561">
        <v>15196</v>
      </c>
      <c r="MK322" s="561">
        <v>0</v>
      </c>
      <c r="ML322" s="561">
        <v>0</v>
      </c>
      <c r="MM322" s="561">
        <v>10966.69</v>
      </c>
      <c r="MN322" s="561">
        <v>7463</v>
      </c>
      <c r="MO322" s="561">
        <v>5340</v>
      </c>
      <c r="MP322" s="561">
        <v>4356</v>
      </c>
      <c r="MQ322" s="561">
        <v>175477.52</v>
      </c>
      <c r="MR322" s="561">
        <v>5621.18</v>
      </c>
      <c r="MS322" s="561">
        <v>73219.990000000005</v>
      </c>
      <c r="MT322" s="561">
        <v>88569.74</v>
      </c>
      <c r="MU322" s="561">
        <v>18967</v>
      </c>
      <c r="MV322" s="561">
        <v>4579.95</v>
      </c>
      <c r="MW322" s="561">
        <v>5632.76</v>
      </c>
      <c r="MX322" s="561">
        <v>11787.7</v>
      </c>
      <c r="MY322" s="561">
        <v>7153.83</v>
      </c>
      <c r="MZ322" s="561">
        <v>0</v>
      </c>
      <c r="NA322" s="561">
        <v>0</v>
      </c>
      <c r="NB322" s="561">
        <v>10793</v>
      </c>
      <c r="NC322" s="561">
        <v>0</v>
      </c>
      <c r="ND322" s="561">
        <v>401802.67</v>
      </c>
      <c r="NE322" s="561">
        <v>0</v>
      </c>
      <c r="NF322" s="561">
        <v>0</v>
      </c>
      <c r="NG322" s="561">
        <v>0</v>
      </c>
      <c r="NH322" s="561">
        <v>0</v>
      </c>
      <c r="NI322" s="561">
        <v>0</v>
      </c>
      <c r="NJ322" s="561">
        <v>0</v>
      </c>
      <c r="NK322" s="561">
        <v>0</v>
      </c>
      <c r="NL322" s="561">
        <v>0</v>
      </c>
      <c r="NM322" s="561">
        <v>0</v>
      </c>
      <c r="NN322" s="561">
        <v>0</v>
      </c>
      <c r="NO322" s="561">
        <v>0</v>
      </c>
      <c r="NP322" s="561">
        <v>0</v>
      </c>
      <c r="NQ322" s="561">
        <v>0</v>
      </c>
      <c r="NR322" s="561">
        <v>0</v>
      </c>
      <c r="NS322" s="561">
        <v>0</v>
      </c>
      <c r="NT322" s="561">
        <v>0</v>
      </c>
      <c r="NU322" s="561">
        <v>-292</v>
      </c>
      <c r="NV322" s="561">
        <v>699</v>
      </c>
      <c r="NW322" s="561">
        <v>699</v>
      </c>
      <c r="NX322" s="561">
        <v>0</v>
      </c>
      <c r="NY322" s="561">
        <v>699</v>
      </c>
      <c r="NZ322" s="561">
        <v>0</v>
      </c>
      <c r="OA322" s="561">
        <v>0</v>
      </c>
      <c r="OB322" s="561">
        <v>0</v>
      </c>
      <c r="OC322" s="561">
        <v>0</v>
      </c>
      <c r="OD322" s="561">
        <v>0</v>
      </c>
      <c r="OE322" s="561">
        <v>0</v>
      </c>
      <c r="OF322" s="561">
        <v>0</v>
      </c>
      <c r="OG322" s="561">
        <v>0</v>
      </c>
      <c r="OH322" s="561">
        <v>0</v>
      </c>
      <c r="OI322" s="561">
        <v>0</v>
      </c>
      <c r="OJ322" s="561">
        <v>-15</v>
      </c>
      <c r="OK322" s="561">
        <v>0</v>
      </c>
      <c r="OL322" s="561">
        <v>-87</v>
      </c>
      <c r="OM322" s="561">
        <v>0</v>
      </c>
      <c r="ON322" s="561">
        <v>-1803</v>
      </c>
      <c r="OO322" s="561">
        <v>0</v>
      </c>
      <c r="OP322" s="561">
        <v>343</v>
      </c>
      <c r="OQ322" s="561">
        <v>0</v>
      </c>
      <c r="OR322" s="561">
        <v>0</v>
      </c>
      <c r="OS322" s="561">
        <v>0</v>
      </c>
      <c r="OT322" s="561">
        <v>0</v>
      </c>
      <c r="OU322" s="561">
        <v>0</v>
      </c>
      <c r="OV322" s="561">
        <v>0</v>
      </c>
      <c r="OW322" s="561">
        <v>1792</v>
      </c>
      <c r="OX322" s="561">
        <v>205</v>
      </c>
      <c r="OY322" s="561">
        <v>0</v>
      </c>
      <c r="OZ322" s="561">
        <v>0</v>
      </c>
      <c r="PA322" s="561">
        <v>0</v>
      </c>
      <c r="PB322" s="561">
        <v>0</v>
      </c>
      <c r="PC322" s="561">
        <v>0</v>
      </c>
      <c r="PD322" s="561">
        <v>0</v>
      </c>
      <c r="PE322" s="561">
        <v>1792</v>
      </c>
      <c r="PF322" s="561">
        <v>0</v>
      </c>
      <c r="PG322" s="561">
        <v>0</v>
      </c>
      <c r="PH322" s="561">
        <v>0</v>
      </c>
      <c r="PI322" s="561">
        <v>0</v>
      </c>
      <c r="PJ322" s="561">
        <v>1792</v>
      </c>
    </row>
    <row r="323" spans="1:426" ht="14" x14ac:dyDescent="0.3">
      <c r="A323" t="s">
        <v>3412</v>
      </c>
      <c r="B323" t="s">
        <v>3413</v>
      </c>
      <c r="C323" t="s">
        <v>4663</v>
      </c>
      <c r="E323" t="s">
        <v>384</v>
      </c>
      <c r="F323" s="561">
        <v>0</v>
      </c>
      <c r="G323" s="561">
        <v>0</v>
      </c>
      <c r="H323" s="561">
        <v>0</v>
      </c>
      <c r="I323" s="561">
        <v>0</v>
      </c>
      <c r="J323" s="561">
        <v>0</v>
      </c>
      <c r="K323" s="561">
        <v>0</v>
      </c>
      <c r="L323" s="561">
        <v>0</v>
      </c>
      <c r="M323" s="561">
        <v>0</v>
      </c>
      <c r="N323" s="561">
        <v>7</v>
      </c>
      <c r="O323" s="561">
        <v>0</v>
      </c>
      <c r="P323" s="561">
        <v>0</v>
      </c>
      <c r="Q323" s="561">
        <v>0</v>
      </c>
      <c r="R323" s="561">
        <v>0</v>
      </c>
      <c r="S323" s="561">
        <v>10</v>
      </c>
      <c r="T323" s="561">
        <v>18</v>
      </c>
      <c r="U323" s="561">
        <v>0</v>
      </c>
      <c r="V323" s="561">
        <v>77</v>
      </c>
      <c r="W323" s="561">
        <v>0</v>
      </c>
      <c r="X323" s="561">
        <v>0</v>
      </c>
      <c r="Y323" s="561">
        <v>0</v>
      </c>
      <c r="Z323" s="561">
        <v>0</v>
      </c>
      <c r="AA323" s="561">
        <v>0</v>
      </c>
      <c r="AB323" s="561">
        <v>-691</v>
      </c>
      <c r="AC323" s="561">
        <v>0</v>
      </c>
      <c r="AD323" s="561">
        <v>0</v>
      </c>
      <c r="AE323" s="561">
        <v>0</v>
      </c>
      <c r="AF323" s="561">
        <v>0</v>
      </c>
      <c r="AG323" s="561">
        <v>2</v>
      </c>
      <c r="AH323" s="561">
        <v>0</v>
      </c>
      <c r="AI323" s="561">
        <v>0</v>
      </c>
      <c r="AJ323" s="561">
        <v>-577</v>
      </c>
      <c r="AK323" s="561">
        <v>129</v>
      </c>
      <c r="AL323" s="561">
        <v>0</v>
      </c>
      <c r="AM323" s="561">
        <v>0</v>
      </c>
      <c r="AN323" s="561">
        <v>0</v>
      </c>
      <c r="AO323" s="561">
        <v>0</v>
      </c>
      <c r="AP323" s="561">
        <v>0</v>
      </c>
      <c r="AQ323" s="561">
        <v>0</v>
      </c>
      <c r="AR323" s="561">
        <v>0</v>
      </c>
      <c r="AS323" s="561">
        <v>0</v>
      </c>
      <c r="AT323" s="561">
        <v>0</v>
      </c>
      <c r="AU323" s="561">
        <v>0</v>
      </c>
      <c r="AV323" s="561">
        <v>0</v>
      </c>
      <c r="AW323" s="561">
        <v>0</v>
      </c>
      <c r="AX323" s="561">
        <v>0</v>
      </c>
      <c r="AY323" s="561">
        <v>0</v>
      </c>
      <c r="AZ323" s="561">
        <v>0</v>
      </c>
      <c r="BA323" s="561">
        <v>0</v>
      </c>
      <c r="BB323" s="561">
        <v>0</v>
      </c>
      <c r="BC323" s="561">
        <v>0</v>
      </c>
      <c r="BD323" s="561">
        <v>0</v>
      </c>
      <c r="BE323" s="561">
        <v>0</v>
      </c>
      <c r="BF323" s="561">
        <v>0</v>
      </c>
      <c r="BG323" s="561">
        <v>0</v>
      </c>
      <c r="BH323" s="561">
        <v>0</v>
      </c>
      <c r="BI323" s="561">
        <v>0</v>
      </c>
      <c r="BJ323" s="561">
        <v>0</v>
      </c>
      <c r="BK323" s="561">
        <v>0</v>
      </c>
      <c r="BL323" s="561">
        <v>0</v>
      </c>
      <c r="BM323" s="561">
        <v>0</v>
      </c>
      <c r="BN323" s="561">
        <v>0</v>
      </c>
      <c r="BO323" s="561">
        <v>0</v>
      </c>
      <c r="BP323" s="561">
        <v>0</v>
      </c>
      <c r="BQ323" s="561">
        <v>0</v>
      </c>
      <c r="BR323" s="561">
        <v>0</v>
      </c>
      <c r="BS323" s="561">
        <v>0</v>
      </c>
      <c r="BT323" s="561">
        <v>0</v>
      </c>
      <c r="BU323" s="561">
        <v>0</v>
      </c>
      <c r="BV323" s="561">
        <v>0</v>
      </c>
      <c r="BW323" s="561">
        <v>0</v>
      </c>
      <c r="BX323" s="561">
        <v>0</v>
      </c>
      <c r="BY323" s="561">
        <v>0</v>
      </c>
      <c r="BZ323" s="561">
        <v>0</v>
      </c>
      <c r="CA323" s="561">
        <v>0</v>
      </c>
      <c r="CB323" s="561">
        <v>0</v>
      </c>
      <c r="CC323" s="561">
        <v>0</v>
      </c>
      <c r="CD323" s="561">
        <v>0</v>
      </c>
      <c r="CE323" s="561">
        <v>0</v>
      </c>
      <c r="CF323" s="561">
        <v>0</v>
      </c>
      <c r="CG323" s="561">
        <v>0</v>
      </c>
      <c r="CH323" s="561">
        <v>0</v>
      </c>
      <c r="CI323" s="561">
        <v>0</v>
      </c>
      <c r="CJ323" s="561">
        <v>0</v>
      </c>
      <c r="CK323" s="561">
        <v>0</v>
      </c>
      <c r="CL323" s="561">
        <v>0</v>
      </c>
      <c r="CM323" s="561">
        <v>0</v>
      </c>
      <c r="CN323" s="561">
        <v>0</v>
      </c>
      <c r="CO323" s="561">
        <v>0</v>
      </c>
      <c r="CP323" s="561">
        <v>0</v>
      </c>
      <c r="CQ323" s="561">
        <v>0</v>
      </c>
      <c r="CR323" s="561">
        <v>0</v>
      </c>
      <c r="CS323" s="561">
        <v>0</v>
      </c>
      <c r="CT323" s="561">
        <v>0</v>
      </c>
      <c r="CU323" s="561">
        <v>0</v>
      </c>
      <c r="CV323" s="561">
        <v>0</v>
      </c>
      <c r="CW323" s="561">
        <v>0</v>
      </c>
      <c r="CX323" s="561">
        <v>0</v>
      </c>
      <c r="CY323" s="561">
        <v>0</v>
      </c>
      <c r="CZ323" s="561">
        <v>0</v>
      </c>
      <c r="DA323" s="561">
        <v>0</v>
      </c>
      <c r="DB323" s="561">
        <v>0</v>
      </c>
      <c r="DC323" s="561">
        <v>0</v>
      </c>
      <c r="DD323" s="561">
        <v>0</v>
      </c>
      <c r="DE323" s="561">
        <v>0</v>
      </c>
      <c r="DF323" s="561">
        <v>0</v>
      </c>
      <c r="DG323" s="561">
        <v>0</v>
      </c>
      <c r="DH323" s="561">
        <v>211</v>
      </c>
      <c r="DI323" s="561">
        <v>0</v>
      </c>
      <c r="DJ323" s="561">
        <v>23</v>
      </c>
      <c r="DK323" s="561">
        <v>4</v>
      </c>
      <c r="DL323" s="561">
        <v>0</v>
      </c>
      <c r="DM323" s="561">
        <v>0</v>
      </c>
      <c r="DN323" s="561">
        <v>0</v>
      </c>
      <c r="DO323" s="561">
        <v>23</v>
      </c>
      <c r="DP323" s="561">
        <v>0</v>
      </c>
      <c r="DQ323" s="561">
        <v>0</v>
      </c>
      <c r="DR323" s="561">
        <v>920</v>
      </c>
      <c r="DS323" s="561">
        <v>258</v>
      </c>
      <c r="DT323" s="561">
        <v>142</v>
      </c>
      <c r="DU323" s="561">
        <v>1343</v>
      </c>
      <c r="DV323" s="561">
        <v>69</v>
      </c>
      <c r="DW323" s="561">
        <v>0</v>
      </c>
      <c r="DX323" s="561">
        <v>0</v>
      </c>
      <c r="DY323" s="561">
        <v>1000</v>
      </c>
      <c r="DZ323" s="561">
        <v>-51</v>
      </c>
      <c r="EA323" s="561">
        <v>0</v>
      </c>
      <c r="EB323" s="561">
        <v>0</v>
      </c>
      <c r="EC323" s="561">
        <v>2599</v>
      </c>
      <c r="ED323" s="561">
        <v>0</v>
      </c>
      <c r="EE323" s="561">
        <v>0</v>
      </c>
      <c r="EF323" s="561">
        <v>0</v>
      </c>
      <c r="EG323" s="561">
        <v>0</v>
      </c>
      <c r="EH323" s="561">
        <v>0</v>
      </c>
      <c r="EI323" s="561">
        <v>0</v>
      </c>
      <c r="EJ323" s="561">
        <v>0</v>
      </c>
      <c r="EK323" s="561">
        <v>0</v>
      </c>
      <c r="EL323" s="561">
        <v>0</v>
      </c>
      <c r="EM323" s="561">
        <v>0</v>
      </c>
      <c r="EN323" s="561">
        <v>0</v>
      </c>
      <c r="EO323" s="561">
        <v>0</v>
      </c>
      <c r="EP323" s="561">
        <v>0</v>
      </c>
      <c r="EQ323" s="561">
        <v>0</v>
      </c>
      <c r="ER323" s="561">
        <v>0</v>
      </c>
      <c r="ES323" s="561" t="s">
        <v>4565</v>
      </c>
      <c r="ET323" s="561">
        <v>0</v>
      </c>
      <c r="EU323" s="561">
        <v>0</v>
      </c>
      <c r="EV323" s="561">
        <v>0</v>
      </c>
      <c r="EW323" s="561">
        <v>0</v>
      </c>
      <c r="EX323" s="561">
        <v>0</v>
      </c>
      <c r="EY323" s="561">
        <v>0</v>
      </c>
      <c r="EZ323" s="561">
        <v>0</v>
      </c>
      <c r="FA323" s="561">
        <v>0</v>
      </c>
      <c r="FB323" s="561">
        <v>0</v>
      </c>
      <c r="FC323" s="561">
        <v>5</v>
      </c>
      <c r="FD323" s="561">
        <v>0</v>
      </c>
      <c r="FE323" s="561">
        <v>560</v>
      </c>
      <c r="FF323" s="561">
        <v>690</v>
      </c>
      <c r="FG323" s="561">
        <v>0</v>
      </c>
      <c r="FH323" s="561">
        <v>0</v>
      </c>
      <c r="FI323" s="561">
        <v>768</v>
      </c>
      <c r="FJ323" s="561">
        <v>-510</v>
      </c>
      <c r="FK323" s="561">
        <v>882</v>
      </c>
      <c r="FL323" s="561">
        <v>24</v>
      </c>
      <c r="FM323" s="561">
        <v>22</v>
      </c>
      <c r="FN323" s="561">
        <v>0</v>
      </c>
      <c r="FO323" s="561">
        <v>2441</v>
      </c>
      <c r="FP323" s="561">
        <v>0</v>
      </c>
      <c r="FQ323" s="561">
        <v>-577</v>
      </c>
      <c r="FR323" s="561">
        <v>0</v>
      </c>
      <c r="FS323" s="561">
        <v>0</v>
      </c>
      <c r="FT323" s="561">
        <v>382</v>
      </c>
      <c r="FU323" s="561">
        <v>439</v>
      </c>
      <c r="FV323" s="561">
        <v>322</v>
      </c>
      <c r="FW323" s="561">
        <v>0</v>
      </c>
      <c r="FX323" s="561">
        <v>0</v>
      </c>
      <c r="FY323" s="561">
        <v>0</v>
      </c>
      <c r="FZ323" s="561">
        <v>366</v>
      </c>
      <c r="GA323" s="561">
        <v>109</v>
      </c>
      <c r="GB323" s="561">
        <v>22</v>
      </c>
      <c r="GC323" s="561">
        <v>149</v>
      </c>
      <c r="GD323" s="561">
        <v>44</v>
      </c>
      <c r="GE323" s="561">
        <v>0</v>
      </c>
      <c r="GF323" s="561">
        <v>0</v>
      </c>
      <c r="GG323" s="561">
        <v>11</v>
      </c>
      <c r="GH323" s="561">
        <v>172</v>
      </c>
      <c r="GI323" s="561">
        <v>0</v>
      </c>
      <c r="GJ323" s="561">
        <v>0</v>
      </c>
      <c r="GK323" s="561">
        <v>0</v>
      </c>
      <c r="GL323" s="561">
        <v>816</v>
      </c>
      <c r="GM323" s="561">
        <v>1534</v>
      </c>
      <c r="GN323" s="561">
        <v>-1</v>
      </c>
      <c r="GO323" s="561">
        <v>0</v>
      </c>
      <c r="GP323" s="561">
        <v>779</v>
      </c>
      <c r="GQ323" s="561">
        <v>0</v>
      </c>
      <c r="GR323" s="561">
        <v>66</v>
      </c>
      <c r="GS323" s="561">
        <v>4633</v>
      </c>
      <c r="GT323" s="561">
        <v>170</v>
      </c>
      <c r="GU323" s="561">
        <v>313</v>
      </c>
      <c r="GV323" s="561">
        <v>1806</v>
      </c>
      <c r="GW323" s="561">
        <v>97</v>
      </c>
      <c r="GX323" s="561">
        <v>540</v>
      </c>
      <c r="GY323" s="561">
        <v>252</v>
      </c>
      <c r="GZ323" s="561">
        <v>1188</v>
      </c>
      <c r="HA323" s="561">
        <v>0</v>
      </c>
      <c r="HB323" s="561">
        <v>643</v>
      </c>
      <c r="HC323" s="561">
        <v>0</v>
      </c>
      <c r="HD323" s="561">
        <v>4839</v>
      </c>
      <c r="HE323" s="561">
        <v>801</v>
      </c>
      <c r="HF323" s="561">
        <v>11913</v>
      </c>
      <c r="HG323" s="561">
        <v>0</v>
      </c>
      <c r="HH323" s="561">
        <v>0</v>
      </c>
      <c r="HI323" s="561">
        <v>0</v>
      </c>
      <c r="HJ323" s="561">
        <v>0</v>
      </c>
      <c r="HK323" s="561">
        <v>0</v>
      </c>
      <c r="HL323" s="561">
        <v>0</v>
      </c>
      <c r="HM323" s="561">
        <v>0</v>
      </c>
      <c r="HN323" s="561">
        <v>0</v>
      </c>
      <c r="HO323" s="561">
        <v>1722</v>
      </c>
      <c r="HP323" s="561">
        <v>195</v>
      </c>
      <c r="HQ323" s="561">
        <v>0</v>
      </c>
      <c r="HR323" s="561">
        <v>0</v>
      </c>
      <c r="HS323" s="561">
        <v>333</v>
      </c>
      <c r="HT323" s="561">
        <v>26</v>
      </c>
      <c r="HU323" s="561">
        <v>0</v>
      </c>
      <c r="HV323" s="561">
        <v>0</v>
      </c>
      <c r="HW323" s="561">
        <v>150</v>
      </c>
      <c r="HX323" s="561">
        <v>714</v>
      </c>
      <c r="HY323" s="561">
        <v>66</v>
      </c>
      <c r="HZ323" s="561">
        <v>176</v>
      </c>
      <c r="IA323" s="561">
        <v>0</v>
      </c>
      <c r="IB323" s="561">
        <v>194</v>
      </c>
      <c r="IC323" s="561">
        <v>0</v>
      </c>
      <c r="ID323" s="561">
        <v>0</v>
      </c>
      <c r="IE323" s="561">
        <v>270</v>
      </c>
      <c r="IF323" s="561">
        <v>0</v>
      </c>
      <c r="IG323" s="561">
        <v>0</v>
      </c>
      <c r="IH323" s="561">
        <v>1421</v>
      </c>
      <c r="II323" s="561">
        <v>5267</v>
      </c>
      <c r="IJ323" s="561">
        <v>339</v>
      </c>
      <c r="IK323" s="561">
        <v>10017</v>
      </c>
      <c r="IL323" s="561">
        <v>0</v>
      </c>
      <c r="IM323" s="561">
        <v>0</v>
      </c>
      <c r="IN323" s="561">
        <v>0</v>
      </c>
      <c r="IO323" s="561">
        <v>1723</v>
      </c>
      <c r="IP323" s="561">
        <v>21</v>
      </c>
      <c r="IQ323" s="561">
        <v>0</v>
      </c>
      <c r="IR323" s="561">
        <v>0</v>
      </c>
      <c r="IS323" s="561">
        <v>-577</v>
      </c>
      <c r="IT323" s="561">
        <v>0</v>
      </c>
      <c r="IU323" s="561">
        <v>0</v>
      </c>
      <c r="IV323" s="561">
        <v>0</v>
      </c>
      <c r="IW323" s="561">
        <v>2599</v>
      </c>
      <c r="IX323" s="561">
        <v>2441</v>
      </c>
      <c r="IY323" s="561">
        <v>4633</v>
      </c>
      <c r="IZ323" s="561">
        <v>4839</v>
      </c>
      <c r="JA323" s="561">
        <v>0</v>
      </c>
      <c r="JB323" s="561">
        <v>0</v>
      </c>
      <c r="JC323" s="561">
        <v>5267</v>
      </c>
      <c r="JD323" s="561">
        <v>21</v>
      </c>
      <c r="JE323" s="561">
        <v>19223</v>
      </c>
      <c r="JF323" s="561">
        <v>18615</v>
      </c>
      <c r="JG323" s="561">
        <v>0</v>
      </c>
      <c r="JH323" s="561">
        <v>0</v>
      </c>
      <c r="JI323" s="561">
        <v>0</v>
      </c>
      <c r="JJ323" s="561">
        <v>0</v>
      </c>
      <c r="JK323" s="561">
        <v>1439</v>
      </c>
      <c r="JL323" s="561">
        <v>0</v>
      </c>
      <c r="JM323" s="561">
        <v>0</v>
      </c>
      <c r="JN323" s="561">
        <v>0</v>
      </c>
      <c r="JO323" s="561">
        <v>0</v>
      </c>
      <c r="JP323" s="561">
        <v>478</v>
      </c>
      <c r="JQ323" s="561">
        <v>0</v>
      </c>
      <c r="JR323" s="561">
        <v>-202</v>
      </c>
      <c r="JS323" s="561">
        <v>0</v>
      </c>
      <c r="JT323" s="561">
        <v>50</v>
      </c>
      <c r="JU323" s="561">
        <v>0</v>
      </c>
      <c r="JV323" s="561">
        <v>39603</v>
      </c>
      <c r="JW323" s="561">
        <v>0</v>
      </c>
      <c r="JX323" s="561">
        <v>845</v>
      </c>
      <c r="JY323" s="561">
        <v>0</v>
      </c>
      <c r="JZ323" s="561">
        <v>0</v>
      </c>
      <c r="KA323" s="561">
        <v>0</v>
      </c>
      <c r="KB323" s="561">
        <v>-247</v>
      </c>
      <c r="KC323" s="561">
        <v>559</v>
      </c>
      <c r="KD323" s="561">
        <v>591</v>
      </c>
      <c r="KE323" s="561">
        <v>0</v>
      </c>
      <c r="KF323" s="561">
        <v>0</v>
      </c>
      <c r="KG323" s="561">
        <v>41351</v>
      </c>
      <c r="KH323" s="561">
        <v>-3931</v>
      </c>
      <c r="KI323" s="561">
        <v>0</v>
      </c>
      <c r="KJ323" s="561">
        <v>0</v>
      </c>
      <c r="KK323" s="561">
        <v>0</v>
      </c>
      <c r="KL323" s="561">
        <v>-17879</v>
      </c>
      <c r="KM323" s="561">
        <v>0</v>
      </c>
      <c r="KN323" s="561">
        <v>0</v>
      </c>
      <c r="KO323" s="561">
        <v>0</v>
      </c>
      <c r="KP323" s="561">
        <v>0</v>
      </c>
      <c r="KQ323" s="561">
        <v>0</v>
      </c>
      <c r="KR323" s="561">
        <v>19541</v>
      </c>
      <c r="KS323" s="561">
        <v>0</v>
      </c>
      <c r="KT323" s="561">
        <v>-5368</v>
      </c>
      <c r="KU323" s="561">
        <v>14173</v>
      </c>
      <c r="KV323" s="561">
        <v>0</v>
      </c>
      <c r="KW323" s="561">
        <v>0</v>
      </c>
      <c r="KX323" s="561">
        <v>0</v>
      </c>
      <c r="KY323" s="561">
        <v>0</v>
      </c>
      <c r="KZ323" s="561">
        <v>4190</v>
      </c>
      <c r="LA323" s="561">
        <v>486</v>
      </c>
      <c r="LB323" s="561">
        <v>-120</v>
      </c>
      <c r="LC323" s="561">
        <v>0</v>
      </c>
      <c r="LD323" s="561">
        <v>-8748</v>
      </c>
      <c r="LE323" s="561">
        <v>15</v>
      </c>
      <c r="LF323" s="561">
        <v>0</v>
      </c>
      <c r="LG323" s="561">
        <v>9996</v>
      </c>
      <c r="LH323" s="561">
        <v>0</v>
      </c>
      <c r="LI323" s="561">
        <v>0</v>
      </c>
      <c r="LJ323" s="561">
        <v>0</v>
      </c>
      <c r="LK323" s="561">
        <v>0</v>
      </c>
      <c r="LL323" s="561">
        <v>36703</v>
      </c>
      <c r="LM323" s="561">
        <v>2907</v>
      </c>
      <c r="LN323" s="561">
        <v>0</v>
      </c>
      <c r="LO323" s="561">
        <v>0</v>
      </c>
      <c r="LP323" s="561">
        <v>0</v>
      </c>
      <c r="LQ323" s="561">
        <v>0</v>
      </c>
      <c r="LR323" s="561">
        <v>40893</v>
      </c>
      <c r="LS323" s="561">
        <v>3393</v>
      </c>
      <c r="LT323" s="561">
        <v>0</v>
      </c>
      <c r="LU323" s="561">
        <v>3138</v>
      </c>
      <c r="LV323" s="561">
        <v>0</v>
      </c>
      <c r="LW323" s="561">
        <v>-452</v>
      </c>
      <c r="LX323" s="561">
        <v>0</v>
      </c>
      <c r="LY323" s="561">
        <v>4774</v>
      </c>
      <c r="LZ323" s="561">
        <v>7460</v>
      </c>
      <c r="MA323" s="561">
        <v>0</v>
      </c>
      <c r="MB323" s="561">
        <v>0</v>
      </c>
      <c r="MC323" s="561">
        <v>0</v>
      </c>
      <c r="MD323" s="561">
        <v>0</v>
      </c>
      <c r="ME323" s="561">
        <v>0</v>
      </c>
      <c r="MF323" s="561">
        <v>0</v>
      </c>
      <c r="MG323" s="561">
        <v>0</v>
      </c>
      <c r="MH323" s="561">
        <v>2811</v>
      </c>
      <c r="MI323" s="561">
        <v>4977</v>
      </c>
      <c r="MJ323" s="561">
        <v>7788</v>
      </c>
      <c r="MK323" s="561">
        <v>66</v>
      </c>
      <c r="ML323" s="561">
        <v>436</v>
      </c>
      <c r="MM323" s="561">
        <v>30469</v>
      </c>
      <c r="MN323" s="561">
        <v>1227</v>
      </c>
      <c r="MO323" s="561">
        <v>4566</v>
      </c>
      <c r="MP323" s="561">
        <v>4195</v>
      </c>
      <c r="MQ323" s="561">
        <v>0</v>
      </c>
      <c r="MR323" s="561">
        <v>-577</v>
      </c>
      <c r="MS323" s="561">
        <v>0</v>
      </c>
      <c r="MT323" s="561">
        <v>0</v>
      </c>
      <c r="MU323" s="561">
        <v>0</v>
      </c>
      <c r="MV323" s="561">
        <v>2599</v>
      </c>
      <c r="MW323" s="561">
        <v>2441</v>
      </c>
      <c r="MX323" s="561">
        <v>4633</v>
      </c>
      <c r="MY323" s="561">
        <v>4839</v>
      </c>
      <c r="MZ323" s="561">
        <v>0</v>
      </c>
      <c r="NA323" s="561">
        <v>0</v>
      </c>
      <c r="NB323" s="561">
        <v>5267</v>
      </c>
      <c r="NC323" s="561">
        <v>21</v>
      </c>
      <c r="ND323" s="561">
        <v>19223</v>
      </c>
      <c r="NE323" s="561">
        <v>0</v>
      </c>
      <c r="NF323" s="561">
        <v>0</v>
      </c>
      <c r="NG323" s="561">
        <v>0</v>
      </c>
      <c r="NH323" s="561">
        <v>0</v>
      </c>
      <c r="NI323" s="561">
        <v>0</v>
      </c>
      <c r="NJ323" s="561">
        <v>0</v>
      </c>
      <c r="NK323" s="561">
        <v>0</v>
      </c>
      <c r="NL323" s="561">
        <v>0</v>
      </c>
      <c r="NM323" s="561">
        <v>0</v>
      </c>
      <c r="NN323" s="561">
        <v>0</v>
      </c>
      <c r="NO323" s="561">
        <v>0</v>
      </c>
      <c r="NP323" s="561">
        <v>0</v>
      </c>
      <c r="NQ323" s="561">
        <v>0</v>
      </c>
      <c r="NR323" s="561">
        <v>0</v>
      </c>
      <c r="NS323" s="561">
        <v>0</v>
      </c>
      <c r="NT323" s="561">
        <v>0</v>
      </c>
      <c r="NU323" s="561">
        <v>268</v>
      </c>
      <c r="NV323" s="561">
        <v>0</v>
      </c>
      <c r="NW323" s="561">
        <v>276</v>
      </c>
      <c r="NX323" s="561">
        <v>202</v>
      </c>
      <c r="NY323" s="561">
        <v>478</v>
      </c>
      <c r="NZ323" s="561">
        <v>0</v>
      </c>
      <c r="OA323" s="561">
        <v>0</v>
      </c>
      <c r="OB323" s="561">
        <v>0</v>
      </c>
      <c r="OC323" s="561">
        <v>0</v>
      </c>
      <c r="OD323" s="561">
        <v>0</v>
      </c>
      <c r="OE323" s="561">
        <v>0</v>
      </c>
      <c r="OF323" s="561">
        <v>0</v>
      </c>
      <c r="OG323" s="561">
        <v>0</v>
      </c>
      <c r="OH323" s="561">
        <v>0</v>
      </c>
      <c r="OI323" s="561">
        <v>0</v>
      </c>
      <c r="OJ323" s="561">
        <v>0</v>
      </c>
      <c r="OK323" s="561">
        <v>0</v>
      </c>
      <c r="OL323" s="561">
        <v>0</v>
      </c>
      <c r="OM323" s="561">
        <v>0</v>
      </c>
      <c r="ON323" s="561">
        <v>0</v>
      </c>
      <c r="OO323" s="561">
        <v>0</v>
      </c>
      <c r="OP323" s="561">
        <v>0</v>
      </c>
      <c r="OQ323" s="561">
        <v>0</v>
      </c>
      <c r="OR323" s="561">
        <v>0</v>
      </c>
      <c r="OS323" s="561">
        <v>0</v>
      </c>
      <c r="OT323" s="561">
        <v>0</v>
      </c>
      <c r="OU323" s="561">
        <v>0</v>
      </c>
      <c r="OV323" s="561">
        <v>-302</v>
      </c>
      <c r="OW323" s="561">
        <v>0</v>
      </c>
      <c r="OX323" s="561">
        <v>0</v>
      </c>
      <c r="OY323" s="561">
        <v>202</v>
      </c>
      <c r="OZ323" s="561">
        <v>0</v>
      </c>
      <c r="PA323" s="561">
        <v>0</v>
      </c>
      <c r="PB323" s="561">
        <v>0</v>
      </c>
      <c r="PC323" s="561">
        <v>0</v>
      </c>
      <c r="PD323" s="561">
        <v>202</v>
      </c>
      <c r="PE323" s="561">
        <v>0</v>
      </c>
      <c r="PF323" s="561">
        <v>0</v>
      </c>
      <c r="PG323" s="561">
        <v>0</v>
      </c>
      <c r="PH323" s="561">
        <v>0</v>
      </c>
      <c r="PI323" s="561">
        <v>0</v>
      </c>
      <c r="PJ323" s="561">
        <v>0</v>
      </c>
    </row>
    <row r="324" spans="1:426" ht="14" x14ac:dyDescent="0.3">
      <c r="A324" t="s">
        <v>3415</v>
      </c>
      <c r="B324" t="s">
        <v>3416</v>
      </c>
      <c r="C324" t="s">
        <v>4664</v>
      </c>
      <c r="E324" t="s">
        <v>2595</v>
      </c>
      <c r="F324" s="561">
        <v>105556</v>
      </c>
      <c r="G324" s="561">
        <v>113913</v>
      </c>
      <c r="H324" s="561">
        <v>35541</v>
      </c>
      <c r="I324" s="561">
        <v>109061</v>
      </c>
      <c r="J324" s="561">
        <v>7990</v>
      </c>
      <c r="K324" s="561">
        <v>49192</v>
      </c>
      <c r="L324" s="561">
        <v>421253</v>
      </c>
      <c r="M324" s="561">
        <v>3495</v>
      </c>
      <c r="N324" s="561">
        <v>8350</v>
      </c>
      <c r="O324" s="561">
        <v>984</v>
      </c>
      <c r="P324" s="561">
        <v>0</v>
      </c>
      <c r="Q324" s="561">
        <v>0</v>
      </c>
      <c r="R324" s="561">
        <v>2033</v>
      </c>
      <c r="S324" s="561">
        <v>1753</v>
      </c>
      <c r="T324" s="561">
        <v>15622</v>
      </c>
      <c r="U324" s="561">
        <v>1960</v>
      </c>
      <c r="V324" s="561">
        <v>5930</v>
      </c>
      <c r="W324" s="561">
        <v>0</v>
      </c>
      <c r="X324" s="561">
        <v>100</v>
      </c>
      <c r="Y324" s="561">
        <v>1872</v>
      </c>
      <c r="Z324" s="561">
        <v>9</v>
      </c>
      <c r="AA324" s="561">
        <v>628</v>
      </c>
      <c r="AB324" s="561">
        <v>126</v>
      </c>
      <c r="AC324" s="561">
        <v>6723</v>
      </c>
      <c r="AD324" s="561">
        <v>0</v>
      </c>
      <c r="AE324" s="561">
        <v>5488</v>
      </c>
      <c r="AF324" s="561">
        <v>0</v>
      </c>
      <c r="AG324" s="561">
        <v>0</v>
      </c>
      <c r="AH324" s="561">
        <v>1185</v>
      </c>
      <c r="AI324" s="561">
        <v>0</v>
      </c>
      <c r="AJ324" s="561">
        <v>52763</v>
      </c>
      <c r="AK324" s="561">
        <v>429.08</v>
      </c>
      <c r="AL324" s="561">
        <v>0</v>
      </c>
      <c r="AM324" s="561">
        <v>0</v>
      </c>
      <c r="AN324" s="561">
        <v>0</v>
      </c>
      <c r="AO324" s="561">
        <v>0</v>
      </c>
      <c r="AP324" s="561">
        <v>0</v>
      </c>
      <c r="AQ324" s="561">
        <v>0</v>
      </c>
      <c r="AR324" s="561">
        <v>0</v>
      </c>
      <c r="AS324" s="561">
        <v>0</v>
      </c>
      <c r="AT324" s="561">
        <v>868</v>
      </c>
      <c r="AU324" s="561">
        <v>0</v>
      </c>
      <c r="AV324" s="561">
        <v>0</v>
      </c>
      <c r="AW324" s="561">
        <v>0</v>
      </c>
      <c r="AX324" s="561">
        <v>1800</v>
      </c>
      <c r="AY324" s="561">
        <v>131295</v>
      </c>
      <c r="AZ324" s="561">
        <v>90</v>
      </c>
      <c r="BA324" s="561">
        <v>62321</v>
      </c>
      <c r="BB324" s="561">
        <v>3927</v>
      </c>
      <c r="BC324" s="561">
        <v>19891</v>
      </c>
      <c r="BD324" s="561">
        <v>2283</v>
      </c>
      <c r="BE324" s="561">
        <v>446</v>
      </c>
      <c r="BF324" s="561">
        <v>222053</v>
      </c>
      <c r="BG324" s="561">
        <v>5411</v>
      </c>
      <c r="BH324" s="561">
        <v>23716</v>
      </c>
      <c r="BI324" s="561">
        <v>105707</v>
      </c>
      <c r="BJ324" s="561">
        <v>120</v>
      </c>
      <c r="BK324" s="561">
        <v>523</v>
      </c>
      <c r="BL324" s="561">
        <v>2063</v>
      </c>
      <c r="BM324" s="561">
        <v>37366</v>
      </c>
      <c r="BN324" s="561">
        <v>93160</v>
      </c>
      <c r="BO324" s="561">
        <v>11837</v>
      </c>
      <c r="BP324" s="561">
        <v>17222</v>
      </c>
      <c r="BQ324" s="561">
        <v>2195</v>
      </c>
      <c r="BR324" s="561">
        <v>0</v>
      </c>
      <c r="BS324" s="561">
        <v>0</v>
      </c>
      <c r="BT324" s="561">
        <v>768</v>
      </c>
      <c r="BU324" s="561">
        <v>0</v>
      </c>
      <c r="BV324" s="561">
        <v>720</v>
      </c>
      <c r="BW324" s="561">
        <v>30469</v>
      </c>
      <c r="BX324" s="561">
        <v>0</v>
      </c>
      <c r="BY324" s="561">
        <v>15699</v>
      </c>
      <c r="BZ324" s="561">
        <v>341565</v>
      </c>
      <c r="CA324" s="561">
        <v>259.33</v>
      </c>
      <c r="CB324" s="561">
        <v>4211</v>
      </c>
      <c r="CC324" s="561">
        <v>2460</v>
      </c>
      <c r="CD324" s="561">
        <v>97</v>
      </c>
      <c r="CE324" s="561">
        <v>635</v>
      </c>
      <c r="CF324" s="561">
        <v>559</v>
      </c>
      <c r="CG324" s="561">
        <v>97</v>
      </c>
      <c r="CH324" s="561">
        <v>97</v>
      </c>
      <c r="CI324" s="561">
        <v>1086</v>
      </c>
      <c r="CJ324" s="561">
        <v>315</v>
      </c>
      <c r="CK324" s="561">
        <v>1716</v>
      </c>
      <c r="CL324" s="561">
        <v>1368</v>
      </c>
      <c r="CM324" s="561">
        <v>2650</v>
      </c>
      <c r="CN324" s="561">
        <v>2650</v>
      </c>
      <c r="CO324" s="561">
        <v>150</v>
      </c>
      <c r="CP324" s="561">
        <v>150</v>
      </c>
      <c r="CQ324" s="561">
        <v>564</v>
      </c>
      <c r="CR324" s="561">
        <v>480</v>
      </c>
      <c r="CS324" s="561">
        <v>97</v>
      </c>
      <c r="CT324" s="561">
        <v>2829</v>
      </c>
      <c r="CU324" s="561">
        <v>9478</v>
      </c>
      <c r="CV324" s="561">
        <v>97</v>
      </c>
      <c r="CW324" s="561">
        <v>97</v>
      </c>
      <c r="CX324" s="561">
        <v>1553</v>
      </c>
      <c r="CY324" s="561">
        <v>7641</v>
      </c>
      <c r="CZ324" s="561">
        <v>41077</v>
      </c>
      <c r="DA324" s="561">
        <v>0</v>
      </c>
      <c r="DB324" s="561">
        <v>0</v>
      </c>
      <c r="DC324" s="561">
        <v>0</v>
      </c>
      <c r="DD324" s="561">
        <v>0</v>
      </c>
      <c r="DE324" s="561">
        <v>0</v>
      </c>
      <c r="DF324" s="561">
        <v>0</v>
      </c>
      <c r="DG324" s="561">
        <v>0</v>
      </c>
      <c r="DH324" s="561">
        <v>0</v>
      </c>
      <c r="DI324" s="561">
        <v>0</v>
      </c>
      <c r="DJ324" s="561">
        <v>0</v>
      </c>
      <c r="DK324" s="561">
        <v>0</v>
      </c>
      <c r="DL324" s="561">
        <v>0</v>
      </c>
      <c r="DM324" s="561">
        <v>0</v>
      </c>
      <c r="DN324" s="561">
        <v>0</v>
      </c>
      <c r="DO324" s="561">
        <v>0</v>
      </c>
      <c r="DP324" s="561">
        <v>0</v>
      </c>
      <c r="DQ324" s="561">
        <v>0</v>
      </c>
      <c r="DR324" s="561">
        <v>0</v>
      </c>
      <c r="DS324" s="561">
        <v>0</v>
      </c>
      <c r="DT324" s="561">
        <v>0</v>
      </c>
      <c r="DU324" s="561">
        <v>0</v>
      </c>
      <c r="DV324" s="561">
        <v>0</v>
      </c>
      <c r="DW324" s="561">
        <v>0</v>
      </c>
      <c r="DX324" s="561">
        <v>0</v>
      </c>
      <c r="DY324" s="561">
        <v>0</v>
      </c>
      <c r="DZ324" s="561">
        <v>0</v>
      </c>
      <c r="EA324" s="561">
        <v>0</v>
      </c>
      <c r="EB324" s="561">
        <v>0</v>
      </c>
      <c r="EC324" s="561">
        <v>0</v>
      </c>
      <c r="ED324" s="561">
        <v>0</v>
      </c>
      <c r="EE324" s="561">
        <v>0</v>
      </c>
      <c r="EF324" s="561">
        <v>0</v>
      </c>
      <c r="EG324" s="561">
        <v>0</v>
      </c>
      <c r="EH324" s="561">
        <v>0</v>
      </c>
      <c r="EI324" s="561">
        <v>0</v>
      </c>
      <c r="EJ324" s="561">
        <v>0</v>
      </c>
      <c r="EK324" s="561">
        <v>0</v>
      </c>
      <c r="EL324" s="561">
        <v>0</v>
      </c>
      <c r="EM324" s="561">
        <v>0</v>
      </c>
      <c r="EN324" s="561">
        <v>0</v>
      </c>
      <c r="EO324" s="561">
        <v>0</v>
      </c>
      <c r="EP324" s="561">
        <v>0</v>
      </c>
      <c r="EQ324" s="561">
        <v>0</v>
      </c>
      <c r="ER324" s="561">
        <v>0</v>
      </c>
      <c r="ES324" s="561" t="s">
        <v>4565</v>
      </c>
      <c r="ET324" s="561">
        <v>0</v>
      </c>
      <c r="EU324" s="561">
        <v>0</v>
      </c>
      <c r="EV324" s="561">
        <v>0</v>
      </c>
      <c r="EW324" s="561">
        <v>0</v>
      </c>
      <c r="EX324" s="561">
        <v>0</v>
      </c>
      <c r="EY324" s="561">
        <v>0</v>
      </c>
      <c r="EZ324" s="561">
        <v>0</v>
      </c>
      <c r="FA324" s="561">
        <v>0</v>
      </c>
      <c r="FB324" s="561">
        <v>1298</v>
      </c>
      <c r="FC324" s="561">
        <v>0</v>
      </c>
      <c r="FD324" s="561">
        <v>0</v>
      </c>
      <c r="FE324" s="561">
        <v>-41</v>
      </c>
      <c r="FF324" s="561">
        <v>0</v>
      </c>
      <c r="FG324" s="561">
        <v>0</v>
      </c>
      <c r="FH324" s="561">
        <v>0</v>
      </c>
      <c r="FI324" s="561">
        <v>1</v>
      </c>
      <c r="FJ324" s="561">
        <v>0</v>
      </c>
      <c r="FK324" s="561">
        <v>1545</v>
      </c>
      <c r="FL324" s="561">
        <v>0</v>
      </c>
      <c r="FM324" s="561">
        <v>560</v>
      </c>
      <c r="FN324" s="561">
        <v>7009</v>
      </c>
      <c r="FO324" s="561">
        <v>10372</v>
      </c>
      <c r="FP324" s="561">
        <v>22.45</v>
      </c>
      <c r="FQ324" s="561">
        <v>0</v>
      </c>
      <c r="FR324" s="561">
        <v>738</v>
      </c>
      <c r="FS324" s="561">
        <v>0</v>
      </c>
      <c r="FT324" s="561">
        <v>0</v>
      </c>
      <c r="FU324" s="561">
        <v>0</v>
      </c>
      <c r="FV324" s="561">
        <v>0</v>
      </c>
      <c r="FW324" s="561">
        <v>0</v>
      </c>
      <c r="FX324" s="561">
        <v>0</v>
      </c>
      <c r="FY324" s="561">
        <v>0</v>
      </c>
      <c r="FZ324" s="561">
        <v>0</v>
      </c>
      <c r="GA324" s="561">
        <v>0</v>
      </c>
      <c r="GB324" s="561">
        <v>129</v>
      </c>
      <c r="GC324" s="561">
        <v>135</v>
      </c>
      <c r="GD324" s="561">
        <v>0</v>
      </c>
      <c r="GE324" s="561">
        <v>1502</v>
      </c>
      <c r="GF324" s="561">
        <v>0</v>
      </c>
      <c r="GG324" s="561">
        <v>928</v>
      </c>
      <c r="GH324" s="561">
        <v>2</v>
      </c>
      <c r="GI324" s="561">
        <v>0</v>
      </c>
      <c r="GJ324" s="561">
        <v>0</v>
      </c>
      <c r="GK324" s="561">
        <v>-606</v>
      </c>
      <c r="GL324" s="561">
        <v>0</v>
      </c>
      <c r="GM324" s="561">
        <v>2762</v>
      </c>
      <c r="GN324" s="561">
        <v>17699</v>
      </c>
      <c r="GO324" s="561">
        <v>607</v>
      </c>
      <c r="GP324" s="561">
        <v>11267</v>
      </c>
      <c r="GQ324" s="561">
        <v>66</v>
      </c>
      <c r="GR324" s="561">
        <v>641</v>
      </c>
      <c r="GS324" s="561">
        <v>35870</v>
      </c>
      <c r="GT324" s="561">
        <v>562.09</v>
      </c>
      <c r="GU324" s="561">
        <v>0</v>
      </c>
      <c r="GV324" s="561">
        <v>1162</v>
      </c>
      <c r="GW324" s="561">
        <v>117</v>
      </c>
      <c r="GX324" s="561">
        <v>30</v>
      </c>
      <c r="GY324" s="561">
        <v>134</v>
      </c>
      <c r="GZ324" s="561">
        <v>1287</v>
      </c>
      <c r="HA324" s="561">
        <v>0</v>
      </c>
      <c r="HB324" s="561">
        <v>574</v>
      </c>
      <c r="HC324" s="561">
        <v>0</v>
      </c>
      <c r="HD324" s="561">
        <v>3304</v>
      </c>
      <c r="HE324" s="561">
        <v>0</v>
      </c>
      <c r="HF324" s="561">
        <v>49546</v>
      </c>
      <c r="HG324" s="561">
        <v>585</v>
      </c>
      <c r="HH324" s="561">
        <v>0</v>
      </c>
      <c r="HI324" s="561">
        <v>0</v>
      </c>
      <c r="HJ324" s="561">
        <v>0</v>
      </c>
      <c r="HK324" s="561">
        <v>0</v>
      </c>
      <c r="HL324" s="561">
        <v>0</v>
      </c>
      <c r="HM324" s="561">
        <v>0</v>
      </c>
      <c r="HN324" s="561">
        <v>0</v>
      </c>
      <c r="HO324" s="561">
        <v>6522</v>
      </c>
      <c r="HP324" s="561">
        <v>0</v>
      </c>
      <c r="HQ324" s="561">
        <v>0</v>
      </c>
      <c r="HR324" s="561">
        <v>0</v>
      </c>
      <c r="HS324" s="561">
        <v>0</v>
      </c>
      <c r="HT324" s="561">
        <v>0</v>
      </c>
      <c r="HU324" s="561">
        <v>0</v>
      </c>
      <c r="HV324" s="561">
        <v>-1526</v>
      </c>
      <c r="HW324" s="561">
        <v>0</v>
      </c>
      <c r="HX324" s="561">
        <v>1797</v>
      </c>
      <c r="HY324" s="561">
        <v>483</v>
      </c>
      <c r="HZ324" s="561">
        <v>85</v>
      </c>
      <c r="IA324" s="561">
        <v>0</v>
      </c>
      <c r="IB324" s="561">
        <v>170</v>
      </c>
      <c r="IC324" s="561">
        <v>1622</v>
      </c>
      <c r="ID324" s="561">
        <v>0</v>
      </c>
      <c r="IE324" s="561">
        <v>0</v>
      </c>
      <c r="IF324" s="561">
        <v>0</v>
      </c>
      <c r="IG324" s="561">
        <v>0</v>
      </c>
      <c r="IH324" s="561">
        <v>0</v>
      </c>
      <c r="II324" s="561">
        <v>9153</v>
      </c>
      <c r="IJ324" s="561">
        <v>2551.2199999999998</v>
      </c>
      <c r="IK324" s="561">
        <v>0</v>
      </c>
      <c r="IL324" s="561">
        <v>0</v>
      </c>
      <c r="IM324" s="561">
        <v>0</v>
      </c>
      <c r="IN324" s="561">
        <v>0</v>
      </c>
      <c r="IO324" s="561">
        <v>0</v>
      </c>
      <c r="IP324" s="561">
        <v>0</v>
      </c>
      <c r="IQ324" s="561">
        <v>0</v>
      </c>
      <c r="IR324" s="561">
        <v>421253</v>
      </c>
      <c r="IS324" s="561">
        <v>52763</v>
      </c>
      <c r="IT324" s="561">
        <v>222053</v>
      </c>
      <c r="IU324" s="561">
        <v>341565</v>
      </c>
      <c r="IV324" s="561">
        <v>41077</v>
      </c>
      <c r="IW324" s="561">
        <v>0</v>
      </c>
      <c r="IX324" s="561">
        <v>10372</v>
      </c>
      <c r="IY324" s="561">
        <v>35870</v>
      </c>
      <c r="IZ324" s="561">
        <v>3304</v>
      </c>
      <c r="JA324" s="561">
        <v>0</v>
      </c>
      <c r="JB324" s="561">
        <v>0</v>
      </c>
      <c r="JC324" s="561">
        <v>9153</v>
      </c>
      <c r="JD324" s="561">
        <v>0</v>
      </c>
      <c r="JE324" s="561">
        <v>1137410</v>
      </c>
      <c r="JF324" s="561">
        <v>0</v>
      </c>
      <c r="JG324" s="561">
        <v>0</v>
      </c>
      <c r="JH324" s="561">
        <v>0</v>
      </c>
      <c r="JI324" s="561">
        <v>0</v>
      </c>
      <c r="JJ324" s="561">
        <v>0</v>
      </c>
      <c r="JK324" s="561">
        <v>0</v>
      </c>
      <c r="JL324" s="561">
        <v>0</v>
      </c>
      <c r="JM324" s="561">
        <v>0</v>
      </c>
      <c r="JN324" s="561">
        <v>0</v>
      </c>
      <c r="JO324" s="561">
        <v>0</v>
      </c>
      <c r="JP324" s="561">
        <v>0</v>
      </c>
      <c r="JQ324" s="561">
        <v>-969.07</v>
      </c>
      <c r="JR324" s="561">
        <v>0</v>
      </c>
      <c r="JS324" s="561">
        <v>0</v>
      </c>
      <c r="JT324" s="561">
        <v>0</v>
      </c>
      <c r="JU324" s="561">
        <v>0</v>
      </c>
      <c r="JV324" s="561">
        <v>1136440.93</v>
      </c>
      <c r="JW324" s="561">
        <v>370</v>
      </c>
      <c r="JX324" s="561">
        <v>27844</v>
      </c>
      <c r="JY324" s="561">
        <v>0</v>
      </c>
      <c r="JZ324" s="561">
        <v>0</v>
      </c>
      <c r="KA324" s="561">
        <v>0</v>
      </c>
      <c r="KB324" s="561">
        <v>3996</v>
      </c>
      <c r="KC324" s="561">
        <v>18405</v>
      </c>
      <c r="KD324" s="561">
        <v>0</v>
      </c>
      <c r="KE324" s="561">
        <v>32532</v>
      </c>
      <c r="KF324" s="561">
        <v>0</v>
      </c>
      <c r="KG324" s="561">
        <v>1219587.93</v>
      </c>
      <c r="KH324" s="561">
        <v>-31118</v>
      </c>
      <c r="KI324" s="561">
        <v>0</v>
      </c>
      <c r="KJ324" s="561">
        <v>0</v>
      </c>
      <c r="KK324" s="561">
        <v>0</v>
      </c>
      <c r="KL324" s="561">
        <v>-188</v>
      </c>
      <c r="KM324" s="561">
        <v>0</v>
      </c>
      <c r="KN324" s="561">
        <v>0</v>
      </c>
      <c r="KO324" s="561">
        <v>0</v>
      </c>
      <c r="KP324" s="561">
        <v>0</v>
      </c>
      <c r="KQ324" s="561">
        <v>-22733</v>
      </c>
      <c r="KR324" s="561">
        <v>1165548.93</v>
      </c>
      <c r="KS324" s="561">
        <v>0</v>
      </c>
      <c r="KT324" s="561">
        <v>-614338</v>
      </c>
      <c r="KU324" s="561">
        <v>551210.93000000005</v>
      </c>
      <c r="KV324" s="561">
        <v>0</v>
      </c>
      <c r="KW324" s="561">
        <v>-2151</v>
      </c>
      <c r="KX324" s="561">
        <v>0</v>
      </c>
      <c r="KY324" s="561">
        <v>8546</v>
      </c>
      <c r="KZ324" s="561">
        <v>18423</v>
      </c>
      <c r="LA324" s="561">
        <v>13642</v>
      </c>
      <c r="LB324" s="561">
        <v>-13262</v>
      </c>
      <c r="LC324" s="561">
        <v>0</v>
      </c>
      <c r="LD324" s="561">
        <v>-115491</v>
      </c>
      <c r="LE324" s="561">
        <v>-1795</v>
      </c>
      <c r="LF324" s="561">
        <v>0</v>
      </c>
      <c r="LG324" s="561">
        <v>459123</v>
      </c>
      <c r="LH324" s="561">
        <v>21538</v>
      </c>
      <c r="LI324" s="561">
        <v>-30831</v>
      </c>
      <c r="LJ324" s="561">
        <v>0</v>
      </c>
      <c r="LK324" s="561">
        <v>6782</v>
      </c>
      <c r="LL324" s="561">
        <v>362081</v>
      </c>
      <c r="LM324" s="561">
        <v>48477</v>
      </c>
      <c r="LN324" s="561">
        <v>19387</v>
      </c>
      <c r="LO324" s="561">
        <v>-53564</v>
      </c>
      <c r="LP324" s="561">
        <v>0</v>
      </c>
      <c r="LQ324" s="561">
        <v>15328</v>
      </c>
      <c r="LR324" s="561">
        <v>380504</v>
      </c>
      <c r="LS324" s="561">
        <v>62119</v>
      </c>
      <c r="LT324" s="561">
        <v>0</v>
      </c>
      <c r="LU324" s="561">
        <v>83119</v>
      </c>
      <c r="LV324" s="561">
        <v>0</v>
      </c>
      <c r="LW324" s="561">
        <v>0</v>
      </c>
      <c r="LX324" s="561">
        <v>-91976</v>
      </c>
      <c r="LY324" s="561">
        <v>14770</v>
      </c>
      <c r="LZ324" s="561">
        <v>5913</v>
      </c>
      <c r="MA324" s="561">
        <v>0</v>
      </c>
      <c r="MB324" s="561">
        <v>0</v>
      </c>
      <c r="MC324" s="561">
        <v>0</v>
      </c>
      <c r="MD324" s="561">
        <v>0</v>
      </c>
      <c r="ME324" s="561">
        <v>0</v>
      </c>
      <c r="MF324" s="561">
        <v>0</v>
      </c>
      <c r="MG324" s="561">
        <v>0</v>
      </c>
      <c r="MH324" s="561">
        <v>0</v>
      </c>
      <c r="MI324" s="561">
        <v>0</v>
      </c>
      <c r="MJ324" s="561">
        <v>0</v>
      </c>
      <c r="MK324" s="561">
        <v>0</v>
      </c>
      <c r="ML324" s="561">
        <v>4029</v>
      </c>
      <c r="MM324" s="561">
        <v>98149</v>
      </c>
      <c r="MN324" s="561">
        <v>173595</v>
      </c>
      <c r="MO324" s="561">
        <v>104731</v>
      </c>
      <c r="MP324" s="561">
        <v>0</v>
      </c>
      <c r="MQ324" s="561">
        <v>421253</v>
      </c>
      <c r="MR324" s="561">
        <v>52763</v>
      </c>
      <c r="MS324" s="561">
        <v>222053</v>
      </c>
      <c r="MT324" s="561">
        <v>341565</v>
      </c>
      <c r="MU324" s="561">
        <v>41077</v>
      </c>
      <c r="MV324" s="561">
        <v>0</v>
      </c>
      <c r="MW324" s="561">
        <v>10372</v>
      </c>
      <c r="MX324" s="561">
        <v>35870</v>
      </c>
      <c r="MY324" s="561">
        <v>3304</v>
      </c>
      <c r="MZ324" s="561">
        <v>0</v>
      </c>
      <c r="NA324" s="561">
        <v>0</v>
      </c>
      <c r="NB324" s="561">
        <v>9153</v>
      </c>
      <c r="NC324" s="561">
        <v>0</v>
      </c>
      <c r="ND324" s="561">
        <v>1137410</v>
      </c>
      <c r="NE324" s="561">
        <v>0</v>
      </c>
      <c r="NF324" s="561">
        <v>0</v>
      </c>
      <c r="NG324" s="561">
        <v>0</v>
      </c>
      <c r="NH324" s="561">
        <v>0</v>
      </c>
      <c r="NI324" s="561">
        <v>0</v>
      </c>
      <c r="NJ324" s="561">
        <v>0</v>
      </c>
      <c r="NK324" s="561">
        <v>0</v>
      </c>
      <c r="NL324" s="561">
        <v>0</v>
      </c>
      <c r="NM324" s="561">
        <v>0</v>
      </c>
      <c r="NN324" s="561">
        <v>0</v>
      </c>
      <c r="NO324" s="561">
        <v>0</v>
      </c>
      <c r="NP324" s="561">
        <v>0</v>
      </c>
      <c r="NQ324" s="561">
        <v>0</v>
      </c>
      <c r="NR324" s="561">
        <v>0</v>
      </c>
      <c r="NS324" s="561">
        <v>0</v>
      </c>
      <c r="NT324" s="561">
        <v>0</v>
      </c>
      <c r="NU324" s="561">
        <v>0</v>
      </c>
      <c r="NV324" s="561">
        <v>0</v>
      </c>
      <c r="NW324" s="561">
        <v>0</v>
      </c>
      <c r="NX324" s="561">
        <v>0</v>
      </c>
      <c r="NY324" s="561">
        <v>0</v>
      </c>
      <c r="NZ324" s="561">
        <v>0</v>
      </c>
      <c r="OA324" s="561">
        <v>0</v>
      </c>
      <c r="OB324" s="561">
        <v>0</v>
      </c>
      <c r="OC324" s="561">
        <v>0</v>
      </c>
      <c r="OD324" s="561">
        <v>0</v>
      </c>
      <c r="OE324" s="561">
        <v>0</v>
      </c>
      <c r="OF324" s="561">
        <v>0</v>
      </c>
      <c r="OG324" s="561">
        <v>0</v>
      </c>
      <c r="OH324" s="561">
        <v>0</v>
      </c>
      <c r="OI324" s="561">
        <v>0</v>
      </c>
      <c r="OJ324" s="561">
        <v>0</v>
      </c>
      <c r="OK324" s="561">
        <v>0</v>
      </c>
      <c r="OL324" s="561">
        <v>0</v>
      </c>
      <c r="OM324" s="561">
        <v>0</v>
      </c>
      <c r="ON324" s="561">
        <v>-969.07</v>
      </c>
      <c r="OO324" s="561">
        <v>0</v>
      </c>
      <c r="OP324" s="561">
        <v>0</v>
      </c>
      <c r="OQ324" s="561">
        <v>0</v>
      </c>
      <c r="OR324" s="561">
        <v>0</v>
      </c>
      <c r="OS324" s="561">
        <v>0</v>
      </c>
      <c r="OT324" s="561">
        <v>0</v>
      </c>
      <c r="OU324" s="561">
        <v>0</v>
      </c>
      <c r="OV324" s="561">
        <v>0</v>
      </c>
      <c r="OW324" s="561">
        <v>0</v>
      </c>
      <c r="OX324" s="561">
        <v>-969.07</v>
      </c>
      <c r="OY324" s="561">
        <v>0</v>
      </c>
      <c r="OZ324" s="561">
        <v>0</v>
      </c>
      <c r="PA324" s="561">
        <v>0</v>
      </c>
      <c r="PB324" s="561">
        <v>0</v>
      </c>
      <c r="PC324" s="561">
        <v>0</v>
      </c>
      <c r="PD324" s="561">
        <v>0</v>
      </c>
      <c r="PE324" s="561">
        <v>0</v>
      </c>
      <c r="PF324" s="561">
        <v>0</v>
      </c>
      <c r="PG324" s="561">
        <v>0</v>
      </c>
      <c r="PH324" s="561">
        <v>0</v>
      </c>
      <c r="PI324" s="561">
        <v>0</v>
      </c>
      <c r="PJ324" s="561">
        <v>0</v>
      </c>
    </row>
    <row r="325" spans="1:426" ht="14" x14ac:dyDescent="0.3">
      <c r="A325" t="s">
        <v>3418</v>
      </c>
      <c r="B325" t="s">
        <v>3419</v>
      </c>
      <c r="C325" t="s">
        <v>4665</v>
      </c>
      <c r="E325" t="s">
        <v>2466</v>
      </c>
      <c r="F325" s="561">
        <v>0</v>
      </c>
      <c r="G325" s="561">
        <v>0</v>
      </c>
      <c r="H325" s="561">
        <v>0</v>
      </c>
      <c r="I325" s="561">
        <v>0</v>
      </c>
      <c r="J325" s="561">
        <v>0</v>
      </c>
      <c r="K325" s="561">
        <v>0</v>
      </c>
      <c r="L325" s="561">
        <v>0</v>
      </c>
      <c r="M325" s="561">
        <v>0</v>
      </c>
      <c r="N325" s="561">
        <v>0</v>
      </c>
      <c r="O325" s="561">
        <v>0</v>
      </c>
      <c r="P325" s="561">
        <v>0</v>
      </c>
      <c r="Q325" s="561">
        <v>0</v>
      </c>
      <c r="R325" s="561">
        <v>0</v>
      </c>
      <c r="S325" s="561">
        <v>0</v>
      </c>
      <c r="T325" s="561">
        <v>0</v>
      </c>
      <c r="U325" s="561">
        <v>0</v>
      </c>
      <c r="V325" s="561">
        <v>0</v>
      </c>
      <c r="W325" s="561">
        <v>0</v>
      </c>
      <c r="X325" s="561">
        <v>0</v>
      </c>
      <c r="Y325" s="561">
        <v>0</v>
      </c>
      <c r="Z325" s="561">
        <v>0</v>
      </c>
      <c r="AA325" s="561">
        <v>0</v>
      </c>
      <c r="AB325" s="561">
        <v>0</v>
      </c>
      <c r="AC325" s="561">
        <v>0</v>
      </c>
      <c r="AD325" s="561">
        <v>0</v>
      </c>
      <c r="AE325" s="561">
        <v>0</v>
      </c>
      <c r="AF325" s="561">
        <v>0</v>
      </c>
      <c r="AG325" s="561">
        <v>0</v>
      </c>
      <c r="AH325" s="561">
        <v>0</v>
      </c>
      <c r="AI325" s="561">
        <v>0</v>
      </c>
      <c r="AJ325" s="561">
        <v>0</v>
      </c>
      <c r="AK325" s="561">
        <v>0</v>
      </c>
      <c r="AL325" s="561">
        <v>0</v>
      </c>
      <c r="AM325" s="561">
        <v>0</v>
      </c>
      <c r="AN325" s="561">
        <v>0</v>
      </c>
      <c r="AO325" s="561">
        <v>0</v>
      </c>
      <c r="AP325" s="561">
        <v>0</v>
      </c>
      <c r="AQ325" s="561">
        <v>0</v>
      </c>
      <c r="AR325" s="561">
        <v>0</v>
      </c>
      <c r="AS325" s="561">
        <v>0</v>
      </c>
      <c r="AT325" s="561">
        <v>0</v>
      </c>
      <c r="AU325" s="561">
        <v>0</v>
      </c>
      <c r="AV325" s="561">
        <v>0</v>
      </c>
      <c r="AW325" s="561">
        <v>0</v>
      </c>
      <c r="AX325" s="561">
        <v>0</v>
      </c>
      <c r="AY325" s="561">
        <v>0</v>
      </c>
      <c r="AZ325" s="561">
        <v>0</v>
      </c>
      <c r="BA325" s="561">
        <v>0</v>
      </c>
      <c r="BB325" s="561">
        <v>0</v>
      </c>
      <c r="BC325" s="561">
        <v>0</v>
      </c>
      <c r="BD325" s="561">
        <v>0</v>
      </c>
      <c r="BE325" s="561">
        <v>0</v>
      </c>
      <c r="BF325" s="561">
        <v>0</v>
      </c>
      <c r="BG325" s="561">
        <v>0</v>
      </c>
      <c r="BH325" s="561">
        <v>0</v>
      </c>
      <c r="BI325" s="561">
        <v>0</v>
      </c>
      <c r="BJ325" s="561">
        <v>0</v>
      </c>
      <c r="BK325" s="561">
        <v>0</v>
      </c>
      <c r="BL325" s="561">
        <v>0</v>
      </c>
      <c r="BM325" s="561">
        <v>0</v>
      </c>
      <c r="BN325" s="561">
        <v>0</v>
      </c>
      <c r="BO325" s="561">
        <v>0</v>
      </c>
      <c r="BP325" s="561">
        <v>0</v>
      </c>
      <c r="BQ325" s="561">
        <v>0</v>
      </c>
      <c r="BR325" s="561">
        <v>0</v>
      </c>
      <c r="BS325" s="561">
        <v>0</v>
      </c>
      <c r="BT325" s="561">
        <v>0</v>
      </c>
      <c r="BU325" s="561">
        <v>0</v>
      </c>
      <c r="BV325" s="561">
        <v>0</v>
      </c>
      <c r="BW325" s="561">
        <v>0</v>
      </c>
      <c r="BX325" s="561">
        <v>0</v>
      </c>
      <c r="BY325" s="561">
        <v>0</v>
      </c>
      <c r="BZ325" s="561">
        <v>0</v>
      </c>
      <c r="CA325" s="561">
        <v>0</v>
      </c>
      <c r="CB325" s="561">
        <v>0</v>
      </c>
      <c r="CC325" s="561">
        <v>0</v>
      </c>
      <c r="CD325" s="561">
        <v>0</v>
      </c>
      <c r="CE325" s="561">
        <v>0</v>
      </c>
      <c r="CF325" s="561">
        <v>0</v>
      </c>
      <c r="CG325" s="561">
        <v>0</v>
      </c>
      <c r="CH325" s="561">
        <v>0</v>
      </c>
      <c r="CI325" s="561">
        <v>0</v>
      </c>
      <c r="CJ325" s="561">
        <v>0</v>
      </c>
      <c r="CK325" s="561">
        <v>0</v>
      </c>
      <c r="CL325" s="561">
        <v>0</v>
      </c>
      <c r="CM325" s="561">
        <v>0</v>
      </c>
      <c r="CN325" s="561">
        <v>0</v>
      </c>
      <c r="CO325" s="561">
        <v>0</v>
      </c>
      <c r="CP325" s="561">
        <v>0</v>
      </c>
      <c r="CQ325" s="561">
        <v>0</v>
      </c>
      <c r="CR325" s="561">
        <v>0</v>
      </c>
      <c r="CS325" s="561">
        <v>0</v>
      </c>
      <c r="CT325" s="561">
        <v>0</v>
      </c>
      <c r="CU325" s="561">
        <v>0</v>
      </c>
      <c r="CV325" s="561">
        <v>0</v>
      </c>
      <c r="CW325" s="561">
        <v>0</v>
      </c>
      <c r="CX325" s="561">
        <v>0</v>
      </c>
      <c r="CY325" s="561">
        <v>0</v>
      </c>
      <c r="CZ325" s="561">
        <v>0</v>
      </c>
      <c r="DA325" s="561">
        <v>0</v>
      </c>
      <c r="DB325" s="561">
        <v>0</v>
      </c>
      <c r="DC325" s="561">
        <v>0</v>
      </c>
      <c r="DD325" s="561">
        <v>0</v>
      </c>
      <c r="DE325" s="561">
        <v>0</v>
      </c>
      <c r="DF325" s="561">
        <v>0</v>
      </c>
      <c r="DG325" s="561">
        <v>0</v>
      </c>
      <c r="DH325" s="561">
        <v>0</v>
      </c>
      <c r="DI325" s="561">
        <v>0</v>
      </c>
      <c r="DJ325" s="561">
        <v>0</v>
      </c>
      <c r="DK325" s="561">
        <v>0</v>
      </c>
      <c r="DL325" s="561">
        <v>0</v>
      </c>
      <c r="DM325" s="561">
        <v>0</v>
      </c>
      <c r="DN325" s="561">
        <v>0</v>
      </c>
      <c r="DO325" s="561">
        <v>0</v>
      </c>
      <c r="DP325" s="561">
        <v>0</v>
      </c>
      <c r="DQ325" s="561">
        <v>0</v>
      </c>
      <c r="DR325" s="561">
        <v>0</v>
      </c>
      <c r="DS325" s="561">
        <v>0</v>
      </c>
      <c r="DT325" s="561">
        <v>0</v>
      </c>
      <c r="DU325" s="561">
        <v>0</v>
      </c>
      <c r="DV325" s="561">
        <v>0</v>
      </c>
      <c r="DW325" s="561">
        <v>0</v>
      </c>
      <c r="DX325" s="561">
        <v>0</v>
      </c>
      <c r="DY325" s="561">
        <v>0</v>
      </c>
      <c r="DZ325" s="561">
        <v>0</v>
      </c>
      <c r="EA325" s="561">
        <v>0</v>
      </c>
      <c r="EB325" s="561">
        <v>0</v>
      </c>
      <c r="EC325" s="561">
        <v>0</v>
      </c>
      <c r="ED325" s="561">
        <v>0</v>
      </c>
      <c r="EE325" s="561">
        <v>0</v>
      </c>
      <c r="EF325" s="561">
        <v>0</v>
      </c>
      <c r="EG325" s="561">
        <v>0</v>
      </c>
      <c r="EH325" s="561">
        <v>0</v>
      </c>
      <c r="EI325" s="561">
        <v>0</v>
      </c>
      <c r="EJ325" s="561">
        <v>0</v>
      </c>
      <c r="EK325" s="561">
        <v>0</v>
      </c>
      <c r="EL325" s="561">
        <v>0</v>
      </c>
      <c r="EM325" s="561">
        <v>0</v>
      </c>
      <c r="EN325" s="561">
        <v>0</v>
      </c>
      <c r="EO325" s="561">
        <v>0</v>
      </c>
      <c r="EP325" s="561">
        <v>0</v>
      </c>
      <c r="EQ325" s="561">
        <v>0</v>
      </c>
      <c r="ER325" s="561">
        <v>0</v>
      </c>
      <c r="ES325" s="561" t="s">
        <v>4565</v>
      </c>
      <c r="ET325" s="561">
        <v>0</v>
      </c>
      <c r="EU325" s="561">
        <v>0</v>
      </c>
      <c r="EV325" s="561">
        <v>0</v>
      </c>
      <c r="EW325" s="561">
        <v>0</v>
      </c>
      <c r="EX325" s="561">
        <v>0</v>
      </c>
      <c r="EY325" s="561">
        <v>0</v>
      </c>
      <c r="EZ325" s="561">
        <v>0</v>
      </c>
      <c r="FA325" s="561">
        <v>0</v>
      </c>
      <c r="FB325" s="561">
        <v>0</v>
      </c>
      <c r="FC325" s="561">
        <v>0</v>
      </c>
      <c r="FD325" s="561">
        <v>0</v>
      </c>
      <c r="FE325" s="561">
        <v>0</v>
      </c>
      <c r="FF325" s="561">
        <v>0</v>
      </c>
      <c r="FG325" s="561">
        <v>0</v>
      </c>
      <c r="FH325" s="561">
        <v>0</v>
      </c>
      <c r="FI325" s="561">
        <v>0</v>
      </c>
      <c r="FJ325" s="561">
        <v>0</v>
      </c>
      <c r="FK325" s="561">
        <v>0</v>
      </c>
      <c r="FL325" s="561">
        <v>0</v>
      </c>
      <c r="FM325" s="561">
        <v>0</v>
      </c>
      <c r="FN325" s="561">
        <v>0</v>
      </c>
      <c r="FO325" s="561">
        <v>0</v>
      </c>
      <c r="FP325" s="561">
        <v>0</v>
      </c>
      <c r="FQ325" s="561">
        <v>0</v>
      </c>
      <c r="FR325" s="561">
        <v>0</v>
      </c>
      <c r="FS325" s="561">
        <v>0</v>
      </c>
      <c r="FT325" s="561">
        <v>0</v>
      </c>
      <c r="FU325" s="561">
        <v>0</v>
      </c>
      <c r="FV325" s="561">
        <v>0</v>
      </c>
      <c r="FW325" s="561">
        <v>0</v>
      </c>
      <c r="FX325" s="561">
        <v>0</v>
      </c>
      <c r="FY325" s="561">
        <v>0</v>
      </c>
      <c r="FZ325" s="561">
        <v>0</v>
      </c>
      <c r="GA325" s="561">
        <v>0</v>
      </c>
      <c r="GB325" s="561">
        <v>0</v>
      </c>
      <c r="GC325" s="561">
        <v>0</v>
      </c>
      <c r="GD325" s="561">
        <v>0</v>
      </c>
      <c r="GE325" s="561">
        <v>0</v>
      </c>
      <c r="GF325" s="561">
        <v>0</v>
      </c>
      <c r="GG325" s="561">
        <v>0</v>
      </c>
      <c r="GH325" s="561">
        <v>0</v>
      </c>
      <c r="GI325" s="561">
        <v>0</v>
      </c>
      <c r="GJ325" s="561">
        <v>0</v>
      </c>
      <c r="GK325" s="561">
        <v>0</v>
      </c>
      <c r="GL325" s="561">
        <v>0</v>
      </c>
      <c r="GM325" s="561">
        <v>0</v>
      </c>
      <c r="GN325" s="561">
        <v>0</v>
      </c>
      <c r="GO325" s="561">
        <v>0</v>
      </c>
      <c r="GP325" s="561">
        <v>0</v>
      </c>
      <c r="GQ325" s="561">
        <v>0</v>
      </c>
      <c r="GR325" s="561">
        <v>0</v>
      </c>
      <c r="GS325" s="561">
        <v>0</v>
      </c>
      <c r="GT325" s="561">
        <v>0</v>
      </c>
      <c r="GU325" s="561">
        <v>0</v>
      </c>
      <c r="GV325" s="561">
        <v>0</v>
      </c>
      <c r="GW325" s="561">
        <v>0</v>
      </c>
      <c r="GX325" s="561">
        <v>0</v>
      </c>
      <c r="GY325" s="561">
        <v>0</v>
      </c>
      <c r="GZ325" s="561">
        <v>0</v>
      </c>
      <c r="HA325" s="561">
        <v>0</v>
      </c>
      <c r="HB325" s="561">
        <v>0</v>
      </c>
      <c r="HC325" s="561">
        <v>0</v>
      </c>
      <c r="HD325" s="561">
        <v>0</v>
      </c>
      <c r="HE325" s="561">
        <v>0</v>
      </c>
      <c r="HF325" s="561">
        <v>0</v>
      </c>
      <c r="HG325" s="561">
        <v>0</v>
      </c>
      <c r="HH325" s="561">
        <v>0</v>
      </c>
      <c r="HI325" s="561">
        <v>0</v>
      </c>
      <c r="HJ325" s="561">
        <v>9223</v>
      </c>
      <c r="HK325" s="561">
        <v>31263</v>
      </c>
      <c r="HL325" s="561">
        <v>-8</v>
      </c>
      <c r="HM325" s="561">
        <v>40478</v>
      </c>
      <c r="HN325" s="561">
        <v>0</v>
      </c>
      <c r="HO325" s="561">
        <v>253</v>
      </c>
      <c r="HP325" s="561">
        <v>0</v>
      </c>
      <c r="HQ325" s="561">
        <v>0</v>
      </c>
      <c r="HR325" s="561">
        <v>0</v>
      </c>
      <c r="HS325" s="561">
        <v>0</v>
      </c>
      <c r="HT325" s="561">
        <v>0</v>
      </c>
      <c r="HU325" s="561">
        <v>0</v>
      </c>
      <c r="HV325" s="561">
        <v>0</v>
      </c>
      <c r="HW325" s="561">
        <v>0</v>
      </c>
      <c r="HX325" s="561">
        <v>0</v>
      </c>
      <c r="HY325" s="561">
        <v>0</v>
      </c>
      <c r="HZ325" s="561">
        <v>0</v>
      </c>
      <c r="IA325" s="561">
        <v>0</v>
      </c>
      <c r="IB325" s="561">
        <v>0</v>
      </c>
      <c r="IC325" s="561">
        <v>0</v>
      </c>
      <c r="ID325" s="561">
        <v>0</v>
      </c>
      <c r="IE325" s="561">
        <v>0</v>
      </c>
      <c r="IF325" s="561">
        <v>0</v>
      </c>
      <c r="IG325" s="561">
        <v>0</v>
      </c>
      <c r="IH325" s="561">
        <v>5351</v>
      </c>
      <c r="II325" s="561">
        <v>5604</v>
      </c>
      <c r="IJ325" s="561">
        <v>0</v>
      </c>
      <c r="IK325" s="561">
        <v>0</v>
      </c>
      <c r="IL325" s="561">
        <v>0</v>
      </c>
      <c r="IM325" s="561">
        <v>0</v>
      </c>
      <c r="IN325" s="561">
        <v>0</v>
      </c>
      <c r="IO325" s="561">
        <v>0</v>
      </c>
      <c r="IP325" s="561">
        <v>0</v>
      </c>
      <c r="IQ325" s="561">
        <v>0</v>
      </c>
      <c r="IR325" s="561">
        <v>0</v>
      </c>
      <c r="IS325" s="561">
        <v>0</v>
      </c>
      <c r="IT325" s="561">
        <v>0</v>
      </c>
      <c r="IU325" s="561">
        <v>0</v>
      </c>
      <c r="IV325" s="561">
        <v>0</v>
      </c>
      <c r="IW325" s="561">
        <v>0</v>
      </c>
      <c r="IX325" s="561">
        <v>0</v>
      </c>
      <c r="IY325" s="561">
        <v>0</v>
      </c>
      <c r="IZ325" s="561">
        <v>0</v>
      </c>
      <c r="JA325" s="561">
        <v>0</v>
      </c>
      <c r="JB325" s="561">
        <v>40478</v>
      </c>
      <c r="JC325" s="561">
        <v>5604</v>
      </c>
      <c r="JD325" s="561">
        <v>0</v>
      </c>
      <c r="JE325" s="561">
        <v>46082</v>
      </c>
      <c r="JF325" s="561">
        <v>0</v>
      </c>
      <c r="JG325" s="561">
        <v>0</v>
      </c>
      <c r="JH325" s="561">
        <v>0</v>
      </c>
      <c r="JI325" s="561">
        <v>0</v>
      </c>
      <c r="JJ325" s="561">
        <v>0</v>
      </c>
      <c r="JK325" s="561">
        <v>0</v>
      </c>
      <c r="JL325" s="561">
        <v>0</v>
      </c>
      <c r="JM325" s="561">
        <v>0</v>
      </c>
      <c r="JN325" s="561">
        <v>0</v>
      </c>
      <c r="JO325" s="561">
        <v>0</v>
      </c>
      <c r="JP325" s="561">
        <v>0</v>
      </c>
      <c r="JQ325" s="561">
        <v>0</v>
      </c>
      <c r="JR325" s="561">
        <v>0</v>
      </c>
      <c r="JS325" s="561">
        <v>0</v>
      </c>
      <c r="JT325" s="561">
        <v>0</v>
      </c>
      <c r="JU325" s="561">
        <v>0</v>
      </c>
      <c r="JV325" s="561">
        <v>46082</v>
      </c>
      <c r="JW325" s="561">
        <v>0</v>
      </c>
      <c r="JX325" s="561">
        <v>2754</v>
      </c>
      <c r="JY325" s="561">
        <v>0</v>
      </c>
      <c r="JZ325" s="561">
        <v>0</v>
      </c>
      <c r="KA325" s="561">
        <v>0</v>
      </c>
      <c r="KB325" s="561">
        <v>0</v>
      </c>
      <c r="KC325" s="561">
        <v>1392</v>
      </c>
      <c r="KD325" s="561">
        <v>42</v>
      </c>
      <c r="KE325" s="561">
        <v>2241</v>
      </c>
      <c r="KF325" s="561">
        <v>0</v>
      </c>
      <c r="KG325" s="561">
        <v>52511</v>
      </c>
      <c r="KH325" s="561">
        <v>-1127</v>
      </c>
      <c r="KI325" s="561">
        <v>2672</v>
      </c>
      <c r="KJ325" s="561">
        <v>0</v>
      </c>
      <c r="KK325" s="561">
        <v>0</v>
      </c>
      <c r="KL325" s="561">
        <v>0</v>
      </c>
      <c r="KM325" s="561">
        <v>0</v>
      </c>
      <c r="KN325" s="561">
        <v>0</v>
      </c>
      <c r="KO325" s="561">
        <v>0</v>
      </c>
      <c r="KP325" s="561">
        <v>0</v>
      </c>
      <c r="KQ325" s="561">
        <v>0</v>
      </c>
      <c r="KR325" s="561">
        <v>54056</v>
      </c>
      <c r="KS325" s="561">
        <v>0</v>
      </c>
      <c r="KT325" s="561">
        <v>-3706</v>
      </c>
      <c r="KU325" s="561">
        <v>50350</v>
      </c>
      <c r="KV325" s="561">
        <v>0</v>
      </c>
      <c r="KW325" s="561">
        <v>0</v>
      </c>
      <c r="KX325" s="561">
        <v>0</v>
      </c>
      <c r="KY325" s="561">
        <v>0</v>
      </c>
      <c r="KZ325" s="561">
        <v>-286</v>
      </c>
      <c r="LA325" s="561">
        <v>0</v>
      </c>
      <c r="LB325" s="561">
        <v>-7489</v>
      </c>
      <c r="LC325" s="561">
        <v>0</v>
      </c>
      <c r="LD325" s="561">
        <v>-10428</v>
      </c>
      <c r="LE325" s="561">
        <v>-401</v>
      </c>
      <c r="LF325" s="561">
        <v>0</v>
      </c>
      <c r="LG325" s="561">
        <v>31746</v>
      </c>
      <c r="LH325" s="561">
        <v>0</v>
      </c>
      <c r="LI325" s="561">
        <v>0</v>
      </c>
      <c r="LJ325" s="561">
        <v>0</v>
      </c>
      <c r="LK325" s="561">
        <v>0</v>
      </c>
      <c r="LL325" s="561">
        <v>15642</v>
      </c>
      <c r="LM325" s="561">
        <v>1906</v>
      </c>
      <c r="LN325" s="561">
        <v>0</v>
      </c>
      <c r="LO325" s="561">
        <v>0</v>
      </c>
      <c r="LP325" s="561">
        <v>0</v>
      </c>
      <c r="LQ325" s="561">
        <v>0</v>
      </c>
      <c r="LR325" s="561">
        <v>15356</v>
      </c>
      <c r="LS325" s="561">
        <v>1906</v>
      </c>
      <c r="LT325" s="561">
        <v>0</v>
      </c>
      <c r="LU325" s="561">
        <v>0</v>
      </c>
      <c r="LV325" s="561">
        <v>0</v>
      </c>
      <c r="LW325" s="561">
        <v>0</v>
      </c>
      <c r="LX325" s="561">
        <v>0</v>
      </c>
      <c r="LY325" s="561">
        <v>0</v>
      </c>
      <c r="LZ325" s="561">
        <v>0</v>
      </c>
      <c r="MA325" s="561">
        <v>0</v>
      </c>
      <c r="MB325" s="561">
        <v>0</v>
      </c>
      <c r="MC325" s="561">
        <v>0</v>
      </c>
      <c r="MD325" s="561">
        <v>0</v>
      </c>
      <c r="ME325" s="561">
        <v>0</v>
      </c>
      <c r="MF325" s="561">
        <v>0</v>
      </c>
      <c r="MG325" s="561">
        <v>0</v>
      </c>
      <c r="MH325" s="561">
        <v>0</v>
      </c>
      <c r="MI325" s="561">
        <v>0</v>
      </c>
      <c r="MJ325" s="561">
        <v>0</v>
      </c>
      <c r="MK325" s="561">
        <v>0</v>
      </c>
      <c r="ML325" s="561">
        <v>6796</v>
      </c>
      <c r="MM325" s="561">
        <v>5888</v>
      </c>
      <c r="MN325" s="561">
        <v>1505</v>
      </c>
      <c r="MO325" s="561">
        <v>1167</v>
      </c>
      <c r="MP325" s="561">
        <v>0</v>
      </c>
      <c r="MQ325" s="561">
        <v>0</v>
      </c>
      <c r="MR325" s="561">
        <v>0</v>
      </c>
      <c r="MS325" s="561">
        <v>0</v>
      </c>
      <c r="MT325" s="561">
        <v>0</v>
      </c>
      <c r="MU325" s="561">
        <v>0</v>
      </c>
      <c r="MV325" s="561">
        <v>0</v>
      </c>
      <c r="MW325" s="561">
        <v>0</v>
      </c>
      <c r="MX325" s="561">
        <v>0</v>
      </c>
      <c r="MY325" s="561">
        <v>0</v>
      </c>
      <c r="MZ325" s="561">
        <v>0</v>
      </c>
      <c r="NA325" s="561">
        <v>40478</v>
      </c>
      <c r="NB325" s="561">
        <v>5604</v>
      </c>
      <c r="NC325" s="561">
        <v>0</v>
      </c>
      <c r="ND325" s="561">
        <v>46082</v>
      </c>
      <c r="NE325" s="561">
        <v>0</v>
      </c>
      <c r="NF325" s="561">
        <v>0</v>
      </c>
      <c r="NG325" s="561">
        <v>0</v>
      </c>
      <c r="NH325" s="561">
        <v>0</v>
      </c>
      <c r="NI325" s="561">
        <v>0</v>
      </c>
      <c r="NJ325" s="561">
        <v>0</v>
      </c>
      <c r="NK325" s="561">
        <v>0</v>
      </c>
      <c r="NL325" s="561">
        <v>0</v>
      </c>
      <c r="NM325" s="561">
        <v>0</v>
      </c>
      <c r="NN325" s="561">
        <v>0</v>
      </c>
      <c r="NO325" s="561">
        <v>0</v>
      </c>
      <c r="NP325" s="561">
        <v>0</v>
      </c>
      <c r="NQ325" s="561">
        <v>0</v>
      </c>
      <c r="NR325" s="561">
        <v>0</v>
      </c>
      <c r="NS325" s="561">
        <v>0</v>
      </c>
      <c r="NT325" s="561">
        <v>0</v>
      </c>
      <c r="NU325" s="561">
        <v>0</v>
      </c>
      <c r="NV325" s="561">
        <v>0</v>
      </c>
      <c r="NW325" s="561">
        <v>0</v>
      </c>
      <c r="NX325" s="561">
        <v>0</v>
      </c>
      <c r="NY325" s="561">
        <v>0</v>
      </c>
      <c r="NZ325" s="561">
        <v>0</v>
      </c>
      <c r="OA325" s="561">
        <v>0</v>
      </c>
      <c r="OB325" s="561">
        <v>0</v>
      </c>
      <c r="OC325" s="561">
        <v>0</v>
      </c>
      <c r="OD325" s="561">
        <v>0</v>
      </c>
      <c r="OE325" s="561">
        <v>0</v>
      </c>
      <c r="OF325" s="561">
        <v>0</v>
      </c>
      <c r="OG325" s="561">
        <v>0</v>
      </c>
      <c r="OH325" s="561">
        <v>0</v>
      </c>
      <c r="OI325" s="561">
        <v>0</v>
      </c>
      <c r="OJ325" s="561">
        <v>0</v>
      </c>
      <c r="OK325" s="561">
        <v>0</v>
      </c>
      <c r="OL325" s="561">
        <v>0</v>
      </c>
      <c r="OM325" s="561">
        <v>0</v>
      </c>
      <c r="ON325" s="561">
        <v>0</v>
      </c>
      <c r="OO325" s="561">
        <v>0</v>
      </c>
      <c r="OP325" s="561">
        <v>0</v>
      </c>
      <c r="OQ325" s="561">
        <v>0</v>
      </c>
      <c r="OR325" s="561">
        <v>0</v>
      </c>
      <c r="OS325" s="561">
        <v>0</v>
      </c>
      <c r="OT325" s="561">
        <v>0</v>
      </c>
      <c r="OU325" s="561">
        <v>0</v>
      </c>
      <c r="OV325" s="561">
        <v>-1005</v>
      </c>
      <c r="OW325" s="561">
        <v>0</v>
      </c>
      <c r="OX325" s="561">
        <v>0</v>
      </c>
      <c r="OY325" s="561">
        <v>0</v>
      </c>
      <c r="OZ325" s="561">
        <v>0</v>
      </c>
      <c r="PA325" s="561">
        <v>0</v>
      </c>
      <c r="PB325" s="561">
        <v>0</v>
      </c>
      <c r="PC325" s="561">
        <v>0</v>
      </c>
      <c r="PD325" s="561">
        <v>0</v>
      </c>
      <c r="PE325" s="561">
        <v>0</v>
      </c>
      <c r="PF325" s="561">
        <v>0</v>
      </c>
      <c r="PG325" s="561">
        <v>0</v>
      </c>
      <c r="PH325" s="561">
        <v>0</v>
      </c>
      <c r="PI325" s="561">
        <v>0</v>
      </c>
      <c r="PJ325" s="561">
        <v>0</v>
      </c>
    </row>
    <row r="326" spans="1:426" ht="14" x14ac:dyDescent="0.3">
      <c r="A326" t="s">
        <v>3421</v>
      </c>
      <c r="B326" t="s">
        <v>3422</v>
      </c>
      <c r="C326" t="s">
        <v>3423</v>
      </c>
      <c r="E326" t="s">
        <v>384</v>
      </c>
      <c r="F326" s="561">
        <v>0</v>
      </c>
      <c r="G326" s="561">
        <v>0</v>
      </c>
      <c r="H326" s="561">
        <v>0</v>
      </c>
      <c r="I326" s="561">
        <v>0</v>
      </c>
      <c r="J326" s="561">
        <v>0</v>
      </c>
      <c r="K326" s="561">
        <v>0</v>
      </c>
      <c r="L326" s="561">
        <v>0</v>
      </c>
      <c r="M326" s="561">
        <v>0</v>
      </c>
      <c r="N326" s="561">
        <v>2</v>
      </c>
      <c r="O326" s="561">
        <v>0</v>
      </c>
      <c r="P326" s="561">
        <v>0</v>
      </c>
      <c r="Q326" s="561">
        <v>0</v>
      </c>
      <c r="R326" s="561">
        <v>0</v>
      </c>
      <c r="S326" s="561">
        <v>0</v>
      </c>
      <c r="T326" s="561">
        <v>0</v>
      </c>
      <c r="U326" s="561">
        <v>0</v>
      </c>
      <c r="V326" s="561">
        <v>0</v>
      </c>
      <c r="W326" s="561">
        <v>0</v>
      </c>
      <c r="X326" s="561">
        <v>0</v>
      </c>
      <c r="Y326" s="561">
        <v>0</v>
      </c>
      <c r="Z326" s="561">
        <v>0</v>
      </c>
      <c r="AA326" s="561">
        <v>0</v>
      </c>
      <c r="AB326" s="561">
        <v>-249</v>
      </c>
      <c r="AC326" s="561">
        <v>0</v>
      </c>
      <c r="AD326" s="561">
        <v>0</v>
      </c>
      <c r="AE326" s="561">
        <v>0</v>
      </c>
      <c r="AF326" s="561">
        <v>0</v>
      </c>
      <c r="AG326" s="561">
        <v>0</v>
      </c>
      <c r="AH326" s="561">
        <v>12</v>
      </c>
      <c r="AI326" s="561">
        <v>0</v>
      </c>
      <c r="AJ326" s="561">
        <v>-235</v>
      </c>
      <c r="AK326" s="561">
        <v>0</v>
      </c>
      <c r="AL326" s="561">
        <v>0</v>
      </c>
      <c r="AM326" s="561">
        <v>0</v>
      </c>
      <c r="AN326" s="561">
        <v>0</v>
      </c>
      <c r="AO326" s="561">
        <v>0</v>
      </c>
      <c r="AP326" s="561">
        <v>0</v>
      </c>
      <c r="AQ326" s="561">
        <v>0</v>
      </c>
      <c r="AR326" s="561">
        <v>0</v>
      </c>
      <c r="AS326" s="561">
        <v>0</v>
      </c>
      <c r="AT326" s="561">
        <v>0</v>
      </c>
      <c r="AU326" s="561">
        <v>0</v>
      </c>
      <c r="AV326" s="561">
        <v>0</v>
      </c>
      <c r="AW326" s="561">
        <v>0</v>
      </c>
      <c r="AX326" s="561">
        <v>0</v>
      </c>
      <c r="AY326" s="561">
        <v>0</v>
      </c>
      <c r="AZ326" s="561">
        <v>0</v>
      </c>
      <c r="BA326" s="561">
        <v>0</v>
      </c>
      <c r="BB326" s="561">
        <v>0</v>
      </c>
      <c r="BC326" s="561">
        <v>0</v>
      </c>
      <c r="BD326" s="561">
        <v>0</v>
      </c>
      <c r="BE326" s="561">
        <v>0</v>
      </c>
      <c r="BF326" s="561">
        <v>0</v>
      </c>
      <c r="BG326" s="561">
        <v>0</v>
      </c>
      <c r="BH326" s="561">
        <v>0</v>
      </c>
      <c r="BI326" s="561">
        <v>0</v>
      </c>
      <c r="BJ326" s="561">
        <v>0</v>
      </c>
      <c r="BK326" s="561">
        <v>0</v>
      </c>
      <c r="BL326" s="561">
        <v>0</v>
      </c>
      <c r="BM326" s="561">
        <v>0</v>
      </c>
      <c r="BN326" s="561">
        <v>0</v>
      </c>
      <c r="BO326" s="561">
        <v>0</v>
      </c>
      <c r="BP326" s="561">
        <v>0</v>
      </c>
      <c r="BQ326" s="561">
        <v>0</v>
      </c>
      <c r="BR326" s="561">
        <v>0</v>
      </c>
      <c r="BS326" s="561">
        <v>0</v>
      </c>
      <c r="BT326" s="561">
        <v>0</v>
      </c>
      <c r="BU326" s="561">
        <v>0</v>
      </c>
      <c r="BV326" s="561">
        <v>0</v>
      </c>
      <c r="BW326" s="561">
        <v>0</v>
      </c>
      <c r="BX326" s="561">
        <v>0</v>
      </c>
      <c r="BY326" s="561">
        <v>0</v>
      </c>
      <c r="BZ326" s="561">
        <v>0</v>
      </c>
      <c r="CA326" s="561">
        <v>0</v>
      </c>
      <c r="CB326" s="561">
        <v>0</v>
      </c>
      <c r="CC326" s="561">
        <v>0</v>
      </c>
      <c r="CD326" s="561">
        <v>0</v>
      </c>
      <c r="CE326" s="561">
        <v>0</v>
      </c>
      <c r="CF326" s="561">
        <v>0</v>
      </c>
      <c r="CG326" s="561">
        <v>0</v>
      </c>
      <c r="CH326" s="561">
        <v>0</v>
      </c>
      <c r="CI326" s="561">
        <v>0</v>
      </c>
      <c r="CJ326" s="561">
        <v>0</v>
      </c>
      <c r="CK326" s="561">
        <v>0</v>
      </c>
      <c r="CL326" s="561">
        <v>0</v>
      </c>
      <c r="CM326" s="561">
        <v>0</v>
      </c>
      <c r="CN326" s="561">
        <v>0</v>
      </c>
      <c r="CO326" s="561">
        <v>0</v>
      </c>
      <c r="CP326" s="561">
        <v>0</v>
      </c>
      <c r="CQ326" s="561">
        <v>0</v>
      </c>
      <c r="CR326" s="561">
        <v>0</v>
      </c>
      <c r="CS326" s="561">
        <v>0</v>
      </c>
      <c r="CT326" s="561">
        <v>0</v>
      </c>
      <c r="CU326" s="561">
        <v>0</v>
      </c>
      <c r="CV326" s="561">
        <v>0</v>
      </c>
      <c r="CW326" s="561">
        <v>0</v>
      </c>
      <c r="CX326" s="561">
        <v>0</v>
      </c>
      <c r="CY326" s="561">
        <v>0</v>
      </c>
      <c r="CZ326" s="561">
        <v>0</v>
      </c>
      <c r="DA326" s="561">
        <v>0</v>
      </c>
      <c r="DB326" s="561">
        <v>0</v>
      </c>
      <c r="DC326" s="561">
        <v>0</v>
      </c>
      <c r="DD326" s="561">
        <v>0</v>
      </c>
      <c r="DE326" s="561">
        <v>0</v>
      </c>
      <c r="DF326" s="561">
        <v>0</v>
      </c>
      <c r="DG326" s="561">
        <v>0</v>
      </c>
      <c r="DH326" s="561">
        <v>136</v>
      </c>
      <c r="DI326" s="561">
        <v>0</v>
      </c>
      <c r="DJ326" s="561">
        <v>104</v>
      </c>
      <c r="DK326" s="561">
        <v>0</v>
      </c>
      <c r="DL326" s="561">
        <v>0</v>
      </c>
      <c r="DM326" s="561">
        <v>0</v>
      </c>
      <c r="DN326" s="561">
        <v>0</v>
      </c>
      <c r="DO326" s="561">
        <v>159</v>
      </c>
      <c r="DP326" s="561">
        <v>0</v>
      </c>
      <c r="DQ326" s="561">
        <v>0</v>
      </c>
      <c r="DR326" s="561">
        <v>-200</v>
      </c>
      <c r="DS326" s="561">
        <v>404</v>
      </c>
      <c r="DT326" s="561">
        <v>0</v>
      </c>
      <c r="DU326" s="561">
        <v>363</v>
      </c>
      <c r="DV326" s="561">
        <v>0</v>
      </c>
      <c r="DW326" s="561">
        <v>0</v>
      </c>
      <c r="DX326" s="561">
        <v>0</v>
      </c>
      <c r="DY326" s="561">
        <v>410</v>
      </c>
      <c r="DZ326" s="561">
        <v>0</v>
      </c>
      <c r="EA326" s="561">
        <v>0</v>
      </c>
      <c r="EB326" s="561">
        <v>0</v>
      </c>
      <c r="EC326" s="561">
        <v>1013</v>
      </c>
      <c r="ED326" s="561">
        <v>49</v>
      </c>
      <c r="EE326" s="561">
        <v>0</v>
      </c>
      <c r="EF326" s="561">
        <v>0</v>
      </c>
      <c r="EG326" s="561">
        <v>0</v>
      </c>
      <c r="EH326" s="561">
        <v>0</v>
      </c>
      <c r="EI326" s="561">
        <v>0</v>
      </c>
      <c r="EJ326" s="561">
        <v>0</v>
      </c>
      <c r="EK326" s="561">
        <v>0</v>
      </c>
      <c r="EL326" s="561">
        <v>0</v>
      </c>
      <c r="EM326" s="561">
        <v>0</v>
      </c>
      <c r="EN326" s="561">
        <v>0</v>
      </c>
      <c r="EO326" s="561">
        <v>0</v>
      </c>
      <c r="EP326" s="561">
        <v>0</v>
      </c>
      <c r="EQ326" s="561">
        <v>0</v>
      </c>
      <c r="ER326" s="561">
        <v>0</v>
      </c>
      <c r="ES326" s="561" t="s">
        <v>4565</v>
      </c>
      <c r="ET326" s="561">
        <v>0</v>
      </c>
      <c r="EU326" s="561">
        <v>0</v>
      </c>
      <c r="EV326" s="561">
        <v>0</v>
      </c>
      <c r="EW326" s="561">
        <v>0</v>
      </c>
      <c r="EX326" s="561">
        <v>0</v>
      </c>
      <c r="EY326" s="561">
        <v>0</v>
      </c>
      <c r="EZ326" s="561">
        <v>0</v>
      </c>
      <c r="FA326" s="561">
        <v>0</v>
      </c>
      <c r="FB326" s="561">
        <v>0</v>
      </c>
      <c r="FC326" s="561">
        <v>0</v>
      </c>
      <c r="FD326" s="561">
        <v>0</v>
      </c>
      <c r="FE326" s="561">
        <v>67</v>
      </c>
      <c r="FF326" s="561">
        <v>26</v>
      </c>
      <c r="FG326" s="561">
        <v>0</v>
      </c>
      <c r="FH326" s="561">
        <v>0</v>
      </c>
      <c r="FI326" s="561">
        <v>136</v>
      </c>
      <c r="FJ326" s="561">
        <v>883</v>
      </c>
      <c r="FK326" s="561">
        <v>1104</v>
      </c>
      <c r="FL326" s="561">
        <v>0</v>
      </c>
      <c r="FM326" s="561">
        <v>34</v>
      </c>
      <c r="FN326" s="561">
        <v>0</v>
      </c>
      <c r="FO326" s="561">
        <v>2250</v>
      </c>
      <c r="FP326" s="561">
        <v>10</v>
      </c>
      <c r="FQ326" s="561">
        <v>268</v>
      </c>
      <c r="FR326" s="561">
        <v>0</v>
      </c>
      <c r="FS326" s="561">
        <v>9</v>
      </c>
      <c r="FT326" s="561">
        <v>124</v>
      </c>
      <c r="FU326" s="561">
        <v>184</v>
      </c>
      <c r="FV326" s="561">
        <v>0</v>
      </c>
      <c r="FW326" s="561">
        <v>80</v>
      </c>
      <c r="FX326" s="561">
        <v>0</v>
      </c>
      <c r="FY326" s="561">
        <v>0</v>
      </c>
      <c r="FZ326" s="561">
        <v>90</v>
      </c>
      <c r="GA326" s="561">
        <v>444</v>
      </c>
      <c r="GB326" s="561">
        <v>59</v>
      </c>
      <c r="GC326" s="561">
        <v>43</v>
      </c>
      <c r="GD326" s="561">
        <v>0</v>
      </c>
      <c r="GE326" s="561">
        <v>199</v>
      </c>
      <c r="GF326" s="561">
        <v>150</v>
      </c>
      <c r="GG326" s="561">
        <v>0</v>
      </c>
      <c r="GH326" s="561">
        <v>33</v>
      </c>
      <c r="GI326" s="561">
        <v>0</v>
      </c>
      <c r="GJ326" s="561">
        <v>0</v>
      </c>
      <c r="GK326" s="561">
        <v>0</v>
      </c>
      <c r="GL326" s="561">
        <v>812</v>
      </c>
      <c r="GM326" s="561">
        <v>1190</v>
      </c>
      <c r="GN326" s="561">
        <v>0</v>
      </c>
      <c r="GO326" s="561">
        <v>-268</v>
      </c>
      <c r="GP326" s="561">
        <v>2262</v>
      </c>
      <c r="GQ326" s="561">
        <v>0</v>
      </c>
      <c r="GR326" s="561">
        <v>0</v>
      </c>
      <c r="GS326" s="561">
        <v>5679</v>
      </c>
      <c r="GT326" s="561">
        <v>0</v>
      </c>
      <c r="GU326" s="561">
        <v>199</v>
      </c>
      <c r="GV326" s="561">
        <v>772</v>
      </c>
      <c r="GW326" s="561">
        <v>50</v>
      </c>
      <c r="GX326" s="561">
        <v>-4</v>
      </c>
      <c r="GY326" s="561">
        <v>43</v>
      </c>
      <c r="GZ326" s="561">
        <v>-6</v>
      </c>
      <c r="HA326" s="561">
        <v>0</v>
      </c>
      <c r="HB326" s="561">
        <v>0</v>
      </c>
      <c r="HC326" s="561">
        <v>175</v>
      </c>
      <c r="HD326" s="561">
        <v>1229</v>
      </c>
      <c r="HE326" s="561">
        <v>0</v>
      </c>
      <c r="HF326" s="561">
        <v>9158</v>
      </c>
      <c r="HG326" s="561">
        <v>0</v>
      </c>
      <c r="HH326" s="561">
        <v>0</v>
      </c>
      <c r="HI326" s="561">
        <v>0</v>
      </c>
      <c r="HJ326" s="561">
        <v>0</v>
      </c>
      <c r="HK326" s="561">
        <v>0</v>
      </c>
      <c r="HL326" s="561">
        <v>0</v>
      </c>
      <c r="HM326" s="561">
        <v>0</v>
      </c>
      <c r="HN326" s="561">
        <v>0</v>
      </c>
      <c r="HO326" s="561">
        <v>1165</v>
      </c>
      <c r="HP326" s="561">
        <v>568</v>
      </c>
      <c r="HQ326" s="561">
        <v>0</v>
      </c>
      <c r="HR326" s="561">
        <v>0</v>
      </c>
      <c r="HS326" s="561">
        <v>0</v>
      </c>
      <c r="HT326" s="561">
        <v>0</v>
      </c>
      <c r="HU326" s="561">
        <v>0</v>
      </c>
      <c r="HV326" s="561">
        <v>0</v>
      </c>
      <c r="HW326" s="561">
        <v>279</v>
      </c>
      <c r="HX326" s="561">
        <v>0</v>
      </c>
      <c r="HY326" s="561">
        <v>49</v>
      </c>
      <c r="HZ326" s="561">
        <v>111</v>
      </c>
      <c r="IA326" s="561">
        <v>0</v>
      </c>
      <c r="IB326" s="561">
        <v>0</v>
      </c>
      <c r="IC326" s="561">
        <v>0</v>
      </c>
      <c r="ID326" s="561">
        <v>0</v>
      </c>
      <c r="IE326" s="561">
        <v>1050</v>
      </c>
      <c r="IF326" s="561">
        <v>0</v>
      </c>
      <c r="IG326" s="561">
        <v>0</v>
      </c>
      <c r="IH326" s="561">
        <v>1171</v>
      </c>
      <c r="II326" s="561">
        <v>4393</v>
      </c>
      <c r="IJ326" s="561">
        <v>202</v>
      </c>
      <c r="IK326" s="561">
        <v>6219</v>
      </c>
      <c r="IL326" s="561">
        <v>0</v>
      </c>
      <c r="IM326" s="561">
        <v>0</v>
      </c>
      <c r="IN326" s="561">
        <v>0</v>
      </c>
      <c r="IO326" s="561">
        <v>0</v>
      </c>
      <c r="IP326" s="561">
        <v>0</v>
      </c>
      <c r="IQ326" s="561">
        <v>0</v>
      </c>
      <c r="IR326" s="561">
        <v>0</v>
      </c>
      <c r="IS326" s="561">
        <v>-235</v>
      </c>
      <c r="IT326" s="561">
        <v>0</v>
      </c>
      <c r="IU326" s="561">
        <v>0</v>
      </c>
      <c r="IV326" s="561">
        <v>0</v>
      </c>
      <c r="IW326" s="561">
        <v>1013</v>
      </c>
      <c r="IX326" s="561">
        <v>2250</v>
      </c>
      <c r="IY326" s="561">
        <v>5679</v>
      </c>
      <c r="IZ326" s="561">
        <v>1229</v>
      </c>
      <c r="JA326" s="561">
        <v>0</v>
      </c>
      <c r="JB326" s="561">
        <v>0</v>
      </c>
      <c r="JC326" s="561">
        <v>4393</v>
      </c>
      <c r="JD326" s="561">
        <v>0</v>
      </c>
      <c r="JE326" s="561">
        <v>14329</v>
      </c>
      <c r="JF326" s="561">
        <v>10751</v>
      </c>
      <c r="JG326" s="561">
        <v>0</v>
      </c>
      <c r="JH326" s="561">
        <v>0</v>
      </c>
      <c r="JI326" s="561">
        <v>0</v>
      </c>
      <c r="JJ326" s="561">
        <v>0</v>
      </c>
      <c r="JK326" s="561">
        <v>1667</v>
      </c>
      <c r="JL326" s="561">
        <v>0</v>
      </c>
      <c r="JM326" s="561">
        <v>0</v>
      </c>
      <c r="JN326" s="561">
        <v>0</v>
      </c>
      <c r="JO326" s="561">
        <v>0</v>
      </c>
      <c r="JP326" s="561">
        <v>0</v>
      </c>
      <c r="JQ326" s="561">
        <v>0</v>
      </c>
      <c r="JR326" s="561">
        <v>0</v>
      </c>
      <c r="JS326" s="561">
        <v>0</v>
      </c>
      <c r="JT326" s="561">
        <v>63</v>
      </c>
      <c r="JU326" s="561">
        <v>0</v>
      </c>
      <c r="JV326" s="561">
        <v>26810</v>
      </c>
      <c r="JW326" s="561">
        <v>0</v>
      </c>
      <c r="JX326" s="561">
        <v>0</v>
      </c>
      <c r="JY326" s="561">
        <v>0</v>
      </c>
      <c r="JZ326" s="561">
        <v>0</v>
      </c>
      <c r="KA326" s="561">
        <v>0</v>
      </c>
      <c r="KB326" s="561">
        <v>0</v>
      </c>
      <c r="KC326" s="561">
        <v>255</v>
      </c>
      <c r="KD326" s="561">
        <v>0</v>
      </c>
      <c r="KE326" s="561">
        <v>318</v>
      </c>
      <c r="KF326" s="561">
        <v>0</v>
      </c>
      <c r="KG326" s="561">
        <v>27383</v>
      </c>
      <c r="KH326" s="561">
        <v>-1161</v>
      </c>
      <c r="KI326" s="561">
        <v>0</v>
      </c>
      <c r="KJ326" s="561">
        <v>0</v>
      </c>
      <c r="KK326" s="561">
        <v>0</v>
      </c>
      <c r="KL326" s="561">
        <v>-10559</v>
      </c>
      <c r="KM326" s="561">
        <v>0</v>
      </c>
      <c r="KN326" s="561">
        <v>0</v>
      </c>
      <c r="KO326" s="561">
        <v>0</v>
      </c>
      <c r="KP326" s="561">
        <v>0</v>
      </c>
      <c r="KQ326" s="561">
        <v>0</v>
      </c>
      <c r="KR326" s="561">
        <v>15663</v>
      </c>
      <c r="KS326" s="561">
        <v>0</v>
      </c>
      <c r="KT326" s="561">
        <v>-1045</v>
      </c>
      <c r="KU326" s="561">
        <v>14618</v>
      </c>
      <c r="KV326" s="561">
        <v>0</v>
      </c>
      <c r="KW326" s="561">
        <v>0</v>
      </c>
      <c r="KX326" s="561">
        <v>0</v>
      </c>
      <c r="KY326" s="561">
        <v>0</v>
      </c>
      <c r="KZ326" s="561">
        <v>-1390</v>
      </c>
      <c r="LA326" s="561">
        <v>-36</v>
      </c>
      <c r="LB326" s="561">
        <v>-105</v>
      </c>
      <c r="LC326" s="561">
        <v>0</v>
      </c>
      <c r="LD326" s="561">
        <v>-5952</v>
      </c>
      <c r="LE326" s="561">
        <v>625</v>
      </c>
      <c r="LF326" s="561">
        <v>0</v>
      </c>
      <c r="LG326" s="561">
        <v>7760</v>
      </c>
      <c r="LH326" s="561">
        <v>0</v>
      </c>
      <c r="LI326" s="561">
        <v>0</v>
      </c>
      <c r="LJ326" s="561">
        <v>0</v>
      </c>
      <c r="LK326" s="561">
        <v>0</v>
      </c>
      <c r="LL326" s="561">
        <v>5229</v>
      </c>
      <c r="LM326" s="561">
        <v>4972</v>
      </c>
      <c r="LN326" s="561">
        <v>0</v>
      </c>
      <c r="LO326" s="561">
        <v>0</v>
      </c>
      <c r="LP326" s="561">
        <v>0</v>
      </c>
      <c r="LQ326" s="561">
        <v>0</v>
      </c>
      <c r="LR326" s="561">
        <v>3839</v>
      </c>
      <c r="LS326" s="561">
        <v>4936</v>
      </c>
      <c r="LT326" s="561">
        <v>0</v>
      </c>
      <c r="LU326" s="561">
        <v>1463</v>
      </c>
      <c r="LV326" s="561">
        <v>63</v>
      </c>
      <c r="LW326" s="561">
        <v>0</v>
      </c>
      <c r="LX326" s="561">
        <v>-3602</v>
      </c>
      <c r="LY326" s="561">
        <v>4684</v>
      </c>
      <c r="LZ326" s="561">
        <v>2608</v>
      </c>
      <c r="MA326" s="561">
        <v>0</v>
      </c>
      <c r="MB326" s="561">
        <v>0</v>
      </c>
      <c r="MC326" s="561">
        <v>0</v>
      </c>
      <c r="MD326" s="561">
        <v>0</v>
      </c>
      <c r="ME326" s="561">
        <v>0</v>
      </c>
      <c r="MF326" s="561">
        <v>0</v>
      </c>
      <c r="MG326" s="561">
        <v>0</v>
      </c>
      <c r="MH326" s="561">
        <v>2470</v>
      </c>
      <c r="MI326" s="561">
        <v>3171</v>
      </c>
      <c r="MJ326" s="561">
        <v>5641</v>
      </c>
      <c r="MK326" s="561">
        <v>0</v>
      </c>
      <c r="ML326" s="561">
        <v>0</v>
      </c>
      <c r="MM326" s="561">
        <v>258</v>
      </c>
      <c r="MN326" s="561">
        <v>0</v>
      </c>
      <c r="MO326" s="561">
        <v>2594</v>
      </c>
      <c r="MP326" s="561">
        <v>987</v>
      </c>
      <c r="MQ326" s="561">
        <v>0</v>
      </c>
      <c r="MR326" s="561">
        <v>-235</v>
      </c>
      <c r="MS326" s="561">
        <v>0</v>
      </c>
      <c r="MT326" s="561">
        <v>0</v>
      </c>
      <c r="MU326" s="561">
        <v>0</v>
      </c>
      <c r="MV326" s="561">
        <v>1013</v>
      </c>
      <c r="MW326" s="561">
        <v>2250</v>
      </c>
      <c r="MX326" s="561">
        <v>5679</v>
      </c>
      <c r="MY326" s="561">
        <v>1229</v>
      </c>
      <c r="MZ326" s="561">
        <v>0</v>
      </c>
      <c r="NA326" s="561">
        <v>0</v>
      </c>
      <c r="NB326" s="561">
        <v>4393</v>
      </c>
      <c r="NC326" s="561">
        <v>0</v>
      </c>
      <c r="ND326" s="561">
        <v>14329</v>
      </c>
      <c r="NE326" s="561">
        <v>0</v>
      </c>
      <c r="NF326" s="561">
        <v>0</v>
      </c>
      <c r="NG326" s="561">
        <v>0</v>
      </c>
      <c r="NH326" s="561">
        <v>0</v>
      </c>
      <c r="NI326" s="561">
        <v>0</v>
      </c>
      <c r="NJ326" s="561">
        <v>0</v>
      </c>
      <c r="NK326" s="561">
        <v>0</v>
      </c>
      <c r="NL326" s="561">
        <v>0</v>
      </c>
      <c r="NM326" s="561">
        <v>0</v>
      </c>
      <c r="NN326" s="561">
        <v>0</v>
      </c>
      <c r="NO326" s="561">
        <v>0</v>
      </c>
      <c r="NP326" s="561">
        <v>0</v>
      </c>
      <c r="NQ326" s="561">
        <v>0</v>
      </c>
      <c r="NR326" s="561">
        <v>0</v>
      </c>
      <c r="NS326" s="561">
        <v>0</v>
      </c>
      <c r="NT326" s="561">
        <v>0</v>
      </c>
      <c r="NU326" s="561">
        <v>0</v>
      </c>
      <c r="NV326" s="561">
        <v>0</v>
      </c>
      <c r="NW326" s="561">
        <v>0</v>
      </c>
      <c r="NX326" s="561">
        <v>0</v>
      </c>
      <c r="NY326" s="561">
        <v>0</v>
      </c>
      <c r="NZ326" s="561">
        <v>0</v>
      </c>
      <c r="OA326" s="561">
        <v>0</v>
      </c>
      <c r="OB326" s="561">
        <v>0</v>
      </c>
      <c r="OC326" s="561">
        <v>0</v>
      </c>
      <c r="OD326" s="561">
        <v>0</v>
      </c>
      <c r="OE326" s="561">
        <v>0</v>
      </c>
      <c r="OF326" s="561">
        <v>0</v>
      </c>
      <c r="OG326" s="561">
        <v>0</v>
      </c>
      <c r="OH326" s="561">
        <v>0</v>
      </c>
      <c r="OI326" s="561">
        <v>0</v>
      </c>
      <c r="OJ326" s="561">
        <v>0</v>
      </c>
      <c r="OK326" s="561">
        <v>0</v>
      </c>
      <c r="OL326" s="561">
        <v>0</v>
      </c>
      <c r="OM326" s="561">
        <v>0</v>
      </c>
      <c r="ON326" s="561">
        <v>0</v>
      </c>
      <c r="OO326" s="561">
        <v>0</v>
      </c>
      <c r="OP326" s="561">
        <v>0</v>
      </c>
      <c r="OQ326" s="561">
        <v>0</v>
      </c>
      <c r="OR326" s="561">
        <v>0</v>
      </c>
      <c r="OS326" s="561">
        <v>0</v>
      </c>
      <c r="OT326" s="561">
        <v>0</v>
      </c>
      <c r="OU326" s="561">
        <v>0</v>
      </c>
      <c r="OV326" s="561">
        <v>0</v>
      </c>
      <c r="OW326" s="561">
        <v>0</v>
      </c>
      <c r="OX326" s="561">
        <v>0</v>
      </c>
      <c r="OY326" s="561">
        <v>0</v>
      </c>
      <c r="OZ326" s="561">
        <v>0</v>
      </c>
      <c r="PA326" s="561">
        <v>0</v>
      </c>
      <c r="PB326" s="561">
        <v>0</v>
      </c>
      <c r="PC326" s="561">
        <v>0</v>
      </c>
      <c r="PD326" s="561">
        <v>0</v>
      </c>
      <c r="PE326" s="561">
        <v>0</v>
      </c>
      <c r="PF326" s="561">
        <v>0</v>
      </c>
      <c r="PG326" s="561">
        <v>0</v>
      </c>
      <c r="PH326" s="561">
        <v>0</v>
      </c>
      <c r="PI326" s="561">
        <v>0</v>
      </c>
      <c r="PJ326" s="561">
        <v>0</v>
      </c>
    </row>
    <row r="327" spans="1:426" ht="14" x14ac:dyDescent="0.3">
      <c r="A327" t="s">
        <v>3424</v>
      </c>
      <c r="B327" t="s">
        <v>3425</v>
      </c>
      <c r="C327" t="s">
        <v>3426</v>
      </c>
      <c r="E327" t="s">
        <v>2466</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561">
        <v>0</v>
      </c>
      <c r="BI327" s="561">
        <v>0</v>
      </c>
      <c r="BJ327" s="561">
        <v>0</v>
      </c>
      <c r="BK327" s="561">
        <v>0</v>
      </c>
      <c r="BL327" s="561">
        <v>0</v>
      </c>
      <c r="BM327" s="561">
        <v>0</v>
      </c>
      <c r="BN327" s="561">
        <v>0</v>
      </c>
      <c r="BO327" s="561">
        <v>0</v>
      </c>
      <c r="BP327" s="561">
        <v>0</v>
      </c>
      <c r="BQ327" s="561">
        <v>0</v>
      </c>
      <c r="BR327" s="561">
        <v>0</v>
      </c>
      <c r="BS327" s="561">
        <v>0</v>
      </c>
      <c r="BT327" s="561">
        <v>0</v>
      </c>
      <c r="BU327" s="561">
        <v>0</v>
      </c>
      <c r="BV327" s="561">
        <v>0</v>
      </c>
      <c r="BW327" s="561">
        <v>0</v>
      </c>
      <c r="BX327" s="561">
        <v>0</v>
      </c>
      <c r="BY327" s="561">
        <v>0</v>
      </c>
      <c r="BZ327" s="561">
        <v>0</v>
      </c>
      <c r="CA327" s="561">
        <v>0</v>
      </c>
      <c r="CB327" s="561">
        <v>0</v>
      </c>
      <c r="CC327" s="561">
        <v>0</v>
      </c>
      <c r="CD327" s="561">
        <v>0</v>
      </c>
      <c r="CE327" s="561">
        <v>0</v>
      </c>
      <c r="CF327" s="561">
        <v>0</v>
      </c>
      <c r="CG327" s="561">
        <v>0</v>
      </c>
      <c r="CH327" s="561">
        <v>0</v>
      </c>
      <c r="CI327" s="561">
        <v>0</v>
      </c>
      <c r="CJ327" s="561">
        <v>0</v>
      </c>
      <c r="CK327" s="561">
        <v>0</v>
      </c>
      <c r="CL327" s="561">
        <v>0</v>
      </c>
      <c r="CM327" s="561">
        <v>0</v>
      </c>
      <c r="CN327" s="561">
        <v>0</v>
      </c>
      <c r="CO327" s="561">
        <v>0</v>
      </c>
      <c r="CP327" s="561">
        <v>0</v>
      </c>
      <c r="CQ327" s="561">
        <v>0</v>
      </c>
      <c r="CR327" s="561">
        <v>0</v>
      </c>
      <c r="CS327" s="561">
        <v>0</v>
      </c>
      <c r="CT327" s="561">
        <v>0</v>
      </c>
      <c r="CU327" s="561">
        <v>0</v>
      </c>
      <c r="CV327" s="561">
        <v>0</v>
      </c>
      <c r="CW327" s="561">
        <v>0</v>
      </c>
      <c r="CX327" s="561">
        <v>0</v>
      </c>
      <c r="CY327" s="561">
        <v>0</v>
      </c>
      <c r="CZ327" s="561">
        <v>0</v>
      </c>
      <c r="DA327" s="561">
        <v>0</v>
      </c>
      <c r="DB327" s="561">
        <v>0</v>
      </c>
      <c r="DC327" s="561">
        <v>0</v>
      </c>
      <c r="DD327" s="561">
        <v>0</v>
      </c>
      <c r="DE327" s="561">
        <v>0</v>
      </c>
      <c r="DF327" s="561">
        <v>0</v>
      </c>
      <c r="DG327" s="561">
        <v>0</v>
      </c>
      <c r="DH327" s="561">
        <v>0</v>
      </c>
      <c r="DI327" s="561">
        <v>0</v>
      </c>
      <c r="DJ327" s="561">
        <v>0</v>
      </c>
      <c r="DK327" s="561">
        <v>0</v>
      </c>
      <c r="DL327" s="561">
        <v>0</v>
      </c>
      <c r="DM327" s="561">
        <v>0</v>
      </c>
      <c r="DN327" s="561">
        <v>0</v>
      </c>
      <c r="DO327" s="561">
        <v>0</v>
      </c>
      <c r="DP327" s="561">
        <v>0</v>
      </c>
      <c r="DQ327" s="561">
        <v>0</v>
      </c>
      <c r="DR327" s="561">
        <v>0</v>
      </c>
      <c r="DS327" s="561">
        <v>0</v>
      </c>
      <c r="DT327" s="561">
        <v>0</v>
      </c>
      <c r="DU327" s="561">
        <v>0</v>
      </c>
      <c r="DV327" s="561">
        <v>0</v>
      </c>
      <c r="DW327" s="561">
        <v>0</v>
      </c>
      <c r="DX327" s="561">
        <v>0</v>
      </c>
      <c r="DY327" s="561">
        <v>0</v>
      </c>
      <c r="DZ327" s="561">
        <v>0</v>
      </c>
      <c r="EA327" s="561">
        <v>0</v>
      </c>
      <c r="EB327" s="561">
        <v>0</v>
      </c>
      <c r="EC327" s="561">
        <v>0</v>
      </c>
      <c r="ED327" s="561">
        <v>0</v>
      </c>
      <c r="EE327" s="561">
        <v>0</v>
      </c>
      <c r="EF327" s="561">
        <v>0</v>
      </c>
      <c r="EG327" s="561">
        <v>0</v>
      </c>
      <c r="EH327" s="561">
        <v>0</v>
      </c>
      <c r="EI327" s="561">
        <v>0</v>
      </c>
      <c r="EJ327" s="561">
        <v>0</v>
      </c>
      <c r="EK327" s="561">
        <v>0</v>
      </c>
      <c r="EL327" s="561">
        <v>0</v>
      </c>
      <c r="EM327" s="561">
        <v>0</v>
      </c>
      <c r="EN327" s="561">
        <v>0</v>
      </c>
      <c r="EO327" s="561">
        <v>0</v>
      </c>
      <c r="EP327" s="561">
        <v>0</v>
      </c>
      <c r="EQ327" s="561">
        <v>0</v>
      </c>
      <c r="ER327" s="561">
        <v>0</v>
      </c>
      <c r="ES327" s="561" t="s">
        <v>4565</v>
      </c>
      <c r="ET327" s="561">
        <v>0</v>
      </c>
      <c r="EU327" s="561">
        <v>0</v>
      </c>
      <c r="EV327" s="561">
        <v>0</v>
      </c>
      <c r="EW327" s="561">
        <v>0</v>
      </c>
      <c r="EX327" s="561">
        <v>0</v>
      </c>
      <c r="EY327" s="561">
        <v>0</v>
      </c>
      <c r="EZ327" s="561">
        <v>0</v>
      </c>
      <c r="FA327" s="561">
        <v>0</v>
      </c>
      <c r="FB327" s="561">
        <v>0</v>
      </c>
      <c r="FC327" s="561">
        <v>0</v>
      </c>
      <c r="FD327" s="561">
        <v>0</v>
      </c>
      <c r="FE327" s="561">
        <v>0</v>
      </c>
      <c r="FF327" s="561">
        <v>0</v>
      </c>
      <c r="FG327" s="561">
        <v>0</v>
      </c>
      <c r="FH327" s="561">
        <v>0</v>
      </c>
      <c r="FI327" s="561">
        <v>0</v>
      </c>
      <c r="FJ327" s="561">
        <v>0</v>
      </c>
      <c r="FK327" s="561">
        <v>0</v>
      </c>
      <c r="FL327" s="561">
        <v>0</v>
      </c>
      <c r="FM327" s="561">
        <v>0</v>
      </c>
      <c r="FN327" s="561">
        <v>0</v>
      </c>
      <c r="FO327" s="561">
        <v>0</v>
      </c>
      <c r="FP327" s="561">
        <v>0</v>
      </c>
      <c r="FQ327" s="561">
        <v>0</v>
      </c>
      <c r="FR327" s="561">
        <v>0</v>
      </c>
      <c r="FS327" s="561">
        <v>0</v>
      </c>
      <c r="FT327" s="561">
        <v>0</v>
      </c>
      <c r="FU327" s="561">
        <v>0</v>
      </c>
      <c r="FV327" s="561">
        <v>0</v>
      </c>
      <c r="FW327" s="561">
        <v>0</v>
      </c>
      <c r="FX327" s="561">
        <v>0</v>
      </c>
      <c r="FY327" s="561">
        <v>0</v>
      </c>
      <c r="FZ327" s="561">
        <v>0</v>
      </c>
      <c r="GA327" s="561">
        <v>0</v>
      </c>
      <c r="GB327" s="561">
        <v>0</v>
      </c>
      <c r="GC327" s="561">
        <v>0</v>
      </c>
      <c r="GD327" s="561">
        <v>0</v>
      </c>
      <c r="GE327" s="561">
        <v>0</v>
      </c>
      <c r="GF327" s="561">
        <v>0</v>
      </c>
      <c r="GG327" s="561">
        <v>0</v>
      </c>
      <c r="GH327" s="561">
        <v>0</v>
      </c>
      <c r="GI327" s="561">
        <v>0</v>
      </c>
      <c r="GJ327" s="561">
        <v>0</v>
      </c>
      <c r="GK327" s="561">
        <v>0</v>
      </c>
      <c r="GL327" s="561">
        <v>0</v>
      </c>
      <c r="GM327" s="561">
        <v>0</v>
      </c>
      <c r="GN327" s="561">
        <v>0</v>
      </c>
      <c r="GO327" s="561">
        <v>0</v>
      </c>
      <c r="GP327" s="561">
        <v>0</v>
      </c>
      <c r="GQ327" s="561">
        <v>0</v>
      </c>
      <c r="GR327" s="561">
        <v>0</v>
      </c>
      <c r="GS327" s="561">
        <v>0</v>
      </c>
      <c r="GT327" s="561">
        <v>0</v>
      </c>
      <c r="GU327" s="561">
        <v>0</v>
      </c>
      <c r="GV327" s="561">
        <v>0</v>
      </c>
      <c r="GW327" s="561">
        <v>0</v>
      </c>
      <c r="GX327" s="561">
        <v>0</v>
      </c>
      <c r="GY327" s="561">
        <v>0</v>
      </c>
      <c r="GZ327" s="561">
        <v>0</v>
      </c>
      <c r="HA327" s="561">
        <v>0</v>
      </c>
      <c r="HB327" s="561">
        <v>0</v>
      </c>
      <c r="HC327" s="561">
        <v>0</v>
      </c>
      <c r="HD327" s="561">
        <v>0</v>
      </c>
      <c r="HE327" s="561">
        <v>0</v>
      </c>
      <c r="HF327" s="561">
        <v>0</v>
      </c>
      <c r="HG327" s="561">
        <v>0</v>
      </c>
      <c r="HH327" s="561">
        <v>268197.09000000003</v>
      </c>
      <c r="HI327" s="561">
        <v>1174.55</v>
      </c>
      <c r="HJ327" s="561">
        <v>0</v>
      </c>
      <c r="HK327" s="561">
        <v>0</v>
      </c>
      <c r="HL327" s="561">
        <v>0</v>
      </c>
      <c r="HM327" s="561">
        <v>0</v>
      </c>
      <c r="HN327" s="561">
        <v>0</v>
      </c>
      <c r="HO327" s="561">
        <v>881.52</v>
      </c>
      <c r="HP327" s="561">
        <v>0</v>
      </c>
      <c r="HQ327" s="561">
        <v>0</v>
      </c>
      <c r="HR327" s="561">
        <v>0</v>
      </c>
      <c r="HS327" s="561">
        <v>0</v>
      </c>
      <c r="HT327" s="561">
        <v>0</v>
      </c>
      <c r="HU327" s="561">
        <v>0</v>
      </c>
      <c r="HV327" s="561">
        <v>0</v>
      </c>
      <c r="HW327" s="561">
        <v>0</v>
      </c>
      <c r="HX327" s="561">
        <v>0</v>
      </c>
      <c r="HY327" s="561">
        <v>0</v>
      </c>
      <c r="HZ327" s="561">
        <v>0</v>
      </c>
      <c r="IA327" s="561">
        <v>0</v>
      </c>
      <c r="IB327" s="561">
        <v>0</v>
      </c>
      <c r="IC327" s="561">
        <v>0</v>
      </c>
      <c r="ID327" s="561">
        <v>0</v>
      </c>
      <c r="IE327" s="561">
        <v>0</v>
      </c>
      <c r="IF327" s="561">
        <v>0</v>
      </c>
      <c r="IG327" s="561">
        <v>0</v>
      </c>
      <c r="IH327" s="561">
        <v>0</v>
      </c>
      <c r="II327" s="561">
        <v>881.52</v>
      </c>
      <c r="IJ327" s="561">
        <v>0</v>
      </c>
      <c r="IK327" s="561">
        <v>0</v>
      </c>
      <c r="IL327" s="561">
        <v>0</v>
      </c>
      <c r="IM327" s="561">
        <v>0</v>
      </c>
      <c r="IN327" s="561">
        <v>0</v>
      </c>
      <c r="IO327" s="561">
        <v>0</v>
      </c>
      <c r="IP327" s="561">
        <v>0</v>
      </c>
      <c r="IQ327" s="561">
        <v>0</v>
      </c>
      <c r="IR327" s="561">
        <v>0</v>
      </c>
      <c r="IS327" s="561">
        <v>0</v>
      </c>
      <c r="IT327" s="561">
        <v>0</v>
      </c>
      <c r="IU327" s="561">
        <v>0</v>
      </c>
      <c r="IV327" s="561">
        <v>0</v>
      </c>
      <c r="IW327" s="561">
        <v>0</v>
      </c>
      <c r="IX327" s="561">
        <v>0</v>
      </c>
      <c r="IY327" s="561">
        <v>0</v>
      </c>
      <c r="IZ327" s="561">
        <v>0</v>
      </c>
      <c r="JA327" s="561">
        <v>268197.09000000003</v>
      </c>
      <c r="JB327" s="561">
        <v>0</v>
      </c>
      <c r="JC327" s="561">
        <v>881.52</v>
      </c>
      <c r="JD327" s="561">
        <v>0</v>
      </c>
      <c r="JE327" s="561">
        <v>269078.61</v>
      </c>
      <c r="JF327" s="561">
        <v>0</v>
      </c>
      <c r="JG327" s="561">
        <v>0</v>
      </c>
      <c r="JH327" s="561">
        <v>0</v>
      </c>
      <c r="JI327" s="561">
        <v>0</v>
      </c>
      <c r="JJ327" s="561">
        <v>0</v>
      </c>
      <c r="JK327" s="561">
        <v>0</v>
      </c>
      <c r="JL327" s="561">
        <v>0</v>
      </c>
      <c r="JM327" s="561">
        <v>0</v>
      </c>
      <c r="JN327" s="561">
        <v>0</v>
      </c>
      <c r="JO327" s="561">
        <v>0</v>
      </c>
      <c r="JP327" s="561">
        <v>0</v>
      </c>
      <c r="JQ327" s="561">
        <v>0</v>
      </c>
      <c r="JR327" s="561">
        <v>0</v>
      </c>
      <c r="JS327" s="561">
        <v>0</v>
      </c>
      <c r="JT327" s="561">
        <v>-1418.2</v>
      </c>
      <c r="JU327" s="561">
        <v>0</v>
      </c>
      <c r="JV327" s="561">
        <v>267660.40999999997</v>
      </c>
      <c r="JW327" s="561">
        <v>0</v>
      </c>
      <c r="JX327" s="561">
        <v>3257.32</v>
      </c>
      <c r="JY327" s="561">
        <v>0</v>
      </c>
      <c r="JZ327" s="561">
        <v>0</v>
      </c>
      <c r="KA327" s="561">
        <v>0</v>
      </c>
      <c r="KB327" s="561">
        <v>0</v>
      </c>
      <c r="KC327" s="561">
        <v>3845.98</v>
      </c>
      <c r="KD327" s="561">
        <v>0</v>
      </c>
      <c r="KE327" s="561">
        <v>2486</v>
      </c>
      <c r="KF327" s="561">
        <v>0</v>
      </c>
      <c r="KG327" s="561">
        <v>277249.71000000002</v>
      </c>
      <c r="KH327" s="561">
        <v>-2316</v>
      </c>
      <c r="KI327" s="561">
        <v>0</v>
      </c>
      <c r="KJ327" s="561">
        <v>0</v>
      </c>
      <c r="KK327" s="561">
        <v>0</v>
      </c>
      <c r="KL327" s="561">
        <v>0</v>
      </c>
      <c r="KM327" s="561">
        <v>0</v>
      </c>
      <c r="KN327" s="561">
        <v>0</v>
      </c>
      <c r="KO327" s="561">
        <v>0</v>
      </c>
      <c r="KP327" s="561">
        <v>0</v>
      </c>
      <c r="KQ327" s="561">
        <v>0</v>
      </c>
      <c r="KR327" s="561">
        <v>274933.71000000002</v>
      </c>
      <c r="KS327" s="561">
        <v>0</v>
      </c>
      <c r="KT327" s="561">
        <v>-20315</v>
      </c>
      <c r="KU327" s="561">
        <v>254618.71</v>
      </c>
      <c r="KV327" s="561">
        <v>0</v>
      </c>
      <c r="KW327" s="561">
        <v>0</v>
      </c>
      <c r="KX327" s="561">
        <v>0</v>
      </c>
      <c r="KY327" s="561">
        <v>0</v>
      </c>
      <c r="KZ327" s="561">
        <v>1815</v>
      </c>
      <c r="LA327" s="561">
        <v>147</v>
      </c>
      <c r="LB327" s="561">
        <v>0</v>
      </c>
      <c r="LC327" s="561">
        <v>-149573</v>
      </c>
      <c r="LD327" s="561">
        <v>0</v>
      </c>
      <c r="LE327" s="561">
        <v>-1239</v>
      </c>
      <c r="LF327" s="561">
        <v>-5677</v>
      </c>
      <c r="LG327" s="561">
        <v>100091</v>
      </c>
      <c r="LH327" s="561">
        <v>0</v>
      </c>
      <c r="LI327" s="561">
        <v>0</v>
      </c>
      <c r="LJ327" s="561">
        <v>0</v>
      </c>
      <c r="LK327" s="561">
        <v>0</v>
      </c>
      <c r="LL327" s="561">
        <v>35884</v>
      </c>
      <c r="LM327" s="561">
        <v>9636</v>
      </c>
      <c r="LN327" s="561">
        <v>0</v>
      </c>
      <c r="LO327" s="561">
        <v>0</v>
      </c>
      <c r="LP327" s="561">
        <v>0</v>
      </c>
      <c r="LQ327" s="561">
        <v>0</v>
      </c>
      <c r="LR327" s="561">
        <v>37699</v>
      </c>
      <c r="LS327" s="561">
        <v>9783</v>
      </c>
      <c r="LT327" s="561">
        <v>0</v>
      </c>
      <c r="LU327" s="561">
        <v>7074.53</v>
      </c>
      <c r="LV327" s="561">
        <v>1246.8</v>
      </c>
      <c r="LW327" s="561">
        <v>0</v>
      </c>
      <c r="LX327" s="561">
        <v>0</v>
      </c>
      <c r="LY327" s="561">
        <v>84</v>
      </c>
      <c r="LZ327" s="561">
        <v>8405.33</v>
      </c>
      <c r="MA327" s="561">
        <v>0</v>
      </c>
      <c r="MB327" s="561">
        <v>0</v>
      </c>
      <c r="MC327" s="561">
        <v>0</v>
      </c>
      <c r="MD327" s="561">
        <v>0</v>
      </c>
      <c r="ME327" s="561">
        <v>0</v>
      </c>
      <c r="MF327" s="561">
        <v>0</v>
      </c>
      <c r="MG327" s="561">
        <v>0</v>
      </c>
      <c r="MH327" s="561">
        <v>0</v>
      </c>
      <c r="MI327" s="561">
        <v>0</v>
      </c>
      <c r="MJ327" s="561">
        <v>0</v>
      </c>
      <c r="MK327" s="561">
        <v>0</v>
      </c>
      <c r="ML327" s="561">
        <v>0</v>
      </c>
      <c r="MM327" s="561">
        <v>6525</v>
      </c>
      <c r="MN327" s="561">
        <v>8214</v>
      </c>
      <c r="MO327" s="561">
        <v>8428</v>
      </c>
      <c r="MP327" s="561">
        <v>14532</v>
      </c>
      <c r="MQ327" s="561">
        <v>0</v>
      </c>
      <c r="MR327" s="561">
        <v>0</v>
      </c>
      <c r="MS327" s="561">
        <v>0</v>
      </c>
      <c r="MT327" s="561">
        <v>0</v>
      </c>
      <c r="MU327" s="561">
        <v>0</v>
      </c>
      <c r="MV327" s="561">
        <v>0</v>
      </c>
      <c r="MW327" s="561">
        <v>0</v>
      </c>
      <c r="MX327" s="561">
        <v>0</v>
      </c>
      <c r="MY327" s="561">
        <v>0</v>
      </c>
      <c r="MZ327" s="561">
        <v>268197.09000000003</v>
      </c>
      <c r="NA327" s="561">
        <v>0</v>
      </c>
      <c r="NB327" s="561">
        <v>881.52</v>
      </c>
      <c r="NC327" s="561">
        <v>0</v>
      </c>
      <c r="ND327" s="561">
        <v>269078.61</v>
      </c>
      <c r="NE327" s="561">
        <v>0</v>
      </c>
      <c r="NF327" s="561">
        <v>0</v>
      </c>
      <c r="NG327" s="561">
        <v>0</v>
      </c>
      <c r="NH327" s="561">
        <v>0</v>
      </c>
      <c r="NI327" s="561">
        <v>0</v>
      </c>
      <c r="NJ327" s="561">
        <v>0</v>
      </c>
      <c r="NK327" s="561">
        <v>0</v>
      </c>
      <c r="NL327" s="561">
        <v>0</v>
      </c>
      <c r="NM327" s="561">
        <v>0</v>
      </c>
      <c r="NN327" s="561">
        <v>0</v>
      </c>
      <c r="NO327" s="561">
        <v>0</v>
      </c>
      <c r="NP327" s="561">
        <v>0</v>
      </c>
      <c r="NQ327" s="561">
        <v>0</v>
      </c>
      <c r="NR327" s="561">
        <v>0</v>
      </c>
      <c r="NS327" s="561">
        <v>0</v>
      </c>
      <c r="NT327" s="561">
        <v>0</v>
      </c>
      <c r="NU327" s="561">
        <v>0</v>
      </c>
      <c r="NV327" s="561">
        <v>0</v>
      </c>
      <c r="NW327" s="561">
        <v>0</v>
      </c>
      <c r="NX327" s="561">
        <v>0</v>
      </c>
      <c r="NY327" s="561">
        <v>0</v>
      </c>
      <c r="NZ327" s="561">
        <v>0</v>
      </c>
      <c r="OA327" s="561">
        <v>0</v>
      </c>
      <c r="OB327" s="561">
        <v>0</v>
      </c>
      <c r="OC327" s="561">
        <v>0</v>
      </c>
      <c r="OD327" s="561">
        <v>0</v>
      </c>
      <c r="OE327" s="561">
        <v>0</v>
      </c>
      <c r="OF327" s="561">
        <v>0</v>
      </c>
      <c r="OG327" s="561">
        <v>0</v>
      </c>
      <c r="OH327" s="561">
        <v>0</v>
      </c>
      <c r="OI327" s="561">
        <v>0</v>
      </c>
      <c r="OJ327" s="561">
        <v>0</v>
      </c>
      <c r="OK327" s="561">
        <v>0</v>
      </c>
      <c r="OL327" s="561">
        <v>0</v>
      </c>
      <c r="OM327" s="561">
        <v>0</v>
      </c>
      <c r="ON327" s="561">
        <v>0</v>
      </c>
      <c r="OO327" s="561">
        <v>0</v>
      </c>
      <c r="OP327" s="561">
        <v>0</v>
      </c>
      <c r="OQ327" s="561">
        <v>0</v>
      </c>
      <c r="OR327" s="561">
        <v>0</v>
      </c>
      <c r="OS327" s="561">
        <v>0</v>
      </c>
      <c r="OT327" s="561">
        <v>0</v>
      </c>
      <c r="OU327" s="561">
        <v>0</v>
      </c>
      <c r="OV327" s="561">
        <v>0</v>
      </c>
      <c r="OW327" s="561">
        <v>0</v>
      </c>
      <c r="OX327" s="561">
        <v>0</v>
      </c>
      <c r="OY327" s="561">
        <v>0</v>
      </c>
      <c r="OZ327" s="561">
        <v>0</v>
      </c>
      <c r="PA327" s="561">
        <v>0</v>
      </c>
      <c r="PB327" s="561">
        <v>0</v>
      </c>
      <c r="PC327" s="561">
        <v>0</v>
      </c>
      <c r="PD327" s="561">
        <v>0</v>
      </c>
      <c r="PE327" s="561">
        <v>0</v>
      </c>
      <c r="PF327" s="561">
        <v>0</v>
      </c>
      <c r="PG327" s="561">
        <v>0</v>
      </c>
      <c r="PH327" s="561">
        <v>0</v>
      </c>
      <c r="PI327" s="561">
        <v>0</v>
      </c>
      <c r="PJ327" s="561">
        <v>0</v>
      </c>
    </row>
    <row r="328" spans="1:426" ht="14" x14ac:dyDescent="0.3">
      <c r="A328" t="s">
        <v>3427</v>
      </c>
      <c r="B328" t="s">
        <v>3428</v>
      </c>
      <c r="C328" t="s">
        <v>3429</v>
      </c>
      <c r="E328" t="s">
        <v>384</v>
      </c>
      <c r="F328" s="561">
        <v>0</v>
      </c>
      <c r="G328" s="561">
        <v>0</v>
      </c>
      <c r="H328" s="561">
        <v>0</v>
      </c>
      <c r="I328" s="561">
        <v>0</v>
      </c>
      <c r="J328" s="561">
        <v>0</v>
      </c>
      <c r="K328" s="561">
        <v>0</v>
      </c>
      <c r="L328" s="561">
        <v>0</v>
      </c>
      <c r="M328" s="561">
        <v>0</v>
      </c>
      <c r="N328" s="561">
        <v>0</v>
      </c>
      <c r="O328" s="561">
        <v>0</v>
      </c>
      <c r="P328" s="561">
        <v>0</v>
      </c>
      <c r="Q328" s="561">
        <v>0</v>
      </c>
      <c r="R328" s="561">
        <v>0</v>
      </c>
      <c r="S328" s="561">
        <v>0</v>
      </c>
      <c r="T328" s="561">
        <v>397.93</v>
      </c>
      <c r="U328" s="561">
        <v>0</v>
      </c>
      <c r="V328" s="561">
        <v>30.89</v>
      </c>
      <c r="W328" s="561">
        <v>0</v>
      </c>
      <c r="X328" s="561">
        <v>0</v>
      </c>
      <c r="Y328" s="561">
        <v>0</v>
      </c>
      <c r="Z328" s="561">
        <v>4.6100000000000003</v>
      </c>
      <c r="AA328" s="561">
        <v>-372.11</v>
      </c>
      <c r="AB328" s="561">
        <v>-2507.37</v>
      </c>
      <c r="AC328" s="561">
        <v>1.99</v>
      </c>
      <c r="AD328" s="561">
        <v>0</v>
      </c>
      <c r="AE328" s="561">
        <v>0.33</v>
      </c>
      <c r="AF328" s="561">
        <v>0</v>
      </c>
      <c r="AG328" s="561">
        <v>0</v>
      </c>
      <c r="AH328" s="561">
        <v>0</v>
      </c>
      <c r="AI328" s="561">
        <v>0</v>
      </c>
      <c r="AJ328" s="561">
        <v>-2443.73</v>
      </c>
      <c r="AK328" s="561">
        <v>0</v>
      </c>
      <c r="AL328" s="561">
        <v>0</v>
      </c>
      <c r="AM328" s="561">
        <v>0</v>
      </c>
      <c r="AN328" s="561">
        <v>0</v>
      </c>
      <c r="AO328" s="561">
        <v>0</v>
      </c>
      <c r="AP328" s="561">
        <v>0</v>
      </c>
      <c r="AQ328" s="561">
        <v>0</v>
      </c>
      <c r="AR328" s="561">
        <v>0</v>
      </c>
      <c r="AS328" s="561">
        <v>0</v>
      </c>
      <c r="AT328" s="561">
        <v>1191.1500000000001</v>
      </c>
      <c r="AU328" s="561">
        <v>0</v>
      </c>
      <c r="AV328" s="561">
        <v>0</v>
      </c>
      <c r="AW328" s="561">
        <v>0</v>
      </c>
      <c r="AX328" s="561">
        <v>0</v>
      </c>
      <c r="AY328" s="561">
        <v>0</v>
      </c>
      <c r="AZ328" s="561">
        <v>0</v>
      </c>
      <c r="BA328" s="561">
        <v>0</v>
      </c>
      <c r="BB328" s="561">
        <v>0</v>
      </c>
      <c r="BC328" s="561">
        <v>0</v>
      </c>
      <c r="BD328" s="561">
        <v>0</v>
      </c>
      <c r="BE328" s="561">
        <v>0</v>
      </c>
      <c r="BF328" s="561">
        <v>0</v>
      </c>
      <c r="BG328" s="561">
        <v>0</v>
      </c>
      <c r="BH328" s="561">
        <v>0</v>
      </c>
      <c r="BI328" s="561">
        <v>0</v>
      </c>
      <c r="BJ328" s="561">
        <v>0</v>
      </c>
      <c r="BK328" s="561">
        <v>0</v>
      </c>
      <c r="BL328" s="561">
        <v>0</v>
      </c>
      <c r="BM328" s="561">
        <v>0</v>
      </c>
      <c r="BN328" s="561">
        <v>0</v>
      </c>
      <c r="BO328" s="561">
        <v>0</v>
      </c>
      <c r="BP328" s="561">
        <v>0</v>
      </c>
      <c r="BQ328" s="561">
        <v>0</v>
      </c>
      <c r="BR328" s="561">
        <v>0</v>
      </c>
      <c r="BS328" s="561">
        <v>0</v>
      </c>
      <c r="BT328" s="561">
        <v>0</v>
      </c>
      <c r="BU328" s="561">
        <v>0</v>
      </c>
      <c r="BV328" s="561">
        <v>0</v>
      </c>
      <c r="BW328" s="561">
        <v>0</v>
      </c>
      <c r="BX328" s="561">
        <v>0</v>
      </c>
      <c r="BY328" s="561">
        <v>0</v>
      </c>
      <c r="BZ328" s="561">
        <v>0</v>
      </c>
      <c r="CA328" s="561">
        <v>0</v>
      </c>
      <c r="CB328" s="561">
        <v>0</v>
      </c>
      <c r="CC328" s="561">
        <v>0</v>
      </c>
      <c r="CD328" s="561">
        <v>0</v>
      </c>
      <c r="CE328" s="561">
        <v>0</v>
      </c>
      <c r="CF328" s="561">
        <v>0</v>
      </c>
      <c r="CG328" s="561">
        <v>0</v>
      </c>
      <c r="CH328" s="561">
        <v>0</v>
      </c>
      <c r="CI328" s="561">
        <v>0</v>
      </c>
      <c r="CJ328" s="561">
        <v>0</v>
      </c>
      <c r="CK328" s="561">
        <v>0</v>
      </c>
      <c r="CL328" s="561">
        <v>0</v>
      </c>
      <c r="CM328" s="561">
        <v>0</v>
      </c>
      <c r="CN328" s="561">
        <v>0</v>
      </c>
      <c r="CO328" s="561">
        <v>0</v>
      </c>
      <c r="CP328" s="561">
        <v>0</v>
      </c>
      <c r="CQ328" s="561">
        <v>0</v>
      </c>
      <c r="CR328" s="561">
        <v>0</v>
      </c>
      <c r="CS328" s="561">
        <v>0</v>
      </c>
      <c r="CT328" s="561">
        <v>0</v>
      </c>
      <c r="CU328" s="561">
        <v>0</v>
      </c>
      <c r="CV328" s="561">
        <v>0</v>
      </c>
      <c r="CW328" s="561">
        <v>0</v>
      </c>
      <c r="CX328" s="561">
        <v>0</v>
      </c>
      <c r="CY328" s="561">
        <v>0</v>
      </c>
      <c r="CZ328" s="561">
        <v>0</v>
      </c>
      <c r="DA328" s="561">
        <v>0</v>
      </c>
      <c r="DB328" s="561">
        <v>0</v>
      </c>
      <c r="DC328" s="561">
        <v>0</v>
      </c>
      <c r="DD328" s="561">
        <v>0</v>
      </c>
      <c r="DE328" s="561">
        <v>0</v>
      </c>
      <c r="DF328" s="561">
        <v>0</v>
      </c>
      <c r="DG328" s="561">
        <v>0</v>
      </c>
      <c r="DH328" s="561">
        <v>-278.66000000000003</v>
      </c>
      <c r="DI328" s="561">
        <v>0</v>
      </c>
      <c r="DJ328" s="561">
        <v>0</v>
      </c>
      <c r="DK328" s="561">
        <v>0</v>
      </c>
      <c r="DL328" s="561">
        <v>0</v>
      </c>
      <c r="DM328" s="561">
        <v>0</v>
      </c>
      <c r="DN328" s="561">
        <v>0</v>
      </c>
      <c r="DO328" s="561">
        <v>130.77000000000001</v>
      </c>
      <c r="DP328" s="561">
        <v>0</v>
      </c>
      <c r="DQ328" s="561">
        <v>0</v>
      </c>
      <c r="DR328" s="561">
        <v>908.8</v>
      </c>
      <c r="DS328" s="561">
        <v>822.89</v>
      </c>
      <c r="DT328" s="561">
        <v>324.07</v>
      </c>
      <c r="DU328" s="561">
        <v>2186.5300000000002</v>
      </c>
      <c r="DV328" s="561">
        <v>0</v>
      </c>
      <c r="DW328" s="561">
        <v>0</v>
      </c>
      <c r="DX328" s="561">
        <v>0</v>
      </c>
      <c r="DY328" s="561">
        <v>726.1</v>
      </c>
      <c r="DZ328" s="561">
        <v>-3596.61</v>
      </c>
      <c r="EA328" s="561">
        <v>0</v>
      </c>
      <c r="EB328" s="561">
        <v>0</v>
      </c>
      <c r="EC328" s="561">
        <v>-962.64</v>
      </c>
      <c r="ED328" s="561">
        <v>0</v>
      </c>
      <c r="EE328" s="561">
        <v>48096.92</v>
      </c>
      <c r="EF328" s="561">
        <v>491.62</v>
      </c>
      <c r="EG328" s="561">
        <v>5276.18</v>
      </c>
      <c r="EH328" s="561">
        <v>601.32000000000005</v>
      </c>
      <c r="EI328" s="561">
        <v>0</v>
      </c>
      <c r="EJ328" s="561">
        <v>1024.6600000000001</v>
      </c>
      <c r="EK328" s="561">
        <v>0</v>
      </c>
      <c r="EL328" s="561">
        <v>0</v>
      </c>
      <c r="EM328" s="561">
        <v>0</v>
      </c>
      <c r="EN328" s="561">
        <v>18285.509999999998</v>
      </c>
      <c r="EO328" s="561">
        <v>17294</v>
      </c>
      <c r="EP328" s="561">
        <v>0</v>
      </c>
      <c r="EQ328" s="561">
        <v>378.25</v>
      </c>
      <c r="ER328" s="561">
        <v>8327.11</v>
      </c>
      <c r="ES328" s="561" t="s">
        <v>4565</v>
      </c>
      <c r="ET328" s="561">
        <v>0</v>
      </c>
      <c r="EU328" s="561">
        <v>2837</v>
      </c>
      <c r="EV328" s="561">
        <v>0</v>
      </c>
      <c r="EW328" s="561">
        <v>0</v>
      </c>
      <c r="EX328" s="561">
        <v>13381.75</v>
      </c>
      <c r="EY328" s="561">
        <v>-1899</v>
      </c>
      <c r="EZ328" s="561">
        <v>-3113.92</v>
      </c>
      <c r="FA328" s="561">
        <v>32377</v>
      </c>
      <c r="FB328" s="561">
        <v>0</v>
      </c>
      <c r="FC328" s="561">
        <v>22.84</v>
      </c>
      <c r="FD328" s="561">
        <v>0</v>
      </c>
      <c r="FE328" s="561">
        <v>368.17</v>
      </c>
      <c r="FF328" s="561">
        <v>0</v>
      </c>
      <c r="FG328" s="561">
        <v>178.61</v>
      </c>
      <c r="FH328" s="561">
        <v>0</v>
      </c>
      <c r="FI328" s="561">
        <v>445.73</v>
      </c>
      <c r="FJ328" s="561">
        <v>271.54000000000002</v>
      </c>
      <c r="FK328" s="561">
        <v>2071.6799999999998</v>
      </c>
      <c r="FL328" s="561">
        <v>0.38</v>
      </c>
      <c r="FM328" s="561">
        <v>0</v>
      </c>
      <c r="FN328" s="561">
        <v>0</v>
      </c>
      <c r="FO328" s="561">
        <v>3358.95</v>
      </c>
      <c r="FP328" s="561">
        <v>284</v>
      </c>
      <c r="FQ328" s="561">
        <v>196.05</v>
      </c>
      <c r="FR328" s="561">
        <v>0</v>
      </c>
      <c r="FS328" s="561">
        <v>0</v>
      </c>
      <c r="FT328" s="561">
        <v>147.91999999999999</v>
      </c>
      <c r="FU328" s="561">
        <v>128.97999999999999</v>
      </c>
      <c r="FV328" s="561">
        <v>0</v>
      </c>
      <c r="FW328" s="561">
        <v>70.680000000000007</v>
      </c>
      <c r="FX328" s="561">
        <v>0</v>
      </c>
      <c r="FY328" s="561">
        <v>0</v>
      </c>
      <c r="FZ328" s="561">
        <v>0</v>
      </c>
      <c r="GA328" s="561">
        <v>44.68</v>
      </c>
      <c r="GB328" s="561">
        <v>473.21</v>
      </c>
      <c r="GC328" s="561">
        <v>52.94</v>
      </c>
      <c r="GD328" s="561">
        <v>117.17</v>
      </c>
      <c r="GE328" s="561">
        <v>0</v>
      </c>
      <c r="GF328" s="561">
        <v>206.61</v>
      </c>
      <c r="GG328" s="561">
        <v>0</v>
      </c>
      <c r="GH328" s="561">
        <v>4.05</v>
      </c>
      <c r="GI328" s="561">
        <v>0</v>
      </c>
      <c r="GJ328" s="561">
        <v>0</v>
      </c>
      <c r="GK328" s="561">
        <v>0</v>
      </c>
      <c r="GL328" s="561">
        <v>390.37</v>
      </c>
      <c r="GM328" s="561">
        <v>1589.59</v>
      </c>
      <c r="GN328" s="561">
        <v>-5.94</v>
      </c>
      <c r="GO328" s="561">
        <v>0</v>
      </c>
      <c r="GP328" s="561">
        <v>872.19</v>
      </c>
      <c r="GQ328" s="561">
        <v>0</v>
      </c>
      <c r="GR328" s="561">
        <v>148.58000000000001</v>
      </c>
      <c r="GS328" s="561">
        <v>4437.08</v>
      </c>
      <c r="GT328" s="561">
        <v>613</v>
      </c>
      <c r="GU328" s="561">
        <v>-17.100000000000001</v>
      </c>
      <c r="GV328" s="561">
        <v>82.47</v>
      </c>
      <c r="GW328" s="561">
        <v>0</v>
      </c>
      <c r="GX328" s="561">
        <v>1449.57</v>
      </c>
      <c r="GY328" s="561">
        <v>0</v>
      </c>
      <c r="GZ328" s="561">
        <v>822.73</v>
      </c>
      <c r="HA328" s="561">
        <v>0</v>
      </c>
      <c r="HB328" s="561">
        <v>-1069.28</v>
      </c>
      <c r="HC328" s="561">
        <v>868.32</v>
      </c>
      <c r="HD328" s="561">
        <v>2136.71</v>
      </c>
      <c r="HE328" s="561">
        <v>84</v>
      </c>
      <c r="HF328" s="561">
        <v>9932.74</v>
      </c>
      <c r="HG328" s="561">
        <v>0</v>
      </c>
      <c r="HH328" s="561">
        <v>0</v>
      </c>
      <c r="HI328" s="561">
        <v>0</v>
      </c>
      <c r="HJ328" s="561">
        <v>0</v>
      </c>
      <c r="HK328" s="561">
        <v>0</v>
      </c>
      <c r="HL328" s="561">
        <v>0</v>
      </c>
      <c r="HM328" s="561">
        <v>0</v>
      </c>
      <c r="HN328" s="561">
        <v>0</v>
      </c>
      <c r="HO328" s="561">
        <v>2486.75</v>
      </c>
      <c r="HP328" s="561">
        <v>457.82</v>
      </c>
      <c r="HQ328" s="561">
        <v>0</v>
      </c>
      <c r="HR328" s="561">
        <v>0</v>
      </c>
      <c r="HS328" s="561">
        <v>245.32</v>
      </c>
      <c r="HT328" s="561">
        <v>139.76</v>
      </c>
      <c r="HU328" s="561">
        <v>0</v>
      </c>
      <c r="HV328" s="561">
        <v>0</v>
      </c>
      <c r="HW328" s="561">
        <v>171.07</v>
      </c>
      <c r="HX328" s="561">
        <v>215.59</v>
      </c>
      <c r="HY328" s="561">
        <v>61.66</v>
      </c>
      <c r="HZ328" s="561">
        <v>12.11</v>
      </c>
      <c r="IA328" s="561">
        <v>0</v>
      </c>
      <c r="IB328" s="561">
        <v>374.42</v>
      </c>
      <c r="IC328" s="561">
        <v>0</v>
      </c>
      <c r="ID328" s="561">
        <v>0</v>
      </c>
      <c r="IE328" s="561">
        <v>0</v>
      </c>
      <c r="IF328" s="561">
        <v>0</v>
      </c>
      <c r="IG328" s="561">
        <v>0</v>
      </c>
      <c r="IH328" s="561">
        <v>595.36</v>
      </c>
      <c r="II328" s="561">
        <v>4759.8599999999997</v>
      </c>
      <c r="IJ328" s="561">
        <v>0</v>
      </c>
      <c r="IK328" s="561">
        <v>13254.02</v>
      </c>
      <c r="IL328" s="561">
        <v>5815.27</v>
      </c>
      <c r="IM328" s="561">
        <v>0</v>
      </c>
      <c r="IN328" s="561">
        <v>5464.33</v>
      </c>
      <c r="IO328" s="561">
        <v>2391.98</v>
      </c>
      <c r="IP328" s="561">
        <v>0</v>
      </c>
      <c r="IQ328" s="561">
        <v>1599</v>
      </c>
      <c r="IR328" s="561">
        <v>0</v>
      </c>
      <c r="IS328" s="561">
        <v>-2443.73</v>
      </c>
      <c r="IT328" s="561">
        <v>0</v>
      </c>
      <c r="IU328" s="561">
        <v>0</v>
      </c>
      <c r="IV328" s="561">
        <v>0</v>
      </c>
      <c r="IW328" s="561">
        <v>-962.64</v>
      </c>
      <c r="IX328" s="561">
        <v>3358.95</v>
      </c>
      <c r="IY328" s="561">
        <v>4437.08</v>
      </c>
      <c r="IZ328" s="561">
        <v>2136.71</v>
      </c>
      <c r="JA328" s="561">
        <v>0</v>
      </c>
      <c r="JB328" s="561">
        <v>0</v>
      </c>
      <c r="JC328" s="561">
        <v>4759.8599999999997</v>
      </c>
      <c r="JD328" s="561">
        <v>0</v>
      </c>
      <c r="JE328" s="561">
        <v>11286.23</v>
      </c>
      <c r="JF328" s="561">
        <v>8869.67</v>
      </c>
      <c r="JG328" s="561">
        <v>0</v>
      </c>
      <c r="JH328" s="561">
        <v>11843.2</v>
      </c>
      <c r="JI328" s="561">
        <v>0</v>
      </c>
      <c r="JJ328" s="561">
        <v>0</v>
      </c>
      <c r="JK328" s="561">
        <v>0</v>
      </c>
      <c r="JL328" s="561">
        <v>0</v>
      </c>
      <c r="JM328" s="561">
        <v>0</v>
      </c>
      <c r="JN328" s="561">
        <v>0</v>
      </c>
      <c r="JO328" s="561">
        <v>0</v>
      </c>
      <c r="JP328" s="561">
        <v>196.23</v>
      </c>
      <c r="JQ328" s="561">
        <v>-48.27</v>
      </c>
      <c r="JR328" s="561">
        <v>0</v>
      </c>
      <c r="JS328" s="561">
        <v>-4.6100000000000003</v>
      </c>
      <c r="JT328" s="561">
        <v>0</v>
      </c>
      <c r="JU328" s="561">
        <v>0</v>
      </c>
      <c r="JV328" s="561">
        <v>32142.45</v>
      </c>
      <c r="JW328" s="561">
        <v>0</v>
      </c>
      <c r="JX328" s="561">
        <v>482.32</v>
      </c>
      <c r="JY328" s="561">
        <v>0</v>
      </c>
      <c r="JZ328" s="561">
        <v>0</v>
      </c>
      <c r="KA328" s="561">
        <v>0</v>
      </c>
      <c r="KB328" s="561">
        <v>33.200000000000003</v>
      </c>
      <c r="KC328" s="561">
        <v>453.96</v>
      </c>
      <c r="KD328" s="561">
        <v>0</v>
      </c>
      <c r="KE328" s="561">
        <v>9392</v>
      </c>
      <c r="KF328" s="561">
        <v>-8327</v>
      </c>
      <c r="KG328" s="561">
        <v>34176.93</v>
      </c>
      <c r="KH328" s="561">
        <v>-2460.1799999999998</v>
      </c>
      <c r="KI328" s="561">
        <v>0</v>
      </c>
      <c r="KJ328" s="561">
        <v>0</v>
      </c>
      <c r="KK328" s="561">
        <v>0</v>
      </c>
      <c r="KL328" s="561">
        <v>-20689.59</v>
      </c>
      <c r="KM328" s="561">
        <v>0</v>
      </c>
      <c r="KN328" s="561">
        <v>-93.23</v>
      </c>
      <c r="KO328" s="561">
        <v>0</v>
      </c>
      <c r="KP328" s="561">
        <v>0</v>
      </c>
      <c r="KQ328" s="561">
        <v>0</v>
      </c>
      <c r="KR328" s="561">
        <v>10933.93</v>
      </c>
      <c r="KS328" s="561">
        <v>0</v>
      </c>
      <c r="KT328" s="561">
        <v>-1854.49</v>
      </c>
      <c r="KU328" s="561">
        <v>9079.44</v>
      </c>
      <c r="KV328" s="561">
        <v>0</v>
      </c>
      <c r="KW328" s="561">
        <v>0</v>
      </c>
      <c r="KX328" s="561">
        <v>0</v>
      </c>
      <c r="KY328" s="561">
        <v>0</v>
      </c>
      <c r="KZ328" s="561">
        <v>2272.04</v>
      </c>
      <c r="LA328" s="561">
        <v>1202.5999999999999</v>
      </c>
      <c r="LB328" s="561">
        <v>-109</v>
      </c>
      <c r="LC328" s="561">
        <v>0</v>
      </c>
      <c r="LD328" s="561">
        <v>-5448.08</v>
      </c>
      <c r="LE328" s="561">
        <v>-162</v>
      </c>
      <c r="LF328" s="561">
        <v>3</v>
      </c>
      <c r="LG328" s="561">
        <v>6838</v>
      </c>
      <c r="LH328" s="561">
        <v>0</v>
      </c>
      <c r="LI328" s="561">
        <v>0</v>
      </c>
      <c r="LJ328" s="561">
        <v>0</v>
      </c>
      <c r="LK328" s="561">
        <v>0</v>
      </c>
      <c r="LL328" s="561">
        <v>8758</v>
      </c>
      <c r="LM328" s="561">
        <v>5303</v>
      </c>
      <c r="LN328" s="561">
        <v>0</v>
      </c>
      <c r="LO328" s="561">
        <v>0</v>
      </c>
      <c r="LP328" s="561">
        <v>0</v>
      </c>
      <c r="LQ328" s="561">
        <v>0</v>
      </c>
      <c r="LR328" s="561">
        <v>11030.04</v>
      </c>
      <c r="LS328" s="561">
        <v>6505.6</v>
      </c>
      <c r="LT328" s="561">
        <v>0</v>
      </c>
      <c r="LU328" s="561">
        <v>3556.25</v>
      </c>
      <c r="LV328" s="561">
        <v>0</v>
      </c>
      <c r="LW328" s="561">
        <v>0</v>
      </c>
      <c r="LX328" s="561">
        <v>0</v>
      </c>
      <c r="LY328" s="561">
        <v>0</v>
      </c>
      <c r="LZ328" s="561">
        <v>3556.25</v>
      </c>
      <c r="MA328" s="561">
        <v>0</v>
      </c>
      <c r="MB328" s="561">
        <v>0</v>
      </c>
      <c r="MC328" s="561">
        <v>55490.7</v>
      </c>
      <c r="MD328" s="561">
        <v>58604.62</v>
      </c>
      <c r="ME328" s="561">
        <v>-3113.92</v>
      </c>
      <c r="MF328" s="561">
        <v>32377</v>
      </c>
      <c r="MG328" s="561">
        <v>29263.08</v>
      </c>
      <c r="MH328" s="561">
        <v>2536.5300000000002</v>
      </c>
      <c r="MI328" s="561">
        <v>3796.77</v>
      </c>
      <c r="MJ328" s="561">
        <v>6333.3</v>
      </c>
      <c r="MK328" s="561">
        <v>0</v>
      </c>
      <c r="ML328" s="561">
        <v>987.83</v>
      </c>
      <c r="MM328" s="561">
        <v>9222.66</v>
      </c>
      <c r="MN328" s="561">
        <v>61.55</v>
      </c>
      <c r="MO328" s="561">
        <v>758</v>
      </c>
      <c r="MP328" s="561">
        <v>0</v>
      </c>
      <c r="MQ328" s="561">
        <v>0</v>
      </c>
      <c r="MR328" s="561">
        <v>-2443.73</v>
      </c>
      <c r="MS328" s="561">
        <v>0</v>
      </c>
      <c r="MT328" s="561">
        <v>0</v>
      </c>
      <c r="MU328" s="561">
        <v>0</v>
      </c>
      <c r="MV328" s="561">
        <v>-962.64</v>
      </c>
      <c r="MW328" s="561">
        <v>3358.95</v>
      </c>
      <c r="MX328" s="561">
        <v>4437.08</v>
      </c>
      <c r="MY328" s="561">
        <v>2136.71</v>
      </c>
      <c r="MZ328" s="561">
        <v>0</v>
      </c>
      <c r="NA328" s="561">
        <v>0</v>
      </c>
      <c r="NB328" s="561">
        <v>4759.8599999999997</v>
      </c>
      <c r="NC328" s="561">
        <v>0</v>
      </c>
      <c r="ND328" s="561">
        <v>11286.23</v>
      </c>
      <c r="NE328" s="561">
        <v>0</v>
      </c>
      <c r="NF328" s="561">
        <v>0</v>
      </c>
      <c r="NG328" s="561">
        <v>0</v>
      </c>
      <c r="NH328" s="561">
        <v>0</v>
      </c>
      <c r="NI328" s="561">
        <v>0</v>
      </c>
      <c r="NJ328" s="561">
        <v>0</v>
      </c>
      <c r="NK328" s="561">
        <v>0</v>
      </c>
      <c r="NL328" s="561">
        <v>0</v>
      </c>
      <c r="NM328" s="561">
        <v>0</v>
      </c>
      <c r="NN328" s="561">
        <v>0</v>
      </c>
      <c r="NO328" s="561">
        <v>0</v>
      </c>
      <c r="NP328" s="561">
        <v>0</v>
      </c>
      <c r="NQ328" s="561">
        <v>0</v>
      </c>
      <c r="NR328" s="561">
        <v>0</v>
      </c>
      <c r="NS328" s="561">
        <v>0</v>
      </c>
      <c r="NT328" s="561">
        <v>0</v>
      </c>
      <c r="NU328" s="561">
        <v>0</v>
      </c>
      <c r="NV328" s="561">
        <v>196.23</v>
      </c>
      <c r="NW328" s="561">
        <v>196.23</v>
      </c>
      <c r="NX328" s="561">
        <v>0</v>
      </c>
      <c r="NY328" s="561">
        <v>196.23</v>
      </c>
      <c r="NZ328" s="561">
        <v>0</v>
      </c>
      <c r="OA328" s="561">
        <v>0</v>
      </c>
      <c r="OB328" s="561">
        <v>0</v>
      </c>
      <c r="OC328" s="561">
        <v>0</v>
      </c>
      <c r="OD328" s="561">
        <v>0</v>
      </c>
      <c r="OE328" s="561">
        <v>0</v>
      </c>
      <c r="OF328" s="561">
        <v>0</v>
      </c>
      <c r="OG328" s="561">
        <v>0</v>
      </c>
      <c r="OH328" s="561">
        <v>-5.08</v>
      </c>
      <c r="OI328" s="561">
        <v>0</v>
      </c>
      <c r="OJ328" s="561">
        <v>0</v>
      </c>
      <c r="OK328" s="561">
        <v>0</v>
      </c>
      <c r="OL328" s="561">
        <v>0</v>
      </c>
      <c r="OM328" s="561">
        <v>0</v>
      </c>
      <c r="ON328" s="561">
        <v>0</v>
      </c>
      <c r="OO328" s="561">
        <v>-47.8</v>
      </c>
      <c r="OP328" s="561">
        <v>0</v>
      </c>
      <c r="OQ328" s="561">
        <v>0</v>
      </c>
      <c r="OR328" s="561">
        <v>0</v>
      </c>
      <c r="OS328" s="561">
        <v>0</v>
      </c>
      <c r="OT328" s="561">
        <v>0</v>
      </c>
      <c r="OU328" s="561">
        <v>0</v>
      </c>
      <c r="OV328" s="561">
        <v>0</v>
      </c>
      <c r="OW328" s="561">
        <v>4.6100000000000003</v>
      </c>
      <c r="OX328" s="561">
        <v>-48.27</v>
      </c>
      <c r="OY328" s="561">
        <v>0</v>
      </c>
      <c r="OZ328" s="561">
        <v>0</v>
      </c>
      <c r="PA328" s="561">
        <v>0</v>
      </c>
      <c r="PB328" s="561">
        <v>0</v>
      </c>
      <c r="PC328" s="561">
        <v>0</v>
      </c>
      <c r="PD328" s="561">
        <v>0</v>
      </c>
      <c r="PE328" s="561">
        <v>4.6100000000000003</v>
      </c>
      <c r="PF328" s="561">
        <v>0</v>
      </c>
      <c r="PG328" s="561">
        <v>0</v>
      </c>
      <c r="PH328" s="561">
        <v>0</v>
      </c>
      <c r="PI328" s="561">
        <v>0</v>
      </c>
      <c r="PJ328" s="561">
        <v>4.6100000000000003</v>
      </c>
    </row>
    <row r="329" spans="1:426" ht="14" x14ac:dyDescent="0.3">
      <c r="A329" t="s">
        <v>3430</v>
      </c>
      <c r="B329" t="s">
        <v>3431</v>
      </c>
      <c r="C329" t="s">
        <v>4666</v>
      </c>
      <c r="E329" t="s">
        <v>379</v>
      </c>
      <c r="F329" s="561">
        <v>46326</v>
      </c>
      <c r="G329" s="561">
        <v>119662</v>
      </c>
      <c r="H329" s="561">
        <v>45891</v>
      </c>
      <c r="I329" s="561">
        <v>46375</v>
      </c>
      <c r="J329" s="561">
        <v>7300</v>
      </c>
      <c r="K329" s="561">
        <v>21492</v>
      </c>
      <c r="L329" s="561">
        <v>287046</v>
      </c>
      <c r="M329" s="561">
        <v>5104</v>
      </c>
      <c r="N329" s="561">
        <v>509</v>
      </c>
      <c r="O329" s="561">
        <v>12</v>
      </c>
      <c r="P329" s="561">
        <v>4153</v>
      </c>
      <c r="Q329" s="561">
        <v>222</v>
      </c>
      <c r="R329" s="561">
        <v>22</v>
      </c>
      <c r="S329" s="561">
        <v>285</v>
      </c>
      <c r="T329" s="561">
        <v>1649</v>
      </c>
      <c r="U329" s="561">
        <v>665</v>
      </c>
      <c r="V329" s="561">
        <v>2828</v>
      </c>
      <c r="W329" s="561">
        <v>0</v>
      </c>
      <c r="X329" s="561">
        <v>0</v>
      </c>
      <c r="Y329" s="561">
        <v>2268</v>
      </c>
      <c r="Z329" s="561">
        <v>-166</v>
      </c>
      <c r="AA329" s="561">
        <v>-355</v>
      </c>
      <c r="AB329" s="561">
        <v>-1959</v>
      </c>
      <c r="AC329" s="561">
        <v>0</v>
      </c>
      <c r="AD329" s="561">
        <v>0</v>
      </c>
      <c r="AE329" s="561">
        <v>0</v>
      </c>
      <c r="AF329" s="561">
        <v>0</v>
      </c>
      <c r="AG329" s="561">
        <v>0</v>
      </c>
      <c r="AH329" s="561">
        <v>0</v>
      </c>
      <c r="AI329" s="561">
        <v>0</v>
      </c>
      <c r="AJ329" s="561">
        <v>10133</v>
      </c>
      <c r="AK329" s="561">
        <v>0</v>
      </c>
      <c r="AL329" s="561">
        <v>0</v>
      </c>
      <c r="AM329" s="561">
        <v>0</v>
      </c>
      <c r="AN329" s="561">
        <v>0</v>
      </c>
      <c r="AO329" s="561">
        <v>0</v>
      </c>
      <c r="AP329" s="561">
        <v>0</v>
      </c>
      <c r="AQ329" s="561">
        <v>0</v>
      </c>
      <c r="AR329" s="561">
        <v>0</v>
      </c>
      <c r="AS329" s="561">
        <v>1235</v>
      </c>
      <c r="AT329" s="561">
        <v>0</v>
      </c>
      <c r="AU329" s="561">
        <v>0</v>
      </c>
      <c r="AV329" s="561">
        <v>0</v>
      </c>
      <c r="AW329" s="561">
        <v>0</v>
      </c>
      <c r="AX329" s="561">
        <v>1046</v>
      </c>
      <c r="AY329" s="561">
        <v>38849.980000000003</v>
      </c>
      <c r="AZ329" s="561">
        <v>0</v>
      </c>
      <c r="BA329" s="561">
        <v>7420</v>
      </c>
      <c r="BB329" s="561">
        <v>3738</v>
      </c>
      <c r="BC329" s="561">
        <v>21480</v>
      </c>
      <c r="BD329" s="561">
        <v>0</v>
      </c>
      <c r="BE329" s="561">
        <v>2797</v>
      </c>
      <c r="BF329" s="561">
        <v>75330.98</v>
      </c>
      <c r="BG329" s="561">
        <v>0</v>
      </c>
      <c r="BH329" s="561">
        <v>10356</v>
      </c>
      <c r="BI329" s="561">
        <v>35336</v>
      </c>
      <c r="BJ329" s="561">
        <v>301</v>
      </c>
      <c r="BK329" s="561">
        <v>437</v>
      </c>
      <c r="BL329" s="561">
        <v>634</v>
      </c>
      <c r="BM329" s="561">
        <v>8099</v>
      </c>
      <c r="BN329" s="561">
        <v>44074</v>
      </c>
      <c r="BO329" s="561">
        <v>4193</v>
      </c>
      <c r="BP329" s="561">
        <v>7749</v>
      </c>
      <c r="BQ329" s="561">
        <v>3124</v>
      </c>
      <c r="BR329" s="561">
        <v>55</v>
      </c>
      <c r="BS329" s="561">
        <v>1104</v>
      </c>
      <c r="BT329" s="561">
        <v>3161</v>
      </c>
      <c r="BU329" s="561">
        <v>8</v>
      </c>
      <c r="BV329" s="561">
        <v>239</v>
      </c>
      <c r="BW329" s="561">
        <v>19204</v>
      </c>
      <c r="BX329" s="561">
        <v>425</v>
      </c>
      <c r="BY329" s="561">
        <v>2575</v>
      </c>
      <c r="BZ329" s="561">
        <v>141074</v>
      </c>
      <c r="CA329" s="561">
        <v>970</v>
      </c>
      <c r="CB329" s="561">
        <v>965.25</v>
      </c>
      <c r="CC329" s="561">
        <v>1211.47</v>
      </c>
      <c r="CD329" s="561">
        <v>69.989999999999995</v>
      </c>
      <c r="CE329" s="561">
        <v>284.62</v>
      </c>
      <c r="CF329" s="561">
        <v>372.71</v>
      </c>
      <c r="CG329" s="561">
        <v>50</v>
      </c>
      <c r="CH329" s="561">
        <v>110.68</v>
      </c>
      <c r="CI329" s="561">
        <v>97.07</v>
      </c>
      <c r="CJ329" s="561">
        <v>69.2</v>
      </c>
      <c r="CK329" s="561">
        <v>342.72</v>
      </c>
      <c r="CL329" s="561">
        <v>114.64</v>
      </c>
      <c r="CM329" s="561">
        <v>1145.79</v>
      </c>
      <c r="CN329" s="561">
        <v>1216.8900000000001</v>
      </c>
      <c r="CO329" s="561">
        <v>1164.42</v>
      </c>
      <c r="CP329" s="561">
        <v>1150.32</v>
      </c>
      <c r="CQ329" s="561">
        <v>527.30999999999995</v>
      </c>
      <c r="CR329" s="561">
        <v>528.52</v>
      </c>
      <c r="CS329" s="561">
        <v>94.87</v>
      </c>
      <c r="CT329" s="561">
        <v>1071.78</v>
      </c>
      <c r="CU329" s="561">
        <v>6061.49</v>
      </c>
      <c r="CV329" s="561">
        <v>33.81</v>
      </c>
      <c r="CW329" s="561">
        <v>35.01</v>
      </c>
      <c r="CX329" s="561">
        <v>4957.28</v>
      </c>
      <c r="CY329" s="561">
        <v>965.11</v>
      </c>
      <c r="CZ329" s="561">
        <v>22640.95</v>
      </c>
      <c r="DA329" s="561">
        <v>0</v>
      </c>
      <c r="DB329" s="561">
        <v>388</v>
      </c>
      <c r="DC329" s="561">
        <v>0</v>
      </c>
      <c r="DD329" s="561">
        <v>34</v>
      </c>
      <c r="DE329" s="561">
        <v>0</v>
      </c>
      <c r="DF329" s="561">
        <v>0</v>
      </c>
      <c r="DG329" s="561">
        <v>0</v>
      </c>
      <c r="DH329" s="561">
        <v>357</v>
      </c>
      <c r="DI329" s="561">
        <v>0</v>
      </c>
      <c r="DJ329" s="561">
        <v>0</v>
      </c>
      <c r="DK329" s="561">
        <v>-1</v>
      </c>
      <c r="DL329" s="561">
        <v>0</v>
      </c>
      <c r="DM329" s="561">
        <v>0</v>
      </c>
      <c r="DN329" s="561">
        <v>0</v>
      </c>
      <c r="DO329" s="561">
        <v>0</v>
      </c>
      <c r="DP329" s="561">
        <v>0</v>
      </c>
      <c r="DQ329" s="561">
        <v>0</v>
      </c>
      <c r="DR329" s="561">
        <v>0</v>
      </c>
      <c r="DS329" s="561">
        <v>2296</v>
      </c>
      <c r="DT329" s="561">
        <v>0</v>
      </c>
      <c r="DU329" s="561">
        <v>2296</v>
      </c>
      <c r="DV329" s="561">
        <v>150</v>
      </c>
      <c r="DW329" s="561">
        <v>0</v>
      </c>
      <c r="DX329" s="561">
        <v>152</v>
      </c>
      <c r="DY329" s="561">
        <v>1136</v>
      </c>
      <c r="DZ329" s="561">
        <v>0</v>
      </c>
      <c r="EA329" s="561">
        <v>111</v>
      </c>
      <c r="EB329" s="561">
        <v>0</v>
      </c>
      <c r="EC329" s="561">
        <v>4201</v>
      </c>
      <c r="ED329" s="561">
        <v>0</v>
      </c>
      <c r="EE329" s="561">
        <v>52485</v>
      </c>
      <c r="EF329" s="561">
        <v>300</v>
      </c>
      <c r="EG329" s="561">
        <v>5590</v>
      </c>
      <c r="EH329" s="561">
        <v>1959</v>
      </c>
      <c r="EI329" s="561">
        <v>0</v>
      </c>
      <c r="EJ329" s="561">
        <v>60</v>
      </c>
      <c r="EK329" s="561">
        <v>0</v>
      </c>
      <c r="EL329" s="561">
        <v>0</v>
      </c>
      <c r="EM329" s="561">
        <v>0</v>
      </c>
      <c r="EN329" s="561">
        <v>18666</v>
      </c>
      <c r="EO329" s="561">
        <v>13940</v>
      </c>
      <c r="EP329" s="561">
        <v>5911</v>
      </c>
      <c r="EQ329" s="561">
        <v>397</v>
      </c>
      <c r="ER329" s="561">
        <v>6252</v>
      </c>
      <c r="ES329" s="561" t="s">
        <v>4565</v>
      </c>
      <c r="ET329" s="561">
        <v>13750</v>
      </c>
      <c r="EU329" s="561">
        <v>1097</v>
      </c>
      <c r="EV329" s="561">
        <v>58</v>
      </c>
      <c r="EW329" s="561">
        <v>0</v>
      </c>
      <c r="EX329" s="561">
        <v>0</v>
      </c>
      <c r="EY329" s="561">
        <v>323</v>
      </c>
      <c r="EZ329" s="561">
        <v>0</v>
      </c>
      <c r="FA329" s="561">
        <v>2711</v>
      </c>
      <c r="FB329" s="561">
        <v>0</v>
      </c>
      <c r="FC329" s="561">
        <v>9</v>
      </c>
      <c r="FD329" s="561">
        <v>21</v>
      </c>
      <c r="FE329" s="561">
        <v>1858</v>
      </c>
      <c r="FF329" s="561">
        <v>22</v>
      </c>
      <c r="FG329" s="561">
        <v>432</v>
      </c>
      <c r="FH329" s="561">
        <v>0</v>
      </c>
      <c r="FI329" s="561">
        <v>0</v>
      </c>
      <c r="FJ329" s="561">
        <v>1264</v>
      </c>
      <c r="FK329" s="561">
        <v>5908</v>
      </c>
      <c r="FL329" s="561">
        <v>22</v>
      </c>
      <c r="FM329" s="561">
        <v>109</v>
      </c>
      <c r="FN329" s="561">
        <v>4168</v>
      </c>
      <c r="FO329" s="561">
        <v>13813</v>
      </c>
      <c r="FP329" s="561">
        <v>0</v>
      </c>
      <c r="FQ329" s="561">
        <v>-822</v>
      </c>
      <c r="FR329" s="561">
        <v>250</v>
      </c>
      <c r="FS329" s="561">
        <v>31</v>
      </c>
      <c r="FT329" s="561">
        <v>476</v>
      </c>
      <c r="FU329" s="561">
        <v>118</v>
      </c>
      <c r="FV329" s="561">
        <v>424</v>
      </c>
      <c r="FW329" s="561">
        <v>163</v>
      </c>
      <c r="FX329" s="561">
        <v>0</v>
      </c>
      <c r="FY329" s="561">
        <v>0</v>
      </c>
      <c r="FZ329" s="561">
        <v>105</v>
      </c>
      <c r="GA329" s="561">
        <v>30</v>
      </c>
      <c r="GB329" s="561">
        <v>64</v>
      </c>
      <c r="GC329" s="561">
        <v>-155</v>
      </c>
      <c r="GD329" s="561">
        <v>7</v>
      </c>
      <c r="GE329" s="561">
        <v>1186</v>
      </c>
      <c r="GF329" s="561">
        <v>817</v>
      </c>
      <c r="GG329" s="561">
        <v>3</v>
      </c>
      <c r="GH329" s="561">
        <v>0</v>
      </c>
      <c r="GI329" s="561">
        <v>0</v>
      </c>
      <c r="GJ329" s="561">
        <v>0</v>
      </c>
      <c r="GK329" s="561">
        <v>0</v>
      </c>
      <c r="GL329" s="561">
        <v>3551</v>
      </c>
      <c r="GM329" s="561">
        <v>166</v>
      </c>
      <c r="GN329" s="561">
        <v>3975</v>
      </c>
      <c r="GO329" s="561">
        <v>0</v>
      </c>
      <c r="GP329" s="561">
        <v>6724</v>
      </c>
      <c r="GQ329" s="561">
        <v>0</v>
      </c>
      <c r="GR329" s="561">
        <v>325</v>
      </c>
      <c r="GS329" s="561">
        <v>17438</v>
      </c>
      <c r="GT329" s="561">
        <v>0</v>
      </c>
      <c r="GU329" s="561">
        <v>59</v>
      </c>
      <c r="GV329" s="561">
        <v>960</v>
      </c>
      <c r="GW329" s="561">
        <v>200</v>
      </c>
      <c r="GX329" s="561">
        <v>689</v>
      </c>
      <c r="GY329" s="561">
        <v>0</v>
      </c>
      <c r="GZ329" s="561">
        <v>2896</v>
      </c>
      <c r="HA329" s="561">
        <v>0</v>
      </c>
      <c r="HB329" s="561">
        <v>0</v>
      </c>
      <c r="HC329" s="561">
        <v>2048</v>
      </c>
      <c r="HD329" s="561">
        <v>6852</v>
      </c>
      <c r="HE329" s="561">
        <v>0</v>
      </c>
      <c r="HF329" s="561">
        <v>38103</v>
      </c>
      <c r="HG329" s="561">
        <v>0</v>
      </c>
      <c r="HH329" s="561">
        <v>0</v>
      </c>
      <c r="HI329" s="561">
        <v>0</v>
      </c>
      <c r="HJ329" s="561">
        <v>0</v>
      </c>
      <c r="HK329" s="561">
        <v>0</v>
      </c>
      <c r="HL329" s="561">
        <v>0</v>
      </c>
      <c r="HM329" s="561">
        <v>0</v>
      </c>
      <c r="HN329" s="561">
        <v>0</v>
      </c>
      <c r="HO329" s="561">
        <v>3301</v>
      </c>
      <c r="HP329" s="561">
        <v>545.67999999999995</v>
      </c>
      <c r="HQ329" s="561">
        <v>0</v>
      </c>
      <c r="HR329" s="561">
        <v>0</v>
      </c>
      <c r="HS329" s="561">
        <v>807.69</v>
      </c>
      <c r="HT329" s="561">
        <v>166.33</v>
      </c>
      <c r="HU329" s="561">
        <v>0</v>
      </c>
      <c r="HV329" s="561">
        <v>-36</v>
      </c>
      <c r="HW329" s="561">
        <v>416</v>
      </c>
      <c r="HX329" s="561">
        <v>1028</v>
      </c>
      <c r="HY329" s="561">
        <v>73</v>
      </c>
      <c r="HZ329" s="561">
        <v>-134</v>
      </c>
      <c r="IA329" s="561">
        <v>4717</v>
      </c>
      <c r="IB329" s="561">
        <v>0</v>
      </c>
      <c r="IC329" s="561">
        <v>-81</v>
      </c>
      <c r="ID329" s="561">
        <v>-100</v>
      </c>
      <c r="IE329" s="561">
        <v>734</v>
      </c>
      <c r="IF329" s="561">
        <v>0</v>
      </c>
      <c r="IG329" s="561">
        <v>0</v>
      </c>
      <c r="IH329" s="561">
        <v>58</v>
      </c>
      <c r="II329" s="561">
        <v>11495.7</v>
      </c>
      <c r="IJ329" s="561">
        <v>154</v>
      </c>
      <c r="IK329" s="561">
        <v>785</v>
      </c>
      <c r="IL329" s="561">
        <v>41264</v>
      </c>
      <c r="IM329" s="561">
        <v>0</v>
      </c>
      <c r="IN329" s="561">
        <v>1323</v>
      </c>
      <c r="IO329" s="561">
        <v>872</v>
      </c>
      <c r="IP329" s="561">
        <v>0</v>
      </c>
      <c r="IQ329" s="561">
        <v>0</v>
      </c>
      <c r="IR329" s="561">
        <v>287046</v>
      </c>
      <c r="IS329" s="561">
        <v>10133</v>
      </c>
      <c r="IT329" s="561">
        <v>75330.98</v>
      </c>
      <c r="IU329" s="561">
        <v>141074</v>
      </c>
      <c r="IV329" s="561">
        <v>22640.95</v>
      </c>
      <c r="IW329" s="561">
        <v>4201</v>
      </c>
      <c r="IX329" s="561">
        <v>13813</v>
      </c>
      <c r="IY329" s="561">
        <v>17438</v>
      </c>
      <c r="IZ329" s="561">
        <v>6852</v>
      </c>
      <c r="JA329" s="561">
        <v>0</v>
      </c>
      <c r="JB329" s="561">
        <v>0</v>
      </c>
      <c r="JC329" s="561">
        <v>11495.7</v>
      </c>
      <c r="JD329" s="561">
        <v>0</v>
      </c>
      <c r="JE329" s="561">
        <v>590024.63</v>
      </c>
      <c r="JF329" s="561">
        <v>26487</v>
      </c>
      <c r="JG329" s="561">
        <v>1464</v>
      </c>
      <c r="JH329" s="561">
        <v>17168</v>
      </c>
      <c r="JI329" s="561">
        <v>0</v>
      </c>
      <c r="JJ329" s="561">
        <v>0</v>
      </c>
      <c r="JK329" s="561">
        <v>0</v>
      </c>
      <c r="JL329" s="561">
        <v>21038</v>
      </c>
      <c r="JM329" s="561">
        <v>15048</v>
      </c>
      <c r="JN329" s="561">
        <v>0</v>
      </c>
      <c r="JO329" s="561">
        <v>992</v>
      </c>
      <c r="JP329" s="561">
        <v>-5136</v>
      </c>
      <c r="JQ329" s="561">
        <v>0</v>
      </c>
      <c r="JR329" s="561">
        <v>0</v>
      </c>
      <c r="JS329" s="561">
        <v>0</v>
      </c>
      <c r="JT329" s="561">
        <v>0</v>
      </c>
      <c r="JU329" s="561">
        <v>0</v>
      </c>
      <c r="JV329" s="561">
        <v>667085.63</v>
      </c>
      <c r="JW329" s="561">
        <v>196</v>
      </c>
      <c r="JX329" s="561">
        <v>442</v>
      </c>
      <c r="JY329" s="561">
        <v>0</v>
      </c>
      <c r="JZ329" s="561">
        <v>0</v>
      </c>
      <c r="KA329" s="561">
        <v>0</v>
      </c>
      <c r="KB329" s="561">
        <v>-707</v>
      </c>
      <c r="KC329" s="561">
        <v>18036</v>
      </c>
      <c r="KD329" s="561">
        <v>194</v>
      </c>
      <c r="KE329" s="561">
        <v>23174</v>
      </c>
      <c r="KF329" s="561">
        <v>0</v>
      </c>
      <c r="KG329" s="561">
        <v>708420.63</v>
      </c>
      <c r="KH329" s="561">
        <v>-11946</v>
      </c>
      <c r="KI329" s="561">
        <v>0</v>
      </c>
      <c r="KJ329" s="561">
        <v>17</v>
      </c>
      <c r="KK329" s="561">
        <v>0</v>
      </c>
      <c r="KL329" s="561">
        <v>-49934</v>
      </c>
      <c r="KM329" s="561">
        <v>0</v>
      </c>
      <c r="KN329" s="561">
        <v>0</v>
      </c>
      <c r="KO329" s="561">
        <v>0</v>
      </c>
      <c r="KP329" s="561">
        <v>0</v>
      </c>
      <c r="KQ329" s="561">
        <v>-19279</v>
      </c>
      <c r="KR329" s="561">
        <v>627278.63</v>
      </c>
      <c r="KS329" s="561">
        <v>0</v>
      </c>
      <c r="KT329" s="561">
        <v>-317036</v>
      </c>
      <c r="KU329" s="561">
        <v>310242.63</v>
      </c>
      <c r="KV329" s="561">
        <v>0</v>
      </c>
      <c r="KW329" s="561">
        <v>-1380</v>
      </c>
      <c r="KX329" s="561">
        <v>0</v>
      </c>
      <c r="KY329" s="561">
        <v>-453</v>
      </c>
      <c r="KZ329" s="561">
        <v>-8403</v>
      </c>
      <c r="LA329" s="561">
        <v>608</v>
      </c>
      <c r="LB329" s="561">
        <v>0</v>
      </c>
      <c r="LC329" s="561">
        <v>0</v>
      </c>
      <c r="LD329" s="561">
        <v>-97250</v>
      </c>
      <c r="LE329" s="561">
        <v>-8797</v>
      </c>
      <c r="LF329" s="561">
        <v>0</v>
      </c>
      <c r="LG329" s="561">
        <v>194568</v>
      </c>
      <c r="LH329" s="561">
        <v>13720</v>
      </c>
      <c r="LI329" s="561">
        <v>-23816</v>
      </c>
      <c r="LJ329" s="561">
        <v>0</v>
      </c>
      <c r="LK329" s="561">
        <v>1747</v>
      </c>
      <c r="LL329" s="561">
        <v>80837</v>
      </c>
      <c r="LM329" s="561">
        <v>14515</v>
      </c>
      <c r="LN329" s="561">
        <v>12340</v>
      </c>
      <c r="LO329" s="561">
        <v>-43095</v>
      </c>
      <c r="LP329" s="561">
        <v>0</v>
      </c>
      <c r="LQ329" s="561">
        <v>1294</v>
      </c>
      <c r="LR329" s="561">
        <v>72434</v>
      </c>
      <c r="LS329" s="561">
        <v>15123</v>
      </c>
      <c r="LT329" s="561">
        <v>0</v>
      </c>
      <c r="LU329" s="561">
        <v>34652</v>
      </c>
      <c r="LV329" s="561">
        <v>0</v>
      </c>
      <c r="LW329" s="561">
        <v>-1038</v>
      </c>
      <c r="LX329" s="561">
        <v>-64060</v>
      </c>
      <c r="LY329" s="561">
        <v>8687</v>
      </c>
      <c r="LZ329" s="561">
        <v>-40372</v>
      </c>
      <c r="MA329" s="561">
        <v>0</v>
      </c>
      <c r="MB329" s="561">
        <v>0</v>
      </c>
      <c r="MC329" s="561">
        <v>60394</v>
      </c>
      <c r="MD329" s="561">
        <v>60394</v>
      </c>
      <c r="ME329" s="561">
        <v>0</v>
      </c>
      <c r="MF329" s="561">
        <v>2711</v>
      </c>
      <c r="MG329" s="561">
        <v>2711</v>
      </c>
      <c r="MH329" s="561">
        <v>8754</v>
      </c>
      <c r="MI329" s="561">
        <v>14684</v>
      </c>
      <c r="MJ329" s="561">
        <v>23438</v>
      </c>
      <c r="MK329" s="561">
        <v>0</v>
      </c>
      <c r="ML329" s="561">
        <v>930</v>
      </c>
      <c r="MM329" s="561">
        <v>31428</v>
      </c>
      <c r="MN329" s="561">
        <v>16865</v>
      </c>
      <c r="MO329" s="561">
        <v>22211</v>
      </c>
      <c r="MP329" s="561">
        <v>1000</v>
      </c>
      <c r="MQ329" s="561">
        <v>287046</v>
      </c>
      <c r="MR329" s="561">
        <v>10133</v>
      </c>
      <c r="MS329" s="561">
        <v>75330.98</v>
      </c>
      <c r="MT329" s="561">
        <v>141074</v>
      </c>
      <c r="MU329" s="561">
        <v>22640.95</v>
      </c>
      <c r="MV329" s="561">
        <v>4201</v>
      </c>
      <c r="MW329" s="561">
        <v>13813</v>
      </c>
      <c r="MX329" s="561">
        <v>17438</v>
      </c>
      <c r="MY329" s="561">
        <v>6852</v>
      </c>
      <c r="MZ329" s="561">
        <v>0</v>
      </c>
      <c r="NA329" s="561">
        <v>0</v>
      </c>
      <c r="NB329" s="561">
        <v>11495.7</v>
      </c>
      <c r="NC329" s="561">
        <v>0</v>
      </c>
      <c r="ND329" s="561">
        <v>590024.63</v>
      </c>
      <c r="NE329" s="561">
        <v>0</v>
      </c>
      <c r="NF329" s="561">
        <v>0</v>
      </c>
      <c r="NG329" s="561">
        <v>0</v>
      </c>
      <c r="NH329" s="561">
        <v>0</v>
      </c>
      <c r="NI329" s="561">
        <v>0</v>
      </c>
      <c r="NJ329" s="561">
        <v>0</v>
      </c>
      <c r="NK329" s="561">
        <v>0</v>
      </c>
      <c r="NL329" s="561">
        <v>0</v>
      </c>
      <c r="NM329" s="561">
        <v>0</v>
      </c>
      <c r="NN329" s="561">
        <v>0</v>
      </c>
      <c r="NO329" s="561">
        <v>0</v>
      </c>
      <c r="NP329" s="561">
        <v>0</v>
      </c>
      <c r="NQ329" s="561">
        <v>0</v>
      </c>
      <c r="NR329" s="561">
        <v>149</v>
      </c>
      <c r="NS329" s="561">
        <v>0</v>
      </c>
      <c r="NT329" s="561">
        <v>0</v>
      </c>
      <c r="NU329" s="561">
        <v>0</v>
      </c>
      <c r="NV329" s="561">
        <v>0</v>
      </c>
      <c r="NW329" s="561">
        <v>-5136</v>
      </c>
      <c r="NX329" s="561">
        <v>0</v>
      </c>
      <c r="NY329" s="561">
        <v>-5136</v>
      </c>
      <c r="NZ329" s="561">
        <v>0</v>
      </c>
      <c r="OA329" s="561">
        <v>0</v>
      </c>
      <c r="OB329" s="561">
        <v>0</v>
      </c>
      <c r="OC329" s="561">
        <v>0</v>
      </c>
      <c r="OD329" s="561">
        <v>0</v>
      </c>
      <c r="OE329" s="561">
        <v>0</v>
      </c>
      <c r="OF329" s="561">
        <v>0</v>
      </c>
      <c r="OG329" s="561">
        <v>0</v>
      </c>
      <c r="OH329" s="561">
        <v>0</v>
      </c>
      <c r="OI329" s="561">
        <v>0</v>
      </c>
      <c r="OJ329" s="561">
        <v>0</v>
      </c>
      <c r="OK329" s="561">
        <v>0</v>
      </c>
      <c r="OL329" s="561">
        <v>0</v>
      </c>
      <c r="OM329" s="561">
        <v>0</v>
      </c>
      <c r="ON329" s="561">
        <v>0</v>
      </c>
      <c r="OO329" s="561">
        <v>0</v>
      </c>
      <c r="OP329" s="561">
        <v>0</v>
      </c>
      <c r="OQ329" s="561">
        <v>0</v>
      </c>
      <c r="OR329" s="561">
        <v>0</v>
      </c>
      <c r="OS329" s="561">
        <v>0</v>
      </c>
      <c r="OT329" s="561">
        <v>0</v>
      </c>
      <c r="OU329" s="561">
        <v>0</v>
      </c>
      <c r="OV329" s="561">
        <v>-4.49</v>
      </c>
      <c r="OW329" s="561">
        <v>0</v>
      </c>
      <c r="OX329" s="561">
        <v>0</v>
      </c>
      <c r="OY329" s="561">
        <v>0</v>
      </c>
      <c r="OZ329" s="561">
        <v>0</v>
      </c>
      <c r="PA329" s="561">
        <v>0</v>
      </c>
      <c r="PB329" s="561">
        <v>0</v>
      </c>
      <c r="PC329" s="561">
        <v>0</v>
      </c>
      <c r="PD329" s="561">
        <v>0</v>
      </c>
      <c r="PE329" s="561">
        <v>0</v>
      </c>
      <c r="PF329" s="561">
        <v>0</v>
      </c>
      <c r="PG329" s="561">
        <v>0</v>
      </c>
      <c r="PH329" s="561">
        <v>0</v>
      </c>
      <c r="PI329" s="561">
        <v>0</v>
      </c>
      <c r="PJ329" s="561">
        <v>0</v>
      </c>
    </row>
    <row r="330" spans="1:426" ht="14" x14ac:dyDescent="0.3">
      <c r="A330" t="s">
        <v>3433</v>
      </c>
      <c r="B330" t="s">
        <v>3434</v>
      </c>
      <c r="C330" t="s">
        <v>4667</v>
      </c>
      <c r="E330" t="s">
        <v>385</v>
      </c>
      <c r="F330" s="561">
        <v>21906</v>
      </c>
      <c r="G330" s="561">
        <v>36516</v>
      </c>
      <c r="H330" s="561">
        <v>13238</v>
      </c>
      <c r="I330" s="561">
        <v>26220</v>
      </c>
      <c r="J330" s="561">
        <v>922</v>
      </c>
      <c r="K330" s="561">
        <v>18994</v>
      </c>
      <c r="L330" s="561">
        <v>117796</v>
      </c>
      <c r="M330" s="561">
        <v>681</v>
      </c>
      <c r="N330" s="561">
        <v>44</v>
      </c>
      <c r="O330" s="561">
        <v>19</v>
      </c>
      <c r="P330" s="561">
        <v>1568</v>
      </c>
      <c r="Q330" s="561">
        <v>2145</v>
      </c>
      <c r="R330" s="561">
        <v>-122</v>
      </c>
      <c r="S330" s="561">
        <v>1074</v>
      </c>
      <c r="T330" s="561">
        <v>662</v>
      </c>
      <c r="U330" s="561">
        <v>749</v>
      </c>
      <c r="V330" s="561">
        <v>2511</v>
      </c>
      <c r="W330" s="561">
        <v>0</v>
      </c>
      <c r="X330" s="561">
        <v>0</v>
      </c>
      <c r="Y330" s="561">
        <v>424</v>
      </c>
      <c r="Z330" s="561">
        <v>19</v>
      </c>
      <c r="AA330" s="561">
        <v>-112</v>
      </c>
      <c r="AB330" s="561">
        <v>-32</v>
      </c>
      <c r="AC330" s="561">
        <v>3957</v>
      </c>
      <c r="AD330" s="561">
        <v>0</v>
      </c>
      <c r="AE330" s="561">
        <v>111</v>
      </c>
      <c r="AF330" s="561">
        <v>0</v>
      </c>
      <c r="AG330" s="561">
        <v>0</v>
      </c>
      <c r="AH330" s="561">
        <v>18</v>
      </c>
      <c r="AI330" s="561">
        <v>0</v>
      </c>
      <c r="AJ330" s="561">
        <v>13035</v>
      </c>
      <c r="AK330" s="561">
        <v>360</v>
      </c>
      <c r="AL330" s="561">
        <v>0</v>
      </c>
      <c r="AM330" s="561">
        <v>0</v>
      </c>
      <c r="AN330" s="561">
        <v>0</v>
      </c>
      <c r="AO330" s="561">
        <v>0</v>
      </c>
      <c r="AP330" s="561">
        <v>0</v>
      </c>
      <c r="AQ330" s="561">
        <v>0</v>
      </c>
      <c r="AR330" s="561">
        <v>0</v>
      </c>
      <c r="AS330" s="561">
        <v>162</v>
      </c>
      <c r="AT330" s="561">
        <v>0</v>
      </c>
      <c r="AU330" s="561">
        <v>0</v>
      </c>
      <c r="AV330" s="561">
        <v>0</v>
      </c>
      <c r="AW330" s="561">
        <v>0</v>
      </c>
      <c r="AX330" s="561">
        <v>1012</v>
      </c>
      <c r="AY330" s="561">
        <v>52930</v>
      </c>
      <c r="AZ330" s="561">
        <v>259</v>
      </c>
      <c r="BA330" s="561">
        <v>3364</v>
      </c>
      <c r="BB330" s="561">
        <v>1298</v>
      </c>
      <c r="BC330" s="561">
        <v>12944</v>
      </c>
      <c r="BD330" s="561">
        <v>0</v>
      </c>
      <c r="BE330" s="561">
        <v>564</v>
      </c>
      <c r="BF330" s="561">
        <v>72371</v>
      </c>
      <c r="BG330" s="561">
        <v>1805</v>
      </c>
      <c r="BH330" s="561">
        <v>5456</v>
      </c>
      <c r="BI330" s="561">
        <v>17778</v>
      </c>
      <c r="BJ330" s="561">
        <v>156</v>
      </c>
      <c r="BK330" s="561">
        <v>406</v>
      </c>
      <c r="BL330" s="561">
        <v>344</v>
      </c>
      <c r="BM330" s="561">
        <v>7941</v>
      </c>
      <c r="BN330" s="561">
        <v>19604</v>
      </c>
      <c r="BO330" s="561">
        <v>3544</v>
      </c>
      <c r="BP330" s="561">
        <v>4078</v>
      </c>
      <c r="BQ330" s="561">
        <v>2300</v>
      </c>
      <c r="BR330" s="561">
        <v>0</v>
      </c>
      <c r="BS330" s="561">
        <v>0</v>
      </c>
      <c r="BT330" s="561">
        <v>19</v>
      </c>
      <c r="BU330" s="561">
        <v>665</v>
      </c>
      <c r="BV330" s="561">
        <v>118</v>
      </c>
      <c r="BW330" s="561">
        <v>6309</v>
      </c>
      <c r="BX330" s="561">
        <v>762</v>
      </c>
      <c r="BY330" s="561">
        <v>8053.01</v>
      </c>
      <c r="BZ330" s="561">
        <v>77533.009999999995</v>
      </c>
      <c r="CA330" s="561">
        <v>65</v>
      </c>
      <c r="CB330" s="561">
        <v>818</v>
      </c>
      <c r="CC330" s="561">
        <v>409</v>
      </c>
      <c r="CD330" s="561">
        <v>402</v>
      </c>
      <c r="CE330" s="561">
        <v>305</v>
      </c>
      <c r="CF330" s="561">
        <v>379</v>
      </c>
      <c r="CG330" s="561">
        <v>39</v>
      </c>
      <c r="CH330" s="561">
        <v>1138</v>
      </c>
      <c r="CI330" s="561">
        <v>676</v>
      </c>
      <c r="CJ330" s="561">
        <v>949</v>
      </c>
      <c r="CK330" s="561">
        <v>413</v>
      </c>
      <c r="CL330" s="561">
        <v>556</v>
      </c>
      <c r="CM330" s="561">
        <v>4310</v>
      </c>
      <c r="CN330" s="561">
        <v>1234</v>
      </c>
      <c r="CO330" s="561">
        <v>585</v>
      </c>
      <c r="CP330" s="561">
        <v>127</v>
      </c>
      <c r="CQ330" s="561">
        <v>380</v>
      </c>
      <c r="CR330" s="561">
        <v>1045</v>
      </c>
      <c r="CS330" s="561">
        <v>66</v>
      </c>
      <c r="CT330" s="561">
        <v>1197</v>
      </c>
      <c r="CU330" s="561">
        <v>2591</v>
      </c>
      <c r="CV330" s="561">
        <v>561</v>
      </c>
      <c r="CW330" s="561">
        <v>941</v>
      </c>
      <c r="CX330" s="561">
        <v>585</v>
      </c>
      <c r="CY330" s="561">
        <v>1587</v>
      </c>
      <c r="CZ330" s="561">
        <v>21293</v>
      </c>
      <c r="DA330" s="561">
        <v>48</v>
      </c>
      <c r="DB330" s="561">
        <v>0</v>
      </c>
      <c r="DC330" s="561">
        <v>0</v>
      </c>
      <c r="DD330" s="561">
        <v>0</v>
      </c>
      <c r="DE330" s="561">
        <v>0</v>
      </c>
      <c r="DF330" s="561">
        <v>0</v>
      </c>
      <c r="DG330" s="561">
        <v>0</v>
      </c>
      <c r="DH330" s="561">
        <v>148</v>
      </c>
      <c r="DI330" s="561">
        <v>0</v>
      </c>
      <c r="DJ330" s="561">
        <v>37</v>
      </c>
      <c r="DK330" s="561">
        <v>6</v>
      </c>
      <c r="DL330" s="561">
        <v>0</v>
      </c>
      <c r="DM330" s="561">
        <v>0</v>
      </c>
      <c r="DN330" s="561">
        <v>0</v>
      </c>
      <c r="DO330" s="561">
        <v>-4</v>
      </c>
      <c r="DP330" s="561">
        <v>0</v>
      </c>
      <c r="DQ330" s="561">
        <v>0</v>
      </c>
      <c r="DR330" s="561">
        <v>146</v>
      </c>
      <c r="DS330" s="561">
        <v>1649</v>
      </c>
      <c r="DT330" s="561">
        <v>20</v>
      </c>
      <c r="DU330" s="561">
        <v>1811</v>
      </c>
      <c r="DV330" s="561">
        <v>443</v>
      </c>
      <c r="DW330" s="561">
        <v>32</v>
      </c>
      <c r="DX330" s="561">
        <v>333</v>
      </c>
      <c r="DY330" s="561">
        <v>1082</v>
      </c>
      <c r="DZ330" s="561">
        <v>82</v>
      </c>
      <c r="EA330" s="561">
        <v>992</v>
      </c>
      <c r="EB330" s="561">
        <v>1</v>
      </c>
      <c r="EC330" s="561">
        <v>4967</v>
      </c>
      <c r="ED330" s="561">
        <v>102</v>
      </c>
      <c r="EE330" s="561">
        <v>0</v>
      </c>
      <c r="EF330" s="561">
        <v>0</v>
      </c>
      <c r="EG330" s="561">
        <v>0</v>
      </c>
      <c r="EH330" s="561">
        <v>0</v>
      </c>
      <c r="EI330" s="561">
        <v>0</v>
      </c>
      <c r="EJ330" s="561">
        <v>0</v>
      </c>
      <c r="EK330" s="561">
        <v>0</v>
      </c>
      <c r="EL330" s="561">
        <v>0</v>
      </c>
      <c r="EM330" s="561">
        <v>0</v>
      </c>
      <c r="EN330" s="561">
        <v>0</v>
      </c>
      <c r="EO330" s="561">
        <v>0</v>
      </c>
      <c r="EP330" s="561">
        <v>0</v>
      </c>
      <c r="EQ330" s="561">
        <v>0</v>
      </c>
      <c r="ER330" s="561">
        <v>0</v>
      </c>
      <c r="ES330" s="561" t="s">
        <v>4565</v>
      </c>
      <c r="ET330" s="561">
        <v>0</v>
      </c>
      <c r="EU330" s="561">
        <v>0</v>
      </c>
      <c r="EV330" s="561">
        <v>0</v>
      </c>
      <c r="EW330" s="561">
        <v>0</v>
      </c>
      <c r="EX330" s="561">
        <v>0</v>
      </c>
      <c r="EY330" s="561">
        <v>0</v>
      </c>
      <c r="EZ330" s="561">
        <v>0</v>
      </c>
      <c r="FA330" s="561">
        <v>0</v>
      </c>
      <c r="FB330" s="561">
        <v>143</v>
      </c>
      <c r="FC330" s="561">
        <v>47</v>
      </c>
      <c r="FD330" s="561">
        <v>0</v>
      </c>
      <c r="FE330" s="561">
        <v>921</v>
      </c>
      <c r="FF330" s="561">
        <v>2176</v>
      </c>
      <c r="FG330" s="561">
        <v>0</v>
      </c>
      <c r="FH330" s="561">
        <v>0</v>
      </c>
      <c r="FI330" s="561">
        <v>415</v>
      </c>
      <c r="FJ330" s="561">
        <v>1723</v>
      </c>
      <c r="FK330" s="561">
        <v>1904</v>
      </c>
      <c r="FL330" s="561">
        <v>0</v>
      </c>
      <c r="FM330" s="561">
        <v>81</v>
      </c>
      <c r="FN330" s="561">
        <v>2281</v>
      </c>
      <c r="FO330" s="561">
        <v>9691</v>
      </c>
      <c r="FP330" s="561">
        <v>164</v>
      </c>
      <c r="FQ330" s="561">
        <v>257</v>
      </c>
      <c r="FR330" s="561">
        <v>379</v>
      </c>
      <c r="FS330" s="561">
        <v>0</v>
      </c>
      <c r="FT330" s="561">
        <v>322</v>
      </c>
      <c r="FU330" s="561">
        <v>164</v>
      </c>
      <c r="FV330" s="561">
        <v>473</v>
      </c>
      <c r="FW330" s="561">
        <v>68</v>
      </c>
      <c r="FX330" s="561">
        <v>31</v>
      </c>
      <c r="FY330" s="561">
        <v>0</v>
      </c>
      <c r="FZ330" s="561">
        <v>197</v>
      </c>
      <c r="GA330" s="561">
        <v>82</v>
      </c>
      <c r="GB330" s="561">
        <v>348</v>
      </c>
      <c r="GC330" s="561">
        <v>-107</v>
      </c>
      <c r="GD330" s="561">
        <v>0</v>
      </c>
      <c r="GE330" s="561">
        <v>908</v>
      </c>
      <c r="GF330" s="561">
        <v>833</v>
      </c>
      <c r="GG330" s="561">
        <v>146</v>
      </c>
      <c r="GH330" s="561">
        <v>31</v>
      </c>
      <c r="GI330" s="561">
        <v>0</v>
      </c>
      <c r="GJ330" s="561">
        <v>0</v>
      </c>
      <c r="GK330" s="561">
        <v>0</v>
      </c>
      <c r="GL330" s="561">
        <v>1820</v>
      </c>
      <c r="GM330" s="561">
        <v>3355</v>
      </c>
      <c r="GN330" s="561">
        <v>8328</v>
      </c>
      <c r="GO330" s="561">
        <v>-747</v>
      </c>
      <c r="GP330" s="561">
        <v>1879</v>
      </c>
      <c r="GQ330" s="561">
        <v>0</v>
      </c>
      <c r="GR330" s="561">
        <v>0</v>
      </c>
      <c r="GS330" s="561">
        <v>18767</v>
      </c>
      <c r="GT330" s="561">
        <v>1182</v>
      </c>
      <c r="GU330" s="561">
        <v>0</v>
      </c>
      <c r="GV330" s="561">
        <v>298</v>
      </c>
      <c r="GW330" s="561">
        <v>0</v>
      </c>
      <c r="GX330" s="561">
        <v>357</v>
      </c>
      <c r="GY330" s="561">
        <v>519</v>
      </c>
      <c r="GZ330" s="561">
        <v>972</v>
      </c>
      <c r="HA330" s="561">
        <v>533</v>
      </c>
      <c r="HB330" s="561">
        <v>102</v>
      </c>
      <c r="HC330" s="561">
        <v>370</v>
      </c>
      <c r="HD330" s="561">
        <v>3151</v>
      </c>
      <c r="HE330" s="561">
        <v>0</v>
      </c>
      <c r="HF330" s="561">
        <v>31609</v>
      </c>
      <c r="HG330" s="561">
        <v>1346</v>
      </c>
      <c r="HH330" s="561">
        <v>0</v>
      </c>
      <c r="HI330" s="561">
        <v>0</v>
      </c>
      <c r="HJ330" s="561">
        <v>0</v>
      </c>
      <c r="HK330" s="561">
        <v>0</v>
      </c>
      <c r="HL330" s="561">
        <v>0</v>
      </c>
      <c r="HM330" s="561">
        <v>0</v>
      </c>
      <c r="HN330" s="561">
        <v>0</v>
      </c>
      <c r="HO330" s="561">
        <v>4170</v>
      </c>
      <c r="HP330" s="561">
        <v>-6</v>
      </c>
      <c r="HQ330" s="561">
        <v>0</v>
      </c>
      <c r="HR330" s="561">
        <v>0</v>
      </c>
      <c r="HS330" s="561">
        <v>1169</v>
      </c>
      <c r="HT330" s="561">
        <v>231</v>
      </c>
      <c r="HU330" s="561">
        <v>0</v>
      </c>
      <c r="HV330" s="561">
        <v>-318</v>
      </c>
      <c r="HW330" s="561">
        <v>135</v>
      </c>
      <c r="HX330" s="561">
        <v>763</v>
      </c>
      <c r="HY330" s="561">
        <v>132</v>
      </c>
      <c r="HZ330" s="561">
        <v>-2</v>
      </c>
      <c r="IA330" s="561">
        <v>3579</v>
      </c>
      <c r="IB330" s="561">
        <v>146</v>
      </c>
      <c r="IC330" s="561">
        <v>696</v>
      </c>
      <c r="ID330" s="561">
        <v>0</v>
      </c>
      <c r="IE330" s="561">
        <v>0</v>
      </c>
      <c r="IF330" s="561">
        <v>0</v>
      </c>
      <c r="IG330" s="561">
        <v>0</v>
      </c>
      <c r="IH330" s="561">
        <v>1833</v>
      </c>
      <c r="II330" s="561">
        <v>12528</v>
      </c>
      <c r="IJ330" s="561">
        <v>446</v>
      </c>
      <c r="IK330" s="561">
        <v>0</v>
      </c>
      <c r="IL330" s="561">
        <v>2477</v>
      </c>
      <c r="IM330" s="561">
        <v>0</v>
      </c>
      <c r="IN330" s="561">
        <v>0</v>
      </c>
      <c r="IO330" s="561">
        <v>0</v>
      </c>
      <c r="IP330" s="561">
        <v>1089</v>
      </c>
      <c r="IQ330" s="561">
        <v>0</v>
      </c>
      <c r="IR330" s="561">
        <v>117796</v>
      </c>
      <c r="IS330" s="561">
        <v>13035</v>
      </c>
      <c r="IT330" s="561">
        <v>72371</v>
      </c>
      <c r="IU330" s="561">
        <v>77533.009999999995</v>
      </c>
      <c r="IV330" s="561">
        <v>21293</v>
      </c>
      <c r="IW330" s="561">
        <v>4967</v>
      </c>
      <c r="IX330" s="561">
        <v>9691</v>
      </c>
      <c r="IY330" s="561">
        <v>18767</v>
      </c>
      <c r="IZ330" s="561">
        <v>3151</v>
      </c>
      <c r="JA330" s="561">
        <v>0</v>
      </c>
      <c r="JB330" s="561">
        <v>0</v>
      </c>
      <c r="JC330" s="561">
        <v>12528</v>
      </c>
      <c r="JD330" s="561">
        <v>1089</v>
      </c>
      <c r="JE330" s="561">
        <v>352221.01</v>
      </c>
      <c r="JF330" s="561">
        <v>37379</v>
      </c>
      <c r="JG330" s="561">
        <v>377</v>
      </c>
      <c r="JH330" s="561">
        <v>0</v>
      </c>
      <c r="JI330" s="561">
        <v>0</v>
      </c>
      <c r="JJ330" s="561">
        <v>0</v>
      </c>
      <c r="JK330" s="561">
        <v>1005</v>
      </c>
      <c r="JL330" s="561">
        <v>0</v>
      </c>
      <c r="JM330" s="561">
        <v>0</v>
      </c>
      <c r="JN330" s="561">
        <v>0</v>
      </c>
      <c r="JO330" s="561">
        <v>0</v>
      </c>
      <c r="JP330" s="561">
        <v>-1865</v>
      </c>
      <c r="JQ330" s="561">
        <v>879</v>
      </c>
      <c r="JR330" s="561">
        <v>0</v>
      </c>
      <c r="JS330" s="561">
        <v>0</v>
      </c>
      <c r="JT330" s="561">
        <v>0</v>
      </c>
      <c r="JU330" s="561">
        <v>0</v>
      </c>
      <c r="JV330" s="561">
        <v>389996.01</v>
      </c>
      <c r="JW330" s="561">
        <v>214</v>
      </c>
      <c r="JX330" s="561">
        <v>8089</v>
      </c>
      <c r="JY330" s="561">
        <v>0</v>
      </c>
      <c r="JZ330" s="561">
        <v>0</v>
      </c>
      <c r="KA330" s="561">
        <v>0</v>
      </c>
      <c r="KB330" s="561">
        <v>792</v>
      </c>
      <c r="KC330" s="561">
        <v>3044</v>
      </c>
      <c r="KD330" s="561">
        <v>655</v>
      </c>
      <c r="KE330" s="561">
        <v>5097</v>
      </c>
      <c r="KF330" s="561">
        <v>0</v>
      </c>
      <c r="KG330" s="561">
        <v>407887.01</v>
      </c>
      <c r="KH330" s="561">
        <v>-1681</v>
      </c>
      <c r="KI330" s="561">
        <v>0</v>
      </c>
      <c r="KJ330" s="561">
        <v>0</v>
      </c>
      <c r="KK330" s="561">
        <v>0</v>
      </c>
      <c r="KL330" s="561">
        <v>-40886</v>
      </c>
      <c r="KM330" s="561">
        <v>0</v>
      </c>
      <c r="KN330" s="561">
        <v>0</v>
      </c>
      <c r="KO330" s="561">
        <v>0</v>
      </c>
      <c r="KP330" s="561">
        <v>0</v>
      </c>
      <c r="KQ330" s="561">
        <v>-673</v>
      </c>
      <c r="KR330" s="561">
        <v>364647.01</v>
      </c>
      <c r="KS330" s="561">
        <v>0</v>
      </c>
      <c r="KT330" s="561">
        <v>-161318</v>
      </c>
      <c r="KU330" s="561">
        <v>203329.01</v>
      </c>
      <c r="KV330" s="561">
        <v>0</v>
      </c>
      <c r="KW330" s="561">
        <v>-169</v>
      </c>
      <c r="KX330" s="561">
        <v>-2254</v>
      </c>
      <c r="KY330" s="561">
        <v>-2182</v>
      </c>
      <c r="KZ330" s="561">
        <v>-7561</v>
      </c>
      <c r="LA330" s="561">
        <v>0</v>
      </c>
      <c r="LB330" s="561">
        <v>-6503</v>
      </c>
      <c r="LC330" s="561">
        <v>0</v>
      </c>
      <c r="LD330" s="561">
        <v>-62707</v>
      </c>
      <c r="LE330" s="561">
        <v>-5074</v>
      </c>
      <c r="LF330" s="561">
        <v>0</v>
      </c>
      <c r="LG330" s="561">
        <v>116879</v>
      </c>
      <c r="LH330" s="561">
        <v>3537</v>
      </c>
      <c r="LI330" s="561">
        <v>-6052</v>
      </c>
      <c r="LJ330" s="561">
        <v>2254</v>
      </c>
      <c r="LK330" s="561">
        <v>3356</v>
      </c>
      <c r="LL330" s="561">
        <v>31340</v>
      </c>
      <c r="LM330" s="561">
        <v>8000</v>
      </c>
      <c r="LN330" s="561">
        <v>3368</v>
      </c>
      <c r="LO330" s="561">
        <v>-6725</v>
      </c>
      <c r="LP330" s="561">
        <v>0</v>
      </c>
      <c r="LQ330" s="561">
        <v>1174</v>
      </c>
      <c r="LR330" s="561">
        <v>23779</v>
      </c>
      <c r="LS330" s="561">
        <v>8000</v>
      </c>
      <c r="LT330" s="561">
        <v>0</v>
      </c>
      <c r="LU330" s="561">
        <v>0</v>
      </c>
      <c r="LV330" s="561">
        <v>0</v>
      </c>
      <c r="LW330" s="561">
        <v>0</v>
      </c>
      <c r="LX330" s="561">
        <v>0</v>
      </c>
      <c r="LY330" s="561">
        <v>0</v>
      </c>
      <c r="LZ330" s="561">
        <v>0</v>
      </c>
      <c r="MA330" s="561">
        <v>0</v>
      </c>
      <c r="MB330" s="561">
        <v>0</v>
      </c>
      <c r="MC330" s="561">
        <v>0</v>
      </c>
      <c r="MD330" s="561">
        <v>0</v>
      </c>
      <c r="ME330" s="561">
        <v>0</v>
      </c>
      <c r="MF330" s="561">
        <v>0</v>
      </c>
      <c r="MG330" s="561">
        <v>0</v>
      </c>
      <c r="MH330" s="561">
        <v>7674</v>
      </c>
      <c r="MI330" s="561">
        <v>10436</v>
      </c>
      <c r="MJ330" s="561">
        <v>18110</v>
      </c>
      <c r="MK330" s="561">
        <v>0</v>
      </c>
      <c r="ML330" s="561">
        <v>0</v>
      </c>
      <c r="MM330" s="561">
        <v>18213</v>
      </c>
      <c r="MN330" s="561">
        <v>1962</v>
      </c>
      <c r="MO330" s="561">
        <v>3604</v>
      </c>
      <c r="MP330" s="561">
        <v>0</v>
      </c>
      <c r="MQ330" s="561">
        <v>117796</v>
      </c>
      <c r="MR330" s="561">
        <v>13035</v>
      </c>
      <c r="MS330" s="561">
        <v>72371</v>
      </c>
      <c r="MT330" s="561">
        <v>77533.009999999995</v>
      </c>
      <c r="MU330" s="561">
        <v>21293</v>
      </c>
      <c r="MV330" s="561">
        <v>4967</v>
      </c>
      <c r="MW330" s="561">
        <v>9691</v>
      </c>
      <c r="MX330" s="561">
        <v>18767</v>
      </c>
      <c r="MY330" s="561">
        <v>3151</v>
      </c>
      <c r="MZ330" s="561">
        <v>0</v>
      </c>
      <c r="NA330" s="561">
        <v>0</v>
      </c>
      <c r="NB330" s="561">
        <v>12528</v>
      </c>
      <c r="NC330" s="561">
        <v>1089</v>
      </c>
      <c r="ND330" s="561">
        <v>352221.01</v>
      </c>
      <c r="NE330" s="561">
        <v>0</v>
      </c>
      <c r="NF330" s="561">
        <v>0</v>
      </c>
      <c r="NG330" s="561">
        <v>0</v>
      </c>
      <c r="NH330" s="561">
        <v>0</v>
      </c>
      <c r="NI330" s="561">
        <v>0</v>
      </c>
      <c r="NJ330" s="561">
        <v>0</v>
      </c>
      <c r="NK330" s="561">
        <v>0</v>
      </c>
      <c r="NL330" s="561">
        <v>0</v>
      </c>
      <c r="NM330" s="561">
        <v>0</v>
      </c>
      <c r="NN330" s="561">
        <v>0</v>
      </c>
      <c r="NO330" s="561">
        <v>0</v>
      </c>
      <c r="NP330" s="561">
        <v>0</v>
      </c>
      <c r="NQ330" s="561">
        <v>0</v>
      </c>
      <c r="NR330" s="561">
        <v>268</v>
      </c>
      <c r="NS330" s="561">
        <v>-59</v>
      </c>
      <c r="NT330" s="561">
        <v>-423</v>
      </c>
      <c r="NU330" s="561">
        <v>-7231</v>
      </c>
      <c r="NV330" s="561">
        <v>-141</v>
      </c>
      <c r="NW330" s="561">
        <v>-1865</v>
      </c>
      <c r="NX330" s="561">
        <v>0</v>
      </c>
      <c r="NY330" s="561">
        <v>-1865</v>
      </c>
      <c r="NZ330" s="561">
        <v>0</v>
      </c>
      <c r="OA330" s="561">
        <v>0</v>
      </c>
      <c r="OB330" s="561">
        <v>0</v>
      </c>
      <c r="OC330" s="561">
        <v>0</v>
      </c>
      <c r="OD330" s="561">
        <v>0</v>
      </c>
      <c r="OE330" s="561">
        <v>0</v>
      </c>
      <c r="OF330" s="561">
        <v>0</v>
      </c>
      <c r="OG330" s="561">
        <v>0</v>
      </c>
      <c r="OH330" s="561">
        <v>0</v>
      </c>
      <c r="OI330" s="561">
        <v>-59</v>
      </c>
      <c r="OJ330" s="561">
        <v>0</v>
      </c>
      <c r="OK330" s="561">
        <v>0</v>
      </c>
      <c r="OL330" s="561">
        <v>0</v>
      </c>
      <c r="OM330" s="561">
        <v>0</v>
      </c>
      <c r="ON330" s="561">
        <v>0</v>
      </c>
      <c r="OO330" s="561">
        <v>0</v>
      </c>
      <c r="OP330" s="561">
        <v>176</v>
      </c>
      <c r="OQ330" s="561">
        <v>-160</v>
      </c>
      <c r="OR330" s="561">
        <v>563</v>
      </c>
      <c r="OS330" s="561">
        <v>416</v>
      </c>
      <c r="OT330" s="561">
        <v>0</v>
      </c>
      <c r="OU330" s="561">
        <v>-57</v>
      </c>
      <c r="OV330" s="561">
        <v>0</v>
      </c>
      <c r="OW330" s="561">
        <v>0</v>
      </c>
      <c r="OX330" s="561">
        <v>879</v>
      </c>
      <c r="OY330" s="561">
        <v>0</v>
      </c>
      <c r="OZ330" s="561">
        <v>0</v>
      </c>
      <c r="PA330" s="561">
        <v>0</v>
      </c>
      <c r="PB330" s="561">
        <v>0</v>
      </c>
      <c r="PC330" s="561">
        <v>0</v>
      </c>
      <c r="PD330" s="561">
        <v>0</v>
      </c>
      <c r="PE330" s="561">
        <v>0</v>
      </c>
      <c r="PF330" s="561">
        <v>0</v>
      </c>
      <c r="PG330" s="561">
        <v>0</v>
      </c>
      <c r="PH330" s="561">
        <v>0</v>
      </c>
      <c r="PI330" s="561">
        <v>0</v>
      </c>
      <c r="PJ330" s="561">
        <v>0</v>
      </c>
    </row>
    <row r="331" spans="1:426" ht="14" x14ac:dyDescent="0.3">
      <c r="A331" t="s">
        <v>3436</v>
      </c>
      <c r="B331" t="s">
        <v>3437</v>
      </c>
      <c r="C331" t="s">
        <v>4668</v>
      </c>
      <c r="E331" t="s">
        <v>385</v>
      </c>
      <c r="F331" s="561">
        <v>11835.51</v>
      </c>
      <c r="G331" s="561">
        <v>46223.27</v>
      </c>
      <c r="H331" s="561">
        <v>37156.629999999997</v>
      </c>
      <c r="I331" s="561">
        <v>19574.36</v>
      </c>
      <c r="J331" s="561">
        <v>3129.68</v>
      </c>
      <c r="K331" s="561">
        <v>18168.25</v>
      </c>
      <c r="L331" s="561">
        <v>136087.70000000001</v>
      </c>
      <c r="M331" s="561">
        <v>1707</v>
      </c>
      <c r="N331" s="561">
        <v>1371.55</v>
      </c>
      <c r="O331" s="561">
        <v>316.05</v>
      </c>
      <c r="P331" s="561">
        <v>729.25</v>
      </c>
      <c r="Q331" s="561">
        <v>170.25</v>
      </c>
      <c r="R331" s="561">
        <v>61.54</v>
      </c>
      <c r="S331" s="561">
        <v>172.63</v>
      </c>
      <c r="T331" s="561">
        <v>1553.65</v>
      </c>
      <c r="U331" s="561">
        <v>900.78</v>
      </c>
      <c r="V331" s="561">
        <v>9855.4699999999993</v>
      </c>
      <c r="W331" s="561">
        <v>0</v>
      </c>
      <c r="X331" s="561">
        <v>-810.44</v>
      </c>
      <c r="Y331" s="561">
        <v>593.16</v>
      </c>
      <c r="Z331" s="561">
        <v>684.01</v>
      </c>
      <c r="AA331" s="561">
        <v>453.14</v>
      </c>
      <c r="AB331" s="561">
        <v>-332.63</v>
      </c>
      <c r="AC331" s="561">
        <v>2435.25</v>
      </c>
      <c r="AD331" s="561">
        <v>0</v>
      </c>
      <c r="AE331" s="561">
        <v>6393</v>
      </c>
      <c r="AF331" s="561">
        <v>0</v>
      </c>
      <c r="AG331" s="561">
        <v>0</v>
      </c>
      <c r="AH331" s="561">
        <v>778.63</v>
      </c>
      <c r="AI331" s="561">
        <v>0</v>
      </c>
      <c r="AJ331" s="561">
        <v>25325.29</v>
      </c>
      <c r="AK331" s="561">
        <v>358</v>
      </c>
      <c r="AL331" s="561">
        <v>0</v>
      </c>
      <c r="AM331" s="561">
        <v>0</v>
      </c>
      <c r="AN331" s="561">
        <v>0</v>
      </c>
      <c r="AO331" s="561">
        <v>0</v>
      </c>
      <c r="AP331" s="561">
        <v>0</v>
      </c>
      <c r="AQ331" s="561">
        <v>56</v>
      </c>
      <c r="AR331" s="561">
        <v>496</v>
      </c>
      <c r="AS331" s="561">
        <v>865</v>
      </c>
      <c r="AT331" s="561">
        <v>817</v>
      </c>
      <c r="AU331" s="561">
        <v>0</v>
      </c>
      <c r="AV331" s="561">
        <v>0</v>
      </c>
      <c r="AW331" s="561">
        <v>0</v>
      </c>
      <c r="AX331" s="561">
        <v>841.55</v>
      </c>
      <c r="AY331" s="561">
        <v>86486.74</v>
      </c>
      <c r="AZ331" s="561">
        <v>20.239999999999998</v>
      </c>
      <c r="BA331" s="561">
        <v>7896.33</v>
      </c>
      <c r="BB331" s="561">
        <v>772.79</v>
      </c>
      <c r="BC331" s="561">
        <v>29358.87</v>
      </c>
      <c r="BD331" s="561">
        <v>117.18</v>
      </c>
      <c r="BE331" s="561">
        <v>514.61</v>
      </c>
      <c r="BF331" s="561">
        <v>126008.31</v>
      </c>
      <c r="BG331" s="561">
        <v>8189</v>
      </c>
      <c r="BH331" s="561">
        <v>2204.92</v>
      </c>
      <c r="BI331" s="561">
        <v>14646.99</v>
      </c>
      <c r="BJ331" s="561">
        <v>205.22</v>
      </c>
      <c r="BK331" s="561">
        <v>474.36</v>
      </c>
      <c r="BL331" s="561">
        <v>-2264.6</v>
      </c>
      <c r="BM331" s="561">
        <v>5205.8900000000003</v>
      </c>
      <c r="BN331" s="561">
        <v>31842.1</v>
      </c>
      <c r="BO331" s="561">
        <v>8104.26</v>
      </c>
      <c r="BP331" s="561">
        <v>10254.879999999999</v>
      </c>
      <c r="BQ331" s="561">
        <v>5957.04</v>
      </c>
      <c r="BR331" s="561">
        <v>4206.84</v>
      </c>
      <c r="BS331" s="561">
        <v>0</v>
      </c>
      <c r="BT331" s="561">
        <v>0</v>
      </c>
      <c r="BU331" s="561">
        <v>165.9</v>
      </c>
      <c r="BV331" s="561">
        <v>2769.48</v>
      </c>
      <c r="BW331" s="561">
        <v>9958.75</v>
      </c>
      <c r="BX331" s="561">
        <v>542.59</v>
      </c>
      <c r="BY331" s="561">
        <v>4993.63</v>
      </c>
      <c r="BZ331" s="561">
        <v>99268.25</v>
      </c>
      <c r="CA331" s="561">
        <v>1608</v>
      </c>
      <c r="CB331" s="561">
        <v>881.03</v>
      </c>
      <c r="CC331" s="561">
        <v>1028.68</v>
      </c>
      <c r="CD331" s="561">
        <v>992.15</v>
      </c>
      <c r="CE331" s="561">
        <v>348.14</v>
      </c>
      <c r="CF331" s="561">
        <v>300.56</v>
      </c>
      <c r="CG331" s="561">
        <v>67.319999999999993</v>
      </c>
      <c r="CH331" s="561">
        <v>300.56</v>
      </c>
      <c r="CI331" s="561">
        <v>647.04999999999995</v>
      </c>
      <c r="CJ331" s="561">
        <v>513.86</v>
      </c>
      <c r="CK331" s="561">
        <v>1157.72</v>
      </c>
      <c r="CL331" s="561">
        <v>1162.43</v>
      </c>
      <c r="CM331" s="561">
        <v>2725.89</v>
      </c>
      <c r="CN331" s="561">
        <v>961.29</v>
      </c>
      <c r="CO331" s="561">
        <v>424.19</v>
      </c>
      <c r="CP331" s="561">
        <v>424.74</v>
      </c>
      <c r="CQ331" s="561">
        <v>326.17</v>
      </c>
      <c r="CR331" s="561">
        <v>400.96</v>
      </c>
      <c r="CS331" s="561">
        <v>100.19</v>
      </c>
      <c r="CT331" s="561">
        <v>978.62</v>
      </c>
      <c r="CU331" s="561">
        <v>3749.15</v>
      </c>
      <c r="CV331" s="561">
        <v>389.35</v>
      </c>
      <c r="CW331" s="561">
        <v>100.19</v>
      </c>
      <c r="CX331" s="561">
        <v>1355.48</v>
      </c>
      <c r="CY331" s="561">
        <v>6022.91</v>
      </c>
      <c r="CZ331" s="561">
        <v>25358.63</v>
      </c>
      <c r="DA331" s="561">
        <v>367</v>
      </c>
      <c r="DB331" s="561">
        <v>418.7</v>
      </c>
      <c r="DC331" s="561">
        <v>0</v>
      </c>
      <c r="DD331" s="561">
        <v>72.05</v>
      </c>
      <c r="DE331" s="561">
        <v>44.23</v>
      </c>
      <c r="DF331" s="561">
        <v>0</v>
      </c>
      <c r="DG331" s="561">
        <v>0</v>
      </c>
      <c r="DH331" s="561">
        <v>233.06</v>
      </c>
      <c r="DI331" s="561">
        <v>0</v>
      </c>
      <c r="DJ331" s="561">
        <v>905.72</v>
      </c>
      <c r="DK331" s="561">
        <v>3004.98</v>
      </c>
      <c r="DL331" s="561">
        <v>0</v>
      </c>
      <c r="DM331" s="561">
        <v>0</v>
      </c>
      <c r="DN331" s="561">
        <v>0</v>
      </c>
      <c r="DO331" s="561">
        <v>683.76</v>
      </c>
      <c r="DP331" s="561">
        <v>754.21</v>
      </c>
      <c r="DQ331" s="561">
        <v>0</v>
      </c>
      <c r="DR331" s="561">
        <v>200</v>
      </c>
      <c r="DS331" s="561">
        <v>2061.5700000000002</v>
      </c>
      <c r="DT331" s="561">
        <v>453.82</v>
      </c>
      <c r="DU331" s="561">
        <v>4153.3599999999997</v>
      </c>
      <c r="DV331" s="561">
        <v>277.58</v>
      </c>
      <c r="DW331" s="561">
        <v>0</v>
      </c>
      <c r="DX331" s="561">
        <v>130.63</v>
      </c>
      <c r="DY331" s="561">
        <v>580.24</v>
      </c>
      <c r="DZ331" s="561">
        <v>0</v>
      </c>
      <c r="EA331" s="561">
        <v>2175.63</v>
      </c>
      <c r="EB331" s="561">
        <v>0</v>
      </c>
      <c r="EC331" s="561">
        <v>11461.2</v>
      </c>
      <c r="ED331" s="561">
        <v>8</v>
      </c>
      <c r="EE331" s="561">
        <v>79256.820000000007</v>
      </c>
      <c r="EF331" s="561">
        <v>424.47</v>
      </c>
      <c r="EG331" s="561">
        <v>1698.06</v>
      </c>
      <c r="EH331" s="561">
        <v>1333.6</v>
      </c>
      <c r="EI331" s="561">
        <v>185.65</v>
      </c>
      <c r="EJ331" s="561">
        <v>340.4</v>
      </c>
      <c r="EK331" s="561">
        <v>0</v>
      </c>
      <c r="EL331" s="561">
        <v>958.19</v>
      </c>
      <c r="EM331" s="561">
        <v>0</v>
      </c>
      <c r="EN331" s="561">
        <v>30351.47</v>
      </c>
      <c r="EO331" s="561">
        <v>16952.29</v>
      </c>
      <c r="EP331" s="561">
        <v>2579.0500000000002</v>
      </c>
      <c r="EQ331" s="561">
        <v>438.11</v>
      </c>
      <c r="ER331" s="561">
        <v>8071.31</v>
      </c>
      <c r="ES331" s="561" t="s">
        <v>4565</v>
      </c>
      <c r="ET331" s="561">
        <v>15140.95</v>
      </c>
      <c r="EU331" s="561">
        <v>0</v>
      </c>
      <c r="EV331" s="561">
        <v>46.88</v>
      </c>
      <c r="EW331" s="561">
        <v>0</v>
      </c>
      <c r="EX331" s="561">
        <v>4534.87</v>
      </c>
      <c r="EY331" s="561">
        <v>450</v>
      </c>
      <c r="EZ331" s="561">
        <v>5632.26</v>
      </c>
      <c r="FA331" s="561">
        <v>8571</v>
      </c>
      <c r="FB331" s="561">
        <v>296.02</v>
      </c>
      <c r="FC331" s="561">
        <v>532.74</v>
      </c>
      <c r="FD331" s="561">
        <v>20</v>
      </c>
      <c r="FE331" s="561">
        <v>1781.84</v>
      </c>
      <c r="FF331" s="561">
        <v>244.73</v>
      </c>
      <c r="FG331" s="561">
        <v>541.9</v>
      </c>
      <c r="FH331" s="561">
        <v>0</v>
      </c>
      <c r="FI331" s="561">
        <v>697.31</v>
      </c>
      <c r="FJ331" s="561">
        <v>2005.37</v>
      </c>
      <c r="FK331" s="561">
        <v>2317.23</v>
      </c>
      <c r="FL331" s="561">
        <v>19.21</v>
      </c>
      <c r="FM331" s="561">
        <v>190.65</v>
      </c>
      <c r="FN331" s="561">
        <v>1923.03</v>
      </c>
      <c r="FO331" s="561">
        <v>10570.03</v>
      </c>
      <c r="FP331" s="561">
        <v>32</v>
      </c>
      <c r="FQ331" s="561">
        <v>-608.67999999999995</v>
      </c>
      <c r="FR331" s="561">
        <v>603.89</v>
      </c>
      <c r="FS331" s="561">
        <v>3.39</v>
      </c>
      <c r="FT331" s="561">
        <v>259.31</v>
      </c>
      <c r="FU331" s="561">
        <v>1503.56</v>
      </c>
      <c r="FV331" s="561">
        <v>97.86</v>
      </c>
      <c r="FW331" s="561">
        <v>234.4</v>
      </c>
      <c r="FX331" s="561">
        <v>0</v>
      </c>
      <c r="FY331" s="561">
        <v>0</v>
      </c>
      <c r="FZ331" s="561">
        <v>25.05</v>
      </c>
      <c r="GA331" s="561">
        <v>26.87</v>
      </c>
      <c r="GB331" s="561">
        <v>97.75</v>
      </c>
      <c r="GC331" s="561">
        <v>-235.62</v>
      </c>
      <c r="GD331" s="561">
        <v>1362.89</v>
      </c>
      <c r="GE331" s="561">
        <v>928.23</v>
      </c>
      <c r="GF331" s="561">
        <v>898.16</v>
      </c>
      <c r="GG331" s="561">
        <v>31.97</v>
      </c>
      <c r="GH331" s="561">
        <v>0</v>
      </c>
      <c r="GI331" s="561">
        <v>0</v>
      </c>
      <c r="GJ331" s="561">
        <v>0</v>
      </c>
      <c r="GK331" s="561">
        <v>0</v>
      </c>
      <c r="GL331" s="561">
        <v>6346.08</v>
      </c>
      <c r="GM331" s="561">
        <v>6121.29</v>
      </c>
      <c r="GN331" s="561">
        <v>5754.88</v>
      </c>
      <c r="GO331" s="561">
        <v>57.28</v>
      </c>
      <c r="GP331" s="561">
        <v>2980.97</v>
      </c>
      <c r="GQ331" s="561">
        <v>220.37</v>
      </c>
      <c r="GR331" s="561">
        <v>-29.02</v>
      </c>
      <c r="GS331" s="561">
        <v>26680.880000000001</v>
      </c>
      <c r="GT331" s="561">
        <v>282</v>
      </c>
      <c r="GU331" s="561">
        <v>175.16</v>
      </c>
      <c r="GV331" s="561">
        <v>485.96</v>
      </c>
      <c r="GW331" s="561">
        <v>140.53</v>
      </c>
      <c r="GX331" s="561">
        <v>703.9</v>
      </c>
      <c r="GY331" s="561">
        <v>131.66</v>
      </c>
      <c r="GZ331" s="561">
        <v>6877.29</v>
      </c>
      <c r="HA331" s="561">
        <v>0</v>
      </c>
      <c r="HB331" s="561">
        <v>1456.24</v>
      </c>
      <c r="HC331" s="561">
        <v>-143.24</v>
      </c>
      <c r="HD331" s="561">
        <v>9827.5</v>
      </c>
      <c r="HE331" s="561">
        <v>505</v>
      </c>
      <c r="HF331" s="561">
        <v>47078.41</v>
      </c>
      <c r="HG331" s="561">
        <v>819</v>
      </c>
      <c r="HH331" s="561">
        <v>0</v>
      </c>
      <c r="HI331" s="561">
        <v>0</v>
      </c>
      <c r="HJ331" s="561">
        <v>0</v>
      </c>
      <c r="HK331" s="561">
        <v>0</v>
      </c>
      <c r="HL331" s="561">
        <v>0</v>
      </c>
      <c r="HM331" s="561">
        <v>0</v>
      </c>
      <c r="HN331" s="561">
        <v>0</v>
      </c>
      <c r="HO331" s="561">
        <v>2.93</v>
      </c>
      <c r="HP331" s="561">
        <v>247.71</v>
      </c>
      <c r="HQ331" s="561">
        <v>0</v>
      </c>
      <c r="HR331" s="561">
        <v>0</v>
      </c>
      <c r="HS331" s="561">
        <v>1968.46</v>
      </c>
      <c r="HT331" s="561">
        <v>-549.72</v>
      </c>
      <c r="HU331" s="561">
        <v>0</v>
      </c>
      <c r="HV331" s="561">
        <v>-2.2999999999999998</v>
      </c>
      <c r="HW331" s="561">
        <v>408.7</v>
      </c>
      <c r="HX331" s="561">
        <v>136.22999999999999</v>
      </c>
      <c r="HY331" s="561">
        <v>180.18</v>
      </c>
      <c r="HZ331" s="561">
        <v>-2.93</v>
      </c>
      <c r="IA331" s="561">
        <v>0</v>
      </c>
      <c r="IB331" s="561">
        <v>-8.58</v>
      </c>
      <c r="IC331" s="561">
        <v>681.84</v>
      </c>
      <c r="ID331" s="561">
        <v>0</v>
      </c>
      <c r="IE331" s="561">
        <v>2827.48</v>
      </c>
      <c r="IF331" s="561">
        <v>0</v>
      </c>
      <c r="IG331" s="561">
        <v>1348.03</v>
      </c>
      <c r="IH331" s="561">
        <v>-3729.41</v>
      </c>
      <c r="II331" s="561">
        <v>3508.62</v>
      </c>
      <c r="IJ331" s="561">
        <v>3581</v>
      </c>
      <c r="IK331" s="561">
        <v>5276.53</v>
      </c>
      <c r="IL331" s="561">
        <v>21795.31</v>
      </c>
      <c r="IM331" s="561">
        <v>0</v>
      </c>
      <c r="IN331" s="561">
        <v>2109.6799999999998</v>
      </c>
      <c r="IO331" s="561">
        <v>0</v>
      </c>
      <c r="IP331" s="561">
        <v>5679.33</v>
      </c>
      <c r="IQ331" s="561">
        <v>0</v>
      </c>
      <c r="IR331" s="561">
        <v>136087.70000000001</v>
      </c>
      <c r="IS331" s="561">
        <v>25325.29</v>
      </c>
      <c r="IT331" s="561">
        <v>126008.31</v>
      </c>
      <c r="IU331" s="561">
        <v>99268.25</v>
      </c>
      <c r="IV331" s="561">
        <v>25358.63</v>
      </c>
      <c r="IW331" s="561">
        <v>11461.2</v>
      </c>
      <c r="IX331" s="561">
        <v>10570.03</v>
      </c>
      <c r="IY331" s="561">
        <v>26680.880000000001</v>
      </c>
      <c r="IZ331" s="561">
        <v>9827.5</v>
      </c>
      <c r="JA331" s="561">
        <v>0</v>
      </c>
      <c r="JB331" s="561">
        <v>0</v>
      </c>
      <c r="JC331" s="561">
        <v>3508.62</v>
      </c>
      <c r="JD331" s="561">
        <v>5679.33</v>
      </c>
      <c r="JE331" s="561">
        <v>479775.74</v>
      </c>
      <c r="JF331" s="561">
        <v>50447.75</v>
      </c>
      <c r="JG331" s="561">
        <v>-54.46</v>
      </c>
      <c r="JH331" s="561">
        <v>20686.47</v>
      </c>
      <c r="JI331" s="561">
        <v>0</v>
      </c>
      <c r="JJ331" s="561">
        <v>188.83</v>
      </c>
      <c r="JK331" s="561">
        <v>0</v>
      </c>
      <c r="JL331" s="561">
        <v>0</v>
      </c>
      <c r="JM331" s="561">
        <v>0</v>
      </c>
      <c r="JN331" s="561">
        <v>0</v>
      </c>
      <c r="JO331" s="561">
        <v>623.78</v>
      </c>
      <c r="JP331" s="561">
        <v>0</v>
      </c>
      <c r="JQ331" s="561">
        <v>0</v>
      </c>
      <c r="JR331" s="561">
        <v>0</v>
      </c>
      <c r="JS331" s="561">
        <v>0</v>
      </c>
      <c r="JT331" s="561">
        <v>-499.35</v>
      </c>
      <c r="JU331" s="561">
        <v>0</v>
      </c>
      <c r="JV331" s="561">
        <v>551168.76</v>
      </c>
      <c r="JW331" s="561">
        <v>82.29</v>
      </c>
      <c r="JX331" s="561">
        <v>133.05000000000001</v>
      </c>
      <c r="JY331" s="561">
        <v>0</v>
      </c>
      <c r="JZ331" s="561">
        <v>0</v>
      </c>
      <c r="KA331" s="561">
        <v>0</v>
      </c>
      <c r="KB331" s="561">
        <v>-165.2</v>
      </c>
      <c r="KC331" s="561">
        <v>17768.099999999999</v>
      </c>
      <c r="KD331" s="561">
        <v>0</v>
      </c>
      <c r="KE331" s="561">
        <v>22712</v>
      </c>
      <c r="KF331" s="561">
        <v>0</v>
      </c>
      <c r="KG331" s="561">
        <v>591699</v>
      </c>
      <c r="KH331" s="561">
        <v>-11905.9</v>
      </c>
      <c r="KI331" s="561">
        <v>0</v>
      </c>
      <c r="KJ331" s="561">
        <v>159.49</v>
      </c>
      <c r="KK331" s="561">
        <v>0</v>
      </c>
      <c r="KL331" s="561">
        <v>-69687.240000000005</v>
      </c>
      <c r="KM331" s="561">
        <v>0</v>
      </c>
      <c r="KN331" s="561">
        <v>0</v>
      </c>
      <c r="KO331" s="561">
        <v>0</v>
      </c>
      <c r="KP331" s="561">
        <v>0</v>
      </c>
      <c r="KQ331" s="561">
        <v>-1229</v>
      </c>
      <c r="KR331" s="561">
        <v>509036.35</v>
      </c>
      <c r="KS331" s="561">
        <v>0</v>
      </c>
      <c r="KT331" s="561">
        <v>-247629.51</v>
      </c>
      <c r="KU331" s="561">
        <v>261406.84</v>
      </c>
      <c r="KV331" s="561">
        <v>0</v>
      </c>
      <c r="KW331" s="561">
        <v>-199</v>
      </c>
      <c r="KX331" s="561">
        <v>-8828</v>
      </c>
      <c r="KY331" s="561">
        <v>-210</v>
      </c>
      <c r="KZ331" s="561">
        <v>-4808</v>
      </c>
      <c r="LA331" s="561">
        <v>0</v>
      </c>
      <c r="LB331" s="561">
        <v>-28848</v>
      </c>
      <c r="LC331" s="561">
        <v>0</v>
      </c>
      <c r="LD331" s="561">
        <v>-100683.13</v>
      </c>
      <c r="LE331" s="561">
        <v>-5451.16</v>
      </c>
      <c r="LF331" s="561">
        <v>-1316.84</v>
      </c>
      <c r="LG331" s="561">
        <v>111063</v>
      </c>
      <c r="LH331" s="561">
        <v>1257</v>
      </c>
      <c r="LI331" s="561">
        <v>-21202</v>
      </c>
      <c r="LJ331" s="561">
        <v>8828</v>
      </c>
      <c r="LK331" s="561">
        <v>3654</v>
      </c>
      <c r="LL331" s="561">
        <v>40075</v>
      </c>
      <c r="LM331" s="561">
        <v>14800</v>
      </c>
      <c r="LN331" s="561">
        <v>1058</v>
      </c>
      <c r="LO331" s="561">
        <v>-22431</v>
      </c>
      <c r="LP331" s="561">
        <v>0</v>
      </c>
      <c r="LQ331" s="561">
        <v>3444</v>
      </c>
      <c r="LR331" s="561">
        <v>35267</v>
      </c>
      <c r="LS331" s="561">
        <v>14800</v>
      </c>
      <c r="LT331" s="561">
        <v>0</v>
      </c>
      <c r="LU331" s="561">
        <v>32476</v>
      </c>
      <c r="LV331" s="561">
        <v>3</v>
      </c>
      <c r="LW331" s="561">
        <v>-1696</v>
      </c>
      <c r="LX331" s="561">
        <v>-61312</v>
      </c>
      <c r="LY331" s="561">
        <v>14717</v>
      </c>
      <c r="LZ331" s="561">
        <v>-17576</v>
      </c>
      <c r="MA331" s="561">
        <v>0</v>
      </c>
      <c r="MB331" s="561">
        <v>0</v>
      </c>
      <c r="MC331" s="561">
        <v>84197.19</v>
      </c>
      <c r="MD331" s="561">
        <v>78564.929999999993</v>
      </c>
      <c r="ME331" s="561">
        <v>5632.26</v>
      </c>
      <c r="MF331" s="561">
        <v>8571</v>
      </c>
      <c r="MG331" s="561">
        <v>14203.26</v>
      </c>
      <c r="MH331" s="561">
        <v>7869</v>
      </c>
      <c r="MI331" s="561">
        <v>13070</v>
      </c>
      <c r="MJ331" s="561">
        <v>20939</v>
      </c>
      <c r="MK331" s="561">
        <v>0</v>
      </c>
      <c r="ML331" s="561">
        <v>4138</v>
      </c>
      <c r="MM331" s="561">
        <v>0</v>
      </c>
      <c r="MN331" s="561">
        <v>8536</v>
      </c>
      <c r="MO331" s="561">
        <v>0</v>
      </c>
      <c r="MP331" s="561">
        <v>22593</v>
      </c>
      <c r="MQ331" s="561">
        <v>136087.70000000001</v>
      </c>
      <c r="MR331" s="561">
        <v>25325.29</v>
      </c>
      <c r="MS331" s="561">
        <v>126008.31</v>
      </c>
      <c r="MT331" s="561">
        <v>99268.25</v>
      </c>
      <c r="MU331" s="561">
        <v>25358.63</v>
      </c>
      <c r="MV331" s="561">
        <v>11461.2</v>
      </c>
      <c r="MW331" s="561">
        <v>10570.03</v>
      </c>
      <c r="MX331" s="561">
        <v>26680.880000000001</v>
      </c>
      <c r="MY331" s="561">
        <v>9827.5</v>
      </c>
      <c r="MZ331" s="561">
        <v>0</v>
      </c>
      <c r="NA331" s="561">
        <v>0</v>
      </c>
      <c r="NB331" s="561">
        <v>3508.62</v>
      </c>
      <c r="NC331" s="561">
        <v>5679.33</v>
      </c>
      <c r="ND331" s="561">
        <v>479775.74</v>
      </c>
      <c r="NE331" s="561">
        <v>0</v>
      </c>
      <c r="NF331" s="561">
        <v>0</v>
      </c>
      <c r="NG331" s="561">
        <v>0</v>
      </c>
      <c r="NH331" s="561">
        <v>0</v>
      </c>
      <c r="NI331" s="561">
        <v>0</v>
      </c>
      <c r="NJ331" s="561">
        <v>0</v>
      </c>
      <c r="NK331" s="561">
        <v>0</v>
      </c>
      <c r="NL331" s="561">
        <v>0</v>
      </c>
      <c r="NM331" s="561">
        <v>0</v>
      </c>
      <c r="NN331" s="561">
        <v>0</v>
      </c>
      <c r="NO331" s="561">
        <v>0</v>
      </c>
      <c r="NP331" s="561">
        <v>0</v>
      </c>
      <c r="NQ331" s="561">
        <v>0</v>
      </c>
      <c r="NR331" s="561">
        <v>0</v>
      </c>
      <c r="NS331" s="561">
        <v>0</v>
      </c>
      <c r="NT331" s="561">
        <v>0</v>
      </c>
      <c r="NU331" s="561">
        <v>76</v>
      </c>
      <c r="NV331" s="561">
        <v>0</v>
      </c>
      <c r="NW331" s="561">
        <v>0</v>
      </c>
      <c r="NX331" s="561">
        <v>0</v>
      </c>
      <c r="NY331" s="561">
        <v>0</v>
      </c>
      <c r="NZ331" s="561">
        <v>0</v>
      </c>
      <c r="OA331" s="561">
        <v>0</v>
      </c>
      <c r="OB331" s="561">
        <v>0</v>
      </c>
      <c r="OC331" s="561">
        <v>0</v>
      </c>
      <c r="OD331" s="561">
        <v>0</v>
      </c>
      <c r="OE331" s="561">
        <v>0</v>
      </c>
      <c r="OF331" s="561">
        <v>0</v>
      </c>
      <c r="OG331" s="561">
        <v>0</v>
      </c>
      <c r="OH331" s="561">
        <v>0</v>
      </c>
      <c r="OI331" s="561">
        <v>0</v>
      </c>
      <c r="OJ331" s="561">
        <v>0</v>
      </c>
      <c r="OK331" s="561">
        <v>0</v>
      </c>
      <c r="OL331" s="561">
        <v>0</v>
      </c>
      <c r="OM331" s="561">
        <v>0</v>
      </c>
      <c r="ON331" s="561">
        <v>0</v>
      </c>
      <c r="OO331" s="561">
        <v>0</v>
      </c>
      <c r="OP331" s="561">
        <v>0</v>
      </c>
      <c r="OQ331" s="561">
        <v>0</v>
      </c>
      <c r="OR331" s="561">
        <v>0</v>
      </c>
      <c r="OS331" s="561">
        <v>0</v>
      </c>
      <c r="OT331" s="561">
        <v>0</v>
      </c>
      <c r="OU331" s="561">
        <v>0</v>
      </c>
      <c r="OV331" s="561">
        <v>2170</v>
      </c>
      <c r="OW331" s="561">
        <v>0</v>
      </c>
      <c r="OX331" s="561">
        <v>0</v>
      </c>
      <c r="OY331" s="561">
        <v>0</v>
      </c>
      <c r="OZ331" s="561">
        <v>0</v>
      </c>
      <c r="PA331" s="561">
        <v>0</v>
      </c>
      <c r="PB331" s="561">
        <v>0</v>
      </c>
      <c r="PC331" s="561">
        <v>0</v>
      </c>
      <c r="PD331" s="561">
        <v>0</v>
      </c>
      <c r="PE331" s="561">
        <v>0</v>
      </c>
      <c r="PF331" s="561">
        <v>0</v>
      </c>
      <c r="PG331" s="561">
        <v>0</v>
      </c>
      <c r="PH331" s="561">
        <v>0</v>
      </c>
      <c r="PI331" s="561">
        <v>0</v>
      </c>
      <c r="PJ331" s="561">
        <v>0</v>
      </c>
    </row>
    <row r="332" spans="1:426" ht="14" x14ac:dyDescent="0.3">
      <c r="A332" t="s">
        <v>3439</v>
      </c>
      <c r="B332" t="s">
        <v>3440</v>
      </c>
      <c r="C332" t="s">
        <v>3441</v>
      </c>
      <c r="E332" t="s">
        <v>384</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331</v>
      </c>
      <c r="U332" s="561">
        <v>0</v>
      </c>
      <c r="V332" s="561">
        <v>0</v>
      </c>
      <c r="W332" s="561">
        <v>0</v>
      </c>
      <c r="X332" s="561">
        <v>0</v>
      </c>
      <c r="Y332" s="561">
        <v>0</v>
      </c>
      <c r="Z332" s="561">
        <v>0</v>
      </c>
      <c r="AA332" s="561">
        <v>0</v>
      </c>
      <c r="AB332" s="561">
        <v>-1653</v>
      </c>
      <c r="AC332" s="561">
        <v>0</v>
      </c>
      <c r="AD332" s="561">
        <v>89</v>
      </c>
      <c r="AE332" s="561">
        <v>0</v>
      </c>
      <c r="AF332" s="561">
        <v>0</v>
      </c>
      <c r="AG332" s="561">
        <v>0</v>
      </c>
      <c r="AH332" s="561">
        <v>0</v>
      </c>
      <c r="AI332" s="561">
        <v>0</v>
      </c>
      <c r="AJ332" s="561">
        <v>-1233</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561">
        <v>0</v>
      </c>
      <c r="BI332" s="561">
        <v>0</v>
      </c>
      <c r="BJ332" s="561">
        <v>0</v>
      </c>
      <c r="BK332" s="561">
        <v>0</v>
      </c>
      <c r="BL332" s="561">
        <v>0</v>
      </c>
      <c r="BM332" s="561">
        <v>0</v>
      </c>
      <c r="BN332" s="561">
        <v>0</v>
      </c>
      <c r="BO332" s="561">
        <v>0</v>
      </c>
      <c r="BP332" s="561">
        <v>0</v>
      </c>
      <c r="BQ332" s="561">
        <v>0</v>
      </c>
      <c r="BR332" s="561">
        <v>0</v>
      </c>
      <c r="BS332" s="561">
        <v>0</v>
      </c>
      <c r="BT332" s="561">
        <v>0</v>
      </c>
      <c r="BU332" s="561">
        <v>0</v>
      </c>
      <c r="BV332" s="561">
        <v>0</v>
      </c>
      <c r="BW332" s="561">
        <v>0</v>
      </c>
      <c r="BX332" s="561">
        <v>0</v>
      </c>
      <c r="BY332" s="561">
        <v>0</v>
      </c>
      <c r="BZ332" s="561">
        <v>0</v>
      </c>
      <c r="CA332" s="561">
        <v>0</v>
      </c>
      <c r="CB332" s="561">
        <v>0</v>
      </c>
      <c r="CC332" s="561">
        <v>0</v>
      </c>
      <c r="CD332" s="561">
        <v>0</v>
      </c>
      <c r="CE332" s="561">
        <v>0</v>
      </c>
      <c r="CF332" s="561">
        <v>0</v>
      </c>
      <c r="CG332" s="561">
        <v>0</v>
      </c>
      <c r="CH332" s="561">
        <v>0</v>
      </c>
      <c r="CI332" s="561">
        <v>0</v>
      </c>
      <c r="CJ332" s="561">
        <v>0</v>
      </c>
      <c r="CK332" s="561">
        <v>0</v>
      </c>
      <c r="CL332" s="561">
        <v>0</v>
      </c>
      <c r="CM332" s="561">
        <v>0</v>
      </c>
      <c r="CN332" s="561">
        <v>0</v>
      </c>
      <c r="CO332" s="561">
        <v>0</v>
      </c>
      <c r="CP332" s="561">
        <v>0</v>
      </c>
      <c r="CQ332" s="561">
        <v>0</v>
      </c>
      <c r="CR332" s="561">
        <v>0</v>
      </c>
      <c r="CS332" s="561">
        <v>0</v>
      </c>
      <c r="CT332" s="561">
        <v>0</v>
      </c>
      <c r="CU332" s="561">
        <v>0</v>
      </c>
      <c r="CV332" s="561">
        <v>0</v>
      </c>
      <c r="CW332" s="561">
        <v>0</v>
      </c>
      <c r="CX332" s="561">
        <v>0</v>
      </c>
      <c r="CY332" s="561">
        <v>0</v>
      </c>
      <c r="CZ332" s="561">
        <v>0</v>
      </c>
      <c r="DA332" s="561">
        <v>0</v>
      </c>
      <c r="DB332" s="561">
        <v>0</v>
      </c>
      <c r="DC332" s="561">
        <v>0</v>
      </c>
      <c r="DD332" s="561">
        <v>0</v>
      </c>
      <c r="DE332" s="561">
        <v>0</v>
      </c>
      <c r="DF332" s="561">
        <v>0</v>
      </c>
      <c r="DG332" s="561">
        <v>0</v>
      </c>
      <c r="DH332" s="561">
        <v>530</v>
      </c>
      <c r="DI332" s="561">
        <v>0</v>
      </c>
      <c r="DJ332" s="561">
        <v>0</v>
      </c>
      <c r="DK332" s="561">
        <v>377</v>
      </c>
      <c r="DL332" s="561">
        <v>0</v>
      </c>
      <c r="DM332" s="561">
        <v>0</v>
      </c>
      <c r="DN332" s="561">
        <v>317</v>
      </c>
      <c r="DO332" s="561">
        <v>0</v>
      </c>
      <c r="DP332" s="561">
        <v>0</v>
      </c>
      <c r="DQ332" s="561">
        <v>0</v>
      </c>
      <c r="DR332" s="561">
        <v>824</v>
      </c>
      <c r="DS332" s="561">
        <v>471</v>
      </c>
      <c r="DT332" s="561">
        <v>0</v>
      </c>
      <c r="DU332" s="561">
        <v>1612</v>
      </c>
      <c r="DV332" s="561">
        <v>126</v>
      </c>
      <c r="DW332" s="561">
        <v>0</v>
      </c>
      <c r="DX332" s="561">
        <v>0</v>
      </c>
      <c r="DY332" s="561">
        <v>765</v>
      </c>
      <c r="DZ332" s="561">
        <v>7</v>
      </c>
      <c r="EA332" s="561">
        <v>0</v>
      </c>
      <c r="EB332" s="561">
        <v>0</v>
      </c>
      <c r="EC332" s="561">
        <v>3417</v>
      </c>
      <c r="ED332" s="561">
        <v>0</v>
      </c>
      <c r="EE332" s="561">
        <v>0</v>
      </c>
      <c r="EF332" s="561">
        <v>0</v>
      </c>
      <c r="EG332" s="561">
        <v>0</v>
      </c>
      <c r="EH332" s="561">
        <v>0</v>
      </c>
      <c r="EI332" s="561">
        <v>0</v>
      </c>
      <c r="EJ332" s="561">
        <v>0</v>
      </c>
      <c r="EK332" s="561">
        <v>0</v>
      </c>
      <c r="EL332" s="561">
        <v>0</v>
      </c>
      <c r="EM332" s="561">
        <v>0</v>
      </c>
      <c r="EN332" s="561">
        <v>0</v>
      </c>
      <c r="EO332" s="561">
        <v>0</v>
      </c>
      <c r="EP332" s="561">
        <v>0</v>
      </c>
      <c r="EQ332" s="561">
        <v>0</v>
      </c>
      <c r="ER332" s="561">
        <v>0</v>
      </c>
      <c r="ES332" s="561" t="s">
        <v>4565</v>
      </c>
      <c r="ET332" s="561">
        <v>0</v>
      </c>
      <c r="EU332" s="561">
        <v>0</v>
      </c>
      <c r="EV332" s="561">
        <v>0</v>
      </c>
      <c r="EW332" s="561">
        <v>0</v>
      </c>
      <c r="EX332" s="561">
        <v>0</v>
      </c>
      <c r="EY332" s="561">
        <v>0</v>
      </c>
      <c r="EZ332" s="561">
        <v>0</v>
      </c>
      <c r="FA332" s="561">
        <v>0</v>
      </c>
      <c r="FB332" s="561">
        <v>0</v>
      </c>
      <c r="FC332" s="561">
        <v>0</v>
      </c>
      <c r="FD332" s="561">
        <v>0</v>
      </c>
      <c r="FE332" s="561">
        <v>0</v>
      </c>
      <c r="FF332" s="561">
        <v>0</v>
      </c>
      <c r="FG332" s="561">
        <v>0</v>
      </c>
      <c r="FH332" s="561">
        <v>0</v>
      </c>
      <c r="FI332" s="561">
        <v>62</v>
      </c>
      <c r="FJ332" s="561">
        <v>-384</v>
      </c>
      <c r="FK332" s="561">
        <v>793</v>
      </c>
      <c r="FL332" s="561">
        <v>0</v>
      </c>
      <c r="FM332" s="561">
        <v>309</v>
      </c>
      <c r="FN332" s="561">
        <v>0</v>
      </c>
      <c r="FO332" s="561">
        <v>780</v>
      </c>
      <c r="FP332" s="561">
        <v>0</v>
      </c>
      <c r="FQ332" s="561">
        <v>0</v>
      </c>
      <c r="FR332" s="561">
        <v>0</v>
      </c>
      <c r="FS332" s="561">
        <v>-5</v>
      </c>
      <c r="FT332" s="561">
        <v>-18</v>
      </c>
      <c r="FU332" s="561">
        <v>4</v>
      </c>
      <c r="FV332" s="561">
        <v>0</v>
      </c>
      <c r="FW332" s="561">
        <v>0</v>
      </c>
      <c r="FX332" s="561">
        <v>0</v>
      </c>
      <c r="FY332" s="561">
        <v>0</v>
      </c>
      <c r="FZ332" s="561">
        <v>92</v>
      </c>
      <c r="GA332" s="561">
        <v>387</v>
      </c>
      <c r="GB332" s="561">
        <v>1036</v>
      </c>
      <c r="GC332" s="561">
        <v>125</v>
      </c>
      <c r="GD332" s="561">
        <v>224</v>
      </c>
      <c r="GE332" s="561">
        <v>0</v>
      </c>
      <c r="GF332" s="561">
        <v>399</v>
      </c>
      <c r="GG332" s="561">
        <v>0</v>
      </c>
      <c r="GH332" s="561">
        <v>42</v>
      </c>
      <c r="GI332" s="561">
        <v>0</v>
      </c>
      <c r="GJ332" s="561">
        <v>0</v>
      </c>
      <c r="GK332" s="561">
        <v>0</v>
      </c>
      <c r="GL332" s="561">
        <v>1508</v>
      </c>
      <c r="GM332" s="561">
        <v>1412</v>
      </c>
      <c r="GN332" s="561">
        <v>0</v>
      </c>
      <c r="GO332" s="561">
        <v>0</v>
      </c>
      <c r="GP332" s="561">
        <v>2121</v>
      </c>
      <c r="GQ332" s="561">
        <v>0</v>
      </c>
      <c r="GR332" s="561">
        <v>0</v>
      </c>
      <c r="GS332" s="561">
        <v>7327</v>
      </c>
      <c r="GT332" s="561">
        <v>0</v>
      </c>
      <c r="GU332" s="561">
        <v>224</v>
      </c>
      <c r="GV332" s="561">
        <v>2731</v>
      </c>
      <c r="GW332" s="561">
        <v>171</v>
      </c>
      <c r="GX332" s="561">
        <v>2260</v>
      </c>
      <c r="GY332" s="561">
        <v>25</v>
      </c>
      <c r="GZ332" s="561">
        <v>10</v>
      </c>
      <c r="HA332" s="561">
        <v>0</v>
      </c>
      <c r="HB332" s="561">
        <v>0</v>
      </c>
      <c r="HC332" s="561">
        <v>306</v>
      </c>
      <c r="HD332" s="561">
        <v>5727</v>
      </c>
      <c r="HE332" s="561">
        <v>0</v>
      </c>
      <c r="HF332" s="561">
        <v>13834</v>
      </c>
      <c r="HG332" s="561">
        <v>0</v>
      </c>
      <c r="HH332" s="561">
        <v>0</v>
      </c>
      <c r="HI332" s="561">
        <v>0</v>
      </c>
      <c r="HJ332" s="561">
        <v>0</v>
      </c>
      <c r="HK332" s="561">
        <v>0</v>
      </c>
      <c r="HL332" s="561">
        <v>0</v>
      </c>
      <c r="HM332" s="561">
        <v>0</v>
      </c>
      <c r="HN332" s="561">
        <v>0</v>
      </c>
      <c r="HO332" s="561">
        <v>2500</v>
      </c>
      <c r="HP332" s="561">
        <v>1242</v>
      </c>
      <c r="HQ332" s="561">
        <v>0</v>
      </c>
      <c r="HR332" s="561">
        <v>0</v>
      </c>
      <c r="HS332" s="561">
        <v>521</v>
      </c>
      <c r="HT332" s="561">
        <v>81</v>
      </c>
      <c r="HU332" s="561">
        <v>0</v>
      </c>
      <c r="HV332" s="561">
        <v>0</v>
      </c>
      <c r="HW332" s="561">
        <v>292</v>
      </c>
      <c r="HX332" s="561">
        <v>169</v>
      </c>
      <c r="HY332" s="561">
        <v>18</v>
      </c>
      <c r="HZ332" s="561">
        <v>44</v>
      </c>
      <c r="IA332" s="561">
        <v>0</v>
      </c>
      <c r="IB332" s="561">
        <v>111</v>
      </c>
      <c r="IC332" s="561">
        <v>0</v>
      </c>
      <c r="ID332" s="561">
        <v>0</v>
      </c>
      <c r="IE332" s="561">
        <v>383</v>
      </c>
      <c r="IF332" s="561">
        <v>87</v>
      </c>
      <c r="IG332" s="561">
        <v>0</v>
      </c>
      <c r="IH332" s="561">
        <v>0</v>
      </c>
      <c r="II332" s="561">
        <v>5448</v>
      </c>
      <c r="IJ332" s="561">
        <v>0</v>
      </c>
      <c r="IK332" s="561">
        <v>0</v>
      </c>
      <c r="IL332" s="561">
        <v>0</v>
      </c>
      <c r="IM332" s="561">
        <v>0</v>
      </c>
      <c r="IN332" s="561">
        <v>0</v>
      </c>
      <c r="IO332" s="561">
        <v>0</v>
      </c>
      <c r="IP332" s="561">
        <v>0</v>
      </c>
      <c r="IQ332" s="561">
        <v>0</v>
      </c>
      <c r="IR332" s="561">
        <v>0</v>
      </c>
      <c r="IS332" s="561">
        <v>-1233</v>
      </c>
      <c r="IT332" s="561">
        <v>0</v>
      </c>
      <c r="IU332" s="561">
        <v>0</v>
      </c>
      <c r="IV332" s="561">
        <v>0</v>
      </c>
      <c r="IW332" s="561">
        <v>3417</v>
      </c>
      <c r="IX332" s="561">
        <v>780</v>
      </c>
      <c r="IY332" s="561">
        <v>7327</v>
      </c>
      <c r="IZ332" s="561">
        <v>5727</v>
      </c>
      <c r="JA332" s="561">
        <v>0</v>
      </c>
      <c r="JB332" s="561">
        <v>0</v>
      </c>
      <c r="JC332" s="561">
        <v>5448</v>
      </c>
      <c r="JD332" s="561">
        <v>0</v>
      </c>
      <c r="JE332" s="561">
        <v>21466</v>
      </c>
      <c r="JF332" s="561">
        <v>19330</v>
      </c>
      <c r="JG332" s="561">
        <v>0</v>
      </c>
      <c r="JH332" s="561">
        <v>0</v>
      </c>
      <c r="JI332" s="561">
        <v>0</v>
      </c>
      <c r="JJ332" s="561">
        <v>0</v>
      </c>
      <c r="JK332" s="561">
        <v>4555</v>
      </c>
      <c r="JL332" s="561">
        <v>0</v>
      </c>
      <c r="JM332" s="561">
        <v>0</v>
      </c>
      <c r="JN332" s="561">
        <v>0</v>
      </c>
      <c r="JO332" s="561">
        <v>43</v>
      </c>
      <c r="JP332" s="561">
        <v>117</v>
      </c>
      <c r="JQ332" s="561">
        <v>-277</v>
      </c>
      <c r="JR332" s="561">
        <v>0</v>
      </c>
      <c r="JS332" s="561">
        <v>0</v>
      </c>
      <c r="JT332" s="561">
        <v>-50</v>
      </c>
      <c r="JU332" s="561">
        <v>-379</v>
      </c>
      <c r="JV332" s="561">
        <v>44805</v>
      </c>
      <c r="JW332" s="561">
        <v>0</v>
      </c>
      <c r="JX332" s="561">
        <v>279</v>
      </c>
      <c r="JY332" s="561">
        <v>0</v>
      </c>
      <c r="JZ332" s="561">
        <v>0</v>
      </c>
      <c r="KA332" s="561">
        <v>0</v>
      </c>
      <c r="KB332" s="561">
        <v>0</v>
      </c>
      <c r="KC332" s="561">
        <v>0</v>
      </c>
      <c r="KD332" s="561">
        <v>0</v>
      </c>
      <c r="KE332" s="561">
        <v>0</v>
      </c>
      <c r="KF332" s="561">
        <v>0</v>
      </c>
      <c r="KG332" s="561">
        <v>45084</v>
      </c>
      <c r="KH332" s="561">
        <v>-4988</v>
      </c>
      <c r="KI332" s="561">
        <v>0</v>
      </c>
      <c r="KJ332" s="561">
        <v>0</v>
      </c>
      <c r="KK332" s="561">
        <v>0</v>
      </c>
      <c r="KL332" s="561">
        <v>-18838</v>
      </c>
      <c r="KM332" s="561">
        <v>0</v>
      </c>
      <c r="KN332" s="561">
        <v>-92</v>
      </c>
      <c r="KO332" s="561">
        <v>0</v>
      </c>
      <c r="KP332" s="561">
        <v>0</v>
      </c>
      <c r="KQ332" s="561">
        <v>0</v>
      </c>
      <c r="KR332" s="561">
        <v>21166</v>
      </c>
      <c r="KS332" s="561">
        <v>0</v>
      </c>
      <c r="KT332" s="561">
        <v>-7923</v>
      </c>
      <c r="KU332" s="561">
        <v>13243</v>
      </c>
      <c r="KV332" s="561">
        <v>0</v>
      </c>
      <c r="KW332" s="561">
        <v>0</v>
      </c>
      <c r="KX332" s="561">
        <v>0</v>
      </c>
      <c r="KY332" s="561">
        <v>0</v>
      </c>
      <c r="KZ332" s="561">
        <v>8899</v>
      </c>
      <c r="LA332" s="561">
        <v>1089</v>
      </c>
      <c r="LB332" s="561">
        <v>-145</v>
      </c>
      <c r="LC332" s="561">
        <v>0</v>
      </c>
      <c r="LD332" s="561">
        <v>-8614</v>
      </c>
      <c r="LE332" s="561">
        <v>210</v>
      </c>
      <c r="LF332" s="561">
        <v>0</v>
      </c>
      <c r="LG332" s="561">
        <v>14682</v>
      </c>
      <c r="LH332" s="561">
        <v>0</v>
      </c>
      <c r="LI332" s="561">
        <v>0</v>
      </c>
      <c r="LJ332" s="561">
        <v>0</v>
      </c>
      <c r="LK332" s="561">
        <v>0</v>
      </c>
      <c r="LL332" s="561">
        <v>29186</v>
      </c>
      <c r="LM332" s="561">
        <v>13062</v>
      </c>
      <c r="LN332" s="561">
        <v>0</v>
      </c>
      <c r="LO332" s="561">
        <v>0</v>
      </c>
      <c r="LP332" s="561">
        <v>0</v>
      </c>
      <c r="LQ332" s="561">
        <v>0</v>
      </c>
      <c r="LR332" s="561">
        <v>38085</v>
      </c>
      <c r="LS332" s="561">
        <v>14151</v>
      </c>
      <c r="LT332" s="561">
        <v>0</v>
      </c>
      <c r="LU332" s="561">
        <v>0</v>
      </c>
      <c r="LV332" s="561">
        <v>0</v>
      </c>
      <c r="LW332" s="561">
        <v>0</v>
      </c>
      <c r="LX332" s="561">
        <v>0</v>
      </c>
      <c r="LY332" s="561">
        <v>0</v>
      </c>
      <c r="LZ332" s="561">
        <v>0</v>
      </c>
      <c r="MA332" s="561">
        <v>0</v>
      </c>
      <c r="MB332" s="561">
        <v>0</v>
      </c>
      <c r="MC332" s="561">
        <v>0</v>
      </c>
      <c r="MD332" s="561">
        <v>0</v>
      </c>
      <c r="ME332" s="561">
        <v>0</v>
      </c>
      <c r="MF332" s="561">
        <v>0</v>
      </c>
      <c r="MG332" s="561">
        <v>0</v>
      </c>
      <c r="MH332" s="561">
        <v>3871</v>
      </c>
      <c r="MI332" s="561">
        <v>4000</v>
      </c>
      <c r="MJ332" s="561">
        <v>7871</v>
      </c>
      <c r="MK332" s="561">
        <v>0</v>
      </c>
      <c r="ML332" s="561">
        <v>0</v>
      </c>
      <c r="MM332" s="561">
        <v>25259</v>
      </c>
      <c r="MN332" s="561">
        <v>1500</v>
      </c>
      <c r="MO332" s="561">
        <v>11326</v>
      </c>
      <c r="MP332" s="561">
        <v>0</v>
      </c>
      <c r="MQ332" s="561">
        <v>0</v>
      </c>
      <c r="MR332" s="561">
        <v>-1233</v>
      </c>
      <c r="MS332" s="561">
        <v>0</v>
      </c>
      <c r="MT332" s="561">
        <v>0</v>
      </c>
      <c r="MU332" s="561">
        <v>0</v>
      </c>
      <c r="MV332" s="561">
        <v>3417</v>
      </c>
      <c r="MW332" s="561">
        <v>780</v>
      </c>
      <c r="MX332" s="561">
        <v>7327</v>
      </c>
      <c r="MY332" s="561">
        <v>5727</v>
      </c>
      <c r="MZ332" s="561">
        <v>0</v>
      </c>
      <c r="NA332" s="561">
        <v>0</v>
      </c>
      <c r="NB332" s="561">
        <v>5448</v>
      </c>
      <c r="NC332" s="561">
        <v>0</v>
      </c>
      <c r="ND332" s="561">
        <v>21466</v>
      </c>
      <c r="NE332" s="561">
        <v>0</v>
      </c>
      <c r="NF332" s="561">
        <v>0</v>
      </c>
      <c r="NG332" s="561">
        <v>0</v>
      </c>
      <c r="NH332" s="561">
        <v>0</v>
      </c>
      <c r="NI332" s="561">
        <v>0</v>
      </c>
      <c r="NJ332" s="561">
        <v>0</v>
      </c>
      <c r="NK332" s="561">
        <v>0</v>
      </c>
      <c r="NL332" s="561">
        <v>0</v>
      </c>
      <c r="NM332" s="561">
        <v>0</v>
      </c>
      <c r="NN332" s="561">
        <v>0</v>
      </c>
      <c r="NO332" s="561">
        <v>0</v>
      </c>
      <c r="NP332" s="561">
        <v>0</v>
      </c>
      <c r="NQ332" s="561">
        <v>0</v>
      </c>
      <c r="NR332" s="561">
        <v>0</v>
      </c>
      <c r="NS332" s="561">
        <v>0</v>
      </c>
      <c r="NT332" s="561">
        <v>0</v>
      </c>
      <c r="NU332" s="561">
        <v>0</v>
      </c>
      <c r="NV332" s="561">
        <v>0</v>
      </c>
      <c r="NW332" s="561">
        <v>117</v>
      </c>
      <c r="NX332" s="561">
        <v>0</v>
      </c>
      <c r="NY332" s="561">
        <v>117</v>
      </c>
      <c r="NZ332" s="561">
        <v>0</v>
      </c>
      <c r="OA332" s="561">
        <v>0</v>
      </c>
      <c r="OB332" s="561">
        <v>0</v>
      </c>
      <c r="OC332" s="561">
        <v>0</v>
      </c>
      <c r="OD332" s="561">
        <v>0</v>
      </c>
      <c r="OE332" s="561">
        <v>0</v>
      </c>
      <c r="OF332" s="561">
        <v>0</v>
      </c>
      <c r="OG332" s="561">
        <v>0</v>
      </c>
      <c r="OH332" s="561">
        <v>0</v>
      </c>
      <c r="OI332" s="561">
        <v>0</v>
      </c>
      <c r="OJ332" s="561">
        <v>0</v>
      </c>
      <c r="OK332" s="561">
        <v>-123</v>
      </c>
      <c r="OL332" s="561">
        <v>0</v>
      </c>
      <c r="OM332" s="561">
        <v>0</v>
      </c>
      <c r="ON332" s="561">
        <v>0</v>
      </c>
      <c r="OO332" s="561">
        <v>0</v>
      </c>
      <c r="OP332" s="561">
        <v>0</v>
      </c>
      <c r="OQ332" s="561">
        <v>3</v>
      </c>
      <c r="OR332" s="561">
        <v>-250</v>
      </c>
      <c r="OS332" s="561">
        <v>18</v>
      </c>
      <c r="OT332" s="561">
        <v>28</v>
      </c>
      <c r="OU332" s="561">
        <v>7</v>
      </c>
      <c r="OV332" s="561">
        <v>0</v>
      </c>
      <c r="OW332" s="561">
        <v>0</v>
      </c>
      <c r="OX332" s="561">
        <v>-277</v>
      </c>
      <c r="OY332" s="561">
        <v>0</v>
      </c>
      <c r="OZ332" s="561">
        <v>0</v>
      </c>
      <c r="PA332" s="561">
        <v>0</v>
      </c>
      <c r="PB332" s="561">
        <v>0</v>
      </c>
      <c r="PC332" s="561">
        <v>0</v>
      </c>
      <c r="PD332" s="561">
        <v>0</v>
      </c>
      <c r="PE332" s="561">
        <v>0</v>
      </c>
      <c r="PF332" s="561">
        <v>0</v>
      </c>
      <c r="PG332" s="561">
        <v>0</v>
      </c>
      <c r="PH332" s="561">
        <v>0</v>
      </c>
      <c r="PI332" s="561">
        <v>0</v>
      </c>
      <c r="PJ332" s="561">
        <v>0</v>
      </c>
    </row>
    <row r="333" spans="1:426" ht="14" x14ac:dyDescent="0.3">
      <c r="A333" t="s">
        <v>3442</v>
      </c>
      <c r="B333" t="s">
        <v>3443</v>
      </c>
      <c r="C333" t="s">
        <v>3444</v>
      </c>
      <c r="E333" t="s">
        <v>384</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-258</v>
      </c>
      <c r="AC333" s="561">
        <v>0</v>
      </c>
      <c r="AD333" s="561">
        <v>0</v>
      </c>
      <c r="AE333" s="561">
        <v>0</v>
      </c>
      <c r="AF333" s="561">
        <v>0</v>
      </c>
      <c r="AG333" s="561">
        <v>0</v>
      </c>
      <c r="AH333" s="561">
        <v>-3</v>
      </c>
      <c r="AI333" s="561">
        <v>0</v>
      </c>
      <c r="AJ333" s="561">
        <v>-261</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561">
        <v>0</v>
      </c>
      <c r="BI333" s="561">
        <v>0</v>
      </c>
      <c r="BJ333" s="561">
        <v>0</v>
      </c>
      <c r="BK333" s="561">
        <v>0</v>
      </c>
      <c r="BL333" s="561">
        <v>0</v>
      </c>
      <c r="BM333" s="561">
        <v>0</v>
      </c>
      <c r="BN333" s="561">
        <v>0</v>
      </c>
      <c r="BO333" s="561">
        <v>0</v>
      </c>
      <c r="BP333" s="561">
        <v>0</v>
      </c>
      <c r="BQ333" s="561">
        <v>0</v>
      </c>
      <c r="BR333" s="561">
        <v>0</v>
      </c>
      <c r="BS333" s="561">
        <v>0</v>
      </c>
      <c r="BT333" s="561">
        <v>0</v>
      </c>
      <c r="BU333" s="561">
        <v>0</v>
      </c>
      <c r="BV333" s="561">
        <v>0</v>
      </c>
      <c r="BW333" s="561">
        <v>0</v>
      </c>
      <c r="BX333" s="561">
        <v>0</v>
      </c>
      <c r="BY333" s="561">
        <v>0</v>
      </c>
      <c r="BZ333" s="561">
        <v>0</v>
      </c>
      <c r="CA333" s="561">
        <v>0</v>
      </c>
      <c r="CB333" s="561">
        <v>0</v>
      </c>
      <c r="CC333" s="561">
        <v>0</v>
      </c>
      <c r="CD333" s="561">
        <v>0</v>
      </c>
      <c r="CE333" s="561">
        <v>0</v>
      </c>
      <c r="CF333" s="561">
        <v>0</v>
      </c>
      <c r="CG333" s="561">
        <v>0</v>
      </c>
      <c r="CH333" s="561">
        <v>0</v>
      </c>
      <c r="CI333" s="561">
        <v>0</v>
      </c>
      <c r="CJ333" s="561">
        <v>0</v>
      </c>
      <c r="CK333" s="561">
        <v>0</v>
      </c>
      <c r="CL333" s="561">
        <v>0</v>
      </c>
      <c r="CM333" s="561">
        <v>0</v>
      </c>
      <c r="CN333" s="561">
        <v>0</v>
      </c>
      <c r="CO333" s="561">
        <v>0</v>
      </c>
      <c r="CP333" s="561">
        <v>0</v>
      </c>
      <c r="CQ333" s="561">
        <v>0</v>
      </c>
      <c r="CR333" s="561">
        <v>0</v>
      </c>
      <c r="CS333" s="561">
        <v>0</v>
      </c>
      <c r="CT333" s="561">
        <v>0</v>
      </c>
      <c r="CU333" s="561">
        <v>0</v>
      </c>
      <c r="CV333" s="561">
        <v>0</v>
      </c>
      <c r="CW333" s="561">
        <v>0</v>
      </c>
      <c r="CX333" s="561">
        <v>0</v>
      </c>
      <c r="CY333" s="561">
        <v>0</v>
      </c>
      <c r="CZ333" s="561">
        <v>0</v>
      </c>
      <c r="DA333" s="561">
        <v>0</v>
      </c>
      <c r="DB333" s="561">
        <v>0</v>
      </c>
      <c r="DC333" s="561">
        <v>0</v>
      </c>
      <c r="DD333" s="561">
        <v>0</v>
      </c>
      <c r="DE333" s="561">
        <v>0</v>
      </c>
      <c r="DF333" s="561">
        <v>0</v>
      </c>
      <c r="DG333" s="561">
        <v>0</v>
      </c>
      <c r="DH333" s="561">
        <v>181</v>
      </c>
      <c r="DI333" s="561">
        <v>0</v>
      </c>
      <c r="DJ333" s="561">
        <v>72</v>
      </c>
      <c r="DK333" s="561">
        <v>-12</v>
      </c>
      <c r="DL333" s="561">
        <v>50</v>
      </c>
      <c r="DM333" s="561">
        <v>0</v>
      </c>
      <c r="DN333" s="561">
        <v>141</v>
      </c>
      <c r="DO333" s="561">
        <v>51</v>
      </c>
      <c r="DP333" s="561">
        <v>0</v>
      </c>
      <c r="DQ333" s="561">
        <v>2</v>
      </c>
      <c r="DR333" s="561">
        <v>0</v>
      </c>
      <c r="DS333" s="561">
        <v>871</v>
      </c>
      <c r="DT333" s="561">
        <v>49</v>
      </c>
      <c r="DU333" s="561">
        <v>1164</v>
      </c>
      <c r="DV333" s="561">
        <v>0</v>
      </c>
      <c r="DW333" s="561">
        <v>0</v>
      </c>
      <c r="DX333" s="561">
        <v>0</v>
      </c>
      <c r="DY333" s="561">
        <v>1201</v>
      </c>
      <c r="DZ333" s="561">
        <v>0</v>
      </c>
      <c r="EA333" s="561">
        <v>-6</v>
      </c>
      <c r="EB333" s="561">
        <v>0</v>
      </c>
      <c r="EC333" s="561">
        <v>2600</v>
      </c>
      <c r="ED333" s="561">
        <v>54</v>
      </c>
      <c r="EE333" s="561">
        <v>26766</v>
      </c>
      <c r="EF333" s="561">
        <v>172</v>
      </c>
      <c r="EG333" s="561">
        <v>1448</v>
      </c>
      <c r="EH333" s="561">
        <v>331</v>
      </c>
      <c r="EI333" s="561">
        <v>0</v>
      </c>
      <c r="EJ333" s="561">
        <v>809</v>
      </c>
      <c r="EK333" s="561">
        <v>220</v>
      </c>
      <c r="EL333" s="561">
        <v>0</v>
      </c>
      <c r="EM333" s="561">
        <v>-7</v>
      </c>
      <c r="EN333" s="561">
        <v>5455</v>
      </c>
      <c r="EO333" s="561">
        <v>4606</v>
      </c>
      <c r="EP333" s="561">
        <v>2181</v>
      </c>
      <c r="EQ333" s="561">
        <v>0</v>
      </c>
      <c r="ER333" s="561">
        <v>3388</v>
      </c>
      <c r="ES333" s="561" t="s">
        <v>4565</v>
      </c>
      <c r="ET333" s="561">
        <v>7130</v>
      </c>
      <c r="EU333" s="561">
        <v>1283</v>
      </c>
      <c r="EV333" s="561">
        <v>0</v>
      </c>
      <c r="EW333" s="561">
        <v>2201</v>
      </c>
      <c r="EX333" s="561">
        <v>0</v>
      </c>
      <c r="EY333" s="561">
        <v>180</v>
      </c>
      <c r="EZ333" s="561">
        <v>3315</v>
      </c>
      <c r="FA333" s="561">
        <v>12407</v>
      </c>
      <c r="FB333" s="561">
        <v>0</v>
      </c>
      <c r="FC333" s="561">
        <v>11</v>
      </c>
      <c r="FD333" s="561">
        <v>0</v>
      </c>
      <c r="FE333" s="561">
        <v>635</v>
      </c>
      <c r="FF333" s="561">
        <v>2</v>
      </c>
      <c r="FG333" s="561">
        <v>0</v>
      </c>
      <c r="FH333" s="561">
        <v>0</v>
      </c>
      <c r="FI333" s="561">
        <v>310</v>
      </c>
      <c r="FJ333" s="561">
        <v>1151</v>
      </c>
      <c r="FK333" s="561">
        <v>528</v>
      </c>
      <c r="FL333" s="561">
        <v>0</v>
      </c>
      <c r="FM333" s="561">
        <v>43</v>
      </c>
      <c r="FN333" s="561">
        <v>0</v>
      </c>
      <c r="FO333" s="561">
        <v>2680</v>
      </c>
      <c r="FP333" s="561">
        <v>1</v>
      </c>
      <c r="FQ333" s="561">
        <v>86</v>
      </c>
      <c r="FR333" s="561">
        <v>0</v>
      </c>
      <c r="FS333" s="561">
        <v>0</v>
      </c>
      <c r="FT333" s="561">
        <v>272</v>
      </c>
      <c r="FU333" s="561">
        <v>324</v>
      </c>
      <c r="FV333" s="561">
        <v>275</v>
      </c>
      <c r="FW333" s="561">
        <v>173</v>
      </c>
      <c r="FX333" s="561">
        <v>6</v>
      </c>
      <c r="FY333" s="561">
        <v>0</v>
      </c>
      <c r="FZ333" s="561">
        <v>143</v>
      </c>
      <c r="GA333" s="561">
        <v>288</v>
      </c>
      <c r="GB333" s="561">
        <v>251</v>
      </c>
      <c r="GC333" s="561">
        <v>29</v>
      </c>
      <c r="GD333" s="561">
        <v>0</v>
      </c>
      <c r="GE333" s="561">
        <v>544</v>
      </c>
      <c r="GF333" s="561">
        <v>16</v>
      </c>
      <c r="GG333" s="561">
        <v>41</v>
      </c>
      <c r="GH333" s="561">
        <v>67</v>
      </c>
      <c r="GI333" s="561">
        <v>202</v>
      </c>
      <c r="GJ333" s="561">
        <v>0</v>
      </c>
      <c r="GK333" s="561">
        <v>0</v>
      </c>
      <c r="GL333" s="561">
        <v>1136</v>
      </c>
      <c r="GM333" s="561">
        <v>1540</v>
      </c>
      <c r="GN333" s="561">
        <v>0</v>
      </c>
      <c r="GO333" s="561">
        <v>0</v>
      </c>
      <c r="GP333" s="561">
        <v>2333.5</v>
      </c>
      <c r="GQ333" s="561">
        <v>0</v>
      </c>
      <c r="GR333" s="561">
        <v>0</v>
      </c>
      <c r="GS333" s="561">
        <v>7726.5</v>
      </c>
      <c r="GT333" s="561">
        <v>23</v>
      </c>
      <c r="GU333" s="561">
        <v>114</v>
      </c>
      <c r="GV333" s="561">
        <v>1003</v>
      </c>
      <c r="GW333" s="561">
        <v>0</v>
      </c>
      <c r="GX333" s="561">
        <v>991</v>
      </c>
      <c r="GY333" s="561">
        <v>792</v>
      </c>
      <c r="GZ333" s="561">
        <v>276</v>
      </c>
      <c r="HA333" s="561">
        <v>0</v>
      </c>
      <c r="HB333" s="561">
        <v>385</v>
      </c>
      <c r="HC333" s="561">
        <v>221</v>
      </c>
      <c r="HD333" s="561">
        <v>3782</v>
      </c>
      <c r="HE333" s="561">
        <v>309</v>
      </c>
      <c r="HF333" s="561">
        <v>14188.5</v>
      </c>
      <c r="HG333" s="561">
        <v>333</v>
      </c>
      <c r="HH333" s="561">
        <v>0</v>
      </c>
      <c r="HI333" s="561">
        <v>0</v>
      </c>
      <c r="HJ333" s="561">
        <v>0</v>
      </c>
      <c r="HK333" s="561">
        <v>0</v>
      </c>
      <c r="HL333" s="561">
        <v>0</v>
      </c>
      <c r="HM333" s="561">
        <v>0</v>
      </c>
      <c r="HN333" s="561">
        <v>0</v>
      </c>
      <c r="HO333" s="561">
        <v>2056</v>
      </c>
      <c r="HP333" s="561">
        <v>742</v>
      </c>
      <c r="HQ333" s="561">
        <v>0</v>
      </c>
      <c r="HR333" s="561">
        <v>0</v>
      </c>
      <c r="HS333" s="561">
        <v>140</v>
      </c>
      <c r="HT333" s="561">
        <v>85</v>
      </c>
      <c r="HU333" s="561">
        <v>0</v>
      </c>
      <c r="HV333" s="561">
        <v>0</v>
      </c>
      <c r="HW333" s="561">
        <v>223</v>
      </c>
      <c r="HX333" s="561">
        <v>244</v>
      </c>
      <c r="HY333" s="561">
        <v>97</v>
      </c>
      <c r="HZ333" s="561">
        <v>33</v>
      </c>
      <c r="IA333" s="561">
        <v>0</v>
      </c>
      <c r="IB333" s="561">
        <v>350</v>
      </c>
      <c r="IC333" s="561">
        <v>0</v>
      </c>
      <c r="ID333" s="561">
        <v>0</v>
      </c>
      <c r="IE333" s="561">
        <v>1194</v>
      </c>
      <c r="IF333" s="561">
        <v>0</v>
      </c>
      <c r="IG333" s="561">
        <v>0</v>
      </c>
      <c r="IH333" s="561">
        <v>-632</v>
      </c>
      <c r="II333" s="561">
        <v>4532</v>
      </c>
      <c r="IJ333" s="561">
        <v>54</v>
      </c>
      <c r="IK333" s="561">
        <v>3045</v>
      </c>
      <c r="IL333" s="561">
        <v>6868</v>
      </c>
      <c r="IM333" s="561">
        <v>2201</v>
      </c>
      <c r="IN333" s="561">
        <v>0</v>
      </c>
      <c r="IO333" s="561">
        <v>176</v>
      </c>
      <c r="IP333" s="561">
        <v>75</v>
      </c>
      <c r="IQ333" s="561">
        <v>0</v>
      </c>
      <c r="IR333" s="561">
        <v>0</v>
      </c>
      <c r="IS333" s="561">
        <v>-261</v>
      </c>
      <c r="IT333" s="561">
        <v>0</v>
      </c>
      <c r="IU333" s="561">
        <v>0</v>
      </c>
      <c r="IV333" s="561">
        <v>0</v>
      </c>
      <c r="IW333" s="561">
        <v>2600</v>
      </c>
      <c r="IX333" s="561">
        <v>2680</v>
      </c>
      <c r="IY333" s="561">
        <v>7726.5</v>
      </c>
      <c r="IZ333" s="561">
        <v>3782</v>
      </c>
      <c r="JA333" s="561">
        <v>0</v>
      </c>
      <c r="JB333" s="561">
        <v>0</v>
      </c>
      <c r="JC333" s="561">
        <v>4532</v>
      </c>
      <c r="JD333" s="561">
        <v>75</v>
      </c>
      <c r="JE333" s="561">
        <v>21134.5</v>
      </c>
      <c r="JF333" s="561">
        <v>8666</v>
      </c>
      <c r="JG333" s="561">
        <v>562</v>
      </c>
      <c r="JH333" s="561">
        <v>7609</v>
      </c>
      <c r="JI333" s="561">
        <v>0</v>
      </c>
      <c r="JJ333" s="561">
        <v>221</v>
      </c>
      <c r="JK333" s="561">
        <v>5467</v>
      </c>
      <c r="JL333" s="561">
        <v>0</v>
      </c>
      <c r="JM333" s="561">
        <v>0</v>
      </c>
      <c r="JN333" s="561">
        <v>0</v>
      </c>
      <c r="JO333" s="561">
        <v>0</v>
      </c>
      <c r="JP333" s="561">
        <v>0</v>
      </c>
      <c r="JQ333" s="561">
        <v>0</v>
      </c>
      <c r="JR333" s="561">
        <v>0</v>
      </c>
      <c r="JS333" s="561">
        <v>0</v>
      </c>
      <c r="JT333" s="561">
        <v>7</v>
      </c>
      <c r="JU333" s="561">
        <v>0</v>
      </c>
      <c r="JV333" s="561">
        <v>43666.5</v>
      </c>
      <c r="JW333" s="561">
        <v>0</v>
      </c>
      <c r="JX333" s="561">
        <v>1800</v>
      </c>
      <c r="JY333" s="561">
        <v>0</v>
      </c>
      <c r="JZ333" s="561">
        <v>0</v>
      </c>
      <c r="KA333" s="561">
        <v>0</v>
      </c>
      <c r="KB333" s="561">
        <v>-71</v>
      </c>
      <c r="KC333" s="561">
        <v>1482</v>
      </c>
      <c r="KD333" s="561">
        <v>0</v>
      </c>
      <c r="KE333" s="561">
        <v>101</v>
      </c>
      <c r="KF333" s="561">
        <v>809</v>
      </c>
      <c r="KG333" s="561">
        <v>47787.5</v>
      </c>
      <c r="KH333" s="561">
        <v>-2086</v>
      </c>
      <c r="KI333" s="561">
        <v>0</v>
      </c>
      <c r="KJ333" s="561">
        <v>0</v>
      </c>
      <c r="KK333" s="561">
        <v>0</v>
      </c>
      <c r="KL333" s="561">
        <v>-16379</v>
      </c>
      <c r="KM333" s="561">
        <v>0</v>
      </c>
      <c r="KN333" s="561">
        <v>-51</v>
      </c>
      <c r="KO333" s="561">
        <v>0</v>
      </c>
      <c r="KP333" s="561">
        <v>0</v>
      </c>
      <c r="KQ333" s="561">
        <v>0</v>
      </c>
      <c r="KR333" s="561">
        <v>29271.5</v>
      </c>
      <c r="KS333" s="561">
        <v>0</v>
      </c>
      <c r="KT333" s="561">
        <v>-2622</v>
      </c>
      <c r="KU333" s="561">
        <v>26649.5</v>
      </c>
      <c r="KV333" s="561">
        <v>0</v>
      </c>
      <c r="KW333" s="561">
        <v>0</v>
      </c>
      <c r="KX333" s="561">
        <v>0</v>
      </c>
      <c r="KY333" s="561">
        <v>0</v>
      </c>
      <c r="KZ333" s="561">
        <v>-2458</v>
      </c>
      <c r="LA333" s="561">
        <v>0</v>
      </c>
      <c r="LB333" s="561">
        <v>-170</v>
      </c>
      <c r="LC333" s="561">
        <v>0</v>
      </c>
      <c r="LD333" s="561">
        <v>-7567</v>
      </c>
      <c r="LE333" s="561">
        <v>128</v>
      </c>
      <c r="LF333" s="561">
        <v>-20</v>
      </c>
      <c r="LG333" s="561">
        <v>16563</v>
      </c>
      <c r="LH333" s="561">
        <v>0</v>
      </c>
      <c r="LI333" s="561">
        <v>0</v>
      </c>
      <c r="LJ333" s="561">
        <v>0</v>
      </c>
      <c r="LK333" s="561">
        <v>0</v>
      </c>
      <c r="LL333" s="561">
        <v>23709</v>
      </c>
      <c r="LM333" s="561">
        <v>2169</v>
      </c>
      <c r="LN333" s="561">
        <v>0</v>
      </c>
      <c r="LO333" s="561">
        <v>0</v>
      </c>
      <c r="LP333" s="561">
        <v>0</v>
      </c>
      <c r="LQ333" s="561">
        <v>0</v>
      </c>
      <c r="LR333" s="561">
        <v>21251</v>
      </c>
      <c r="LS333" s="561">
        <v>2169</v>
      </c>
      <c r="LT333" s="561">
        <v>0</v>
      </c>
      <c r="LU333" s="561">
        <v>2151</v>
      </c>
      <c r="LV333" s="561">
        <v>0</v>
      </c>
      <c r="LW333" s="561">
        <v>-1027</v>
      </c>
      <c r="LX333" s="561">
        <v>-7734</v>
      </c>
      <c r="LY333" s="561">
        <v>8985</v>
      </c>
      <c r="LZ333" s="561">
        <v>1542</v>
      </c>
      <c r="MA333" s="561">
        <v>0</v>
      </c>
      <c r="MB333" s="561">
        <v>0</v>
      </c>
      <c r="MC333" s="561">
        <v>29739</v>
      </c>
      <c r="MD333" s="561">
        <v>26424</v>
      </c>
      <c r="ME333" s="561">
        <v>3315</v>
      </c>
      <c r="MF333" s="561">
        <v>12407</v>
      </c>
      <c r="MG333" s="561">
        <v>15722</v>
      </c>
      <c r="MH333" s="561">
        <v>2794</v>
      </c>
      <c r="MI333" s="561">
        <v>3818</v>
      </c>
      <c r="MJ333" s="561">
        <v>6612</v>
      </c>
      <c r="MK333" s="561">
        <v>0</v>
      </c>
      <c r="ML333" s="561">
        <v>0</v>
      </c>
      <c r="MM333" s="561">
        <v>8415</v>
      </c>
      <c r="MN333" s="561">
        <v>1461</v>
      </c>
      <c r="MO333" s="561">
        <v>11375</v>
      </c>
      <c r="MP333" s="561">
        <v>0</v>
      </c>
      <c r="MQ333" s="561">
        <v>0</v>
      </c>
      <c r="MR333" s="561">
        <v>-261</v>
      </c>
      <c r="MS333" s="561">
        <v>0</v>
      </c>
      <c r="MT333" s="561">
        <v>0</v>
      </c>
      <c r="MU333" s="561">
        <v>0</v>
      </c>
      <c r="MV333" s="561">
        <v>2600</v>
      </c>
      <c r="MW333" s="561">
        <v>2680</v>
      </c>
      <c r="MX333" s="561">
        <v>7726.5</v>
      </c>
      <c r="MY333" s="561">
        <v>3782</v>
      </c>
      <c r="MZ333" s="561">
        <v>0</v>
      </c>
      <c r="NA333" s="561">
        <v>0</v>
      </c>
      <c r="NB333" s="561">
        <v>4532</v>
      </c>
      <c r="NC333" s="561">
        <v>75</v>
      </c>
      <c r="ND333" s="561">
        <v>21134.5</v>
      </c>
      <c r="NE333" s="561">
        <v>0</v>
      </c>
      <c r="NF333" s="561">
        <v>0</v>
      </c>
      <c r="NG333" s="561">
        <v>0</v>
      </c>
      <c r="NH333" s="561">
        <v>0</v>
      </c>
      <c r="NI333" s="561">
        <v>0</v>
      </c>
      <c r="NJ333" s="561">
        <v>0</v>
      </c>
      <c r="NK333" s="561">
        <v>0</v>
      </c>
      <c r="NL333" s="561">
        <v>0</v>
      </c>
      <c r="NM333" s="561">
        <v>0</v>
      </c>
      <c r="NN333" s="561">
        <v>0</v>
      </c>
      <c r="NO333" s="561">
        <v>0</v>
      </c>
      <c r="NP333" s="561">
        <v>0</v>
      </c>
      <c r="NQ333" s="561">
        <v>0</v>
      </c>
      <c r="NR333" s="561">
        <v>0</v>
      </c>
      <c r="NS333" s="561">
        <v>0</v>
      </c>
      <c r="NT333" s="561">
        <v>0</v>
      </c>
      <c r="NU333" s="561">
        <v>-539</v>
      </c>
      <c r="NV333" s="561">
        <v>0</v>
      </c>
      <c r="NW333" s="561">
        <v>0</v>
      </c>
      <c r="NX333" s="561">
        <v>0</v>
      </c>
      <c r="NY333" s="561">
        <v>0</v>
      </c>
      <c r="NZ333" s="561">
        <v>0</v>
      </c>
      <c r="OA333" s="561">
        <v>0</v>
      </c>
      <c r="OB333" s="561">
        <v>0</v>
      </c>
      <c r="OC333" s="561">
        <v>0</v>
      </c>
      <c r="OD333" s="561">
        <v>0</v>
      </c>
      <c r="OE333" s="561">
        <v>0</v>
      </c>
      <c r="OF333" s="561">
        <v>0</v>
      </c>
      <c r="OG333" s="561">
        <v>0</v>
      </c>
      <c r="OH333" s="561">
        <v>0</v>
      </c>
      <c r="OI333" s="561">
        <v>0</v>
      </c>
      <c r="OJ333" s="561">
        <v>0</v>
      </c>
      <c r="OK333" s="561">
        <v>0</v>
      </c>
      <c r="OL333" s="561">
        <v>0</v>
      </c>
      <c r="OM333" s="561">
        <v>0</v>
      </c>
      <c r="ON333" s="561">
        <v>0</v>
      </c>
      <c r="OO333" s="561">
        <v>0</v>
      </c>
      <c r="OP333" s="561">
        <v>0</v>
      </c>
      <c r="OQ333" s="561">
        <v>0</v>
      </c>
      <c r="OR333" s="561">
        <v>0</v>
      </c>
      <c r="OS333" s="561">
        <v>0</v>
      </c>
      <c r="OT333" s="561">
        <v>0</v>
      </c>
      <c r="OU333" s="561">
        <v>0</v>
      </c>
      <c r="OV333" s="561">
        <v>-1642</v>
      </c>
      <c r="OW333" s="561">
        <v>0</v>
      </c>
      <c r="OX333" s="561">
        <v>0</v>
      </c>
      <c r="OY333" s="561">
        <v>0</v>
      </c>
      <c r="OZ333" s="561">
        <v>0</v>
      </c>
      <c r="PA333" s="561">
        <v>0</v>
      </c>
      <c r="PB333" s="561">
        <v>0</v>
      </c>
      <c r="PC333" s="561">
        <v>0</v>
      </c>
      <c r="PD333" s="561">
        <v>0</v>
      </c>
      <c r="PE333" s="561">
        <v>0</v>
      </c>
      <c r="PF333" s="561">
        <v>0</v>
      </c>
      <c r="PG333" s="561">
        <v>0</v>
      </c>
      <c r="PH333" s="561">
        <v>0</v>
      </c>
      <c r="PI333" s="561">
        <v>0</v>
      </c>
      <c r="PJ333" s="561">
        <v>0</v>
      </c>
    </row>
    <row r="334" spans="1:426" ht="14" x14ac:dyDescent="0.3">
      <c r="A334" t="s">
        <v>3445</v>
      </c>
      <c r="B334" t="s">
        <v>3446</v>
      </c>
      <c r="C334" t="s">
        <v>4669</v>
      </c>
      <c r="E334" t="s">
        <v>2595</v>
      </c>
      <c r="F334" s="561">
        <v>70335.929999999993</v>
      </c>
      <c r="G334" s="561">
        <v>137531.65</v>
      </c>
      <c r="H334" s="561">
        <v>36959.29</v>
      </c>
      <c r="I334" s="561">
        <v>102263.34</v>
      </c>
      <c r="J334" s="561">
        <v>6773.94</v>
      </c>
      <c r="K334" s="561">
        <v>85884.09</v>
      </c>
      <c r="L334" s="561">
        <v>439748.24</v>
      </c>
      <c r="M334" s="561">
        <v>3185</v>
      </c>
      <c r="N334" s="561">
        <v>6206</v>
      </c>
      <c r="O334" s="561">
        <v>1024</v>
      </c>
      <c r="P334" s="561">
        <v>145</v>
      </c>
      <c r="Q334" s="561">
        <v>0</v>
      </c>
      <c r="R334" s="561">
        <v>953</v>
      </c>
      <c r="S334" s="561">
        <v>89</v>
      </c>
      <c r="T334" s="561">
        <v>6486</v>
      </c>
      <c r="U334" s="561">
        <v>4258</v>
      </c>
      <c r="V334" s="561">
        <v>3241</v>
      </c>
      <c r="W334" s="561">
        <v>0</v>
      </c>
      <c r="X334" s="561">
        <v>0</v>
      </c>
      <c r="Y334" s="561">
        <v>980</v>
      </c>
      <c r="Z334" s="561">
        <v>278</v>
      </c>
      <c r="AA334" s="561">
        <v>0</v>
      </c>
      <c r="AB334" s="561">
        <v>0</v>
      </c>
      <c r="AC334" s="561">
        <v>6796</v>
      </c>
      <c r="AD334" s="561">
        <v>75</v>
      </c>
      <c r="AE334" s="561">
        <v>5403</v>
      </c>
      <c r="AF334" s="561">
        <v>0</v>
      </c>
      <c r="AG334" s="561">
        <v>0</v>
      </c>
      <c r="AH334" s="561">
        <v>2165</v>
      </c>
      <c r="AI334" s="561">
        <v>0</v>
      </c>
      <c r="AJ334" s="561">
        <v>38099</v>
      </c>
      <c r="AK334" s="561">
        <v>404</v>
      </c>
      <c r="AL334" s="561">
        <v>0</v>
      </c>
      <c r="AM334" s="561">
        <v>0</v>
      </c>
      <c r="AN334" s="561">
        <v>0</v>
      </c>
      <c r="AO334" s="561">
        <v>0</v>
      </c>
      <c r="AP334" s="561">
        <v>0</v>
      </c>
      <c r="AQ334" s="561">
        <v>0</v>
      </c>
      <c r="AR334" s="561">
        <v>0</v>
      </c>
      <c r="AS334" s="561">
        <v>0</v>
      </c>
      <c r="AT334" s="561">
        <v>0</v>
      </c>
      <c r="AU334" s="561">
        <v>0</v>
      </c>
      <c r="AV334" s="561">
        <v>0</v>
      </c>
      <c r="AW334" s="561">
        <v>0</v>
      </c>
      <c r="AX334" s="561">
        <v>6313.81</v>
      </c>
      <c r="AY334" s="561">
        <v>87444.9</v>
      </c>
      <c r="AZ334" s="561">
        <v>972.34</v>
      </c>
      <c r="BA334" s="561">
        <v>20075.310000000001</v>
      </c>
      <c r="BB334" s="561">
        <v>3801.66</v>
      </c>
      <c r="BC334" s="561">
        <v>24197.200000000001</v>
      </c>
      <c r="BD334" s="561">
        <v>1321.94</v>
      </c>
      <c r="BE334" s="561">
        <v>1721.69</v>
      </c>
      <c r="BF334" s="561">
        <v>145848.85</v>
      </c>
      <c r="BG334" s="561">
        <v>3852</v>
      </c>
      <c r="BH334" s="561">
        <v>17795</v>
      </c>
      <c r="BI334" s="561">
        <v>117644</v>
      </c>
      <c r="BJ334" s="561">
        <v>589</v>
      </c>
      <c r="BK334" s="561">
        <v>799</v>
      </c>
      <c r="BL334" s="561">
        <v>2107</v>
      </c>
      <c r="BM334" s="561">
        <v>27194</v>
      </c>
      <c r="BN334" s="561">
        <v>93063</v>
      </c>
      <c r="BO334" s="561">
        <v>15628</v>
      </c>
      <c r="BP334" s="561">
        <v>12343</v>
      </c>
      <c r="BQ334" s="561">
        <v>9598</v>
      </c>
      <c r="BR334" s="561">
        <v>157</v>
      </c>
      <c r="BS334" s="561">
        <v>4840</v>
      </c>
      <c r="BT334" s="561">
        <v>0</v>
      </c>
      <c r="BU334" s="561">
        <v>-1326</v>
      </c>
      <c r="BV334" s="561">
        <v>4054</v>
      </c>
      <c r="BW334" s="561">
        <v>32262</v>
      </c>
      <c r="BX334" s="561">
        <v>2934</v>
      </c>
      <c r="BY334" s="561">
        <v>23769</v>
      </c>
      <c r="BZ334" s="561">
        <v>363450</v>
      </c>
      <c r="CA334" s="561">
        <v>1831</v>
      </c>
      <c r="CB334" s="561">
        <v>3400.81</v>
      </c>
      <c r="CC334" s="561">
        <v>1953.39</v>
      </c>
      <c r="CD334" s="561">
        <v>472.22</v>
      </c>
      <c r="CE334" s="561">
        <v>1048.48</v>
      </c>
      <c r="CF334" s="561">
        <v>235.35</v>
      </c>
      <c r="CG334" s="561">
        <v>614.02</v>
      </c>
      <c r="CH334" s="561">
        <v>1668.97</v>
      </c>
      <c r="CI334" s="561">
        <v>602.37</v>
      </c>
      <c r="CJ334" s="561">
        <v>637.51</v>
      </c>
      <c r="CK334" s="561">
        <v>745.04</v>
      </c>
      <c r="CL334" s="561">
        <v>215.07</v>
      </c>
      <c r="CM334" s="561">
        <v>4593.22</v>
      </c>
      <c r="CN334" s="561">
        <v>2347.6999999999998</v>
      </c>
      <c r="CO334" s="561">
        <v>424.65</v>
      </c>
      <c r="CP334" s="561">
        <v>352.14</v>
      </c>
      <c r="CQ334" s="561">
        <v>435.8</v>
      </c>
      <c r="CR334" s="561">
        <v>2506.91</v>
      </c>
      <c r="CS334" s="561">
        <v>78.45</v>
      </c>
      <c r="CT334" s="561">
        <v>3110.99</v>
      </c>
      <c r="CU334" s="561">
        <v>7525.18</v>
      </c>
      <c r="CV334" s="561">
        <v>820</v>
      </c>
      <c r="CW334" s="561">
        <v>235.35</v>
      </c>
      <c r="CX334" s="561">
        <v>674.14</v>
      </c>
      <c r="CY334" s="561">
        <v>4465.3</v>
      </c>
      <c r="CZ334" s="561">
        <v>39163.06</v>
      </c>
      <c r="DA334" s="561">
        <v>41</v>
      </c>
      <c r="DB334" s="561">
        <v>1230.6300000000001</v>
      </c>
      <c r="DC334" s="561">
        <v>0</v>
      </c>
      <c r="DD334" s="561">
        <v>221.56</v>
      </c>
      <c r="DE334" s="561">
        <v>0</v>
      </c>
      <c r="DF334" s="561">
        <v>0</v>
      </c>
      <c r="DG334" s="561">
        <v>0</v>
      </c>
      <c r="DH334" s="561">
        <v>164</v>
      </c>
      <c r="DI334" s="561">
        <v>0</v>
      </c>
      <c r="DJ334" s="561">
        <v>0</v>
      </c>
      <c r="DK334" s="561">
        <v>0</v>
      </c>
      <c r="DL334" s="561">
        <v>0</v>
      </c>
      <c r="DM334" s="561">
        <v>0</v>
      </c>
      <c r="DN334" s="561">
        <v>0</v>
      </c>
      <c r="DO334" s="561">
        <v>0</v>
      </c>
      <c r="DP334" s="561">
        <v>0</v>
      </c>
      <c r="DQ334" s="561">
        <v>0</v>
      </c>
      <c r="DR334" s="561">
        <v>0</v>
      </c>
      <c r="DS334" s="561">
        <v>0</v>
      </c>
      <c r="DT334" s="561">
        <v>0</v>
      </c>
      <c r="DU334" s="561">
        <v>0</v>
      </c>
      <c r="DV334" s="561">
        <v>0</v>
      </c>
      <c r="DW334" s="561">
        <v>0</v>
      </c>
      <c r="DX334" s="561">
        <v>0</v>
      </c>
      <c r="DY334" s="561">
        <v>0</v>
      </c>
      <c r="DZ334" s="561">
        <v>0</v>
      </c>
      <c r="EA334" s="561">
        <v>3455</v>
      </c>
      <c r="EB334" s="561">
        <v>0</v>
      </c>
      <c r="EC334" s="561">
        <v>3619</v>
      </c>
      <c r="ED334" s="561">
        <v>0</v>
      </c>
      <c r="EE334" s="561">
        <v>0</v>
      </c>
      <c r="EF334" s="561">
        <v>0</v>
      </c>
      <c r="EG334" s="561">
        <v>0</v>
      </c>
      <c r="EH334" s="561">
        <v>0</v>
      </c>
      <c r="EI334" s="561">
        <v>0</v>
      </c>
      <c r="EJ334" s="561">
        <v>0</v>
      </c>
      <c r="EK334" s="561">
        <v>0</v>
      </c>
      <c r="EL334" s="561">
        <v>0</v>
      </c>
      <c r="EM334" s="561">
        <v>0</v>
      </c>
      <c r="EN334" s="561">
        <v>0</v>
      </c>
      <c r="EO334" s="561">
        <v>0</v>
      </c>
      <c r="EP334" s="561">
        <v>0</v>
      </c>
      <c r="EQ334" s="561">
        <v>0</v>
      </c>
      <c r="ER334" s="561">
        <v>0</v>
      </c>
      <c r="ES334" s="561" t="s">
        <v>4565</v>
      </c>
      <c r="ET334" s="561">
        <v>0</v>
      </c>
      <c r="EU334" s="561">
        <v>0</v>
      </c>
      <c r="EV334" s="561">
        <v>0</v>
      </c>
      <c r="EW334" s="561">
        <v>0</v>
      </c>
      <c r="EX334" s="561">
        <v>0</v>
      </c>
      <c r="EY334" s="561">
        <v>0</v>
      </c>
      <c r="EZ334" s="561">
        <v>0</v>
      </c>
      <c r="FA334" s="561">
        <v>0</v>
      </c>
      <c r="FB334" s="561">
        <v>1374</v>
      </c>
      <c r="FC334" s="561">
        <v>38</v>
      </c>
      <c r="FD334" s="561">
        <v>0</v>
      </c>
      <c r="FE334" s="561">
        <v>-1</v>
      </c>
      <c r="FF334" s="561">
        <v>0</v>
      </c>
      <c r="FG334" s="561">
        <v>0</v>
      </c>
      <c r="FH334" s="561">
        <v>0</v>
      </c>
      <c r="FI334" s="561">
        <v>0</v>
      </c>
      <c r="FJ334" s="561">
        <v>0</v>
      </c>
      <c r="FK334" s="561">
        <v>2685</v>
      </c>
      <c r="FL334" s="561">
        <v>0</v>
      </c>
      <c r="FM334" s="561">
        <v>0</v>
      </c>
      <c r="FN334" s="561">
        <v>8120</v>
      </c>
      <c r="FO334" s="561">
        <v>12216</v>
      </c>
      <c r="FP334" s="561">
        <v>21</v>
      </c>
      <c r="FQ334" s="561">
        <v>0</v>
      </c>
      <c r="FR334" s="561">
        <v>2210</v>
      </c>
      <c r="FS334" s="561">
        <v>0</v>
      </c>
      <c r="FT334" s="561">
        <v>0</v>
      </c>
      <c r="FU334" s="561">
        <v>0</v>
      </c>
      <c r="FV334" s="561">
        <v>0</v>
      </c>
      <c r="FW334" s="561">
        <v>0</v>
      </c>
      <c r="FX334" s="561">
        <v>0</v>
      </c>
      <c r="FY334" s="561">
        <v>0</v>
      </c>
      <c r="FZ334" s="561">
        <v>0</v>
      </c>
      <c r="GA334" s="561">
        <v>0</v>
      </c>
      <c r="GB334" s="561">
        <v>0</v>
      </c>
      <c r="GC334" s="561">
        <v>0</v>
      </c>
      <c r="GD334" s="561">
        <v>0</v>
      </c>
      <c r="GE334" s="561">
        <v>0</v>
      </c>
      <c r="GF334" s="561">
        <v>0</v>
      </c>
      <c r="GG334" s="561">
        <v>1221</v>
      </c>
      <c r="GH334" s="561">
        <v>0</v>
      </c>
      <c r="GI334" s="561">
        <v>0</v>
      </c>
      <c r="GJ334" s="561">
        <v>0</v>
      </c>
      <c r="GK334" s="561">
        <v>-400</v>
      </c>
      <c r="GL334" s="561">
        <v>0</v>
      </c>
      <c r="GM334" s="561">
        <v>0</v>
      </c>
      <c r="GN334" s="561">
        <v>13275</v>
      </c>
      <c r="GO334" s="561">
        <v>0</v>
      </c>
      <c r="GP334" s="561">
        <v>0</v>
      </c>
      <c r="GQ334" s="561">
        <v>0</v>
      </c>
      <c r="GR334" s="561">
        <v>0</v>
      </c>
      <c r="GS334" s="561">
        <v>16306</v>
      </c>
      <c r="GT334" s="561">
        <v>22</v>
      </c>
      <c r="GU334" s="561">
        <v>0</v>
      </c>
      <c r="GV334" s="561">
        <v>-349</v>
      </c>
      <c r="GW334" s="561">
        <v>0</v>
      </c>
      <c r="GX334" s="561">
        <v>0</v>
      </c>
      <c r="GY334" s="561">
        <v>815</v>
      </c>
      <c r="GZ334" s="561">
        <v>-16644</v>
      </c>
      <c r="HA334" s="561">
        <v>0</v>
      </c>
      <c r="HB334" s="561">
        <v>0</v>
      </c>
      <c r="HC334" s="561">
        <v>0</v>
      </c>
      <c r="HD334" s="561">
        <v>-16178</v>
      </c>
      <c r="HE334" s="561">
        <v>172</v>
      </c>
      <c r="HF334" s="561">
        <v>12344</v>
      </c>
      <c r="HG334" s="561">
        <v>215</v>
      </c>
      <c r="HH334" s="561">
        <v>0</v>
      </c>
      <c r="HI334" s="561">
        <v>0</v>
      </c>
      <c r="HJ334" s="561">
        <v>2948.53</v>
      </c>
      <c r="HK334" s="561">
        <v>31762.52</v>
      </c>
      <c r="HL334" s="561">
        <v>793.57</v>
      </c>
      <c r="HM334" s="561">
        <v>35504.620000000003</v>
      </c>
      <c r="HN334" s="561">
        <v>0</v>
      </c>
      <c r="HO334" s="561">
        <v>5847</v>
      </c>
      <c r="HP334" s="561">
        <v>0</v>
      </c>
      <c r="HQ334" s="561">
        <v>0</v>
      </c>
      <c r="HR334" s="561">
        <v>0</v>
      </c>
      <c r="HS334" s="561">
        <v>0</v>
      </c>
      <c r="HT334" s="561">
        <v>0</v>
      </c>
      <c r="HU334" s="561">
        <v>0</v>
      </c>
      <c r="HV334" s="561">
        <v>215.81</v>
      </c>
      <c r="HW334" s="561">
        <v>0</v>
      </c>
      <c r="HX334" s="561">
        <v>48</v>
      </c>
      <c r="HY334" s="561">
        <v>402</v>
      </c>
      <c r="HZ334" s="561">
        <v>-53</v>
      </c>
      <c r="IA334" s="561">
        <v>10228</v>
      </c>
      <c r="IB334" s="561">
        <v>667.14</v>
      </c>
      <c r="IC334" s="561">
        <v>2329</v>
      </c>
      <c r="ID334" s="561">
        <v>0</v>
      </c>
      <c r="IE334" s="561">
        <v>1554.94</v>
      </c>
      <c r="IF334" s="561">
        <v>586.26</v>
      </c>
      <c r="IG334" s="561">
        <v>0</v>
      </c>
      <c r="IH334" s="561">
        <v>0.28000000000000003</v>
      </c>
      <c r="II334" s="561">
        <v>21825.43</v>
      </c>
      <c r="IJ334" s="561">
        <v>19</v>
      </c>
      <c r="IK334" s="561">
        <v>40422</v>
      </c>
      <c r="IL334" s="561">
        <v>0</v>
      </c>
      <c r="IM334" s="561">
        <v>0</v>
      </c>
      <c r="IN334" s="561">
        <v>0</v>
      </c>
      <c r="IO334" s="561">
        <v>0</v>
      </c>
      <c r="IP334" s="561">
        <v>0</v>
      </c>
      <c r="IQ334" s="561">
        <v>0</v>
      </c>
      <c r="IR334" s="561">
        <v>439748.24</v>
      </c>
      <c r="IS334" s="561">
        <v>38099</v>
      </c>
      <c r="IT334" s="561">
        <v>145848.85</v>
      </c>
      <c r="IU334" s="561">
        <v>363450</v>
      </c>
      <c r="IV334" s="561">
        <v>39163.06</v>
      </c>
      <c r="IW334" s="561">
        <v>3619</v>
      </c>
      <c r="IX334" s="561">
        <v>12216</v>
      </c>
      <c r="IY334" s="561">
        <v>16306</v>
      </c>
      <c r="IZ334" s="561">
        <v>-16178</v>
      </c>
      <c r="JA334" s="561">
        <v>0</v>
      </c>
      <c r="JB334" s="561">
        <v>35504.620000000003</v>
      </c>
      <c r="JC334" s="561">
        <v>21825.43</v>
      </c>
      <c r="JD334" s="561">
        <v>0</v>
      </c>
      <c r="JE334" s="561">
        <v>1099602.2</v>
      </c>
      <c r="JF334" s="561">
        <v>0</v>
      </c>
      <c r="JG334" s="561">
        <v>0</v>
      </c>
      <c r="JH334" s="561">
        <v>0</v>
      </c>
      <c r="JI334" s="561">
        <v>0</v>
      </c>
      <c r="JJ334" s="561">
        <v>0</v>
      </c>
      <c r="JK334" s="561">
        <v>0</v>
      </c>
      <c r="JL334" s="561">
        <v>0</v>
      </c>
      <c r="JM334" s="561">
        <v>0</v>
      </c>
      <c r="JN334" s="561">
        <v>0</v>
      </c>
      <c r="JO334" s="561">
        <v>498</v>
      </c>
      <c r="JP334" s="561">
        <v>0</v>
      </c>
      <c r="JQ334" s="561">
        <v>14</v>
      </c>
      <c r="JR334" s="561">
        <v>0</v>
      </c>
      <c r="JS334" s="561">
        <v>0</v>
      </c>
      <c r="JT334" s="561">
        <v>-688</v>
      </c>
      <c r="JU334" s="561">
        <v>0</v>
      </c>
      <c r="JV334" s="561">
        <v>1099426.2</v>
      </c>
      <c r="JW334" s="561">
        <v>850</v>
      </c>
      <c r="JX334" s="561">
        <v>8323</v>
      </c>
      <c r="JY334" s="561">
        <v>0</v>
      </c>
      <c r="JZ334" s="561">
        <v>0</v>
      </c>
      <c r="KA334" s="561">
        <v>0</v>
      </c>
      <c r="KB334" s="561">
        <v>1676</v>
      </c>
      <c r="KC334" s="561">
        <v>13425</v>
      </c>
      <c r="KD334" s="561">
        <v>0</v>
      </c>
      <c r="KE334" s="561">
        <v>26269.34</v>
      </c>
      <c r="KF334" s="561">
        <v>0</v>
      </c>
      <c r="KG334" s="561">
        <v>1149969.54</v>
      </c>
      <c r="KH334" s="561">
        <v>-3495</v>
      </c>
      <c r="KI334" s="561">
        <v>2868.66</v>
      </c>
      <c r="KJ334" s="561">
        <v>0</v>
      </c>
      <c r="KK334" s="561">
        <v>0</v>
      </c>
      <c r="KL334" s="561">
        <v>-6607.35</v>
      </c>
      <c r="KM334" s="561">
        <v>0</v>
      </c>
      <c r="KN334" s="561">
        <v>0</v>
      </c>
      <c r="KO334" s="561">
        <v>0</v>
      </c>
      <c r="KP334" s="561">
        <v>0</v>
      </c>
      <c r="KQ334" s="561">
        <v>-43537</v>
      </c>
      <c r="KR334" s="561">
        <v>1099198.8500000001</v>
      </c>
      <c r="KS334" s="561">
        <v>-114</v>
      </c>
      <c r="KT334" s="561">
        <v>-521037.24</v>
      </c>
      <c r="KU334" s="561">
        <v>578047.61</v>
      </c>
      <c r="KV334" s="561">
        <v>0</v>
      </c>
      <c r="KW334" s="561">
        <v>-2425</v>
      </c>
      <c r="KX334" s="561">
        <v>0</v>
      </c>
      <c r="KY334" s="561">
        <v>-468</v>
      </c>
      <c r="KZ334" s="561">
        <v>13307</v>
      </c>
      <c r="LA334" s="561">
        <v>2219</v>
      </c>
      <c r="LB334" s="561">
        <v>-21509</v>
      </c>
      <c r="LC334" s="561">
        <v>0</v>
      </c>
      <c r="LD334" s="561">
        <v>-148740</v>
      </c>
      <c r="LE334" s="561">
        <v>-2132</v>
      </c>
      <c r="LF334" s="561">
        <v>7</v>
      </c>
      <c r="LG334" s="561">
        <v>418307</v>
      </c>
      <c r="LH334" s="561">
        <v>17523</v>
      </c>
      <c r="LI334" s="561">
        <v>-54101</v>
      </c>
      <c r="LJ334" s="561">
        <v>0</v>
      </c>
      <c r="LK334" s="561">
        <v>5627</v>
      </c>
      <c r="LL334" s="561">
        <v>122634</v>
      </c>
      <c r="LM334" s="561">
        <v>22344</v>
      </c>
      <c r="LN334" s="561">
        <v>15098</v>
      </c>
      <c r="LO334" s="561">
        <v>-97638</v>
      </c>
      <c r="LP334" s="561">
        <v>0</v>
      </c>
      <c r="LQ334" s="561">
        <v>5159</v>
      </c>
      <c r="LR334" s="561">
        <v>135941</v>
      </c>
      <c r="LS334" s="561">
        <v>24563</v>
      </c>
      <c r="LT334" s="561">
        <v>0</v>
      </c>
      <c r="LU334" s="561">
        <v>57743</v>
      </c>
      <c r="LV334" s="561">
        <v>0</v>
      </c>
      <c r="LW334" s="561">
        <v>-10512</v>
      </c>
      <c r="LX334" s="561">
        <v>-65072</v>
      </c>
      <c r="LY334" s="561">
        <v>22503</v>
      </c>
      <c r="LZ334" s="561">
        <v>4662</v>
      </c>
      <c r="MA334" s="561">
        <v>0</v>
      </c>
      <c r="MB334" s="561">
        <v>0</v>
      </c>
      <c r="MC334" s="561">
        <v>0</v>
      </c>
      <c r="MD334" s="561">
        <v>0</v>
      </c>
      <c r="ME334" s="561">
        <v>0</v>
      </c>
      <c r="MF334" s="561">
        <v>0</v>
      </c>
      <c r="MG334" s="561">
        <v>0</v>
      </c>
      <c r="MH334" s="561">
        <v>0</v>
      </c>
      <c r="MI334" s="561">
        <v>0</v>
      </c>
      <c r="MJ334" s="561">
        <v>0</v>
      </c>
      <c r="MK334" s="561">
        <v>0</v>
      </c>
      <c r="ML334" s="561">
        <v>0</v>
      </c>
      <c r="MM334" s="561">
        <v>90963</v>
      </c>
      <c r="MN334" s="561">
        <v>44978</v>
      </c>
      <c r="MO334" s="561">
        <v>0</v>
      </c>
      <c r="MP334" s="561">
        <v>0</v>
      </c>
      <c r="MQ334" s="561">
        <v>439748.24</v>
      </c>
      <c r="MR334" s="561">
        <v>38099</v>
      </c>
      <c r="MS334" s="561">
        <v>145848.85</v>
      </c>
      <c r="MT334" s="561">
        <v>363450</v>
      </c>
      <c r="MU334" s="561">
        <v>39163.06</v>
      </c>
      <c r="MV334" s="561">
        <v>3619</v>
      </c>
      <c r="MW334" s="561">
        <v>12216</v>
      </c>
      <c r="MX334" s="561">
        <v>16306</v>
      </c>
      <c r="MY334" s="561">
        <v>-16178</v>
      </c>
      <c r="MZ334" s="561">
        <v>0</v>
      </c>
      <c r="NA334" s="561">
        <v>35504.620000000003</v>
      </c>
      <c r="NB334" s="561">
        <v>21825.43</v>
      </c>
      <c r="NC334" s="561">
        <v>0</v>
      </c>
      <c r="ND334" s="561">
        <v>1099602.2</v>
      </c>
      <c r="NE334" s="561">
        <v>0</v>
      </c>
      <c r="NF334" s="561">
        <v>0</v>
      </c>
      <c r="NG334" s="561">
        <v>0</v>
      </c>
      <c r="NH334" s="561">
        <v>0</v>
      </c>
      <c r="NI334" s="561">
        <v>0</v>
      </c>
      <c r="NJ334" s="561">
        <v>0</v>
      </c>
      <c r="NK334" s="561">
        <v>0</v>
      </c>
      <c r="NL334" s="561">
        <v>0</v>
      </c>
      <c r="NM334" s="561">
        <v>0</v>
      </c>
      <c r="NN334" s="561">
        <v>0</v>
      </c>
      <c r="NO334" s="561">
        <v>0</v>
      </c>
      <c r="NP334" s="561">
        <v>0</v>
      </c>
      <c r="NQ334" s="561">
        <v>0</v>
      </c>
      <c r="NR334" s="561">
        <v>0</v>
      </c>
      <c r="NS334" s="561">
        <v>0</v>
      </c>
      <c r="NT334" s="561">
        <v>0</v>
      </c>
      <c r="NU334" s="561">
        <v>0</v>
      </c>
      <c r="NV334" s="561">
        <v>0</v>
      </c>
      <c r="NW334" s="561">
        <v>0</v>
      </c>
      <c r="NX334" s="561">
        <v>0</v>
      </c>
      <c r="NY334" s="561">
        <v>0</v>
      </c>
      <c r="NZ334" s="561">
        <v>0</v>
      </c>
      <c r="OA334" s="561">
        <v>0</v>
      </c>
      <c r="OB334" s="561">
        <v>0</v>
      </c>
      <c r="OC334" s="561">
        <v>0</v>
      </c>
      <c r="OD334" s="561">
        <v>0</v>
      </c>
      <c r="OE334" s="561">
        <v>0</v>
      </c>
      <c r="OF334" s="561">
        <v>0</v>
      </c>
      <c r="OG334" s="561">
        <v>0</v>
      </c>
      <c r="OH334" s="561">
        <v>0</v>
      </c>
      <c r="OI334" s="561">
        <v>0</v>
      </c>
      <c r="OJ334" s="561">
        <v>0</v>
      </c>
      <c r="OK334" s="561">
        <v>0</v>
      </c>
      <c r="OL334" s="561">
        <v>0</v>
      </c>
      <c r="OM334" s="561">
        <v>0</v>
      </c>
      <c r="ON334" s="561">
        <v>0</v>
      </c>
      <c r="OO334" s="561">
        <v>0</v>
      </c>
      <c r="OP334" s="561">
        <v>0</v>
      </c>
      <c r="OQ334" s="561">
        <v>0</v>
      </c>
      <c r="OR334" s="561">
        <v>0</v>
      </c>
      <c r="OS334" s="561">
        <v>0</v>
      </c>
      <c r="OT334" s="561">
        <v>0</v>
      </c>
      <c r="OU334" s="561">
        <v>0</v>
      </c>
      <c r="OV334" s="561">
        <v>0</v>
      </c>
      <c r="OW334" s="561">
        <v>0</v>
      </c>
      <c r="OX334" s="561">
        <v>14</v>
      </c>
      <c r="OY334" s="561">
        <v>0</v>
      </c>
      <c r="OZ334" s="561">
        <v>0</v>
      </c>
      <c r="PA334" s="561">
        <v>0</v>
      </c>
      <c r="PB334" s="561">
        <v>0</v>
      </c>
      <c r="PC334" s="561">
        <v>0</v>
      </c>
      <c r="PD334" s="561">
        <v>0</v>
      </c>
      <c r="PE334" s="561">
        <v>0</v>
      </c>
      <c r="PF334" s="561">
        <v>0</v>
      </c>
      <c r="PG334" s="561">
        <v>0</v>
      </c>
      <c r="PH334" s="561">
        <v>0</v>
      </c>
      <c r="PI334" s="561">
        <v>0</v>
      </c>
      <c r="PJ334" s="561">
        <v>0</v>
      </c>
    </row>
    <row r="335" spans="1:426" ht="14" x14ac:dyDescent="0.3">
      <c r="A335" t="s">
        <v>3448</v>
      </c>
      <c r="B335" t="s">
        <v>3449</v>
      </c>
      <c r="C335" t="s">
        <v>3450</v>
      </c>
      <c r="E335" t="s">
        <v>2466</v>
      </c>
      <c r="F335" s="561">
        <v>0</v>
      </c>
      <c r="G335" s="561">
        <v>0</v>
      </c>
      <c r="H335" s="561">
        <v>0</v>
      </c>
      <c r="I335" s="561">
        <v>0</v>
      </c>
      <c r="J335" s="561">
        <v>0</v>
      </c>
      <c r="K335" s="561">
        <v>0</v>
      </c>
      <c r="L335" s="561">
        <v>0</v>
      </c>
      <c r="M335" s="561">
        <v>0</v>
      </c>
      <c r="N335" s="561">
        <v>0</v>
      </c>
      <c r="O335" s="561">
        <v>0</v>
      </c>
      <c r="P335" s="561">
        <v>0</v>
      </c>
      <c r="Q335" s="561">
        <v>0</v>
      </c>
      <c r="R335" s="561">
        <v>0</v>
      </c>
      <c r="S335" s="561">
        <v>0</v>
      </c>
      <c r="T335" s="561">
        <v>0</v>
      </c>
      <c r="U335" s="561">
        <v>0</v>
      </c>
      <c r="V335" s="561">
        <v>0</v>
      </c>
      <c r="W335" s="561">
        <v>0</v>
      </c>
      <c r="X335" s="561">
        <v>0</v>
      </c>
      <c r="Y335" s="561">
        <v>0</v>
      </c>
      <c r="Z335" s="561">
        <v>0</v>
      </c>
      <c r="AA335" s="561">
        <v>0</v>
      </c>
      <c r="AB335" s="561">
        <v>0</v>
      </c>
      <c r="AC335" s="561">
        <v>0</v>
      </c>
      <c r="AD335" s="561">
        <v>0</v>
      </c>
      <c r="AE335" s="561">
        <v>0</v>
      </c>
      <c r="AF335" s="561">
        <v>0</v>
      </c>
      <c r="AG335" s="561">
        <v>0</v>
      </c>
      <c r="AH335" s="561">
        <v>0</v>
      </c>
      <c r="AI335" s="561">
        <v>0</v>
      </c>
      <c r="AJ335" s="561">
        <v>0</v>
      </c>
      <c r="AK335" s="561">
        <v>0</v>
      </c>
      <c r="AL335" s="561">
        <v>0</v>
      </c>
      <c r="AM335" s="561">
        <v>0</v>
      </c>
      <c r="AN335" s="561">
        <v>0</v>
      </c>
      <c r="AO335" s="561">
        <v>0</v>
      </c>
      <c r="AP335" s="561">
        <v>0</v>
      </c>
      <c r="AQ335" s="561">
        <v>0</v>
      </c>
      <c r="AR335" s="561">
        <v>0</v>
      </c>
      <c r="AS335" s="561">
        <v>0</v>
      </c>
      <c r="AT335" s="561">
        <v>0</v>
      </c>
      <c r="AU335" s="561">
        <v>0</v>
      </c>
      <c r="AV335" s="561">
        <v>0</v>
      </c>
      <c r="AW335" s="561">
        <v>0</v>
      </c>
      <c r="AX335" s="561">
        <v>0</v>
      </c>
      <c r="AY335" s="561">
        <v>0</v>
      </c>
      <c r="AZ335" s="561">
        <v>0</v>
      </c>
      <c r="BA335" s="561">
        <v>0</v>
      </c>
      <c r="BB335" s="561">
        <v>0</v>
      </c>
      <c r="BC335" s="561">
        <v>0</v>
      </c>
      <c r="BD335" s="561">
        <v>0</v>
      </c>
      <c r="BE335" s="561">
        <v>0</v>
      </c>
      <c r="BF335" s="561">
        <v>0</v>
      </c>
      <c r="BG335" s="561">
        <v>0</v>
      </c>
      <c r="BH335" s="561">
        <v>0</v>
      </c>
      <c r="BI335" s="561">
        <v>0</v>
      </c>
      <c r="BJ335" s="561">
        <v>0</v>
      </c>
      <c r="BK335" s="561">
        <v>0</v>
      </c>
      <c r="BL335" s="561">
        <v>0</v>
      </c>
      <c r="BM335" s="561">
        <v>0</v>
      </c>
      <c r="BN335" s="561">
        <v>0</v>
      </c>
      <c r="BO335" s="561">
        <v>0</v>
      </c>
      <c r="BP335" s="561">
        <v>0</v>
      </c>
      <c r="BQ335" s="561">
        <v>0</v>
      </c>
      <c r="BR335" s="561">
        <v>0</v>
      </c>
      <c r="BS335" s="561">
        <v>0</v>
      </c>
      <c r="BT335" s="561">
        <v>0</v>
      </c>
      <c r="BU335" s="561">
        <v>0</v>
      </c>
      <c r="BV335" s="561">
        <v>0</v>
      </c>
      <c r="BW335" s="561">
        <v>0</v>
      </c>
      <c r="BX335" s="561">
        <v>0</v>
      </c>
      <c r="BY335" s="561">
        <v>0</v>
      </c>
      <c r="BZ335" s="561">
        <v>0</v>
      </c>
      <c r="CA335" s="561">
        <v>0</v>
      </c>
      <c r="CB335" s="561">
        <v>0</v>
      </c>
      <c r="CC335" s="561">
        <v>0</v>
      </c>
      <c r="CD335" s="561">
        <v>0</v>
      </c>
      <c r="CE335" s="561">
        <v>0</v>
      </c>
      <c r="CF335" s="561">
        <v>0</v>
      </c>
      <c r="CG335" s="561">
        <v>0</v>
      </c>
      <c r="CH335" s="561">
        <v>0</v>
      </c>
      <c r="CI335" s="561">
        <v>0</v>
      </c>
      <c r="CJ335" s="561">
        <v>0</v>
      </c>
      <c r="CK335" s="561">
        <v>0</v>
      </c>
      <c r="CL335" s="561">
        <v>0</v>
      </c>
      <c r="CM335" s="561">
        <v>0</v>
      </c>
      <c r="CN335" s="561">
        <v>0</v>
      </c>
      <c r="CO335" s="561">
        <v>0</v>
      </c>
      <c r="CP335" s="561">
        <v>0</v>
      </c>
      <c r="CQ335" s="561">
        <v>0</v>
      </c>
      <c r="CR335" s="561">
        <v>0</v>
      </c>
      <c r="CS335" s="561">
        <v>0</v>
      </c>
      <c r="CT335" s="561">
        <v>0</v>
      </c>
      <c r="CU335" s="561">
        <v>0</v>
      </c>
      <c r="CV335" s="561">
        <v>0</v>
      </c>
      <c r="CW335" s="561">
        <v>0</v>
      </c>
      <c r="CX335" s="561">
        <v>0</v>
      </c>
      <c r="CY335" s="561">
        <v>0</v>
      </c>
      <c r="CZ335" s="561">
        <v>0</v>
      </c>
      <c r="DA335" s="561">
        <v>0</v>
      </c>
      <c r="DB335" s="561">
        <v>0</v>
      </c>
      <c r="DC335" s="561">
        <v>0</v>
      </c>
      <c r="DD335" s="561">
        <v>0</v>
      </c>
      <c r="DE335" s="561">
        <v>0</v>
      </c>
      <c r="DF335" s="561">
        <v>0</v>
      </c>
      <c r="DG335" s="561">
        <v>0</v>
      </c>
      <c r="DH335" s="561">
        <v>0</v>
      </c>
      <c r="DI335" s="561">
        <v>0</v>
      </c>
      <c r="DJ335" s="561">
        <v>0</v>
      </c>
      <c r="DK335" s="561">
        <v>0</v>
      </c>
      <c r="DL335" s="561">
        <v>0</v>
      </c>
      <c r="DM335" s="561">
        <v>0</v>
      </c>
      <c r="DN335" s="561">
        <v>0</v>
      </c>
      <c r="DO335" s="561">
        <v>0</v>
      </c>
      <c r="DP335" s="561">
        <v>0</v>
      </c>
      <c r="DQ335" s="561">
        <v>0</v>
      </c>
      <c r="DR335" s="561">
        <v>0</v>
      </c>
      <c r="DS335" s="561">
        <v>0</v>
      </c>
      <c r="DT335" s="561">
        <v>0</v>
      </c>
      <c r="DU335" s="561">
        <v>0</v>
      </c>
      <c r="DV335" s="561">
        <v>0</v>
      </c>
      <c r="DW335" s="561">
        <v>0</v>
      </c>
      <c r="DX335" s="561">
        <v>0</v>
      </c>
      <c r="DY335" s="561">
        <v>0</v>
      </c>
      <c r="DZ335" s="561">
        <v>0</v>
      </c>
      <c r="EA335" s="561">
        <v>0</v>
      </c>
      <c r="EB335" s="561">
        <v>0</v>
      </c>
      <c r="EC335" s="561">
        <v>0</v>
      </c>
      <c r="ED335" s="561">
        <v>0</v>
      </c>
      <c r="EE335" s="561">
        <v>0</v>
      </c>
      <c r="EF335" s="561">
        <v>0</v>
      </c>
      <c r="EG335" s="561">
        <v>0</v>
      </c>
      <c r="EH335" s="561">
        <v>0</v>
      </c>
      <c r="EI335" s="561">
        <v>0</v>
      </c>
      <c r="EJ335" s="561">
        <v>0</v>
      </c>
      <c r="EK335" s="561">
        <v>0</v>
      </c>
      <c r="EL335" s="561">
        <v>0</v>
      </c>
      <c r="EM335" s="561">
        <v>0</v>
      </c>
      <c r="EN335" s="561">
        <v>0</v>
      </c>
      <c r="EO335" s="561">
        <v>0</v>
      </c>
      <c r="EP335" s="561">
        <v>0</v>
      </c>
      <c r="EQ335" s="561">
        <v>0</v>
      </c>
      <c r="ER335" s="561">
        <v>0</v>
      </c>
      <c r="ES335" s="561" t="s">
        <v>4565</v>
      </c>
      <c r="ET335" s="561">
        <v>0</v>
      </c>
      <c r="EU335" s="561">
        <v>0</v>
      </c>
      <c r="EV335" s="561">
        <v>0</v>
      </c>
      <c r="EW335" s="561">
        <v>0</v>
      </c>
      <c r="EX335" s="561">
        <v>0</v>
      </c>
      <c r="EY335" s="561">
        <v>0</v>
      </c>
      <c r="EZ335" s="561">
        <v>0</v>
      </c>
      <c r="FA335" s="561">
        <v>0</v>
      </c>
      <c r="FB335" s="561">
        <v>0</v>
      </c>
      <c r="FC335" s="561">
        <v>0</v>
      </c>
      <c r="FD335" s="561">
        <v>0</v>
      </c>
      <c r="FE335" s="561">
        <v>0</v>
      </c>
      <c r="FF335" s="561">
        <v>0</v>
      </c>
      <c r="FG335" s="561">
        <v>0</v>
      </c>
      <c r="FH335" s="561">
        <v>0</v>
      </c>
      <c r="FI335" s="561">
        <v>0</v>
      </c>
      <c r="FJ335" s="561">
        <v>0</v>
      </c>
      <c r="FK335" s="561">
        <v>0</v>
      </c>
      <c r="FL335" s="561">
        <v>0</v>
      </c>
      <c r="FM335" s="561">
        <v>0</v>
      </c>
      <c r="FN335" s="561">
        <v>0</v>
      </c>
      <c r="FO335" s="561">
        <v>0</v>
      </c>
      <c r="FP335" s="561">
        <v>0</v>
      </c>
      <c r="FQ335" s="561">
        <v>0</v>
      </c>
      <c r="FR335" s="561">
        <v>0</v>
      </c>
      <c r="FS335" s="561">
        <v>0</v>
      </c>
      <c r="FT335" s="561">
        <v>0</v>
      </c>
      <c r="FU335" s="561">
        <v>0</v>
      </c>
      <c r="FV335" s="561">
        <v>0</v>
      </c>
      <c r="FW335" s="561">
        <v>0</v>
      </c>
      <c r="FX335" s="561">
        <v>0</v>
      </c>
      <c r="FY335" s="561">
        <v>0</v>
      </c>
      <c r="FZ335" s="561">
        <v>0</v>
      </c>
      <c r="GA335" s="561">
        <v>0</v>
      </c>
      <c r="GB335" s="561">
        <v>0</v>
      </c>
      <c r="GC335" s="561">
        <v>0</v>
      </c>
      <c r="GD335" s="561">
        <v>0</v>
      </c>
      <c r="GE335" s="561">
        <v>0</v>
      </c>
      <c r="GF335" s="561">
        <v>0</v>
      </c>
      <c r="GG335" s="561">
        <v>0</v>
      </c>
      <c r="GH335" s="561">
        <v>0</v>
      </c>
      <c r="GI335" s="561">
        <v>0</v>
      </c>
      <c r="GJ335" s="561">
        <v>0</v>
      </c>
      <c r="GK335" s="561">
        <v>0</v>
      </c>
      <c r="GL335" s="561">
        <v>0</v>
      </c>
      <c r="GM335" s="561">
        <v>0</v>
      </c>
      <c r="GN335" s="561">
        <v>0</v>
      </c>
      <c r="GO335" s="561">
        <v>0</v>
      </c>
      <c r="GP335" s="561">
        <v>0</v>
      </c>
      <c r="GQ335" s="561">
        <v>0</v>
      </c>
      <c r="GR335" s="561">
        <v>0</v>
      </c>
      <c r="GS335" s="561">
        <v>0</v>
      </c>
      <c r="GT335" s="561">
        <v>0</v>
      </c>
      <c r="GU335" s="561">
        <v>0</v>
      </c>
      <c r="GV335" s="561">
        <v>0</v>
      </c>
      <c r="GW335" s="561">
        <v>0</v>
      </c>
      <c r="GX335" s="561">
        <v>0</v>
      </c>
      <c r="GY335" s="561">
        <v>0</v>
      </c>
      <c r="GZ335" s="561">
        <v>0</v>
      </c>
      <c r="HA335" s="561">
        <v>0</v>
      </c>
      <c r="HB335" s="561">
        <v>0</v>
      </c>
      <c r="HC335" s="561">
        <v>0</v>
      </c>
      <c r="HD335" s="561">
        <v>0</v>
      </c>
      <c r="HE335" s="561">
        <v>0</v>
      </c>
      <c r="HF335" s="561">
        <v>0</v>
      </c>
      <c r="HG335" s="561">
        <v>0</v>
      </c>
      <c r="HH335" s="561">
        <v>170212</v>
      </c>
      <c r="HI335" s="561">
        <v>51</v>
      </c>
      <c r="HJ335" s="561">
        <v>0</v>
      </c>
      <c r="HK335" s="561">
        <v>0</v>
      </c>
      <c r="HL335" s="561">
        <v>0</v>
      </c>
      <c r="HM335" s="561">
        <v>0</v>
      </c>
      <c r="HN335" s="561">
        <v>0</v>
      </c>
      <c r="HO335" s="561">
        <v>0</v>
      </c>
      <c r="HP335" s="561">
        <v>0</v>
      </c>
      <c r="HQ335" s="561">
        <v>0</v>
      </c>
      <c r="HR335" s="561">
        <v>0</v>
      </c>
      <c r="HS335" s="561">
        <v>0</v>
      </c>
      <c r="HT335" s="561">
        <v>0</v>
      </c>
      <c r="HU335" s="561">
        <v>0</v>
      </c>
      <c r="HV335" s="561">
        <v>0</v>
      </c>
      <c r="HW335" s="561">
        <v>0</v>
      </c>
      <c r="HX335" s="561">
        <v>0</v>
      </c>
      <c r="HY335" s="561">
        <v>0</v>
      </c>
      <c r="HZ335" s="561">
        <v>0</v>
      </c>
      <c r="IA335" s="561">
        <v>0</v>
      </c>
      <c r="IB335" s="561">
        <v>0</v>
      </c>
      <c r="IC335" s="561">
        <v>0</v>
      </c>
      <c r="ID335" s="561">
        <v>0</v>
      </c>
      <c r="IE335" s="561">
        <v>0</v>
      </c>
      <c r="IF335" s="561">
        <v>0</v>
      </c>
      <c r="IG335" s="561">
        <v>0</v>
      </c>
      <c r="IH335" s="561">
        <v>0</v>
      </c>
      <c r="II335" s="561">
        <v>0</v>
      </c>
      <c r="IJ335" s="561">
        <v>0</v>
      </c>
      <c r="IK335" s="561">
        <v>0</v>
      </c>
      <c r="IL335" s="561">
        <v>0</v>
      </c>
      <c r="IM335" s="561">
        <v>0</v>
      </c>
      <c r="IN335" s="561">
        <v>0</v>
      </c>
      <c r="IO335" s="561">
        <v>0</v>
      </c>
      <c r="IP335" s="561">
        <v>0</v>
      </c>
      <c r="IQ335" s="561">
        <v>0</v>
      </c>
      <c r="IR335" s="561">
        <v>0</v>
      </c>
      <c r="IS335" s="561">
        <v>0</v>
      </c>
      <c r="IT335" s="561">
        <v>0</v>
      </c>
      <c r="IU335" s="561">
        <v>0</v>
      </c>
      <c r="IV335" s="561">
        <v>0</v>
      </c>
      <c r="IW335" s="561">
        <v>0</v>
      </c>
      <c r="IX335" s="561">
        <v>0</v>
      </c>
      <c r="IY335" s="561">
        <v>0</v>
      </c>
      <c r="IZ335" s="561">
        <v>0</v>
      </c>
      <c r="JA335" s="561">
        <v>170212</v>
      </c>
      <c r="JB335" s="561">
        <v>0</v>
      </c>
      <c r="JC335" s="561">
        <v>0</v>
      </c>
      <c r="JD335" s="561">
        <v>0</v>
      </c>
      <c r="JE335" s="561">
        <v>170212</v>
      </c>
      <c r="JF335" s="561">
        <v>0</v>
      </c>
      <c r="JG335" s="561">
        <v>0</v>
      </c>
      <c r="JH335" s="561">
        <v>0</v>
      </c>
      <c r="JI335" s="561">
        <v>0</v>
      </c>
      <c r="JJ335" s="561">
        <v>0</v>
      </c>
      <c r="JK335" s="561">
        <v>0</v>
      </c>
      <c r="JL335" s="561">
        <v>0</v>
      </c>
      <c r="JM335" s="561">
        <v>0</v>
      </c>
      <c r="JN335" s="561">
        <v>0</v>
      </c>
      <c r="JO335" s="561">
        <v>0</v>
      </c>
      <c r="JP335" s="561">
        <v>0</v>
      </c>
      <c r="JQ335" s="561">
        <v>0</v>
      </c>
      <c r="JR335" s="561">
        <v>0</v>
      </c>
      <c r="JS335" s="561">
        <v>0</v>
      </c>
      <c r="JT335" s="561">
        <v>26</v>
      </c>
      <c r="JU335" s="561">
        <v>0</v>
      </c>
      <c r="JV335" s="561">
        <v>170238</v>
      </c>
      <c r="JW335" s="561">
        <v>0</v>
      </c>
      <c r="JX335" s="561">
        <v>3815</v>
      </c>
      <c r="JY335" s="561">
        <v>0</v>
      </c>
      <c r="JZ335" s="561">
        <v>0</v>
      </c>
      <c r="KA335" s="561">
        <v>0</v>
      </c>
      <c r="KB335" s="561">
        <v>0</v>
      </c>
      <c r="KC335" s="561">
        <v>1369</v>
      </c>
      <c r="KD335" s="561">
        <v>0</v>
      </c>
      <c r="KE335" s="561">
        <v>2158</v>
      </c>
      <c r="KF335" s="561">
        <v>0</v>
      </c>
      <c r="KG335" s="561">
        <v>177580</v>
      </c>
      <c r="KH335" s="561">
        <v>-2205</v>
      </c>
      <c r="KI335" s="561">
        <v>0</v>
      </c>
      <c r="KJ335" s="561">
        <v>0</v>
      </c>
      <c r="KK335" s="561">
        <v>0</v>
      </c>
      <c r="KL335" s="561">
        <v>0</v>
      </c>
      <c r="KM335" s="561">
        <v>0</v>
      </c>
      <c r="KN335" s="561">
        <v>0</v>
      </c>
      <c r="KO335" s="561">
        <v>0</v>
      </c>
      <c r="KP335" s="561">
        <v>0</v>
      </c>
      <c r="KQ335" s="561">
        <v>0</v>
      </c>
      <c r="KR335" s="561">
        <v>175375</v>
      </c>
      <c r="KS335" s="561">
        <v>0</v>
      </c>
      <c r="KT335" s="561">
        <v>-18125</v>
      </c>
      <c r="KU335" s="561">
        <v>157250</v>
      </c>
      <c r="KV335" s="561">
        <v>0</v>
      </c>
      <c r="KW335" s="561">
        <v>0</v>
      </c>
      <c r="KX335" s="561">
        <v>0</v>
      </c>
      <c r="KY335" s="561">
        <v>0</v>
      </c>
      <c r="KZ335" s="561">
        <v>5449</v>
      </c>
      <c r="LA335" s="561">
        <v>285</v>
      </c>
      <c r="LB335" s="561">
        <v>0</v>
      </c>
      <c r="LC335" s="561">
        <v>-89234</v>
      </c>
      <c r="LD335" s="561">
        <v>0</v>
      </c>
      <c r="LE335" s="561">
        <v>-374</v>
      </c>
      <c r="LF335" s="561">
        <v>0</v>
      </c>
      <c r="LG335" s="561">
        <v>73376</v>
      </c>
      <c r="LH335" s="561">
        <v>0</v>
      </c>
      <c r="LI335" s="561">
        <v>0</v>
      </c>
      <c r="LJ335" s="561">
        <v>0</v>
      </c>
      <c r="LK335" s="561">
        <v>0</v>
      </c>
      <c r="LL335" s="561">
        <v>23155</v>
      </c>
      <c r="LM335" s="561">
        <v>4600</v>
      </c>
      <c r="LN335" s="561">
        <v>0</v>
      </c>
      <c r="LO335" s="561">
        <v>0</v>
      </c>
      <c r="LP335" s="561">
        <v>0</v>
      </c>
      <c r="LQ335" s="561">
        <v>0</v>
      </c>
      <c r="LR335" s="561">
        <v>28604</v>
      </c>
      <c r="LS335" s="561">
        <v>4885</v>
      </c>
      <c r="LT335" s="561">
        <v>285</v>
      </c>
      <c r="LU335" s="561">
        <v>5467</v>
      </c>
      <c r="LV335" s="561">
        <v>0</v>
      </c>
      <c r="LW335" s="561">
        <v>-749</v>
      </c>
      <c r="LX335" s="561">
        <v>0</v>
      </c>
      <c r="LY335" s="561">
        <v>0</v>
      </c>
      <c r="LZ335" s="561">
        <v>4718</v>
      </c>
      <c r="MA335" s="561">
        <v>0</v>
      </c>
      <c r="MB335" s="561">
        <v>0</v>
      </c>
      <c r="MC335" s="561">
        <v>0</v>
      </c>
      <c r="MD335" s="561">
        <v>0</v>
      </c>
      <c r="ME335" s="561">
        <v>0</v>
      </c>
      <c r="MF335" s="561">
        <v>0</v>
      </c>
      <c r="MG335" s="561">
        <v>0</v>
      </c>
      <c r="MH335" s="561">
        <v>0</v>
      </c>
      <c r="MI335" s="561">
        <v>0</v>
      </c>
      <c r="MJ335" s="561">
        <v>0</v>
      </c>
      <c r="MK335" s="561">
        <v>0</v>
      </c>
      <c r="ML335" s="561">
        <v>0</v>
      </c>
      <c r="MM335" s="561">
        <v>9213</v>
      </c>
      <c r="MN335" s="561">
        <v>0</v>
      </c>
      <c r="MO335" s="561">
        <v>17464</v>
      </c>
      <c r="MP335" s="561">
        <v>1927</v>
      </c>
      <c r="MQ335" s="561">
        <v>0</v>
      </c>
      <c r="MR335" s="561">
        <v>0</v>
      </c>
      <c r="MS335" s="561">
        <v>0</v>
      </c>
      <c r="MT335" s="561">
        <v>0</v>
      </c>
      <c r="MU335" s="561">
        <v>0</v>
      </c>
      <c r="MV335" s="561">
        <v>0</v>
      </c>
      <c r="MW335" s="561">
        <v>0</v>
      </c>
      <c r="MX335" s="561">
        <v>0</v>
      </c>
      <c r="MY335" s="561">
        <v>0</v>
      </c>
      <c r="MZ335" s="561">
        <v>170212</v>
      </c>
      <c r="NA335" s="561">
        <v>0</v>
      </c>
      <c r="NB335" s="561">
        <v>0</v>
      </c>
      <c r="NC335" s="561">
        <v>0</v>
      </c>
      <c r="ND335" s="561">
        <v>170212</v>
      </c>
      <c r="NE335" s="561">
        <v>0</v>
      </c>
      <c r="NF335" s="561">
        <v>0</v>
      </c>
      <c r="NG335" s="561">
        <v>0</v>
      </c>
      <c r="NH335" s="561">
        <v>0</v>
      </c>
      <c r="NI335" s="561">
        <v>0</v>
      </c>
      <c r="NJ335" s="561">
        <v>0</v>
      </c>
      <c r="NK335" s="561">
        <v>0</v>
      </c>
      <c r="NL335" s="561">
        <v>0</v>
      </c>
      <c r="NM335" s="561">
        <v>0</v>
      </c>
      <c r="NN335" s="561">
        <v>0</v>
      </c>
      <c r="NO335" s="561">
        <v>0</v>
      </c>
      <c r="NP335" s="561">
        <v>0</v>
      </c>
      <c r="NQ335" s="561">
        <v>0</v>
      </c>
      <c r="NR335" s="561">
        <v>0</v>
      </c>
      <c r="NS335" s="561">
        <v>0</v>
      </c>
      <c r="NT335" s="561">
        <v>0</v>
      </c>
      <c r="NU335" s="561">
        <v>0</v>
      </c>
      <c r="NV335" s="561">
        <v>0</v>
      </c>
      <c r="NW335" s="561">
        <v>0</v>
      </c>
      <c r="NX335" s="561">
        <v>0</v>
      </c>
      <c r="NY335" s="561">
        <v>0</v>
      </c>
      <c r="NZ335" s="561">
        <v>0</v>
      </c>
      <c r="OA335" s="561">
        <v>0</v>
      </c>
      <c r="OB335" s="561">
        <v>0</v>
      </c>
      <c r="OC335" s="561">
        <v>0</v>
      </c>
      <c r="OD335" s="561">
        <v>0</v>
      </c>
      <c r="OE335" s="561">
        <v>0</v>
      </c>
      <c r="OF335" s="561">
        <v>0</v>
      </c>
      <c r="OG335" s="561">
        <v>0</v>
      </c>
      <c r="OH335" s="561">
        <v>0</v>
      </c>
      <c r="OI335" s="561">
        <v>0</v>
      </c>
      <c r="OJ335" s="561">
        <v>0</v>
      </c>
      <c r="OK335" s="561">
        <v>0</v>
      </c>
      <c r="OL335" s="561">
        <v>0</v>
      </c>
      <c r="OM335" s="561">
        <v>0</v>
      </c>
      <c r="ON335" s="561">
        <v>0</v>
      </c>
      <c r="OO335" s="561">
        <v>0</v>
      </c>
      <c r="OP335" s="561">
        <v>0</v>
      </c>
      <c r="OQ335" s="561">
        <v>0</v>
      </c>
      <c r="OR335" s="561">
        <v>0</v>
      </c>
      <c r="OS335" s="561">
        <v>0</v>
      </c>
      <c r="OT335" s="561">
        <v>0</v>
      </c>
      <c r="OU335" s="561">
        <v>0</v>
      </c>
      <c r="OV335" s="561">
        <v>-925</v>
      </c>
      <c r="OW335" s="561">
        <v>0</v>
      </c>
      <c r="OX335" s="561">
        <v>0</v>
      </c>
      <c r="OY335" s="561">
        <v>0</v>
      </c>
      <c r="OZ335" s="561">
        <v>0</v>
      </c>
      <c r="PA335" s="561">
        <v>0</v>
      </c>
      <c r="PB335" s="561">
        <v>0</v>
      </c>
      <c r="PC335" s="561">
        <v>0</v>
      </c>
      <c r="PD335" s="561">
        <v>0</v>
      </c>
      <c r="PE335" s="561">
        <v>0</v>
      </c>
      <c r="PF335" s="561">
        <v>0</v>
      </c>
      <c r="PG335" s="561">
        <v>0</v>
      </c>
      <c r="PH335" s="561">
        <v>0</v>
      </c>
      <c r="PI335" s="561">
        <v>0</v>
      </c>
      <c r="PJ335" s="561">
        <v>0</v>
      </c>
    </row>
    <row r="336" spans="1:426" ht="14" x14ac:dyDescent="0.3">
      <c r="A336" t="s">
        <v>3451</v>
      </c>
      <c r="B336" t="s">
        <v>3452</v>
      </c>
      <c r="C336" t="s">
        <v>3453</v>
      </c>
      <c r="E336" t="s">
        <v>379</v>
      </c>
      <c r="F336" s="561">
        <v>30780</v>
      </c>
      <c r="G336" s="561">
        <v>60386</v>
      </c>
      <c r="H336" s="561">
        <v>4082</v>
      </c>
      <c r="I336" s="561">
        <v>32650</v>
      </c>
      <c r="J336" s="561">
        <v>2115</v>
      </c>
      <c r="K336" s="561">
        <v>14569</v>
      </c>
      <c r="L336" s="561">
        <v>144582</v>
      </c>
      <c r="M336" s="561">
        <v>1907</v>
      </c>
      <c r="N336" s="561">
        <v>1368</v>
      </c>
      <c r="O336" s="561">
        <v>0</v>
      </c>
      <c r="P336" s="561">
        <v>0</v>
      </c>
      <c r="Q336" s="561">
        <v>-554</v>
      </c>
      <c r="R336" s="561">
        <v>235</v>
      </c>
      <c r="S336" s="561">
        <v>0</v>
      </c>
      <c r="T336" s="561">
        <v>832</v>
      </c>
      <c r="U336" s="561">
        <v>1723</v>
      </c>
      <c r="V336" s="561">
        <v>7040</v>
      </c>
      <c r="W336" s="561">
        <v>0</v>
      </c>
      <c r="X336" s="561">
        <v>0</v>
      </c>
      <c r="Y336" s="561">
        <v>751</v>
      </c>
      <c r="Z336" s="561">
        <v>0</v>
      </c>
      <c r="AA336" s="561">
        <v>-231</v>
      </c>
      <c r="AB336" s="561">
        <v>-314</v>
      </c>
      <c r="AC336" s="561">
        <v>0</v>
      </c>
      <c r="AD336" s="561">
        <v>0</v>
      </c>
      <c r="AE336" s="561">
        <v>0</v>
      </c>
      <c r="AF336" s="561">
        <v>0</v>
      </c>
      <c r="AG336" s="561">
        <v>0</v>
      </c>
      <c r="AH336" s="561">
        <v>0</v>
      </c>
      <c r="AI336" s="561">
        <v>0</v>
      </c>
      <c r="AJ336" s="561">
        <v>10850</v>
      </c>
      <c r="AK336" s="561">
        <v>458</v>
      </c>
      <c r="AL336" s="561">
        <v>0</v>
      </c>
      <c r="AM336" s="561">
        <v>0</v>
      </c>
      <c r="AN336" s="561">
        <v>0</v>
      </c>
      <c r="AO336" s="561">
        <v>0</v>
      </c>
      <c r="AP336" s="561">
        <v>0</v>
      </c>
      <c r="AQ336" s="561">
        <v>0</v>
      </c>
      <c r="AR336" s="561">
        <v>0</v>
      </c>
      <c r="AS336" s="561">
        <v>979</v>
      </c>
      <c r="AT336" s="561">
        <v>808</v>
      </c>
      <c r="AU336" s="561">
        <v>0</v>
      </c>
      <c r="AV336" s="561">
        <v>0</v>
      </c>
      <c r="AW336" s="561">
        <v>0</v>
      </c>
      <c r="AX336" s="561">
        <v>582</v>
      </c>
      <c r="AY336" s="561">
        <v>54320</v>
      </c>
      <c r="AZ336" s="561">
        <v>0</v>
      </c>
      <c r="BA336" s="561">
        <v>6522</v>
      </c>
      <c r="BB336" s="561">
        <v>1892</v>
      </c>
      <c r="BC336" s="561">
        <v>20509</v>
      </c>
      <c r="BD336" s="561">
        <v>2390</v>
      </c>
      <c r="BE336" s="561">
        <v>3121</v>
      </c>
      <c r="BF336" s="561">
        <v>89336</v>
      </c>
      <c r="BG336" s="561">
        <v>0</v>
      </c>
      <c r="BH336" s="561">
        <v>298</v>
      </c>
      <c r="BI336" s="561">
        <v>41585</v>
      </c>
      <c r="BJ336" s="561">
        <v>7</v>
      </c>
      <c r="BK336" s="561">
        <v>174</v>
      </c>
      <c r="BL336" s="561">
        <v>975</v>
      </c>
      <c r="BM336" s="561">
        <v>7846</v>
      </c>
      <c r="BN336" s="561">
        <v>39350</v>
      </c>
      <c r="BO336" s="561">
        <v>1119</v>
      </c>
      <c r="BP336" s="561">
        <v>11175</v>
      </c>
      <c r="BQ336" s="561">
        <v>9092</v>
      </c>
      <c r="BR336" s="561">
        <v>1</v>
      </c>
      <c r="BS336" s="561">
        <v>0</v>
      </c>
      <c r="BT336" s="561">
        <v>13</v>
      </c>
      <c r="BU336" s="561">
        <v>2370</v>
      </c>
      <c r="BV336" s="561">
        <v>7618</v>
      </c>
      <c r="BW336" s="561">
        <v>14277</v>
      </c>
      <c r="BX336" s="561">
        <v>0</v>
      </c>
      <c r="BY336" s="561">
        <v>5002</v>
      </c>
      <c r="BZ336" s="561">
        <v>140902</v>
      </c>
      <c r="CA336" s="561">
        <v>334</v>
      </c>
      <c r="CB336" s="561">
        <v>1428</v>
      </c>
      <c r="CC336" s="561">
        <v>1481</v>
      </c>
      <c r="CD336" s="561">
        <v>12</v>
      </c>
      <c r="CE336" s="561">
        <v>480</v>
      </c>
      <c r="CF336" s="561">
        <v>163</v>
      </c>
      <c r="CG336" s="561">
        <v>203</v>
      </c>
      <c r="CH336" s="561">
        <v>221</v>
      </c>
      <c r="CI336" s="561">
        <v>491</v>
      </c>
      <c r="CJ336" s="561">
        <v>1376</v>
      </c>
      <c r="CK336" s="561">
        <v>3085</v>
      </c>
      <c r="CL336" s="561">
        <v>313</v>
      </c>
      <c r="CM336" s="561">
        <v>3207</v>
      </c>
      <c r="CN336" s="561">
        <v>1947</v>
      </c>
      <c r="CO336" s="561">
        <v>722</v>
      </c>
      <c r="CP336" s="561">
        <v>2923</v>
      </c>
      <c r="CQ336" s="561">
        <v>417</v>
      </c>
      <c r="CR336" s="561">
        <v>1190</v>
      </c>
      <c r="CS336" s="561">
        <v>178</v>
      </c>
      <c r="CT336" s="561">
        <v>1943</v>
      </c>
      <c r="CU336" s="561">
        <v>3092</v>
      </c>
      <c r="CV336" s="561">
        <v>3389</v>
      </c>
      <c r="CW336" s="561">
        <v>200</v>
      </c>
      <c r="CX336" s="561">
        <v>161</v>
      </c>
      <c r="CY336" s="561">
        <v>956</v>
      </c>
      <c r="CZ336" s="561">
        <v>29578</v>
      </c>
      <c r="DA336" s="561">
        <v>54</v>
      </c>
      <c r="DB336" s="561">
        <v>527</v>
      </c>
      <c r="DC336" s="561">
        <v>0</v>
      </c>
      <c r="DD336" s="561">
        <v>338</v>
      </c>
      <c r="DE336" s="561">
        <v>0</v>
      </c>
      <c r="DF336" s="561">
        <v>0</v>
      </c>
      <c r="DG336" s="561">
        <v>0</v>
      </c>
      <c r="DH336" s="561">
        <v>0</v>
      </c>
      <c r="DI336" s="561">
        <v>0</v>
      </c>
      <c r="DJ336" s="561">
        <v>-34</v>
      </c>
      <c r="DK336" s="561">
        <v>48</v>
      </c>
      <c r="DL336" s="561">
        <v>72</v>
      </c>
      <c r="DM336" s="561">
        <v>143</v>
      </c>
      <c r="DN336" s="561">
        <v>108</v>
      </c>
      <c r="DO336" s="561">
        <v>62</v>
      </c>
      <c r="DP336" s="561">
        <v>78</v>
      </c>
      <c r="DQ336" s="561">
        <v>52</v>
      </c>
      <c r="DR336" s="561">
        <v>0</v>
      </c>
      <c r="DS336" s="561">
        <v>1336</v>
      </c>
      <c r="DT336" s="561">
        <v>2642</v>
      </c>
      <c r="DU336" s="561">
        <v>4493</v>
      </c>
      <c r="DV336" s="561">
        <v>0</v>
      </c>
      <c r="DW336" s="561">
        <v>0</v>
      </c>
      <c r="DX336" s="561">
        <v>0</v>
      </c>
      <c r="DY336" s="561">
        <v>1277</v>
      </c>
      <c r="DZ336" s="561">
        <v>-444</v>
      </c>
      <c r="EA336" s="561">
        <v>1677</v>
      </c>
      <c r="EB336" s="561">
        <v>459</v>
      </c>
      <c r="EC336" s="561">
        <v>7476</v>
      </c>
      <c r="ED336" s="561">
        <v>6</v>
      </c>
      <c r="EE336" s="561">
        <v>0</v>
      </c>
      <c r="EF336" s="561">
        <v>0</v>
      </c>
      <c r="EG336" s="561">
        <v>0</v>
      </c>
      <c r="EH336" s="561">
        <v>0</v>
      </c>
      <c r="EI336" s="561">
        <v>0</v>
      </c>
      <c r="EJ336" s="561">
        <v>0</v>
      </c>
      <c r="EK336" s="561">
        <v>0</v>
      </c>
      <c r="EL336" s="561">
        <v>0</v>
      </c>
      <c r="EM336" s="561">
        <v>0</v>
      </c>
      <c r="EN336" s="561">
        <v>0</v>
      </c>
      <c r="EO336" s="561">
        <v>0</v>
      </c>
      <c r="EP336" s="561">
        <v>0</v>
      </c>
      <c r="EQ336" s="561">
        <v>0</v>
      </c>
      <c r="ER336" s="561">
        <v>0</v>
      </c>
      <c r="ES336" s="561" t="s">
        <v>4565</v>
      </c>
      <c r="ET336" s="561">
        <v>0</v>
      </c>
      <c r="EU336" s="561">
        <v>0</v>
      </c>
      <c r="EV336" s="561">
        <v>0</v>
      </c>
      <c r="EW336" s="561">
        <v>0</v>
      </c>
      <c r="EX336" s="561">
        <v>0</v>
      </c>
      <c r="EY336" s="561">
        <v>0</v>
      </c>
      <c r="EZ336" s="561">
        <v>0</v>
      </c>
      <c r="FA336" s="561">
        <v>0</v>
      </c>
      <c r="FB336" s="561">
        <v>105</v>
      </c>
      <c r="FC336" s="561">
        <v>319</v>
      </c>
      <c r="FD336" s="561">
        <v>446</v>
      </c>
      <c r="FE336" s="561">
        <v>1548</v>
      </c>
      <c r="FF336" s="561">
        <v>2447</v>
      </c>
      <c r="FG336" s="561">
        <v>100</v>
      </c>
      <c r="FH336" s="561">
        <v>422</v>
      </c>
      <c r="FI336" s="561">
        <v>-4</v>
      </c>
      <c r="FJ336" s="561">
        <v>572</v>
      </c>
      <c r="FK336" s="561">
        <v>3500</v>
      </c>
      <c r="FL336" s="561">
        <v>7</v>
      </c>
      <c r="FM336" s="561">
        <v>64</v>
      </c>
      <c r="FN336" s="561">
        <v>1217</v>
      </c>
      <c r="FO336" s="561">
        <v>10743</v>
      </c>
      <c r="FP336" s="561">
        <v>217</v>
      </c>
      <c r="FQ336" s="561">
        <v>-1319</v>
      </c>
      <c r="FR336" s="561">
        <v>372</v>
      </c>
      <c r="FS336" s="561">
        <v>0</v>
      </c>
      <c r="FT336" s="561">
        <v>380</v>
      </c>
      <c r="FU336" s="561">
        <v>413</v>
      </c>
      <c r="FV336" s="561">
        <v>996</v>
      </c>
      <c r="FW336" s="561">
        <v>75</v>
      </c>
      <c r="FX336" s="561">
        <v>0</v>
      </c>
      <c r="FY336" s="561">
        <v>0</v>
      </c>
      <c r="FZ336" s="561">
        <v>463</v>
      </c>
      <c r="GA336" s="561">
        <v>282</v>
      </c>
      <c r="GB336" s="561">
        <v>282</v>
      </c>
      <c r="GC336" s="561">
        <v>66</v>
      </c>
      <c r="GD336" s="561">
        <v>822</v>
      </c>
      <c r="GE336" s="561">
        <v>0</v>
      </c>
      <c r="GF336" s="561">
        <v>0</v>
      </c>
      <c r="GG336" s="561">
        <v>771</v>
      </c>
      <c r="GH336" s="561">
        <v>0</v>
      </c>
      <c r="GI336" s="561">
        <v>0</v>
      </c>
      <c r="GJ336" s="561">
        <v>94</v>
      </c>
      <c r="GK336" s="561">
        <v>0</v>
      </c>
      <c r="GL336" s="561">
        <v>10547</v>
      </c>
      <c r="GM336" s="561">
        <v>6833</v>
      </c>
      <c r="GN336" s="561">
        <v>7091</v>
      </c>
      <c r="GO336" s="561">
        <v>-368</v>
      </c>
      <c r="GP336" s="561">
        <v>4672</v>
      </c>
      <c r="GQ336" s="561">
        <v>0</v>
      </c>
      <c r="GR336" s="561">
        <v>751</v>
      </c>
      <c r="GS336" s="561">
        <v>33223</v>
      </c>
      <c r="GT336" s="561">
        <v>1639</v>
      </c>
      <c r="GU336" s="561">
        <v>359</v>
      </c>
      <c r="GV336" s="561">
        <v>185</v>
      </c>
      <c r="GW336" s="561">
        <v>0</v>
      </c>
      <c r="GX336" s="561">
        <v>1964</v>
      </c>
      <c r="GY336" s="561">
        <v>-1839</v>
      </c>
      <c r="GZ336" s="561">
        <v>7816</v>
      </c>
      <c r="HA336" s="561">
        <v>0</v>
      </c>
      <c r="HB336" s="561">
        <v>552</v>
      </c>
      <c r="HC336" s="561">
        <v>2737</v>
      </c>
      <c r="HD336" s="561">
        <v>11774</v>
      </c>
      <c r="HE336" s="561">
        <v>93</v>
      </c>
      <c r="HF336" s="561">
        <v>55740</v>
      </c>
      <c r="HG336" s="561">
        <v>1949</v>
      </c>
      <c r="HH336" s="561">
        <v>0</v>
      </c>
      <c r="HI336" s="561">
        <v>0</v>
      </c>
      <c r="HJ336" s="561">
        <v>0</v>
      </c>
      <c r="HK336" s="561">
        <v>0</v>
      </c>
      <c r="HL336" s="561">
        <v>0</v>
      </c>
      <c r="HM336" s="561">
        <v>0</v>
      </c>
      <c r="HN336" s="561">
        <v>0</v>
      </c>
      <c r="HO336" s="561">
        <v>10560</v>
      </c>
      <c r="HP336" s="561">
        <v>1491</v>
      </c>
      <c r="HQ336" s="561">
        <v>0</v>
      </c>
      <c r="HR336" s="561">
        <v>0</v>
      </c>
      <c r="HS336" s="561">
        <v>2502</v>
      </c>
      <c r="HT336" s="561">
        <v>146</v>
      </c>
      <c r="HU336" s="561">
        <v>0</v>
      </c>
      <c r="HV336" s="561">
        <v>64</v>
      </c>
      <c r="HW336" s="561">
        <v>281</v>
      </c>
      <c r="HX336" s="561">
        <v>714</v>
      </c>
      <c r="HY336" s="561">
        <v>204</v>
      </c>
      <c r="HZ336" s="561">
        <v>-67</v>
      </c>
      <c r="IA336" s="561">
        <v>6108</v>
      </c>
      <c r="IB336" s="561">
        <v>0</v>
      </c>
      <c r="IC336" s="561">
        <v>945</v>
      </c>
      <c r="ID336" s="561">
        <v>0</v>
      </c>
      <c r="IE336" s="561">
        <v>2054</v>
      </c>
      <c r="IF336" s="561">
        <v>0</v>
      </c>
      <c r="IG336" s="561">
        <v>0</v>
      </c>
      <c r="IH336" s="561">
        <v>-4425</v>
      </c>
      <c r="II336" s="561">
        <v>20577</v>
      </c>
      <c r="IJ336" s="561">
        <v>0</v>
      </c>
      <c r="IK336" s="561">
        <v>15105</v>
      </c>
      <c r="IL336" s="561">
        <v>42114</v>
      </c>
      <c r="IM336" s="561">
        <v>0</v>
      </c>
      <c r="IN336" s="561">
        <v>7348</v>
      </c>
      <c r="IO336" s="561">
        <v>1093</v>
      </c>
      <c r="IP336" s="561">
        <v>0</v>
      </c>
      <c r="IQ336" s="561">
        <v>0</v>
      </c>
      <c r="IR336" s="561">
        <v>144582</v>
      </c>
      <c r="IS336" s="561">
        <v>10850</v>
      </c>
      <c r="IT336" s="561">
        <v>89336</v>
      </c>
      <c r="IU336" s="561">
        <v>140902</v>
      </c>
      <c r="IV336" s="561">
        <v>29578</v>
      </c>
      <c r="IW336" s="561">
        <v>7476</v>
      </c>
      <c r="IX336" s="561">
        <v>10743</v>
      </c>
      <c r="IY336" s="561">
        <v>33223</v>
      </c>
      <c r="IZ336" s="561">
        <v>11774</v>
      </c>
      <c r="JA336" s="561">
        <v>0</v>
      </c>
      <c r="JB336" s="561">
        <v>0</v>
      </c>
      <c r="JC336" s="561">
        <v>20577</v>
      </c>
      <c r="JD336" s="561">
        <v>0</v>
      </c>
      <c r="JE336" s="561">
        <v>499041</v>
      </c>
      <c r="JF336" s="561">
        <v>73141</v>
      </c>
      <c r="JG336" s="561">
        <v>401</v>
      </c>
      <c r="JH336" s="561">
        <v>0</v>
      </c>
      <c r="JI336" s="561">
        <v>0</v>
      </c>
      <c r="JJ336" s="561">
        <v>0</v>
      </c>
      <c r="JK336" s="561">
        <v>63</v>
      </c>
      <c r="JL336" s="561">
        <v>17077</v>
      </c>
      <c r="JM336" s="561">
        <v>0</v>
      </c>
      <c r="JN336" s="561">
        <v>0</v>
      </c>
      <c r="JO336" s="561">
        <v>85</v>
      </c>
      <c r="JP336" s="561">
        <v>-121</v>
      </c>
      <c r="JQ336" s="561">
        <v>-1501</v>
      </c>
      <c r="JR336" s="561">
        <v>-1554</v>
      </c>
      <c r="JS336" s="561">
        <v>0</v>
      </c>
      <c r="JT336" s="561">
        <v>91</v>
      </c>
      <c r="JU336" s="561">
        <v>208</v>
      </c>
      <c r="JV336" s="561">
        <v>586931</v>
      </c>
      <c r="JW336" s="561">
        <v>266</v>
      </c>
      <c r="JX336" s="561">
        <v>15995</v>
      </c>
      <c r="JY336" s="561">
        <v>190</v>
      </c>
      <c r="JZ336" s="561">
        <v>0</v>
      </c>
      <c r="KA336" s="561">
        <v>0</v>
      </c>
      <c r="KB336" s="561">
        <v>0</v>
      </c>
      <c r="KC336" s="561">
        <v>21036</v>
      </c>
      <c r="KD336" s="561">
        <v>0</v>
      </c>
      <c r="KE336" s="561">
        <v>24554</v>
      </c>
      <c r="KF336" s="561">
        <v>0</v>
      </c>
      <c r="KG336" s="561">
        <v>648972</v>
      </c>
      <c r="KH336" s="561">
        <v>-16628</v>
      </c>
      <c r="KI336" s="561">
        <v>0</v>
      </c>
      <c r="KJ336" s="561">
        <v>1392</v>
      </c>
      <c r="KK336" s="561">
        <v>0</v>
      </c>
      <c r="KL336" s="561">
        <v>-75686</v>
      </c>
      <c r="KM336" s="561">
        <v>0</v>
      </c>
      <c r="KN336" s="561">
        <v>0</v>
      </c>
      <c r="KO336" s="561">
        <v>0</v>
      </c>
      <c r="KP336" s="561">
        <v>0</v>
      </c>
      <c r="KQ336" s="561">
        <v>-6979</v>
      </c>
      <c r="KR336" s="561">
        <v>551071</v>
      </c>
      <c r="KS336" s="561">
        <v>-14</v>
      </c>
      <c r="KT336" s="561">
        <v>-268750</v>
      </c>
      <c r="KU336" s="561">
        <v>282307</v>
      </c>
      <c r="KV336" s="561">
        <v>0</v>
      </c>
      <c r="KW336" s="561">
        <v>1572</v>
      </c>
      <c r="KX336" s="561">
        <v>0</v>
      </c>
      <c r="KY336" s="561">
        <v>0</v>
      </c>
      <c r="KZ336" s="561">
        <v>-3241</v>
      </c>
      <c r="LA336" s="561">
        <v>500</v>
      </c>
      <c r="LB336" s="561">
        <v>-34622</v>
      </c>
      <c r="LC336" s="561">
        <v>0</v>
      </c>
      <c r="LD336" s="561">
        <v>-119018</v>
      </c>
      <c r="LE336" s="561">
        <v>589</v>
      </c>
      <c r="LF336" s="561">
        <v>0</v>
      </c>
      <c r="LG336" s="561">
        <v>128087</v>
      </c>
      <c r="LH336" s="561">
        <v>7758</v>
      </c>
      <c r="LI336" s="561">
        <v>-9070</v>
      </c>
      <c r="LJ336" s="561">
        <v>0</v>
      </c>
      <c r="LK336" s="561">
        <v>5321</v>
      </c>
      <c r="LL336" s="561">
        <v>153470</v>
      </c>
      <c r="LM336" s="561">
        <v>13500</v>
      </c>
      <c r="LN336" s="561">
        <v>9330</v>
      </c>
      <c r="LO336" s="561">
        <v>-16049</v>
      </c>
      <c r="LP336" s="561">
        <v>0</v>
      </c>
      <c r="LQ336" s="561">
        <v>5321</v>
      </c>
      <c r="LR336" s="561">
        <v>150229</v>
      </c>
      <c r="LS336" s="561">
        <v>14000</v>
      </c>
      <c r="LT336" s="561">
        <v>0</v>
      </c>
      <c r="LU336" s="561">
        <v>43823</v>
      </c>
      <c r="LV336" s="561">
        <v>0</v>
      </c>
      <c r="LW336" s="561">
        <v>29894</v>
      </c>
      <c r="LX336" s="561">
        <v>-18690</v>
      </c>
      <c r="LY336" s="561">
        <v>27897</v>
      </c>
      <c r="LZ336" s="561">
        <v>82924</v>
      </c>
      <c r="MA336" s="561">
        <v>0</v>
      </c>
      <c r="MB336" s="561">
        <v>0</v>
      </c>
      <c r="MC336" s="561">
        <v>0</v>
      </c>
      <c r="MD336" s="561">
        <v>0</v>
      </c>
      <c r="ME336" s="561">
        <v>0</v>
      </c>
      <c r="MF336" s="561">
        <v>0</v>
      </c>
      <c r="MG336" s="561">
        <v>0</v>
      </c>
      <c r="MH336" s="561">
        <v>12063</v>
      </c>
      <c r="MI336" s="561">
        <v>16831</v>
      </c>
      <c r="MJ336" s="561">
        <v>28894</v>
      </c>
      <c r="MK336" s="561">
        <v>12</v>
      </c>
      <c r="ML336" s="561">
        <v>5867</v>
      </c>
      <c r="MM336" s="561">
        <v>114173</v>
      </c>
      <c r="MN336" s="561">
        <v>6067</v>
      </c>
      <c r="MO336" s="561">
        <v>24122</v>
      </c>
      <c r="MP336" s="561">
        <v>0</v>
      </c>
      <c r="MQ336" s="561">
        <v>144582</v>
      </c>
      <c r="MR336" s="561">
        <v>10850</v>
      </c>
      <c r="MS336" s="561">
        <v>89336</v>
      </c>
      <c r="MT336" s="561">
        <v>140902</v>
      </c>
      <c r="MU336" s="561">
        <v>29578</v>
      </c>
      <c r="MV336" s="561">
        <v>7476</v>
      </c>
      <c r="MW336" s="561">
        <v>10743</v>
      </c>
      <c r="MX336" s="561">
        <v>33223</v>
      </c>
      <c r="MY336" s="561">
        <v>11774</v>
      </c>
      <c r="MZ336" s="561">
        <v>0</v>
      </c>
      <c r="NA336" s="561">
        <v>0</v>
      </c>
      <c r="NB336" s="561">
        <v>20577</v>
      </c>
      <c r="NC336" s="561">
        <v>0</v>
      </c>
      <c r="ND336" s="561">
        <v>499041</v>
      </c>
      <c r="NE336" s="561">
        <v>0</v>
      </c>
      <c r="NF336" s="561">
        <v>0</v>
      </c>
      <c r="NG336" s="561">
        <v>-1675</v>
      </c>
      <c r="NH336" s="561">
        <v>0</v>
      </c>
      <c r="NI336" s="561">
        <v>0</v>
      </c>
      <c r="NJ336" s="561">
        <v>0</v>
      </c>
      <c r="NK336" s="561">
        <v>0</v>
      </c>
      <c r="NL336" s="561">
        <v>0</v>
      </c>
      <c r="NM336" s="561">
        <v>0</v>
      </c>
      <c r="NN336" s="561">
        <v>0</v>
      </c>
      <c r="NO336" s="561">
        <v>0</v>
      </c>
      <c r="NP336" s="561">
        <v>0</v>
      </c>
      <c r="NQ336" s="561">
        <v>0</v>
      </c>
      <c r="NR336" s="561">
        <v>0</v>
      </c>
      <c r="NS336" s="561">
        <v>0</v>
      </c>
      <c r="NT336" s="561">
        <v>0</v>
      </c>
      <c r="NU336" s="561">
        <v>0</v>
      </c>
      <c r="NV336" s="561">
        <v>0</v>
      </c>
      <c r="NW336" s="561">
        <v>-1675</v>
      </c>
      <c r="NX336" s="561">
        <v>1554</v>
      </c>
      <c r="NY336" s="561">
        <v>-121</v>
      </c>
      <c r="NZ336" s="561">
        <v>0</v>
      </c>
      <c r="OA336" s="561">
        <v>0</v>
      </c>
      <c r="OB336" s="561">
        <v>-1345</v>
      </c>
      <c r="OC336" s="561">
        <v>0</v>
      </c>
      <c r="OD336" s="561">
        <v>0</v>
      </c>
      <c r="OE336" s="561">
        <v>0</v>
      </c>
      <c r="OF336" s="561">
        <v>0</v>
      </c>
      <c r="OG336" s="561">
        <v>0</v>
      </c>
      <c r="OH336" s="561">
        <v>0</v>
      </c>
      <c r="OI336" s="561">
        <v>0</v>
      </c>
      <c r="OJ336" s="561">
        <v>0</v>
      </c>
      <c r="OK336" s="561">
        <v>-156</v>
      </c>
      <c r="OL336" s="561">
        <v>0</v>
      </c>
      <c r="OM336" s="561">
        <v>0</v>
      </c>
      <c r="ON336" s="561">
        <v>0</v>
      </c>
      <c r="OO336" s="561">
        <v>0</v>
      </c>
      <c r="OP336" s="561">
        <v>0</v>
      </c>
      <c r="OQ336" s="561">
        <v>0</v>
      </c>
      <c r="OR336" s="561">
        <v>0</v>
      </c>
      <c r="OS336" s="561">
        <v>0</v>
      </c>
      <c r="OT336" s="561">
        <v>0</v>
      </c>
      <c r="OU336" s="561">
        <v>0</v>
      </c>
      <c r="OV336" s="561">
        <v>0</v>
      </c>
      <c r="OW336" s="561">
        <v>0</v>
      </c>
      <c r="OX336" s="561">
        <v>-1501</v>
      </c>
      <c r="OY336" s="561">
        <v>1554</v>
      </c>
      <c r="OZ336" s="561">
        <v>0</v>
      </c>
      <c r="PA336" s="561">
        <v>0</v>
      </c>
      <c r="PB336" s="561">
        <v>0</v>
      </c>
      <c r="PC336" s="561">
        <v>0</v>
      </c>
      <c r="PD336" s="561">
        <v>1554</v>
      </c>
      <c r="PE336" s="561">
        <v>0</v>
      </c>
      <c r="PF336" s="561">
        <v>0</v>
      </c>
      <c r="PG336" s="561">
        <v>0</v>
      </c>
      <c r="PH336" s="561">
        <v>0</v>
      </c>
      <c r="PI336" s="561">
        <v>0</v>
      </c>
      <c r="PJ336" s="561">
        <v>0</v>
      </c>
    </row>
    <row r="337" spans="1:426" ht="14" x14ac:dyDescent="0.3">
      <c r="A337" t="s">
        <v>3454</v>
      </c>
      <c r="B337" t="s">
        <v>3455</v>
      </c>
      <c r="C337" t="s">
        <v>4670</v>
      </c>
      <c r="E337" t="s">
        <v>2595</v>
      </c>
      <c r="F337" s="561">
        <v>135381</v>
      </c>
      <c r="G337" s="561">
        <v>268405</v>
      </c>
      <c r="H337" s="561">
        <v>99824</v>
      </c>
      <c r="I337" s="561">
        <v>211309</v>
      </c>
      <c r="J337" s="561">
        <v>14282</v>
      </c>
      <c r="K337" s="561">
        <v>125309</v>
      </c>
      <c r="L337" s="561">
        <v>854510</v>
      </c>
      <c r="M337" s="561">
        <v>9101</v>
      </c>
      <c r="N337" s="561">
        <v>2048</v>
      </c>
      <c r="O337" s="561">
        <v>2521</v>
      </c>
      <c r="P337" s="561">
        <v>3394</v>
      </c>
      <c r="Q337" s="561">
        <v>0</v>
      </c>
      <c r="R337" s="561">
        <v>2941</v>
      </c>
      <c r="S337" s="561">
        <v>19628</v>
      </c>
      <c r="T337" s="561">
        <v>6424</v>
      </c>
      <c r="U337" s="561">
        <v>2970</v>
      </c>
      <c r="V337" s="561">
        <v>16572</v>
      </c>
      <c r="W337" s="561">
        <v>0</v>
      </c>
      <c r="X337" s="561">
        <v>-316</v>
      </c>
      <c r="Y337" s="561">
        <v>2736</v>
      </c>
      <c r="Z337" s="561">
        <v>120</v>
      </c>
      <c r="AA337" s="561">
        <v>-706</v>
      </c>
      <c r="AB337" s="561">
        <v>0</v>
      </c>
      <c r="AC337" s="561">
        <v>8283</v>
      </c>
      <c r="AD337" s="561">
        <v>0</v>
      </c>
      <c r="AE337" s="561">
        <v>15127</v>
      </c>
      <c r="AF337" s="561">
        <v>0</v>
      </c>
      <c r="AG337" s="561">
        <v>0</v>
      </c>
      <c r="AH337" s="561">
        <v>3718</v>
      </c>
      <c r="AI337" s="561">
        <v>0</v>
      </c>
      <c r="AJ337" s="561">
        <v>85460</v>
      </c>
      <c r="AK337" s="561">
        <v>3233</v>
      </c>
      <c r="AL337" s="561">
        <v>0</v>
      </c>
      <c r="AM337" s="561">
        <v>0</v>
      </c>
      <c r="AN337" s="561">
        <v>0</v>
      </c>
      <c r="AO337" s="561">
        <v>0</v>
      </c>
      <c r="AP337" s="561">
        <v>0</v>
      </c>
      <c r="AQ337" s="561">
        <v>0</v>
      </c>
      <c r="AR337" s="561">
        <v>0</v>
      </c>
      <c r="AS337" s="561">
        <v>0</v>
      </c>
      <c r="AT337" s="561">
        <v>8202</v>
      </c>
      <c r="AU337" s="561">
        <v>0</v>
      </c>
      <c r="AV337" s="561">
        <v>0</v>
      </c>
      <c r="AW337" s="561">
        <v>0</v>
      </c>
      <c r="AX337" s="561">
        <v>7580</v>
      </c>
      <c r="AY337" s="561">
        <v>118868</v>
      </c>
      <c r="AZ337" s="561">
        <v>662</v>
      </c>
      <c r="BA337" s="561">
        <v>42622</v>
      </c>
      <c r="BB337" s="561">
        <v>2827</v>
      </c>
      <c r="BC337" s="561">
        <v>68682</v>
      </c>
      <c r="BD337" s="561">
        <v>0</v>
      </c>
      <c r="BE337" s="561">
        <v>11020</v>
      </c>
      <c r="BF337" s="561">
        <v>252261</v>
      </c>
      <c r="BG337" s="561">
        <v>14557</v>
      </c>
      <c r="BH337" s="561">
        <v>37567</v>
      </c>
      <c r="BI337" s="561">
        <v>114919</v>
      </c>
      <c r="BJ337" s="561">
        <v>3799</v>
      </c>
      <c r="BK337" s="561">
        <v>1692</v>
      </c>
      <c r="BL337" s="561">
        <v>2406</v>
      </c>
      <c r="BM337" s="561">
        <v>18640</v>
      </c>
      <c r="BN337" s="561">
        <v>187253</v>
      </c>
      <c r="BO337" s="561">
        <v>32379</v>
      </c>
      <c r="BP337" s="561">
        <v>20662</v>
      </c>
      <c r="BQ337" s="561">
        <v>11004</v>
      </c>
      <c r="BR337" s="561">
        <v>1281</v>
      </c>
      <c r="BS337" s="561">
        <v>11665</v>
      </c>
      <c r="BT337" s="561">
        <v>1506</v>
      </c>
      <c r="BU337" s="561">
        <v>653</v>
      </c>
      <c r="BV337" s="561">
        <v>6158</v>
      </c>
      <c r="BW337" s="561">
        <v>38421</v>
      </c>
      <c r="BX337" s="561">
        <v>142</v>
      </c>
      <c r="BY337" s="561">
        <v>59811</v>
      </c>
      <c r="BZ337" s="561">
        <v>549958</v>
      </c>
      <c r="CA337" s="561">
        <v>3691</v>
      </c>
      <c r="CB337" s="561">
        <v>5506</v>
      </c>
      <c r="CC337" s="561">
        <v>2260</v>
      </c>
      <c r="CD337" s="561">
        <v>489</v>
      </c>
      <c r="CE337" s="561">
        <v>692</v>
      </c>
      <c r="CF337" s="561">
        <v>526</v>
      </c>
      <c r="CG337" s="561">
        <v>207</v>
      </c>
      <c r="CH337" s="561">
        <v>276</v>
      </c>
      <c r="CI337" s="561">
        <v>348</v>
      </c>
      <c r="CJ337" s="561">
        <v>363</v>
      </c>
      <c r="CK337" s="561">
        <v>51</v>
      </c>
      <c r="CL337" s="561">
        <v>81</v>
      </c>
      <c r="CM337" s="561">
        <v>4851</v>
      </c>
      <c r="CN337" s="561">
        <v>2526</v>
      </c>
      <c r="CO337" s="561">
        <v>1723</v>
      </c>
      <c r="CP337" s="561">
        <v>1755</v>
      </c>
      <c r="CQ337" s="561">
        <v>573</v>
      </c>
      <c r="CR337" s="561">
        <v>1587</v>
      </c>
      <c r="CS337" s="561">
        <v>105</v>
      </c>
      <c r="CT337" s="561">
        <v>4797</v>
      </c>
      <c r="CU337" s="561">
        <v>10901</v>
      </c>
      <c r="CV337" s="561">
        <v>1209</v>
      </c>
      <c r="CW337" s="561">
        <v>133</v>
      </c>
      <c r="CX337" s="561">
        <v>2080</v>
      </c>
      <c r="CY337" s="561">
        <v>2637</v>
      </c>
      <c r="CZ337" s="561">
        <v>45676</v>
      </c>
      <c r="DA337" s="561">
        <v>229</v>
      </c>
      <c r="DB337" s="561">
        <v>0</v>
      </c>
      <c r="DC337" s="561">
        <v>0</v>
      </c>
      <c r="DD337" s="561">
        <v>0</v>
      </c>
      <c r="DE337" s="561">
        <v>0</v>
      </c>
      <c r="DF337" s="561">
        <v>0</v>
      </c>
      <c r="DG337" s="561">
        <v>0</v>
      </c>
      <c r="DH337" s="561">
        <v>0</v>
      </c>
      <c r="DI337" s="561">
        <v>0</v>
      </c>
      <c r="DJ337" s="561">
        <v>0</v>
      </c>
      <c r="DK337" s="561">
        <v>0</v>
      </c>
      <c r="DL337" s="561">
        <v>0</v>
      </c>
      <c r="DM337" s="561">
        <v>0</v>
      </c>
      <c r="DN337" s="561">
        <v>0</v>
      </c>
      <c r="DO337" s="561">
        <v>0</v>
      </c>
      <c r="DP337" s="561">
        <v>0</v>
      </c>
      <c r="DQ337" s="561">
        <v>0</v>
      </c>
      <c r="DR337" s="561">
        <v>0</v>
      </c>
      <c r="DS337" s="561">
        <v>0</v>
      </c>
      <c r="DT337" s="561">
        <v>0</v>
      </c>
      <c r="DU337" s="561">
        <v>0</v>
      </c>
      <c r="DV337" s="561">
        <v>0</v>
      </c>
      <c r="DW337" s="561">
        <v>0</v>
      </c>
      <c r="DX337" s="561">
        <v>0</v>
      </c>
      <c r="DY337" s="561">
        <v>0</v>
      </c>
      <c r="DZ337" s="561">
        <v>0</v>
      </c>
      <c r="EA337" s="561">
        <v>4584</v>
      </c>
      <c r="EB337" s="561">
        <v>2701</v>
      </c>
      <c r="EC337" s="561">
        <v>7285</v>
      </c>
      <c r="ED337" s="561">
        <v>0</v>
      </c>
      <c r="EE337" s="561">
        <v>0</v>
      </c>
      <c r="EF337" s="561">
        <v>0</v>
      </c>
      <c r="EG337" s="561">
        <v>0</v>
      </c>
      <c r="EH337" s="561">
        <v>0</v>
      </c>
      <c r="EI337" s="561">
        <v>0</v>
      </c>
      <c r="EJ337" s="561">
        <v>0</v>
      </c>
      <c r="EK337" s="561">
        <v>0</v>
      </c>
      <c r="EL337" s="561">
        <v>0</v>
      </c>
      <c r="EM337" s="561">
        <v>0</v>
      </c>
      <c r="EN337" s="561">
        <v>0</v>
      </c>
      <c r="EO337" s="561">
        <v>0</v>
      </c>
      <c r="EP337" s="561">
        <v>0</v>
      </c>
      <c r="EQ337" s="561">
        <v>0</v>
      </c>
      <c r="ER337" s="561">
        <v>0</v>
      </c>
      <c r="ES337" s="561" t="s">
        <v>4565</v>
      </c>
      <c r="ET337" s="561">
        <v>0</v>
      </c>
      <c r="EU337" s="561">
        <v>0</v>
      </c>
      <c r="EV337" s="561">
        <v>0</v>
      </c>
      <c r="EW337" s="561">
        <v>0</v>
      </c>
      <c r="EX337" s="561">
        <v>0</v>
      </c>
      <c r="EY337" s="561">
        <v>0</v>
      </c>
      <c r="EZ337" s="561">
        <v>0</v>
      </c>
      <c r="FA337" s="561">
        <v>0</v>
      </c>
      <c r="FB337" s="561">
        <v>1163</v>
      </c>
      <c r="FC337" s="561">
        <v>1190</v>
      </c>
      <c r="FD337" s="561">
        <v>274</v>
      </c>
      <c r="FE337" s="561">
        <v>1030</v>
      </c>
      <c r="FF337" s="561">
        <v>0</v>
      </c>
      <c r="FG337" s="561">
        <v>0</v>
      </c>
      <c r="FH337" s="561">
        <v>0</v>
      </c>
      <c r="FI337" s="561">
        <v>1161</v>
      </c>
      <c r="FJ337" s="561">
        <v>0</v>
      </c>
      <c r="FK337" s="561">
        <v>6809</v>
      </c>
      <c r="FL337" s="561">
        <v>0</v>
      </c>
      <c r="FM337" s="561">
        <v>0</v>
      </c>
      <c r="FN337" s="561">
        <v>10899</v>
      </c>
      <c r="FO337" s="561">
        <v>22526</v>
      </c>
      <c r="FP337" s="561">
        <v>84</v>
      </c>
      <c r="FQ337" s="561">
        <v>0</v>
      </c>
      <c r="FR337" s="561">
        <v>2072</v>
      </c>
      <c r="FS337" s="561">
        <v>0</v>
      </c>
      <c r="FT337" s="561">
        <v>0</v>
      </c>
      <c r="FU337" s="561">
        <v>0</v>
      </c>
      <c r="FV337" s="561">
        <v>0</v>
      </c>
      <c r="FW337" s="561">
        <v>0</v>
      </c>
      <c r="FX337" s="561">
        <v>0</v>
      </c>
      <c r="FY337" s="561">
        <v>0</v>
      </c>
      <c r="FZ337" s="561">
        <v>0</v>
      </c>
      <c r="GA337" s="561">
        <v>0</v>
      </c>
      <c r="GB337" s="561">
        <v>0</v>
      </c>
      <c r="GC337" s="561">
        <v>0</v>
      </c>
      <c r="GD337" s="561">
        <v>0</v>
      </c>
      <c r="GE337" s="561">
        <v>0</v>
      </c>
      <c r="GF337" s="561">
        <v>0</v>
      </c>
      <c r="GG337" s="561">
        <v>0</v>
      </c>
      <c r="GH337" s="561">
        <v>1063</v>
      </c>
      <c r="GI337" s="561">
        <v>0</v>
      </c>
      <c r="GJ337" s="561">
        <v>0</v>
      </c>
      <c r="GK337" s="561">
        <v>0</v>
      </c>
      <c r="GL337" s="561">
        <v>0</v>
      </c>
      <c r="GM337" s="561">
        <v>0</v>
      </c>
      <c r="GN337" s="561">
        <v>78340</v>
      </c>
      <c r="GO337" s="561">
        <v>0</v>
      </c>
      <c r="GP337" s="561">
        <v>2783</v>
      </c>
      <c r="GQ337" s="561">
        <v>402</v>
      </c>
      <c r="GR337" s="561">
        <v>4370</v>
      </c>
      <c r="GS337" s="561">
        <v>89030</v>
      </c>
      <c r="GT337" s="561">
        <v>271</v>
      </c>
      <c r="GU337" s="561">
        <v>0</v>
      </c>
      <c r="GV337" s="561">
        <v>1785</v>
      </c>
      <c r="GW337" s="561">
        <v>0</v>
      </c>
      <c r="GX337" s="561">
        <v>300</v>
      </c>
      <c r="GY337" s="561">
        <v>0</v>
      </c>
      <c r="GZ337" s="561">
        <v>2153</v>
      </c>
      <c r="HA337" s="561">
        <v>0</v>
      </c>
      <c r="HB337" s="561">
        <v>0</v>
      </c>
      <c r="HC337" s="561">
        <v>6091</v>
      </c>
      <c r="HD337" s="561">
        <v>10329</v>
      </c>
      <c r="HE337" s="561">
        <v>255</v>
      </c>
      <c r="HF337" s="561">
        <v>121885</v>
      </c>
      <c r="HG337" s="561">
        <v>0</v>
      </c>
      <c r="HH337" s="561">
        <v>0</v>
      </c>
      <c r="HI337" s="561">
        <v>0</v>
      </c>
      <c r="HJ337" s="561">
        <v>6448</v>
      </c>
      <c r="HK337" s="561">
        <v>43875</v>
      </c>
      <c r="HL337" s="561">
        <v>438</v>
      </c>
      <c r="HM337" s="561">
        <v>50761</v>
      </c>
      <c r="HN337" s="561">
        <v>121</v>
      </c>
      <c r="HO337" s="561">
        <v>2695</v>
      </c>
      <c r="HP337" s="561">
        <v>0</v>
      </c>
      <c r="HQ337" s="561">
        <v>0</v>
      </c>
      <c r="HR337" s="561">
        <v>0</v>
      </c>
      <c r="HS337" s="561">
        <v>0</v>
      </c>
      <c r="HT337" s="561">
        <v>0</v>
      </c>
      <c r="HU337" s="561">
        <v>0</v>
      </c>
      <c r="HV337" s="561">
        <v>-1528</v>
      </c>
      <c r="HW337" s="561">
        <v>0</v>
      </c>
      <c r="HX337" s="561">
        <v>350</v>
      </c>
      <c r="HY337" s="561">
        <v>1045</v>
      </c>
      <c r="HZ337" s="561">
        <v>0</v>
      </c>
      <c r="IA337" s="561">
        <v>380</v>
      </c>
      <c r="IB337" s="561">
        <v>562</v>
      </c>
      <c r="IC337" s="561">
        <v>4883</v>
      </c>
      <c r="ID337" s="561">
        <v>0</v>
      </c>
      <c r="IE337" s="561">
        <v>4668</v>
      </c>
      <c r="IF337" s="561">
        <v>0</v>
      </c>
      <c r="IG337" s="561">
        <v>0</v>
      </c>
      <c r="IH337" s="561">
        <v>0</v>
      </c>
      <c r="II337" s="561">
        <v>13055</v>
      </c>
      <c r="IJ337" s="561">
        <v>229</v>
      </c>
      <c r="IK337" s="561">
        <v>0</v>
      </c>
      <c r="IL337" s="561">
        <v>0</v>
      </c>
      <c r="IM337" s="561">
        <v>0</v>
      </c>
      <c r="IN337" s="561">
        <v>0</v>
      </c>
      <c r="IO337" s="561">
        <v>0</v>
      </c>
      <c r="IP337" s="561">
        <v>0</v>
      </c>
      <c r="IQ337" s="561">
        <v>0</v>
      </c>
      <c r="IR337" s="561">
        <v>854510</v>
      </c>
      <c r="IS337" s="561">
        <v>85460</v>
      </c>
      <c r="IT337" s="561">
        <v>252261</v>
      </c>
      <c r="IU337" s="561">
        <v>549958</v>
      </c>
      <c r="IV337" s="561">
        <v>45676</v>
      </c>
      <c r="IW337" s="561">
        <v>7285</v>
      </c>
      <c r="IX337" s="561">
        <v>22526</v>
      </c>
      <c r="IY337" s="561">
        <v>89030</v>
      </c>
      <c r="IZ337" s="561">
        <v>10329</v>
      </c>
      <c r="JA337" s="561">
        <v>0</v>
      </c>
      <c r="JB337" s="561">
        <v>50761</v>
      </c>
      <c r="JC337" s="561">
        <v>13055</v>
      </c>
      <c r="JD337" s="561">
        <v>0</v>
      </c>
      <c r="JE337" s="561">
        <v>1980851</v>
      </c>
      <c r="JF337" s="561">
        <v>0</v>
      </c>
      <c r="JG337" s="561">
        <v>0</v>
      </c>
      <c r="JH337" s="561">
        <v>0</v>
      </c>
      <c r="JI337" s="561">
        <v>0</v>
      </c>
      <c r="JJ337" s="561">
        <v>0</v>
      </c>
      <c r="JK337" s="561">
        <v>0</v>
      </c>
      <c r="JL337" s="561">
        <v>0</v>
      </c>
      <c r="JM337" s="561">
        <v>0</v>
      </c>
      <c r="JN337" s="561">
        <v>0</v>
      </c>
      <c r="JO337" s="561">
        <v>0</v>
      </c>
      <c r="JP337" s="561">
        <v>-60</v>
      </c>
      <c r="JQ337" s="561">
        <v>0</v>
      </c>
      <c r="JR337" s="561">
        <v>0</v>
      </c>
      <c r="JS337" s="561">
        <v>0</v>
      </c>
      <c r="JT337" s="561">
        <v>-222</v>
      </c>
      <c r="JU337" s="561">
        <v>15983</v>
      </c>
      <c r="JV337" s="561">
        <v>1996552</v>
      </c>
      <c r="JW337" s="561">
        <v>1208</v>
      </c>
      <c r="JX337" s="561">
        <v>5406</v>
      </c>
      <c r="JY337" s="561">
        <v>0</v>
      </c>
      <c r="JZ337" s="561">
        <v>0</v>
      </c>
      <c r="KA337" s="561">
        <v>0</v>
      </c>
      <c r="KB337" s="561">
        <v>-2136</v>
      </c>
      <c r="KC337" s="561">
        <v>30474</v>
      </c>
      <c r="KD337" s="561">
        <v>3267</v>
      </c>
      <c r="KE337" s="561">
        <v>44325</v>
      </c>
      <c r="KF337" s="561">
        <v>0</v>
      </c>
      <c r="KG337" s="561">
        <v>2079096</v>
      </c>
      <c r="KH337" s="561">
        <v>-21824</v>
      </c>
      <c r="KI337" s="561">
        <v>12560</v>
      </c>
      <c r="KJ337" s="561">
        <v>0</v>
      </c>
      <c r="KK337" s="561">
        <v>0</v>
      </c>
      <c r="KL337" s="561">
        <v>-9409</v>
      </c>
      <c r="KM337" s="561">
        <v>0</v>
      </c>
      <c r="KN337" s="561">
        <v>0</v>
      </c>
      <c r="KO337" s="561">
        <v>0</v>
      </c>
      <c r="KP337" s="561">
        <v>0</v>
      </c>
      <c r="KQ337" s="561">
        <v>-63793</v>
      </c>
      <c r="KR337" s="561">
        <v>1996630</v>
      </c>
      <c r="KS337" s="561">
        <v>0</v>
      </c>
      <c r="KT337" s="561">
        <v>-885397.83</v>
      </c>
      <c r="KU337" s="561">
        <v>1111232.17</v>
      </c>
      <c r="KV337" s="561">
        <v>0</v>
      </c>
      <c r="KW337" s="561">
        <v>-5960</v>
      </c>
      <c r="KX337" s="561">
        <v>0</v>
      </c>
      <c r="KY337" s="561">
        <v>0</v>
      </c>
      <c r="KZ337" s="561">
        <v>-29037</v>
      </c>
      <c r="LA337" s="561">
        <v>0</v>
      </c>
      <c r="LB337" s="561">
        <v>-2553</v>
      </c>
      <c r="LC337" s="561">
        <v>0</v>
      </c>
      <c r="LD337" s="561">
        <v>-151926</v>
      </c>
      <c r="LE337" s="561">
        <v>-6849</v>
      </c>
      <c r="LF337" s="561">
        <v>0</v>
      </c>
      <c r="LG337" s="561">
        <v>914907</v>
      </c>
      <c r="LH337" s="561">
        <v>52137</v>
      </c>
      <c r="LI337" s="561">
        <v>-107665</v>
      </c>
      <c r="LJ337" s="561">
        <v>144003</v>
      </c>
      <c r="LK337" s="561">
        <v>0</v>
      </c>
      <c r="LL337" s="561">
        <v>168532</v>
      </c>
      <c r="LM337" s="561">
        <v>49064</v>
      </c>
      <c r="LN337" s="561">
        <v>46177</v>
      </c>
      <c r="LO337" s="561">
        <v>-171458</v>
      </c>
      <c r="LP337" s="561">
        <v>144003</v>
      </c>
      <c r="LQ337" s="561">
        <v>0</v>
      </c>
      <c r="LR337" s="561">
        <v>139495</v>
      </c>
      <c r="LS337" s="561">
        <v>49064</v>
      </c>
      <c r="LT337" s="561">
        <v>0</v>
      </c>
      <c r="LU337" s="561">
        <v>140913</v>
      </c>
      <c r="LV337" s="561">
        <v>0</v>
      </c>
      <c r="LW337" s="561">
        <v>44543</v>
      </c>
      <c r="LX337" s="561">
        <v>-99910</v>
      </c>
      <c r="LY337" s="561">
        <v>67096</v>
      </c>
      <c r="LZ337" s="561">
        <v>191256</v>
      </c>
      <c r="MA337" s="561">
        <v>0</v>
      </c>
      <c r="MB337" s="561">
        <v>0</v>
      </c>
      <c r="MC337" s="561">
        <v>0</v>
      </c>
      <c r="MD337" s="561">
        <v>0</v>
      </c>
      <c r="ME337" s="561">
        <v>0</v>
      </c>
      <c r="MF337" s="561">
        <v>0</v>
      </c>
      <c r="MG337" s="561">
        <v>0</v>
      </c>
      <c r="MH337" s="561">
        <v>0</v>
      </c>
      <c r="MI337" s="561">
        <v>0</v>
      </c>
      <c r="MJ337" s="561">
        <v>0</v>
      </c>
      <c r="MK337" s="561">
        <v>0</v>
      </c>
      <c r="ML337" s="561">
        <v>18726</v>
      </c>
      <c r="MM337" s="561">
        <v>33574</v>
      </c>
      <c r="MN337" s="561">
        <v>12198</v>
      </c>
      <c r="MO337" s="561">
        <v>74997</v>
      </c>
      <c r="MP337" s="561">
        <v>0</v>
      </c>
      <c r="MQ337" s="561">
        <v>854510</v>
      </c>
      <c r="MR337" s="561">
        <v>85460</v>
      </c>
      <c r="MS337" s="561">
        <v>252261</v>
      </c>
      <c r="MT337" s="561">
        <v>549958</v>
      </c>
      <c r="MU337" s="561">
        <v>45676</v>
      </c>
      <c r="MV337" s="561">
        <v>7285</v>
      </c>
      <c r="MW337" s="561">
        <v>22526</v>
      </c>
      <c r="MX337" s="561">
        <v>89030</v>
      </c>
      <c r="MY337" s="561">
        <v>10329</v>
      </c>
      <c r="MZ337" s="561">
        <v>0</v>
      </c>
      <c r="NA337" s="561">
        <v>50761</v>
      </c>
      <c r="NB337" s="561">
        <v>13055</v>
      </c>
      <c r="NC337" s="561">
        <v>0</v>
      </c>
      <c r="ND337" s="561">
        <v>1980851</v>
      </c>
      <c r="NE337" s="561">
        <v>0</v>
      </c>
      <c r="NF337" s="561">
        <v>0</v>
      </c>
      <c r="NG337" s="561">
        <v>0</v>
      </c>
      <c r="NH337" s="561">
        <v>0</v>
      </c>
      <c r="NI337" s="561">
        <v>0</v>
      </c>
      <c r="NJ337" s="561">
        <v>0</v>
      </c>
      <c r="NK337" s="561">
        <v>0</v>
      </c>
      <c r="NL337" s="561">
        <v>0</v>
      </c>
      <c r="NM337" s="561">
        <v>0</v>
      </c>
      <c r="NN337" s="561">
        <v>0</v>
      </c>
      <c r="NO337" s="561">
        <v>0</v>
      </c>
      <c r="NP337" s="561">
        <v>0</v>
      </c>
      <c r="NQ337" s="561">
        <v>0</v>
      </c>
      <c r="NR337" s="561">
        <v>0</v>
      </c>
      <c r="NS337" s="561">
        <v>0</v>
      </c>
      <c r="NT337" s="561">
        <v>0</v>
      </c>
      <c r="NU337" s="561">
        <v>0</v>
      </c>
      <c r="NV337" s="561">
        <v>0</v>
      </c>
      <c r="NW337" s="561">
        <v>-60</v>
      </c>
      <c r="NX337" s="561">
        <v>0</v>
      </c>
      <c r="NY337" s="561">
        <v>-60</v>
      </c>
      <c r="NZ337" s="561">
        <v>0</v>
      </c>
      <c r="OA337" s="561">
        <v>0</v>
      </c>
      <c r="OB337" s="561">
        <v>0</v>
      </c>
      <c r="OC337" s="561">
        <v>0</v>
      </c>
      <c r="OD337" s="561">
        <v>0</v>
      </c>
      <c r="OE337" s="561">
        <v>0</v>
      </c>
      <c r="OF337" s="561">
        <v>0</v>
      </c>
      <c r="OG337" s="561">
        <v>0</v>
      </c>
      <c r="OH337" s="561">
        <v>0</v>
      </c>
      <c r="OI337" s="561">
        <v>0</v>
      </c>
      <c r="OJ337" s="561">
        <v>0</v>
      </c>
      <c r="OK337" s="561">
        <v>0</v>
      </c>
      <c r="OL337" s="561">
        <v>0</v>
      </c>
      <c r="OM337" s="561">
        <v>0</v>
      </c>
      <c r="ON337" s="561">
        <v>0</v>
      </c>
      <c r="OO337" s="561">
        <v>0</v>
      </c>
      <c r="OP337" s="561">
        <v>0</v>
      </c>
      <c r="OQ337" s="561">
        <v>0</v>
      </c>
      <c r="OR337" s="561">
        <v>0</v>
      </c>
      <c r="OS337" s="561">
        <v>0</v>
      </c>
      <c r="OT337" s="561">
        <v>0</v>
      </c>
      <c r="OU337" s="561">
        <v>0</v>
      </c>
      <c r="OV337" s="561">
        <v>-164</v>
      </c>
      <c r="OW337" s="561">
        <v>0</v>
      </c>
      <c r="OX337" s="561">
        <v>0</v>
      </c>
      <c r="OY337" s="561">
        <v>0</v>
      </c>
      <c r="OZ337" s="561">
        <v>0</v>
      </c>
      <c r="PA337" s="561">
        <v>0</v>
      </c>
      <c r="PB337" s="561">
        <v>0</v>
      </c>
      <c r="PC337" s="561">
        <v>0</v>
      </c>
      <c r="PD337" s="561">
        <v>0</v>
      </c>
      <c r="PE337" s="561">
        <v>0</v>
      </c>
      <c r="PF337" s="561">
        <v>0</v>
      </c>
      <c r="PG337" s="561">
        <v>0</v>
      </c>
      <c r="PH337" s="561">
        <v>0</v>
      </c>
      <c r="PI337" s="561">
        <v>0</v>
      </c>
      <c r="PJ337" s="561">
        <v>0</v>
      </c>
    </row>
    <row r="338" spans="1:426" ht="14" x14ac:dyDescent="0.3">
      <c r="A338" t="s">
        <v>3457</v>
      </c>
      <c r="B338" t="s">
        <v>3458</v>
      </c>
      <c r="C338" t="s">
        <v>3459</v>
      </c>
      <c r="E338" t="s">
        <v>384</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-416</v>
      </c>
      <c r="AC338" s="561">
        <v>0</v>
      </c>
      <c r="AD338" s="561">
        <v>0</v>
      </c>
      <c r="AE338" s="561">
        <v>0</v>
      </c>
      <c r="AF338" s="561">
        <v>0</v>
      </c>
      <c r="AG338" s="561">
        <v>0</v>
      </c>
      <c r="AH338" s="561">
        <v>0</v>
      </c>
      <c r="AI338" s="561">
        <v>0</v>
      </c>
      <c r="AJ338" s="561">
        <v>-416</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561">
        <v>0</v>
      </c>
      <c r="BI338" s="561">
        <v>228</v>
      </c>
      <c r="BJ338" s="561">
        <v>0</v>
      </c>
      <c r="BK338" s="561">
        <v>0</v>
      </c>
      <c r="BL338" s="561">
        <v>0</v>
      </c>
      <c r="BM338" s="561">
        <v>0</v>
      </c>
      <c r="BN338" s="561">
        <v>0</v>
      </c>
      <c r="BO338" s="561">
        <v>0</v>
      </c>
      <c r="BP338" s="561">
        <v>0</v>
      </c>
      <c r="BQ338" s="561">
        <v>0</v>
      </c>
      <c r="BR338" s="561">
        <v>0</v>
      </c>
      <c r="BS338" s="561">
        <v>0</v>
      </c>
      <c r="BT338" s="561">
        <v>0</v>
      </c>
      <c r="BU338" s="561">
        <v>0</v>
      </c>
      <c r="BV338" s="561">
        <v>456</v>
      </c>
      <c r="BW338" s="561">
        <v>0</v>
      </c>
      <c r="BX338" s="561">
        <v>0</v>
      </c>
      <c r="BY338" s="561">
        <v>0</v>
      </c>
      <c r="BZ338" s="561">
        <v>684</v>
      </c>
      <c r="CA338" s="561">
        <v>0</v>
      </c>
      <c r="CB338" s="561">
        <v>0</v>
      </c>
      <c r="CC338" s="561">
        <v>0</v>
      </c>
      <c r="CD338" s="561">
        <v>0</v>
      </c>
      <c r="CE338" s="561">
        <v>0</v>
      </c>
      <c r="CF338" s="561">
        <v>0</v>
      </c>
      <c r="CG338" s="561">
        <v>0</v>
      </c>
      <c r="CH338" s="561">
        <v>0</v>
      </c>
      <c r="CI338" s="561">
        <v>0</v>
      </c>
      <c r="CJ338" s="561">
        <v>0</v>
      </c>
      <c r="CK338" s="561">
        <v>0</v>
      </c>
      <c r="CL338" s="561">
        <v>0</v>
      </c>
      <c r="CM338" s="561">
        <v>0</v>
      </c>
      <c r="CN338" s="561">
        <v>0</v>
      </c>
      <c r="CO338" s="561">
        <v>0</v>
      </c>
      <c r="CP338" s="561">
        <v>0</v>
      </c>
      <c r="CQ338" s="561">
        <v>0</v>
      </c>
      <c r="CR338" s="561">
        <v>0</v>
      </c>
      <c r="CS338" s="561">
        <v>0</v>
      </c>
      <c r="CT338" s="561">
        <v>0</v>
      </c>
      <c r="CU338" s="561">
        <v>0</v>
      </c>
      <c r="CV338" s="561">
        <v>0</v>
      </c>
      <c r="CW338" s="561">
        <v>0</v>
      </c>
      <c r="CX338" s="561">
        <v>0</v>
      </c>
      <c r="CY338" s="561">
        <v>0</v>
      </c>
      <c r="CZ338" s="561">
        <v>0</v>
      </c>
      <c r="DA338" s="561">
        <v>0</v>
      </c>
      <c r="DB338" s="561">
        <v>0</v>
      </c>
      <c r="DC338" s="561">
        <v>0</v>
      </c>
      <c r="DD338" s="561">
        <v>0</v>
      </c>
      <c r="DE338" s="561">
        <v>0</v>
      </c>
      <c r="DF338" s="561">
        <v>0</v>
      </c>
      <c r="DG338" s="561">
        <v>0</v>
      </c>
      <c r="DH338" s="561">
        <v>0</v>
      </c>
      <c r="DI338" s="561">
        <v>0</v>
      </c>
      <c r="DJ338" s="561">
        <v>71</v>
      </c>
      <c r="DK338" s="561">
        <v>175</v>
      </c>
      <c r="DL338" s="561">
        <v>0</v>
      </c>
      <c r="DM338" s="561">
        <v>0</v>
      </c>
      <c r="DN338" s="561">
        <v>0</v>
      </c>
      <c r="DO338" s="561">
        <v>279</v>
      </c>
      <c r="DP338" s="561">
        <v>119</v>
      </c>
      <c r="DQ338" s="561">
        <v>166</v>
      </c>
      <c r="DR338" s="561">
        <v>0</v>
      </c>
      <c r="DS338" s="561">
        <v>1148</v>
      </c>
      <c r="DT338" s="561">
        <v>0</v>
      </c>
      <c r="DU338" s="561">
        <v>1712</v>
      </c>
      <c r="DV338" s="561">
        <v>0</v>
      </c>
      <c r="DW338" s="561">
        <v>0</v>
      </c>
      <c r="DX338" s="561">
        <v>0</v>
      </c>
      <c r="DY338" s="561">
        <v>590</v>
      </c>
      <c r="DZ338" s="561">
        <v>0</v>
      </c>
      <c r="EA338" s="561">
        <v>491</v>
      </c>
      <c r="EB338" s="561">
        <v>0</v>
      </c>
      <c r="EC338" s="561">
        <v>3039</v>
      </c>
      <c r="ED338" s="561">
        <v>0</v>
      </c>
      <c r="EE338" s="561">
        <v>0</v>
      </c>
      <c r="EF338" s="561">
        <v>0</v>
      </c>
      <c r="EG338" s="561">
        <v>0</v>
      </c>
      <c r="EH338" s="561">
        <v>0</v>
      </c>
      <c r="EI338" s="561">
        <v>0</v>
      </c>
      <c r="EJ338" s="561">
        <v>0</v>
      </c>
      <c r="EK338" s="561">
        <v>0</v>
      </c>
      <c r="EL338" s="561">
        <v>0</v>
      </c>
      <c r="EM338" s="561">
        <v>0</v>
      </c>
      <c r="EN338" s="561">
        <v>0</v>
      </c>
      <c r="EO338" s="561">
        <v>0</v>
      </c>
      <c r="EP338" s="561">
        <v>0</v>
      </c>
      <c r="EQ338" s="561">
        <v>0</v>
      </c>
      <c r="ER338" s="561">
        <v>0</v>
      </c>
      <c r="ES338" s="561" t="s">
        <v>4565</v>
      </c>
      <c r="ET338" s="561">
        <v>0</v>
      </c>
      <c r="EU338" s="561">
        <v>0</v>
      </c>
      <c r="EV338" s="561">
        <v>0</v>
      </c>
      <c r="EW338" s="561">
        <v>0</v>
      </c>
      <c r="EX338" s="561">
        <v>0</v>
      </c>
      <c r="EY338" s="561">
        <v>0</v>
      </c>
      <c r="EZ338" s="561">
        <v>0</v>
      </c>
      <c r="FA338" s="561">
        <v>0</v>
      </c>
      <c r="FB338" s="561">
        <v>0</v>
      </c>
      <c r="FC338" s="561">
        <v>0</v>
      </c>
      <c r="FD338" s="561">
        <v>0</v>
      </c>
      <c r="FE338" s="561">
        <v>254</v>
      </c>
      <c r="FF338" s="561">
        <v>584</v>
      </c>
      <c r="FG338" s="561">
        <v>-6</v>
      </c>
      <c r="FH338" s="561">
        <v>0</v>
      </c>
      <c r="FI338" s="561">
        <v>6</v>
      </c>
      <c r="FJ338" s="561">
        <v>276</v>
      </c>
      <c r="FK338" s="561">
        <v>1184</v>
      </c>
      <c r="FL338" s="561">
        <v>0</v>
      </c>
      <c r="FM338" s="561">
        <v>0</v>
      </c>
      <c r="FN338" s="561">
        <v>0</v>
      </c>
      <c r="FO338" s="561">
        <v>2298</v>
      </c>
      <c r="FP338" s="561">
        <v>0</v>
      </c>
      <c r="FQ338" s="561">
        <v>19</v>
      </c>
      <c r="FR338" s="561">
        <v>0</v>
      </c>
      <c r="FS338" s="561">
        <v>0</v>
      </c>
      <c r="FT338" s="561">
        <v>287</v>
      </c>
      <c r="FU338" s="561">
        <v>504</v>
      </c>
      <c r="FV338" s="561">
        <v>0</v>
      </c>
      <c r="FW338" s="561">
        <v>32</v>
      </c>
      <c r="FX338" s="561">
        <v>0</v>
      </c>
      <c r="FY338" s="561">
        <v>0</v>
      </c>
      <c r="FZ338" s="561">
        <v>54</v>
      </c>
      <c r="GA338" s="561">
        <v>34</v>
      </c>
      <c r="GB338" s="561">
        <v>27</v>
      </c>
      <c r="GC338" s="561">
        <v>3</v>
      </c>
      <c r="GD338" s="561">
        <v>9</v>
      </c>
      <c r="GE338" s="561">
        <v>0</v>
      </c>
      <c r="GF338" s="561">
        <v>0</v>
      </c>
      <c r="GG338" s="561">
        <v>0</v>
      </c>
      <c r="GH338" s="561">
        <v>180</v>
      </c>
      <c r="GI338" s="561">
        <v>0</v>
      </c>
      <c r="GJ338" s="561">
        <v>0</v>
      </c>
      <c r="GK338" s="561">
        <v>0</v>
      </c>
      <c r="GL338" s="561">
        <v>6</v>
      </c>
      <c r="GM338" s="561">
        <v>3801</v>
      </c>
      <c r="GN338" s="561">
        <v>0</v>
      </c>
      <c r="GO338" s="561">
        <v>0</v>
      </c>
      <c r="GP338" s="561">
        <v>805</v>
      </c>
      <c r="GQ338" s="561">
        <v>0</v>
      </c>
      <c r="GR338" s="561">
        <v>142</v>
      </c>
      <c r="GS338" s="561">
        <v>5903</v>
      </c>
      <c r="GT338" s="561">
        <v>0</v>
      </c>
      <c r="GU338" s="561">
        <v>332</v>
      </c>
      <c r="GV338" s="561">
        <v>389</v>
      </c>
      <c r="GW338" s="561">
        <v>0</v>
      </c>
      <c r="GX338" s="561">
        <v>826</v>
      </c>
      <c r="GY338" s="561">
        <v>0</v>
      </c>
      <c r="GZ338" s="561">
        <v>847</v>
      </c>
      <c r="HA338" s="561">
        <v>0</v>
      </c>
      <c r="HB338" s="561">
        <v>0</v>
      </c>
      <c r="HC338" s="561">
        <v>315</v>
      </c>
      <c r="HD338" s="561">
        <v>2709</v>
      </c>
      <c r="HE338" s="561">
        <v>74</v>
      </c>
      <c r="HF338" s="561">
        <v>10910</v>
      </c>
      <c r="HG338" s="561">
        <v>0</v>
      </c>
      <c r="HH338" s="561">
        <v>0</v>
      </c>
      <c r="HI338" s="561">
        <v>0</v>
      </c>
      <c r="HJ338" s="561">
        <v>0</v>
      </c>
      <c r="HK338" s="561">
        <v>0</v>
      </c>
      <c r="HL338" s="561">
        <v>0</v>
      </c>
      <c r="HM338" s="561">
        <v>0</v>
      </c>
      <c r="HN338" s="561">
        <v>0</v>
      </c>
      <c r="HO338" s="561">
        <v>2098</v>
      </c>
      <c r="HP338" s="561">
        <v>1338</v>
      </c>
      <c r="HQ338" s="561">
        <v>0</v>
      </c>
      <c r="HR338" s="561">
        <v>0</v>
      </c>
      <c r="HS338" s="561">
        <v>0</v>
      </c>
      <c r="HT338" s="561">
        <v>41</v>
      </c>
      <c r="HU338" s="561">
        <v>0</v>
      </c>
      <c r="HV338" s="561">
        <v>0</v>
      </c>
      <c r="HW338" s="561">
        <v>23</v>
      </c>
      <c r="HX338" s="561">
        <v>0</v>
      </c>
      <c r="HY338" s="561">
        <v>39</v>
      </c>
      <c r="HZ338" s="561">
        <v>-14</v>
      </c>
      <c r="IA338" s="561">
        <v>0</v>
      </c>
      <c r="IB338" s="561">
        <v>0</v>
      </c>
      <c r="IC338" s="561">
        <v>0</v>
      </c>
      <c r="ID338" s="561">
        <v>0</v>
      </c>
      <c r="IE338" s="561">
        <v>208</v>
      </c>
      <c r="IF338" s="561">
        <v>0</v>
      </c>
      <c r="IG338" s="561">
        <v>0</v>
      </c>
      <c r="IH338" s="561">
        <v>0</v>
      </c>
      <c r="II338" s="561">
        <v>3733</v>
      </c>
      <c r="IJ338" s="561">
        <v>245</v>
      </c>
      <c r="IK338" s="561">
        <v>0</v>
      </c>
      <c r="IL338" s="561">
        <v>7339</v>
      </c>
      <c r="IM338" s="561">
        <v>0</v>
      </c>
      <c r="IN338" s="561">
        <v>0</v>
      </c>
      <c r="IO338" s="561">
        <v>234</v>
      </c>
      <c r="IP338" s="561">
        <v>0</v>
      </c>
      <c r="IQ338" s="561">
        <v>0</v>
      </c>
      <c r="IR338" s="561">
        <v>0</v>
      </c>
      <c r="IS338" s="561">
        <v>-416</v>
      </c>
      <c r="IT338" s="561">
        <v>0</v>
      </c>
      <c r="IU338" s="561">
        <v>684</v>
      </c>
      <c r="IV338" s="561">
        <v>0</v>
      </c>
      <c r="IW338" s="561">
        <v>3039</v>
      </c>
      <c r="IX338" s="561">
        <v>2298</v>
      </c>
      <c r="IY338" s="561">
        <v>5903</v>
      </c>
      <c r="IZ338" s="561">
        <v>2709</v>
      </c>
      <c r="JA338" s="561">
        <v>0</v>
      </c>
      <c r="JB338" s="561">
        <v>0</v>
      </c>
      <c r="JC338" s="561">
        <v>3733</v>
      </c>
      <c r="JD338" s="561">
        <v>0</v>
      </c>
      <c r="JE338" s="561">
        <v>17950</v>
      </c>
      <c r="JF338" s="561">
        <v>10529</v>
      </c>
      <c r="JG338" s="561">
        <v>0</v>
      </c>
      <c r="JH338" s="561">
        <v>0</v>
      </c>
      <c r="JI338" s="561">
        <v>0</v>
      </c>
      <c r="JJ338" s="561">
        <v>0</v>
      </c>
      <c r="JK338" s="561">
        <v>841</v>
      </c>
      <c r="JL338" s="561">
        <v>0</v>
      </c>
      <c r="JM338" s="561">
        <v>0</v>
      </c>
      <c r="JN338" s="561">
        <v>0</v>
      </c>
      <c r="JO338" s="561">
        <v>0</v>
      </c>
      <c r="JP338" s="561">
        <v>0</v>
      </c>
      <c r="JQ338" s="561">
        <v>0</v>
      </c>
      <c r="JR338" s="561">
        <v>0</v>
      </c>
      <c r="JS338" s="561">
        <v>0</v>
      </c>
      <c r="JT338" s="561">
        <v>36</v>
      </c>
      <c r="JU338" s="561">
        <v>0</v>
      </c>
      <c r="JV338" s="561">
        <v>29356</v>
      </c>
      <c r="JW338" s="561">
        <v>0</v>
      </c>
      <c r="JX338" s="561">
        <v>1709</v>
      </c>
      <c r="JY338" s="561">
        <v>0</v>
      </c>
      <c r="JZ338" s="561">
        <v>0</v>
      </c>
      <c r="KA338" s="561">
        <v>0</v>
      </c>
      <c r="KB338" s="561">
        <v>0</v>
      </c>
      <c r="KC338" s="561">
        <v>2438</v>
      </c>
      <c r="KD338" s="561">
        <v>0</v>
      </c>
      <c r="KE338" s="561">
        <v>6776</v>
      </c>
      <c r="KF338" s="561">
        <v>0</v>
      </c>
      <c r="KG338" s="561">
        <v>40279</v>
      </c>
      <c r="KH338" s="561">
        <v>-8135</v>
      </c>
      <c r="KI338" s="561">
        <v>0</v>
      </c>
      <c r="KJ338" s="561">
        <v>0</v>
      </c>
      <c r="KK338" s="561">
        <v>0</v>
      </c>
      <c r="KL338" s="561">
        <v>-10265</v>
      </c>
      <c r="KM338" s="561">
        <v>0</v>
      </c>
      <c r="KN338" s="561">
        <v>0</v>
      </c>
      <c r="KO338" s="561">
        <v>0</v>
      </c>
      <c r="KP338" s="561">
        <v>0</v>
      </c>
      <c r="KQ338" s="561">
        <v>0</v>
      </c>
      <c r="KR338" s="561">
        <v>21879</v>
      </c>
      <c r="KS338" s="561">
        <v>0</v>
      </c>
      <c r="KT338" s="561">
        <v>-1764</v>
      </c>
      <c r="KU338" s="561">
        <v>20115</v>
      </c>
      <c r="KV338" s="561">
        <v>0</v>
      </c>
      <c r="KW338" s="561">
        <v>0</v>
      </c>
      <c r="KX338" s="561">
        <v>0</v>
      </c>
      <c r="KY338" s="561">
        <v>0</v>
      </c>
      <c r="KZ338" s="561">
        <v>-8422</v>
      </c>
      <c r="LA338" s="561">
        <v>0</v>
      </c>
      <c r="LB338" s="561">
        <v>-83</v>
      </c>
      <c r="LC338" s="561">
        <v>0</v>
      </c>
      <c r="LD338" s="561">
        <v>-531</v>
      </c>
      <c r="LE338" s="561">
        <v>-190</v>
      </c>
      <c r="LF338" s="561">
        <v>0</v>
      </c>
      <c r="LG338" s="561">
        <v>10889</v>
      </c>
      <c r="LH338" s="561">
        <v>0</v>
      </c>
      <c r="LI338" s="561">
        <v>0</v>
      </c>
      <c r="LJ338" s="561">
        <v>0</v>
      </c>
      <c r="LK338" s="561">
        <v>0</v>
      </c>
      <c r="LL338" s="561">
        <v>30641</v>
      </c>
      <c r="LM338" s="561">
        <v>538</v>
      </c>
      <c r="LN338" s="561">
        <v>0</v>
      </c>
      <c r="LO338" s="561">
        <v>0</v>
      </c>
      <c r="LP338" s="561">
        <v>0</v>
      </c>
      <c r="LQ338" s="561">
        <v>0</v>
      </c>
      <c r="LR338" s="561">
        <v>22219</v>
      </c>
      <c r="LS338" s="561">
        <v>538</v>
      </c>
      <c r="LT338" s="561">
        <v>0</v>
      </c>
      <c r="LU338" s="561">
        <v>1827</v>
      </c>
      <c r="LV338" s="561">
        <v>9</v>
      </c>
      <c r="LW338" s="561">
        <v>0</v>
      </c>
      <c r="LX338" s="561">
        <v>0</v>
      </c>
      <c r="LY338" s="561">
        <v>943</v>
      </c>
      <c r="LZ338" s="561">
        <v>4403</v>
      </c>
      <c r="MA338" s="561">
        <v>0</v>
      </c>
      <c r="MB338" s="561">
        <v>0</v>
      </c>
      <c r="MC338" s="561">
        <v>0</v>
      </c>
      <c r="MD338" s="561">
        <v>0</v>
      </c>
      <c r="ME338" s="561">
        <v>0</v>
      </c>
      <c r="MF338" s="561">
        <v>0</v>
      </c>
      <c r="MG338" s="561">
        <v>0</v>
      </c>
      <c r="MH338" s="561">
        <v>1514</v>
      </c>
      <c r="MI338" s="561">
        <v>1959</v>
      </c>
      <c r="MJ338" s="561">
        <v>3473</v>
      </c>
      <c r="MK338" s="561">
        <v>0</v>
      </c>
      <c r="ML338" s="561">
        <v>22</v>
      </c>
      <c r="MM338" s="561">
        <v>19749</v>
      </c>
      <c r="MN338" s="561">
        <v>382</v>
      </c>
      <c r="MO338" s="561">
        <v>2066</v>
      </c>
      <c r="MP338" s="561">
        <v>0</v>
      </c>
      <c r="MQ338" s="561">
        <v>0</v>
      </c>
      <c r="MR338" s="561">
        <v>-416</v>
      </c>
      <c r="MS338" s="561">
        <v>0</v>
      </c>
      <c r="MT338" s="561">
        <v>684</v>
      </c>
      <c r="MU338" s="561">
        <v>0</v>
      </c>
      <c r="MV338" s="561">
        <v>3039</v>
      </c>
      <c r="MW338" s="561">
        <v>2298</v>
      </c>
      <c r="MX338" s="561">
        <v>5903</v>
      </c>
      <c r="MY338" s="561">
        <v>2709</v>
      </c>
      <c r="MZ338" s="561">
        <v>0</v>
      </c>
      <c r="NA338" s="561">
        <v>0</v>
      </c>
      <c r="NB338" s="561">
        <v>3733</v>
      </c>
      <c r="NC338" s="561">
        <v>0</v>
      </c>
      <c r="ND338" s="561">
        <v>17950</v>
      </c>
      <c r="NE338" s="561">
        <v>0</v>
      </c>
      <c r="NF338" s="561">
        <v>0</v>
      </c>
      <c r="NG338" s="561">
        <v>0</v>
      </c>
      <c r="NH338" s="561">
        <v>0</v>
      </c>
      <c r="NI338" s="561">
        <v>0</v>
      </c>
      <c r="NJ338" s="561">
        <v>0</v>
      </c>
      <c r="NK338" s="561">
        <v>0</v>
      </c>
      <c r="NL338" s="561">
        <v>0</v>
      </c>
      <c r="NM338" s="561">
        <v>0</v>
      </c>
      <c r="NN338" s="561">
        <v>0</v>
      </c>
      <c r="NO338" s="561">
        <v>0</v>
      </c>
      <c r="NP338" s="561">
        <v>0</v>
      </c>
      <c r="NQ338" s="561">
        <v>0</v>
      </c>
      <c r="NR338" s="561">
        <v>0</v>
      </c>
      <c r="NS338" s="561">
        <v>0</v>
      </c>
      <c r="NT338" s="561">
        <v>0</v>
      </c>
      <c r="NU338" s="561">
        <v>0</v>
      </c>
      <c r="NV338" s="561">
        <v>0</v>
      </c>
      <c r="NW338" s="561">
        <v>0</v>
      </c>
      <c r="NX338" s="561">
        <v>0</v>
      </c>
      <c r="NY338" s="561">
        <v>0</v>
      </c>
      <c r="NZ338" s="561">
        <v>0</v>
      </c>
      <c r="OA338" s="561">
        <v>0</v>
      </c>
      <c r="OB338" s="561">
        <v>0</v>
      </c>
      <c r="OC338" s="561">
        <v>0</v>
      </c>
      <c r="OD338" s="561">
        <v>0</v>
      </c>
      <c r="OE338" s="561">
        <v>0</v>
      </c>
      <c r="OF338" s="561">
        <v>0</v>
      </c>
      <c r="OG338" s="561">
        <v>0</v>
      </c>
      <c r="OH338" s="561">
        <v>0</v>
      </c>
      <c r="OI338" s="561">
        <v>0</v>
      </c>
      <c r="OJ338" s="561">
        <v>0</v>
      </c>
      <c r="OK338" s="561">
        <v>0</v>
      </c>
      <c r="OL338" s="561">
        <v>0</v>
      </c>
      <c r="OM338" s="561">
        <v>0</v>
      </c>
      <c r="ON338" s="561">
        <v>0</v>
      </c>
      <c r="OO338" s="561">
        <v>0</v>
      </c>
      <c r="OP338" s="561">
        <v>0</v>
      </c>
      <c r="OQ338" s="561">
        <v>0</v>
      </c>
      <c r="OR338" s="561">
        <v>0</v>
      </c>
      <c r="OS338" s="561">
        <v>0</v>
      </c>
      <c r="OT338" s="561">
        <v>0</v>
      </c>
      <c r="OU338" s="561">
        <v>0</v>
      </c>
      <c r="OV338" s="561">
        <v>0</v>
      </c>
      <c r="OW338" s="561">
        <v>0</v>
      </c>
      <c r="OX338" s="561">
        <v>0</v>
      </c>
      <c r="OY338" s="561">
        <v>0</v>
      </c>
      <c r="OZ338" s="561">
        <v>0</v>
      </c>
      <c r="PA338" s="561">
        <v>0</v>
      </c>
      <c r="PB338" s="561">
        <v>0</v>
      </c>
      <c r="PC338" s="561">
        <v>0</v>
      </c>
      <c r="PD338" s="561">
        <v>0</v>
      </c>
      <c r="PE338" s="561">
        <v>0</v>
      </c>
      <c r="PF338" s="561">
        <v>0</v>
      </c>
      <c r="PG338" s="561">
        <v>0</v>
      </c>
      <c r="PH338" s="561">
        <v>0</v>
      </c>
      <c r="PI338" s="561">
        <v>0</v>
      </c>
      <c r="PJ338" s="561">
        <v>0</v>
      </c>
    </row>
    <row r="339" spans="1:426" ht="14" x14ac:dyDescent="0.3">
      <c r="A339" t="s">
        <v>3460</v>
      </c>
      <c r="B339" t="s">
        <v>3461</v>
      </c>
      <c r="C339" t="s">
        <v>3462</v>
      </c>
      <c r="E339" t="s">
        <v>2466</v>
      </c>
      <c r="F339" s="561">
        <v>0</v>
      </c>
      <c r="G339" s="561">
        <v>0</v>
      </c>
      <c r="H339" s="561">
        <v>0</v>
      </c>
      <c r="I339" s="561">
        <v>0</v>
      </c>
      <c r="J339" s="561">
        <v>0</v>
      </c>
      <c r="K339" s="561">
        <v>0</v>
      </c>
      <c r="L339" s="561">
        <v>0</v>
      </c>
      <c r="M339" s="561">
        <v>0</v>
      </c>
      <c r="N339" s="561">
        <v>0</v>
      </c>
      <c r="O339" s="561">
        <v>0</v>
      </c>
      <c r="P339" s="561">
        <v>0</v>
      </c>
      <c r="Q339" s="561">
        <v>0</v>
      </c>
      <c r="R339" s="561">
        <v>0</v>
      </c>
      <c r="S339" s="561">
        <v>0</v>
      </c>
      <c r="T339" s="561">
        <v>0</v>
      </c>
      <c r="U339" s="561">
        <v>0</v>
      </c>
      <c r="V339" s="561">
        <v>0</v>
      </c>
      <c r="W339" s="561">
        <v>0</v>
      </c>
      <c r="X339" s="561">
        <v>0</v>
      </c>
      <c r="Y339" s="561">
        <v>0</v>
      </c>
      <c r="Z339" s="561">
        <v>0</v>
      </c>
      <c r="AA339" s="561">
        <v>0</v>
      </c>
      <c r="AB339" s="561">
        <v>0</v>
      </c>
      <c r="AC339" s="561">
        <v>0</v>
      </c>
      <c r="AD339" s="561">
        <v>0</v>
      </c>
      <c r="AE339" s="561">
        <v>0</v>
      </c>
      <c r="AF339" s="561">
        <v>0</v>
      </c>
      <c r="AG339" s="561">
        <v>0</v>
      </c>
      <c r="AH339" s="561">
        <v>0</v>
      </c>
      <c r="AI339" s="561">
        <v>0</v>
      </c>
      <c r="AJ339" s="561">
        <v>0</v>
      </c>
      <c r="AK339" s="561">
        <v>0</v>
      </c>
      <c r="AL339" s="561">
        <v>0</v>
      </c>
      <c r="AM339" s="561">
        <v>0</v>
      </c>
      <c r="AN339" s="561">
        <v>0</v>
      </c>
      <c r="AO339" s="561">
        <v>0</v>
      </c>
      <c r="AP339" s="561">
        <v>0</v>
      </c>
      <c r="AQ339" s="561">
        <v>0</v>
      </c>
      <c r="AR339" s="561">
        <v>0</v>
      </c>
      <c r="AS339" s="561">
        <v>0</v>
      </c>
      <c r="AT339" s="561">
        <v>0</v>
      </c>
      <c r="AU339" s="561">
        <v>0</v>
      </c>
      <c r="AV339" s="561">
        <v>0</v>
      </c>
      <c r="AW339" s="561">
        <v>0</v>
      </c>
      <c r="AX339" s="561">
        <v>0</v>
      </c>
      <c r="AY339" s="561">
        <v>0</v>
      </c>
      <c r="AZ339" s="561">
        <v>0</v>
      </c>
      <c r="BA339" s="561">
        <v>0</v>
      </c>
      <c r="BB339" s="561">
        <v>0</v>
      </c>
      <c r="BC339" s="561">
        <v>0</v>
      </c>
      <c r="BD339" s="561">
        <v>0</v>
      </c>
      <c r="BE339" s="561">
        <v>0</v>
      </c>
      <c r="BF339" s="561">
        <v>0</v>
      </c>
      <c r="BG339" s="561">
        <v>0</v>
      </c>
      <c r="BH339" s="561">
        <v>0</v>
      </c>
      <c r="BI339" s="561">
        <v>0</v>
      </c>
      <c r="BJ339" s="561">
        <v>0</v>
      </c>
      <c r="BK339" s="561">
        <v>0</v>
      </c>
      <c r="BL339" s="561">
        <v>0</v>
      </c>
      <c r="BM339" s="561">
        <v>0</v>
      </c>
      <c r="BN339" s="561">
        <v>0</v>
      </c>
      <c r="BO339" s="561">
        <v>0</v>
      </c>
      <c r="BP339" s="561">
        <v>0</v>
      </c>
      <c r="BQ339" s="561">
        <v>0</v>
      </c>
      <c r="BR339" s="561">
        <v>0</v>
      </c>
      <c r="BS339" s="561">
        <v>0</v>
      </c>
      <c r="BT339" s="561">
        <v>0</v>
      </c>
      <c r="BU339" s="561">
        <v>0</v>
      </c>
      <c r="BV339" s="561">
        <v>0</v>
      </c>
      <c r="BW339" s="561">
        <v>0</v>
      </c>
      <c r="BX339" s="561">
        <v>0</v>
      </c>
      <c r="BY339" s="561">
        <v>0</v>
      </c>
      <c r="BZ339" s="561">
        <v>0</v>
      </c>
      <c r="CA339" s="561">
        <v>0</v>
      </c>
      <c r="CB339" s="561">
        <v>0</v>
      </c>
      <c r="CC339" s="561">
        <v>0</v>
      </c>
      <c r="CD339" s="561">
        <v>0</v>
      </c>
      <c r="CE339" s="561">
        <v>0</v>
      </c>
      <c r="CF339" s="561">
        <v>0</v>
      </c>
      <c r="CG339" s="561">
        <v>0</v>
      </c>
      <c r="CH339" s="561">
        <v>0</v>
      </c>
      <c r="CI339" s="561">
        <v>0</v>
      </c>
      <c r="CJ339" s="561">
        <v>0</v>
      </c>
      <c r="CK339" s="561">
        <v>0</v>
      </c>
      <c r="CL339" s="561">
        <v>0</v>
      </c>
      <c r="CM339" s="561">
        <v>0</v>
      </c>
      <c r="CN339" s="561">
        <v>0</v>
      </c>
      <c r="CO339" s="561">
        <v>0</v>
      </c>
      <c r="CP339" s="561">
        <v>0</v>
      </c>
      <c r="CQ339" s="561">
        <v>0</v>
      </c>
      <c r="CR339" s="561">
        <v>0</v>
      </c>
      <c r="CS339" s="561">
        <v>0</v>
      </c>
      <c r="CT339" s="561">
        <v>0</v>
      </c>
      <c r="CU339" s="561">
        <v>0</v>
      </c>
      <c r="CV339" s="561">
        <v>0</v>
      </c>
      <c r="CW339" s="561">
        <v>0</v>
      </c>
      <c r="CX339" s="561">
        <v>0</v>
      </c>
      <c r="CY339" s="561">
        <v>0</v>
      </c>
      <c r="CZ339" s="561">
        <v>0</v>
      </c>
      <c r="DA339" s="561">
        <v>0</v>
      </c>
      <c r="DB339" s="561">
        <v>0</v>
      </c>
      <c r="DC339" s="561">
        <v>0</v>
      </c>
      <c r="DD339" s="561">
        <v>0</v>
      </c>
      <c r="DE339" s="561">
        <v>0</v>
      </c>
      <c r="DF339" s="561">
        <v>0</v>
      </c>
      <c r="DG339" s="561">
        <v>0</v>
      </c>
      <c r="DH339" s="561">
        <v>0</v>
      </c>
      <c r="DI339" s="561">
        <v>0</v>
      </c>
      <c r="DJ339" s="561">
        <v>0</v>
      </c>
      <c r="DK339" s="561">
        <v>0</v>
      </c>
      <c r="DL339" s="561">
        <v>0</v>
      </c>
      <c r="DM339" s="561">
        <v>0</v>
      </c>
      <c r="DN339" s="561">
        <v>0</v>
      </c>
      <c r="DO339" s="561">
        <v>0</v>
      </c>
      <c r="DP339" s="561">
        <v>0</v>
      </c>
      <c r="DQ339" s="561">
        <v>0</v>
      </c>
      <c r="DR339" s="561">
        <v>0</v>
      </c>
      <c r="DS339" s="561">
        <v>0</v>
      </c>
      <c r="DT339" s="561">
        <v>0</v>
      </c>
      <c r="DU339" s="561">
        <v>0</v>
      </c>
      <c r="DV339" s="561">
        <v>0</v>
      </c>
      <c r="DW339" s="561">
        <v>0</v>
      </c>
      <c r="DX339" s="561">
        <v>0</v>
      </c>
      <c r="DY339" s="561">
        <v>0</v>
      </c>
      <c r="DZ339" s="561">
        <v>0</v>
      </c>
      <c r="EA339" s="561">
        <v>0</v>
      </c>
      <c r="EB339" s="561">
        <v>0</v>
      </c>
      <c r="EC339" s="561">
        <v>0</v>
      </c>
      <c r="ED339" s="561">
        <v>0</v>
      </c>
      <c r="EE339" s="561">
        <v>0</v>
      </c>
      <c r="EF339" s="561">
        <v>0</v>
      </c>
      <c r="EG339" s="561">
        <v>0</v>
      </c>
      <c r="EH339" s="561">
        <v>0</v>
      </c>
      <c r="EI339" s="561">
        <v>0</v>
      </c>
      <c r="EJ339" s="561">
        <v>0</v>
      </c>
      <c r="EK339" s="561">
        <v>0</v>
      </c>
      <c r="EL339" s="561">
        <v>0</v>
      </c>
      <c r="EM339" s="561">
        <v>0</v>
      </c>
      <c r="EN339" s="561">
        <v>0</v>
      </c>
      <c r="EO339" s="561">
        <v>0</v>
      </c>
      <c r="EP339" s="561">
        <v>0</v>
      </c>
      <c r="EQ339" s="561">
        <v>0</v>
      </c>
      <c r="ER339" s="561">
        <v>0</v>
      </c>
      <c r="ES339" s="561" t="s">
        <v>4565</v>
      </c>
      <c r="ET339" s="561">
        <v>0</v>
      </c>
      <c r="EU339" s="561">
        <v>0</v>
      </c>
      <c r="EV339" s="561">
        <v>0</v>
      </c>
      <c r="EW339" s="561">
        <v>0</v>
      </c>
      <c r="EX339" s="561">
        <v>0</v>
      </c>
      <c r="EY339" s="561">
        <v>0</v>
      </c>
      <c r="EZ339" s="561">
        <v>0</v>
      </c>
      <c r="FA339" s="561">
        <v>0</v>
      </c>
      <c r="FB339" s="561">
        <v>0</v>
      </c>
      <c r="FC339" s="561">
        <v>0</v>
      </c>
      <c r="FD339" s="561">
        <v>0</v>
      </c>
      <c r="FE339" s="561">
        <v>0</v>
      </c>
      <c r="FF339" s="561">
        <v>0</v>
      </c>
      <c r="FG339" s="561">
        <v>0</v>
      </c>
      <c r="FH339" s="561">
        <v>0</v>
      </c>
      <c r="FI339" s="561">
        <v>0</v>
      </c>
      <c r="FJ339" s="561">
        <v>0</v>
      </c>
      <c r="FK339" s="561">
        <v>0</v>
      </c>
      <c r="FL339" s="561">
        <v>0</v>
      </c>
      <c r="FM339" s="561">
        <v>0</v>
      </c>
      <c r="FN339" s="561">
        <v>0</v>
      </c>
      <c r="FO339" s="561">
        <v>0</v>
      </c>
      <c r="FP339" s="561">
        <v>0</v>
      </c>
      <c r="FQ339" s="561">
        <v>0</v>
      </c>
      <c r="FR339" s="561">
        <v>0</v>
      </c>
      <c r="FS339" s="561">
        <v>0</v>
      </c>
      <c r="FT339" s="561">
        <v>0</v>
      </c>
      <c r="FU339" s="561">
        <v>0</v>
      </c>
      <c r="FV339" s="561">
        <v>0</v>
      </c>
      <c r="FW339" s="561">
        <v>0</v>
      </c>
      <c r="FX339" s="561">
        <v>0</v>
      </c>
      <c r="FY339" s="561">
        <v>0</v>
      </c>
      <c r="FZ339" s="561">
        <v>0</v>
      </c>
      <c r="GA339" s="561">
        <v>0</v>
      </c>
      <c r="GB339" s="561">
        <v>0</v>
      </c>
      <c r="GC339" s="561">
        <v>0</v>
      </c>
      <c r="GD339" s="561">
        <v>0</v>
      </c>
      <c r="GE339" s="561">
        <v>0</v>
      </c>
      <c r="GF339" s="561">
        <v>0</v>
      </c>
      <c r="GG339" s="561">
        <v>0</v>
      </c>
      <c r="GH339" s="561">
        <v>0</v>
      </c>
      <c r="GI339" s="561">
        <v>0</v>
      </c>
      <c r="GJ339" s="561">
        <v>0</v>
      </c>
      <c r="GK339" s="561">
        <v>0</v>
      </c>
      <c r="GL339" s="561">
        <v>0</v>
      </c>
      <c r="GM339" s="561">
        <v>0</v>
      </c>
      <c r="GN339" s="561">
        <v>0</v>
      </c>
      <c r="GO339" s="561">
        <v>0</v>
      </c>
      <c r="GP339" s="561">
        <v>0</v>
      </c>
      <c r="GQ339" s="561">
        <v>0</v>
      </c>
      <c r="GR339" s="561">
        <v>0</v>
      </c>
      <c r="GS339" s="561">
        <v>0</v>
      </c>
      <c r="GT339" s="561">
        <v>0</v>
      </c>
      <c r="GU339" s="561">
        <v>0</v>
      </c>
      <c r="GV339" s="561">
        <v>0</v>
      </c>
      <c r="GW339" s="561">
        <v>0</v>
      </c>
      <c r="GX339" s="561">
        <v>0</v>
      </c>
      <c r="GY339" s="561">
        <v>0</v>
      </c>
      <c r="GZ339" s="561">
        <v>0</v>
      </c>
      <c r="HA339" s="561">
        <v>0</v>
      </c>
      <c r="HB339" s="561">
        <v>0</v>
      </c>
      <c r="HC339" s="561">
        <v>0</v>
      </c>
      <c r="HD339" s="561">
        <v>0</v>
      </c>
      <c r="HE339" s="561">
        <v>0</v>
      </c>
      <c r="HF339" s="561">
        <v>0</v>
      </c>
      <c r="HG339" s="561">
        <v>0</v>
      </c>
      <c r="HH339" s="561">
        <v>293959</v>
      </c>
      <c r="HI339" s="561">
        <v>692</v>
      </c>
      <c r="HJ339" s="561">
        <v>0</v>
      </c>
      <c r="HK339" s="561">
        <v>0</v>
      </c>
      <c r="HL339" s="561">
        <v>0</v>
      </c>
      <c r="HM339" s="561">
        <v>0</v>
      </c>
      <c r="HN339" s="561">
        <v>0</v>
      </c>
      <c r="HO339" s="561">
        <v>8746</v>
      </c>
      <c r="HP339" s="561">
        <v>0</v>
      </c>
      <c r="HQ339" s="561">
        <v>0</v>
      </c>
      <c r="HR339" s="561">
        <v>0</v>
      </c>
      <c r="HS339" s="561">
        <v>0</v>
      </c>
      <c r="HT339" s="561">
        <v>0</v>
      </c>
      <c r="HU339" s="561">
        <v>0</v>
      </c>
      <c r="HV339" s="561">
        <v>0</v>
      </c>
      <c r="HW339" s="561">
        <v>0</v>
      </c>
      <c r="HX339" s="561">
        <v>0</v>
      </c>
      <c r="HY339" s="561">
        <v>0</v>
      </c>
      <c r="HZ339" s="561">
        <v>0</v>
      </c>
      <c r="IA339" s="561">
        <v>0</v>
      </c>
      <c r="IB339" s="561">
        <v>0</v>
      </c>
      <c r="IC339" s="561">
        <v>0</v>
      </c>
      <c r="ID339" s="561">
        <v>0</v>
      </c>
      <c r="IE339" s="561">
        <v>0</v>
      </c>
      <c r="IF339" s="561">
        <v>0</v>
      </c>
      <c r="IG339" s="561">
        <v>0</v>
      </c>
      <c r="IH339" s="561">
        <v>0</v>
      </c>
      <c r="II339" s="561">
        <v>8746</v>
      </c>
      <c r="IJ339" s="561">
        <v>0</v>
      </c>
      <c r="IK339" s="561">
        <v>0</v>
      </c>
      <c r="IL339" s="561">
        <v>0</v>
      </c>
      <c r="IM339" s="561">
        <v>0</v>
      </c>
      <c r="IN339" s="561">
        <v>0</v>
      </c>
      <c r="IO339" s="561">
        <v>0</v>
      </c>
      <c r="IP339" s="561">
        <v>0</v>
      </c>
      <c r="IQ339" s="561">
        <v>0</v>
      </c>
      <c r="IR339" s="561">
        <v>0</v>
      </c>
      <c r="IS339" s="561">
        <v>0</v>
      </c>
      <c r="IT339" s="561">
        <v>0</v>
      </c>
      <c r="IU339" s="561">
        <v>0</v>
      </c>
      <c r="IV339" s="561">
        <v>0</v>
      </c>
      <c r="IW339" s="561">
        <v>0</v>
      </c>
      <c r="IX339" s="561">
        <v>0</v>
      </c>
      <c r="IY339" s="561">
        <v>0</v>
      </c>
      <c r="IZ339" s="561">
        <v>0</v>
      </c>
      <c r="JA339" s="561">
        <v>293959</v>
      </c>
      <c r="JB339" s="561">
        <v>0</v>
      </c>
      <c r="JC339" s="561">
        <v>8746</v>
      </c>
      <c r="JD339" s="561">
        <v>0</v>
      </c>
      <c r="JE339" s="561">
        <v>302705</v>
      </c>
      <c r="JF339" s="561">
        <v>0</v>
      </c>
      <c r="JG339" s="561">
        <v>0</v>
      </c>
      <c r="JH339" s="561">
        <v>0</v>
      </c>
      <c r="JI339" s="561">
        <v>0</v>
      </c>
      <c r="JJ339" s="561">
        <v>0</v>
      </c>
      <c r="JK339" s="561">
        <v>0</v>
      </c>
      <c r="JL339" s="561">
        <v>0</v>
      </c>
      <c r="JM339" s="561">
        <v>0</v>
      </c>
      <c r="JN339" s="561">
        <v>0</v>
      </c>
      <c r="JO339" s="561">
        <v>0</v>
      </c>
      <c r="JP339" s="561">
        <v>0</v>
      </c>
      <c r="JQ339" s="561">
        <v>0</v>
      </c>
      <c r="JR339" s="561">
        <v>0</v>
      </c>
      <c r="JS339" s="561">
        <v>0</v>
      </c>
      <c r="JT339" s="561">
        <v>0</v>
      </c>
      <c r="JU339" s="561">
        <v>0</v>
      </c>
      <c r="JV339" s="561">
        <v>302705</v>
      </c>
      <c r="JW339" s="561">
        <v>0</v>
      </c>
      <c r="JX339" s="561">
        <v>11828</v>
      </c>
      <c r="JY339" s="561">
        <v>0</v>
      </c>
      <c r="JZ339" s="561">
        <v>0</v>
      </c>
      <c r="KA339" s="561">
        <v>0</v>
      </c>
      <c r="KB339" s="561">
        <v>0</v>
      </c>
      <c r="KC339" s="561">
        <v>2067</v>
      </c>
      <c r="KD339" s="561">
        <v>0</v>
      </c>
      <c r="KE339" s="561">
        <v>689</v>
      </c>
      <c r="KF339" s="561">
        <v>0</v>
      </c>
      <c r="KG339" s="561">
        <v>317289</v>
      </c>
      <c r="KH339" s="561">
        <v>-2918</v>
      </c>
      <c r="KI339" s="561">
        <v>0</v>
      </c>
      <c r="KJ339" s="561">
        <v>0</v>
      </c>
      <c r="KK339" s="561">
        <v>0</v>
      </c>
      <c r="KL339" s="561">
        <v>-4933</v>
      </c>
      <c r="KM339" s="561">
        <v>0</v>
      </c>
      <c r="KN339" s="561">
        <v>0</v>
      </c>
      <c r="KO339" s="561">
        <v>0</v>
      </c>
      <c r="KP339" s="561">
        <v>0</v>
      </c>
      <c r="KQ339" s="561">
        <v>0</v>
      </c>
      <c r="KR339" s="561">
        <v>309438</v>
      </c>
      <c r="KS339" s="561">
        <v>0</v>
      </c>
      <c r="KT339" s="561">
        <v>-7241</v>
      </c>
      <c r="KU339" s="561">
        <v>302197</v>
      </c>
      <c r="KV339" s="561">
        <v>0</v>
      </c>
      <c r="KW339" s="561">
        <v>0</v>
      </c>
      <c r="KX339" s="561">
        <v>0</v>
      </c>
      <c r="KY339" s="561">
        <v>0</v>
      </c>
      <c r="KZ339" s="561">
        <v>3976</v>
      </c>
      <c r="LA339" s="561">
        <v>0</v>
      </c>
      <c r="LB339" s="561">
        <v>0</v>
      </c>
      <c r="LC339" s="561">
        <v>-136640</v>
      </c>
      <c r="LD339" s="561">
        <v>0</v>
      </c>
      <c r="LE339" s="561">
        <v>-1197</v>
      </c>
      <c r="LF339" s="561">
        <v>0</v>
      </c>
      <c r="LG339" s="561">
        <v>168336</v>
      </c>
      <c r="LH339" s="561">
        <v>0</v>
      </c>
      <c r="LI339" s="561">
        <v>0</v>
      </c>
      <c r="LJ339" s="561">
        <v>0</v>
      </c>
      <c r="LK339" s="561">
        <v>0</v>
      </c>
      <c r="LL339" s="561">
        <v>25141</v>
      </c>
      <c r="LM339" s="561">
        <v>12066</v>
      </c>
      <c r="LN339" s="561">
        <v>0</v>
      </c>
      <c r="LO339" s="561">
        <v>0</v>
      </c>
      <c r="LP339" s="561">
        <v>0</v>
      </c>
      <c r="LQ339" s="561">
        <v>0</v>
      </c>
      <c r="LR339" s="561">
        <v>29117</v>
      </c>
      <c r="LS339" s="561">
        <v>12066</v>
      </c>
      <c r="LT339" s="561">
        <v>0</v>
      </c>
      <c r="LU339" s="561">
        <v>0</v>
      </c>
      <c r="LV339" s="561">
        <v>0</v>
      </c>
      <c r="LW339" s="561">
        <v>0</v>
      </c>
      <c r="LX339" s="561">
        <v>0</v>
      </c>
      <c r="LY339" s="561">
        <v>0</v>
      </c>
      <c r="LZ339" s="561">
        <v>0</v>
      </c>
      <c r="MA339" s="561">
        <v>0</v>
      </c>
      <c r="MB339" s="561">
        <v>0</v>
      </c>
      <c r="MC339" s="561">
        <v>0</v>
      </c>
      <c r="MD339" s="561">
        <v>0</v>
      </c>
      <c r="ME339" s="561">
        <v>0</v>
      </c>
      <c r="MF339" s="561">
        <v>0</v>
      </c>
      <c r="MG339" s="561">
        <v>0</v>
      </c>
      <c r="MH339" s="561">
        <v>0</v>
      </c>
      <c r="MI339" s="561">
        <v>0</v>
      </c>
      <c r="MJ339" s="561">
        <v>0</v>
      </c>
      <c r="MK339" s="561">
        <v>0</v>
      </c>
      <c r="ML339" s="561">
        <v>0</v>
      </c>
      <c r="MM339" s="561">
        <v>20422</v>
      </c>
      <c r="MN339" s="561">
        <v>0</v>
      </c>
      <c r="MO339" s="561">
        <v>8695</v>
      </c>
      <c r="MP339" s="561">
        <v>0</v>
      </c>
      <c r="MQ339" s="561">
        <v>0</v>
      </c>
      <c r="MR339" s="561">
        <v>0</v>
      </c>
      <c r="MS339" s="561">
        <v>0</v>
      </c>
      <c r="MT339" s="561">
        <v>0</v>
      </c>
      <c r="MU339" s="561">
        <v>0</v>
      </c>
      <c r="MV339" s="561">
        <v>0</v>
      </c>
      <c r="MW339" s="561">
        <v>0</v>
      </c>
      <c r="MX339" s="561">
        <v>0</v>
      </c>
      <c r="MY339" s="561">
        <v>0</v>
      </c>
      <c r="MZ339" s="561">
        <v>293959</v>
      </c>
      <c r="NA339" s="561">
        <v>0</v>
      </c>
      <c r="NB339" s="561">
        <v>8746</v>
      </c>
      <c r="NC339" s="561">
        <v>0</v>
      </c>
      <c r="ND339" s="561">
        <v>302705</v>
      </c>
      <c r="NE339" s="561">
        <v>0</v>
      </c>
      <c r="NF339" s="561">
        <v>0</v>
      </c>
      <c r="NG339" s="561">
        <v>0</v>
      </c>
      <c r="NH339" s="561">
        <v>0</v>
      </c>
      <c r="NI339" s="561">
        <v>0</v>
      </c>
      <c r="NJ339" s="561">
        <v>0</v>
      </c>
      <c r="NK339" s="561">
        <v>0</v>
      </c>
      <c r="NL339" s="561">
        <v>0</v>
      </c>
      <c r="NM339" s="561">
        <v>0</v>
      </c>
      <c r="NN339" s="561">
        <v>0</v>
      </c>
      <c r="NO339" s="561">
        <v>0</v>
      </c>
      <c r="NP339" s="561">
        <v>0</v>
      </c>
      <c r="NQ339" s="561">
        <v>0</v>
      </c>
      <c r="NR339" s="561">
        <v>0</v>
      </c>
      <c r="NS339" s="561">
        <v>0</v>
      </c>
      <c r="NT339" s="561">
        <v>0</v>
      </c>
      <c r="NU339" s="561">
        <v>0</v>
      </c>
      <c r="NV339" s="561">
        <v>0</v>
      </c>
      <c r="NW339" s="561">
        <v>0</v>
      </c>
      <c r="NX339" s="561">
        <v>0</v>
      </c>
      <c r="NY339" s="561">
        <v>0</v>
      </c>
      <c r="NZ339" s="561">
        <v>0</v>
      </c>
      <c r="OA339" s="561">
        <v>0</v>
      </c>
      <c r="OB339" s="561">
        <v>0</v>
      </c>
      <c r="OC339" s="561">
        <v>0</v>
      </c>
      <c r="OD339" s="561">
        <v>0</v>
      </c>
      <c r="OE339" s="561">
        <v>0</v>
      </c>
      <c r="OF339" s="561">
        <v>0</v>
      </c>
      <c r="OG339" s="561">
        <v>0</v>
      </c>
      <c r="OH339" s="561">
        <v>0</v>
      </c>
      <c r="OI339" s="561">
        <v>0</v>
      </c>
      <c r="OJ339" s="561">
        <v>0</v>
      </c>
      <c r="OK339" s="561">
        <v>0</v>
      </c>
      <c r="OL339" s="561">
        <v>0</v>
      </c>
      <c r="OM339" s="561">
        <v>0</v>
      </c>
      <c r="ON339" s="561">
        <v>0</v>
      </c>
      <c r="OO339" s="561">
        <v>0</v>
      </c>
      <c r="OP339" s="561">
        <v>0</v>
      </c>
      <c r="OQ339" s="561">
        <v>0</v>
      </c>
      <c r="OR339" s="561">
        <v>0</v>
      </c>
      <c r="OS339" s="561">
        <v>0</v>
      </c>
      <c r="OT339" s="561">
        <v>0</v>
      </c>
      <c r="OU339" s="561">
        <v>0</v>
      </c>
      <c r="OV339" s="561">
        <v>0</v>
      </c>
      <c r="OW339" s="561">
        <v>0</v>
      </c>
      <c r="OX339" s="561">
        <v>0</v>
      </c>
      <c r="OY339" s="561">
        <v>0</v>
      </c>
      <c r="OZ339" s="561">
        <v>0</v>
      </c>
      <c r="PA339" s="561">
        <v>0</v>
      </c>
      <c r="PB339" s="561">
        <v>0</v>
      </c>
      <c r="PC339" s="561">
        <v>0</v>
      </c>
      <c r="PD339" s="561">
        <v>0</v>
      </c>
      <c r="PE339" s="561">
        <v>0</v>
      </c>
      <c r="PF339" s="561">
        <v>0</v>
      </c>
      <c r="PG339" s="561">
        <v>0</v>
      </c>
      <c r="PH339" s="561">
        <v>0</v>
      </c>
      <c r="PI339" s="561">
        <v>0</v>
      </c>
      <c r="PJ339" s="561">
        <v>0</v>
      </c>
    </row>
    <row r="340" spans="1:426" ht="14" x14ac:dyDescent="0.3">
      <c r="A340" t="s">
        <v>3463</v>
      </c>
      <c r="B340" t="s">
        <v>3464</v>
      </c>
      <c r="C340" t="s">
        <v>3465</v>
      </c>
      <c r="E340" t="s">
        <v>2466</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561">
        <v>0</v>
      </c>
      <c r="BI340" s="561">
        <v>0</v>
      </c>
      <c r="BJ340" s="561">
        <v>0</v>
      </c>
      <c r="BK340" s="561">
        <v>0</v>
      </c>
      <c r="BL340" s="561">
        <v>0</v>
      </c>
      <c r="BM340" s="561">
        <v>0</v>
      </c>
      <c r="BN340" s="561">
        <v>0</v>
      </c>
      <c r="BO340" s="561">
        <v>0</v>
      </c>
      <c r="BP340" s="561">
        <v>0</v>
      </c>
      <c r="BQ340" s="561">
        <v>0</v>
      </c>
      <c r="BR340" s="561">
        <v>0</v>
      </c>
      <c r="BS340" s="561">
        <v>0</v>
      </c>
      <c r="BT340" s="561">
        <v>0</v>
      </c>
      <c r="BU340" s="561">
        <v>0</v>
      </c>
      <c r="BV340" s="561">
        <v>0</v>
      </c>
      <c r="BW340" s="561">
        <v>0</v>
      </c>
      <c r="BX340" s="561">
        <v>0</v>
      </c>
      <c r="BY340" s="561">
        <v>0</v>
      </c>
      <c r="BZ340" s="561">
        <v>0</v>
      </c>
      <c r="CA340" s="561">
        <v>0</v>
      </c>
      <c r="CB340" s="561">
        <v>0</v>
      </c>
      <c r="CC340" s="561">
        <v>0</v>
      </c>
      <c r="CD340" s="561">
        <v>0</v>
      </c>
      <c r="CE340" s="561">
        <v>0</v>
      </c>
      <c r="CF340" s="561">
        <v>0</v>
      </c>
      <c r="CG340" s="561">
        <v>0</v>
      </c>
      <c r="CH340" s="561">
        <v>0</v>
      </c>
      <c r="CI340" s="561">
        <v>0</v>
      </c>
      <c r="CJ340" s="561">
        <v>0</v>
      </c>
      <c r="CK340" s="561">
        <v>0</v>
      </c>
      <c r="CL340" s="561">
        <v>0</v>
      </c>
      <c r="CM340" s="561">
        <v>0</v>
      </c>
      <c r="CN340" s="561">
        <v>0</v>
      </c>
      <c r="CO340" s="561">
        <v>0</v>
      </c>
      <c r="CP340" s="561">
        <v>0</v>
      </c>
      <c r="CQ340" s="561">
        <v>0</v>
      </c>
      <c r="CR340" s="561">
        <v>0</v>
      </c>
      <c r="CS340" s="561">
        <v>0</v>
      </c>
      <c r="CT340" s="561">
        <v>0</v>
      </c>
      <c r="CU340" s="561">
        <v>0</v>
      </c>
      <c r="CV340" s="561">
        <v>0</v>
      </c>
      <c r="CW340" s="561">
        <v>0</v>
      </c>
      <c r="CX340" s="561">
        <v>0</v>
      </c>
      <c r="CY340" s="561">
        <v>0</v>
      </c>
      <c r="CZ340" s="561">
        <v>0</v>
      </c>
      <c r="DA340" s="561">
        <v>0</v>
      </c>
      <c r="DB340" s="561">
        <v>0</v>
      </c>
      <c r="DC340" s="561">
        <v>0</v>
      </c>
      <c r="DD340" s="561">
        <v>0</v>
      </c>
      <c r="DE340" s="561">
        <v>0</v>
      </c>
      <c r="DF340" s="561">
        <v>0</v>
      </c>
      <c r="DG340" s="561">
        <v>0</v>
      </c>
      <c r="DH340" s="561">
        <v>0</v>
      </c>
      <c r="DI340" s="561">
        <v>0</v>
      </c>
      <c r="DJ340" s="561">
        <v>0</v>
      </c>
      <c r="DK340" s="561">
        <v>0</v>
      </c>
      <c r="DL340" s="561">
        <v>0</v>
      </c>
      <c r="DM340" s="561">
        <v>0</v>
      </c>
      <c r="DN340" s="561">
        <v>0</v>
      </c>
      <c r="DO340" s="561">
        <v>0</v>
      </c>
      <c r="DP340" s="561">
        <v>0</v>
      </c>
      <c r="DQ340" s="561">
        <v>0</v>
      </c>
      <c r="DR340" s="561">
        <v>0</v>
      </c>
      <c r="DS340" s="561">
        <v>0</v>
      </c>
      <c r="DT340" s="561">
        <v>0</v>
      </c>
      <c r="DU340" s="561">
        <v>0</v>
      </c>
      <c r="DV340" s="561">
        <v>0</v>
      </c>
      <c r="DW340" s="561">
        <v>0</v>
      </c>
      <c r="DX340" s="561">
        <v>0</v>
      </c>
      <c r="DY340" s="561">
        <v>0</v>
      </c>
      <c r="DZ340" s="561">
        <v>0</v>
      </c>
      <c r="EA340" s="561">
        <v>0</v>
      </c>
      <c r="EB340" s="561">
        <v>0</v>
      </c>
      <c r="EC340" s="561">
        <v>0</v>
      </c>
      <c r="ED340" s="561">
        <v>0</v>
      </c>
      <c r="EE340" s="561">
        <v>0</v>
      </c>
      <c r="EF340" s="561">
        <v>0</v>
      </c>
      <c r="EG340" s="561">
        <v>0</v>
      </c>
      <c r="EH340" s="561">
        <v>0</v>
      </c>
      <c r="EI340" s="561">
        <v>0</v>
      </c>
      <c r="EJ340" s="561">
        <v>0</v>
      </c>
      <c r="EK340" s="561">
        <v>0</v>
      </c>
      <c r="EL340" s="561">
        <v>0</v>
      </c>
      <c r="EM340" s="561">
        <v>0</v>
      </c>
      <c r="EN340" s="561">
        <v>0</v>
      </c>
      <c r="EO340" s="561">
        <v>0</v>
      </c>
      <c r="EP340" s="561">
        <v>0</v>
      </c>
      <c r="EQ340" s="561">
        <v>0</v>
      </c>
      <c r="ER340" s="561">
        <v>0</v>
      </c>
      <c r="ES340" s="561" t="s">
        <v>4565</v>
      </c>
      <c r="ET340" s="561">
        <v>0</v>
      </c>
      <c r="EU340" s="561">
        <v>0</v>
      </c>
      <c r="EV340" s="561">
        <v>0</v>
      </c>
      <c r="EW340" s="561">
        <v>0</v>
      </c>
      <c r="EX340" s="561">
        <v>0</v>
      </c>
      <c r="EY340" s="561">
        <v>0</v>
      </c>
      <c r="EZ340" s="561">
        <v>0</v>
      </c>
      <c r="FA340" s="561">
        <v>0</v>
      </c>
      <c r="FB340" s="561">
        <v>0</v>
      </c>
      <c r="FC340" s="561">
        <v>0</v>
      </c>
      <c r="FD340" s="561">
        <v>0</v>
      </c>
      <c r="FE340" s="561">
        <v>0</v>
      </c>
      <c r="FF340" s="561">
        <v>0</v>
      </c>
      <c r="FG340" s="561">
        <v>0</v>
      </c>
      <c r="FH340" s="561">
        <v>0</v>
      </c>
      <c r="FI340" s="561">
        <v>0</v>
      </c>
      <c r="FJ340" s="561">
        <v>0</v>
      </c>
      <c r="FK340" s="561">
        <v>0</v>
      </c>
      <c r="FL340" s="561">
        <v>0</v>
      </c>
      <c r="FM340" s="561">
        <v>0</v>
      </c>
      <c r="FN340" s="561">
        <v>0</v>
      </c>
      <c r="FO340" s="561">
        <v>0</v>
      </c>
      <c r="FP340" s="561">
        <v>0</v>
      </c>
      <c r="FQ340" s="561">
        <v>0</v>
      </c>
      <c r="FR340" s="561">
        <v>0</v>
      </c>
      <c r="FS340" s="561">
        <v>0</v>
      </c>
      <c r="FT340" s="561">
        <v>0</v>
      </c>
      <c r="FU340" s="561">
        <v>0</v>
      </c>
      <c r="FV340" s="561">
        <v>0</v>
      </c>
      <c r="FW340" s="561">
        <v>0</v>
      </c>
      <c r="FX340" s="561">
        <v>0</v>
      </c>
      <c r="FY340" s="561">
        <v>0</v>
      </c>
      <c r="FZ340" s="561">
        <v>0</v>
      </c>
      <c r="GA340" s="561">
        <v>0</v>
      </c>
      <c r="GB340" s="561">
        <v>0</v>
      </c>
      <c r="GC340" s="561">
        <v>0</v>
      </c>
      <c r="GD340" s="561">
        <v>0</v>
      </c>
      <c r="GE340" s="561">
        <v>0</v>
      </c>
      <c r="GF340" s="561">
        <v>0</v>
      </c>
      <c r="GG340" s="561">
        <v>0</v>
      </c>
      <c r="GH340" s="561">
        <v>0</v>
      </c>
      <c r="GI340" s="561">
        <v>0</v>
      </c>
      <c r="GJ340" s="561">
        <v>0</v>
      </c>
      <c r="GK340" s="561">
        <v>0</v>
      </c>
      <c r="GL340" s="561">
        <v>0</v>
      </c>
      <c r="GM340" s="561">
        <v>0</v>
      </c>
      <c r="GN340" s="561">
        <v>0</v>
      </c>
      <c r="GO340" s="561">
        <v>0</v>
      </c>
      <c r="GP340" s="561">
        <v>0</v>
      </c>
      <c r="GQ340" s="561">
        <v>0</v>
      </c>
      <c r="GR340" s="561">
        <v>0</v>
      </c>
      <c r="GS340" s="561">
        <v>0</v>
      </c>
      <c r="GT340" s="561">
        <v>0</v>
      </c>
      <c r="GU340" s="561">
        <v>0</v>
      </c>
      <c r="GV340" s="561">
        <v>0</v>
      </c>
      <c r="GW340" s="561">
        <v>0</v>
      </c>
      <c r="GX340" s="561">
        <v>0</v>
      </c>
      <c r="GY340" s="561">
        <v>0</v>
      </c>
      <c r="GZ340" s="561">
        <v>0</v>
      </c>
      <c r="HA340" s="561">
        <v>0</v>
      </c>
      <c r="HB340" s="561">
        <v>0</v>
      </c>
      <c r="HC340" s="561">
        <v>0</v>
      </c>
      <c r="HD340" s="561">
        <v>0</v>
      </c>
      <c r="HE340" s="561">
        <v>0</v>
      </c>
      <c r="HF340" s="561">
        <v>0</v>
      </c>
      <c r="HG340" s="561">
        <v>0</v>
      </c>
      <c r="HH340" s="561">
        <v>390913.16</v>
      </c>
      <c r="HI340" s="561">
        <v>724</v>
      </c>
      <c r="HJ340" s="561">
        <v>0</v>
      </c>
      <c r="HK340" s="561">
        <v>0</v>
      </c>
      <c r="HL340" s="561">
        <v>0</v>
      </c>
      <c r="HM340" s="561">
        <v>0</v>
      </c>
      <c r="HN340" s="561">
        <v>0</v>
      </c>
      <c r="HO340" s="561">
        <v>1931.21</v>
      </c>
      <c r="HP340" s="561">
        <v>0</v>
      </c>
      <c r="HQ340" s="561">
        <v>0</v>
      </c>
      <c r="HR340" s="561">
        <v>0</v>
      </c>
      <c r="HS340" s="561">
        <v>0</v>
      </c>
      <c r="HT340" s="561">
        <v>0</v>
      </c>
      <c r="HU340" s="561">
        <v>0</v>
      </c>
      <c r="HV340" s="561">
        <v>0</v>
      </c>
      <c r="HW340" s="561">
        <v>0</v>
      </c>
      <c r="HX340" s="561">
        <v>0</v>
      </c>
      <c r="HY340" s="561">
        <v>0</v>
      </c>
      <c r="HZ340" s="561">
        <v>0</v>
      </c>
      <c r="IA340" s="561">
        <v>0</v>
      </c>
      <c r="IB340" s="561">
        <v>0</v>
      </c>
      <c r="IC340" s="561">
        <v>0</v>
      </c>
      <c r="ID340" s="561">
        <v>0</v>
      </c>
      <c r="IE340" s="561">
        <v>0</v>
      </c>
      <c r="IF340" s="561">
        <v>0</v>
      </c>
      <c r="IG340" s="561">
        <v>0</v>
      </c>
      <c r="IH340" s="561">
        <v>0</v>
      </c>
      <c r="II340" s="561">
        <v>1931.21</v>
      </c>
      <c r="IJ340" s="561">
        <v>0</v>
      </c>
      <c r="IK340" s="561">
        <v>0</v>
      </c>
      <c r="IL340" s="561">
        <v>0</v>
      </c>
      <c r="IM340" s="561">
        <v>0</v>
      </c>
      <c r="IN340" s="561">
        <v>0</v>
      </c>
      <c r="IO340" s="561">
        <v>0</v>
      </c>
      <c r="IP340" s="561">
        <v>0</v>
      </c>
      <c r="IQ340" s="561">
        <v>0</v>
      </c>
      <c r="IR340" s="561">
        <v>0</v>
      </c>
      <c r="IS340" s="561">
        <v>0</v>
      </c>
      <c r="IT340" s="561">
        <v>0</v>
      </c>
      <c r="IU340" s="561">
        <v>0</v>
      </c>
      <c r="IV340" s="561">
        <v>0</v>
      </c>
      <c r="IW340" s="561">
        <v>0</v>
      </c>
      <c r="IX340" s="561">
        <v>0</v>
      </c>
      <c r="IY340" s="561">
        <v>0</v>
      </c>
      <c r="IZ340" s="561">
        <v>0</v>
      </c>
      <c r="JA340" s="561">
        <v>390913.16</v>
      </c>
      <c r="JB340" s="561">
        <v>0</v>
      </c>
      <c r="JC340" s="561">
        <v>1931.21</v>
      </c>
      <c r="JD340" s="561">
        <v>0</v>
      </c>
      <c r="JE340" s="561">
        <v>392844.37</v>
      </c>
      <c r="JF340" s="561">
        <v>0</v>
      </c>
      <c r="JG340" s="561">
        <v>0</v>
      </c>
      <c r="JH340" s="561">
        <v>0</v>
      </c>
      <c r="JI340" s="561">
        <v>0</v>
      </c>
      <c r="JJ340" s="561">
        <v>0</v>
      </c>
      <c r="JK340" s="561">
        <v>0</v>
      </c>
      <c r="JL340" s="561">
        <v>0</v>
      </c>
      <c r="JM340" s="561">
        <v>0</v>
      </c>
      <c r="JN340" s="561">
        <v>0</v>
      </c>
      <c r="JO340" s="561">
        <v>0</v>
      </c>
      <c r="JP340" s="561">
        <v>0</v>
      </c>
      <c r="JQ340" s="561">
        <v>0</v>
      </c>
      <c r="JR340" s="561">
        <v>0</v>
      </c>
      <c r="JS340" s="561">
        <v>0</v>
      </c>
      <c r="JT340" s="561">
        <v>-1027.92</v>
      </c>
      <c r="JU340" s="561">
        <v>0</v>
      </c>
      <c r="JV340" s="561">
        <v>391816.45</v>
      </c>
      <c r="JW340" s="561">
        <v>0</v>
      </c>
      <c r="JX340" s="561">
        <v>15741.91</v>
      </c>
      <c r="JY340" s="561">
        <v>0</v>
      </c>
      <c r="JZ340" s="561">
        <v>0</v>
      </c>
      <c r="KA340" s="561">
        <v>0</v>
      </c>
      <c r="KB340" s="561">
        <v>0</v>
      </c>
      <c r="KC340" s="561">
        <v>4069.23</v>
      </c>
      <c r="KD340" s="561">
        <v>218.83</v>
      </c>
      <c r="KE340" s="561">
        <v>2125.63</v>
      </c>
      <c r="KF340" s="561">
        <v>0</v>
      </c>
      <c r="KG340" s="561">
        <v>413972.05</v>
      </c>
      <c r="KH340" s="561">
        <v>-4162.6400000000003</v>
      </c>
      <c r="KI340" s="561">
        <v>0</v>
      </c>
      <c r="KJ340" s="561">
        <v>0</v>
      </c>
      <c r="KK340" s="561">
        <v>0</v>
      </c>
      <c r="KL340" s="561">
        <v>-9046.69</v>
      </c>
      <c r="KM340" s="561">
        <v>0</v>
      </c>
      <c r="KN340" s="561">
        <v>0</v>
      </c>
      <c r="KO340" s="561">
        <v>0</v>
      </c>
      <c r="KP340" s="561">
        <v>0</v>
      </c>
      <c r="KQ340" s="561">
        <v>0</v>
      </c>
      <c r="KR340" s="561">
        <v>400762.72</v>
      </c>
      <c r="KS340" s="561">
        <v>0</v>
      </c>
      <c r="KT340" s="561">
        <v>-21142.93</v>
      </c>
      <c r="KU340" s="561">
        <v>379619.79</v>
      </c>
      <c r="KV340" s="561">
        <v>0</v>
      </c>
      <c r="KW340" s="561">
        <v>0</v>
      </c>
      <c r="KX340" s="561">
        <v>0</v>
      </c>
      <c r="KY340" s="561">
        <v>0</v>
      </c>
      <c r="KZ340" s="561">
        <v>7878.53</v>
      </c>
      <c r="LA340" s="561">
        <v>0</v>
      </c>
      <c r="LB340" s="561">
        <v>0</v>
      </c>
      <c r="LC340" s="561">
        <v>-222160.54</v>
      </c>
      <c r="LD340" s="561">
        <v>0</v>
      </c>
      <c r="LE340" s="561">
        <v>-398</v>
      </c>
      <c r="LF340" s="561">
        <v>0</v>
      </c>
      <c r="LG340" s="561">
        <v>164940</v>
      </c>
      <c r="LH340" s="561">
        <v>0</v>
      </c>
      <c r="LI340" s="561">
        <v>0</v>
      </c>
      <c r="LJ340" s="561">
        <v>0</v>
      </c>
      <c r="LK340" s="561">
        <v>0</v>
      </c>
      <c r="LL340" s="561">
        <v>39606.54</v>
      </c>
      <c r="LM340" s="561">
        <v>15033</v>
      </c>
      <c r="LN340" s="561">
        <v>0</v>
      </c>
      <c r="LO340" s="561">
        <v>0</v>
      </c>
      <c r="LP340" s="561">
        <v>0</v>
      </c>
      <c r="LQ340" s="561">
        <v>0</v>
      </c>
      <c r="LR340" s="561">
        <v>47485.07</v>
      </c>
      <c r="LS340" s="561">
        <v>15033</v>
      </c>
      <c r="LT340" s="561">
        <v>0</v>
      </c>
      <c r="LU340" s="561">
        <v>10489.61</v>
      </c>
      <c r="LV340" s="561">
        <v>0</v>
      </c>
      <c r="LW340" s="561">
        <v>3431.61</v>
      </c>
      <c r="LX340" s="561">
        <v>-432.77</v>
      </c>
      <c r="LY340" s="561">
        <v>0</v>
      </c>
      <c r="LZ340" s="561">
        <v>12982.4</v>
      </c>
      <c r="MA340" s="561">
        <v>0</v>
      </c>
      <c r="MB340" s="561">
        <v>0</v>
      </c>
      <c r="MC340" s="561">
        <v>0</v>
      </c>
      <c r="MD340" s="561">
        <v>0</v>
      </c>
      <c r="ME340" s="561">
        <v>0</v>
      </c>
      <c r="MF340" s="561">
        <v>0</v>
      </c>
      <c r="MG340" s="561">
        <v>0</v>
      </c>
      <c r="MH340" s="561">
        <v>0</v>
      </c>
      <c r="MI340" s="561">
        <v>0</v>
      </c>
      <c r="MJ340" s="561">
        <v>0</v>
      </c>
      <c r="MK340" s="561">
        <v>0</v>
      </c>
      <c r="ML340" s="561">
        <v>3033.87</v>
      </c>
      <c r="MM340" s="561">
        <v>40527.35</v>
      </c>
      <c r="MN340" s="561">
        <v>3923.85</v>
      </c>
      <c r="MO340" s="561">
        <v>0</v>
      </c>
      <c r="MP340" s="561">
        <v>0</v>
      </c>
      <c r="MQ340" s="561">
        <v>0</v>
      </c>
      <c r="MR340" s="561">
        <v>0</v>
      </c>
      <c r="MS340" s="561">
        <v>0</v>
      </c>
      <c r="MT340" s="561">
        <v>0</v>
      </c>
      <c r="MU340" s="561">
        <v>0</v>
      </c>
      <c r="MV340" s="561">
        <v>0</v>
      </c>
      <c r="MW340" s="561">
        <v>0</v>
      </c>
      <c r="MX340" s="561">
        <v>0</v>
      </c>
      <c r="MY340" s="561">
        <v>0</v>
      </c>
      <c r="MZ340" s="561">
        <v>390913.16</v>
      </c>
      <c r="NA340" s="561">
        <v>0</v>
      </c>
      <c r="NB340" s="561">
        <v>1931.21</v>
      </c>
      <c r="NC340" s="561">
        <v>0</v>
      </c>
      <c r="ND340" s="561">
        <v>392844.37</v>
      </c>
      <c r="NE340" s="561">
        <v>0</v>
      </c>
      <c r="NF340" s="561">
        <v>0</v>
      </c>
      <c r="NG340" s="561">
        <v>0</v>
      </c>
      <c r="NH340" s="561">
        <v>0</v>
      </c>
      <c r="NI340" s="561">
        <v>0</v>
      </c>
      <c r="NJ340" s="561">
        <v>0</v>
      </c>
      <c r="NK340" s="561">
        <v>0</v>
      </c>
      <c r="NL340" s="561">
        <v>0</v>
      </c>
      <c r="NM340" s="561">
        <v>0</v>
      </c>
      <c r="NN340" s="561">
        <v>0</v>
      </c>
      <c r="NO340" s="561">
        <v>0</v>
      </c>
      <c r="NP340" s="561">
        <v>0</v>
      </c>
      <c r="NQ340" s="561">
        <v>0</v>
      </c>
      <c r="NR340" s="561">
        <v>0</v>
      </c>
      <c r="NS340" s="561">
        <v>0</v>
      </c>
      <c r="NT340" s="561">
        <v>0</v>
      </c>
      <c r="NU340" s="561">
        <v>0</v>
      </c>
      <c r="NV340" s="561">
        <v>0</v>
      </c>
      <c r="NW340" s="561">
        <v>0</v>
      </c>
      <c r="NX340" s="561">
        <v>0</v>
      </c>
      <c r="NY340" s="561">
        <v>0</v>
      </c>
      <c r="NZ340" s="561">
        <v>0</v>
      </c>
      <c r="OA340" s="561">
        <v>0</v>
      </c>
      <c r="OB340" s="561">
        <v>0</v>
      </c>
      <c r="OC340" s="561">
        <v>0</v>
      </c>
      <c r="OD340" s="561">
        <v>0</v>
      </c>
      <c r="OE340" s="561">
        <v>0</v>
      </c>
      <c r="OF340" s="561">
        <v>0</v>
      </c>
      <c r="OG340" s="561">
        <v>0</v>
      </c>
      <c r="OH340" s="561">
        <v>0</v>
      </c>
      <c r="OI340" s="561">
        <v>0</v>
      </c>
      <c r="OJ340" s="561">
        <v>0</v>
      </c>
      <c r="OK340" s="561">
        <v>0</v>
      </c>
      <c r="OL340" s="561">
        <v>0</v>
      </c>
      <c r="OM340" s="561">
        <v>0</v>
      </c>
      <c r="ON340" s="561">
        <v>0</v>
      </c>
      <c r="OO340" s="561">
        <v>0</v>
      </c>
      <c r="OP340" s="561">
        <v>0</v>
      </c>
      <c r="OQ340" s="561">
        <v>0</v>
      </c>
      <c r="OR340" s="561">
        <v>0</v>
      </c>
      <c r="OS340" s="561">
        <v>0</v>
      </c>
      <c r="OT340" s="561">
        <v>0</v>
      </c>
      <c r="OU340" s="561">
        <v>0</v>
      </c>
      <c r="OV340" s="561">
        <v>0</v>
      </c>
      <c r="OW340" s="561">
        <v>0</v>
      </c>
      <c r="OX340" s="561">
        <v>0</v>
      </c>
      <c r="OY340" s="561">
        <v>0</v>
      </c>
      <c r="OZ340" s="561">
        <v>0</v>
      </c>
      <c r="PA340" s="561">
        <v>0</v>
      </c>
      <c r="PB340" s="561">
        <v>0</v>
      </c>
      <c r="PC340" s="561">
        <v>0</v>
      </c>
      <c r="PD340" s="561">
        <v>0</v>
      </c>
      <c r="PE340" s="561">
        <v>0</v>
      </c>
      <c r="PF340" s="561">
        <v>0</v>
      </c>
      <c r="PG340" s="561">
        <v>0</v>
      </c>
      <c r="PH340" s="561">
        <v>0</v>
      </c>
      <c r="PI340" s="561">
        <v>0</v>
      </c>
      <c r="PJ340" s="561">
        <v>0</v>
      </c>
    </row>
    <row r="341" spans="1:426" ht="14" x14ac:dyDescent="0.3">
      <c r="A341" t="s">
        <v>3466</v>
      </c>
      <c r="B341" t="s">
        <v>3467</v>
      </c>
      <c r="C341" t="s">
        <v>3468</v>
      </c>
      <c r="E341" t="s">
        <v>2476</v>
      </c>
      <c r="F341" s="561">
        <v>27049</v>
      </c>
      <c r="G341" s="561">
        <v>63421</v>
      </c>
      <c r="H341" s="561">
        <v>26042</v>
      </c>
      <c r="I341" s="561">
        <v>38244</v>
      </c>
      <c r="J341" s="561">
        <v>3874</v>
      </c>
      <c r="K341" s="561">
        <v>19702</v>
      </c>
      <c r="L341" s="561">
        <v>178332</v>
      </c>
      <c r="M341" s="561">
        <v>255</v>
      </c>
      <c r="N341" s="561">
        <v>1</v>
      </c>
      <c r="O341" s="561">
        <v>306</v>
      </c>
      <c r="P341" s="561">
        <v>923</v>
      </c>
      <c r="Q341" s="561">
        <v>0</v>
      </c>
      <c r="R341" s="561">
        <v>0</v>
      </c>
      <c r="S341" s="561">
        <v>112</v>
      </c>
      <c r="T341" s="561">
        <v>144</v>
      </c>
      <c r="U341" s="561">
        <v>0</v>
      </c>
      <c r="V341" s="561">
        <v>1214</v>
      </c>
      <c r="W341" s="561">
        <v>0</v>
      </c>
      <c r="X341" s="561">
        <v>-22</v>
      </c>
      <c r="Y341" s="561">
        <v>99</v>
      </c>
      <c r="Z341" s="561">
        <v>249</v>
      </c>
      <c r="AA341" s="561">
        <v>22</v>
      </c>
      <c r="AB341" s="561">
        <v>-1624</v>
      </c>
      <c r="AC341" s="561">
        <v>5321</v>
      </c>
      <c r="AD341" s="561">
        <v>0</v>
      </c>
      <c r="AE341" s="561">
        <v>0</v>
      </c>
      <c r="AF341" s="561">
        <v>0</v>
      </c>
      <c r="AG341" s="561">
        <v>0</v>
      </c>
      <c r="AH341" s="561">
        <v>0</v>
      </c>
      <c r="AI341" s="561">
        <v>0</v>
      </c>
      <c r="AJ341" s="561">
        <v>6745</v>
      </c>
      <c r="AK341" s="561">
        <v>3</v>
      </c>
      <c r="AL341" s="561">
        <v>0</v>
      </c>
      <c r="AM341" s="561">
        <v>0</v>
      </c>
      <c r="AN341" s="561">
        <v>0</v>
      </c>
      <c r="AO341" s="561">
        <v>0</v>
      </c>
      <c r="AP341" s="561">
        <v>0</v>
      </c>
      <c r="AQ341" s="561">
        <v>0</v>
      </c>
      <c r="AR341" s="561">
        <v>0</v>
      </c>
      <c r="AS341" s="561">
        <v>3814</v>
      </c>
      <c r="AT341" s="561">
        <v>1213</v>
      </c>
      <c r="AU341" s="561">
        <v>0</v>
      </c>
      <c r="AV341" s="561">
        <v>0</v>
      </c>
      <c r="AW341" s="561">
        <v>0</v>
      </c>
      <c r="AX341" s="561">
        <v>942</v>
      </c>
      <c r="AY341" s="561">
        <v>31601</v>
      </c>
      <c r="AZ341" s="561">
        <v>1113</v>
      </c>
      <c r="BA341" s="561">
        <v>7328</v>
      </c>
      <c r="BB341" s="561">
        <v>1098</v>
      </c>
      <c r="BC341" s="561">
        <v>16714</v>
      </c>
      <c r="BD341" s="561">
        <v>2643</v>
      </c>
      <c r="BE341" s="561">
        <v>391</v>
      </c>
      <c r="BF341" s="561">
        <v>61830</v>
      </c>
      <c r="BG341" s="561">
        <v>2653</v>
      </c>
      <c r="BH341" s="561">
        <v>4953</v>
      </c>
      <c r="BI341" s="561">
        <v>13192</v>
      </c>
      <c r="BJ341" s="561">
        <v>285</v>
      </c>
      <c r="BK341" s="561">
        <v>383</v>
      </c>
      <c r="BL341" s="561">
        <v>938</v>
      </c>
      <c r="BM341" s="561">
        <v>3269</v>
      </c>
      <c r="BN341" s="561">
        <v>22054</v>
      </c>
      <c r="BO341" s="561">
        <v>6287</v>
      </c>
      <c r="BP341" s="561">
        <v>2708</v>
      </c>
      <c r="BQ341" s="561">
        <v>3418</v>
      </c>
      <c r="BR341" s="561">
        <v>290</v>
      </c>
      <c r="BS341" s="561">
        <v>215</v>
      </c>
      <c r="BT341" s="561">
        <v>-6</v>
      </c>
      <c r="BU341" s="561">
        <v>-135</v>
      </c>
      <c r="BV341" s="561">
        <v>-566</v>
      </c>
      <c r="BW341" s="561">
        <v>21224</v>
      </c>
      <c r="BX341" s="561">
        <v>78</v>
      </c>
      <c r="BY341" s="561">
        <v>9093</v>
      </c>
      <c r="BZ341" s="561">
        <v>87680</v>
      </c>
      <c r="CA341" s="561">
        <v>3139</v>
      </c>
      <c r="CB341" s="561">
        <v>1537</v>
      </c>
      <c r="CC341" s="561">
        <v>88</v>
      </c>
      <c r="CD341" s="561">
        <v>395</v>
      </c>
      <c r="CE341" s="561">
        <v>396</v>
      </c>
      <c r="CF341" s="561">
        <v>100</v>
      </c>
      <c r="CG341" s="561">
        <v>92</v>
      </c>
      <c r="CH341" s="561">
        <v>126</v>
      </c>
      <c r="CI341" s="561">
        <v>106</v>
      </c>
      <c r="CJ341" s="561">
        <v>106</v>
      </c>
      <c r="CK341" s="561">
        <v>106</v>
      </c>
      <c r="CL341" s="561">
        <v>113</v>
      </c>
      <c r="CM341" s="561">
        <v>1081</v>
      </c>
      <c r="CN341" s="561">
        <v>855</v>
      </c>
      <c r="CO341" s="561">
        <v>249</v>
      </c>
      <c r="CP341" s="561">
        <v>89</v>
      </c>
      <c r="CQ341" s="561">
        <v>148</v>
      </c>
      <c r="CR341" s="561">
        <v>226</v>
      </c>
      <c r="CS341" s="561">
        <v>106</v>
      </c>
      <c r="CT341" s="561">
        <v>1608</v>
      </c>
      <c r="CU341" s="561">
        <v>3035</v>
      </c>
      <c r="CV341" s="561">
        <v>1396</v>
      </c>
      <c r="CW341" s="561">
        <v>100</v>
      </c>
      <c r="CX341" s="561">
        <v>30</v>
      </c>
      <c r="CY341" s="561">
        <v>44</v>
      </c>
      <c r="CZ341" s="561">
        <v>12132</v>
      </c>
      <c r="DA341" s="561">
        <v>117</v>
      </c>
      <c r="DB341" s="561">
        <v>0</v>
      </c>
      <c r="DC341" s="561">
        <v>0</v>
      </c>
      <c r="DD341" s="561">
        <v>0</v>
      </c>
      <c r="DE341" s="561">
        <v>0</v>
      </c>
      <c r="DF341" s="561">
        <v>0</v>
      </c>
      <c r="DG341" s="561">
        <v>0</v>
      </c>
      <c r="DH341" s="561">
        <v>1289</v>
      </c>
      <c r="DI341" s="561">
        <v>5</v>
      </c>
      <c r="DJ341" s="561">
        <v>0</v>
      </c>
      <c r="DK341" s="561">
        <v>0</v>
      </c>
      <c r="DL341" s="561">
        <v>7622</v>
      </c>
      <c r="DM341" s="561">
        <v>389</v>
      </c>
      <c r="DN341" s="561">
        <v>0</v>
      </c>
      <c r="DO341" s="561">
        <v>0</v>
      </c>
      <c r="DP341" s="561">
        <v>0</v>
      </c>
      <c r="DQ341" s="561">
        <v>0</v>
      </c>
      <c r="DR341" s="561">
        <v>0</v>
      </c>
      <c r="DS341" s="561">
        <v>0</v>
      </c>
      <c r="DT341" s="561">
        <v>4884</v>
      </c>
      <c r="DU341" s="561">
        <v>12895</v>
      </c>
      <c r="DV341" s="561">
        <v>242</v>
      </c>
      <c r="DW341" s="561">
        <v>0</v>
      </c>
      <c r="DX341" s="561">
        <v>0</v>
      </c>
      <c r="DY341" s="561">
        <v>1621</v>
      </c>
      <c r="DZ341" s="561">
        <v>148</v>
      </c>
      <c r="EA341" s="561">
        <v>4602</v>
      </c>
      <c r="EB341" s="561">
        <v>0</v>
      </c>
      <c r="EC341" s="561">
        <v>20802</v>
      </c>
      <c r="ED341" s="561">
        <v>482</v>
      </c>
      <c r="EE341" s="561">
        <v>43336</v>
      </c>
      <c r="EF341" s="561">
        <v>909</v>
      </c>
      <c r="EG341" s="561">
        <v>4199</v>
      </c>
      <c r="EH341" s="561">
        <v>5</v>
      </c>
      <c r="EI341" s="561">
        <v>0</v>
      </c>
      <c r="EJ341" s="561">
        <v>600</v>
      </c>
      <c r="EK341" s="561">
        <v>0</v>
      </c>
      <c r="EL341" s="561">
        <v>0</v>
      </c>
      <c r="EM341" s="561">
        <v>0</v>
      </c>
      <c r="EN341" s="561">
        <v>7620</v>
      </c>
      <c r="EO341" s="561">
        <v>12419</v>
      </c>
      <c r="EP341" s="561">
        <v>3240</v>
      </c>
      <c r="EQ341" s="561">
        <v>-564</v>
      </c>
      <c r="ER341" s="561">
        <v>0</v>
      </c>
      <c r="ES341" s="561" t="s">
        <v>4565</v>
      </c>
      <c r="ET341" s="561">
        <v>9107</v>
      </c>
      <c r="EU341" s="561">
        <v>0</v>
      </c>
      <c r="EV341" s="561">
        <v>10437</v>
      </c>
      <c r="EW341" s="561">
        <v>0</v>
      </c>
      <c r="EX341" s="561">
        <v>0</v>
      </c>
      <c r="EY341" s="561">
        <v>470</v>
      </c>
      <c r="EZ341" s="561">
        <v>6320</v>
      </c>
      <c r="FA341" s="561">
        <v>19641</v>
      </c>
      <c r="FB341" s="561">
        <v>0</v>
      </c>
      <c r="FC341" s="561">
        <v>273</v>
      </c>
      <c r="FD341" s="561">
        <v>0</v>
      </c>
      <c r="FE341" s="561">
        <v>223</v>
      </c>
      <c r="FF341" s="561">
        <v>0</v>
      </c>
      <c r="FG341" s="561">
        <v>0</v>
      </c>
      <c r="FH341" s="561">
        <v>0</v>
      </c>
      <c r="FI341" s="561">
        <v>0</v>
      </c>
      <c r="FJ341" s="561">
        <v>-561</v>
      </c>
      <c r="FK341" s="561">
        <v>2891</v>
      </c>
      <c r="FL341" s="561">
        <v>4</v>
      </c>
      <c r="FM341" s="561">
        <v>0</v>
      </c>
      <c r="FN341" s="561">
        <v>2288</v>
      </c>
      <c r="FO341" s="561">
        <v>5118</v>
      </c>
      <c r="FP341" s="561">
        <v>0</v>
      </c>
      <c r="FQ341" s="561">
        <v>22</v>
      </c>
      <c r="FR341" s="561">
        <v>68</v>
      </c>
      <c r="FS341" s="561">
        <v>0</v>
      </c>
      <c r="FT341" s="561">
        <v>89</v>
      </c>
      <c r="FU341" s="561">
        <v>200</v>
      </c>
      <c r="FV341" s="561">
        <v>239</v>
      </c>
      <c r="FW341" s="561">
        <v>157</v>
      </c>
      <c r="FX341" s="561">
        <v>0</v>
      </c>
      <c r="FY341" s="561">
        <v>0</v>
      </c>
      <c r="FZ341" s="561">
        <v>0</v>
      </c>
      <c r="GA341" s="561">
        <v>0</v>
      </c>
      <c r="GB341" s="561">
        <v>0</v>
      </c>
      <c r="GC341" s="561">
        <v>74</v>
      </c>
      <c r="GD341" s="561">
        <v>454</v>
      </c>
      <c r="GE341" s="561">
        <v>158</v>
      </c>
      <c r="GF341" s="561">
        <v>67</v>
      </c>
      <c r="GG341" s="561">
        <v>0</v>
      </c>
      <c r="GH341" s="561">
        <v>0</v>
      </c>
      <c r="GI341" s="561">
        <v>0</v>
      </c>
      <c r="GJ341" s="561">
        <v>0</v>
      </c>
      <c r="GK341" s="561">
        <v>0</v>
      </c>
      <c r="GL341" s="561">
        <v>3460</v>
      </c>
      <c r="GM341" s="561">
        <v>1958</v>
      </c>
      <c r="GN341" s="561">
        <v>6475</v>
      </c>
      <c r="GO341" s="561">
        <v>-166</v>
      </c>
      <c r="GP341" s="561">
        <v>2944</v>
      </c>
      <c r="GQ341" s="561">
        <v>0</v>
      </c>
      <c r="GR341" s="561">
        <v>-52</v>
      </c>
      <c r="GS341" s="561">
        <v>16147</v>
      </c>
      <c r="GT341" s="561">
        <v>0</v>
      </c>
      <c r="GU341" s="561">
        <v>322</v>
      </c>
      <c r="GV341" s="561">
        <v>1448</v>
      </c>
      <c r="GW341" s="561">
        <v>0</v>
      </c>
      <c r="GX341" s="561">
        <v>735</v>
      </c>
      <c r="GY341" s="561">
        <v>209</v>
      </c>
      <c r="GZ341" s="561">
        <v>618</v>
      </c>
      <c r="HA341" s="561">
        <v>0</v>
      </c>
      <c r="HB341" s="561">
        <v>175</v>
      </c>
      <c r="HC341" s="561">
        <v>772</v>
      </c>
      <c r="HD341" s="561">
        <v>4279</v>
      </c>
      <c r="HE341" s="561">
        <v>661</v>
      </c>
      <c r="HF341" s="561">
        <v>25544</v>
      </c>
      <c r="HG341" s="561">
        <v>661</v>
      </c>
      <c r="HH341" s="561">
        <v>0</v>
      </c>
      <c r="HI341" s="561">
        <v>0</v>
      </c>
      <c r="HJ341" s="561">
        <v>0</v>
      </c>
      <c r="HK341" s="561">
        <v>0</v>
      </c>
      <c r="HL341" s="561">
        <v>0</v>
      </c>
      <c r="HM341" s="561">
        <v>0</v>
      </c>
      <c r="HN341" s="561">
        <v>0</v>
      </c>
      <c r="HO341" s="561">
        <v>3547</v>
      </c>
      <c r="HP341" s="561">
        <v>1059</v>
      </c>
      <c r="HQ341" s="561">
        <v>0</v>
      </c>
      <c r="HR341" s="561">
        <v>0</v>
      </c>
      <c r="HS341" s="561">
        <v>0</v>
      </c>
      <c r="HT341" s="561">
        <v>-193</v>
      </c>
      <c r="HU341" s="561">
        <v>0</v>
      </c>
      <c r="HV341" s="561">
        <v>27</v>
      </c>
      <c r="HW341" s="561">
        <v>641</v>
      </c>
      <c r="HX341" s="561">
        <v>811</v>
      </c>
      <c r="HY341" s="561">
        <v>274</v>
      </c>
      <c r="HZ341" s="561">
        <v>16</v>
      </c>
      <c r="IA341" s="561">
        <v>411</v>
      </c>
      <c r="IB341" s="561">
        <v>643</v>
      </c>
      <c r="IC341" s="561">
        <v>879</v>
      </c>
      <c r="ID341" s="561">
        <v>0</v>
      </c>
      <c r="IE341" s="561">
        <v>3249</v>
      </c>
      <c r="IF341" s="561">
        <v>0</v>
      </c>
      <c r="IG341" s="561">
        <v>0</v>
      </c>
      <c r="IH341" s="561">
        <v>0</v>
      </c>
      <c r="II341" s="561">
        <v>11364</v>
      </c>
      <c r="IJ341" s="561">
        <v>1717</v>
      </c>
      <c r="IK341" s="561">
        <v>849</v>
      </c>
      <c r="IL341" s="561">
        <v>17231</v>
      </c>
      <c r="IM341" s="561">
        <v>0</v>
      </c>
      <c r="IN341" s="561">
        <v>0</v>
      </c>
      <c r="IO341" s="561">
        <v>9594</v>
      </c>
      <c r="IP341" s="561">
        <v>0</v>
      </c>
      <c r="IQ341" s="561">
        <v>1717</v>
      </c>
      <c r="IR341" s="561">
        <v>178332</v>
      </c>
      <c r="IS341" s="561">
        <v>6745</v>
      </c>
      <c r="IT341" s="561">
        <v>61830</v>
      </c>
      <c r="IU341" s="561">
        <v>87680</v>
      </c>
      <c r="IV341" s="561">
        <v>12132</v>
      </c>
      <c r="IW341" s="561">
        <v>20802</v>
      </c>
      <c r="IX341" s="561">
        <v>5118</v>
      </c>
      <c r="IY341" s="561">
        <v>16147</v>
      </c>
      <c r="IZ341" s="561">
        <v>4279</v>
      </c>
      <c r="JA341" s="561">
        <v>0</v>
      </c>
      <c r="JB341" s="561">
        <v>0</v>
      </c>
      <c r="JC341" s="561">
        <v>11364</v>
      </c>
      <c r="JD341" s="561">
        <v>0</v>
      </c>
      <c r="JE341" s="561">
        <v>404429</v>
      </c>
      <c r="JF341" s="561">
        <v>27540</v>
      </c>
      <c r="JG341" s="561">
        <v>-393</v>
      </c>
      <c r="JH341" s="561">
        <v>19565</v>
      </c>
      <c r="JI341" s="561">
        <v>0</v>
      </c>
      <c r="JJ341" s="561">
        <v>0</v>
      </c>
      <c r="JK341" s="561">
        <v>0</v>
      </c>
      <c r="JL341" s="561">
        <v>0</v>
      </c>
      <c r="JM341" s="561">
        <v>0</v>
      </c>
      <c r="JN341" s="561">
        <v>247</v>
      </c>
      <c r="JO341" s="561">
        <v>527</v>
      </c>
      <c r="JP341" s="561">
        <v>0</v>
      </c>
      <c r="JQ341" s="561">
        <v>341</v>
      </c>
      <c r="JR341" s="561">
        <v>0</v>
      </c>
      <c r="JS341" s="561">
        <v>0</v>
      </c>
      <c r="JT341" s="561">
        <v>-3685</v>
      </c>
      <c r="JU341" s="561">
        <v>0</v>
      </c>
      <c r="JV341" s="561">
        <v>448571</v>
      </c>
      <c r="JW341" s="561">
        <v>178</v>
      </c>
      <c r="JX341" s="561">
        <v>477</v>
      </c>
      <c r="JY341" s="561">
        <v>0</v>
      </c>
      <c r="JZ341" s="561">
        <v>-2525</v>
      </c>
      <c r="KA341" s="561">
        <v>0</v>
      </c>
      <c r="KB341" s="561">
        <v>2725</v>
      </c>
      <c r="KC341" s="561">
        <v>2976</v>
      </c>
      <c r="KD341" s="561">
        <v>0</v>
      </c>
      <c r="KE341" s="561">
        <v>12735</v>
      </c>
      <c r="KF341" s="561">
        <v>-10437</v>
      </c>
      <c r="KG341" s="561">
        <v>454700</v>
      </c>
      <c r="KH341" s="561">
        <v>-8684</v>
      </c>
      <c r="KI341" s="561">
        <v>0</v>
      </c>
      <c r="KJ341" s="561">
        <v>54</v>
      </c>
      <c r="KK341" s="561">
        <v>0</v>
      </c>
      <c r="KL341" s="561">
        <v>-52750</v>
      </c>
      <c r="KM341" s="561">
        <v>0</v>
      </c>
      <c r="KN341" s="561">
        <v>0</v>
      </c>
      <c r="KO341" s="561">
        <v>0</v>
      </c>
      <c r="KP341" s="561">
        <v>0</v>
      </c>
      <c r="KQ341" s="561">
        <v>-9182</v>
      </c>
      <c r="KR341" s="561">
        <v>384138</v>
      </c>
      <c r="KS341" s="561">
        <v>0</v>
      </c>
      <c r="KT341" s="561">
        <v>-202011</v>
      </c>
      <c r="KU341" s="561">
        <v>182127</v>
      </c>
      <c r="KV341" s="561">
        <v>0</v>
      </c>
      <c r="KW341" s="561">
        <v>1836</v>
      </c>
      <c r="KX341" s="561">
        <v>0</v>
      </c>
      <c r="KY341" s="561">
        <v>199</v>
      </c>
      <c r="KZ341" s="561">
        <v>964</v>
      </c>
      <c r="LA341" s="561">
        <v>687</v>
      </c>
      <c r="LB341" s="561">
        <v>-8417</v>
      </c>
      <c r="LC341" s="561">
        <v>0</v>
      </c>
      <c r="LD341" s="561">
        <v>-49273</v>
      </c>
      <c r="LE341" s="561">
        <v>-1611</v>
      </c>
      <c r="LF341" s="561">
        <v>0</v>
      </c>
      <c r="LG341" s="561">
        <v>126512</v>
      </c>
      <c r="LH341" s="561">
        <v>3129</v>
      </c>
      <c r="LI341" s="561">
        <v>-1391</v>
      </c>
      <c r="LJ341" s="561">
        <v>0</v>
      </c>
      <c r="LK341" s="561">
        <v>463</v>
      </c>
      <c r="LL341" s="561">
        <v>27060</v>
      </c>
      <c r="LM341" s="561">
        <v>8894</v>
      </c>
      <c r="LN341" s="561">
        <v>4965</v>
      </c>
      <c r="LO341" s="561">
        <v>-10573</v>
      </c>
      <c r="LP341" s="561">
        <v>0</v>
      </c>
      <c r="LQ341" s="561">
        <v>662</v>
      </c>
      <c r="LR341" s="561">
        <v>28024</v>
      </c>
      <c r="LS341" s="561">
        <v>9581</v>
      </c>
      <c r="LT341" s="561">
        <v>0</v>
      </c>
      <c r="LU341" s="561">
        <v>29831</v>
      </c>
      <c r="LV341" s="561">
        <v>0</v>
      </c>
      <c r="LW341" s="561">
        <v>7682</v>
      </c>
      <c r="LX341" s="561">
        <v>-13269</v>
      </c>
      <c r="LY341" s="561">
        <v>17930</v>
      </c>
      <c r="LZ341" s="561">
        <v>44261</v>
      </c>
      <c r="MA341" s="561">
        <v>0</v>
      </c>
      <c r="MB341" s="561">
        <v>0</v>
      </c>
      <c r="MC341" s="561">
        <v>49049</v>
      </c>
      <c r="MD341" s="561">
        <v>42729</v>
      </c>
      <c r="ME341" s="561">
        <v>6320</v>
      </c>
      <c r="MF341" s="561">
        <v>19641</v>
      </c>
      <c r="MG341" s="561">
        <v>25961</v>
      </c>
      <c r="MH341" s="561">
        <v>5041</v>
      </c>
      <c r="MI341" s="561">
        <v>9500</v>
      </c>
      <c r="MJ341" s="561">
        <v>14541</v>
      </c>
      <c r="MK341" s="561">
        <v>0</v>
      </c>
      <c r="ML341" s="561">
        <v>0</v>
      </c>
      <c r="MM341" s="561">
        <v>3927</v>
      </c>
      <c r="MN341" s="561">
        <v>19238</v>
      </c>
      <c r="MO341" s="561">
        <v>4859</v>
      </c>
      <c r="MP341" s="561">
        <v>0</v>
      </c>
      <c r="MQ341" s="561">
        <v>178332</v>
      </c>
      <c r="MR341" s="561">
        <v>6745</v>
      </c>
      <c r="MS341" s="561">
        <v>61830</v>
      </c>
      <c r="MT341" s="561">
        <v>87680</v>
      </c>
      <c r="MU341" s="561">
        <v>12132</v>
      </c>
      <c r="MV341" s="561">
        <v>20802</v>
      </c>
      <c r="MW341" s="561">
        <v>5118</v>
      </c>
      <c r="MX341" s="561">
        <v>16147</v>
      </c>
      <c r="MY341" s="561">
        <v>4279</v>
      </c>
      <c r="MZ341" s="561">
        <v>0</v>
      </c>
      <c r="NA341" s="561">
        <v>0</v>
      </c>
      <c r="NB341" s="561">
        <v>11364</v>
      </c>
      <c r="NC341" s="561">
        <v>0</v>
      </c>
      <c r="ND341" s="561">
        <v>404429</v>
      </c>
      <c r="NE341" s="561">
        <v>0</v>
      </c>
      <c r="NF341" s="561">
        <v>0</v>
      </c>
      <c r="NG341" s="561">
        <v>0</v>
      </c>
      <c r="NH341" s="561">
        <v>0</v>
      </c>
      <c r="NI341" s="561">
        <v>0</v>
      </c>
      <c r="NJ341" s="561">
        <v>0</v>
      </c>
      <c r="NK341" s="561">
        <v>0</v>
      </c>
      <c r="NL341" s="561">
        <v>0</v>
      </c>
      <c r="NM341" s="561">
        <v>0</v>
      </c>
      <c r="NN341" s="561">
        <v>0</v>
      </c>
      <c r="NO341" s="561">
        <v>0</v>
      </c>
      <c r="NP341" s="561">
        <v>0</v>
      </c>
      <c r="NQ341" s="561">
        <v>0</v>
      </c>
      <c r="NR341" s="561">
        <v>0</v>
      </c>
      <c r="NS341" s="561">
        <v>0</v>
      </c>
      <c r="NT341" s="561">
        <v>0</v>
      </c>
      <c r="NU341" s="561">
        <v>0</v>
      </c>
      <c r="NV341" s="561">
        <v>0</v>
      </c>
      <c r="NW341" s="561">
        <v>0</v>
      </c>
      <c r="NX341" s="561">
        <v>0</v>
      </c>
      <c r="NY341" s="561">
        <v>0</v>
      </c>
      <c r="NZ341" s="561">
        <v>0</v>
      </c>
      <c r="OA341" s="561">
        <v>0</v>
      </c>
      <c r="OB341" s="561">
        <v>0</v>
      </c>
      <c r="OC341" s="561">
        <v>0</v>
      </c>
      <c r="OD341" s="561">
        <v>0</v>
      </c>
      <c r="OE341" s="561">
        <v>0</v>
      </c>
      <c r="OF341" s="561">
        <v>0</v>
      </c>
      <c r="OG341" s="561">
        <v>0</v>
      </c>
      <c r="OH341" s="561">
        <v>0</v>
      </c>
      <c r="OI341" s="561">
        <v>176</v>
      </c>
      <c r="OJ341" s="561">
        <v>0</v>
      </c>
      <c r="OK341" s="561">
        <v>0</v>
      </c>
      <c r="OL341" s="561">
        <v>0</v>
      </c>
      <c r="OM341" s="561">
        <v>0</v>
      </c>
      <c r="ON341" s="561">
        <v>-26</v>
      </c>
      <c r="OO341" s="561">
        <v>0</v>
      </c>
      <c r="OP341" s="561">
        <v>93</v>
      </c>
      <c r="OQ341" s="561">
        <v>0</v>
      </c>
      <c r="OR341" s="561">
        <v>0</v>
      </c>
      <c r="OS341" s="561">
        <v>98</v>
      </c>
      <c r="OT341" s="561">
        <v>0</v>
      </c>
      <c r="OU341" s="561">
        <v>0</v>
      </c>
      <c r="OV341" s="561">
        <v>0</v>
      </c>
      <c r="OW341" s="561">
        <v>0</v>
      </c>
      <c r="OX341" s="561">
        <v>341</v>
      </c>
      <c r="OY341" s="561">
        <v>0</v>
      </c>
      <c r="OZ341" s="561">
        <v>0</v>
      </c>
      <c r="PA341" s="561">
        <v>0</v>
      </c>
      <c r="PB341" s="561">
        <v>0</v>
      </c>
      <c r="PC341" s="561">
        <v>0</v>
      </c>
      <c r="PD341" s="561">
        <v>0</v>
      </c>
      <c r="PE341" s="561">
        <v>0</v>
      </c>
      <c r="PF341" s="561">
        <v>0</v>
      </c>
      <c r="PG341" s="561">
        <v>0</v>
      </c>
      <c r="PH341" s="561">
        <v>0</v>
      </c>
      <c r="PI341" s="561">
        <v>0</v>
      </c>
      <c r="PJ341" s="561">
        <v>0</v>
      </c>
    </row>
    <row r="342" spans="1:426" ht="14" x14ac:dyDescent="0.3">
      <c r="A342" t="s">
        <v>3469</v>
      </c>
      <c r="B342" t="s">
        <v>3470</v>
      </c>
      <c r="C342" t="s">
        <v>3471</v>
      </c>
      <c r="E342" t="s">
        <v>384</v>
      </c>
      <c r="F342" s="561">
        <v>0</v>
      </c>
      <c r="G342" s="561">
        <v>0</v>
      </c>
      <c r="H342" s="561">
        <v>0</v>
      </c>
      <c r="I342" s="561">
        <v>0</v>
      </c>
      <c r="J342" s="561">
        <v>0</v>
      </c>
      <c r="K342" s="561">
        <v>0</v>
      </c>
      <c r="L342" s="561">
        <v>0</v>
      </c>
      <c r="M342" s="561">
        <v>0</v>
      </c>
      <c r="N342" s="561">
        <v>4</v>
      </c>
      <c r="O342" s="561">
        <v>0</v>
      </c>
      <c r="P342" s="561">
        <v>0</v>
      </c>
      <c r="Q342" s="561">
        <v>0</v>
      </c>
      <c r="R342" s="561">
        <v>0</v>
      </c>
      <c r="S342" s="561">
        <v>0</v>
      </c>
      <c r="T342" s="561">
        <v>-25</v>
      </c>
      <c r="U342" s="561">
        <v>0</v>
      </c>
      <c r="V342" s="561">
        <v>0</v>
      </c>
      <c r="W342" s="561">
        <v>0</v>
      </c>
      <c r="X342" s="561">
        <v>0</v>
      </c>
      <c r="Y342" s="561">
        <v>0</v>
      </c>
      <c r="Z342" s="561">
        <v>0</v>
      </c>
      <c r="AA342" s="561">
        <v>-182</v>
      </c>
      <c r="AB342" s="561">
        <v>-1611</v>
      </c>
      <c r="AC342" s="561">
        <v>0</v>
      </c>
      <c r="AD342" s="561">
        <v>0</v>
      </c>
      <c r="AE342" s="561">
        <v>5</v>
      </c>
      <c r="AF342" s="561">
        <v>0</v>
      </c>
      <c r="AG342" s="561">
        <v>0</v>
      </c>
      <c r="AH342" s="561">
        <v>5</v>
      </c>
      <c r="AI342" s="561">
        <v>0</v>
      </c>
      <c r="AJ342" s="561">
        <v>-1804</v>
      </c>
      <c r="AK342" s="561">
        <v>0</v>
      </c>
      <c r="AL342" s="561">
        <v>0</v>
      </c>
      <c r="AM342" s="561">
        <v>0</v>
      </c>
      <c r="AN342" s="561">
        <v>0</v>
      </c>
      <c r="AO342" s="561">
        <v>0</v>
      </c>
      <c r="AP342" s="561">
        <v>0</v>
      </c>
      <c r="AQ342" s="561">
        <v>0</v>
      </c>
      <c r="AR342" s="561">
        <v>0</v>
      </c>
      <c r="AS342" s="561">
        <v>323</v>
      </c>
      <c r="AT342" s="561">
        <v>164</v>
      </c>
      <c r="AU342" s="561">
        <v>0</v>
      </c>
      <c r="AV342" s="561">
        <v>0</v>
      </c>
      <c r="AW342" s="561">
        <v>0</v>
      </c>
      <c r="AX342" s="561">
        <v>0</v>
      </c>
      <c r="AY342" s="561">
        <v>0</v>
      </c>
      <c r="AZ342" s="561">
        <v>0</v>
      </c>
      <c r="BA342" s="561">
        <v>0</v>
      </c>
      <c r="BB342" s="561">
        <v>0</v>
      </c>
      <c r="BC342" s="561">
        <v>0</v>
      </c>
      <c r="BD342" s="561">
        <v>0</v>
      </c>
      <c r="BE342" s="561">
        <v>0</v>
      </c>
      <c r="BF342" s="561">
        <v>0</v>
      </c>
      <c r="BG342" s="561">
        <v>0</v>
      </c>
      <c r="BH342" s="561">
        <v>0</v>
      </c>
      <c r="BI342" s="561">
        <v>0</v>
      </c>
      <c r="BJ342" s="561">
        <v>0</v>
      </c>
      <c r="BK342" s="561">
        <v>0</v>
      </c>
      <c r="BL342" s="561">
        <v>0</v>
      </c>
      <c r="BM342" s="561">
        <v>0</v>
      </c>
      <c r="BN342" s="561">
        <v>0</v>
      </c>
      <c r="BO342" s="561">
        <v>0</v>
      </c>
      <c r="BP342" s="561">
        <v>0</v>
      </c>
      <c r="BQ342" s="561">
        <v>0</v>
      </c>
      <c r="BR342" s="561">
        <v>0</v>
      </c>
      <c r="BS342" s="561">
        <v>0</v>
      </c>
      <c r="BT342" s="561">
        <v>0</v>
      </c>
      <c r="BU342" s="561">
        <v>0</v>
      </c>
      <c r="BV342" s="561">
        <v>0</v>
      </c>
      <c r="BW342" s="561">
        <v>0</v>
      </c>
      <c r="BX342" s="561">
        <v>0</v>
      </c>
      <c r="BY342" s="561">
        <v>0</v>
      </c>
      <c r="BZ342" s="561">
        <v>0</v>
      </c>
      <c r="CA342" s="561">
        <v>0</v>
      </c>
      <c r="CB342" s="561">
        <v>0</v>
      </c>
      <c r="CC342" s="561">
        <v>0</v>
      </c>
      <c r="CD342" s="561">
        <v>0</v>
      </c>
      <c r="CE342" s="561">
        <v>0</v>
      </c>
      <c r="CF342" s="561">
        <v>0</v>
      </c>
      <c r="CG342" s="561">
        <v>0</v>
      </c>
      <c r="CH342" s="561">
        <v>0</v>
      </c>
      <c r="CI342" s="561">
        <v>0</v>
      </c>
      <c r="CJ342" s="561">
        <v>0</v>
      </c>
      <c r="CK342" s="561">
        <v>96</v>
      </c>
      <c r="CL342" s="561">
        <v>0</v>
      </c>
      <c r="CM342" s="561">
        <v>0</v>
      </c>
      <c r="CN342" s="561">
        <v>0</v>
      </c>
      <c r="CO342" s="561">
        <v>0</v>
      </c>
      <c r="CP342" s="561">
        <v>0</v>
      </c>
      <c r="CQ342" s="561">
        <v>0</v>
      </c>
      <c r="CR342" s="561">
        <v>0</v>
      </c>
      <c r="CS342" s="561">
        <v>0</v>
      </c>
      <c r="CT342" s="561">
        <v>0</v>
      </c>
      <c r="CU342" s="561">
        <v>0</v>
      </c>
      <c r="CV342" s="561">
        <v>0</v>
      </c>
      <c r="CW342" s="561">
        <v>0</v>
      </c>
      <c r="CX342" s="561">
        <v>0</v>
      </c>
      <c r="CY342" s="561">
        <v>-13</v>
      </c>
      <c r="CZ342" s="561">
        <v>83</v>
      </c>
      <c r="DA342" s="561">
        <v>0</v>
      </c>
      <c r="DB342" s="561">
        <v>0</v>
      </c>
      <c r="DC342" s="561">
        <v>0</v>
      </c>
      <c r="DD342" s="561">
        <v>0</v>
      </c>
      <c r="DE342" s="561">
        <v>0</v>
      </c>
      <c r="DF342" s="561">
        <v>0</v>
      </c>
      <c r="DG342" s="561">
        <v>0</v>
      </c>
      <c r="DH342" s="561">
        <v>264</v>
      </c>
      <c r="DI342" s="561">
        <v>4</v>
      </c>
      <c r="DJ342" s="561">
        <v>384</v>
      </c>
      <c r="DK342" s="561">
        <v>0</v>
      </c>
      <c r="DL342" s="561">
        <v>0</v>
      </c>
      <c r="DM342" s="561">
        <v>0</v>
      </c>
      <c r="DN342" s="561">
        <v>0</v>
      </c>
      <c r="DO342" s="561">
        <v>3373</v>
      </c>
      <c r="DP342" s="561">
        <v>0</v>
      </c>
      <c r="DQ342" s="561">
        <v>0</v>
      </c>
      <c r="DR342" s="561">
        <v>0</v>
      </c>
      <c r="DS342" s="561">
        <v>0</v>
      </c>
      <c r="DT342" s="561">
        <v>1595</v>
      </c>
      <c r="DU342" s="561">
        <v>4968</v>
      </c>
      <c r="DV342" s="561">
        <v>261</v>
      </c>
      <c r="DW342" s="561">
        <v>0</v>
      </c>
      <c r="DX342" s="561">
        <v>0</v>
      </c>
      <c r="DY342" s="561">
        <v>736</v>
      </c>
      <c r="DZ342" s="561">
        <v>20</v>
      </c>
      <c r="EA342" s="561">
        <v>506</v>
      </c>
      <c r="EB342" s="561">
        <v>0</v>
      </c>
      <c r="EC342" s="561">
        <v>7143</v>
      </c>
      <c r="ED342" s="561">
        <v>93</v>
      </c>
      <c r="EE342" s="561">
        <v>0</v>
      </c>
      <c r="EF342" s="561">
        <v>0</v>
      </c>
      <c r="EG342" s="561">
        <v>0</v>
      </c>
      <c r="EH342" s="561">
        <v>0</v>
      </c>
      <c r="EI342" s="561">
        <v>0</v>
      </c>
      <c r="EJ342" s="561">
        <v>0</v>
      </c>
      <c r="EK342" s="561">
        <v>0</v>
      </c>
      <c r="EL342" s="561">
        <v>0</v>
      </c>
      <c r="EM342" s="561">
        <v>0</v>
      </c>
      <c r="EN342" s="561">
        <v>0</v>
      </c>
      <c r="EO342" s="561">
        <v>0</v>
      </c>
      <c r="EP342" s="561">
        <v>0</v>
      </c>
      <c r="EQ342" s="561">
        <v>0</v>
      </c>
      <c r="ER342" s="561">
        <v>0</v>
      </c>
      <c r="ES342" s="561" t="s">
        <v>4565</v>
      </c>
      <c r="ET342" s="561">
        <v>0</v>
      </c>
      <c r="EU342" s="561">
        <v>0</v>
      </c>
      <c r="EV342" s="561">
        <v>0</v>
      </c>
      <c r="EW342" s="561">
        <v>0</v>
      </c>
      <c r="EX342" s="561">
        <v>0</v>
      </c>
      <c r="EY342" s="561">
        <v>0</v>
      </c>
      <c r="EZ342" s="561">
        <v>0</v>
      </c>
      <c r="FA342" s="561">
        <v>0</v>
      </c>
      <c r="FB342" s="561">
        <v>0</v>
      </c>
      <c r="FC342" s="561">
        <v>0</v>
      </c>
      <c r="FD342" s="561">
        <v>-1</v>
      </c>
      <c r="FE342" s="561">
        <v>52</v>
      </c>
      <c r="FF342" s="561">
        <v>0</v>
      </c>
      <c r="FG342" s="561">
        <v>106</v>
      </c>
      <c r="FH342" s="561">
        <v>292</v>
      </c>
      <c r="FI342" s="561">
        <v>0</v>
      </c>
      <c r="FJ342" s="561">
        <v>1265</v>
      </c>
      <c r="FK342" s="561">
        <v>2894</v>
      </c>
      <c r="FL342" s="561">
        <v>17</v>
      </c>
      <c r="FM342" s="561">
        <v>125</v>
      </c>
      <c r="FN342" s="561">
        <v>0</v>
      </c>
      <c r="FO342" s="561">
        <v>4750</v>
      </c>
      <c r="FP342" s="561">
        <v>0</v>
      </c>
      <c r="FQ342" s="561">
        <v>378</v>
      </c>
      <c r="FR342" s="561">
        <v>0</v>
      </c>
      <c r="FS342" s="561">
        <v>0</v>
      </c>
      <c r="FT342" s="561">
        <v>177</v>
      </c>
      <c r="FU342" s="561">
        <v>83</v>
      </c>
      <c r="FV342" s="561">
        <v>0</v>
      </c>
      <c r="FW342" s="561">
        <v>58</v>
      </c>
      <c r="FX342" s="561">
        <v>0</v>
      </c>
      <c r="FY342" s="561">
        <v>0</v>
      </c>
      <c r="FZ342" s="561">
        <v>29</v>
      </c>
      <c r="GA342" s="561">
        <v>542</v>
      </c>
      <c r="GB342" s="561">
        <v>121</v>
      </c>
      <c r="GC342" s="561">
        <v>231</v>
      </c>
      <c r="GD342" s="561">
        <v>468</v>
      </c>
      <c r="GE342" s="561">
        <v>42</v>
      </c>
      <c r="GF342" s="561">
        <v>262</v>
      </c>
      <c r="GG342" s="561">
        <v>5</v>
      </c>
      <c r="GH342" s="561">
        <v>0</v>
      </c>
      <c r="GI342" s="561">
        <v>1000</v>
      </c>
      <c r="GJ342" s="561">
        <v>9</v>
      </c>
      <c r="GK342" s="561">
        <v>0</v>
      </c>
      <c r="GL342" s="561">
        <v>2186</v>
      </c>
      <c r="GM342" s="561">
        <v>4056</v>
      </c>
      <c r="GN342" s="561">
        <v>0</v>
      </c>
      <c r="GO342" s="561">
        <v>0</v>
      </c>
      <c r="GP342" s="561">
        <v>0</v>
      </c>
      <c r="GQ342" s="561">
        <v>0</v>
      </c>
      <c r="GR342" s="561">
        <v>103</v>
      </c>
      <c r="GS342" s="561">
        <v>9750</v>
      </c>
      <c r="GT342" s="561">
        <v>31</v>
      </c>
      <c r="GU342" s="561">
        <v>111</v>
      </c>
      <c r="GV342" s="561">
        <v>3057</v>
      </c>
      <c r="GW342" s="561">
        <v>84</v>
      </c>
      <c r="GX342" s="561">
        <v>1161</v>
      </c>
      <c r="GY342" s="561">
        <v>446</v>
      </c>
      <c r="GZ342" s="561">
        <v>392</v>
      </c>
      <c r="HA342" s="561">
        <v>0</v>
      </c>
      <c r="HB342" s="561">
        <v>0</v>
      </c>
      <c r="HC342" s="561">
        <v>728</v>
      </c>
      <c r="HD342" s="561">
        <v>5979</v>
      </c>
      <c r="HE342" s="561">
        <v>1221</v>
      </c>
      <c r="HF342" s="561">
        <v>20479</v>
      </c>
      <c r="HG342" s="561">
        <v>1252</v>
      </c>
      <c r="HH342" s="561">
        <v>0</v>
      </c>
      <c r="HI342" s="561">
        <v>0</v>
      </c>
      <c r="HJ342" s="561">
        <v>0</v>
      </c>
      <c r="HK342" s="561">
        <v>0</v>
      </c>
      <c r="HL342" s="561">
        <v>0</v>
      </c>
      <c r="HM342" s="561">
        <v>0</v>
      </c>
      <c r="HN342" s="561">
        <v>0</v>
      </c>
      <c r="HO342" s="561">
        <v>1468</v>
      </c>
      <c r="HP342" s="561">
        <v>-210</v>
      </c>
      <c r="HQ342" s="561">
        <v>0</v>
      </c>
      <c r="HR342" s="561">
        <v>33</v>
      </c>
      <c r="HS342" s="561">
        <v>613</v>
      </c>
      <c r="HT342" s="561">
        <v>-193</v>
      </c>
      <c r="HU342" s="561">
        <v>0</v>
      </c>
      <c r="HV342" s="561">
        <v>0</v>
      </c>
      <c r="HW342" s="561">
        <v>474</v>
      </c>
      <c r="HX342" s="561">
        <v>35</v>
      </c>
      <c r="HY342" s="561">
        <v>144</v>
      </c>
      <c r="HZ342" s="561">
        <v>-66</v>
      </c>
      <c r="IA342" s="561">
        <v>0</v>
      </c>
      <c r="IB342" s="561">
        <v>176</v>
      </c>
      <c r="IC342" s="561">
        <v>0</v>
      </c>
      <c r="ID342" s="561">
        <v>0</v>
      </c>
      <c r="IE342" s="561">
        <v>1051</v>
      </c>
      <c r="IF342" s="561">
        <v>0</v>
      </c>
      <c r="IG342" s="561">
        <v>0</v>
      </c>
      <c r="IH342" s="561">
        <v>0</v>
      </c>
      <c r="II342" s="561">
        <v>3525</v>
      </c>
      <c r="IJ342" s="561">
        <v>1257</v>
      </c>
      <c r="IK342" s="561">
        <v>0</v>
      </c>
      <c r="IL342" s="561">
        <v>0</v>
      </c>
      <c r="IM342" s="561">
        <v>0</v>
      </c>
      <c r="IN342" s="561">
        <v>5667</v>
      </c>
      <c r="IO342" s="561">
        <v>1638</v>
      </c>
      <c r="IP342" s="561">
        <v>0</v>
      </c>
      <c r="IQ342" s="561">
        <v>0</v>
      </c>
      <c r="IR342" s="561">
        <v>0</v>
      </c>
      <c r="IS342" s="561">
        <v>-1804</v>
      </c>
      <c r="IT342" s="561">
        <v>0</v>
      </c>
      <c r="IU342" s="561">
        <v>0</v>
      </c>
      <c r="IV342" s="561">
        <v>83</v>
      </c>
      <c r="IW342" s="561">
        <v>7143</v>
      </c>
      <c r="IX342" s="561">
        <v>4750</v>
      </c>
      <c r="IY342" s="561">
        <v>9750</v>
      </c>
      <c r="IZ342" s="561">
        <v>5979</v>
      </c>
      <c r="JA342" s="561">
        <v>0</v>
      </c>
      <c r="JB342" s="561">
        <v>0</v>
      </c>
      <c r="JC342" s="561">
        <v>3525</v>
      </c>
      <c r="JD342" s="561">
        <v>0</v>
      </c>
      <c r="JE342" s="561">
        <v>29426</v>
      </c>
      <c r="JF342" s="561">
        <v>27922</v>
      </c>
      <c r="JG342" s="561">
        <v>0</v>
      </c>
      <c r="JH342" s="561">
        <v>0</v>
      </c>
      <c r="JI342" s="561">
        <v>0</v>
      </c>
      <c r="JJ342" s="561">
        <v>0</v>
      </c>
      <c r="JK342" s="561">
        <v>1955</v>
      </c>
      <c r="JL342" s="561">
        <v>0</v>
      </c>
      <c r="JM342" s="561">
        <v>0</v>
      </c>
      <c r="JN342" s="561">
        <v>0</v>
      </c>
      <c r="JO342" s="561">
        <v>0</v>
      </c>
      <c r="JP342" s="561">
        <v>-1343</v>
      </c>
      <c r="JQ342" s="561">
        <v>0</v>
      </c>
      <c r="JR342" s="561">
        <v>0</v>
      </c>
      <c r="JS342" s="561">
        <v>0</v>
      </c>
      <c r="JT342" s="561">
        <v>6</v>
      </c>
      <c r="JU342" s="561">
        <v>0</v>
      </c>
      <c r="JV342" s="561">
        <v>57966</v>
      </c>
      <c r="JW342" s="561">
        <v>0</v>
      </c>
      <c r="JX342" s="561">
        <v>130</v>
      </c>
      <c r="JY342" s="561">
        <v>0</v>
      </c>
      <c r="JZ342" s="561">
        <v>0</v>
      </c>
      <c r="KA342" s="561">
        <v>0</v>
      </c>
      <c r="KB342" s="561">
        <v>250</v>
      </c>
      <c r="KC342" s="561">
        <v>1617</v>
      </c>
      <c r="KD342" s="561">
        <v>0</v>
      </c>
      <c r="KE342" s="561">
        <v>759</v>
      </c>
      <c r="KF342" s="561">
        <v>0</v>
      </c>
      <c r="KG342" s="561">
        <v>60722</v>
      </c>
      <c r="KH342" s="561">
        <v>-1287</v>
      </c>
      <c r="KI342" s="561">
        <v>0</v>
      </c>
      <c r="KJ342" s="561">
        <v>0</v>
      </c>
      <c r="KK342" s="561">
        <v>0</v>
      </c>
      <c r="KL342" s="561">
        <v>-28122</v>
      </c>
      <c r="KM342" s="561">
        <v>0</v>
      </c>
      <c r="KN342" s="561">
        <v>0</v>
      </c>
      <c r="KO342" s="561">
        <v>0</v>
      </c>
      <c r="KP342" s="561">
        <v>0</v>
      </c>
      <c r="KQ342" s="561">
        <v>0</v>
      </c>
      <c r="KR342" s="561">
        <v>31313</v>
      </c>
      <c r="KS342" s="561">
        <v>0</v>
      </c>
      <c r="KT342" s="561">
        <v>-6325</v>
      </c>
      <c r="KU342" s="561">
        <v>24988</v>
      </c>
      <c r="KV342" s="561">
        <v>0</v>
      </c>
      <c r="KW342" s="561">
        <v>0</v>
      </c>
      <c r="KX342" s="561">
        <v>0</v>
      </c>
      <c r="KY342" s="561">
        <v>0</v>
      </c>
      <c r="KZ342" s="561">
        <v>341</v>
      </c>
      <c r="LA342" s="561">
        <v>0</v>
      </c>
      <c r="LB342" s="561">
        <v>-338</v>
      </c>
      <c r="LC342" s="561">
        <v>0</v>
      </c>
      <c r="LD342" s="561">
        <v>-12958</v>
      </c>
      <c r="LE342" s="561">
        <v>31</v>
      </c>
      <c r="LF342" s="561">
        <v>0</v>
      </c>
      <c r="LG342" s="561">
        <v>12064</v>
      </c>
      <c r="LH342" s="561">
        <v>0</v>
      </c>
      <c r="LI342" s="561">
        <v>0</v>
      </c>
      <c r="LJ342" s="561">
        <v>0</v>
      </c>
      <c r="LK342" s="561">
        <v>0</v>
      </c>
      <c r="LL342" s="561">
        <v>16869</v>
      </c>
      <c r="LM342" s="561">
        <v>3103</v>
      </c>
      <c r="LN342" s="561">
        <v>0</v>
      </c>
      <c r="LO342" s="561">
        <v>0</v>
      </c>
      <c r="LP342" s="561">
        <v>0</v>
      </c>
      <c r="LQ342" s="561">
        <v>0</v>
      </c>
      <c r="LR342" s="561">
        <v>17210</v>
      </c>
      <c r="LS342" s="561">
        <v>3103</v>
      </c>
      <c r="LT342" s="561">
        <v>0</v>
      </c>
      <c r="LU342" s="561">
        <v>2029</v>
      </c>
      <c r="LV342" s="561">
        <v>3710</v>
      </c>
      <c r="LW342" s="561">
        <v>0</v>
      </c>
      <c r="LX342" s="561">
        <v>0</v>
      </c>
      <c r="LY342" s="561">
        <v>4401</v>
      </c>
      <c r="LZ342" s="561">
        <v>10140</v>
      </c>
      <c r="MA342" s="561">
        <v>0</v>
      </c>
      <c r="MB342" s="561">
        <v>0</v>
      </c>
      <c r="MC342" s="561">
        <v>0</v>
      </c>
      <c r="MD342" s="561">
        <v>0</v>
      </c>
      <c r="ME342" s="561">
        <v>0</v>
      </c>
      <c r="MF342" s="561">
        <v>0</v>
      </c>
      <c r="MG342" s="561">
        <v>0</v>
      </c>
      <c r="MH342" s="561">
        <v>4641</v>
      </c>
      <c r="MI342" s="561">
        <v>6249</v>
      </c>
      <c r="MJ342" s="561">
        <v>10890</v>
      </c>
      <c r="MK342" s="561">
        <v>0</v>
      </c>
      <c r="ML342" s="561">
        <v>0</v>
      </c>
      <c r="MM342" s="561">
        <v>11996</v>
      </c>
      <c r="MN342" s="561">
        <v>0</v>
      </c>
      <c r="MO342" s="561">
        <v>5214</v>
      </c>
      <c r="MP342" s="561">
        <v>0</v>
      </c>
      <c r="MQ342" s="561">
        <v>0</v>
      </c>
      <c r="MR342" s="561">
        <v>-1804</v>
      </c>
      <c r="MS342" s="561">
        <v>0</v>
      </c>
      <c r="MT342" s="561">
        <v>0</v>
      </c>
      <c r="MU342" s="561">
        <v>83</v>
      </c>
      <c r="MV342" s="561">
        <v>7143</v>
      </c>
      <c r="MW342" s="561">
        <v>4750</v>
      </c>
      <c r="MX342" s="561">
        <v>9750</v>
      </c>
      <c r="MY342" s="561">
        <v>5979</v>
      </c>
      <c r="MZ342" s="561">
        <v>0</v>
      </c>
      <c r="NA342" s="561">
        <v>0</v>
      </c>
      <c r="NB342" s="561">
        <v>3525</v>
      </c>
      <c r="NC342" s="561">
        <v>0</v>
      </c>
      <c r="ND342" s="561">
        <v>29426</v>
      </c>
      <c r="NE342" s="561">
        <v>0</v>
      </c>
      <c r="NF342" s="561">
        <v>0</v>
      </c>
      <c r="NG342" s="561">
        <v>0</v>
      </c>
      <c r="NH342" s="561">
        <v>0</v>
      </c>
      <c r="NI342" s="561">
        <v>0</v>
      </c>
      <c r="NJ342" s="561">
        <v>0</v>
      </c>
      <c r="NK342" s="561">
        <v>0</v>
      </c>
      <c r="NL342" s="561">
        <v>0</v>
      </c>
      <c r="NM342" s="561">
        <v>0</v>
      </c>
      <c r="NN342" s="561">
        <v>0</v>
      </c>
      <c r="NO342" s="561">
        <v>0</v>
      </c>
      <c r="NP342" s="561">
        <v>0</v>
      </c>
      <c r="NQ342" s="561">
        <v>0</v>
      </c>
      <c r="NR342" s="561">
        <v>0</v>
      </c>
      <c r="NS342" s="561">
        <v>-1284</v>
      </c>
      <c r="NT342" s="561">
        <v>-20</v>
      </c>
      <c r="NU342" s="561">
        <v>0</v>
      </c>
      <c r="NV342" s="561">
        <v>-39</v>
      </c>
      <c r="NW342" s="561">
        <v>-1343</v>
      </c>
      <c r="NX342" s="561">
        <v>0</v>
      </c>
      <c r="NY342" s="561">
        <v>-1343</v>
      </c>
      <c r="NZ342" s="561">
        <v>0</v>
      </c>
      <c r="OA342" s="561">
        <v>0</v>
      </c>
      <c r="OB342" s="561">
        <v>0</v>
      </c>
      <c r="OC342" s="561">
        <v>0</v>
      </c>
      <c r="OD342" s="561">
        <v>0</v>
      </c>
      <c r="OE342" s="561">
        <v>0</v>
      </c>
      <c r="OF342" s="561">
        <v>0</v>
      </c>
      <c r="OG342" s="561">
        <v>0</v>
      </c>
      <c r="OH342" s="561">
        <v>0</v>
      </c>
      <c r="OI342" s="561">
        <v>0</v>
      </c>
      <c r="OJ342" s="561">
        <v>0</v>
      </c>
      <c r="OK342" s="561">
        <v>0</v>
      </c>
      <c r="OL342" s="561">
        <v>0</v>
      </c>
      <c r="OM342" s="561">
        <v>0</v>
      </c>
      <c r="ON342" s="561">
        <v>0</v>
      </c>
      <c r="OO342" s="561">
        <v>0</v>
      </c>
      <c r="OP342" s="561">
        <v>0</v>
      </c>
      <c r="OQ342" s="561">
        <v>0</v>
      </c>
      <c r="OR342" s="561">
        <v>0</v>
      </c>
      <c r="OS342" s="561">
        <v>0</v>
      </c>
      <c r="OT342" s="561">
        <v>0</v>
      </c>
      <c r="OU342" s="561">
        <v>0</v>
      </c>
      <c r="OV342" s="561">
        <v>1839</v>
      </c>
      <c r="OW342" s="561">
        <v>0</v>
      </c>
      <c r="OX342" s="561">
        <v>0</v>
      </c>
      <c r="OY342" s="561">
        <v>0</v>
      </c>
      <c r="OZ342" s="561">
        <v>0</v>
      </c>
      <c r="PA342" s="561">
        <v>0</v>
      </c>
      <c r="PB342" s="561">
        <v>0</v>
      </c>
      <c r="PC342" s="561">
        <v>0</v>
      </c>
      <c r="PD342" s="561">
        <v>0</v>
      </c>
      <c r="PE342" s="561">
        <v>0</v>
      </c>
      <c r="PF342" s="561">
        <v>0</v>
      </c>
      <c r="PG342" s="561">
        <v>0</v>
      </c>
      <c r="PH342" s="561">
        <v>0</v>
      </c>
      <c r="PI342" s="561">
        <v>0</v>
      </c>
      <c r="PJ342" s="561">
        <v>0</v>
      </c>
    </row>
    <row r="343" spans="1:426" ht="14" x14ac:dyDescent="0.3">
      <c r="A343" t="s">
        <v>3472</v>
      </c>
      <c r="B343" t="s">
        <v>3473</v>
      </c>
      <c r="C343" t="s">
        <v>4671</v>
      </c>
      <c r="E343" t="s">
        <v>385</v>
      </c>
      <c r="F343" s="561">
        <v>26107</v>
      </c>
      <c r="G343" s="561">
        <v>33443</v>
      </c>
      <c r="H343" s="561">
        <v>7151</v>
      </c>
      <c r="I343" s="561">
        <v>27647</v>
      </c>
      <c r="J343" s="561">
        <v>3626</v>
      </c>
      <c r="K343" s="561">
        <v>16567</v>
      </c>
      <c r="L343" s="561">
        <v>114541</v>
      </c>
      <c r="M343" s="561">
        <v>0</v>
      </c>
      <c r="N343" s="561">
        <v>-2093</v>
      </c>
      <c r="O343" s="561">
        <v>0</v>
      </c>
      <c r="P343" s="561">
        <v>0</v>
      </c>
      <c r="Q343" s="561">
        <v>0</v>
      </c>
      <c r="R343" s="561">
        <v>113</v>
      </c>
      <c r="S343" s="561">
        <v>342</v>
      </c>
      <c r="T343" s="561">
        <v>2455</v>
      </c>
      <c r="U343" s="561">
        <v>0</v>
      </c>
      <c r="V343" s="561">
        <v>1249</v>
      </c>
      <c r="W343" s="561">
        <v>0</v>
      </c>
      <c r="X343" s="561">
        <v>-427</v>
      </c>
      <c r="Y343" s="561">
        <v>0</v>
      </c>
      <c r="Z343" s="561">
        <v>0</v>
      </c>
      <c r="AA343" s="561">
        <v>-1249</v>
      </c>
      <c r="AB343" s="561">
        <v>-578</v>
      </c>
      <c r="AC343" s="561">
        <v>2789</v>
      </c>
      <c r="AD343" s="561">
        <v>0</v>
      </c>
      <c r="AE343" s="561">
        <v>0</v>
      </c>
      <c r="AF343" s="561">
        <v>0</v>
      </c>
      <c r="AG343" s="561">
        <v>0</v>
      </c>
      <c r="AH343" s="561">
        <v>233</v>
      </c>
      <c r="AI343" s="561">
        <v>0</v>
      </c>
      <c r="AJ343" s="561">
        <v>2834</v>
      </c>
      <c r="AK343" s="561">
        <v>0</v>
      </c>
      <c r="AL343" s="561">
        <v>0</v>
      </c>
      <c r="AM343" s="561">
        <v>0</v>
      </c>
      <c r="AN343" s="561">
        <v>0</v>
      </c>
      <c r="AO343" s="561">
        <v>0</v>
      </c>
      <c r="AP343" s="561">
        <v>0</v>
      </c>
      <c r="AQ343" s="561">
        <v>0</v>
      </c>
      <c r="AR343" s="561">
        <v>0</v>
      </c>
      <c r="AS343" s="561">
        <v>864</v>
      </c>
      <c r="AT343" s="561">
        <v>385</v>
      </c>
      <c r="AU343" s="561">
        <v>0</v>
      </c>
      <c r="AV343" s="561">
        <v>0</v>
      </c>
      <c r="AW343" s="561">
        <v>0</v>
      </c>
      <c r="AX343" s="561">
        <v>3934</v>
      </c>
      <c r="AY343" s="561">
        <v>40606</v>
      </c>
      <c r="AZ343" s="561">
        <v>4516</v>
      </c>
      <c r="BA343" s="561">
        <v>1763</v>
      </c>
      <c r="BB343" s="561">
        <v>857</v>
      </c>
      <c r="BC343" s="561">
        <v>15769</v>
      </c>
      <c r="BD343" s="561">
        <v>1221</v>
      </c>
      <c r="BE343" s="561">
        <v>616</v>
      </c>
      <c r="BF343" s="561">
        <v>69282</v>
      </c>
      <c r="BG343" s="561">
        <v>0</v>
      </c>
      <c r="BH343" s="561">
        <v>8359</v>
      </c>
      <c r="BI343" s="561">
        <v>17979</v>
      </c>
      <c r="BJ343" s="561">
        <v>61</v>
      </c>
      <c r="BK343" s="561">
        <v>105</v>
      </c>
      <c r="BL343" s="561">
        <v>568</v>
      </c>
      <c r="BM343" s="561">
        <v>2313</v>
      </c>
      <c r="BN343" s="561">
        <v>38524</v>
      </c>
      <c r="BO343" s="561">
        <v>2880</v>
      </c>
      <c r="BP343" s="561">
        <v>4484</v>
      </c>
      <c r="BQ343" s="561">
        <v>3333</v>
      </c>
      <c r="BR343" s="561">
        <v>0</v>
      </c>
      <c r="BS343" s="561">
        <v>0</v>
      </c>
      <c r="BT343" s="561">
        <v>255</v>
      </c>
      <c r="BU343" s="561">
        <v>441</v>
      </c>
      <c r="BV343" s="561">
        <v>904</v>
      </c>
      <c r="BW343" s="561">
        <v>15444</v>
      </c>
      <c r="BX343" s="561">
        <v>1301</v>
      </c>
      <c r="BY343" s="561">
        <v>2474</v>
      </c>
      <c r="BZ343" s="561">
        <v>99425</v>
      </c>
      <c r="CA343" s="561">
        <v>0</v>
      </c>
      <c r="CB343" s="561">
        <v>1974</v>
      </c>
      <c r="CC343" s="561">
        <v>325</v>
      </c>
      <c r="CD343" s="561">
        <v>354</v>
      </c>
      <c r="CE343" s="561">
        <v>257</v>
      </c>
      <c r="CF343" s="561">
        <v>650</v>
      </c>
      <c r="CG343" s="561">
        <v>47</v>
      </c>
      <c r="CH343" s="561">
        <v>1172</v>
      </c>
      <c r="CI343" s="561">
        <v>132</v>
      </c>
      <c r="CJ343" s="561">
        <v>106</v>
      </c>
      <c r="CK343" s="561">
        <v>18</v>
      </c>
      <c r="CL343" s="561">
        <v>103</v>
      </c>
      <c r="CM343" s="561">
        <v>1567</v>
      </c>
      <c r="CN343" s="561">
        <v>202</v>
      </c>
      <c r="CO343" s="561">
        <v>95</v>
      </c>
      <c r="CP343" s="561">
        <v>89</v>
      </c>
      <c r="CQ343" s="561">
        <v>61</v>
      </c>
      <c r="CR343" s="561">
        <v>298</v>
      </c>
      <c r="CS343" s="561">
        <v>154</v>
      </c>
      <c r="CT343" s="561">
        <v>1099</v>
      </c>
      <c r="CU343" s="561">
        <v>1666</v>
      </c>
      <c r="CV343" s="561">
        <v>782</v>
      </c>
      <c r="CW343" s="561">
        <v>45</v>
      </c>
      <c r="CX343" s="561">
        <v>120</v>
      </c>
      <c r="CY343" s="561">
        <v>2278</v>
      </c>
      <c r="CZ343" s="561">
        <v>13594</v>
      </c>
      <c r="DA343" s="561">
        <v>0</v>
      </c>
      <c r="DB343" s="561">
        <v>0</v>
      </c>
      <c r="DC343" s="561">
        <v>0</v>
      </c>
      <c r="DD343" s="561">
        <v>0</v>
      </c>
      <c r="DE343" s="561">
        <v>0</v>
      </c>
      <c r="DF343" s="561">
        <v>0</v>
      </c>
      <c r="DG343" s="561">
        <v>0</v>
      </c>
      <c r="DH343" s="561">
        <v>47</v>
      </c>
      <c r="DI343" s="561">
        <v>0</v>
      </c>
      <c r="DJ343" s="561">
        <v>0</v>
      </c>
      <c r="DK343" s="561">
        <v>0</v>
      </c>
      <c r="DL343" s="561">
        <v>0</v>
      </c>
      <c r="DM343" s="561">
        <v>-1841</v>
      </c>
      <c r="DN343" s="561">
        <v>0</v>
      </c>
      <c r="DO343" s="561">
        <v>375</v>
      </c>
      <c r="DP343" s="561">
        <v>0</v>
      </c>
      <c r="DQ343" s="561">
        <v>953</v>
      </c>
      <c r="DR343" s="561">
        <v>0</v>
      </c>
      <c r="DS343" s="561">
        <v>1569</v>
      </c>
      <c r="DT343" s="561">
        <v>252</v>
      </c>
      <c r="DU343" s="561">
        <v>1308</v>
      </c>
      <c r="DV343" s="561">
        <v>292</v>
      </c>
      <c r="DW343" s="561">
        <v>0</v>
      </c>
      <c r="DX343" s="561">
        <v>0</v>
      </c>
      <c r="DY343" s="561">
        <v>-113</v>
      </c>
      <c r="DZ343" s="561">
        <v>436</v>
      </c>
      <c r="EA343" s="561">
        <v>1746</v>
      </c>
      <c r="EB343" s="561">
        <v>0</v>
      </c>
      <c r="EC343" s="561">
        <v>3716</v>
      </c>
      <c r="ED343" s="561">
        <v>0</v>
      </c>
      <c r="EE343" s="561">
        <v>55011.79</v>
      </c>
      <c r="EF343" s="561">
        <v>369.87</v>
      </c>
      <c r="EG343" s="561">
        <v>8406.86</v>
      </c>
      <c r="EH343" s="561">
        <v>3133.84</v>
      </c>
      <c r="EI343" s="561">
        <v>0</v>
      </c>
      <c r="EJ343" s="561">
        <v>490</v>
      </c>
      <c r="EK343" s="561">
        <v>0</v>
      </c>
      <c r="EL343" s="561">
        <v>9851.33</v>
      </c>
      <c r="EM343" s="561">
        <v>0</v>
      </c>
      <c r="EN343" s="561">
        <v>19314.41</v>
      </c>
      <c r="EO343" s="561">
        <v>10082.450000000001</v>
      </c>
      <c r="EP343" s="561">
        <v>8465.99</v>
      </c>
      <c r="EQ343" s="561">
        <v>2745.76</v>
      </c>
      <c r="ER343" s="561">
        <v>2869.7</v>
      </c>
      <c r="ES343" s="561" t="s">
        <v>4565</v>
      </c>
      <c r="ET343" s="561">
        <v>9851.33</v>
      </c>
      <c r="EU343" s="561">
        <v>18934.86</v>
      </c>
      <c r="EV343" s="561">
        <v>80</v>
      </c>
      <c r="EW343" s="561">
        <v>0</v>
      </c>
      <c r="EX343" s="561">
        <v>9851.33</v>
      </c>
      <c r="EY343" s="561">
        <v>177.97</v>
      </c>
      <c r="EZ343" s="561">
        <v>-5110.1099999999997</v>
      </c>
      <c r="FA343" s="561">
        <v>10635</v>
      </c>
      <c r="FB343" s="561">
        <v>0</v>
      </c>
      <c r="FC343" s="561">
        <v>0</v>
      </c>
      <c r="FD343" s="561">
        <v>330</v>
      </c>
      <c r="FE343" s="561">
        <v>873</v>
      </c>
      <c r="FF343" s="561">
        <v>0</v>
      </c>
      <c r="FG343" s="561">
        <v>10</v>
      </c>
      <c r="FH343" s="561">
        <v>0</v>
      </c>
      <c r="FI343" s="561">
        <v>0</v>
      </c>
      <c r="FJ343" s="561">
        <v>0</v>
      </c>
      <c r="FK343" s="561">
        <v>-3160</v>
      </c>
      <c r="FL343" s="561">
        <v>0</v>
      </c>
      <c r="FM343" s="561">
        <v>574</v>
      </c>
      <c r="FN343" s="561">
        <v>2295</v>
      </c>
      <c r="FO343" s="561">
        <v>922</v>
      </c>
      <c r="FP343" s="561">
        <v>0</v>
      </c>
      <c r="FQ343" s="561">
        <v>-728</v>
      </c>
      <c r="FR343" s="561">
        <v>159</v>
      </c>
      <c r="FS343" s="561">
        <v>0</v>
      </c>
      <c r="FT343" s="561">
        <v>438</v>
      </c>
      <c r="FU343" s="561">
        <v>309</v>
      </c>
      <c r="FV343" s="561">
        <v>-56</v>
      </c>
      <c r="FW343" s="561">
        <v>0</v>
      </c>
      <c r="FX343" s="561">
        <v>0</v>
      </c>
      <c r="FY343" s="561">
        <v>0</v>
      </c>
      <c r="FZ343" s="561">
        <v>7</v>
      </c>
      <c r="GA343" s="561">
        <v>24</v>
      </c>
      <c r="GB343" s="561">
        <v>0</v>
      </c>
      <c r="GC343" s="561">
        <v>-206</v>
      </c>
      <c r="GD343" s="561">
        <v>-2</v>
      </c>
      <c r="GE343" s="561">
        <v>0</v>
      </c>
      <c r="GF343" s="561">
        <v>0</v>
      </c>
      <c r="GG343" s="561">
        <v>0</v>
      </c>
      <c r="GH343" s="561">
        <v>110</v>
      </c>
      <c r="GI343" s="561">
        <v>0</v>
      </c>
      <c r="GJ343" s="561">
        <v>0</v>
      </c>
      <c r="GK343" s="561">
        <v>-10</v>
      </c>
      <c r="GL343" s="561">
        <v>659</v>
      </c>
      <c r="GM343" s="561">
        <v>3718</v>
      </c>
      <c r="GN343" s="561">
        <v>10052</v>
      </c>
      <c r="GO343" s="561">
        <v>0</v>
      </c>
      <c r="GP343" s="561">
        <v>4446</v>
      </c>
      <c r="GQ343" s="561">
        <v>-22</v>
      </c>
      <c r="GR343" s="561">
        <v>38</v>
      </c>
      <c r="GS343" s="561">
        <v>18936</v>
      </c>
      <c r="GT343" s="561">
        <v>0</v>
      </c>
      <c r="GU343" s="561">
        <v>80</v>
      </c>
      <c r="GV343" s="561">
        <v>0</v>
      </c>
      <c r="GW343" s="561">
        <v>0</v>
      </c>
      <c r="GX343" s="561">
        <v>922</v>
      </c>
      <c r="GY343" s="561">
        <v>0</v>
      </c>
      <c r="GZ343" s="561">
        <v>428</v>
      </c>
      <c r="HA343" s="561">
        <v>0</v>
      </c>
      <c r="HB343" s="561">
        <v>0</v>
      </c>
      <c r="HC343" s="561">
        <v>0</v>
      </c>
      <c r="HD343" s="561">
        <v>1430</v>
      </c>
      <c r="HE343" s="561">
        <v>0</v>
      </c>
      <c r="HF343" s="561">
        <v>21288</v>
      </c>
      <c r="HG343" s="561">
        <v>0</v>
      </c>
      <c r="HH343" s="561">
        <v>0</v>
      </c>
      <c r="HI343" s="561">
        <v>0</v>
      </c>
      <c r="HJ343" s="561">
        <v>0</v>
      </c>
      <c r="HK343" s="561">
        <v>0</v>
      </c>
      <c r="HL343" s="561">
        <v>0</v>
      </c>
      <c r="HM343" s="561">
        <v>0</v>
      </c>
      <c r="HN343" s="561">
        <v>0</v>
      </c>
      <c r="HO343" s="561">
        <v>4164</v>
      </c>
      <c r="HP343" s="561">
        <v>157</v>
      </c>
      <c r="HQ343" s="561">
        <v>0</v>
      </c>
      <c r="HR343" s="561">
        <v>0</v>
      </c>
      <c r="HS343" s="561">
        <v>1106</v>
      </c>
      <c r="HT343" s="561">
        <v>-103</v>
      </c>
      <c r="HU343" s="561">
        <v>0</v>
      </c>
      <c r="HV343" s="561">
        <v>-255</v>
      </c>
      <c r="HW343" s="561">
        <v>370</v>
      </c>
      <c r="HX343" s="561">
        <v>177</v>
      </c>
      <c r="HY343" s="561">
        <v>240</v>
      </c>
      <c r="HZ343" s="561">
        <v>-113</v>
      </c>
      <c r="IA343" s="561">
        <v>2878</v>
      </c>
      <c r="IB343" s="561">
        <v>0</v>
      </c>
      <c r="IC343" s="561">
        <v>611</v>
      </c>
      <c r="ID343" s="561">
        <v>0</v>
      </c>
      <c r="IE343" s="561">
        <v>765</v>
      </c>
      <c r="IF343" s="561">
        <v>0</v>
      </c>
      <c r="IG343" s="561">
        <v>0</v>
      </c>
      <c r="IH343" s="561">
        <v>50</v>
      </c>
      <c r="II343" s="561">
        <v>10047</v>
      </c>
      <c r="IJ343" s="561">
        <v>0</v>
      </c>
      <c r="IK343" s="561">
        <v>0</v>
      </c>
      <c r="IL343" s="561">
        <v>18376</v>
      </c>
      <c r="IM343" s="561">
        <v>0</v>
      </c>
      <c r="IN343" s="561">
        <v>5680</v>
      </c>
      <c r="IO343" s="561">
        <v>370</v>
      </c>
      <c r="IP343" s="561">
        <v>0</v>
      </c>
      <c r="IQ343" s="561">
        <v>0</v>
      </c>
      <c r="IR343" s="561">
        <v>114541</v>
      </c>
      <c r="IS343" s="561">
        <v>2834</v>
      </c>
      <c r="IT343" s="561">
        <v>69282</v>
      </c>
      <c r="IU343" s="561">
        <v>99425</v>
      </c>
      <c r="IV343" s="561">
        <v>13594</v>
      </c>
      <c r="IW343" s="561">
        <v>3716</v>
      </c>
      <c r="IX343" s="561">
        <v>922</v>
      </c>
      <c r="IY343" s="561">
        <v>18936</v>
      </c>
      <c r="IZ343" s="561">
        <v>1430</v>
      </c>
      <c r="JA343" s="561">
        <v>0</v>
      </c>
      <c r="JB343" s="561">
        <v>0</v>
      </c>
      <c r="JC343" s="561">
        <v>10047</v>
      </c>
      <c r="JD343" s="561">
        <v>0</v>
      </c>
      <c r="JE343" s="561">
        <v>334727</v>
      </c>
      <c r="JF343" s="561">
        <v>24222</v>
      </c>
      <c r="JG343" s="561">
        <v>2251</v>
      </c>
      <c r="JH343" s="561">
        <v>17268</v>
      </c>
      <c r="JI343" s="561">
        <v>0</v>
      </c>
      <c r="JJ343" s="561">
        <v>0</v>
      </c>
      <c r="JK343" s="561">
        <v>11637</v>
      </c>
      <c r="JL343" s="561">
        <v>0</v>
      </c>
      <c r="JM343" s="561">
        <v>0</v>
      </c>
      <c r="JN343" s="561">
        <v>0</v>
      </c>
      <c r="JO343" s="561">
        <v>0</v>
      </c>
      <c r="JP343" s="561">
        <v>-9346</v>
      </c>
      <c r="JQ343" s="561">
        <v>813</v>
      </c>
      <c r="JR343" s="561">
        <v>0</v>
      </c>
      <c r="JS343" s="561">
        <v>0</v>
      </c>
      <c r="JT343" s="561">
        <v>0</v>
      </c>
      <c r="JU343" s="561">
        <v>0</v>
      </c>
      <c r="JV343" s="561">
        <v>381572</v>
      </c>
      <c r="JW343" s="561">
        <v>187</v>
      </c>
      <c r="JX343" s="561">
        <v>4330</v>
      </c>
      <c r="JY343" s="561">
        <v>0</v>
      </c>
      <c r="JZ343" s="561">
        <v>-2500</v>
      </c>
      <c r="KA343" s="561">
        <v>0</v>
      </c>
      <c r="KB343" s="561">
        <v>543</v>
      </c>
      <c r="KC343" s="561">
        <v>8695</v>
      </c>
      <c r="KD343" s="561">
        <v>0</v>
      </c>
      <c r="KE343" s="561">
        <v>13001</v>
      </c>
      <c r="KF343" s="561">
        <v>-2870</v>
      </c>
      <c r="KG343" s="561">
        <v>402958</v>
      </c>
      <c r="KH343" s="561">
        <v>-4523</v>
      </c>
      <c r="KI343" s="561">
        <v>0</v>
      </c>
      <c r="KJ343" s="561">
        <v>0</v>
      </c>
      <c r="KK343" s="561">
        <v>0</v>
      </c>
      <c r="KL343" s="561">
        <v>-41857</v>
      </c>
      <c r="KM343" s="561">
        <v>0</v>
      </c>
      <c r="KN343" s="561">
        <v>-4302</v>
      </c>
      <c r="KO343" s="561">
        <v>0</v>
      </c>
      <c r="KP343" s="561">
        <v>0</v>
      </c>
      <c r="KQ343" s="561">
        <v>-6745.6</v>
      </c>
      <c r="KR343" s="561">
        <v>345530.4</v>
      </c>
      <c r="KS343" s="561">
        <v>0</v>
      </c>
      <c r="KT343" s="561">
        <v>-144851</v>
      </c>
      <c r="KU343" s="561">
        <v>200679.4</v>
      </c>
      <c r="KV343" s="561">
        <v>0</v>
      </c>
      <c r="KW343" s="561">
        <v>-742.9</v>
      </c>
      <c r="KX343" s="561">
        <v>0</v>
      </c>
      <c r="KY343" s="561">
        <v>-293.8</v>
      </c>
      <c r="KZ343" s="561">
        <v>1225.5</v>
      </c>
      <c r="LA343" s="561">
        <v>684</v>
      </c>
      <c r="LB343" s="561">
        <v>-5497</v>
      </c>
      <c r="LC343" s="561">
        <v>0</v>
      </c>
      <c r="LD343" s="561">
        <v>-53324</v>
      </c>
      <c r="LE343" s="561">
        <v>1566</v>
      </c>
      <c r="LF343" s="561">
        <v>0</v>
      </c>
      <c r="LG343" s="561">
        <v>144297</v>
      </c>
      <c r="LH343" s="561">
        <v>3685</v>
      </c>
      <c r="LI343" s="561">
        <v>-8400</v>
      </c>
      <c r="LJ343" s="561">
        <v>0</v>
      </c>
      <c r="LK343" s="561">
        <v>3765</v>
      </c>
      <c r="LL343" s="561">
        <v>39498.6</v>
      </c>
      <c r="LM343" s="561">
        <v>8335</v>
      </c>
      <c r="LN343" s="561">
        <v>2942.1</v>
      </c>
      <c r="LO343" s="561">
        <v>-15145.6</v>
      </c>
      <c r="LP343" s="561">
        <v>0</v>
      </c>
      <c r="LQ343" s="561">
        <v>3471.2</v>
      </c>
      <c r="LR343" s="561">
        <v>40724.1</v>
      </c>
      <c r="LS343" s="561">
        <v>9019</v>
      </c>
      <c r="LT343" s="561">
        <v>0</v>
      </c>
      <c r="LU343" s="561">
        <v>26739</v>
      </c>
      <c r="LV343" s="561">
        <v>0</v>
      </c>
      <c r="LW343" s="561">
        <v>2855</v>
      </c>
      <c r="LX343" s="561">
        <v>0</v>
      </c>
      <c r="LY343" s="561">
        <v>5809</v>
      </c>
      <c r="LZ343" s="561">
        <v>35403</v>
      </c>
      <c r="MA343" s="561">
        <v>0</v>
      </c>
      <c r="MB343" s="561">
        <v>0</v>
      </c>
      <c r="MC343" s="561">
        <v>77263.69</v>
      </c>
      <c r="MD343" s="561">
        <v>82373.8</v>
      </c>
      <c r="ME343" s="561">
        <v>-5110.1099999999997</v>
      </c>
      <c r="MF343" s="561">
        <v>10635</v>
      </c>
      <c r="MG343" s="561">
        <v>5524.89</v>
      </c>
      <c r="MH343" s="561">
        <v>5114</v>
      </c>
      <c r="MI343" s="561">
        <v>8395</v>
      </c>
      <c r="MJ343" s="561">
        <v>13509</v>
      </c>
      <c r="MK343" s="561">
        <v>213</v>
      </c>
      <c r="ML343" s="561">
        <v>500.6</v>
      </c>
      <c r="MM343" s="561">
        <v>6666.2</v>
      </c>
      <c r="MN343" s="561">
        <v>18949.099999999999</v>
      </c>
      <c r="MO343" s="561">
        <v>14608.2</v>
      </c>
      <c r="MP343" s="561">
        <v>0</v>
      </c>
      <c r="MQ343" s="561">
        <v>114541</v>
      </c>
      <c r="MR343" s="561">
        <v>2834</v>
      </c>
      <c r="MS343" s="561">
        <v>69282</v>
      </c>
      <c r="MT343" s="561">
        <v>99425</v>
      </c>
      <c r="MU343" s="561">
        <v>13594</v>
      </c>
      <c r="MV343" s="561">
        <v>3716</v>
      </c>
      <c r="MW343" s="561">
        <v>922</v>
      </c>
      <c r="MX343" s="561">
        <v>18936</v>
      </c>
      <c r="MY343" s="561">
        <v>1430</v>
      </c>
      <c r="MZ343" s="561">
        <v>0</v>
      </c>
      <c r="NA343" s="561">
        <v>0</v>
      </c>
      <c r="NB343" s="561">
        <v>10047</v>
      </c>
      <c r="NC343" s="561">
        <v>0</v>
      </c>
      <c r="ND343" s="561">
        <v>334727</v>
      </c>
      <c r="NE343" s="561">
        <v>0</v>
      </c>
      <c r="NF343" s="561">
        <v>0</v>
      </c>
      <c r="NG343" s="561">
        <v>0</v>
      </c>
      <c r="NH343" s="561">
        <v>0</v>
      </c>
      <c r="NI343" s="561">
        <v>0</v>
      </c>
      <c r="NJ343" s="561">
        <v>0</v>
      </c>
      <c r="NK343" s="561">
        <v>0</v>
      </c>
      <c r="NL343" s="561">
        <v>0</v>
      </c>
      <c r="NM343" s="561">
        <v>0</v>
      </c>
      <c r="NN343" s="561">
        <v>0</v>
      </c>
      <c r="NO343" s="561">
        <v>0</v>
      </c>
      <c r="NP343" s="561">
        <v>0</v>
      </c>
      <c r="NQ343" s="561">
        <v>0</v>
      </c>
      <c r="NR343" s="561">
        <v>0</v>
      </c>
      <c r="NS343" s="561">
        <v>0</v>
      </c>
      <c r="NT343" s="561">
        <v>-7890</v>
      </c>
      <c r="NU343" s="561">
        <v>0</v>
      </c>
      <c r="NV343" s="561">
        <v>0</v>
      </c>
      <c r="NW343" s="561">
        <v>-9346</v>
      </c>
      <c r="NX343" s="561">
        <v>0</v>
      </c>
      <c r="NY343" s="561">
        <v>-9346</v>
      </c>
      <c r="NZ343" s="561">
        <v>0</v>
      </c>
      <c r="OA343" s="561">
        <v>0</v>
      </c>
      <c r="OB343" s="561">
        <v>0</v>
      </c>
      <c r="OC343" s="561">
        <v>0</v>
      </c>
      <c r="OD343" s="561">
        <v>0</v>
      </c>
      <c r="OE343" s="561">
        <v>0</v>
      </c>
      <c r="OF343" s="561">
        <v>0</v>
      </c>
      <c r="OG343" s="561">
        <v>0</v>
      </c>
      <c r="OH343" s="561">
        <v>0</v>
      </c>
      <c r="OI343" s="561">
        <v>0</v>
      </c>
      <c r="OJ343" s="561">
        <v>0</v>
      </c>
      <c r="OK343" s="561">
        <v>0</v>
      </c>
      <c r="OL343" s="561">
        <v>0</v>
      </c>
      <c r="OM343" s="561">
        <v>0</v>
      </c>
      <c r="ON343" s="561">
        <v>449</v>
      </c>
      <c r="OO343" s="561">
        <v>0</v>
      </c>
      <c r="OP343" s="561">
        <v>58</v>
      </c>
      <c r="OQ343" s="561">
        <v>306</v>
      </c>
      <c r="OR343" s="561">
        <v>0</v>
      </c>
      <c r="OS343" s="561">
        <v>0</v>
      </c>
      <c r="OT343" s="561">
        <v>0</v>
      </c>
      <c r="OU343" s="561">
        <v>0</v>
      </c>
      <c r="OV343" s="561">
        <v>0</v>
      </c>
      <c r="OW343" s="561">
        <v>0</v>
      </c>
      <c r="OX343" s="561">
        <v>813</v>
      </c>
      <c r="OY343" s="561">
        <v>0</v>
      </c>
      <c r="OZ343" s="561">
        <v>0</v>
      </c>
      <c r="PA343" s="561">
        <v>0</v>
      </c>
      <c r="PB343" s="561">
        <v>0</v>
      </c>
      <c r="PC343" s="561">
        <v>0</v>
      </c>
      <c r="PD343" s="561">
        <v>0</v>
      </c>
      <c r="PE343" s="561">
        <v>0</v>
      </c>
      <c r="PF343" s="561">
        <v>0</v>
      </c>
      <c r="PG343" s="561">
        <v>0</v>
      </c>
      <c r="PH343" s="561">
        <v>0</v>
      </c>
      <c r="PI343" s="561">
        <v>0</v>
      </c>
      <c r="PJ343" s="561">
        <v>0</v>
      </c>
    </row>
    <row r="344" spans="1:426" ht="14" x14ac:dyDescent="0.3">
      <c r="A344" t="s">
        <v>3475</v>
      </c>
      <c r="B344" t="s">
        <v>3476</v>
      </c>
      <c r="C344" t="s">
        <v>3477</v>
      </c>
      <c r="E344" t="s">
        <v>379</v>
      </c>
      <c r="F344" s="561">
        <v>20207.57</v>
      </c>
      <c r="G344" s="561">
        <v>73910.710000000006</v>
      </c>
      <c r="H344" s="561">
        <v>57527.01</v>
      </c>
      <c r="I344" s="561">
        <v>34104.28</v>
      </c>
      <c r="J344" s="561">
        <v>5289.9</v>
      </c>
      <c r="K344" s="561">
        <v>16598.88</v>
      </c>
      <c r="L344" s="561">
        <v>207638.35</v>
      </c>
      <c r="M344" s="561">
        <v>1145</v>
      </c>
      <c r="N344" s="561">
        <v>261.17</v>
      </c>
      <c r="O344" s="561">
        <v>39.29</v>
      </c>
      <c r="P344" s="561">
        <v>2233.86</v>
      </c>
      <c r="Q344" s="561">
        <v>3159.52</v>
      </c>
      <c r="R344" s="561">
        <v>78.58</v>
      </c>
      <c r="S344" s="561">
        <v>0</v>
      </c>
      <c r="T344" s="561">
        <v>-241</v>
      </c>
      <c r="U344" s="561">
        <v>708.41</v>
      </c>
      <c r="V344" s="561">
        <v>1958.81</v>
      </c>
      <c r="W344" s="561">
        <v>0</v>
      </c>
      <c r="X344" s="561">
        <v>-45</v>
      </c>
      <c r="Y344" s="561">
        <v>316.64999999999998</v>
      </c>
      <c r="Z344" s="561">
        <v>0</v>
      </c>
      <c r="AA344" s="561">
        <v>-125</v>
      </c>
      <c r="AB344" s="561">
        <v>-908</v>
      </c>
      <c r="AC344" s="561">
        <v>0</v>
      </c>
      <c r="AD344" s="561">
        <v>0</v>
      </c>
      <c r="AE344" s="561">
        <v>0</v>
      </c>
      <c r="AF344" s="561">
        <v>0</v>
      </c>
      <c r="AG344" s="561">
        <v>0</v>
      </c>
      <c r="AH344" s="561">
        <v>0</v>
      </c>
      <c r="AI344" s="561">
        <v>0</v>
      </c>
      <c r="AJ344" s="561">
        <v>7437.29</v>
      </c>
      <c r="AK344" s="561">
        <v>0</v>
      </c>
      <c r="AL344" s="561">
        <v>0</v>
      </c>
      <c r="AM344" s="561">
        <v>0</v>
      </c>
      <c r="AN344" s="561">
        <v>0</v>
      </c>
      <c r="AO344" s="561">
        <v>0</v>
      </c>
      <c r="AP344" s="561">
        <v>0</v>
      </c>
      <c r="AQ344" s="561">
        <v>0</v>
      </c>
      <c r="AR344" s="561">
        <v>0</v>
      </c>
      <c r="AS344" s="561">
        <v>630</v>
      </c>
      <c r="AT344" s="561">
        <v>32</v>
      </c>
      <c r="AU344" s="561">
        <v>0</v>
      </c>
      <c r="AV344" s="561">
        <v>0</v>
      </c>
      <c r="AW344" s="561">
        <v>0</v>
      </c>
      <c r="AX344" s="561">
        <v>1535.31</v>
      </c>
      <c r="AY344" s="561">
        <v>69236.160000000003</v>
      </c>
      <c r="AZ344" s="561">
        <v>479.78</v>
      </c>
      <c r="BA344" s="561">
        <v>9068.2199999999993</v>
      </c>
      <c r="BB344" s="561">
        <v>1650.06</v>
      </c>
      <c r="BC344" s="561">
        <v>25419.919999999998</v>
      </c>
      <c r="BD344" s="561">
        <v>0</v>
      </c>
      <c r="BE344" s="561">
        <v>746.02</v>
      </c>
      <c r="BF344" s="561">
        <v>108135.47</v>
      </c>
      <c r="BG344" s="561">
        <v>13535</v>
      </c>
      <c r="BH344" s="561">
        <v>8574.61</v>
      </c>
      <c r="BI344" s="561">
        <v>16694.490000000002</v>
      </c>
      <c r="BJ344" s="561">
        <v>398.6</v>
      </c>
      <c r="BK344" s="561">
        <v>422.79</v>
      </c>
      <c r="BL344" s="561">
        <v>1066.7</v>
      </c>
      <c r="BM344" s="561">
        <v>5131.3100000000004</v>
      </c>
      <c r="BN344" s="561">
        <v>35640.58</v>
      </c>
      <c r="BO344" s="561">
        <v>6431.72</v>
      </c>
      <c r="BP344" s="561">
        <v>4359.93</v>
      </c>
      <c r="BQ344" s="561">
        <v>3245.27</v>
      </c>
      <c r="BR344" s="561">
        <v>1.87</v>
      </c>
      <c r="BS344" s="561">
        <v>0</v>
      </c>
      <c r="BT344" s="561">
        <v>24.17</v>
      </c>
      <c r="BU344" s="561">
        <v>396.56</v>
      </c>
      <c r="BV344" s="561">
        <v>798.45</v>
      </c>
      <c r="BW344" s="561">
        <v>11427.88</v>
      </c>
      <c r="BX344" s="561">
        <v>351.87</v>
      </c>
      <c r="BY344" s="561">
        <v>3331.06</v>
      </c>
      <c r="BZ344" s="561">
        <v>98297.86</v>
      </c>
      <c r="CA344" s="561">
        <v>1231</v>
      </c>
      <c r="CB344" s="561">
        <v>1562.88</v>
      </c>
      <c r="CC344" s="561">
        <v>160.24</v>
      </c>
      <c r="CD344" s="561">
        <v>94.63</v>
      </c>
      <c r="CE344" s="561">
        <v>192.35</v>
      </c>
      <c r="CF344" s="561">
        <v>89.52</v>
      </c>
      <c r="CG344" s="561">
        <v>35.03</v>
      </c>
      <c r="CH344" s="561">
        <v>22.89</v>
      </c>
      <c r="CI344" s="561">
        <v>125.89</v>
      </c>
      <c r="CJ344" s="561">
        <v>159.41</v>
      </c>
      <c r="CK344" s="561">
        <v>57.7</v>
      </c>
      <c r="CL344" s="561">
        <v>232.21</v>
      </c>
      <c r="CM344" s="561">
        <v>1911.69</v>
      </c>
      <c r="CN344" s="561">
        <v>1194.8</v>
      </c>
      <c r="CO344" s="561">
        <v>971.28</v>
      </c>
      <c r="CP344" s="561">
        <v>513.95000000000005</v>
      </c>
      <c r="CQ344" s="561">
        <v>238.96</v>
      </c>
      <c r="CR344" s="561">
        <v>800.1</v>
      </c>
      <c r="CS344" s="561">
        <v>42.67</v>
      </c>
      <c r="CT344" s="561">
        <v>1322.66</v>
      </c>
      <c r="CU344" s="561">
        <v>4278.8599999999997</v>
      </c>
      <c r="CV344" s="561">
        <v>1171.49</v>
      </c>
      <c r="CW344" s="561">
        <v>48</v>
      </c>
      <c r="CX344" s="561">
        <v>525.97</v>
      </c>
      <c r="CY344" s="561">
        <v>2964.23</v>
      </c>
      <c r="CZ344" s="561">
        <v>18717.41</v>
      </c>
      <c r="DA344" s="561">
        <v>18</v>
      </c>
      <c r="DB344" s="561">
        <v>0</v>
      </c>
      <c r="DC344" s="561">
        <v>0</v>
      </c>
      <c r="DD344" s="561">
        <v>0</v>
      </c>
      <c r="DE344" s="561">
        <v>0</v>
      </c>
      <c r="DF344" s="561">
        <v>0</v>
      </c>
      <c r="DG344" s="561">
        <v>0</v>
      </c>
      <c r="DH344" s="561">
        <v>-19</v>
      </c>
      <c r="DI344" s="561">
        <v>0</v>
      </c>
      <c r="DJ344" s="561">
        <v>0</v>
      </c>
      <c r="DK344" s="561">
        <v>0</v>
      </c>
      <c r="DL344" s="561">
        <v>-790.85</v>
      </c>
      <c r="DM344" s="561">
        <v>0</v>
      </c>
      <c r="DN344" s="561">
        <v>0</v>
      </c>
      <c r="DO344" s="561">
        <v>-1109</v>
      </c>
      <c r="DP344" s="561">
        <v>460.17</v>
      </c>
      <c r="DQ344" s="561">
        <v>0</v>
      </c>
      <c r="DR344" s="561">
        <v>0</v>
      </c>
      <c r="DS344" s="561">
        <v>1701.58</v>
      </c>
      <c r="DT344" s="561">
        <v>800.49</v>
      </c>
      <c r="DU344" s="561">
        <v>1062.3900000000001</v>
      </c>
      <c r="DV344" s="561">
        <v>0</v>
      </c>
      <c r="DW344" s="561">
        <v>0</v>
      </c>
      <c r="DX344" s="561">
        <v>0</v>
      </c>
      <c r="DY344" s="561">
        <v>1695.15</v>
      </c>
      <c r="DZ344" s="561">
        <v>0</v>
      </c>
      <c r="EA344" s="561">
        <v>6201.07</v>
      </c>
      <c r="EB344" s="561">
        <v>0</v>
      </c>
      <c r="EC344" s="561">
        <v>8939.61</v>
      </c>
      <c r="ED344" s="561">
        <v>97</v>
      </c>
      <c r="EE344" s="561">
        <v>0</v>
      </c>
      <c r="EF344" s="561">
        <v>0</v>
      </c>
      <c r="EG344" s="561">
        <v>0</v>
      </c>
      <c r="EH344" s="561">
        <v>0</v>
      </c>
      <c r="EI344" s="561">
        <v>0</v>
      </c>
      <c r="EJ344" s="561">
        <v>0</v>
      </c>
      <c r="EK344" s="561">
        <v>0</v>
      </c>
      <c r="EL344" s="561">
        <v>0</v>
      </c>
      <c r="EM344" s="561">
        <v>0</v>
      </c>
      <c r="EN344" s="561">
        <v>0</v>
      </c>
      <c r="EO344" s="561">
        <v>0</v>
      </c>
      <c r="EP344" s="561">
        <v>0</v>
      </c>
      <c r="EQ344" s="561">
        <v>0</v>
      </c>
      <c r="ER344" s="561">
        <v>0</v>
      </c>
      <c r="ES344" s="561" t="s">
        <v>4565</v>
      </c>
      <c r="ET344" s="561">
        <v>0</v>
      </c>
      <c r="EU344" s="561">
        <v>0</v>
      </c>
      <c r="EV344" s="561">
        <v>0</v>
      </c>
      <c r="EW344" s="561">
        <v>0</v>
      </c>
      <c r="EX344" s="561">
        <v>0</v>
      </c>
      <c r="EY344" s="561">
        <v>0</v>
      </c>
      <c r="EZ344" s="561">
        <v>0</v>
      </c>
      <c r="FA344" s="561">
        <v>0</v>
      </c>
      <c r="FB344" s="561">
        <v>123.32</v>
      </c>
      <c r="FC344" s="561">
        <v>41.1</v>
      </c>
      <c r="FD344" s="561">
        <v>23.98</v>
      </c>
      <c r="FE344" s="561">
        <v>626.88</v>
      </c>
      <c r="FF344" s="561">
        <v>274.05</v>
      </c>
      <c r="FG344" s="561">
        <v>2656.04</v>
      </c>
      <c r="FH344" s="561">
        <v>0</v>
      </c>
      <c r="FI344" s="561">
        <v>0</v>
      </c>
      <c r="FJ344" s="561">
        <v>850.68</v>
      </c>
      <c r="FK344" s="561">
        <v>4273.97</v>
      </c>
      <c r="FL344" s="561">
        <v>0</v>
      </c>
      <c r="FM344" s="561">
        <v>0</v>
      </c>
      <c r="FN344" s="561">
        <v>2177.4299999999998</v>
      </c>
      <c r="FO344" s="561">
        <v>11047.45</v>
      </c>
      <c r="FP344" s="561">
        <v>87</v>
      </c>
      <c r="FQ344" s="561">
        <v>0</v>
      </c>
      <c r="FR344" s="561">
        <v>183.47</v>
      </c>
      <c r="FS344" s="561">
        <v>0</v>
      </c>
      <c r="FT344" s="561">
        <v>337.97</v>
      </c>
      <c r="FU344" s="561">
        <v>858.19</v>
      </c>
      <c r="FV344" s="561">
        <v>736.28</v>
      </c>
      <c r="FW344" s="561">
        <v>232.96</v>
      </c>
      <c r="FX344" s="561">
        <v>0</v>
      </c>
      <c r="FY344" s="561">
        <v>0</v>
      </c>
      <c r="FZ344" s="561">
        <v>-76</v>
      </c>
      <c r="GA344" s="561">
        <v>0</v>
      </c>
      <c r="GB344" s="561">
        <v>120.7</v>
      </c>
      <c r="GC344" s="561">
        <v>-529</v>
      </c>
      <c r="GD344" s="561">
        <v>765.25</v>
      </c>
      <c r="GE344" s="561">
        <v>0</v>
      </c>
      <c r="GF344" s="561">
        <v>420.04</v>
      </c>
      <c r="GG344" s="561">
        <v>0</v>
      </c>
      <c r="GH344" s="561">
        <v>0</v>
      </c>
      <c r="GI344" s="561">
        <v>0</v>
      </c>
      <c r="GJ344" s="561">
        <v>0</v>
      </c>
      <c r="GK344" s="561">
        <v>0</v>
      </c>
      <c r="GL344" s="561">
        <v>2806.33</v>
      </c>
      <c r="GM344" s="561">
        <v>1391.69</v>
      </c>
      <c r="GN344" s="561">
        <v>59.15</v>
      </c>
      <c r="GO344" s="561">
        <v>-1127</v>
      </c>
      <c r="GP344" s="561">
        <v>5566.78</v>
      </c>
      <c r="GQ344" s="561">
        <v>0</v>
      </c>
      <c r="GR344" s="561">
        <v>0</v>
      </c>
      <c r="GS344" s="561">
        <v>11746.81</v>
      </c>
      <c r="GT344" s="561">
        <v>565</v>
      </c>
      <c r="GU344" s="561">
        <v>187.22</v>
      </c>
      <c r="GV344" s="561">
        <v>546.73</v>
      </c>
      <c r="GW344" s="561">
        <v>0</v>
      </c>
      <c r="GX344" s="561">
        <v>515.71</v>
      </c>
      <c r="GY344" s="561">
        <v>21.82</v>
      </c>
      <c r="GZ344" s="561">
        <v>3025.38</v>
      </c>
      <c r="HA344" s="561">
        <v>0</v>
      </c>
      <c r="HB344" s="561">
        <v>0</v>
      </c>
      <c r="HC344" s="561">
        <v>1640.19</v>
      </c>
      <c r="HD344" s="561">
        <v>5937.05</v>
      </c>
      <c r="HE344" s="561">
        <v>328</v>
      </c>
      <c r="HF344" s="561">
        <v>28731.31</v>
      </c>
      <c r="HG344" s="561">
        <v>980</v>
      </c>
      <c r="HH344" s="561">
        <v>0</v>
      </c>
      <c r="HI344" s="561">
        <v>0</v>
      </c>
      <c r="HJ344" s="561">
        <v>0</v>
      </c>
      <c r="HK344" s="561">
        <v>0</v>
      </c>
      <c r="HL344" s="561">
        <v>0</v>
      </c>
      <c r="HM344" s="561">
        <v>0</v>
      </c>
      <c r="HN344" s="561">
        <v>0</v>
      </c>
      <c r="HO344" s="561">
        <v>2454.88</v>
      </c>
      <c r="HP344" s="561">
        <v>1713.37</v>
      </c>
      <c r="HQ344" s="561">
        <v>0</v>
      </c>
      <c r="HR344" s="561">
        <v>0</v>
      </c>
      <c r="HS344" s="561">
        <v>512.22</v>
      </c>
      <c r="HT344" s="561">
        <v>146.19999999999999</v>
      </c>
      <c r="HU344" s="561">
        <v>0</v>
      </c>
      <c r="HV344" s="561">
        <v>5</v>
      </c>
      <c r="HW344" s="561">
        <v>266.10000000000002</v>
      </c>
      <c r="HX344" s="561">
        <v>640.54</v>
      </c>
      <c r="HY344" s="561">
        <v>222</v>
      </c>
      <c r="HZ344" s="561">
        <v>-138</v>
      </c>
      <c r="IA344" s="561">
        <v>0</v>
      </c>
      <c r="IB344" s="561">
        <v>7</v>
      </c>
      <c r="IC344" s="561">
        <v>889.81</v>
      </c>
      <c r="ID344" s="561">
        <v>0</v>
      </c>
      <c r="IE344" s="561">
        <v>1366.27</v>
      </c>
      <c r="IF344" s="561">
        <v>0</v>
      </c>
      <c r="IG344" s="561">
        <v>0</v>
      </c>
      <c r="IH344" s="561">
        <v>0</v>
      </c>
      <c r="II344" s="561">
        <v>8085.39</v>
      </c>
      <c r="IJ344" s="561">
        <v>0</v>
      </c>
      <c r="IK344" s="561">
        <v>0</v>
      </c>
      <c r="IL344" s="561">
        <v>0</v>
      </c>
      <c r="IM344" s="561">
        <v>0</v>
      </c>
      <c r="IN344" s="561">
        <v>0</v>
      </c>
      <c r="IO344" s="561">
        <v>0</v>
      </c>
      <c r="IP344" s="561">
        <v>0</v>
      </c>
      <c r="IQ344" s="561">
        <v>0</v>
      </c>
      <c r="IR344" s="561">
        <v>207638.35</v>
      </c>
      <c r="IS344" s="561">
        <v>7437.29</v>
      </c>
      <c r="IT344" s="561">
        <v>108135.47</v>
      </c>
      <c r="IU344" s="561">
        <v>98297.86</v>
      </c>
      <c r="IV344" s="561">
        <v>18717.41</v>
      </c>
      <c r="IW344" s="561">
        <v>8939.61</v>
      </c>
      <c r="IX344" s="561">
        <v>11047.45</v>
      </c>
      <c r="IY344" s="561">
        <v>11746.81</v>
      </c>
      <c r="IZ344" s="561">
        <v>5937.05</v>
      </c>
      <c r="JA344" s="561">
        <v>0</v>
      </c>
      <c r="JB344" s="561">
        <v>0</v>
      </c>
      <c r="JC344" s="561">
        <v>8085.39</v>
      </c>
      <c r="JD344" s="561">
        <v>0</v>
      </c>
      <c r="JE344" s="561">
        <v>485982.69</v>
      </c>
      <c r="JF344" s="561">
        <v>50951</v>
      </c>
      <c r="JG344" s="561">
        <v>8533</v>
      </c>
      <c r="JH344" s="561">
        <v>0</v>
      </c>
      <c r="JI344" s="561">
        <v>0</v>
      </c>
      <c r="JJ344" s="561">
        <v>0</v>
      </c>
      <c r="JK344" s="561">
        <v>36</v>
      </c>
      <c r="JL344" s="561">
        <v>16480</v>
      </c>
      <c r="JM344" s="561">
        <v>16349</v>
      </c>
      <c r="JN344" s="561">
        <v>0</v>
      </c>
      <c r="JO344" s="561">
        <v>466</v>
      </c>
      <c r="JP344" s="561">
        <v>-820</v>
      </c>
      <c r="JQ344" s="561">
        <v>0</v>
      </c>
      <c r="JR344" s="561">
        <v>0</v>
      </c>
      <c r="JS344" s="561">
        <v>0</v>
      </c>
      <c r="JT344" s="561">
        <v>0</v>
      </c>
      <c r="JU344" s="561">
        <v>0</v>
      </c>
      <c r="JV344" s="561">
        <v>577977.68999999994</v>
      </c>
      <c r="JW344" s="561">
        <v>129</v>
      </c>
      <c r="JX344" s="561">
        <v>1668</v>
      </c>
      <c r="JY344" s="561">
        <v>0</v>
      </c>
      <c r="JZ344" s="561">
        <v>0</v>
      </c>
      <c r="KA344" s="561">
        <v>0</v>
      </c>
      <c r="KB344" s="561">
        <v>371</v>
      </c>
      <c r="KC344" s="561">
        <v>10380</v>
      </c>
      <c r="KD344" s="561">
        <v>0</v>
      </c>
      <c r="KE344" s="561">
        <v>5486</v>
      </c>
      <c r="KF344" s="561">
        <v>0</v>
      </c>
      <c r="KG344" s="561">
        <v>596011.68999999994</v>
      </c>
      <c r="KH344" s="561">
        <v>-10947</v>
      </c>
      <c r="KI344" s="561">
        <v>0</v>
      </c>
      <c r="KJ344" s="561">
        <v>0</v>
      </c>
      <c r="KK344" s="561">
        <v>0</v>
      </c>
      <c r="KL344" s="561">
        <v>-52535</v>
      </c>
      <c r="KM344" s="561">
        <v>0</v>
      </c>
      <c r="KN344" s="561">
        <v>0</v>
      </c>
      <c r="KO344" s="561">
        <v>0</v>
      </c>
      <c r="KP344" s="561">
        <v>0</v>
      </c>
      <c r="KQ344" s="561">
        <v>-14163</v>
      </c>
      <c r="KR344" s="561">
        <v>518366.69</v>
      </c>
      <c r="KS344" s="561">
        <v>0</v>
      </c>
      <c r="KT344" s="561">
        <v>-259720.83</v>
      </c>
      <c r="KU344" s="561">
        <v>258645.86</v>
      </c>
      <c r="KV344" s="561">
        <v>0</v>
      </c>
      <c r="KW344" s="561">
        <v>-543</v>
      </c>
      <c r="KX344" s="561">
        <v>0</v>
      </c>
      <c r="KY344" s="561">
        <v>-185</v>
      </c>
      <c r="KZ344" s="561">
        <v>-13949</v>
      </c>
      <c r="LA344" s="561">
        <v>0</v>
      </c>
      <c r="LB344" s="561">
        <v>0</v>
      </c>
      <c r="LC344" s="561">
        <v>0</v>
      </c>
      <c r="LD344" s="561">
        <v>-125577</v>
      </c>
      <c r="LE344" s="561">
        <v>540</v>
      </c>
      <c r="LF344" s="561">
        <v>-1029</v>
      </c>
      <c r="LG344" s="561">
        <v>117903</v>
      </c>
      <c r="LH344" s="561">
        <v>9529</v>
      </c>
      <c r="LI344" s="561">
        <v>-7930</v>
      </c>
      <c r="LJ344" s="561">
        <v>0</v>
      </c>
      <c r="LK344" s="561">
        <v>1442</v>
      </c>
      <c r="LL344" s="561">
        <v>87039</v>
      </c>
      <c r="LM344" s="561">
        <v>27537</v>
      </c>
      <c r="LN344" s="561">
        <v>8986</v>
      </c>
      <c r="LO344" s="561">
        <v>-22093</v>
      </c>
      <c r="LP344" s="561">
        <v>0</v>
      </c>
      <c r="LQ344" s="561">
        <v>1257</v>
      </c>
      <c r="LR344" s="561">
        <v>73090</v>
      </c>
      <c r="LS344" s="561">
        <v>27537</v>
      </c>
      <c r="LT344" s="561">
        <v>0</v>
      </c>
      <c r="LU344" s="561">
        <v>18531</v>
      </c>
      <c r="LV344" s="561">
        <v>0</v>
      </c>
      <c r="LW344" s="561">
        <v>-20906</v>
      </c>
      <c r="LX344" s="561">
        <v>-15534</v>
      </c>
      <c r="LY344" s="561">
        <v>7338</v>
      </c>
      <c r="LZ344" s="561">
        <v>-14623</v>
      </c>
      <c r="MA344" s="561">
        <v>0</v>
      </c>
      <c r="MB344" s="561">
        <v>0</v>
      </c>
      <c r="MC344" s="561">
        <v>0</v>
      </c>
      <c r="MD344" s="561">
        <v>0</v>
      </c>
      <c r="ME344" s="561">
        <v>0</v>
      </c>
      <c r="MF344" s="561">
        <v>0</v>
      </c>
      <c r="MG344" s="561">
        <v>0</v>
      </c>
      <c r="MH344" s="561">
        <v>7972</v>
      </c>
      <c r="MI344" s="561">
        <v>8572</v>
      </c>
      <c r="MJ344" s="561">
        <v>16544</v>
      </c>
      <c r="MK344" s="561">
        <v>0</v>
      </c>
      <c r="ML344" s="561">
        <v>16585</v>
      </c>
      <c r="MM344" s="561">
        <v>14863</v>
      </c>
      <c r="MN344" s="561">
        <v>4347</v>
      </c>
      <c r="MO344" s="561">
        <v>37295</v>
      </c>
      <c r="MP344" s="561">
        <v>0</v>
      </c>
      <c r="MQ344" s="561">
        <v>207638.35</v>
      </c>
      <c r="MR344" s="561">
        <v>7437.29</v>
      </c>
      <c r="MS344" s="561">
        <v>108135.47</v>
      </c>
      <c r="MT344" s="561">
        <v>98297.86</v>
      </c>
      <c r="MU344" s="561">
        <v>18717.41</v>
      </c>
      <c r="MV344" s="561">
        <v>8939.61</v>
      </c>
      <c r="MW344" s="561">
        <v>11047.45</v>
      </c>
      <c r="MX344" s="561">
        <v>11746.81</v>
      </c>
      <c r="MY344" s="561">
        <v>5937.05</v>
      </c>
      <c r="MZ344" s="561">
        <v>0</v>
      </c>
      <c r="NA344" s="561">
        <v>0</v>
      </c>
      <c r="NB344" s="561">
        <v>8085.39</v>
      </c>
      <c r="NC344" s="561">
        <v>0</v>
      </c>
      <c r="ND344" s="561">
        <v>485982.69</v>
      </c>
      <c r="NE344" s="561">
        <v>0</v>
      </c>
      <c r="NF344" s="561">
        <v>0</v>
      </c>
      <c r="NG344" s="561">
        <v>0</v>
      </c>
      <c r="NH344" s="561">
        <v>0</v>
      </c>
      <c r="NI344" s="561">
        <v>0</v>
      </c>
      <c r="NJ344" s="561">
        <v>0</v>
      </c>
      <c r="NK344" s="561">
        <v>0</v>
      </c>
      <c r="NL344" s="561">
        <v>0</v>
      </c>
      <c r="NM344" s="561">
        <v>0</v>
      </c>
      <c r="NN344" s="561">
        <v>0</v>
      </c>
      <c r="NO344" s="561">
        <v>-820</v>
      </c>
      <c r="NP344" s="561">
        <v>0</v>
      </c>
      <c r="NQ344" s="561">
        <v>0</v>
      </c>
      <c r="NR344" s="561">
        <v>0</v>
      </c>
      <c r="NS344" s="561">
        <v>0</v>
      </c>
      <c r="NT344" s="561">
        <v>0</v>
      </c>
      <c r="NU344" s="561">
        <v>0</v>
      </c>
      <c r="NV344" s="561">
        <v>0</v>
      </c>
      <c r="NW344" s="561">
        <v>-820</v>
      </c>
      <c r="NX344" s="561">
        <v>0</v>
      </c>
      <c r="NY344" s="561">
        <v>-820</v>
      </c>
      <c r="NZ344" s="561">
        <v>0</v>
      </c>
      <c r="OA344" s="561">
        <v>0</v>
      </c>
      <c r="OB344" s="561">
        <v>0</v>
      </c>
      <c r="OC344" s="561">
        <v>0</v>
      </c>
      <c r="OD344" s="561">
        <v>0</v>
      </c>
      <c r="OE344" s="561">
        <v>0</v>
      </c>
      <c r="OF344" s="561">
        <v>0</v>
      </c>
      <c r="OG344" s="561">
        <v>0</v>
      </c>
      <c r="OH344" s="561">
        <v>0</v>
      </c>
      <c r="OI344" s="561">
        <v>0</v>
      </c>
      <c r="OJ344" s="561">
        <v>0</v>
      </c>
      <c r="OK344" s="561">
        <v>0</v>
      </c>
      <c r="OL344" s="561">
        <v>0</v>
      </c>
      <c r="OM344" s="561">
        <v>0</v>
      </c>
      <c r="ON344" s="561">
        <v>0</v>
      </c>
      <c r="OO344" s="561">
        <v>0</v>
      </c>
      <c r="OP344" s="561">
        <v>0</v>
      </c>
      <c r="OQ344" s="561">
        <v>0</v>
      </c>
      <c r="OR344" s="561">
        <v>0</v>
      </c>
      <c r="OS344" s="561">
        <v>0</v>
      </c>
      <c r="OT344" s="561">
        <v>0</v>
      </c>
      <c r="OU344" s="561">
        <v>0</v>
      </c>
      <c r="OV344" s="561">
        <v>196</v>
      </c>
      <c r="OW344" s="561">
        <v>0</v>
      </c>
      <c r="OX344" s="561">
        <v>0</v>
      </c>
      <c r="OY344" s="561">
        <v>0</v>
      </c>
      <c r="OZ344" s="561">
        <v>0</v>
      </c>
      <c r="PA344" s="561">
        <v>0</v>
      </c>
      <c r="PB344" s="561">
        <v>0</v>
      </c>
      <c r="PC344" s="561">
        <v>0</v>
      </c>
      <c r="PD344" s="561">
        <v>0</v>
      </c>
      <c r="PE344" s="561">
        <v>0</v>
      </c>
      <c r="PF344" s="561">
        <v>0</v>
      </c>
      <c r="PG344" s="561">
        <v>0</v>
      </c>
      <c r="PH344" s="561">
        <v>0</v>
      </c>
      <c r="PI344" s="561">
        <v>0</v>
      </c>
      <c r="PJ344" s="561">
        <v>0</v>
      </c>
    </row>
    <row r="345" spans="1:426" ht="14" x14ac:dyDescent="0.3">
      <c r="A345" t="s">
        <v>3478</v>
      </c>
      <c r="B345" t="s">
        <v>3479</v>
      </c>
      <c r="C345" t="s">
        <v>3480</v>
      </c>
      <c r="E345" t="s">
        <v>384</v>
      </c>
      <c r="F345" s="561">
        <v>0</v>
      </c>
      <c r="G345" s="561">
        <v>0</v>
      </c>
      <c r="H345" s="561">
        <v>0</v>
      </c>
      <c r="I345" s="561">
        <v>0</v>
      </c>
      <c r="J345" s="561">
        <v>0</v>
      </c>
      <c r="K345" s="561">
        <v>0</v>
      </c>
      <c r="L345" s="561">
        <v>0</v>
      </c>
      <c r="M345" s="561">
        <v>0</v>
      </c>
      <c r="N345" s="561">
        <v>0</v>
      </c>
      <c r="O345" s="561">
        <v>0</v>
      </c>
      <c r="P345" s="561">
        <v>0</v>
      </c>
      <c r="Q345" s="561">
        <v>0</v>
      </c>
      <c r="R345" s="561">
        <v>0</v>
      </c>
      <c r="S345" s="561">
        <v>0</v>
      </c>
      <c r="T345" s="561">
        <v>-29</v>
      </c>
      <c r="U345" s="561">
        <v>0</v>
      </c>
      <c r="V345" s="561">
        <v>90</v>
      </c>
      <c r="W345" s="561">
        <v>0</v>
      </c>
      <c r="X345" s="561">
        <v>0</v>
      </c>
      <c r="Y345" s="561">
        <v>0</v>
      </c>
      <c r="Z345" s="561">
        <v>0</v>
      </c>
      <c r="AA345" s="561">
        <v>49</v>
      </c>
      <c r="AB345" s="561">
        <v>-711</v>
      </c>
      <c r="AC345" s="561">
        <v>0</v>
      </c>
      <c r="AD345" s="561">
        <v>0</v>
      </c>
      <c r="AE345" s="561">
        <v>0</v>
      </c>
      <c r="AF345" s="561">
        <v>0</v>
      </c>
      <c r="AG345" s="561">
        <v>0</v>
      </c>
      <c r="AH345" s="561">
        <v>4</v>
      </c>
      <c r="AI345" s="561">
        <v>0</v>
      </c>
      <c r="AJ345" s="561">
        <v>-597</v>
      </c>
      <c r="AK345" s="561">
        <v>0</v>
      </c>
      <c r="AL345" s="561">
        <v>0</v>
      </c>
      <c r="AM345" s="561">
        <v>0</v>
      </c>
      <c r="AN345" s="561">
        <v>0</v>
      </c>
      <c r="AO345" s="561">
        <v>0</v>
      </c>
      <c r="AP345" s="561">
        <v>0</v>
      </c>
      <c r="AQ345" s="561">
        <v>0</v>
      </c>
      <c r="AR345" s="561">
        <v>0</v>
      </c>
      <c r="AS345" s="561">
        <v>48</v>
      </c>
      <c r="AT345" s="561">
        <v>0</v>
      </c>
      <c r="AU345" s="561">
        <v>0</v>
      </c>
      <c r="AV345" s="561">
        <v>0</v>
      </c>
      <c r="AW345" s="561">
        <v>0</v>
      </c>
      <c r="AX345" s="561">
        <v>0</v>
      </c>
      <c r="AY345" s="561">
        <v>0</v>
      </c>
      <c r="AZ345" s="561">
        <v>0</v>
      </c>
      <c r="BA345" s="561">
        <v>0</v>
      </c>
      <c r="BB345" s="561">
        <v>0</v>
      </c>
      <c r="BC345" s="561">
        <v>0</v>
      </c>
      <c r="BD345" s="561">
        <v>0</v>
      </c>
      <c r="BE345" s="561">
        <v>0</v>
      </c>
      <c r="BF345" s="561">
        <v>0</v>
      </c>
      <c r="BG345" s="561">
        <v>0</v>
      </c>
      <c r="BH345" s="561">
        <v>0</v>
      </c>
      <c r="BI345" s="561">
        <v>0</v>
      </c>
      <c r="BJ345" s="561">
        <v>0</v>
      </c>
      <c r="BK345" s="561">
        <v>0</v>
      </c>
      <c r="BL345" s="561">
        <v>0</v>
      </c>
      <c r="BM345" s="561">
        <v>0</v>
      </c>
      <c r="BN345" s="561">
        <v>0</v>
      </c>
      <c r="BO345" s="561">
        <v>0</v>
      </c>
      <c r="BP345" s="561">
        <v>0</v>
      </c>
      <c r="BQ345" s="561">
        <v>0</v>
      </c>
      <c r="BR345" s="561">
        <v>0</v>
      </c>
      <c r="BS345" s="561">
        <v>0</v>
      </c>
      <c r="BT345" s="561">
        <v>0</v>
      </c>
      <c r="BU345" s="561">
        <v>0</v>
      </c>
      <c r="BV345" s="561">
        <v>0</v>
      </c>
      <c r="BW345" s="561">
        <v>0</v>
      </c>
      <c r="BX345" s="561">
        <v>0</v>
      </c>
      <c r="BY345" s="561">
        <v>0</v>
      </c>
      <c r="BZ345" s="561">
        <v>0</v>
      </c>
      <c r="CA345" s="561">
        <v>0</v>
      </c>
      <c r="CB345" s="561">
        <v>0</v>
      </c>
      <c r="CC345" s="561">
        <v>0</v>
      </c>
      <c r="CD345" s="561">
        <v>0</v>
      </c>
      <c r="CE345" s="561">
        <v>0</v>
      </c>
      <c r="CF345" s="561">
        <v>0</v>
      </c>
      <c r="CG345" s="561">
        <v>0</v>
      </c>
      <c r="CH345" s="561">
        <v>0</v>
      </c>
      <c r="CI345" s="561">
        <v>0</v>
      </c>
      <c r="CJ345" s="561">
        <v>0</v>
      </c>
      <c r="CK345" s="561">
        <v>0</v>
      </c>
      <c r="CL345" s="561">
        <v>0</v>
      </c>
      <c r="CM345" s="561">
        <v>0</v>
      </c>
      <c r="CN345" s="561">
        <v>0</v>
      </c>
      <c r="CO345" s="561">
        <v>0</v>
      </c>
      <c r="CP345" s="561">
        <v>0</v>
      </c>
      <c r="CQ345" s="561">
        <v>0</v>
      </c>
      <c r="CR345" s="561">
        <v>0</v>
      </c>
      <c r="CS345" s="561">
        <v>0</v>
      </c>
      <c r="CT345" s="561">
        <v>0</v>
      </c>
      <c r="CU345" s="561">
        <v>0</v>
      </c>
      <c r="CV345" s="561">
        <v>0</v>
      </c>
      <c r="CW345" s="561">
        <v>0</v>
      </c>
      <c r="CX345" s="561">
        <v>0</v>
      </c>
      <c r="CY345" s="561">
        <v>0</v>
      </c>
      <c r="CZ345" s="561">
        <v>0</v>
      </c>
      <c r="DA345" s="561">
        <v>0</v>
      </c>
      <c r="DB345" s="561">
        <v>0</v>
      </c>
      <c r="DC345" s="561">
        <v>0</v>
      </c>
      <c r="DD345" s="561">
        <v>0</v>
      </c>
      <c r="DE345" s="561">
        <v>0</v>
      </c>
      <c r="DF345" s="561">
        <v>0</v>
      </c>
      <c r="DG345" s="561">
        <v>0</v>
      </c>
      <c r="DH345" s="561">
        <v>945</v>
      </c>
      <c r="DI345" s="561">
        <v>0</v>
      </c>
      <c r="DJ345" s="561">
        <v>22</v>
      </c>
      <c r="DK345" s="561">
        <v>0</v>
      </c>
      <c r="DL345" s="561">
        <v>0</v>
      </c>
      <c r="DM345" s="561">
        <v>0</v>
      </c>
      <c r="DN345" s="561">
        <v>208</v>
      </c>
      <c r="DO345" s="561">
        <v>250</v>
      </c>
      <c r="DP345" s="561">
        <v>0</v>
      </c>
      <c r="DQ345" s="561">
        <v>0</v>
      </c>
      <c r="DR345" s="561">
        <v>0</v>
      </c>
      <c r="DS345" s="561">
        <v>61</v>
      </c>
      <c r="DT345" s="561">
        <v>0</v>
      </c>
      <c r="DU345" s="561">
        <v>519</v>
      </c>
      <c r="DV345" s="561">
        <v>73</v>
      </c>
      <c r="DW345" s="561">
        <v>-98</v>
      </c>
      <c r="DX345" s="561">
        <v>55</v>
      </c>
      <c r="DY345" s="561">
        <v>468</v>
      </c>
      <c r="DZ345" s="561">
        <v>0</v>
      </c>
      <c r="EA345" s="561">
        <v>0</v>
      </c>
      <c r="EB345" s="561">
        <v>0</v>
      </c>
      <c r="EC345" s="561">
        <v>1984</v>
      </c>
      <c r="ED345" s="561">
        <v>0</v>
      </c>
      <c r="EE345" s="561">
        <v>22999</v>
      </c>
      <c r="EF345" s="561">
        <v>326</v>
      </c>
      <c r="EG345" s="561">
        <v>1101</v>
      </c>
      <c r="EH345" s="561">
        <v>1887</v>
      </c>
      <c r="EI345" s="561">
        <v>0</v>
      </c>
      <c r="EJ345" s="561">
        <v>922</v>
      </c>
      <c r="EK345" s="561">
        <v>0</v>
      </c>
      <c r="EL345" s="561">
        <v>0</v>
      </c>
      <c r="EM345" s="561">
        <v>-12</v>
      </c>
      <c r="EN345" s="561">
        <v>7389</v>
      </c>
      <c r="EO345" s="561">
        <v>4523</v>
      </c>
      <c r="EP345" s="561">
        <v>3254</v>
      </c>
      <c r="EQ345" s="561">
        <v>89</v>
      </c>
      <c r="ER345" s="561">
        <v>0</v>
      </c>
      <c r="ES345" s="561" t="s">
        <v>4565</v>
      </c>
      <c r="ET345" s="561">
        <v>3894</v>
      </c>
      <c r="EU345" s="561">
        <v>2175</v>
      </c>
      <c r="EV345" s="561">
        <v>20</v>
      </c>
      <c r="EW345" s="561">
        <v>2934</v>
      </c>
      <c r="EX345" s="561">
        <v>0</v>
      </c>
      <c r="EY345" s="561">
        <v>262</v>
      </c>
      <c r="EZ345" s="561">
        <v>2683</v>
      </c>
      <c r="FA345" s="561">
        <v>9610</v>
      </c>
      <c r="FB345" s="561">
        <v>0</v>
      </c>
      <c r="FC345" s="561">
        <v>-6</v>
      </c>
      <c r="FD345" s="561">
        <v>69</v>
      </c>
      <c r="FE345" s="561">
        <v>796</v>
      </c>
      <c r="FF345" s="561">
        <v>1154</v>
      </c>
      <c r="FG345" s="561">
        <v>-12</v>
      </c>
      <c r="FH345" s="561">
        <v>0</v>
      </c>
      <c r="FI345" s="561">
        <v>0</v>
      </c>
      <c r="FJ345" s="561">
        <v>743</v>
      </c>
      <c r="FK345" s="561">
        <v>1249</v>
      </c>
      <c r="FL345" s="561">
        <v>0</v>
      </c>
      <c r="FM345" s="561">
        <v>164</v>
      </c>
      <c r="FN345" s="561">
        <v>0</v>
      </c>
      <c r="FO345" s="561">
        <v>4157</v>
      </c>
      <c r="FP345" s="561">
        <v>0</v>
      </c>
      <c r="FQ345" s="561">
        <v>139</v>
      </c>
      <c r="FR345" s="561">
        <v>0</v>
      </c>
      <c r="FS345" s="561">
        <v>0</v>
      </c>
      <c r="FT345" s="561">
        <v>119</v>
      </c>
      <c r="FU345" s="561">
        <v>51</v>
      </c>
      <c r="FV345" s="561">
        <v>0</v>
      </c>
      <c r="FW345" s="561">
        <v>0</v>
      </c>
      <c r="FX345" s="561">
        <v>0</v>
      </c>
      <c r="FY345" s="561">
        <v>0</v>
      </c>
      <c r="FZ345" s="561">
        <v>2</v>
      </c>
      <c r="GA345" s="561">
        <v>60</v>
      </c>
      <c r="GB345" s="561">
        <v>232</v>
      </c>
      <c r="GC345" s="561">
        <v>247</v>
      </c>
      <c r="GD345" s="561">
        <v>174</v>
      </c>
      <c r="GE345" s="561">
        <v>508</v>
      </c>
      <c r="GF345" s="561">
        <v>160</v>
      </c>
      <c r="GG345" s="561">
        <v>-54</v>
      </c>
      <c r="GH345" s="561">
        <v>0</v>
      </c>
      <c r="GI345" s="561">
        <v>0</v>
      </c>
      <c r="GJ345" s="561">
        <v>0</v>
      </c>
      <c r="GK345" s="561">
        <v>0</v>
      </c>
      <c r="GL345" s="561">
        <v>1028</v>
      </c>
      <c r="GM345" s="561">
        <v>813</v>
      </c>
      <c r="GN345" s="561">
        <v>0</v>
      </c>
      <c r="GO345" s="561">
        <v>0</v>
      </c>
      <c r="GP345" s="561">
        <v>1220</v>
      </c>
      <c r="GQ345" s="561">
        <v>0</v>
      </c>
      <c r="GR345" s="561">
        <v>0</v>
      </c>
      <c r="GS345" s="561">
        <v>4699</v>
      </c>
      <c r="GT345" s="561">
        <v>0</v>
      </c>
      <c r="GU345" s="561">
        <v>53</v>
      </c>
      <c r="GV345" s="561">
        <v>408</v>
      </c>
      <c r="GW345" s="561">
        <v>13</v>
      </c>
      <c r="GX345" s="561">
        <v>364</v>
      </c>
      <c r="GY345" s="561">
        <v>168</v>
      </c>
      <c r="GZ345" s="561">
        <v>570</v>
      </c>
      <c r="HA345" s="561">
        <v>0</v>
      </c>
      <c r="HB345" s="561">
        <v>1010</v>
      </c>
      <c r="HC345" s="561">
        <v>217</v>
      </c>
      <c r="HD345" s="561">
        <v>2803</v>
      </c>
      <c r="HE345" s="561">
        <v>0</v>
      </c>
      <c r="HF345" s="561">
        <v>11659</v>
      </c>
      <c r="HG345" s="561">
        <v>0</v>
      </c>
      <c r="HH345" s="561">
        <v>0</v>
      </c>
      <c r="HI345" s="561">
        <v>0</v>
      </c>
      <c r="HJ345" s="561">
        <v>0</v>
      </c>
      <c r="HK345" s="561">
        <v>0</v>
      </c>
      <c r="HL345" s="561">
        <v>0</v>
      </c>
      <c r="HM345" s="561">
        <v>0</v>
      </c>
      <c r="HN345" s="561">
        <v>0</v>
      </c>
      <c r="HO345" s="561">
        <v>1833</v>
      </c>
      <c r="HP345" s="561">
        <v>464</v>
      </c>
      <c r="HQ345" s="561">
        <v>0</v>
      </c>
      <c r="HR345" s="561">
        <v>0</v>
      </c>
      <c r="HS345" s="561">
        <v>468</v>
      </c>
      <c r="HT345" s="561">
        <v>133</v>
      </c>
      <c r="HU345" s="561">
        <v>0</v>
      </c>
      <c r="HV345" s="561">
        <v>0</v>
      </c>
      <c r="HW345" s="561">
        <v>38</v>
      </c>
      <c r="HX345" s="561">
        <v>325</v>
      </c>
      <c r="HY345" s="561">
        <v>73</v>
      </c>
      <c r="HZ345" s="561">
        <v>22</v>
      </c>
      <c r="IA345" s="561">
        <v>0</v>
      </c>
      <c r="IB345" s="561">
        <v>0</v>
      </c>
      <c r="IC345" s="561">
        <v>0</v>
      </c>
      <c r="ID345" s="561">
        <v>0</v>
      </c>
      <c r="IE345" s="561">
        <v>300</v>
      </c>
      <c r="IF345" s="561">
        <v>0</v>
      </c>
      <c r="IG345" s="561">
        <v>0</v>
      </c>
      <c r="IH345" s="561">
        <v>-952</v>
      </c>
      <c r="II345" s="561">
        <v>2704</v>
      </c>
      <c r="IJ345" s="561">
        <v>0</v>
      </c>
      <c r="IK345" s="561">
        <v>7123</v>
      </c>
      <c r="IL345" s="561">
        <v>0</v>
      </c>
      <c r="IM345" s="561">
        <v>0</v>
      </c>
      <c r="IN345" s="561">
        <v>0</v>
      </c>
      <c r="IO345" s="561">
        <v>1848</v>
      </c>
      <c r="IP345" s="561">
        <v>0</v>
      </c>
      <c r="IQ345" s="561">
        <v>0</v>
      </c>
      <c r="IR345" s="561">
        <v>0</v>
      </c>
      <c r="IS345" s="561">
        <v>-597</v>
      </c>
      <c r="IT345" s="561">
        <v>0</v>
      </c>
      <c r="IU345" s="561">
        <v>0</v>
      </c>
      <c r="IV345" s="561">
        <v>0</v>
      </c>
      <c r="IW345" s="561">
        <v>1984</v>
      </c>
      <c r="IX345" s="561">
        <v>4157</v>
      </c>
      <c r="IY345" s="561">
        <v>4699</v>
      </c>
      <c r="IZ345" s="561">
        <v>2803</v>
      </c>
      <c r="JA345" s="561">
        <v>0</v>
      </c>
      <c r="JB345" s="561">
        <v>0</v>
      </c>
      <c r="JC345" s="561">
        <v>2704</v>
      </c>
      <c r="JD345" s="561">
        <v>0</v>
      </c>
      <c r="JE345" s="561">
        <v>15750</v>
      </c>
      <c r="JF345" s="561">
        <v>4422</v>
      </c>
      <c r="JG345" s="561">
        <v>51</v>
      </c>
      <c r="JH345" s="561">
        <v>6394</v>
      </c>
      <c r="JI345" s="561">
        <v>0</v>
      </c>
      <c r="JJ345" s="561">
        <v>230</v>
      </c>
      <c r="JK345" s="561">
        <v>0</v>
      </c>
      <c r="JL345" s="561">
        <v>0</v>
      </c>
      <c r="JM345" s="561">
        <v>0</v>
      </c>
      <c r="JN345" s="561">
        <v>0</v>
      </c>
      <c r="JO345" s="561">
        <v>0</v>
      </c>
      <c r="JP345" s="561">
        <v>-786</v>
      </c>
      <c r="JQ345" s="561">
        <v>0</v>
      </c>
      <c r="JR345" s="561">
        <v>-164</v>
      </c>
      <c r="JS345" s="561">
        <v>0</v>
      </c>
      <c r="JT345" s="561">
        <v>0</v>
      </c>
      <c r="JU345" s="561">
        <v>0</v>
      </c>
      <c r="JV345" s="561">
        <v>25897</v>
      </c>
      <c r="JW345" s="561">
        <v>0</v>
      </c>
      <c r="JX345" s="561">
        <v>1051</v>
      </c>
      <c r="JY345" s="561">
        <v>0</v>
      </c>
      <c r="JZ345" s="561">
        <v>0</v>
      </c>
      <c r="KA345" s="561">
        <v>0</v>
      </c>
      <c r="KB345" s="561">
        <v>211</v>
      </c>
      <c r="KC345" s="561">
        <v>597</v>
      </c>
      <c r="KD345" s="561">
        <v>0</v>
      </c>
      <c r="KE345" s="561">
        <v>2554</v>
      </c>
      <c r="KF345" s="561">
        <v>-2013</v>
      </c>
      <c r="KG345" s="561">
        <v>28297</v>
      </c>
      <c r="KH345" s="561">
        <v>-3835</v>
      </c>
      <c r="KI345" s="561">
        <v>0</v>
      </c>
      <c r="KJ345" s="561">
        <v>0</v>
      </c>
      <c r="KK345" s="561">
        <v>0</v>
      </c>
      <c r="KL345" s="561">
        <v>-10849</v>
      </c>
      <c r="KM345" s="561">
        <v>0</v>
      </c>
      <c r="KN345" s="561">
        <v>-3</v>
      </c>
      <c r="KO345" s="561">
        <v>0</v>
      </c>
      <c r="KP345" s="561">
        <v>0</v>
      </c>
      <c r="KQ345" s="561">
        <v>0</v>
      </c>
      <c r="KR345" s="561">
        <v>13610</v>
      </c>
      <c r="KS345" s="561">
        <v>-421</v>
      </c>
      <c r="KT345" s="561">
        <v>-4372</v>
      </c>
      <c r="KU345" s="561">
        <v>8817</v>
      </c>
      <c r="KV345" s="561">
        <v>0</v>
      </c>
      <c r="KW345" s="561">
        <v>0</v>
      </c>
      <c r="KX345" s="561">
        <v>0</v>
      </c>
      <c r="KY345" s="561">
        <v>0</v>
      </c>
      <c r="KZ345" s="561">
        <v>-2296</v>
      </c>
      <c r="LA345" s="561">
        <v>-669</v>
      </c>
      <c r="LB345" s="561">
        <v>-322</v>
      </c>
      <c r="LC345" s="561">
        <v>0</v>
      </c>
      <c r="LD345" s="561">
        <v>-625</v>
      </c>
      <c r="LE345" s="561">
        <v>0</v>
      </c>
      <c r="LF345" s="561">
        <v>-146</v>
      </c>
      <c r="LG345" s="561">
        <v>4759</v>
      </c>
      <c r="LH345" s="561">
        <v>0</v>
      </c>
      <c r="LI345" s="561">
        <v>0</v>
      </c>
      <c r="LJ345" s="561">
        <v>0</v>
      </c>
      <c r="LK345" s="561">
        <v>0</v>
      </c>
      <c r="LL345" s="561">
        <v>20135</v>
      </c>
      <c r="LM345" s="561">
        <v>10733</v>
      </c>
      <c r="LN345" s="561">
        <v>0</v>
      </c>
      <c r="LO345" s="561">
        <v>0</v>
      </c>
      <c r="LP345" s="561">
        <v>0</v>
      </c>
      <c r="LQ345" s="561">
        <v>0</v>
      </c>
      <c r="LR345" s="561">
        <v>17839</v>
      </c>
      <c r="LS345" s="561">
        <v>10064</v>
      </c>
      <c r="LT345" s="561">
        <v>0</v>
      </c>
      <c r="LU345" s="561">
        <v>1346</v>
      </c>
      <c r="LV345" s="561">
        <v>0</v>
      </c>
      <c r="LW345" s="561">
        <v>143</v>
      </c>
      <c r="LX345" s="561">
        <v>-6634</v>
      </c>
      <c r="LY345" s="561">
        <v>495</v>
      </c>
      <c r="LZ345" s="561">
        <v>-4748</v>
      </c>
      <c r="MA345" s="561">
        <v>0</v>
      </c>
      <c r="MB345" s="561">
        <v>0</v>
      </c>
      <c r="MC345" s="561">
        <v>27223</v>
      </c>
      <c r="MD345" s="561">
        <v>24540</v>
      </c>
      <c r="ME345" s="561">
        <v>2683</v>
      </c>
      <c r="MF345" s="561">
        <v>9610</v>
      </c>
      <c r="MG345" s="561">
        <v>12293</v>
      </c>
      <c r="MH345" s="561">
        <v>2252</v>
      </c>
      <c r="MI345" s="561">
        <v>3266</v>
      </c>
      <c r="MJ345" s="561">
        <v>5518</v>
      </c>
      <c r="MK345" s="561">
        <v>0</v>
      </c>
      <c r="ML345" s="561">
        <v>5083</v>
      </c>
      <c r="MM345" s="561">
        <v>10251</v>
      </c>
      <c r="MN345" s="561">
        <v>1120</v>
      </c>
      <c r="MO345" s="561">
        <v>1385</v>
      </c>
      <c r="MP345" s="561">
        <v>0</v>
      </c>
      <c r="MQ345" s="561">
        <v>0</v>
      </c>
      <c r="MR345" s="561">
        <v>-597</v>
      </c>
      <c r="MS345" s="561">
        <v>0</v>
      </c>
      <c r="MT345" s="561">
        <v>0</v>
      </c>
      <c r="MU345" s="561">
        <v>0</v>
      </c>
      <c r="MV345" s="561">
        <v>1984</v>
      </c>
      <c r="MW345" s="561">
        <v>4157</v>
      </c>
      <c r="MX345" s="561">
        <v>4699</v>
      </c>
      <c r="MY345" s="561">
        <v>2803</v>
      </c>
      <c r="MZ345" s="561">
        <v>0</v>
      </c>
      <c r="NA345" s="561">
        <v>0</v>
      </c>
      <c r="NB345" s="561">
        <v>2704</v>
      </c>
      <c r="NC345" s="561">
        <v>0</v>
      </c>
      <c r="ND345" s="561">
        <v>15750</v>
      </c>
      <c r="NE345" s="561">
        <v>0</v>
      </c>
      <c r="NF345" s="561">
        <v>0</v>
      </c>
      <c r="NG345" s="561">
        <v>0</v>
      </c>
      <c r="NH345" s="561">
        <v>0</v>
      </c>
      <c r="NI345" s="561">
        <v>0</v>
      </c>
      <c r="NJ345" s="561">
        <v>0</v>
      </c>
      <c r="NK345" s="561">
        <v>0</v>
      </c>
      <c r="NL345" s="561">
        <v>0</v>
      </c>
      <c r="NM345" s="561">
        <v>0</v>
      </c>
      <c r="NN345" s="561">
        <v>0</v>
      </c>
      <c r="NO345" s="561">
        <v>0</v>
      </c>
      <c r="NP345" s="561">
        <v>0</v>
      </c>
      <c r="NQ345" s="561">
        <v>0</v>
      </c>
      <c r="NR345" s="561">
        <v>0</v>
      </c>
      <c r="NS345" s="561">
        <v>0</v>
      </c>
      <c r="NT345" s="561">
        <v>-950</v>
      </c>
      <c r="NU345" s="561">
        <v>109</v>
      </c>
      <c r="NV345" s="561">
        <v>0</v>
      </c>
      <c r="NW345" s="561">
        <v>-950</v>
      </c>
      <c r="NX345" s="561">
        <v>164</v>
      </c>
      <c r="NY345" s="561">
        <v>-786</v>
      </c>
      <c r="NZ345" s="561">
        <v>0</v>
      </c>
      <c r="OA345" s="561">
        <v>0</v>
      </c>
      <c r="OB345" s="561">
        <v>0</v>
      </c>
      <c r="OC345" s="561">
        <v>0</v>
      </c>
      <c r="OD345" s="561">
        <v>0</v>
      </c>
      <c r="OE345" s="561">
        <v>0</v>
      </c>
      <c r="OF345" s="561">
        <v>0</v>
      </c>
      <c r="OG345" s="561">
        <v>0</v>
      </c>
      <c r="OH345" s="561">
        <v>0</v>
      </c>
      <c r="OI345" s="561">
        <v>0</v>
      </c>
      <c r="OJ345" s="561">
        <v>0</v>
      </c>
      <c r="OK345" s="561">
        <v>0</v>
      </c>
      <c r="OL345" s="561">
        <v>0</v>
      </c>
      <c r="OM345" s="561">
        <v>0</v>
      </c>
      <c r="ON345" s="561">
        <v>0</v>
      </c>
      <c r="OO345" s="561">
        <v>0</v>
      </c>
      <c r="OP345" s="561">
        <v>0</v>
      </c>
      <c r="OQ345" s="561">
        <v>0</v>
      </c>
      <c r="OR345" s="561">
        <v>0</v>
      </c>
      <c r="OS345" s="561">
        <v>0</v>
      </c>
      <c r="OT345" s="561">
        <v>0</v>
      </c>
      <c r="OU345" s="561">
        <v>0</v>
      </c>
      <c r="OV345" s="561">
        <v>0</v>
      </c>
      <c r="OW345" s="561">
        <v>0</v>
      </c>
      <c r="OX345" s="561">
        <v>0</v>
      </c>
      <c r="OY345" s="561">
        <v>0</v>
      </c>
      <c r="OZ345" s="561">
        <v>0</v>
      </c>
      <c r="PA345" s="561">
        <v>164</v>
      </c>
      <c r="PB345" s="561">
        <v>0</v>
      </c>
      <c r="PC345" s="561">
        <v>0</v>
      </c>
      <c r="PD345" s="561">
        <v>164</v>
      </c>
      <c r="PE345" s="561">
        <v>0</v>
      </c>
      <c r="PF345" s="561">
        <v>0</v>
      </c>
      <c r="PG345" s="561">
        <v>0</v>
      </c>
      <c r="PH345" s="561">
        <v>0</v>
      </c>
      <c r="PI345" s="561">
        <v>0</v>
      </c>
      <c r="PJ345" s="561">
        <v>0</v>
      </c>
    </row>
    <row r="346" spans="1:426" ht="14" x14ac:dyDescent="0.3">
      <c r="A346" t="s">
        <v>3481</v>
      </c>
      <c r="B346" t="s">
        <v>3482</v>
      </c>
      <c r="C346" t="s">
        <v>3483</v>
      </c>
      <c r="E346" t="s">
        <v>384</v>
      </c>
      <c r="F346" s="561">
        <v>0</v>
      </c>
      <c r="G346" s="561">
        <v>0</v>
      </c>
      <c r="H346" s="561">
        <v>0</v>
      </c>
      <c r="I346" s="561">
        <v>0</v>
      </c>
      <c r="J346" s="561">
        <v>0</v>
      </c>
      <c r="K346" s="561">
        <v>0</v>
      </c>
      <c r="L346" s="561">
        <v>0</v>
      </c>
      <c r="M346" s="561">
        <v>0</v>
      </c>
      <c r="N346" s="561">
        <v>0</v>
      </c>
      <c r="O346" s="561">
        <v>0</v>
      </c>
      <c r="P346" s="561">
        <v>0</v>
      </c>
      <c r="Q346" s="561">
        <v>0</v>
      </c>
      <c r="R346" s="561">
        <v>0</v>
      </c>
      <c r="S346" s="561">
        <v>0</v>
      </c>
      <c r="T346" s="561">
        <v>0</v>
      </c>
      <c r="U346" s="561">
        <v>0</v>
      </c>
      <c r="V346" s="561">
        <v>0</v>
      </c>
      <c r="W346" s="561">
        <v>0</v>
      </c>
      <c r="X346" s="561">
        <v>0</v>
      </c>
      <c r="Y346" s="561">
        <v>0</v>
      </c>
      <c r="Z346" s="561">
        <v>0</v>
      </c>
      <c r="AA346" s="561">
        <v>0</v>
      </c>
      <c r="AB346" s="561">
        <v>39</v>
      </c>
      <c r="AC346" s="561">
        <v>0</v>
      </c>
      <c r="AD346" s="561">
        <v>0</v>
      </c>
      <c r="AE346" s="561">
        <v>0</v>
      </c>
      <c r="AF346" s="561">
        <v>0</v>
      </c>
      <c r="AG346" s="561">
        <v>36</v>
      </c>
      <c r="AH346" s="561">
        <v>0</v>
      </c>
      <c r="AI346" s="561">
        <v>0</v>
      </c>
      <c r="AJ346" s="561">
        <v>75</v>
      </c>
      <c r="AK346" s="561">
        <v>0</v>
      </c>
      <c r="AL346" s="561">
        <v>0</v>
      </c>
      <c r="AM346" s="561">
        <v>0</v>
      </c>
      <c r="AN346" s="561">
        <v>0</v>
      </c>
      <c r="AO346" s="561">
        <v>0</v>
      </c>
      <c r="AP346" s="561">
        <v>0</v>
      </c>
      <c r="AQ346" s="561">
        <v>0</v>
      </c>
      <c r="AR346" s="561">
        <v>0</v>
      </c>
      <c r="AS346" s="561">
        <v>0</v>
      </c>
      <c r="AT346" s="561">
        <v>0</v>
      </c>
      <c r="AU346" s="561">
        <v>0</v>
      </c>
      <c r="AV346" s="561">
        <v>0</v>
      </c>
      <c r="AW346" s="561">
        <v>0</v>
      </c>
      <c r="AX346" s="561">
        <v>0</v>
      </c>
      <c r="AY346" s="561">
        <v>0</v>
      </c>
      <c r="AZ346" s="561">
        <v>0</v>
      </c>
      <c r="BA346" s="561">
        <v>0</v>
      </c>
      <c r="BB346" s="561">
        <v>0</v>
      </c>
      <c r="BC346" s="561">
        <v>0</v>
      </c>
      <c r="BD346" s="561">
        <v>0</v>
      </c>
      <c r="BE346" s="561">
        <v>0</v>
      </c>
      <c r="BF346" s="561">
        <v>0</v>
      </c>
      <c r="BG346" s="561">
        <v>0</v>
      </c>
      <c r="BH346" s="561">
        <v>0</v>
      </c>
      <c r="BI346" s="561">
        <v>0</v>
      </c>
      <c r="BJ346" s="561">
        <v>0</v>
      </c>
      <c r="BK346" s="561">
        <v>0</v>
      </c>
      <c r="BL346" s="561">
        <v>0</v>
      </c>
      <c r="BM346" s="561">
        <v>0</v>
      </c>
      <c r="BN346" s="561">
        <v>0</v>
      </c>
      <c r="BO346" s="561">
        <v>0</v>
      </c>
      <c r="BP346" s="561">
        <v>5</v>
      </c>
      <c r="BQ346" s="561">
        <v>0</v>
      </c>
      <c r="BR346" s="561">
        <v>0</v>
      </c>
      <c r="BS346" s="561">
        <v>0</v>
      </c>
      <c r="BT346" s="561">
        <v>0</v>
      </c>
      <c r="BU346" s="561">
        <v>0</v>
      </c>
      <c r="BV346" s="561">
        <v>0</v>
      </c>
      <c r="BW346" s="561">
        <v>0</v>
      </c>
      <c r="BX346" s="561">
        <v>0</v>
      </c>
      <c r="BY346" s="561">
        <v>0</v>
      </c>
      <c r="BZ346" s="561">
        <v>5</v>
      </c>
      <c r="CA346" s="561">
        <v>0</v>
      </c>
      <c r="CB346" s="561">
        <v>0</v>
      </c>
      <c r="CC346" s="561">
        <v>0</v>
      </c>
      <c r="CD346" s="561">
        <v>0</v>
      </c>
      <c r="CE346" s="561">
        <v>0</v>
      </c>
      <c r="CF346" s="561">
        <v>0</v>
      </c>
      <c r="CG346" s="561">
        <v>0</v>
      </c>
      <c r="CH346" s="561">
        <v>0</v>
      </c>
      <c r="CI346" s="561">
        <v>0</v>
      </c>
      <c r="CJ346" s="561">
        <v>0</v>
      </c>
      <c r="CK346" s="561">
        <v>0</v>
      </c>
      <c r="CL346" s="561">
        <v>0</v>
      </c>
      <c r="CM346" s="561">
        <v>0</v>
      </c>
      <c r="CN346" s="561">
        <v>0</v>
      </c>
      <c r="CO346" s="561">
        <v>0</v>
      </c>
      <c r="CP346" s="561">
        <v>0</v>
      </c>
      <c r="CQ346" s="561">
        <v>0</v>
      </c>
      <c r="CR346" s="561">
        <v>0</v>
      </c>
      <c r="CS346" s="561">
        <v>0</v>
      </c>
      <c r="CT346" s="561">
        <v>0</v>
      </c>
      <c r="CU346" s="561">
        <v>0</v>
      </c>
      <c r="CV346" s="561">
        <v>0</v>
      </c>
      <c r="CW346" s="561">
        <v>0</v>
      </c>
      <c r="CX346" s="561">
        <v>70</v>
      </c>
      <c r="CY346" s="561">
        <v>0</v>
      </c>
      <c r="CZ346" s="561">
        <v>70</v>
      </c>
      <c r="DA346" s="561">
        <v>0</v>
      </c>
      <c r="DB346" s="561">
        <v>0</v>
      </c>
      <c r="DC346" s="561">
        <v>0</v>
      </c>
      <c r="DD346" s="561">
        <v>0</v>
      </c>
      <c r="DE346" s="561">
        <v>0</v>
      </c>
      <c r="DF346" s="561">
        <v>0</v>
      </c>
      <c r="DG346" s="561">
        <v>0</v>
      </c>
      <c r="DH346" s="561">
        <v>0</v>
      </c>
      <c r="DI346" s="561">
        <v>0</v>
      </c>
      <c r="DJ346" s="561">
        <v>0</v>
      </c>
      <c r="DK346" s="561">
        <v>201</v>
      </c>
      <c r="DL346" s="561">
        <v>0</v>
      </c>
      <c r="DM346" s="561">
        <v>0</v>
      </c>
      <c r="DN346" s="561">
        <v>0</v>
      </c>
      <c r="DO346" s="561">
        <v>0</v>
      </c>
      <c r="DP346" s="561">
        <v>0</v>
      </c>
      <c r="DQ346" s="561">
        <v>0</v>
      </c>
      <c r="DR346" s="561">
        <v>0</v>
      </c>
      <c r="DS346" s="561">
        <v>710</v>
      </c>
      <c r="DT346" s="561">
        <v>0</v>
      </c>
      <c r="DU346" s="561">
        <v>710</v>
      </c>
      <c r="DV346" s="561">
        <v>-1</v>
      </c>
      <c r="DW346" s="561">
        <v>0</v>
      </c>
      <c r="DX346" s="561">
        <v>0</v>
      </c>
      <c r="DY346" s="561">
        <v>247</v>
      </c>
      <c r="DZ346" s="561">
        <v>-140</v>
      </c>
      <c r="EA346" s="561">
        <v>0</v>
      </c>
      <c r="EB346" s="561">
        <v>0</v>
      </c>
      <c r="EC346" s="561">
        <v>1017</v>
      </c>
      <c r="ED346" s="561">
        <v>177</v>
      </c>
      <c r="EE346" s="561">
        <v>16719</v>
      </c>
      <c r="EF346" s="561">
        <v>326</v>
      </c>
      <c r="EG346" s="561">
        <v>2133</v>
      </c>
      <c r="EH346" s="561">
        <v>15</v>
      </c>
      <c r="EI346" s="561">
        <v>0</v>
      </c>
      <c r="EJ346" s="561">
        <v>226</v>
      </c>
      <c r="EK346" s="561">
        <v>0</v>
      </c>
      <c r="EL346" s="561">
        <v>0</v>
      </c>
      <c r="EM346" s="561">
        <v>0</v>
      </c>
      <c r="EN346" s="561">
        <v>3001</v>
      </c>
      <c r="EO346" s="561">
        <v>5655</v>
      </c>
      <c r="EP346" s="561">
        <v>0</v>
      </c>
      <c r="EQ346" s="561">
        <v>668</v>
      </c>
      <c r="ER346" s="561">
        <v>1852</v>
      </c>
      <c r="ES346" s="561" t="s">
        <v>4565</v>
      </c>
      <c r="ET346" s="561">
        <v>0</v>
      </c>
      <c r="EU346" s="561">
        <v>1198</v>
      </c>
      <c r="EV346" s="561">
        <v>68</v>
      </c>
      <c r="EW346" s="561">
        <v>0</v>
      </c>
      <c r="EX346" s="561">
        <v>6977</v>
      </c>
      <c r="EY346" s="561">
        <v>0</v>
      </c>
      <c r="EZ346" s="561">
        <v>0</v>
      </c>
      <c r="FA346" s="561">
        <v>750</v>
      </c>
      <c r="FB346" s="561">
        <v>0</v>
      </c>
      <c r="FC346" s="561">
        <v>0</v>
      </c>
      <c r="FD346" s="561">
        <v>0</v>
      </c>
      <c r="FE346" s="561">
        <v>0</v>
      </c>
      <c r="FF346" s="561">
        <v>0</v>
      </c>
      <c r="FG346" s="561">
        <v>0</v>
      </c>
      <c r="FH346" s="561">
        <v>0</v>
      </c>
      <c r="FI346" s="561">
        <v>170</v>
      </c>
      <c r="FJ346" s="561">
        <v>689</v>
      </c>
      <c r="FK346" s="561">
        <v>27</v>
      </c>
      <c r="FL346" s="561">
        <v>0</v>
      </c>
      <c r="FM346" s="561">
        <v>0</v>
      </c>
      <c r="FN346" s="561">
        <v>0</v>
      </c>
      <c r="FO346" s="561">
        <v>886</v>
      </c>
      <c r="FP346" s="561">
        <v>74</v>
      </c>
      <c r="FQ346" s="561">
        <v>-35</v>
      </c>
      <c r="FR346" s="561">
        <v>0</v>
      </c>
      <c r="FS346" s="561">
        <v>0</v>
      </c>
      <c r="FT346" s="561">
        <v>78</v>
      </c>
      <c r="FU346" s="561">
        <v>130</v>
      </c>
      <c r="FV346" s="561">
        <v>0</v>
      </c>
      <c r="FW346" s="561">
        <v>44</v>
      </c>
      <c r="FX346" s="561">
        <v>0</v>
      </c>
      <c r="FY346" s="561">
        <v>0</v>
      </c>
      <c r="FZ346" s="561">
        <v>9</v>
      </c>
      <c r="GA346" s="561">
        <v>91</v>
      </c>
      <c r="GB346" s="561">
        <v>86</v>
      </c>
      <c r="GC346" s="561">
        <v>-95</v>
      </c>
      <c r="GD346" s="561">
        <v>129</v>
      </c>
      <c r="GE346" s="561">
        <v>0</v>
      </c>
      <c r="GF346" s="561">
        <v>0</v>
      </c>
      <c r="GG346" s="561">
        <v>0</v>
      </c>
      <c r="GH346" s="561">
        <v>11</v>
      </c>
      <c r="GI346" s="561">
        <v>0</v>
      </c>
      <c r="GJ346" s="561">
        <v>0</v>
      </c>
      <c r="GK346" s="561">
        <v>0</v>
      </c>
      <c r="GL346" s="561">
        <v>551</v>
      </c>
      <c r="GM346" s="561">
        <v>2309</v>
      </c>
      <c r="GN346" s="561">
        <v>0</v>
      </c>
      <c r="GO346" s="561">
        <v>0</v>
      </c>
      <c r="GP346" s="561">
        <v>0</v>
      </c>
      <c r="GQ346" s="561">
        <v>0</v>
      </c>
      <c r="GR346" s="561">
        <v>0</v>
      </c>
      <c r="GS346" s="561">
        <v>3308</v>
      </c>
      <c r="GT346" s="561">
        <v>1551</v>
      </c>
      <c r="GU346" s="561">
        <v>274</v>
      </c>
      <c r="GV346" s="561">
        <v>599</v>
      </c>
      <c r="GW346" s="561">
        <v>0</v>
      </c>
      <c r="GX346" s="561">
        <v>1964</v>
      </c>
      <c r="GY346" s="561">
        <v>112</v>
      </c>
      <c r="GZ346" s="561">
        <v>143</v>
      </c>
      <c r="HA346" s="561">
        <v>0</v>
      </c>
      <c r="HB346" s="561">
        <v>0</v>
      </c>
      <c r="HC346" s="561">
        <v>0</v>
      </c>
      <c r="HD346" s="561">
        <v>3092</v>
      </c>
      <c r="HE346" s="561">
        <v>1551</v>
      </c>
      <c r="HF346" s="561">
        <v>7286</v>
      </c>
      <c r="HG346" s="561">
        <v>3175</v>
      </c>
      <c r="HH346" s="561">
        <v>0</v>
      </c>
      <c r="HI346" s="561">
        <v>0</v>
      </c>
      <c r="HJ346" s="561">
        <v>0</v>
      </c>
      <c r="HK346" s="561">
        <v>0</v>
      </c>
      <c r="HL346" s="561">
        <v>0</v>
      </c>
      <c r="HM346" s="561">
        <v>0</v>
      </c>
      <c r="HN346" s="561">
        <v>0</v>
      </c>
      <c r="HO346" s="561">
        <v>1732</v>
      </c>
      <c r="HP346" s="561">
        <v>87</v>
      </c>
      <c r="HQ346" s="561">
        <v>0</v>
      </c>
      <c r="HR346" s="561">
        <v>0</v>
      </c>
      <c r="HS346" s="561">
        <v>0</v>
      </c>
      <c r="HT346" s="561">
        <v>553</v>
      </c>
      <c r="HU346" s="561">
        <v>0</v>
      </c>
      <c r="HV346" s="561">
        <v>0</v>
      </c>
      <c r="HW346" s="561">
        <v>45</v>
      </c>
      <c r="HX346" s="561">
        <v>92</v>
      </c>
      <c r="HY346" s="561">
        <v>331</v>
      </c>
      <c r="HZ346" s="561">
        <v>71</v>
      </c>
      <c r="IA346" s="561">
        <v>0</v>
      </c>
      <c r="IB346" s="561">
        <v>0</v>
      </c>
      <c r="IC346" s="561">
        <v>0</v>
      </c>
      <c r="ID346" s="561">
        <v>0</v>
      </c>
      <c r="IE346" s="561">
        <v>1137</v>
      </c>
      <c r="IF346" s="561">
        <v>0</v>
      </c>
      <c r="IG346" s="561">
        <v>0</v>
      </c>
      <c r="IH346" s="561">
        <v>404</v>
      </c>
      <c r="II346" s="561">
        <v>4452</v>
      </c>
      <c r="IJ346" s="561">
        <v>439</v>
      </c>
      <c r="IK346" s="561">
        <v>0</v>
      </c>
      <c r="IL346" s="561">
        <v>0</v>
      </c>
      <c r="IM346" s="561">
        <v>0</v>
      </c>
      <c r="IN346" s="561">
        <v>0</v>
      </c>
      <c r="IO346" s="561">
        <v>0</v>
      </c>
      <c r="IP346" s="561">
        <v>0</v>
      </c>
      <c r="IQ346" s="561">
        <v>0</v>
      </c>
      <c r="IR346" s="561">
        <v>0</v>
      </c>
      <c r="IS346" s="561">
        <v>75</v>
      </c>
      <c r="IT346" s="561">
        <v>0</v>
      </c>
      <c r="IU346" s="561">
        <v>5</v>
      </c>
      <c r="IV346" s="561">
        <v>70</v>
      </c>
      <c r="IW346" s="561">
        <v>1017</v>
      </c>
      <c r="IX346" s="561">
        <v>886</v>
      </c>
      <c r="IY346" s="561">
        <v>3308</v>
      </c>
      <c r="IZ346" s="561">
        <v>3092</v>
      </c>
      <c r="JA346" s="561">
        <v>0</v>
      </c>
      <c r="JB346" s="561">
        <v>0</v>
      </c>
      <c r="JC346" s="561">
        <v>4452</v>
      </c>
      <c r="JD346" s="561">
        <v>0</v>
      </c>
      <c r="JE346" s="561">
        <v>12905</v>
      </c>
      <c r="JF346" s="561">
        <v>8416.69</v>
      </c>
      <c r="JG346" s="561">
        <v>48.31</v>
      </c>
      <c r="JH346" s="561">
        <v>4880</v>
      </c>
      <c r="JI346" s="561">
        <v>0</v>
      </c>
      <c r="JJ346" s="561">
        <v>0</v>
      </c>
      <c r="JK346" s="561">
        <v>1232</v>
      </c>
      <c r="JL346" s="561">
        <v>0</v>
      </c>
      <c r="JM346" s="561">
        <v>0</v>
      </c>
      <c r="JN346" s="561">
        <v>0</v>
      </c>
      <c r="JO346" s="561">
        <v>0</v>
      </c>
      <c r="JP346" s="561">
        <v>69</v>
      </c>
      <c r="JQ346" s="561">
        <v>2493</v>
      </c>
      <c r="JR346" s="561">
        <v>0</v>
      </c>
      <c r="JS346" s="561">
        <v>0</v>
      </c>
      <c r="JT346" s="561">
        <v>0</v>
      </c>
      <c r="JU346" s="561">
        <v>0</v>
      </c>
      <c r="JV346" s="561">
        <v>30044</v>
      </c>
      <c r="JW346" s="561">
        <v>0</v>
      </c>
      <c r="JX346" s="561">
        <v>494</v>
      </c>
      <c r="JY346" s="561">
        <v>0</v>
      </c>
      <c r="JZ346" s="561">
        <v>-405</v>
      </c>
      <c r="KA346" s="561">
        <v>0</v>
      </c>
      <c r="KB346" s="561">
        <v>-99</v>
      </c>
      <c r="KC346" s="561">
        <v>954</v>
      </c>
      <c r="KD346" s="561">
        <v>0</v>
      </c>
      <c r="KE346" s="561">
        <v>2572</v>
      </c>
      <c r="KF346" s="561">
        <v>-1209</v>
      </c>
      <c r="KG346" s="561">
        <v>32351</v>
      </c>
      <c r="KH346" s="561">
        <v>-3282</v>
      </c>
      <c r="KI346" s="561">
        <v>0</v>
      </c>
      <c r="KJ346" s="561">
        <v>738</v>
      </c>
      <c r="KK346" s="561">
        <v>0</v>
      </c>
      <c r="KL346" s="561">
        <v>-13095</v>
      </c>
      <c r="KM346" s="561">
        <v>0</v>
      </c>
      <c r="KN346" s="561">
        <v>-931</v>
      </c>
      <c r="KO346" s="561">
        <v>0</v>
      </c>
      <c r="KP346" s="561">
        <v>0</v>
      </c>
      <c r="KQ346" s="561">
        <v>0</v>
      </c>
      <c r="KR346" s="561">
        <v>15781</v>
      </c>
      <c r="KS346" s="561">
        <v>0</v>
      </c>
      <c r="KT346" s="561">
        <v>-3555</v>
      </c>
      <c r="KU346" s="561">
        <v>12226</v>
      </c>
      <c r="KV346" s="561">
        <v>0</v>
      </c>
      <c r="KW346" s="561">
        <v>0</v>
      </c>
      <c r="KX346" s="561">
        <v>0</v>
      </c>
      <c r="KY346" s="561">
        <v>0</v>
      </c>
      <c r="KZ346" s="561">
        <v>-499</v>
      </c>
      <c r="LA346" s="561">
        <v>0</v>
      </c>
      <c r="LB346" s="561">
        <v>-97</v>
      </c>
      <c r="LC346" s="561">
        <v>0</v>
      </c>
      <c r="LD346" s="561">
        <v>-916</v>
      </c>
      <c r="LE346" s="561">
        <v>104</v>
      </c>
      <c r="LF346" s="561">
        <v>0</v>
      </c>
      <c r="LG346" s="561">
        <v>10818</v>
      </c>
      <c r="LH346" s="561">
        <v>0</v>
      </c>
      <c r="LI346" s="561">
        <v>0</v>
      </c>
      <c r="LJ346" s="561">
        <v>0</v>
      </c>
      <c r="LK346" s="561">
        <v>0</v>
      </c>
      <c r="LL346" s="561">
        <v>9836</v>
      </c>
      <c r="LM346" s="561">
        <v>2966</v>
      </c>
      <c r="LN346" s="561">
        <v>0</v>
      </c>
      <c r="LO346" s="561">
        <v>0</v>
      </c>
      <c r="LP346" s="561">
        <v>0</v>
      </c>
      <c r="LQ346" s="561">
        <v>0</v>
      </c>
      <c r="LR346" s="561">
        <v>9337</v>
      </c>
      <c r="LS346" s="561">
        <v>2966</v>
      </c>
      <c r="LT346" s="561">
        <v>0</v>
      </c>
      <c r="LU346" s="561">
        <v>1373</v>
      </c>
      <c r="LV346" s="561">
        <v>0</v>
      </c>
      <c r="LW346" s="561">
        <v>-581</v>
      </c>
      <c r="LX346" s="561">
        <v>-979</v>
      </c>
      <c r="LY346" s="561">
        <v>3248</v>
      </c>
      <c r="LZ346" s="561">
        <v>3286</v>
      </c>
      <c r="MA346" s="561">
        <v>0</v>
      </c>
      <c r="MB346" s="561">
        <v>0</v>
      </c>
      <c r="MC346" s="561">
        <v>19419</v>
      </c>
      <c r="MD346" s="561">
        <v>19419</v>
      </c>
      <c r="ME346" s="561">
        <v>0</v>
      </c>
      <c r="MF346" s="561">
        <v>750</v>
      </c>
      <c r="MG346" s="561">
        <v>750</v>
      </c>
      <c r="MH346" s="561">
        <v>2078</v>
      </c>
      <c r="MI346" s="561">
        <v>3144</v>
      </c>
      <c r="MJ346" s="561">
        <v>5222</v>
      </c>
      <c r="MK346" s="561">
        <v>0</v>
      </c>
      <c r="ML346" s="561">
        <v>64</v>
      </c>
      <c r="MM346" s="561">
        <v>7515</v>
      </c>
      <c r="MN346" s="561">
        <v>1075</v>
      </c>
      <c r="MO346" s="561">
        <v>683</v>
      </c>
      <c r="MP346" s="561">
        <v>0</v>
      </c>
      <c r="MQ346" s="561">
        <v>0</v>
      </c>
      <c r="MR346" s="561">
        <v>75</v>
      </c>
      <c r="MS346" s="561">
        <v>0</v>
      </c>
      <c r="MT346" s="561">
        <v>5</v>
      </c>
      <c r="MU346" s="561">
        <v>70</v>
      </c>
      <c r="MV346" s="561">
        <v>1017</v>
      </c>
      <c r="MW346" s="561">
        <v>886</v>
      </c>
      <c r="MX346" s="561">
        <v>3308</v>
      </c>
      <c r="MY346" s="561">
        <v>3092</v>
      </c>
      <c r="MZ346" s="561">
        <v>0</v>
      </c>
      <c r="NA346" s="561">
        <v>0</v>
      </c>
      <c r="NB346" s="561">
        <v>4452</v>
      </c>
      <c r="NC346" s="561">
        <v>0</v>
      </c>
      <c r="ND346" s="561">
        <v>12905</v>
      </c>
      <c r="NE346" s="561">
        <v>0</v>
      </c>
      <c r="NF346" s="561">
        <v>0</v>
      </c>
      <c r="NG346" s="561">
        <v>0</v>
      </c>
      <c r="NH346" s="561">
        <v>0</v>
      </c>
      <c r="NI346" s="561">
        <v>0</v>
      </c>
      <c r="NJ346" s="561">
        <v>0</v>
      </c>
      <c r="NK346" s="561">
        <v>0</v>
      </c>
      <c r="NL346" s="561">
        <v>0</v>
      </c>
      <c r="NM346" s="561">
        <v>0</v>
      </c>
      <c r="NN346" s="561">
        <v>0</v>
      </c>
      <c r="NO346" s="561">
        <v>0</v>
      </c>
      <c r="NP346" s="561">
        <v>0</v>
      </c>
      <c r="NQ346" s="561">
        <v>0</v>
      </c>
      <c r="NR346" s="561">
        <v>0</v>
      </c>
      <c r="NS346" s="561">
        <v>0</v>
      </c>
      <c r="NT346" s="561">
        <v>0</v>
      </c>
      <c r="NU346" s="561">
        <v>-833</v>
      </c>
      <c r="NV346" s="561">
        <v>0</v>
      </c>
      <c r="NW346" s="561">
        <v>69</v>
      </c>
      <c r="NX346" s="561">
        <v>0</v>
      </c>
      <c r="NY346" s="561">
        <v>69</v>
      </c>
      <c r="NZ346" s="561">
        <v>0</v>
      </c>
      <c r="OA346" s="561">
        <v>0</v>
      </c>
      <c r="OB346" s="561">
        <v>0</v>
      </c>
      <c r="OC346" s="561">
        <v>0</v>
      </c>
      <c r="OD346" s="561">
        <v>0</v>
      </c>
      <c r="OE346" s="561">
        <v>0</v>
      </c>
      <c r="OF346" s="561">
        <v>0</v>
      </c>
      <c r="OG346" s="561">
        <v>0</v>
      </c>
      <c r="OH346" s="561">
        <v>0</v>
      </c>
      <c r="OI346" s="561">
        <v>0</v>
      </c>
      <c r="OJ346" s="561">
        <v>0</v>
      </c>
      <c r="OK346" s="561">
        <v>-99</v>
      </c>
      <c r="OL346" s="561">
        <v>0</v>
      </c>
      <c r="OM346" s="561">
        <v>0</v>
      </c>
      <c r="ON346" s="561">
        <v>0</v>
      </c>
      <c r="OO346" s="561">
        <v>0</v>
      </c>
      <c r="OP346" s="561">
        <v>0</v>
      </c>
      <c r="OQ346" s="561">
        <v>318</v>
      </c>
      <c r="OR346" s="561">
        <v>883</v>
      </c>
      <c r="OS346" s="561">
        <v>876</v>
      </c>
      <c r="OT346" s="561">
        <v>263</v>
      </c>
      <c r="OU346" s="561">
        <v>252</v>
      </c>
      <c r="OV346" s="561">
        <v>0</v>
      </c>
      <c r="OW346" s="561">
        <v>0</v>
      </c>
      <c r="OX346" s="561">
        <v>2493</v>
      </c>
      <c r="OY346" s="561">
        <v>0</v>
      </c>
      <c r="OZ346" s="561">
        <v>0</v>
      </c>
      <c r="PA346" s="561">
        <v>0</v>
      </c>
      <c r="PB346" s="561">
        <v>0</v>
      </c>
      <c r="PC346" s="561">
        <v>0</v>
      </c>
      <c r="PD346" s="561">
        <v>0</v>
      </c>
      <c r="PE346" s="561">
        <v>0</v>
      </c>
      <c r="PF346" s="561">
        <v>0</v>
      </c>
      <c r="PG346" s="561">
        <v>0</v>
      </c>
      <c r="PH346" s="561">
        <v>0</v>
      </c>
      <c r="PI346" s="561">
        <v>0</v>
      </c>
      <c r="PJ346" s="561">
        <v>0</v>
      </c>
    </row>
    <row r="347" spans="1:426" ht="14" x14ac:dyDescent="0.3">
      <c r="A347" t="s">
        <v>3484</v>
      </c>
      <c r="B347" t="s">
        <v>3485</v>
      </c>
      <c r="C347" t="s">
        <v>3486</v>
      </c>
      <c r="E347" t="s">
        <v>2466</v>
      </c>
      <c r="F347" s="561">
        <v>0</v>
      </c>
      <c r="G347" s="561">
        <v>0</v>
      </c>
      <c r="H347" s="561">
        <v>0</v>
      </c>
      <c r="I347" s="561">
        <v>0</v>
      </c>
      <c r="J347" s="561">
        <v>0</v>
      </c>
      <c r="K347" s="561">
        <v>39674</v>
      </c>
      <c r="L347" s="561">
        <v>39674</v>
      </c>
      <c r="M347" s="561">
        <v>0</v>
      </c>
      <c r="N347" s="561">
        <v>0</v>
      </c>
      <c r="O347" s="561">
        <v>1263</v>
      </c>
      <c r="P347" s="561">
        <v>0</v>
      </c>
      <c r="Q347" s="561">
        <v>0</v>
      </c>
      <c r="R347" s="561">
        <v>0</v>
      </c>
      <c r="S347" s="561">
        <v>0</v>
      </c>
      <c r="T347" s="561">
        <v>0</v>
      </c>
      <c r="U347" s="561">
        <v>0</v>
      </c>
      <c r="V347" s="561">
        <v>0</v>
      </c>
      <c r="W347" s="561">
        <v>0</v>
      </c>
      <c r="X347" s="561">
        <v>0</v>
      </c>
      <c r="Y347" s="561">
        <v>0</v>
      </c>
      <c r="Z347" s="561">
        <v>0</v>
      </c>
      <c r="AA347" s="561">
        <v>0</v>
      </c>
      <c r="AB347" s="561">
        <v>0</v>
      </c>
      <c r="AC347" s="561">
        <v>0</v>
      </c>
      <c r="AD347" s="561">
        <v>2912</v>
      </c>
      <c r="AE347" s="561">
        <v>7604</v>
      </c>
      <c r="AF347" s="561">
        <v>0</v>
      </c>
      <c r="AG347" s="561">
        <v>0</v>
      </c>
      <c r="AH347" s="561">
        <v>0</v>
      </c>
      <c r="AI347" s="561">
        <v>0</v>
      </c>
      <c r="AJ347" s="561">
        <v>11779</v>
      </c>
      <c r="AK347" s="561">
        <v>0</v>
      </c>
      <c r="AL347" s="561">
        <v>0</v>
      </c>
      <c r="AM347" s="561">
        <v>0</v>
      </c>
      <c r="AN347" s="561">
        <v>0</v>
      </c>
      <c r="AO347" s="561">
        <v>0</v>
      </c>
      <c r="AP347" s="561">
        <v>0</v>
      </c>
      <c r="AQ347" s="561">
        <v>0</v>
      </c>
      <c r="AR347" s="561">
        <v>0</v>
      </c>
      <c r="AS347" s="561">
        <v>0</v>
      </c>
      <c r="AT347" s="561">
        <v>0</v>
      </c>
      <c r="AU347" s="561">
        <v>0</v>
      </c>
      <c r="AV347" s="561">
        <v>0</v>
      </c>
      <c r="AW347" s="561">
        <v>0</v>
      </c>
      <c r="AX347" s="561">
        <v>0</v>
      </c>
      <c r="AY347" s="561">
        <v>0</v>
      </c>
      <c r="AZ347" s="561">
        <v>0</v>
      </c>
      <c r="BA347" s="561">
        <v>0</v>
      </c>
      <c r="BB347" s="561">
        <v>0</v>
      </c>
      <c r="BC347" s="561">
        <v>0</v>
      </c>
      <c r="BD347" s="561">
        <v>0</v>
      </c>
      <c r="BE347" s="561">
        <v>0</v>
      </c>
      <c r="BF347" s="561">
        <v>0</v>
      </c>
      <c r="BG347" s="561">
        <v>0</v>
      </c>
      <c r="BH347" s="561">
        <v>0</v>
      </c>
      <c r="BI347" s="561">
        <v>0</v>
      </c>
      <c r="BJ347" s="561">
        <v>0</v>
      </c>
      <c r="BK347" s="561">
        <v>0</v>
      </c>
      <c r="BL347" s="561">
        <v>0</v>
      </c>
      <c r="BM347" s="561">
        <v>0</v>
      </c>
      <c r="BN347" s="561">
        <v>0</v>
      </c>
      <c r="BO347" s="561">
        <v>0</v>
      </c>
      <c r="BP347" s="561">
        <v>0</v>
      </c>
      <c r="BQ347" s="561">
        <v>0</v>
      </c>
      <c r="BR347" s="561">
        <v>0</v>
      </c>
      <c r="BS347" s="561">
        <v>0</v>
      </c>
      <c r="BT347" s="561">
        <v>0</v>
      </c>
      <c r="BU347" s="561">
        <v>0</v>
      </c>
      <c r="BV347" s="561">
        <v>0</v>
      </c>
      <c r="BW347" s="561">
        <v>0</v>
      </c>
      <c r="BX347" s="561">
        <v>0</v>
      </c>
      <c r="BY347" s="561">
        <v>0</v>
      </c>
      <c r="BZ347" s="561">
        <v>0</v>
      </c>
      <c r="CA347" s="561">
        <v>0</v>
      </c>
      <c r="CB347" s="561">
        <v>0</v>
      </c>
      <c r="CC347" s="561">
        <v>0</v>
      </c>
      <c r="CD347" s="561">
        <v>0</v>
      </c>
      <c r="CE347" s="561">
        <v>0</v>
      </c>
      <c r="CF347" s="561">
        <v>0</v>
      </c>
      <c r="CG347" s="561">
        <v>0</v>
      </c>
      <c r="CH347" s="561">
        <v>0</v>
      </c>
      <c r="CI347" s="561">
        <v>0</v>
      </c>
      <c r="CJ347" s="561">
        <v>0</v>
      </c>
      <c r="CK347" s="561">
        <v>0</v>
      </c>
      <c r="CL347" s="561">
        <v>0</v>
      </c>
      <c r="CM347" s="561">
        <v>0</v>
      </c>
      <c r="CN347" s="561">
        <v>0</v>
      </c>
      <c r="CO347" s="561">
        <v>0</v>
      </c>
      <c r="CP347" s="561">
        <v>0</v>
      </c>
      <c r="CQ347" s="561">
        <v>0</v>
      </c>
      <c r="CR347" s="561">
        <v>0</v>
      </c>
      <c r="CS347" s="561">
        <v>0</v>
      </c>
      <c r="CT347" s="561">
        <v>0</v>
      </c>
      <c r="CU347" s="561">
        <v>0</v>
      </c>
      <c r="CV347" s="561">
        <v>0</v>
      </c>
      <c r="CW347" s="561">
        <v>0</v>
      </c>
      <c r="CX347" s="561">
        <v>0</v>
      </c>
      <c r="CY347" s="561">
        <v>0</v>
      </c>
      <c r="CZ347" s="561">
        <v>0</v>
      </c>
      <c r="DA347" s="561">
        <v>0</v>
      </c>
      <c r="DB347" s="561">
        <v>0</v>
      </c>
      <c r="DC347" s="561">
        <v>0</v>
      </c>
      <c r="DD347" s="561">
        <v>0</v>
      </c>
      <c r="DE347" s="561">
        <v>0</v>
      </c>
      <c r="DF347" s="561">
        <v>0</v>
      </c>
      <c r="DG347" s="561">
        <v>0</v>
      </c>
      <c r="DH347" s="561">
        <v>0</v>
      </c>
      <c r="DI347" s="561">
        <v>0</v>
      </c>
      <c r="DJ347" s="561">
        <v>0</v>
      </c>
      <c r="DK347" s="561">
        <v>0</v>
      </c>
      <c r="DL347" s="561">
        <v>0</v>
      </c>
      <c r="DM347" s="561">
        <v>0</v>
      </c>
      <c r="DN347" s="561">
        <v>0</v>
      </c>
      <c r="DO347" s="561">
        <v>0</v>
      </c>
      <c r="DP347" s="561">
        <v>0</v>
      </c>
      <c r="DQ347" s="561">
        <v>0</v>
      </c>
      <c r="DR347" s="561">
        <v>0</v>
      </c>
      <c r="DS347" s="561">
        <v>0</v>
      </c>
      <c r="DT347" s="561">
        <v>0</v>
      </c>
      <c r="DU347" s="561">
        <v>0</v>
      </c>
      <c r="DV347" s="561">
        <v>0</v>
      </c>
      <c r="DW347" s="561">
        <v>0</v>
      </c>
      <c r="DX347" s="561">
        <v>0</v>
      </c>
      <c r="DY347" s="561">
        <v>0</v>
      </c>
      <c r="DZ347" s="561">
        <v>0</v>
      </c>
      <c r="EA347" s="561">
        <v>0</v>
      </c>
      <c r="EB347" s="561">
        <v>0</v>
      </c>
      <c r="EC347" s="561">
        <v>0</v>
      </c>
      <c r="ED347" s="561">
        <v>0</v>
      </c>
      <c r="EE347" s="561">
        <v>0</v>
      </c>
      <c r="EF347" s="561">
        <v>0</v>
      </c>
      <c r="EG347" s="561">
        <v>0</v>
      </c>
      <c r="EH347" s="561">
        <v>0</v>
      </c>
      <c r="EI347" s="561">
        <v>0</v>
      </c>
      <c r="EJ347" s="561">
        <v>0</v>
      </c>
      <c r="EK347" s="561">
        <v>0</v>
      </c>
      <c r="EL347" s="561">
        <v>0</v>
      </c>
      <c r="EM347" s="561">
        <v>0</v>
      </c>
      <c r="EN347" s="561">
        <v>0</v>
      </c>
      <c r="EO347" s="561">
        <v>0</v>
      </c>
      <c r="EP347" s="561">
        <v>0</v>
      </c>
      <c r="EQ347" s="561">
        <v>0</v>
      </c>
      <c r="ER347" s="561">
        <v>0</v>
      </c>
      <c r="ES347" s="561" t="s">
        <v>4565</v>
      </c>
      <c r="ET347" s="561">
        <v>0</v>
      </c>
      <c r="EU347" s="561">
        <v>0</v>
      </c>
      <c r="EV347" s="561">
        <v>0</v>
      </c>
      <c r="EW347" s="561">
        <v>0</v>
      </c>
      <c r="EX347" s="561">
        <v>0</v>
      </c>
      <c r="EY347" s="561">
        <v>0</v>
      </c>
      <c r="EZ347" s="561">
        <v>0</v>
      </c>
      <c r="FA347" s="561">
        <v>0</v>
      </c>
      <c r="FB347" s="561">
        <v>0</v>
      </c>
      <c r="FC347" s="561">
        <v>0</v>
      </c>
      <c r="FD347" s="561">
        <v>0</v>
      </c>
      <c r="FE347" s="561">
        <v>0</v>
      </c>
      <c r="FF347" s="561">
        <v>0</v>
      </c>
      <c r="FG347" s="561">
        <v>0</v>
      </c>
      <c r="FH347" s="561">
        <v>0</v>
      </c>
      <c r="FI347" s="561">
        <v>0</v>
      </c>
      <c r="FJ347" s="561">
        <v>0</v>
      </c>
      <c r="FK347" s="561">
        <v>0</v>
      </c>
      <c r="FL347" s="561">
        <v>0</v>
      </c>
      <c r="FM347" s="561">
        <v>4225</v>
      </c>
      <c r="FN347" s="561">
        <v>0</v>
      </c>
      <c r="FO347" s="561">
        <v>4225</v>
      </c>
      <c r="FP347" s="561">
        <v>0</v>
      </c>
      <c r="FQ347" s="561">
        <v>0</v>
      </c>
      <c r="FR347" s="561">
        <v>0</v>
      </c>
      <c r="FS347" s="561">
        <v>0</v>
      </c>
      <c r="FT347" s="561">
        <v>0</v>
      </c>
      <c r="FU347" s="561">
        <v>0</v>
      </c>
      <c r="FV347" s="561">
        <v>0</v>
      </c>
      <c r="FW347" s="561">
        <v>0</v>
      </c>
      <c r="FX347" s="561">
        <v>0</v>
      </c>
      <c r="FY347" s="561">
        <v>0</v>
      </c>
      <c r="FZ347" s="561">
        <v>0</v>
      </c>
      <c r="GA347" s="561">
        <v>0</v>
      </c>
      <c r="GB347" s="561">
        <v>0</v>
      </c>
      <c r="GC347" s="561">
        <v>0</v>
      </c>
      <c r="GD347" s="561">
        <v>1898</v>
      </c>
      <c r="GE347" s="561">
        <v>0</v>
      </c>
      <c r="GF347" s="561">
        <v>0</v>
      </c>
      <c r="GG347" s="561">
        <v>0</v>
      </c>
      <c r="GH347" s="561">
        <v>0</v>
      </c>
      <c r="GI347" s="561">
        <v>0</v>
      </c>
      <c r="GJ347" s="561">
        <v>0</v>
      </c>
      <c r="GK347" s="561">
        <v>0</v>
      </c>
      <c r="GL347" s="561">
        <v>0</v>
      </c>
      <c r="GM347" s="561">
        <v>0</v>
      </c>
      <c r="GN347" s="561">
        <v>0</v>
      </c>
      <c r="GO347" s="561">
        <v>0</v>
      </c>
      <c r="GP347" s="561">
        <v>0</v>
      </c>
      <c r="GQ347" s="561">
        <v>0</v>
      </c>
      <c r="GR347" s="561">
        <v>0</v>
      </c>
      <c r="GS347" s="561">
        <v>1898</v>
      </c>
      <c r="GT347" s="561">
        <v>0</v>
      </c>
      <c r="GU347" s="561">
        <v>0</v>
      </c>
      <c r="GV347" s="561">
        <v>0</v>
      </c>
      <c r="GW347" s="561">
        <v>0</v>
      </c>
      <c r="GX347" s="561">
        <v>0</v>
      </c>
      <c r="GY347" s="561">
        <v>5721</v>
      </c>
      <c r="GZ347" s="561">
        <v>7542</v>
      </c>
      <c r="HA347" s="561">
        <v>121</v>
      </c>
      <c r="HB347" s="561">
        <v>17195</v>
      </c>
      <c r="HC347" s="561">
        <v>0</v>
      </c>
      <c r="HD347" s="561">
        <v>30579</v>
      </c>
      <c r="HE347" s="561">
        <v>0</v>
      </c>
      <c r="HF347" s="561">
        <v>36702</v>
      </c>
      <c r="HG347" s="561">
        <v>0</v>
      </c>
      <c r="HH347" s="561">
        <v>0</v>
      </c>
      <c r="HI347" s="561">
        <v>0</v>
      </c>
      <c r="HJ347" s="561">
        <v>0</v>
      </c>
      <c r="HK347" s="561">
        <v>0</v>
      </c>
      <c r="HL347" s="561">
        <v>0</v>
      </c>
      <c r="HM347" s="561">
        <v>0</v>
      </c>
      <c r="HN347" s="561">
        <v>0</v>
      </c>
      <c r="HO347" s="561">
        <v>0</v>
      </c>
      <c r="HP347" s="561">
        <v>0</v>
      </c>
      <c r="HQ347" s="561">
        <v>0</v>
      </c>
      <c r="HR347" s="561">
        <v>0</v>
      </c>
      <c r="HS347" s="561">
        <v>0</v>
      </c>
      <c r="HT347" s="561">
        <v>0</v>
      </c>
      <c r="HU347" s="561">
        <v>0</v>
      </c>
      <c r="HV347" s="561">
        <v>0</v>
      </c>
      <c r="HW347" s="561">
        <v>0</v>
      </c>
      <c r="HX347" s="561">
        <v>1033</v>
      </c>
      <c r="HY347" s="561">
        <v>0</v>
      </c>
      <c r="HZ347" s="561">
        <v>0</v>
      </c>
      <c r="IA347" s="561">
        <v>0</v>
      </c>
      <c r="IB347" s="561">
        <v>0</v>
      </c>
      <c r="IC347" s="561">
        <v>0</v>
      </c>
      <c r="ID347" s="561">
        <v>0</v>
      </c>
      <c r="IE347" s="561">
        <v>0</v>
      </c>
      <c r="IF347" s="561">
        <v>0</v>
      </c>
      <c r="IG347" s="561">
        <v>0</v>
      </c>
      <c r="IH347" s="561">
        <v>5956</v>
      </c>
      <c r="II347" s="561">
        <v>6989</v>
      </c>
      <c r="IJ347" s="561">
        <v>0</v>
      </c>
      <c r="IK347" s="561">
        <v>0</v>
      </c>
      <c r="IL347" s="561">
        <v>0</v>
      </c>
      <c r="IM347" s="561">
        <v>0</v>
      </c>
      <c r="IN347" s="561">
        <v>0</v>
      </c>
      <c r="IO347" s="561">
        <v>2457</v>
      </c>
      <c r="IP347" s="561">
        <v>0</v>
      </c>
      <c r="IQ347" s="561">
        <v>0</v>
      </c>
      <c r="IR347" s="561">
        <v>39674</v>
      </c>
      <c r="IS347" s="561">
        <v>11779</v>
      </c>
      <c r="IT347" s="561">
        <v>0</v>
      </c>
      <c r="IU347" s="561">
        <v>0</v>
      </c>
      <c r="IV347" s="561">
        <v>0</v>
      </c>
      <c r="IW347" s="561">
        <v>0</v>
      </c>
      <c r="IX347" s="561">
        <v>4225</v>
      </c>
      <c r="IY347" s="561">
        <v>1898</v>
      </c>
      <c r="IZ347" s="561">
        <v>30579</v>
      </c>
      <c r="JA347" s="561">
        <v>0</v>
      </c>
      <c r="JB347" s="561">
        <v>0</v>
      </c>
      <c r="JC347" s="561">
        <v>6989</v>
      </c>
      <c r="JD347" s="561">
        <v>0</v>
      </c>
      <c r="JE347" s="561">
        <v>95144</v>
      </c>
      <c r="JF347" s="561">
        <v>0</v>
      </c>
      <c r="JG347" s="561">
        <v>0</v>
      </c>
      <c r="JH347" s="561">
        <v>0</v>
      </c>
      <c r="JI347" s="561">
        <v>0</v>
      </c>
      <c r="JJ347" s="561">
        <v>0</v>
      </c>
      <c r="JK347" s="561">
        <v>0</v>
      </c>
      <c r="JL347" s="561">
        <v>0</v>
      </c>
      <c r="JM347" s="561">
        <v>0</v>
      </c>
      <c r="JN347" s="561">
        <v>0</v>
      </c>
      <c r="JO347" s="561">
        <v>0</v>
      </c>
      <c r="JP347" s="561">
        <v>0</v>
      </c>
      <c r="JQ347" s="561">
        <v>0</v>
      </c>
      <c r="JR347" s="561">
        <v>0</v>
      </c>
      <c r="JS347" s="561">
        <v>0</v>
      </c>
      <c r="JT347" s="561">
        <v>0</v>
      </c>
      <c r="JU347" s="561">
        <v>0</v>
      </c>
      <c r="JV347" s="561">
        <v>95144</v>
      </c>
      <c r="JW347" s="561">
        <v>0</v>
      </c>
      <c r="JX347" s="561">
        <v>0</v>
      </c>
      <c r="JY347" s="561">
        <v>0</v>
      </c>
      <c r="JZ347" s="561">
        <v>0</v>
      </c>
      <c r="KA347" s="561">
        <v>0</v>
      </c>
      <c r="KB347" s="561">
        <v>0</v>
      </c>
      <c r="KC347" s="561">
        <v>0</v>
      </c>
      <c r="KD347" s="561">
        <v>0</v>
      </c>
      <c r="KE347" s="561">
        <v>13386</v>
      </c>
      <c r="KF347" s="561">
        <v>0</v>
      </c>
      <c r="KG347" s="561">
        <v>108530</v>
      </c>
      <c r="KH347" s="561">
        <v>-19617</v>
      </c>
      <c r="KI347" s="561">
        <v>0</v>
      </c>
      <c r="KJ347" s="561">
        <v>0</v>
      </c>
      <c r="KK347" s="561">
        <v>0</v>
      </c>
      <c r="KL347" s="561">
        <v>-82416</v>
      </c>
      <c r="KM347" s="561">
        <v>0</v>
      </c>
      <c r="KN347" s="561">
        <v>0</v>
      </c>
      <c r="KO347" s="561">
        <v>0</v>
      </c>
      <c r="KP347" s="561">
        <v>0</v>
      </c>
      <c r="KQ347" s="561">
        <v>0</v>
      </c>
      <c r="KR347" s="561">
        <v>6497</v>
      </c>
      <c r="KS347" s="561">
        <v>0</v>
      </c>
      <c r="KT347" s="561">
        <v>-8787</v>
      </c>
      <c r="KU347" s="561">
        <v>-2290</v>
      </c>
      <c r="KV347" s="561">
        <v>0</v>
      </c>
      <c r="KW347" s="561">
        <v>0</v>
      </c>
      <c r="KX347" s="561">
        <v>0</v>
      </c>
      <c r="KY347" s="561">
        <v>0</v>
      </c>
      <c r="KZ347" s="561">
        <v>2290</v>
      </c>
      <c r="LA347" s="561">
        <v>0</v>
      </c>
      <c r="LB347" s="561">
        <v>0</v>
      </c>
      <c r="LC347" s="561">
        <v>0</v>
      </c>
      <c r="LD347" s="561">
        <v>0</v>
      </c>
      <c r="LE347" s="561">
        <v>0</v>
      </c>
      <c r="LF347" s="561">
        <v>0</v>
      </c>
      <c r="LG347" s="561">
        <v>0</v>
      </c>
      <c r="LH347" s="561">
        <v>0</v>
      </c>
      <c r="LI347" s="561">
        <v>0</v>
      </c>
      <c r="LJ347" s="561">
        <v>0</v>
      </c>
      <c r="LK347" s="561">
        <v>0</v>
      </c>
      <c r="LL347" s="561">
        <v>71382</v>
      </c>
      <c r="LM347" s="561">
        <v>0</v>
      </c>
      <c r="LN347" s="561">
        <v>0</v>
      </c>
      <c r="LO347" s="561">
        <v>0</v>
      </c>
      <c r="LP347" s="561">
        <v>0</v>
      </c>
      <c r="LQ347" s="561">
        <v>0</v>
      </c>
      <c r="LR347" s="561">
        <v>73672</v>
      </c>
      <c r="LS347" s="561">
        <v>0</v>
      </c>
      <c r="LT347" s="561">
        <v>0</v>
      </c>
      <c r="LU347" s="561">
        <v>0</v>
      </c>
      <c r="LV347" s="561">
        <v>0</v>
      </c>
      <c r="LW347" s="561">
        <v>0</v>
      </c>
      <c r="LX347" s="561">
        <v>0</v>
      </c>
      <c r="LY347" s="561">
        <v>0</v>
      </c>
      <c r="LZ347" s="561">
        <v>0</v>
      </c>
      <c r="MA347" s="561">
        <v>0</v>
      </c>
      <c r="MB347" s="561">
        <v>0</v>
      </c>
      <c r="MC347" s="561">
        <v>0</v>
      </c>
      <c r="MD347" s="561">
        <v>0</v>
      </c>
      <c r="ME347" s="561">
        <v>0</v>
      </c>
      <c r="MF347" s="561">
        <v>0</v>
      </c>
      <c r="MG347" s="561">
        <v>0</v>
      </c>
      <c r="MH347" s="561">
        <v>0</v>
      </c>
      <c r="MI347" s="561">
        <v>0</v>
      </c>
      <c r="MJ347" s="561">
        <v>0</v>
      </c>
      <c r="MK347" s="561">
        <v>0</v>
      </c>
      <c r="ML347" s="561">
        <v>0</v>
      </c>
      <c r="MM347" s="561">
        <v>73672</v>
      </c>
      <c r="MN347" s="561">
        <v>0</v>
      </c>
      <c r="MO347" s="561">
        <v>0</v>
      </c>
      <c r="MP347" s="561">
        <v>0</v>
      </c>
      <c r="MQ347" s="561">
        <v>39674</v>
      </c>
      <c r="MR347" s="561">
        <v>11779</v>
      </c>
      <c r="MS347" s="561">
        <v>0</v>
      </c>
      <c r="MT347" s="561">
        <v>0</v>
      </c>
      <c r="MU347" s="561">
        <v>0</v>
      </c>
      <c r="MV347" s="561">
        <v>0</v>
      </c>
      <c r="MW347" s="561">
        <v>4225</v>
      </c>
      <c r="MX347" s="561">
        <v>1898</v>
      </c>
      <c r="MY347" s="561">
        <v>30579</v>
      </c>
      <c r="MZ347" s="561">
        <v>0</v>
      </c>
      <c r="NA347" s="561">
        <v>0</v>
      </c>
      <c r="NB347" s="561">
        <v>6989</v>
      </c>
      <c r="NC347" s="561">
        <v>0</v>
      </c>
      <c r="ND347" s="561">
        <v>95144</v>
      </c>
      <c r="NE347" s="561">
        <v>0</v>
      </c>
      <c r="NF347" s="561">
        <v>0</v>
      </c>
      <c r="NG347" s="561">
        <v>0</v>
      </c>
      <c r="NH347" s="561">
        <v>0</v>
      </c>
      <c r="NI347" s="561">
        <v>0</v>
      </c>
      <c r="NJ347" s="561">
        <v>0</v>
      </c>
      <c r="NK347" s="561">
        <v>0</v>
      </c>
      <c r="NL347" s="561">
        <v>0</v>
      </c>
      <c r="NM347" s="561">
        <v>0</v>
      </c>
      <c r="NN347" s="561">
        <v>0</v>
      </c>
      <c r="NO347" s="561">
        <v>0</v>
      </c>
      <c r="NP347" s="561">
        <v>0</v>
      </c>
      <c r="NQ347" s="561">
        <v>0</v>
      </c>
      <c r="NR347" s="561">
        <v>0</v>
      </c>
      <c r="NS347" s="561">
        <v>0</v>
      </c>
      <c r="NT347" s="561">
        <v>0</v>
      </c>
      <c r="NU347" s="561">
        <v>0</v>
      </c>
      <c r="NV347" s="561">
        <v>0</v>
      </c>
      <c r="NW347" s="561">
        <v>0</v>
      </c>
      <c r="NX347" s="561">
        <v>0</v>
      </c>
      <c r="NY347" s="561">
        <v>0</v>
      </c>
      <c r="NZ347" s="561">
        <v>0</v>
      </c>
      <c r="OA347" s="561">
        <v>0</v>
      </c>
      <c r="OB347" s="561">
        <v>0</v>
      </c>
      <c r="OC347" s="561">
        <v>0</v>
      </c>
      <c r="OD347" s="561">
        <v>0</v>
      </c>
      <c r="OE347" s="561">
        <v>0</v>
      </c>
      <c r="OF347" s="561">
        <v>0</v>
      </c>
      <c r="OG347" s="561">
        <v>0</v>
      </c>
      <c r="OH347" s="561">
        <v>0</v>
      </c>
      <c r="OI347" s="561">
        <v>0</v>
      </c>
      <c r="OJ347" s="561">
        <v>0</v>
      </c>
      <c r="OK347" s="561">
        <v>0</v>
      </c>
      <c r="OL347" s="561">
        <v>0</v>
      </c>
      <c r="OM347" s="561">
        <v>0</v>
      </c>
      <c r="ON347" s="561">
        <v>0</v>
      </c>
      <c r="OO347" s="561">
        <v>0</v>
      </c>
      <c r="OP347" s="561">
        <v>0</v>
      </c>
      <c r="OQ347" s="561">
        <v>0</v>
      </c>
      <c r="OR347" s="561">
        <v>0</v>
      </c>
      <c r="OS347" s="561">
        <v>0</v>
      </c>
      <c r="OT347" s="561">
        <v>0</v>
      </c>
      <c r="OU347" s="561">
        <v>0</v>
      </c>
      <c r="OV347" s="561">
        <v>1660</v>
      </c>
      <c r="OW347" s="561">
        <v>0</v>
      </c>
      <c r="OX347" s="561">
        <v>0</v>
      </c>
      <c r="OY347" s="561">
        <v>0</v>
      </c>
      <c r="OZ347" s="561">
        <v>0</v>
      </c>
      <c r="PA347" s="561">
        <v>0</v>
      </c>
      <c r="PB347" s="561">
        <v>0</v>
      </c>
      <c r="PC347" s="561">
        <v>0</v>
      </c>
      <c r="PD347" s="561">
        <v>0</v>
      </c>
      <c r="PE347" s="561">
        <v>0</v>
      </c>
      <c r="PF347" s="561">
        <v>0</v>
      </c>
      <c r="PG347" s="561">
        <v>0</v>
      </c>
      <c r="PH347" s="561">
        <v>0</v>
      </c>
      <c r="PI347" s="561">
        <v>0</v>
      </c>
      <c r="PJ347" s="561">
        <v>0</v>
      </c>
    </row>
    <row r="348" spans="1:426" ht="14" x14ac:dyDescent="0.3">
      <c r="A348" t="s">
        <v>3487</v>
      </c>
      <c r="B348" t="s">
        <v>3488</v>
      </c>
      <c r="C348" t="s">
        <v>3489</v>
      </c>
      <c r="E348" t="s">
        <v>384</v>
      </c>
      <c r="F348" s="561">
        <v>0</v>
      </c>
      <c r="G348" s="561">
        <v>0</v>
      </c>
      <c r="H348" s="561">
        <v>0</v>
      </c>
      <c r="I348" s="561">
        <v>0</v>
      </c>
      <c r="J348" s="561">
        <v>0</v>
      </c>
      <c r="K348" s="561">
        <v>0</v>
      </c>
      <c r="L348" s="561">
        <v>0</v>
      </c>
      <c r="M348" s="561">
        <v>0</v>
      </c>
      <c r="N348" s="561">
        <v>0</v>
      </c>
      <c r="O348" s="561">
        <v>0</v>
      </c>
      <c r="P348" s="561">
        <v>0</v>
      </c>
      <c r="Q348" s="561">
        <v>0</v>
      </c>
      <c r="R348" s="561">
        <v>0</v>
      </c>
      <c r="S348" s="561">
        <v>0</v>
      </c>
      <c r="T348" s="561">
        <v>0</v>
      </c>
      <c r="U348" s="561">
        <v>0</v>
      </c>
      <c r="V348" s="561">
        <v>0</v>
      </c>
      <c r="W348" s="561">
        <v>0</v>
      </c>
      <c r="X348" s="561">
        <v>0</v>
      </c>
      <c r="Y348" s="561">
        <v>0</v>
      </c>
      <c r="Z348" s="561">
        <v>0</v>
      </c>
      <c r="AA348" s="561">
        <v>0</v>
      </c>
      <c r="AB348" s="561">
        <v>-3400</v>
      </c>
      <c r="AC348" s="561">
        <v>0</v>
      </c>
      <c r="AD348" s="561">
        <v>0</v>
      </c>
      <c r="AE348" s="561">
        <v>0</v>
      </c>
      <c r="AF348" s="561">
        <v>0</v>
      </c>
      <c r="AG348" s="561">
        <v>0</v>
      </c>
      <c r="AH348" s="561">
        <v>0</v>
      </c>
      <c r="AI348" s="561">
        <v>0</v>
      </c>
      <c r="AJ348" s="561">
        <v>-3400</v>
      </c>
      <c r="AK348" s="561">
        <v>0</v>
      </c>
      <c r="AL348" s="561">
        <v>0</v>
      </c>
      <c r="AM348" s="561">
        <v>0</v>
      </c>
      <c r="AN348" s="561">
        <v>0</v>
      </c>
      <c r="AO348" s="561">
        <v>0</v>
      </c>
      <c r="AP348" s="561">
        <v>0</v>
      </c>
      <c r="AQ348" s="561">
        <v>0</v>
      </c>
      <c r="AR348" s="561">
        <v>0</v>
      </c>
      <c r="AS348" s="561">
        <v>0</v>
      </c>
      <c r="AT348" s="561">
        <v>0</v>
      </c>
      <c r="AU348" s="561">
        <v>0</v>
      </c>
      <c r="AV348" s="561">
        <v>0</v>
      </c>
      <c r="AW348" s="561">
        <v>0</v>
      </c>
      <c r="AX348" s="561">
        <v>0</v>
      </c>
      <c r="AY348" s="561">
        <v>0</v>
      </c>
      <c r="AZ348" s="561">
        <v>0</v>
      </c>
      <c r="BA348" s="561">
        <v>0</v>
      </c>
      <c r="BB348" s="561">
        <v>0</v>
      </c>
      <c r="BC348" s="561">
        <v>0</v>
      </c>
      <c r="BD348" s="561">
        <v>0</v>
      </c>
      <c r="BE348" s="561">
        <v>0</v>
      </c>
      <c r="BF348" s="561">
        <v>0</v>
      </c>
      <c r="BG348" s="561">
        <v>0</v>
      </c>
      <c r="BH348" s="561">
        <v>0</v>
      </c>
      <c r="BI348" s="561">
        <v>0</v>
      </c>
      <c r="BJ348" s="561">
        <v>0</v>
      </c>
      <c r="BK348" s="561">
        <v>0</v>
      </c>
      <c r="BL348" s="561">
        <v>0</v>
      </c>
      <c r="BM348" s="561">
        <v>0</v>
      </c>
      <c r="BN348" s="561">
        <v>0</v>
      </c>
      <c r="BO348" s="561">
        <v>0</v>
      </c>
      <c r="BP348" s="561">
        <v>0</v>
      </c>
      <c r="BQ348" s="561">
        <v>0</v>
      </c>
      <c r="BR348" s="561">
        <v>0</v>
      </c>
      <c r="BS348" s="561">
        <v>0</v>
      </c>
      <c r="BT348" s="561">
        <v>0</v>
      </c>
      <c r="BU348" s="561">
        <v>0</v>
      </c>
      <c r="BV348" s="561">
        <v>0</v>
      </c>
      <c r="BW348" s="561">
        <v>0</v>
      </c>
      <c r="BX348" s="561">
        <v>0</v>
      </c>
      <c r="BY348" s="561">
        <v>0</v>
      </c>
      <c r="BZ348" s="561">
        <v>0</v>
      </c>
      <c r="CA348" s="561">
        <v>0</v>
      </c>
      <c r="CB348" s="561">
        <v>0</v>
      </c>
      <c r="CC348" s="561">
        <v>0</v>
      </c>
      <c r="CD348" s="561">
        <v>0</v>
      </c>
      <c r="CE348" s="561">
        <v>0</v>
      </c>
      <c r="CF348" s="561">
        <v>0</v>
      </c>
      <c r="CG348" s="561">
        <v>0</v>
      </c>
      <c r="CH348" s="561">
        <v>0</v>
      </c>
      <c r="CI348" s="561">
        <v>0</v>
      </c>
      <c r="CJ348" s="561">
        <v>0</v>
      </c>
      <c r="CK348" s="561">
        <v>0</v>
      </c>
      <c r="CL348" s="561">
        <v>0</v>
      </c>
      <c r="CM348" s="561">
        <v>0</v>
      </c>
      <c r="CN348" s="561">
        <v>0</v>
      </c>
      <c r="CO348" s="561">
        <v>0</v>
      </c>
      <c r="CP348" s="561">
        <v>0</v>
      </c>
      <c r="CQ348" s="561">
        <v>0</v>
      </c>
      <c r="CR348" s="561">
        <v>0</v>
      </c>
      <c r="CS348" s="561">
        <v>0</v>
      </c>
      <c r="CT348" s="561">
        <v>0</v>
      </c>
      <c r="CU348" s="561">
        <v>0</v>
      </c>
      <c r="CV348" s="561">
        <v>0</v>
      </c>
      <c r="CW348" s="561">
        <v>0</v>
      </c>
      <c r="CX348" s="561">
        <v>0</v>
      </c>
      <c r="CY348" s="561">
        <v>0</v>
      </c>
      <c r="CZ348" s="561">
        <v>0</v>
      </c>
      <c r="DA348" s="561">
        <v>0</v>
      </c>
      <c r="DB348" s="561">
        <v>0</v>
      </c>
      <c r="DC348" s="561">
        <v>0</v>
      </c>
      <c r="DD348" s="561">
        <v>0</v>
      </c>
      <c r="DE348" s="561">
        <v>0</v>
      </c>
      <c r="DF348" s="561">
        <v>0</v>
      </c>
      <c r="DG348" s="561">
        <v>0</v>
      </c>
      <c r="DH348" s="561">
        <v>316</v>
      </c>
      <c r="DI348" s="561">
        <v>7</v>
      </c>
      <c r="DJ348" s="561">
        <v>196</v>
      </c>
      <c r="DK348" s="561">
        <v>84</v>
      </c>
      <c r="DL348" s="561">
        <v>-203</v>
      </c>
      <c r="DM348" s="561">
        <v>-94</v>
      </c>
      <c r="DN348" s="561">
        <v>-510</v>
      </c>
      <c r="DO348" s="561">
        <v>0</v>
      </c>
      <c r="DP348" s="561">
        <v>-318</v>
      </c>
      <c r="DQ348" s="561">
        <v>103</v>
      </c>
      <c r="DR348" s="561">
        <v>564</v>
      </c>
      <c r="DS348" s="561">
        <v>81</v>
      </c>
      <c r="DT348" s="561">
        <v>1026</v>
      </c>
      <c r="DU348" s="561">
        <v>649</v>
      </c>
      <c r="DV348" s="561">
        <v>170</v>
      </c>
      <c r="DW348" s="561">
        <v>0</v>
      </c>
      <c r="DX348" s="561">
        <v>0</v>
      </c>
      <c r="DY348" s="561">
        <v>877</v>
      </c>
      <c r="DZ348" s="561">
        <v>0</v>
      </c>
      <c r="EA348" s="561">
        <v>0</v>
      </c>
      <c r="EB348" s="561">
        <v>0</v>
      </c>
      <c r="EC348" s="561">
        <v>2299</v>
      </c>
      <c r="ED348" s="561">
        <v>0</v>
      </c>
      <c r="EE348" s="561">
        <v>0</v>
      </c>
      <c r="EF348" s="561">
        <v>0</v>
      </c>
      <c r="EG348" s="561">
        <v>0</v>
      </c>
      <c r="EH348" s="561">
        <v>0</v>
      </c>
      <c r="EI348" s="561">
        <v>0</v>
      </c>
      <c r="EJ348" s="561">
        <v>0</v>
      </c>
      <c r="EK348" s="561">
        <v>0</v>
      </c>
      <c r="EL348" s="561">
        <v>0</v>
      </c>
      <c r="EM348" s="561">
        <v>0</v>
      </c>
      <c r="EN348" s="561">
        <v>0</v>
      </c>
      <c r="EO348" s="561">
        <v>0</v>
      </c>
      <c r="EP348" s="561">
        <v>0</v>
      </c>
      <c r="EQ348" s="561">
        <v>0</v>
      </c>
      <c r="ER348" s="561">
        <v>0</v>
      </c>
      <c r="ES348" s="561" t="s">
        <v>4565</v>
      </c>
      <c r="ET348" s="561">
        <v>0</v>
      </c>
      <c r="EU348" s="561">
        <v>0</v>
      </c>
      <c r="EV348" s="561">
        <v>0</v>
      </c>
      <c r="EW348" s="561">
        <v>0</v>
      </c>
      <c r="EX348" s="561">
        <v>0</v>
      </c>
      <c r="EY348" s="561">
        <v>0</v>
      </c>
      <c r="EZ348" s="561">
        <v>0</v>
      </c>
      <c r="FA348" s="561">
        <v>0</v>
      </c>
      <c r="FB348" s="561">
        <v>0</v>
      </c>
      <c r="FC348" s="561">
        <v>0</v>
      </c>
      <c r="FD348" s="561">
        <v>0</v>
      </c>
      <c r="FE348" s="561">
        <v>-1</v>
      </c>
      <c r="FF348" s="561">
        <v>2</v>
      </c>
      <c r="FG348" s="561">
        <v>0</v>
      </c>
      <c r="FH348" s="561">
        <v>0</v>
      </c>
      <c r="FI348" s="561">
        <v>15</v>
      </c>
      <c r="FJ348" s="561">
        <v>1103</v>
      </c>
      <c r="FK348" s="561">
        <v>1532</v>
      </c>
      <c r="FL348" s="561">
        <v>0</v>
      </c>
      <c r="FM348" s="561">
        <v>-6</v>
      </c>
      <c r="FN348" s="561">
        <v>0</v>
      </c>
      <c r="FO348" s="561">
        <v>2645</v>
      </c>
      <c r="FP348" s="561">
        <v>0</v>
      </c>
      <c r="FQ348" s="561">
        <v>28</v>
      </c>
      <c r="FR348" s="561">
        <v>0</v>
      </c>
      <c r="FS348" s="561">
        <v>0</v>
      </c>
      <c r="FT348" s="561">
        <v>555</v>
      </c>
      <c r="FU348" s="561">
        <v>445</v>
      </c>
      <c r="FV348" s="561">
        <v>172</v>
      </c>
      <c r="FW348" s="561">
        <v>0</v>
      </c>
      <c r="FX348" s="561">
        <v>0</v>
      </c>
      <c r="FY348" s="561">
        <v>0</v>
      </c>
      <c r="FZ348" s="561">
        <v>27</v>
      </c>
      <c r="GA348" s="561">
        <v>602</v>
      </c>
      <c r="GB348" s="561">
        <v>63</v>
      </c>
      <c r="GC348" s="561">
        <v>10</v>
      </c>
      <c r="GD348" s="561">
        <v>130</v>
      </c>
      <c r="GE348" s="561">
        <v>0</v>
      </c>
      <c r="GF348" s="561">
        <v>0</v>
      </c>
      <c r="GG348" s="561">
        <v>226</v>
      </c>
      <c r="GH348" s="561">
        <v>5</v>
      </c>
      <c r="GI348" s="561">
        <v>0</v>
      </c>
      <c r="GJ348" s="561">
        <v>111</v>
      </c>
      <c r="GK348" s="561">
        <v>0</v>
      </c>
      <c r="GL348" s="561">
        <v>1909</v>
      </c>
      <c r="GM348" s="561">
        <v>2324</v>
      </c>
      <c r="GN348" s="561">
        <v>0</v>
      </c>
      <c r="GO348" s="561">
        <v>0</v>
      </c>
      <c r="GP348" s="561">
        <v>1821</v>
      </c>
      <c r="GQ348" s="561">
        <v>0</v>
      </c>
      <c r="GR348" s="561">
        <v>81</v>
      </c>
      <c r="GS348" s="561">
        <v>8509</v>
      </c>
      <c r="GT348" s="561">
        <v>0</v>
      </c>
      <c r="GU348" s="561">
        <v>-78</v>
      </c>
      <c r="GV348" s="561">
        <v>1298</v>
      </c>
      <c r="GW348" s="561">
        <v>0</v>
      </c>
      <c r="GX348" s="561">
        <v>1109</v>
      </c>
      <c r="GY348" s="561">
        <v>24</v>
      </c>
      <c r="GZ348" s="561">
        <v>417</v>
      </c>
      <c r="HA348" s="561">
        <v>0</v>
      </c>
      <c r="HB348" s="561">
        <v>-655</v>
      </c>
      <c r="HC348" s="561">
        <v>10</v>
      </c>
      <c r="HD348" s="561">
        <v>2125</v>
      </c>
      <c r="HE348" s="561">
        <v>0</v>
      </c>
      <c r="HF348" s="561">
        <v>13279</v>
      </c>
      <c r="HG348" s="561">
        <v>0</v>
      </c>
      <c r="HH348" s="561">
        <v>0</v>
      </c>
      <c r="HI348" s="561">
        <v>0</v>
      </c>
      <c r="HJ348" s="561">
        <v>0</v>
      </c>
      <c r="HK348" s="561">
        <v>0</v>
      </c>
      <c r="HL348" s="561">
        <v>0</v>
      </c>
      <c r="HM348" s="561">
        <v>0</v>
      </c>
      <c r="HN348" s="561">
        <v>0</v>
      </c>
      <c r="HO348" s="561">
        <v>2355</v>
      </c>
      <c r="HP348" s="561">
        <v>566</v>
      </c>
      <c r="HQ348" s="561">
        <v>0</v>
      </c>
      <c r="HR348" s="561">
        <v>0</v>
      </c>
      <c r="HS348" s="561">
        <v>465</v>
      </c>
      <c r="HT348" s="561">
        <v>-35</v>
      </c>
      <c r="HU348" s="561">
        <v>0</v>
      </c>
      <c r="HV348" s="561">
        <v>0</v>
      </c>
      <c r="HW348" s="561">
        <v>322</v>
      </c>
      <c r="HX348" s="561">
        <v>298</v>
      </c>
      <c r="HY348" s="561">
        <v>64</v>
      </c>
      <c r="HZ348" s="561">
        <v>16</v>
      </c>
      <c r="IA348" s="561">
        <v>0</v>
      </c>
      <c r="IB348" s="561">
        <v>0</v>
      </c>
      <c r="IC348" s="561">
        <v>0</v>
      </c>
      <c r="ID348" s="561">
        <v>0</v>
      </c>
      <c r="IE348" s="561">
        <v>2535</v>
      </c>
      <c r="IF348" s="561">
        <v>0</v>
      </c>
      <c r="IG348" s="561">
        <v>12</v>
      </c>
      <c r="IH348" s="561">
        <v>0</v>
      </c>
      <c r="II348" s="561">
        <v>6598</v>
      </c>
      <c r="IJ348" s="561">
        <v>0</v>
      </c>
      <c r="IK348" s="561">
        <v>0</v>
      </c>
      <c r="IL348" s="561">
        <v>0</v>
      </c>
      <c r="IM348" s="561">
        <v>0</v>
      </c>
      <c r="IN348" s="561">
        <v>0</v>
      </c>
      <c r="IO348" s="561">
        <v>0</v>
      </c>
      <c r="IP348" s="561">
        <v>959</v>
      </c>
      <c r="IQ348" s="561">
        <v>0</v>
      </c>
      <c r="IR348" s="561">
        <v>0</v>
      </c>
      <c r="IS348" s="561">
        <v>-3400</v>
      </c>
      <c r="IT348" s="561">
        <v>0</v>
      </c>
      <c r="IU348" s="561">
        <v>0</v>
      </c>
      <c r="IV348" s="561">
        <v>0</v>
      </c>
      <c r="IW348" s="561">
        <v>2299</v>
      </c>
      <c r="IX348" s="561">
        <v>2645</v>
      </c>
      <c r="IY348" s="561">
        <v>8509</v>
      </c>
      <c r="IZ348" s="561">
        <v>2125</v>
      </c>
      <c r="JA348" s="561">
        <v>0</v>
      </c>
      <c r="JB348" s="561">
        <v>0</v>
      </c>
      <c r="JC348" s="561">
        <v>6598</v>
      </c>
      <c r="JD348" s="561">
        <v>959</v>
      </c>
      <c r="JE348" s="561">
        <v>19735</v>
      </c>
      <c r="JF348" s="561">
        <v>19407</v>
      </c>
      <c r="JG348" s="561">
        <v>1258</v>
      </c>
      <c r="JH348" s="561">
        <v>0</v>
      </c>
      <c r="JI348" s="561">
        <v>0</v>
      </c>
      <c r="JJ348" s="561">
        <v>0</v>
      </c>
      <c r="JK348" s="561">
        <v>5524</v>
      </c>
      <c r="JL348" s="561">
        <v>0</v>
      </c>
      <c r="JM348" s="561">
        <v>0</v>
      </c>
      <c r="JN348" s="561">
        <v>0</v>
      </c>
      <c r="JO348" s="561">
        <v>0</v>
      </c>
      <c r="JP348" s="561">
        <v>-139</v>
      </c>
      <c r="JQ348" s="561">
        <v>0</v>
      </c>
      <c r="JR348" s="561">
        <v>0</v>
      </c>
      <c r="JS348" s="561">
        <v>0</v>
      </c>
      <c r="JT348" s="561">
        <v>-13</v>
      </c>
      <c r="JU348" s="561">
        <v>0</v>
      </c>
      <c r="JV348" s="561">
        <v>45772</v>
      </c>
      <c r="JW348" s="561">
        <v>0</v>
      </c>
      <c r="JX348" s="561">
        <v>1414</v>
      </c>
      <c r="JY348" s="561">
        <v>0</v>
      </c>
      <c r="JZ348" s="561">
        <v>0</v>
      </c>
      <c r="KA348" s="561">
        <v>0</v>
      </c>
      <c r="KB348" s="561">
        <v>281</v>
      </c>
      <c r="KC348" s="561">
        <v>1579</v>
      </c>
      <c r="KD348" s="561">
        <v>0</v>
      </c>
      <c r="KE348" s="561">
        <v>616</v>
      </c>
      <c r="KF348" s="561">
        <v>0</v>
      </c>
      <c r="KG348" s="561">
        <v>49662</v>
      </c>
      <c r="KH348" s="561">
        <v>-2017</v>
      </c>
      <c r="KI348" s="561">
        <v>0</v>
      </c>
      <c r="KJ348" s="561">
        <v>0</v>
      </c>
      <c r="KK348" s="561">
        <v>0</v>
      </c>
      <c r="KL348" s="561">
        <v>-20303</v>
      </c>
      <c r="KM348" s="561">
        <v>0</v>
      </c>
      <c r="KN348" s="561">
        <v>0</v>
      </c>
      <c r="KO348" s="561">
        <v>0</v>
      </c>
      <c r="KP348" s="561">
        <v>0</v>
      </c>
      <c r="KQ348" s="561">
        <v>0</v>
      </c>
      <c r="KR348" s="561">
        <v>27342</v>
      </c>
      <c r="KS348" s="561">
        <v>0</v>
      </c>
      <c r="KT348" s="561">
        <v>-3502</v>
      </c>
      <c r="KU348" s="561">
        <v>23840</v>
      </c>
      <c r="KV348" s="561">
        <v>0</v>
      </c>
      <c r="KW348" s="561">
        <v>0</v>
      </c>
      <c r="KX348" s="561">
        <v>0</v>
      </c>
      <c r="KY348" s="561">
        <v>0</v>
      </c>
      <c r="KZ348" s="561">
        <v>-1640</v>
      </c>
      <c r="LA348" s="561">
        <v>66</v>
      </c>
      <c r="LB348" s="561">
        <v>-261</v>
      </c>
      <c r="LC348" s="561">
        <v>0</v>
      </c>
      <c r="LD348" s="561">
        <v>-6219</v>
      </c>
      <c r="LE348" s="561">
        <v>-252</v>
      </c>
      <c r="LF348" s="561">
        <v>-5</v>
      </c>
      <c r="LG348" s="561">
        <v>15529</v>
      </c>
      <c r="LH348" s="561">
        <v>0</v>
      </c>
      <c r="LI348" s="561">
        <v>0</v>
      </c>
      <c r="LJ348" s="561">
        <v>0</v>
      </c>
      <c r="LK348" s="561">
        <v>0</v>
      </c>
      <c r="LL348" s="561">
        <v>23187</v>
      </c>
      <c r="LM348" s="561">
        <v>2434</v>
      </c>
      <c r="LN348" s="561">
        <v>0</v>
      </c>
      <c r="LO348" s="561">
        <v>0</v>
      </c>
      <c r="LP348" s="561">
        <v>0</v>
      </c>
      <c r="LQ348" s="561">
        <v>0</v>
      </c>
      <c r="LR348" s="561">
        <v>21547</v>
      </c>
      <c r="LS348" s="561">
        <v>2500</v>
      </c>
      <c r="LT348" s="561">
        <v>0</v>
      </c>
      <c r="LU348" s="561">
        <v>0</v>
      </c>
      <c r="LV348" s="561">
        <v>0</v>
      </c>
      <c r="LW348" s="561">
        <v>0</v>
      </c>
      <c r="LX348" s="561">
        <v>0</v>
      </c>
      <c r="LY348" s="561">
        <v>0</v>
      </c>
      <c r="LZ348" s="561">
        <v>0</v>
      </c>
      <c r="MA348" s="561">
        <v>0</v>
      </c>
      <c r="MB348" s="561">
        <v>0</v>
      </c>
      <c r="MC348" s="561">
        <v>0</v>
      </c>
      <c r="MD348" s="561">
        <v>0</v>
      </c>
      <c r="ME348" s="561">
        <v>0</v>
      </c>
      <c r="MF348" s="561">
        <v>0</v>
      </c>
      <c r="MG348" s="561">
        <v>0</v>
      </c>
      <c r="MH348" s="561">
        <v>5145</v>
      </c>
      <c r="MI348" s="561">
        <v>5437</v>
      </c>
      <c r="MJ348" s="561">
        <v>10582</v>
      </c>
      <c r="MK348" s="561">
        <v>0</v>
      </c>
      <c r="ML348" s="561">
        <v>0</v>
      </c>
      <c r="MM348" s="561">
        <v>9849</v>
      </c>
      <c r="MN348" s="561">
        <v>0</v>
      </c>
      <c r="MO348" s="561">
        <v>11698</v>
      </c>
      <c r="MP348" s="561">
        <v>0</v>
      </c>
      <c r="MQ348" s="561">
        <v>0</v>
      </c>
      <c r="MR348" s="561">
        <v>-3400</v>
      </c>
      <c r="MS348" s="561">
        <v>0</v>
      </c>
      <c r="MT348" s="561">
        <v>0</v>
      </c>
      <c r="MU348" s="561">
        <v>0</v>
      </c>
      <c r="MV348" s="561">
        <v>2299</v>
      </c>
      <c r="MW348" s="561">
        <v>2645</v>
      </c>
      <c r="MX348" s="561">
        <v>8509</v>
      </c>
      <c r="MY348" s="561">
        <v>2125</v>
      </c>
      <c r="MZ348" s="561">
        <v>0</v>
      </c>
      <c r="NA348" s="561">
        <v>0</v>
      </c>
      <c r="NB348" s="561">
        <v>6598</v>
      </c>
      <c r="NC348" s="561">
        <v>959</v>
      </c>
      <c r="ND348" s="561">
        <v>19735</v>
      </c>
      <c r="NE348" s="561">
        <v>0</v>
      </c>
      <c r="NF348" s="561">
        <v>0</v>
      </c>
      <c r="NG348" s="561">
        <v>0</v>
      </c>
      <c r="NH348" s="561">
        <v>0</v>
      </c>
      <c r="NI348" s="561">
        <v>0</v>
      </c>
      <c r="NJ348" s="561">
        <v>0</v>
      </c>
      <c r="NK348" s="561">
        <v>0</v>
      </c>
      <c r="NL348" s="561">
        <v>0</v>
      </c>
      <c r="NM348" s="561">
        <v>0</v>
      </c>
      <c r="NN348" s="561">
        <v>0</v>
      </c>
      <c r="NO348" s="561">
        <v>0</v>
      </c>
      <c r="NP348" s="561">
        <v>0</v>
      </c>
      <c r="NQ348" s="561">
        <v>0</v>
      </c>
      <c r="NR348" s="561">
        <v>0</v>
      </c>
      <c r="NS348" s="561">
        <v>0</v>
      </c>
      <c r="NT348" s="561">
        <v>-384</v>
      </c>
      <c r="NU348" s="561">
        <v>0</v>
      </c>
      <c r="NV348" s="561">
        <v>235</v>
      </c>
      <c r="NW348" s="561">
        <v>-139</v>
      </c>
      <c r="NX348" s="561">
        <v>0</v>
      </c>
      <c r="NY348" s="561">
        <v>-139</v>
      </c>
      <c r="NZ348" s="561">
        <v>0</v>
      </c>
      <c r="OA348" s="561">
        <v>0</v>
      </c>
      <c r="OB348" s="561">
        <v>0</v>
      </c>
      <c r="OC348" s="561">
        <v>0</v>
      </c>
      <c r="OD348" s="561">
        <v>0</v>
      </c>
      <c r="OE348" s="561">
        <v>0</v>
      </c>
      <c r="OF348" s="561">
        <v>0</v>
      </c>
      <c r="OG348" s="561">
        <v>0</v>
      </c>
      <c r="OH348" s="561">
        <v>0</v>
      </c>
      <c r="OI348" s="561">
        <v>0</v>
      </c>
      <c r="OJ348" s="561">
        <v>0</v>
      </c>
      <c r="OK348" s="561">
        <v>0</v>
      </c>
      <c r="OL348" s="561">
        <v>0</v>
      </c>
      <c r="OM348" s="561">
        <v>0</v>
      </c>
      <c r="ON348" s="561">
        <v>0</v>
      </c>
      <c r="OO348" s="561">
        <v>0</v>
      </c>
      <c r="OP348" s="561">
        <v>0</v>
      </c>
      <c r="OQ348" s="561">
        <v>0</v>
      </c>
      <c r="OR348" s="561">
        <v>0</v>
      </c>
      <c r="OS348" s="561">
        <v>0</v>
      </c>
      <c r="OT348" s="561">
        <v>0</v>
      </c>
      <c r="OU348" s="561">
        <v>0</v>
      </c>
      <c r="OV348" s="561">
        <v>0</v>
      </c>
      <c r="OW348" s="561">
        <v>0</v>
      </c>
      <c r="OX348" s="561">
        <v>0</v>
      </c>
      <c r="OY348" s="561">
        <v>0</v>
      </c>
      <c r="OZ348" s="561">
        <v>0</v>
      </c>
      <c r="PA348" s="561">
        <v>0</v>
      </c>
      <c r="PB348" s="561">
        <v>0</v>
      </c>
      <c r="PC348" s="561">
        <v>0</v>
      </c>
      <c r="PD348" s="561">
        <v>0</v>
      </c>
      <c r="PE348" s="561">
        <v>0</v>
      </c>
      <c r="PF348" s="561">
        <v>0</v>
      </c>
      <c r="PG348" s="561">
        <v>0</v>
      </c>
      <c r="PH348" s="561">
        <v>0</v>
      </c>
      <c r="PI348" s="561">
        <v>0</v>
      </c>
      <c r="PJ348" s="561">
        <v>0</v>
      </c>
    </row>
    <row r="349" spans="1:426" ht="14" x14ac:dyDescent="0.3">
      <c r="A349" t="s">
        <v>3490</v>
      </c>
      <c r="B349" t="s">
        <v>3491</v>
      </c>
      <c r="C349" t="s">
        <v>4672</v>
      </c>
      <c r="E349" t="s">
        <v>385</v>
      </c>
      <c r="F349" s="561">
        <v>22433</v>
      </c>
      <c r="G349" s="561">
        <v>74711</v>
      </c>
      <c r="H349" s="561">
        <v>6961</v>
      </c>
      <c r="I349" s="561">
        <v>24305</v>
      </c>
      <c r="J349" s="561">
        <v>4866</v>
      </c>
      <c r="K349" s="561">
        <v>17205</v>
      </c>
      <c r="L349" s="561">
        <v>150481</v>
      </c>
      <c r="M349" s="561">
        <v>0</v>
      </c>
      <c r="N349" s="561">
        <v>-558</v>
      </c>
      <c r="O349" s="561">
        <v>201</v>
      </c>
      <c r="P349" s="561">
        <v>-8</v>
      </c>
      <c r="Q349" s="561">
        <v>-16</v>
      </c>
      <c r="R349" s="561">
        <v>69</v>
      </c>
      <c r="S349" s="561">
        <v>701</v>
      </c>
      <c r="T349" s="561">
        <v>1295</v>
      </c>
      <c r="U349" s="561">
        <v>484</v>
      </c>
      <c r="V349" s="561">
        <v>682</v>
      </c>
      <c r="W349" s="561">
        <v>0</v>
      </c>
      <c r="X349" s="561">
        <v>0</v>
      </c>
      <c r="Y349" s="561">
        <v>127</v>
      </c>
      <c r="Z349" s="561">
        <v>64</v>
      </c>
      <c r="AA349" s="561">
        <v>0</v>
      </c>
      <c r="AB349" s="561">
        <v>-191</v>
      </c>
      <c r="AC349" s="561">
        <v>1654</v>
      </c>
      <c r="AD349" s="561">
        <v>0</v>
      </c>
      <c r="AE349" s="561">
        <v>1704</v>
      </c>
      <c r="AF349" s="561">
        <v>0</v>
      </c>
      <c r="AG349" s="561">
        <v>0</v>
      </c>
      <c r="AH349" s="561">
        <v>16</v>
      </c>
      <c r="AI349" s="561">
        <v>0</v>
      </c>
      <c r="AJ349" s="561">
        <v>6224</v>
      </c>
      <c r="AK349" s="561">
        <v>0</v>
      </c>
      <c r="AL349" s="561">
        <v>0</v>
      </c>
      <c r="AM349" s="561">
        <v>0</v>
      </c>
      <c r="AN349" s="561">
        <v>0</v>
      </c>
      <c r="AO349" s="561">
        <v>0</v>
      </c>
      <c r="AP349" s="561">
        <v>0</v>
      </c>
      <c r="AQ349" s="561">
        <v>0</v>
      </c>
      <c r="AR349" s="561">
        <v>0</v>
      </c>
      <c r="AS349" s="561">
        <v>0</v>
      </c>
      <c r="AT349" s="561">
        <v>0</v>
      </c>
      <c r="AU349" s="561">
        <v>0</v>
      </c>
      <c r="AV349" s="561">
        <v>0</v>
      </c>
      <c r="AW349" s="561">
        <v>0</v>
      </c>
      <c r="AX349" s="561">
        <v>331</v>
      </c>
      <c r="AY349" s="561">
        <v>30767</v>
      </c>
      <c r="AZ349" s="561">
        <v>804</v>
      </c>
      <c r="BA349" s="561">
        <v>7151</v>
      </c>
      <c r="BB349" s="561">
        <v>287</v>
      </c>
      <c r="BC349" s="561">
        <v>14368</v>
      </c>
      <c r="BD349" s="561">
        <v>2214</v>
      </c>
      <c r="BE349" s="561">
        <v>1541</v>
      </c>
      <c r="BF349" s="561">
        <v>57463</v>
      </c>
      <c r="BG349" s="561">
        <v>910</v>
      </c>
      <c r="BH349" s="561">
        <v>6545</v>
      </c>
      <c r="BI349" s="561">
        <v>25236</v>
      </c>
      <c r="BJ349" s="561">
        <v>247</v>
      </c>
      <c r="BK349" s="561">
        <v>340</v>
      </c>
      <c r="BL349" s="561">
        <v>431</v>
      </c>
      <c r="BM349" s="561">
        <v>5385</v>
      </c>
      <c r="BN349" s="561">
        <v>31445</v>
      </c>
      <c r="BO349" s="561">
        <v>3075</v>
      </c>
      <c r="BP349" s="561">
        <v>2662</v>
      </c>
      <c r="BQ349" s="561">
        <v>2183</v>
      </c>
      <c r="BR349" s="561">
        <v>88</v>
      </c>
      <c r="BS349" s="561">
        <v>0</v>
      </c>
      <c r="BT349" s="561">
        <v>469</v>
      </c>
      <c r="BU349" s="561">
        <v>962</v>
      </c>
      <c r="BV349" s="561">
        <v>-23</v>
      </c>
      <c r="BW349" s="561">
        <v>6767</v>
      </c>
      <c r="BX349" s="561">
        <v>243</v>
      </c>
      <c r="BY349" s="561">
        <v>4489</v>
      </c>
      <c r="BZ349" s="561">
        <v>90544</v>
      </c>
      <c r="CA349" s="561">
        <v>1674</v>
      </c>
      <c r="CB349" s="561">
        <v>625</v>
      </c>
      <c r="CC349" s="561">
        <v>486</v>
      </c>
      <c r="CD349" s="561">
        <v>278</v>
      </c>
      <c r="CE349" s="561">
        <v>159</v>
      </c>
      <c r="CF349" s="561">
        <v>254</v>
      </c>
      <c r="CG349" s="561">
        <v>52</v>
      </c>
      <c r="CH349" s="561">
        <v>85</v>
      </c>
      <c r="CI349" s="561">
        <v>537</v>
      </c>
      <c r="CJ349" s="561">
        <v>460</v>
      </c>
      <c r="CK349" s="561">
        <v>388</v>
      </c>
      <c r="CL349" s="561">
        <v>479</v>
      </c>
      <c r="CM349" s="561">
        <v>664</v>
      </c>
      <c r="CN349" s="561">
        <v>664</v>
      </c>
      <c r="CO349" s="561">
        <v>664</v>
      </c>
      <c r="CP349" s="561">
        <v>771</v>
      </c>
      <c r="CQ349" s="561">
        <v>155</v>
      </c>
      <c r="CR349" s="561">
        <v>466</v>
      </c>
      <c r="CS349" s="561">
        <v>91</v>
      </c>
      <c r="CT349" s="561">
        <v>1721</v>
      </c>
      <c r="CU349" s="561">
        <v>1866</v>
      </c>
      <c r="CV349" s="561">
        <v>1093</v>
      </c>
      <c r="CW349" s="561">
        <v>0</v>
      </c>
      <c r="CX349" s="561">
        <v>397</v>
      </c>
      <c r="CY349" s="561">
        <v>3483</v>
      </c>
      <c r="CZ349" s="561">
        <v>15838</v>
      </c>
      <c r="DA349" s="561">
        <v>0</v>
      </c>
      <c r="DB349" s="561">
        <v>0</v>
      </c>
      <c r="DC349" s="561">
        <v>0</v>
      </c>
      <c r="DD349" s="561">
        <v>0</v>
      </c>
      <c r="DE349" s="561">
        <v>0</v>
      </c>
      <c r="DF349" s="561">
        <v>0</v>
      </c>
      <c r="DG349" s="561">
        <v>0</v>
      </c>
      <c r="DH349" s="561">
        <v>1284</v>
      </c>
      <c r="DI349" s="561">
        <v>0</v>
      </c>
      <c r="DJ349" s="561">
        <v>124</v>
      </c>
      <c r="DK349" s="561">
        <v>444</v>
      </c>
      <c r="DL349" s="561">
        <v>0</v>
      </c>
      <c r="DM349" s="561">
        <v>-154</v>
      </c>
      <c r="DN349" s="561">
        <v>-6</v>
      </c>
      <c r="DO349" s="561">
        <v>0</v>
      </c>
      <c r="DP349" s="561">
        <v>79</v>
      </c>
      <c r="DQ349" s="561">
        <v>0</v>
      </c>
      <c r="DR349" s="561">
        <v>0</v>
      </c>
      <c r="DS349" s="561">
        <v>1030</v>
      </c>
      <c r="DT349" s="561">
        <v>103</v>
      </c>
      <c r="DU349" s="561">
        <v>1052</v>
      </c>
      <c r="DV349" s="561">
        <v>0</v>
      </c>
      <c r="DW349" s="561">
        <v>0</v>
      </c>
      <c r="DX349" s="561">
        <v>0</v>
      </c>
      <c r="DY349" s="561">
        <v>944</v>
      </c>
      <c r="DZ349" s="561">
        <v>126</v>
      </c>
      <c r="EA349" s="561">
        <v>122</v>
      </c>
      <c r="EB349" s="561">
        <v>0</v>
      </c>
      <c r="EC349" s="561">
        <v>4096</v>
      </c>
      <c r="ED349" s="561">
        <v>0</v>
      </c>
      <c r="EE349" s="561">
        <v>0</v>
      </c>
      <c r="EF349" s="561">
        <v>0</v>
      </c>
      <c r="EG349" s="561">
        <v>0</v>
      </c>
      <c r="EH349" s="561">
        <v>0</v>
      </c>
      <c r="EI349" s="561">
        <v>0</v>
      </c>
      <c r="EJ349" s="561">
        <v>0</v>
      </c>
      <c r="EK349" s="561">
        <v>0</v>
      </c>
      <c r="EL349" s="561">
        <v>0</v>
      </c>
      <c r="EM349" s="561">
        <v>0</v>
      </c>
      <c r="EN349" s="561">
        <v>0</v>
      </c>
      <c r="EO349" s="561">
        <v>0</v>
      </c>
      <c r="EP349" s="561">
        <v>0</v>
      </c>
      <c r="EQ349" s="561">
        <v>0</v>
      </c>
      <c r="ER349" s="561">
        <v>0</v>
      </c>
      <c r="ES349" s="561" t="s">
        <v>4565</v>
      </c>
      <c r="ET349" s="561">
        <v>0</v>
      </c>
      <c r="EU349" s="561">
        <v>0</v>
      </c>
      <c r="EV349" s="561">
        <v>0</v>
      </c>
      <c r="EW349" s="561">
        <v>0</v>
      </c>
      <c r="EX349" s="561">
        <v>0</v>
      </c>
      <c r="EY349" s="561">
        <v>0</v>
      </c>
      <c r="EZ349" s="561">
        <v>0</v>
      </c>
      <c r="FA349" s="561">
        <v>0</v>
      </c>
      <c r="FB349" s="561">
        <v>35</v>
      </c>
      <c r="FC349" s="561">
        <v>0</v>
      </c>
      <c r="FD349" s="561">
        <v>49</v>
      </c>
      <c r="FE349" s="561">
        <v>0</v>
      </c>
      <c r="FF349" s="561">
        <v>1535</v>
      </c>
      <c r="FG349" s="561">
        <v>-1</v>
      </c>
      <c r="FH349" s="561">
        <v>0</v>
      </c>
      <c r="FI349" s="561">
        <v>44</v>
      </c>
      <c r="FJ349" s="561">
        <v>2570</v>
      </c>
      <c r="FK349" s="561">
        <v>4709</v>
      </c>
      <c r="FL349" s="561">
        <v>0</v>
      </c>
      <c r="FM349" s="561">
        <v>109</v>
      </c>
      <c r="FN349" s="561">
        <v>1457</v>
      </c>
      <c r="FO349" s="561">
        <v>10507</v>
      </c>
      <c r="FP349" s="561">
        <v>0</v>
      </c>
      <c r="FQ349" s="561">
        <v>68</v>
      </c>
      <c r="FR349" s="561">
        <v>348</v>
      </c>
      <c r="FS349" s="561">
        <v>0</v>
      </c>
      <c r="FT349" s="561">
        <v>459</v>
      </c>
      <c r="FU349" s="561">
        <v>338</v>
      </c>
      <c r="FV349" s="561">
        <v>0</v>
      </c>
      <c r="FW349" s="561">
        <v>111</v>
      </c>
      <c r="FX349" s="561">
        <v>0</v>
      </c>
      <c r="FY349" s="561">
        <v>0</v>
      </c>
      <c r="FZ349" s="561">
        <v>11</v>
      </c>
      <c r="GA349" s="561">
        <v>38</v>
      </c>
      <c r="GB349" s="561">
        <v>25</v>
      </c>
      <c r="GC349" s="561">
        <v>124</v>
      </c>
      <c r="GD349" s="561">
        <v>211</v>
      </c>
      <c r="GE349" s="561">
        <v>1311</v>
      </c>
      <c r="GF349" s="561">
        <v>76</v>
      </c>
      <c r="GG349" s="561">
        <v>292</v>
      </c>
      <c r="GH349" s="561">
        <v>0</v>
      </c>
      <c r="GI349" s="561">
        <v>0</v>
      </c>
      <c r="GJ349" s="561">
        <v>0</v>
      </c>
      <c r="GK349" s="561">
        <v>0</v>
      </c>
      <c r="GL349" s="561">
        <v>2077</v>
      </c>
      <c r="GM349" s="561">
        <v>4489</v>
      </c>
      <c r="GN349" s="561">
        <v>8341</v>
      </c>
      <c r="GO349" s="561">
        <v>0</v>
      </c>
      <c r="GP349" s="561">
        <v>3714</v>
      </c>
      <c r="GQ349" s="561">
        <v>71</v>
      </c>
      <c r="GR349" s="561">
        <v>97</v>
      </c>
      <c r="GS349" s="561">
        <v>22201</v>
      </c>
      <c r="GT349" s="561">
        <v>0</v>
      </c>
      <c r="GU349" s="561">
        <v>431</v>
      </c>
      <c r="GV349" s="561">
        <v>990</v>
      </c>
      <c r="GW349" s="561">
        <v>0</v>
      </c>
      <c r="GX349" s="561">
        <v>356</v>
      </c>
      <c r="GY349" s="561">
        <v>74</v>
      </c>
      <c r="GZ349" s="561">
        <v>2482</v>
      </c>
      <c r="HA349" s="561">
        <v>0</v>
      </c>
      <c r="HB349" s="561">
        <v>213</v>
      </c>
      <c r="HC349" s="561">
        <v>1239</v>
      </c>
      <c r="HD349" s="561">
        <v>5785</v>
      </c>
      <c r="HE349" s="561">
        <v>0</v>
      </c>
      <c r="HF349" s="561">
        <v>38493</v>
      </c>
      <c r="HG349" s="561">
        <v>0</v>
      </c>
      <c r="HH349" s="561">
        <v>0</v>
      </c>
      <c r="HI349" s="561">
        <v>0</v>
      </c>
      <c r="HJ349" s="561">
        <v>0</v>
      </c>
      <c r="HK349" s="561">
        <v>0</v>
      </c>
      <c r="HL349" s="561">
        <v>0</v>
      </c>
      <c r="HM349" s="561">
        <v>0</v>
      </c>
      <c r="HN349" s="561">
        <v>0</v>
      </c>
      <c r="HO349" s="561">
        <v>5389</v>
      </c>
      <c r="HP349" s="561">
        <v>1017</v>
      </c>
      <c r="HQ349" s="561">
        <v>0</v>
      </c>
      <c r="HR349" s="561">
        <v>0</v>
      </c>
      <c r="HS349" s="561">
        <v>592</v>
      </c>
      <c r="HT349" s="561">
        <v>704</v>
      </c>
      <c r="HU349" s="561">
        <v>0</v>
      </c>
      <c r="HV349" s="561">
        <v>54</v>
      </c>
      <c r="HW349" s="561">
        <v>384</v>
      </c>
      <c r="HX349" s="561">
        <v>1123</v>
      </c>
      <c r="HY349" s="561">
        <v>58</v>
      </c>
      <c r="HZ349" s="561">
        <v>-46</v>
      </c>
      <c r="IA349" s="561">
        <v>82</v>
      </c>
      <c r="IB349" s="561">
        <v>-42</v>
      </c>
      <c r="IC349" s="561">
        <v>349</v>
      </c>
      <c r="ID349" s="561">
        <v>2</v>
      </c>
      <c r="IE349" s="561">
        <v>733</v>
      </c>
      <c r="IF349" s="561">
        <v>0</v>
      </c>
      <c r="IG349" s="561">
        <v>0</v>
      </c>
      <c r="IH349" s="561">
        <v>-3110</v>
      </c>
      <c r="II349" s="561">
        <v>7289</v>
      </c>
      <c r="IJ349" s="561">
        <v>0</v>
      </c>
      <c r="IK349" s="561">
        <v>16106</v>
      </c>
      <c r="IL349" s="561">
        <v>24361</v>
      </c>
      <c r="IM349" s="561">
        <v>0</v>
      </c>
      <c r="IN349" s="561">
        <v>0</v>
      </c>
      <c r="IO349" s="561">
        <v>1206</v>
      </c>
      <c r="IP349" s="561">
        <v>3957</v>
      </c>
      <c r="IQ349" s="561">
        <v>0</v>
      </c>
      <c r="IR349" s="561">
        <v>150481</v>
      </c>
      <c r="IS349" s="561">
        <v>6224</v>
      </c>
      <c r="IT349" s="561">
        <v>57463</v>
      </c>
      <c r="IU349" s="561">
        <v>90544</v>
      </c>
      <c r="IV349" s="561">
        <v>15838</v>
      </c>
      <c r="IW349" s="561">
        <v>4096</v>
      </c>
      <c r="IX349" s="561">
        <v>10507</v>
      </c>
      <c r="IY349" s="561">
        <v>22201</v>
      </c>
      <c r="IZ349" s="561">
        <v>5785</v>
      </c>
      <c r="JA349" s="561">
        <v>0</v>
      </c>
      <c r="JB349" s="561">
        <v>0</v>
      </c>
      <c r="JC349" s="561">
        <v>7289</v>
      </c>
      <c r="JD349" s="561">
        <v>3957</v>
      </c>
      <c r="JE349" s="561">
        <v>374385</v>
      </c>
      <c r="JF349" s="561">
        <v>48804</v>
      </c>
      <c r="JG349" s="561">
        <v>1259</v>
      </c>
      <c r="JH349" s="561">
        <v>0</v>
      </c>
      <c r="JI349" s="561">
        <v>0</v>
      </c>
      <c r="JJ349" s="561">
        <v>0</v>
      </c>
      <c r="JK349" s="561">
        <v>6139</v>
      </c>
      <c r="JL349" s="561">
        <v>0</v>
      </c>
      <c r="JM349" s="561">
        <v>0</v>
      </c>
      <c r="JN349" s="561">
        <v>0</v>
      </c>
      <c r="JO349" s="561">
        <v>0</v>
      </c>
      <c r="JP349" s="561">
        <v>-10871</v>
      </c>
      <c r="JQ349" s="561">
        <v>-1262</v>
      </c>
      <c r="JR349" s="561">
        <v>2727</v>
      </c>
      <c r="JS349" s="561">
        <v>0</v>
      </c>
      <c r="JT349" s="561">
        <v>0</v>
      </c>
      <c r="JU349" s="561">
        <v>0</v>
      </c>
      <c r="JV349" s="561">
        <v>421181</v>
      </c>
      <c r="JW349" s="561">
        <v>70</v>
      </c>
      <c r="JX349" s="561">
        <v>257</v>
      </c>
      <c r="JY349" s="561">
        <v>0</v>
      </c>
      <c r="JZ349" s="561">
        <v>-1136</v>
      </c>
      <c r="KA349" s="561">
        <v>0</v>
      </c>
      <c r="KB349" s="561">
        <v>0</v>
      </c>
      <c r="KC349" s="561">
        <v>1731</v>
      </c>
      <c r="KD349" s="561">
        <v>0</v>
      </c>
      <c r="KE349" s="561">
        <v>16579</v>
      </c>
      <c r="KF349" s="561">
        <v>0</v>
      </c>
      <c r="KG349" s="561">
        <v>438682</v>
      </c>
      <c r="KH349" s="561">
        <v>-4689</v>
      </c>
      <c r="KI349" s="561">
        <v>1087</v>
      </c>
      <c r="KJ349" s="561">
        <v>0</v>
      </c>
      <c r="KK349" s="561">
        <v>0</v>
      </c>
      <c r="KL349" s="561">
        <v>-53201</v>
      </c>
      <c r="KM349" s="561">
        <v>0</v>
      </c>
      <c r="KN349" s="561">
        <v>0</v>
      </c>
      <c r="KO349" s="561">
        <v>0</v>
      </c>
      <c r="KP349" s="561">
        <v>0</v>
      </c>
      <c r="KQ349" s="561">
        <v>-2839</v>
      </c>
      <c r="KR349" s="561">
        <v>379040</v>
      </c>
      <c r="KS349" s="561">
        <v>0</v>
      </c>
      <c r="KT349" s="561">
        <v>-205182</v>
      </c>
      <c r="KU349" s="561">
        <v>173858</v>
      </c>
      <c r="KV349" s="561">
        <v>0</v>
      </c>
      <c r="KW349" s="561">
        <v>-1726</v>
      </c>
      <c r="KX349" s="561">
        <v>0</v>
      </c>
      <c r="KY349" s="561">
        <v>-732</v>
      </c>
      <c r="KZ349" s="561">
        <v>-7388</v>
      </c>
      <c r="LA349" s="561">
        <v>-162</v>
      </c>
      <c r="LB349" s="561">
        <v>-12393</v>
      </c>
      <c r="LC349" s="561">
        <v>0</v>
      </c>
      <c r="LD349" s="561">
        <v>-56949</v>
      </c>
      <c r="LE349" s="561">
        <v>-1416</v>
      </c>
      <c r="LF349" s="561">
        <v>0</v>
      </c>
      <c r="LG349" s="561">
        <v>93092</v>
      </c>
      <c r="LH349" s="561">
        <v>8656</v>
      </c>
      <c r="LI349" s="561">
        <v>-1823</v>
      </c>
      <c r="LJ349" s="561">
        <v>0</v>
      </c>
      <c r="LK349" s="561">
        <v>2271</v>
      </c>
      <c r="LL349" s="561">
        <v>56580</v>
      </c>
      <c r="LM349" s="561">
        <v>26448</v>
      </c>
      <c r="LN349" s="561">
        <v>6930</v>
      </c>
      <c r="LO349" s="561">
        <v>-4662</v>
      </c>
      <c r="LP349" s="561">
        <v>0</v>
      </c>
      <c r="LQ349" s="561">
        <v>1539</v>
      </c>
      <c r="LR349" s="561">
        <v>49192</v>
      </c>
      <c r="LS349" s="561">
        <v>26286</v>
      </c>
      <c r="LT349" s="561">
        <v>0</v>
      </c>
      <c r="LU349" s="561">
        <v>20312</v>
      </c>
      <c r="LV349" s="561">
        <v>0</v>
      </c>
      <c r="LW349" s="561">
        <v>24202</v>
      </c>
      <c r="LX349" s="561">
        <v>0</v>
      </c>
      <c r="LY349" s="561">
        <v>0</v>
      </c>
      <c r="LZ349" s="561">
        <v>44514</v>
      </c>
      <c r="MA349" s="561">
        <v>0</v>
      </c>
      <c r="MB349" s="561">
        <v>0</v>
      </c>
      <c r="MC349" s="561">
        <v>0</v>
      </c>
      <c r="MD349" s="561">
        <v>0</v>
      </c>
      <c r="ME349" s="561">
        <v>0</v>
      </c>
      <c r="MF349" s="561">
        <v>0</v>
      </c>
      <c r="MG349" s="561">
        <v>0</v>
      </c>
      <c r="MH349" s="561">
        <v>5656</v>
      </c>
      <c r="MI349" s="561">
        <v>7196</v>
      </c>
      <c r="MJ349" s="561">
        <v>12852</v>
      </c>
      <c r="MK349" s="561">
        <v>33</v>
      </c>
      <c r="ML349" s="561">
        <v>1504</v>
      </c>
      <c r="MM349" s="561">
        <v>24030</v>
      </c>
      <c r="MN349" s="561">
        <v>22433</v>
      </c>
      <c r="MO349" s="561">
        <v>0</v>
      </c>
      <c r="MP349" s="561">
        <v>1225</v>
      </c>
      <c r="MQ349" s="561">
        <v>150481</v>
      </c>
      <c r="MR349" s="561">
        <v>6224</v>
      </c>
      <c r="MS349" s="561">
        <v>57463</v>
      </c>
      <c r="MT349" s="561">
        <v>90544</v>
      </c>
      <c r="MU349" s="561">
        <v>15838</v>
      </c>
      <c r="MV349" s="561">
        <v>4096</v>
      </c>
      <c r="MW349" s="561">
        <v>10507</v>
      </c>
      <c r="MX349" s="561">
        <v>22201</v>
      </c>
      <c r="MY349" s="561">
        <v>5785</v>
      </c>
      <c r="MZ349" s="561">
        <v>0</v>
      </c>
      <c r="NA349" s="561">
        <v>0</v>
      </c>
      <c r="NB349" s="561">
        <v>7289</v>
      </c>
      <c r="NC349" s="561">
        <v>3957</v>
      </c>
      <c r="ND349" s="561">
        <v>374385</v>
      </c>
      <c r="NE349" s="561">
        <v>0</v>
      </c>
      <c r="NF349" s="561">
        <v>0</v>
      </c>
      <c r="NG349" s="561">
        <v>0</v>
      </c>
      <c r="NH349" s="561">
        <v>0</v>
      </c>
      <c r="NI349" s="561">
        <v>0</v>
      </c>
      <c r="NJ349" s="561">
        <v>0</v>
      </c>
      <c r="NK349" s="561">
        <v>0</v>
      </c>
      <c r="NL349" s="561">
        <v>0</v>
      </c>
      <c r="NM349" s="561">
        <v>0</v>
      </c>
      <c r="NN349" s="561">
        <v>0</v>
      </c>
      <c r="NO349" s="561">
        <v>0</v>
      </c>
      <c r="NP349" s="561">
        <v>0</v>
      </c>
      <c r="NQ349" s="561">
        <v>0</v>
      </c>
      <c r="NR349" s="561">
        <v>0</v>
      </c>
      <c r="NS349" s="561">
        <v>0</v>
      </c>
      <c r="NT349" s="561">
        <v>93</v>
      </c>
      <c r="NU349" s="561">
        <v>0</v>
      </c>
      <c r="NV349" s="561">
        <v>62</v>
      </c>
      <c r="NW349" s="561">
        <v>-8144</v>
      </c>
      <c r="NX349" s="561">
        <v>-2727</v>
      </c>
      <c r="NY349" s="561">
        <v>-10871</v>
      </c>
      <c r="NZ349" s="561">
        <v>0</v>
      </c>
      <c r="OA349" s="561">
        <v>0</v>
      </c>
      <c r="OB349" s="561">
        <v>0</v>
      </c>
      <c r="OC349" s="561">
        <v>171</v>
      </c>
      <c r="OD349" s="561">
        <v>0</v>
      </c>
      <c r="OE349" s="561">
        <v>0</v>
      </c>
      <c r="OF349" s="561">
        <v>-91</v>
      </c>
      <c r="OG349" s="561">
        <v>0</v>
      </c>
      <c r="OH349" s="561">
        <v>0</v>
      </c>
      <c r="OI349" s="561">
        <v>-126</v>
      </c>
      <c r="OJ349" s="561">
        <v>-29</v>
      </c>
      <c r="OK349" s="561">
        <v>-270</v>
      </c>
      <c r="OL349" s="561">
        <v>0</v>
      </c>
      <c r="OM349" s="561">
        <v>0</v>
      </c>
      <c r="ON349" s="561">
        <v>-322</v>
      </c>
      <c r="OO349" s="561">
        <v>0</v>
      </c>
      <c r="OP349" s="561">
        <v>-259</v>
      </c>
      <c r="OQ349" s="561">
        <v>0</v>
      </c>
      <c r="OR349" s="561">
        <v>-37</v>
      </c>
      <c r="OS349" s="561">
        <v>0</v>
      </c>
      <c r="OT349" s="561">
        <v>0</v>
      </c>
      <c r="OU349" s="561">
        <v>0</v>
      </c>
      <c r="OV349" s="561">
        <v>0</v>
      </c>
      <c r="OW349" s="561">
        <v>0</v>
      </c>
      <c r="OX349" s="561">
        <v>-1262</v>
      </c>
      <c r="OY349" s="561">
        <v>212</v>
      </c>
      <c r="OZ349" s="561">
        <v>0</v>
      </c>
      <c r="PA349" s="561">
        <v>-2939</v>
      </c>
      <c r="PB349" s="561">
        <v>0</v>
      </c>
      <c r="PC349" s="561">
        <v>0</v>
      </c>
      <c r="PD349" s="561">
        <v>-2727</v>
      </c>
      <c r="PE349" s="561">
        <v>0</v>
      </c>
      <c r="PF349" s="561">
        <v>0</v>
      </c>
      <c r="PG349" s="561">
        <v>0</v>
      </c>
      <c r="PH349" s="561">
        <v>0</v>
      </c>
      <c r="PI349" s="561">
        <v>0</v>
      </c>
      <c r="PJ349" s="561">
        <v>0</v>
      </c>
    </row>
    <row r="350" spans="1:426" ht="14" x14ac:dyDescent="0.3">
      <c r="A350" t="s">
        <v>3493</v>
      </c>
      <c r="B350" t="s">
        <v>3494</v>
      </c>
      <c r="C350" t="s">
        <v>4673</v>
      </c>
      <c r="E350" t="s">
        <v>384</v>
      </c>
      <c r="F350" s="561">
        <v>0</v>
      </c>
      <c r="G350" s="561">
        <v>0</v>
      </c>
      <c r="H350" s="561">
        <v>0</v>
      </c>
      <c r="I350" s="561">
        <v>0</v>
      </c>
      <c r="J350" s="561">
        <v>0</v>
      </c>
      <c r="K350" s="561">
        <v>0</v>
      </c>
      <c r="L350" s="561">
        <v>0</v>
      </c>
      <c r="M350" s="561">
        <v>0</v>
      </c>
      <c r="N350" s="561">
        <v>0</v>
      </c>
      <c r="O350" s="561">
        <v>0</v>
      </c>
      <c r="P350" s="561">
        <v>0</v>
      </c>
      <c r="Q350" s="561">
        <v>0</v>
      </c>
      <c r="R350" s="561">
        <v>0</v>
      </c>
      <c r="S350" s="561">
        <v>0</v>
      </c>
      <c r="T350" s="561">
        <v>107</v>
      </c>
      <c r="U350" s="561">
        <v>0</v>
      </c>
      <c r="V350" s="561">
        <v>42</v>
      </c>
      <c r="W350" s="561">
        <v>0</v>
      </c>
      <c r="X350" s="561">
        <v>0</v>
      </c>
      <c r="Y350" s="561">
        <v>0</v>
      </c>
      <c r="Z350" s="561">
        <v>0</v>
      </c>
      <c r="AA350" s="561">
        <v>0</v>
      </c>
      <c r="AB350" s="561">
        <v>-410</v>
      </c>
      <c r="AC350" s="561">
        <v>0</v>
      </c>
      <c r="AD350" s="561">
        <v>0</v>
      </c>
      <c r="AE350" s="561">
        <v>0</v>
      </c>
      <c r="AF350" s="561">
        <v>0</v>
      </c>
      <c r="AG350" s="561">
        <v>0</v>
      </c>
      <c r="AH350" s="561">
        <v>2</v>
      </c>
      <c r="AI350" s="561">
        <v>0</v>
      </c>
      <c r="AJ350" s="561">
        <v>-259</v>
      </c>
      <c r="AK350" s="561">
        <v>0</v>
      </c>
      <c r="AL350" s="561">
        <v>0</v>
      </c>
      <c r="AM350" s="561">
        <v>0</v>
      </c>
      <c r="AN350" s="561">
        <v>0</v>
      </c>
      <c r="AO350" s="561">
        <v>0</v>
      </c>
      <c r="AP350" s="561">
        <v>0</v>
      </c>
      <c r="AQ350" s="561">
        <v>0</v>
      </c>
      <c r="AR350" s="561">
        <v>0</v>
      </c>
      <c r="AS350" s="561">
        <v>0</v>
      </c>
      <c r="AT350" s="561">
        <v>0</v>
      </c>
      <c r="AU350" s="561">
        <v>0</v>
      </c>
      <c r="AV350" s="561">
        <v>0</v>
      </c>
      <c r="AW350" s="561">
        <v>0</v>
      </c>
      <c r="AX350" s="561">
        <v>0</v>
      </c>
      <c r="AY350" s="561">
        <v>0</v>
      </c>
      <c r="AZ350" s="561">
        <v>0</v>
      </c>
      <c r="BA350" s="561">
        <v>0</v>
      </c>
      <c r="BB350" s="561">
        <v>0</v>
      </c>
      <c r="BC350" s="561">
        <v>0</v>
      </c>
      <c r="BD350" s="561">
        <v>0</v>
      </c>
      <c r="BE350" s="561">
        <v>0</v>
      </c>
      <c r="BF350" s="561">
        <v>0</v>
      </c>
      <c r="BG350" s="561">
        <v>0</v>
      </c>
      <c r="BH350" s="561">
        <v>0</v>
      </c>
      <c r="BI350" s="561">
        <v>0</v>
      </c>
      <c r="BJ350" s="561">
        <v>0</v>
      </c>
      <c r="BK350" s="561">
        <v>0</v>
      </c>
      <c r="BL350" s="561">
        <v>0</v>
      </c>
      <c r="BM350" s="561">
        <v>0</v>
      </c>
      <c r="BN350" s="561">
        <v>0</v>
      </c>
      <c r="BO350" s="561">
        <v>0</v>
      </c>
      <c r="BP350" s="561">
        <v>0</v>
      </c>
      <c r="BQ350" s="561">
        <v>0</v>
      </c>
      <c r="BR350" s="561">
        <v>0</v>
      </c>
      <c r="BS350" s="561">
        <v>0</v>
      </c>
      <c r="BT350" s="561">
        <v>0</v>
      </c>
      <c r="BU350" s="561">
        <v>0</v>
      </c>
      <c r="BV350" s="561">
        <v>728</v>
      </c>
      <c r="BW350" s="561">
        <v>0</v>
      </c>
      <c r="BX350" s="561">
        <v>0</v>
      </c>
      <c r="BY350" s="561">
        <v>0</v>
      </c>
      <c r="BZ350" s="561">
        <v>728</v>
      </c>
      <c r="CA350" s="561">
        <v>0</v>
      </c>
      <c r="CB350" s="561">
        <v>0</v>
      </c>
      <c r="CC350" s="561">
        <v>0</v>
      </c>
      <c r="CD350" s="561">
        <v>0</v>
      </c>
      <c r="CE350" s="561">
        <v>0</v>
      </c>
      <c r="CF350" s="561">
        <v>0</v>
      </c>
      <c r="CG350" s="561">
        <v>0</v>
      </c>
      <c r="CH350" s="561">
        <v>0</v>
      </c>
      <c r="CI350" s="561">
        <v>0</v>
      </c>
      <c r="CJ350" s="561">
        <v>0</v>
      </c>
      <c r="CK350" s="561">
        <v>0</v>
      </c>
      <c r="CL350" s="561">
        <v>0</v>
      </c>
      <c r="CM350" s="561">
        <v>0</v>
      </c>
      <c r="CN350" s="561">
        <v>0</v>
      </c>
      <c r="CO350" s="561">
        <v>0</v>
      </c>
      <c r="CP350" s="561">
        <v>0</v>
      </c>
      <c r="CQ350" s="561">
        <v>0</v>
      </c>
      <c r="CR350" s="561">
        <v>0</v>
      </c>
      <c r="CS350" s="561">
        <v>0</v>
      </c>
      <c r="CT350" s="561">
        <v>13</v>
      </c>
      <c r="CU350" s="561">
        <v>0</v>
      </c>
      <c r="CV350" s="561">
        <v>0</v>
      </c>
      <c r="CW350" s="561">
        <v>0</v>
      </c>
      <c r="CX350" s="561">
        <v>0</v>
      </c>
      <c r="CY350" s="561">
        <v>68</v>
      </c>
      <c r="CZ350" s="561">
        <v>81</v>
      </c>
      <c r="DA350" s="561">
        <v>0</v>
      </c>
      <c r="DB350" s="561">
        <v>0</v>
      </c>
      <c r="DC350" s="561">
        <v>0</v>
      </c>
      <c r="DD350" s="561">
        <v>0</v>
      </c>
      <c r="DE350" s="561">
        <v>0</v>
      </c>
      <c r="DF350" s="561">
        <v>0</v>
      </c>
      <c r="DG350" s="561">
        <v>0</v>
      </c>
      <c r="DH350" s="561">
        <v>99</v>
      </c>
      <c r="DI350" s="561">
        <v>0</v>
      </c>
      <c r="DJ350" s="561">
        <v>237</v>
      </c>
      <c r="DK350" s="561">
        <v>213</v>
      </c>
      <c r="DL350" s="561">
        <v>708</v>
      </c>
      <c r="DM350" s="561">
        <v>0</v>
      </c>
      <c r="DN350" s="561">
        <v>0</v>
      </c>
      <c r="DO350" s="561">
        <v>-3</v>
      </c>
      <c r="DP350" s="561">
        <v>9</v>
      </c>
      <c r="DQ350" s="561">
        <v>0</v>
      </c>
      <c r="DR350" s="561">
        <v>420</v>
      </c>
      <c r="DS350" s="561">
        <v>213</v>
      </c>
      <c r="DT350" s="561">
        <v>709</v>
      </c>
      <c r="DU350" s="561">
        <v>2056</v>
      </c>
      <c r="DV350" s="561">
        <v>252</v>
      </c>
      <c r="DW350" s="561">
        <v>263</v>
      </c>
      <c r="DX350" s="561">
        <v>0</v>
      </c>
      <c r="DY350" s="561">
        <v>722</v>
      </c>
      <c r="DZ350" s="561">
        <v>-12</v>
      </c>
      <c r="EA350" s="561">
        <v>0</v>
      </c>
      <c r="EB350" s="561">
        <v>0</v>
      </c>
      <c r="EC350" s="561">
        <v>3830</v>
      </c>
      <c r="ED350" s="561">
        <v>14</v>
      </c>
      <c r="EE350" s="561">
        <v>16101</v>
      </c>
      <c r="EF350" s="561">
        <v>444</v>
      </c>
      <c r="EG350" s="561">
        <v>635</v>
      </c>
      <c r="EH350" s="561">
        <v>104</v>
      </c>
      <c r="EI350" s="561">
        <v>0</v>
      </c>
      <c r="EJ350" s="561">
        <v>441</v>
      </c>
      <c r="EK350" s="561">
        <v>0</v>
      </c>
      <c r="EL350" s="561">
        <v>0</v>
      </c>
      <c r="EM350" s="561">
        <v>-2</v>
      </c>
      <c r="EN350" s="561">
        <v>6352</v>
      </c>
      <c r="EO350" s="561">
        <v>2654</v>
      </c>
      <c r="EP350" s="561">
        <v>1258</v>
      </c>
      <c r="EQ350" s="561">
        <v>397</v>
      </c>
      <c r="ER350" s="561">
        <v>1140</v>
      </c>
      <c r="ES350" s="561" t="s">
        <v>4565</v>
      </c>
      <c r="ET350" s="561">
        <v>5206</v>
      </c>
      <c r="EU350" s="561">
        <v>1438</v>
      </c>
      <c r="EV350" s="561">
        <v>75</v>
      </c>
      <c r="EW350" s="561">
        <v>0</v>
      </c>
      <c r="EX350" s="561">
        <v>0</v>
      </c>
      <c r="EY350" s="561">
        <v>75</v>
      </c>
      <c r="EZ350" s="561">
        <v>-872</v>
      </c>
      <c r="FA350" s="561">
        <v>6436</v>
      </c>
      <c r="FB350" s="561">
        <v>0</v>
      </c>
      <c r="FC350" s="561">
        <v>61</v>
      </c>
      <c r="FD350" s="561">
        <v>83</v>
      </c>
      <c r="FE350" s="561">
        <v>0</v>
      </c>
      <c r="FF350" s="561">
        <v>422</v>
      </c>
      <c r="FG350" s="561">
        <v>5</v>
      </c>
      <c r="FH350" s="561">
        <v>-71</v>
      </c>
      <c r="FI350" s="561">
        <v>174</v>
      </c>
      <c r="FJ350" s="561">
        <v>1503</v>
      </c>
      <c r="FK350" s="561">
        <v>1686</v>
      </c>
      <c r="FL350" s="561">
        <v>0</v>
      </c>
      <c r="FM350" s="561">
        <v>392</v>
      </c>
      <c r="FN350" s="561">
        <v>0</v>
      </c>
      <c r="FO350" s="561">
        <v>4255</v>
      </c>
      <c r="FP350" s="561">
        <v>0</v>
      </c>
      <c r="FQ350" s="561">
        <v>-436</v>
      </c>
      <c r="FR350" s="561">
        <v>0</v>
      </c>
      <c r="FS350" s="561">
        <v>0</v>
      </c>
      <c r="FT350" s="561">
        <v>534</v>
      </c>
      <c r="FU350" s="561">
        <v>241</v>
      </c>
      <c r="FV350" s="561">
        <v>124</v>
      </c>
      <c r="FW350" s="561">
        <v>55</v>
      </c>
      <c r="FX350" s="561">
        <v>107</v>
      </c>
      <c r="FY350" s="561">
        <v>0</v>
      </c>
      <c r="FZ350" s="561">
        <v>2</v>
      </c>
      <c r="GA350" s="561">
        <v>883</v>
      </c>
      <c r="GB350" s="561">
        <v>95</v>
      </c>
      <c r="GC350" s="561">
        <v>242</v>
      </c>
      <c r="GD350" s="561">
        <v>521</v>
      </c>
      <c r="GE350" s="561">
        <v>3</v>
      </c>
      <c r="GF350" s="561">
        <v>10</v>
      </c>
      <c r="GG350" s="561">
        <v>0</v>
      </c>
      <c r="GH350" s="561">
        <v>41</v>
      </c>
      <c r="GI350" s="561">
        <v>0</v>
      </c>
      <c r="GJ350" s="561">
        <v>773</v>
      </c>
      <c r="GK350" s="561">
        <v>0</v>
      </c>
      <c r="GL350" s="561">
        <v>2322</v>
      </c>
      <c r="GM350" s="561">
        <v>2815</v>
      </c>
      <c r="GN350" s="561">
        <v>0</v>
      </c>
      <c r="GO350" s="561">
        <v>0</v>
      </c>
      <c r="GP350" s="561">
        <v>941</v>
      </c>
      <c r="GQ350" s="561">
        <v>0</v>
      </c>
      <c r="GR350" s="561">
        <v>0</v>
      </c>
      <c r="GS350" s="561">
        <v>9273</v>
      </c>
      <c r="GT350" s="561">
        <v>8</v>
      </c>
      <c r="GU350" s="561">
        <v>228</v>
      </c>
      <c r="GV350" s="561">
        <v>1248</v>
      </c>
      <c r="GW350" s="561">
        <v>0</v>
      </c>
      <c r="GX350" s="561">
        <v>678</v>
      </c>
      <c r="GY350" s="561">
        <v>18</v>
      </c>
      <c r="GZ350" s="561">
        <v>1671</v>
      </c>
      <c r="HA350" s="561">
        <v>0</v>
      </c>
      <c r="HB350" s="561">
        <v>327</v>
      </c>
      <c r="HC350" s="561">
        <v>509</v>
      </c>
      <c r="HD350" s="561">
        <v>4679</v>
      </c>
      <c r="HE350" s="561">
        <v>156</v>
      </c>
      <c r="HF350" s="561">
        <v>18207</v>
      </c>
      <c r="HG350" s="561">
        <v>164</v>
      </c>
      <c r="HH350" s="561">
        <v>0</v>
      </c>
      <c r="HI350" s="561">
        <v>0</v>
      </c>
      <c r="HJ350" s="561">
        <v>0</v>
      </c>
      <c r="HK350" s="561">
        <v>0</v>
      </c>
      <c r="HL350" s="561">
        <v>0</v>
      </c>
      <c r="HM350" s="561">
        <v>0</v>
      </c>
      <c r="HN350" s="561">
        <v>0</v>
      </c>
      <c r="HO350" s="561">
        <v>1608</v>
      </c>
      <c r="HP350" s="561">
        <v>880</v>
      </c>
      <c r="HQ350" s="561">
        <v>0</v>
      </c>
      <c r="HR350" s="561">
        <v>21</v>
      </c>
      <c r="HS350" s="561">
        <v>238</v>
      </c>
      <c r="HT350" s="561">
        <v>-37</v>
      </c>
      <c r="HU350" s="561">
        <v>0</v>
      </c>
      <c r="HV350" s="561">
        <v>0</v>
      </c>
      <c r="HW350" s="561">
        <v>281</v>
      </c>
      <c r="HX350" s="561">
        <v>207</v>
      </c>
      <c r="HY350" s="561">
        <v>125</v>
      </c>
      <c r="HZ350" s="561">
        <v>-30</v>
      </c>
      <c r="IA350" s="561">
        <v>0</v>
      </c>
      <c r="IB350" s="561">
        <v>-526</v>
      </c>
      <c r="IC350" s="561">
        <v>0</v>
      </c>
      <c r="ID350" s="561">
        <v>0</v>
      </c>
      <c r="IE350" s="561">
        <v>154</v>
      </c>
      <c r="IF350" s="561">
        <v>3</v>
      </c>
      <c r="IG350" s="561">
        <v>0</v>
      </c>
      <c r="IH350" s="561">
        <v>-81</v>
      </c>
      <c r="II350" s="561">
        <v>2843</v>
      </c>
      <c r="IJ350" s="561">
        <v>285</v>
      </c>
      <c r="IK350" s="561">
        <v>7840</v>
      </c>
      <c r="IL350" s="561">
        <v>17794</v>
      </c>
      <c r="IM350" s="561">
        <v>0</v>
      </c>
      <c r="IN350" s="561">
        <v>2808</v>
      </c>
      <c r="IO350" s="561">
        <v>217</v>
      </c>
      <c r="IP350" s="561">
        <v>0</v>
      </c>
      <c r="IQ350" s="561">
        <v>0</v>
      </c>
      <c r="IR350" s="561">
        <v>0</v>
      </c>
      <c r="IS350" s="561">
        <v>-259</v>
      </c>
      <c r="IT350" s="561">
        <v>0</v>
      </c>
      <c r="IU350" s="561">
        <v>728</v>
      </c>
      <c r="IV350" s="561">
        <v>81</v>
      </c>
      <c r="IW350" s="561">
        <v>3830</v>
      </c>
      <c r="IX350" s="561">
        <v>4255</v>
      </c>
      <c r="IY350" s="561">
        <v>9273</v>
      </c>
      <c r="IZ350" s="561">
        <v>4679</v>
      </c>
      <c r="JA350" s="561">
        <v>0</v>
      </c>
      <c r="JB350" s="561">
        <v>0</v>
      </c>
      <c r="JC350" s="561">
        <v>2843</v>
      </c>
      <c r="JD350" s="561">
        <v>0</v>
      </c>
      <c r="JE350" s="561">
        <v>25430</v>
      </c>
      <c r="JF350" s="561">
        <v>27327</v>
      </c>
      <c r="JG350" s="561">
        <v>2407</v>
      </c>
      <c r="JH350" s="561">
        <v>5470</v>
      </c>
      <c r="JI350" s="561">
        <v>0</v>
      </c>
      <c r="JJ350" s="561">
        <v>0</v>
      </c>
      <c r="JK350" s="561">
        <v>2541</v>
      </c>
      <c r="JL350" s="561">
        <v>0</v>
      </c>
      <c r="JM350" s="561">
        <v>0</v>
      </c>
      <c r="JN350" s="561">
        <v>0</v>
      </c>
      <c r="JO350" s="561">
        <v>0</v>
      </c>
      <c r="JP350" s="561">
        <v>0</v>
      </c>
      <c r="JQ350" s="561">
        <v>0</v>
      </c>
      <c r="JR350" s="561">
        <v>0</v>
      </c>
      <c r="JS350" s="561">
        <v>0</v>
      </c>
      <c r="JT350" s="561">
        <v>16</v>
      </c>
      <c r="JU350" s="561">
        <v>-21</v>
      </c>
      <c r="JV350" s="561">
        <v>63170</v>
      </c>
      <c r="JW350" s="561">
        <v>0</v>
      </c>
      <c r="JX350" s="561">
        <v>487</v>
      </c>
      <c r="JY350" s="561">
        <v>0</v>
      </c>
      <c r="JZ350" s="561">
        <v>0</v>
      </c>
      <c r="KA350" s="561">
        <v>0</v>
      </c>
      <c r="KB350" s="561">
        <v>22</v>
      </c>
      <c r="KC350" s="561">
        <v>316</v>
      </c>
      <c r="KD350" s="561">
        <v>24</v>
      </c>
      <c r="KE350" s="561">
        <v>1150</v>
      </c>
      <c r="KF350" s="561">
        <v>-775</v>
      </c>
      <c r="KG350" s="561">
        <v>64394</v>
      </c>
      <c r="KH350" s="561">
        <v>-5023</v>
      </c>
      <c r="KI350" s="561">
        <v>0</v>
      </c>
      <c r="KJ350" s="561">
        <v>0</v>
      </c>
      <c r="KK350" s="561">
        <v>0</v>
      </c>
      <c r="KL350" s="561">
        <v>-33788</v>
      </c>
      <c r="KM350" s="561">
        <v>0</v>
      </c>
      <c r="KN350" s="561">
        <v>0</v>
      </c>
      <c r="KO350" s="561">
        <v>0</v>
      </c>
      <c r="KP350" s="561">
        <v>0</v>
      </c>
      <c r="KQ350" s="561">
        <v>0</v>
      </c>
      <c r="KR350" s="561">
        <v>25583</v>
      </c>
      <c r="KS350" s="561">
        <v>0</v>
      </c>
      <c r="KT350" s="561">
        <v>-6325</v>
      </c>
      <c r="KU350" s="561">
        <v>19258</v>
      </c>
      <c r="KV350" s="561">
        <v>0</v>
      </c>
      <c r="KW350" s="561">
        <v>0</v>
      </c>
      <c r="KX350" s="561">
        <v>0</v>
      </c>
      <c r="KY350" s="561">
        <v>0</v>
      </c>
      <c r="KZ350" s="561">
        <v>5477</v>
      </c>
      <c r="LA350" s="561">
        <v>0</v>
      </c>
      <c r="LB350" s="561">
        <v>-766</v>
      </c>
      <c r="LC350" s="561">
        <v>0</v>
      </c>
      <c r="LD350" s="561">
        <v>-11221</v>
      </c>
      <c r="LE350" s="561">
        <v>-159</v>
      </c>
      <c r="LF350" s="561">
        <v>0</v>
      </c>
      <c r="LG350" s="561">
        <v>12589</v>
      </c>
      <c r="LH350" s="561">
        <v>0</v>
      </c>
      <c r="LI350" s="561">
        <v>0</v>
      </c>
      <c r="LJ350" s="561">
        <v>0</v>
      </c>
      <c r="LK350" s="561">
        <v>0</v>
      </c>
      <c r="LL350" s="561">
        <v>34134</v>
      </c>
      <c r="LM350" s="561">
        <v>4000</v>
      </c>
      <c r="LN350" s="561">
        <v>0</v>
      </c>
      <c r="LO350" s="561">
        <v>0</v>
      </c>
      <c r="LP350" s="561">
        <v>0</v>
      </c>
      <c r="LQ350" s="561">
        <v>0</v>
      </c>
      <c r="LR350" s="561">
        <v>39611</v>
      </c>
      <c r="LS350" s="561">
        <v>4000</v>
      </c>
      <c r="LT350" s="561">
        <v>0</v>
      </c>
      <c r="LU350" s="561">
        <v>2465</v>
      </c>
      <c r="LV350" s="561">
        <v>0</v>
      </c>
      <c r="LW350" s="561">
        <v>1158</v>
      </c>
      <c r="LX350" s="561">
        <v>-2026</v>
      </c>
      <c r="LY350" s="561">
        <v>2026</v>
      </c>
      <c r="LZ350" s="561">
        <v>3551</v>
      </c>
      <c r="MA350" s="561">
        <v>0</v>
      </c>
      <c r="MB350" s="561">
        <v>0</v>
      </c>
      <c r="MC350" s="561">
        <v>17723</v>
      </c>
      <c r="MD350" s="561">
        <v>18595</v>
      </c>
      <c r="ME350" s="561">
        <v>-872</v>
      </c>
      <c r="MF350" s="561">
        <v>6436</v>
      </c>
      <c r="MG350" s="561">
        <v>5564</v>
      </c>
      <c r="MH350" s="561">
        <v>6996</v>
      </c>
      <c r="MI350" s="561">
        <v>5192</v>
      </c>
      <c r="MJ350" s="561">
        <v>12188</v>
      </c>
      <c r="MK350" s="561">
        <v>48</v>
      </c>
      <c r="ML350" s="561">
        <v>0</v>
      </c>
      <c r="MM350" s="561">
        <v>26135</v>
      </c>
      <c r="MN350" s="561">
        <v>3041</v>
      </c>
      <c r="MO350" s="561">
        <v>7433</v>
      </c>
      <c r="MP350" s="561">
        <v>3002</v>
      </c>
      <c r="MQ350" s="561">
        <v>0</v>
      </c>
      <c r="MR350" s="561">
        <v>-259</v>
      </c>
      <c r="MS350" s="561">
        <v>0</v>
      </c>
      <c r="MT350" s="561">
        <v>728</v>
      </c>
      <c r="MU350" s="561">
        <v>81</v>
      </c>
      <c r="MV350" s="561">
        <v>3830</v>
      </c>
      <c r="MW350" s="561">
        <v>4255</v>
      </c>
      <c r="MX350" s="561">
        <v>9273</v>
      </c>
      <c r="MY350" s="561">
        <v>4679</v>
      </c>
      <c r="MZ350" s="561">
        <v>0</v>
      </c>
      <c r="NA350" s="561">
        <v>0</v>
      </c>
      <c r="NB350" s="561">
        <v>2843</v>
      </c>
      <c r="NC350" s="561">
        <v>0</v>
      </c>
      <c r="ND350" s="561">
        <v>25430</v>
      </c>
      <c r="NE350" s="561">
        <v>0</v>
      </c>
      <c r="NF350" s="561">
        <v>0</v>
      </c>
      <c r="NG350" s="561">
        <v>0</v>
      </c>
      <c r="NH350" s="561">
        <v>0</v>
      </c>
      <c r="NI350" s="561">
        <v>0</v>
      </c>
      <c r="NJ350" s="561">
        <v>0</v>
      </c>
      <c r="NK350" s="561">
        <v>0</v>
      </c>
      <c r="NL350" s="561">
        <v>0</v>
      </c>
      <c r="NM350" s="561">
        <v>0</v>
      </c>
      <c r="NN350" s="561">
        <v>0</v>
      </c>
      <c r="NO350" s="561">
        <v>0</v>
      </c>
      <c r="NP350" s="561">
        <v>0</v>
      </c>
      <c r="NQ350" s="561">
        <v>0</v>
      </c>
      <c r="NR350" s="561">
        <v>0</v>
      </c>
      <c r="NS350" s="561">
        <v>0</v>
      </c>
      <c r="NT350" s="561">
        <v>0</v>
      </c>
      <c r="NU350" s="561">
        <v>-6848</v>
      </c>
      <c r="NV350" s="561">
        <v>0</v>
      </c>
      <c r="NW350" s="561">
        <v>0</v>
      </c>
      <c r="NX350" s="561">
        <v>0</v>
      </c>
      <c r="NY350" s="561">
        <v>0</v>
      </c>
      <c r="NZ350" s="561">
        <v>0</v>
      </c>
      <c r="OA350" s="561">
        <v>0</v>
      </c>
      <c r="OB350" s="561">
        <v>0</v>
      </c>
      <c r="OC350" s="561">
        <v>0</v>
      </c>
      <c r="OD350" s="561">
        <v>0</v>
      </c>
      <c r="OE350" s="561">
        <v>0</v>
      </c>
      <c r="OF350" s="561">
        <v>0</v>
      </c>
      <c r="OG350" s="561">
        <v>0</v>
      </c>
      <c r="OH350" s="561">
        <v>0</v>
      </c>
      <c r="OI350" s="561">
        <v>0</v>
      </c>
      <c r="OJ350" s="561">
        <v>0</v>
      </c>
      <c r="OK350" s="561">
        <v>0</v>
      </c>
      <c r="OL350" s="561">
        <v>0</v>
      </c>
      <c r="OM350" s="561">
        <v>0</v>
      </c>
      <c r="ON350" s="561">
        <v>0</v>
      </c>
      <c r="OO350" s="561">
        <v>0</v>
      </c>
      <c r="OP350" s="561">
        <v>0</v>
      </c>
      <c r="OQ350" s="561">
        <v>0</v>
      </c>
      <c r="OR350" s="561">
        <v>0</v>
      </c>
      <c r="OS350" s="561">
        <v>0</v>
      </c>
      <c r="OT350" s="561">
        <v>0</v>
      </c>
      <c r="OU350" s="561">
        <v>0</v>
      </c>
      <c r="OV350" s="561">
        <v>942</v>
      </c>
      <c r="OW350" s="561">
        <v>0</v>
      </c>
      <c r="OX350" s="561">
        <v>0</v>
      </c>
      <c r="OY350" s="561">
        <v>0</v>
      </c>
      <c r="OZ350" s="561">
        <v>0</v>
      </c>
      <c r="PA350" s="561">
        <v>0</v>
      </c>
      <c r="PB350" s="561">
        <v>0</v>
      </c>
      <c r="PC350" s="561">
        <v>0</v>
      </c>
      <c r="PD350" s="561">
        <v>0</v>
      </c>
      <c r="PE350" s="561">
        <v>0</v>
      </c>
      <c r="PF350" s="561">
        <v>0</v>
      </c>
      <c r="PG350" s="561">
        <v>0</v>
      </c>
      <c r="PH350" s="561">
        <v>0</v>
      </c>
      <c r="PI350" s="561">
        <v>0</v>
      </c>
      <c r="PJ350" s="561">
        <v>0</v>
      </c>
    </row>
    <row r="351" spans="1:426" ht="14" x14ac:dyDescent="0.3">
      <c r="A351" t="s">
        <v>3496</v>
      </c>
      <c r="B351" t="s">
        <v>3497</v>
      </c>
      <c r="C351" t="s">
        <v>3498</v>
      </c>
      <c r="E351" t="s">
        <v>384</v>
      </c>
      <c r="F351" s="561">
        <v>0</v>
      </c>
      <c r="G351" s="561">
        <v>0</v>
      </c>
      <c r="H351" s="561">
        <v>0</v>
      </c>
      <c r="I351" s="561">
        <v>0</v>
      </c>
      <c r="J351" s="561">
        <v>0</v>
      </c>
      <c r="K351" s="561">
        <v>0</v>
      </c>
      <c r="L351" s="561">
        <v>0</v>
      </c>
      <c r="M351" s="561">
        <v>0</v>
      </c>
      <c r="N351" s="561">
        <v>90</v>
      </c>
      <c r="O351" s="561">
        <v>22</v>
      </c>
      <c r="P351" s="561">
        <v>0</v>
      </c>
      <c r="Q351" s="561">
        <v>0</v>
      </c>
      <c r="R351" s="561">
        <v>0</v>
      </c>
      <c r="S351" s="561">
        <v>6</v>
      </c>
      <c r="T351" s="561">
        <v>17</v>
      </c>
      <c r="U351" s="561">
        <v>0</v>
      </c>
      <c r="V351" s="561">
        <v>0</v>
      </c>
      <c r="W351" s="561">
        <v>0</v>
      </c>
      <c r="X351" s="561">
        <v>0</v>
      </c>
      <c r="Y351" s="561">
        <v>0</v>
      </c>
      <c r="Z351" s="561">
        <v>86</v>
      </c>
      <c r="AA351" s="561">
        <v>0</v>
      </c>
      <c r="AB351" s="561">
        <v>-595</v>
      </c>
      <c r="AC351" s="561">
        <v>0</v>
      </c>
      <c r="AD351" s="561">
        <v>0</v>
      </c>
      <c r="AE351" s="561">
        <v>49</v>
      </c>
      <c r="AF351" s="561">
        <v>0</v>
      </c>
      <c r="AG351" s="561">
        <v>0</v>
      </c>
      <c r="AH351" s="561">
        <v>76</v>
      </c>
      <c r="AI351" s="561">
        <v>0</v>
      </c>
      <c r="AJ351" s="561">
        <v>-249</v>
      </c>
      <c r="AK351" s="561">
        <v>0</v>
      </c>
      <c r="AL351" s="561">
        <v>0</v>
      </c>
      <c r="AM351" s="561">
        <v>0</v>
      </c>
      <c r="AN351" s="561">
        <v>0</v>
      </c>
      <c r="AO351" s="561">
        <v>0</v>
      </c>
      <c r="AP351" s="561">
        <v>0</v>
      </c>
      <c r="AQ351" s="561">
        <v>0</v>
      </c>
      <c r="AR351" s="561">
        <v>0</v>
      </c>
      <c r="AS351" s="561">
        <v>0</v>
      </c>
      <c r="AT351" s="561">
        <v>0</v>
      </c>
      <c r="AU351" s="561">
        <v>0</v>
      </c>
      <c r="AV351" s="561">
        <v>0</v>
      </c>
      <c r="AW351" s="561">
        <v>0</v>
      </c>
      <c r="AX351" s="561">
        <v>0</v>
      </c>
      <c r="AY351" s="561">
        <v>0</v>
      </c>
      <c r="AZ351" s="561">
        <v>0</v>
      </c>
      <c r="BA351" s="561">
        <v>0</v>
      </c>
      <c r="BB351" s="561">
        <v>0</v>
      </c>
      <c r="BC351" s="561">
        <v>0</v>
      </c>
      <c r="BD351" s="561">
        <v>0</v>
      </c>
      <c r="BE351" s="561">
        <v>0</v>
      </c>
      <c r="BF351" s="561">
        <v>0</v>
      </c>
      <c r="BG351" s="561">
        <v>0</v>
      </c>
      <c r="BH351" s="561">
        <v>0</v>
      </c>
      <c r="BI351" s="561">
        <v>0</v>
      </c>
      <c r="BJ351" s="561">
        <v>0</v>
      </c>
      <c r="BK351" s="561">
        <v>0</v>
      </c>
      <c r="BL351" s="561">
        <v>0</v>
      </c>
      <c r="BM351" s="561">
        <v>0</v>
      </c>
      <c r="BN351" s="561">
        <v>0</v>
      </c>
      <c r="BO351" s="561">
        <v>0</v>
      </c>
      <c r="BP351" s="561">
        <v>0</v>
      </c>
      <c r="BQ351" s="561">
        <v>0</v>
      </c>
      <c r="BR351" s="561">
        <v>0</v>
      </c>
      <c r="BS351" s="561">
        <v>0</v>
      </c>
      <c r="BT351" s="561">
        <v>0</v>
      </c>
      <c r="BU351" s="561">
        <v>0</v>
      </c>
      <c r="BV351" s="561">
        <v>0</v>
      </c>
      <c r="BW351" s="561">
        <v>0</v>
      </c>
      <c r="BX351" s="561">
        <v>0</v>
      </c>
      <c r="BY351" s="561">
        <v>0</v>
      </c>
      <c r="BZ351" s="561">
        <v>0</v>
      </c>
      <c r="CA351" s="561">
        <v>0</v>
      </c>
      <c r="CB351" s="561">
        <v>0</v>
      </c>
      <c r="CC351" s="561">
        <v>0</v>
      </c>
      <c r="CD351" s="561">
        <v>0</v>
      </c>
      <c r="CE351" s="561">
        <v>0</v>
      </c>
      <c r="CF351" s="561">
        <v>0</v>
      </c>
      <c r="CG351" s="561">
        <v>0</v>
      </c>
      <c r="CH351" s="561">
        <v>0</v>
      </c>
      <c r="CI351" s="561">
        <v>0</v>
      </c>
      <c r="CJ351" s="561">
        <v>0</v>
      </c>
      <c r="CK351" s="561">
        <v>0</v>
      </c>
      <c r="CL351" s="561">
        <v>0</v>
      </c>
      <c r="CM351" s="561">
        <v>0</v>
      </c>
      <c r="CN351" s="561">
        <v>0</v>
      </c>
      <c r="CO351" s="561">
        <v>0</v>
      </c>
      <c r="CP351" s="561">
        <v>0</v>
      </c>
      <c r="CQ351" s="561">
        <v>0</v>
      </c>
      <c r="CR351" s="561">
        <v>0</v>
      </c>
      <c r="CS351" s="561">
        <v>0</v>
      </c>
      <c r="CT351" s="561">
        <v>0</v>
      </c>
      <c r="CU351" s="561">
        <v>0</v>
      </c>
      <c r="CV351" s="561">
        <v>0</v>
      </c>
      <c r="CW351" s="561">
        <v>0</v>
      </c>
      <c r="CX351" s="561">
        <v>0</v>
      </c>
      <c r="CY351" s="561">
        <v>0</v>
      </c>
      <c r="CZ351" s="561">
        <v>0</v>
      </c>
      <c r="DA351" s="561">
        <v>0</v>
      </c>
      <c r="DB351" s="561">
        <v>0</v>
      </c>
      <c r="DC351" s="561">
        <v>0</v>
      </c>
      <c r="DD351" s="561">
        <v>0</v>
      </c>
      <c r="DE351" s="561">
        <v>0</v>
      </c>
      <c r="DF351" s="561">
        <v>0</v>
      </c>
      <c r="DG351" s="561">
        <v>0</v>
      </c>
      <c r="DH351" s="561">
        <v>1399</v>
      </c>
      <c r="DI351" s="561">
        <v>0</v>
      </c>
      <c r="DJ351" s="561">
        <v>-1601</v>
      </c>
      <c r="DK351" s="561">
        <v>0</v>
      </c>
      <c r="DL351" s="561">
        <v>0</v>
      </c>
      <c r="DM351" s="561">
        <v>0</v>
      </c>
      <c r="DN351" s="561">
        <v>0</v>
      </c>
      <c r="DO351" s="561">
        <v>354</v>
      </c>
      <c r="DP351" s="561">
        <v>0</v>
      </c>
      <c r="DQ351" s="561">
        <v>146</v>
      </c>
      <c r="DR351" s="561">
        <v>14</v>
      </c>
      <c r="DS351" s="561">
        <v>1564</v>
      </c>
      <c r="DT351" s="561">
        <v>0</v>
      </c>
      <c r="DU351" s="561">
        <v>2078</v>
      </c>
      <c r="DV351" s="561">
        <v>0</v>
      </c>
      <c r="DW351" s="561">
        <v>0</v>
      </c>
      <c r="DX351" s="561">
        <v>0</v>
      </c>
      <c r="DY351" s="561">
        <v>737</v>
      </c>
      <c r="DZ351" s="561">
        <v>0</v>
      </c>
      <c r="EA351" s="561">
        <v>0</v>
      </c>
      <c r="EB351" s="561">
        <v>0</v>
      </c>
      <c r="EC351" s="561">
        <v>2613</v>
      </c>
      <c r="ED351" s="561">
        <v>0</v>
      </c>
      <c r="EE351" s="561">
        <v>0</v>
      </c>
      <c r="EF351" s="561">
        <v>0</v>
      </c>
      <c r="EG351" s="561">
        <v>0</v>
      </c>
      <c r="EH351" s="561">
        <v>0</v>
      </c>
      <c r="EI351" s="561">
        <v>0</v>
      </c>
      <c r="EJ351" s="561">
        <v>0</v>
      </c>
      <c r="EK351" s="561">
        <v>0</v>
      </c>
      <c r="EL351" s="561">
        <v>0</v>
      </c>
      <c r="EM351" s="561">
        <v>0</v>
      </c>
      <c r="EN351" s="561">
        <v>0</v>
      </c>
      <c r="EO351" s="561">
        <v>0</v>
      </c>
      <c r="EP351" s="561">
        <v>0</v>
      </c>
      <c r="EQ351" s="561">
        <v>0</v>
      </c>
      <c r="ER351" s="561">
        <v>0</v>
      </c>
      <c r="ES351" s="561" t="s">
        <v>4565</v>
      </c>
      <c r="ET351" s="561">
        <v>0</v>
      </c>
      <c r="EU351" s="561">
        <v>0</v>
      </c>
      <c r="EV351" s="561">
        <v>0</v>
      </c>
      <c r="EW351" s="561">
        <v>0</v>
      </c>
      <c r="EX351" s="561">
        <v>0</v>
      </c>
      <c r="EY351" s="561">
        <v>0</v>
      </c>
      <c r="EZ351" s="561">
        <v>0</v>
      </c>
      <c r="FA351" s="561">
        <v>0</v>
      </c>
      <c r="FB351" s="561">
        <v>0</v>
      </c>
      <c r="FC351" s="561">
        <v>44</v>
      </c>
      <c r="FD351" s="561">
        <v>62</v>
      </c>
      <c r="FE351" s="561">
        <v>0</v>
      </c>
      <c r="FF351" s="561">
        <v>853</v>
      </c>
      <c r="FG351" s="561">
        <v>147</v>
      </c>
      <c r="FH351" s="561">
        <v>0</v>
      </c>
      <c r="FI351" s="561">
        <v>12</v>
      </c>
      <c r="FJ351" s="561">
        <v>221</v>
      </c>
      <c r="FK351" s="561">
        <v>2523</v>
      </c>
      <c r="FL351" s="561">
        <v>0</v>
      </c>
      <c r="FM351" s="561">
        <v>163</v>
      </c>
      <c r="FN351" s="561">
        <v>0</v>
      </c>
      <c r="FO351" s="561">
        <v>4025</v>
      </c>
      <c r="FP351" s="561">
        <v>0</v>
      </c>
      <c r="FQ351" s="561">
        <v>268</v>
      </c>
      <c r="FR351" s="561">
        <v>0</v>
      </c>
      <c r="FS351" s="561">
        <v>37</v>
      </c>
      <c r="FT351" s="561">
        <v>306</v>
      </c>
      <c r="FU351" s="561">
        <v>324</v>
      </c>
      <c r="FV351" s="561">
        <v>28</v>
      </c>
      <c r="FW351" s="561">
        <v>58</v>
      </c>
      <c r="FX351" s="561">
        <v>0</v>
      </c>
      <c r="FY351" s="561">
        <v>0</v>
      </c>
      <c r="FZ351" s="561">
        <v>67</v>
      </c>
      <c r="GA351" s="561">
        <v>155</v>
      </c>
      <c r="GB351" s="561">
        <v>202</v>
      </c>
      <c r="GC351" s="561">
        <v>-5</v>
      </c>
      <c r="GD351" s="561">
        <v>0</v>
      </c>
      <c r="GE351" s="561">
        <v>222</v>
      </c>
      <c r="GF351" s="561">
        <v>0</v>
      </c>
      <c r="GG351" s="561">
        <v>0</v>
      </c>
      <c r="GH351" s="561">
        <v>0</v>
      </c>
      <c r="GI351" s="561">
        <v>0</v>
      </c>
      <c r="GJ351" s="561">
        <v>0</v>
      </c>
      <c r="GK351" s="561">
        <v>0</v>
      </c>
      <c r="GL351" s="561">
        <v>1850</v>
      </c>
      <c r="GM351" s="561">
        <v>1301</v>
      </c>
      <c r="GN351" s="561">
        <v>0</v>
      </c>
      <c r="GO351" s="561">
        <v>0</v>
      </c>
      <c r="GP351" s="561">
        <v>617</v>
      </c>
      <c r="GQ351" s="561">
        <v>132</v>
      </c>
      <c r="GR351" s="561">
        <v>129</v>
      </c>
      <c r="GS351" s="561">
        <v>5691</v>
      </c>
      <c r="GT351" s="561">
        <v>348</v>
      </c>
      <c r="GU351" s="561">
        <v>211</v>
      </c>
      <c r="GV351" s="561">
        <v>2808</v>
      </c>
      <c r="GW351" s="561">
        <v>0</v>
      </c>
      <c r="GX351" s="561">
        <v>1800</v>
      </c>
      <c r="GY351" s="561">
        <v>163</v>
      </c>
      <c r="GZ351" s="561">
        <v>221</v>
      </c>
      <c r="HA351" s="561">
        <v>0</v>
      </c>
      <c r="HB351" s="561">
        <v>-83</v>
      </c>
      <c r="HC351" s="561">
        <v>1183</v>
      </c>
      <c r="HD351" s="561">
        <v>6303</v>
      </c>
      <c r="HE351" s="561">
        <v>156</v>
      </c>
      <c r="HF351" s="561">
        <v>16019</v>
      </c>
      <c r="HG351" s="561">
        <v>504</v>
      </c>
      <c r="HH351" s="561">
        <v>0</v>
      </c>
      <c r="HI351" s="561">
        <v>0</v>
      </c>
      <c r="HJ351" s="561">
        <v>0</v>
      </c>
      <c r="HK351" s="561">
        <v>0</v>
      </c>
      <c r="HL351" s="561">
        <v>0</v>
      </c>
      <c r="HM351" s="561">
        <v>0</v>
      </c>
      <c r="HN351" s="561">
        <v>0</v>
      </c>
      <c r="HO351" s="561">
        <v>2192</v>
      </c>
      <c r="HP351" s="561">
        <v>746</v>
      </c>
      <c r="HQ351" s="561">
        <v>0</v>
      </c>
      <c r="HR351" s="561">
        <v>-1</v>
      </c>
      <c r="HS351" s="561">
        <v>844</v>
      </c>
      <c r="HT351" s="561">
        <v>205</v>
      </c>
      <c r="HU351" s="561">
        <v>0</v>
      </c>
      <c r="HV351" s="561">
        <v>0</v>
      </c>
      <c r="HW351" s="561">
        <v>77</v>
      </c>
      <c r="HX351" s="561">
        <v>241</v>
      </c>
      <c r="HY351" s="561">
        <v>44</v>
      </c>
      <c r="HZ351" s="561">
        <v>-55</v>
      </c>
      <c r="IA351" s="561">
        <v>0</v>
      </c>
      <c r="IB351" s="561">
        <v>0</v>
      </c>
      <c r="IC351" s="561">
        <v>0</v>
      </c>
      <c r="ID351" s="561">
        <v>0</v>
      </c>
      <c r="IE351" s="561">
        <v>213</v>
      </c>
      <c r="IF351" s="561">
        <v>0</v>
      </c>
      <c r="IG351" s="561">
        <v>3</v>
      </c>
      <c r="IH351" s="561">
        <v>1604</v>
      </c>
      <c r="II351" s="561">
        <v>6113</v>
      </c>
      <c r="IJ351" s="561">
        <v>442</v>
      </c>
      <c r="IK351" s="561">
        <v>223</v>
      </c>
      <c r="IL351" s="561">
        <v>7176</v>
      </c>
      <c r="IM351" s="561">
        <v>0</v>
      </c>
      <c r="IN351" s="561">
        <v>7</v>
      </c>
      <c r="IO351" s="561">
        <v>265</v>
      </c>
      <c r="IP351" s="561">
        <v>0</v>
      </c>
      <c r="IQ351" s="561">
        <v>442</v>
      </c>
      <c r="IR351" s="561">
        <v>0</v>
      </c>
      <c r="IS351" s="561">
        <v>-249</v>
      </c>
      <c r="IT351" s="561">
        <v>0</v>
      </c>
      <c r="IU351" s="561">
        <v>0</v>
      </c>
      <c r="IV351" s="561">
        <v>0</v>
      </c>
      <c r="IW351" s="561">
        <v>2613</v>
      </c>
      <c r="IX351" s="561">
        <v>4025</v>
      </c>
      <c r="IY351" s="561">
        <v>5691</v>
      </c>
      <c r="IZ351" s="561">
        <v>6303</v>
      </c>
      <c r="JA351" s="561">
        <v>0</v>
      </c>
      <c r="JB351" s="561">
        <v>0</v>
      </c>
      <c r="JC351" s="561">
        <v>6113</v>
      </c>
      <c r="JD351" s="561">
        <v>0</v>
      </c>
      <c r="JE351" s="561">
        <v>24496</v>
      </c>
      <c r="JF351" s="561">
        <v>17899</v>
      </c>
      <c r="JG351" s="561">
        <v>181</v>
      </c>
      <c r="JH351" s="561">
        <v>0</v>
      </c>
      <c r="JI351" s="561">
        <v>0</v>
      </c>
      <c r="JJ351" s="561">
        <v>0</v>
      </c>
      <c r="JK351" s="561">
        <v>2136</v>
      </c>
      <c r="JL351" s="561">
        <v>0</v>
      </c>
      <c r="JM351" s="561">
        <v>0</v>
      </c>
      <c r="JN351" s="561">
        <v>0</v>
      </c>
      <c r="JO351" s="561">
        <v>85</v>
      </c>
      <c r="JP351" s="561">
        <v>-7548</v>
      </c>
      <c r="JQ351" s="561">
        <v>410</v>
      </c>
      <c r="JR351" s="561">
        <v>0</v>
      </c>
      <c r="JS351" s="561">
        <v>0</v>
      </c>
      <c r="JT351" s="561">
        <v>0</v>
      </c>
      <c r="JU351" s="561">
        <v>0</v>
      </c>
      <c r="JV351" s="561">
        <v>37659</v>
      </c>
      <c r="JW351" s="561">
        <v>0</v>
      </c>
      <c r="JX351" s="561">
        <v>6534</v>
      </c>
      <c r="JY351" s="561">
        <v>0</v>
      </c>
      <c r="JZ351" s="561">
        <v>0</v>
      </c>
      <c r="KA351" s="561">
        <v>0</v>
      </c>
      <c r="KB351" s="561">
        <v>0</v>
      </c>
      <c r="KC351" s="561">
        <v>209</v>
      </c>
      <c r="KD351" s="561">
        <v>0</v>
      </c>
      <c r="KE351" s="561">
        <v>142</v>
      </c>
      <c r="KF351" s="561">
        <v>0</v>
      </c>
      <c r="KG351" s="561">
        <v>44544</v>
      </c>
      <c r="KH351" s="561">
        <v>-6287</v>
      </c>
      <c r="KI351" s="561">
        <v>0</v>
      </c>
      <c r="KJ351" s="561">
        <v>0</v>
      </c>
      <c r="KK351" s="561">
        <v>0</v>
      </c>
      <c r="KL351" s="561">
        <v>-17876</v>
      </c>
      <c r="KM351" s="561">
        <v>0</v>
      </c>
      <c r="KN351" s="561">
        <v>-41</v>
      </c>
      <c r="KO351" s="561">
        <v>0</v>
      </c>
      <c r="KP351" s="561">
        <v>0</v>
      </c>
      <c r="KQ351" s="561">
        <v>0</v>
      </c>
      <c r="KR351" s="561">
        <v>20340</v>
      </c>
      <c r="KS351" s="561">
        <v>0</v>
      </c>
      <c r="KT351" s="561">
        <v>-5722</v>
      </c>
      <c r="KU351" s="561">
        <v>14618</v>
      </c>
      <c r="KV351" s="561">
        <v>0</v>
      </c>
      <c r="KW351" s="561">
        <v>0</v>
      </c>
      <c r="KX351" s="561">
        <v>0</v>
      </c>
      <c r="KY351" s="561">
        <v>0</v>
      </c>
      <c r="KZ351" s="561">
        <v>9787</v>
      </c>
      <c r="LA351" s="561">
        <v>396</v>
      </c>
      <c r="LB351" s="561">
        <v>-252</v>
      </c>
      <c r="LC351" s="561">
        <v>0</v>
      </c>
      <c r="LD351" s="561">
        <v>-13409</v>
      </c>
      <c r="LE351" s="561">
        <v>-127</v>
      </c>
      <c r="LF351" s="561">
        <v>0</v>
      </c>
      <c r="LG351" s="561">
        <v>11013</v>
      </c>
      <c r="LH351" s="561">
        <v>0</v>
      </c>
      <c r="LI351" s="561">
        <v>0</v>
      </c>
      <c r="LJ351" s="561">
        <v>0</v>
      </c>
      <c r="LK351" s="561">
        <v>0</v>
      </c>
      <c r="LL351" s="561">
        <v>51474</v>
      </c>
      <c r="LM351" s="561">
        <v>2604</v>
      </c>
      <c r="LN351" s="561">
        <v>0</v>
      </c>
      <c r="LO351" s="561">
        <v>0</v>
      </c>
      <c r="LP351" s="561">
        <v>0</v>
      </c>
      <c r="LQ351" s="561">
        <v>0</v>
      </c>
      <c r="LR351" s="561">
        <v>61261</v>
      </c>
      <c r="LS351" s="561">
        <v>3000</v>
      </c>
      <c r="LT351" s="561">
        <v>0</v>
      </c>
      <c r="LU351" s="561">
        <v>3661</v>
      </c>
      <c r="LV351" s="561">
        <v>-1734</v>
      </c>
      <c r="LW351" s="561">
        <v>-622</v>
      </c>
      <c r="LX351" s="561">
        <v>-9106</v>
      </c>
      <c r="LY351" s="561">
        <v>4022</v>
      </c>
      <c r="LZ351" s="561">
        <v>-10282</v>
      </c>
      <c r="MA351" s="561">
        <v>0</v>
      </c>
      <c r="MB351" s="561">
        <v>0</v>
      </c>
      <c r="MC351" s="561">
        <v>0</v>
      </c>
      <c r="MD351" s="561">
        <v>0</v>
      </c>
      <c r="ME351" s="561">
        <v>0</v>
      </c>
      <c r="MF351" s="561">
        <v>0</v>
      </c>
      <c r="MG351" s="561">
        <v>0</v>
      </c>
      <c r="MH351" s="561">
        <v>2424</v>
      </c>
      <c r="MI351" s="561">
        <v>3273</v>
      </c>
      <c r="MJ351" s="561">
        <v>5697</v>
      </c>
      <c r="MK351" s="561">
        <v>0</v>
      </c>
      <c r="ML351" s="561">
        <v>0</v>
      </c>
      <c r="MM351" s="561">
        <v>55261</v>
      </c>
      <c r="MN351" s="561">
        <v>0</v>
      </c>
      <c r="MO351" s="561">
        <v>6000</v>
      </c>
      <c r="MP351" s="561">
        <v>0</v>
      </c>
      <c r="MQ351" s="561">
        <v>0</v>
      </c>
      <c r="MR351" s="561">
        <v>-249</v>
      </c>
      <c r="MS351" s="561">
        <v>0</v>
      </c>
      <c r="MT351" s="561">
        <v>0</v>
      </c>
      <c r="MU351" s="561">
        <v>0</v>
      </c>
      <c r="MV351" s="561">
        <v>2613</v>
      </c>
      <c r="MW351" s="561">
        <v>4025</v>
      </c>
      <c r="MX351" s="561">
        <v>5691</v>
      </c>
      <c r="MY351" s="561">
        <v>6303</v>
      </c>
      <c r="MZ351" s="561">
        <v>0</v>
      </c>
      <c r="NA351" s="561">
        <v>0</v>
      </c>
      <c r="NB351" s="561">
        <v>6113</v>
      </c>
      <c r="NC351" s="561">
        <v>0</v>
      </c>
      <c r="ND351" s="561">
        <v>24496</v>
      </c>
      <c r="NE351" s="561">
        <v>0</v>
      </c>
      <c r="NF351" s="561">
        <v>0</v>
      </c>
      <c r="NG351" s="561">
        <v>0</v>
      </c>
      <c r="NH351" s="561">
        <v>0</v>
      </c>
      <c r="NI351" s="561">
        <v>0</v>
      </c>
      <c r="NJ351" s="561">
        <v>0</v>
      </c>
      <c r="NK351" s="561">
        <v>0</v>
      </c>
      <c r="NL351" s="561">
        <v>0</v>
      </c>
      <c r="NM351" s="561">
        <v>0</v>
      </c>
      <c r="NN351" s="561">
        <v>0</v>
      </c>
      <c r="NO351" s="561">
        <v>0</v>
      </c>
      <c r="NP351" s="561">
        <v>0</v>
      </c>
      <c r="NQ351" s="561">
        <v>0</v>
      </c>
      <c r="NR351" s="561">
        <v>0</v>
      </c>
      <c r="NS351" s="561">
        <v>-339</v>
      </c>
      <c r="NT351" s="561">
        <v>-7184</v>
      </c>
      <c r="NU351" s="561">
        <v>0</v>
      </c>
      <c r="NV351" s="561">
        <v>-25</v>
      </c>
      <c r="NW351" s="561">
        <v>-7548</v>
      </c>
      <c r="NX351" s="561">
        <v>0</v>
      </c>
      <c r="NY351" s="561">
        <v>-7548</v>
      </c>
      <c r="NZ351" s="561">
        <v>0</v>
      </c>
      <c r="OA351" s="561">
        <v>0</v>
      </c>
      <c r="OB351" s="561">
        <v>0</v>
      </c>
      <c r="OC351" s="561">
        <v>0</v>
      </c>
      <c r="OD351" s="561">
        <v>0</v>
      </c>
      <c r="OE351" s="561">
        <v>0</v>
      </c>
      <c r="OF351" s="561">
        <v>0</v>
      </c>
      <c r="OG351" s="561">
        <v>0</v>
      </c>
      <c r="OH351" s="561">
        <v>0</v>
      </c>
      <c r="OI351" s="561">
        <v>0</v>
      </c>
      <c r="OJ351" s="561">
        <v>5</v>
      </c>
      <c r="OK351" s="561">
        <v>148</v>
      </c>
      <c r="OL351" s="561">
        <v>0</v>
      </c>
      <c r="OM351" s="561">
        <v>257</v>
      </c>
      <c r="ON351" s="561">
        <v>0</v>
      </c>
      <c r="OO351" s="561">
        <v>0</v>
      </c>
      <c r="OP351" s="561">
        <v>0</v>
      </c>
      <c r="OQ351" s="561">
        <v>0</v>
      </c>
      <c r="OR351" s="561">
        <v>0</v>
      </c>
      <c r="OS351" s="561">
        <v>0</v>
      </c>
      <c r="OT351" s="561">
        <v>0</v>
      </c>
      <c r="OU351" s="561">
        <v>0</v>
      </c>
      <c r="OV351" s="561">
        <v>0</v>
      </c>
      <c r="OW351" s="561">
        <v>0</v>
      </c>
      <c r="OX351" s="561">
        <v>410</v>
      </c>
      <c r="OY351" s="561">
        <v>0</v>
      </c>
      <c r="OZ351" s="561">
        <v>0</v>
      </c>
      <c r="PA351" s="561">
        <v>0</v>
      </c>
      <c r="PB351" s="561">
        <v>0</v>
      </c>
      <c r="PC351" s="561">
        <v>0</v>
      </c>
      <c r="PD351" s="561">
        <v>0</v>
      </c>
      <c r="PE351" s="561">
        <v>0</v>
      </c>
      <c r="PF351" s="561">
        <v>0</v>
      </c>
      <c r="PG351" s="561">
        <v>0</v>
      </c>
      <c r="PH351" s="561">
        <v>0</v>
      </c>
      <c r="PI351" s="561">
        <v>0</v>
      </c>
      <c r="PJ351" s="561">
        <v>0</v>
      </c>
    </row>
    <row r="352" spans="1:426" ht="14" x14ac:dyDescent="0.3">
      <c r="A352" t="s">
        <v>3499</v>
      </c>
      <c r="B352" t="s">
        <v>3500</v>
      </c>
      <c r="C352" t="s">
        <v>3501</v>
      </c>
      <c r="E352" t="s">
        <v>384</v>
      </c>
      <c r="F352" s="561">
        <v>0</v>
      </c>
      <c r="G352" s="561">
        <v>0</v>
      </c>
      <c r="H352" s="561">
        <v>0</v>
      </c>
      <c r="I352" s="561">
        <v>0</v>
      </c>
      <c r="J352" s="561">
        <v>0</v>
      </c>
      <c r="K352" s="561">
        <v>0</v>
      </c>
      <c r="L352" s="561">
        <v>0</v>
      </c>
      <c r="M352" s="561">
        <v>0</v>
      </c>
      <c r="N352" s="561">
        <v>0</v>
      </c>
      <c r="O352" s="561">
        <v>4</v>
      </c>
      <c r="P352" s="561">
        <v>0</v>
      </c>
      <c r="Q352" s="561">
        <v>0</v>
      </c>
      <c r="R352" s="561">
        <v>0</v>
      </c>
      <c r="S352" s="561">
        <v>0</v>
      </c>
      <c r="T352" s="561">
        <v>0</v>
      </c>
      <c r="U352" s="561">
        <v>0</v>
      </c>
      <c r="V352" s="561">
        <v>0</v>
      </c>
      <c r="W352" s="561">
        <v>0</v>
      </c>
      <c r="X352" s="561">
        <v>0</v>
      </c>
      <c r="Y352" s="561">
        <v>0</v>
      </c>
      <c r="Z352" s="561">
        <v>0</v>
      </c>
      <c r="AA352" s="561">
        <v>0</v>
      </c>
      <c r="AB352" s="561">
        <v>-438</v>
      </c>
      <c r="AC352" s="561">
        <v>0</v>
      </c>
      <c r="AD352" s="561">
        <v>0</v>
      </c>
      <c r="AE352" s="561">
        <v>0</v>
      </c>
      <c r="AF352" s="561">
        <v>0</v>
      </c>
      <c r="AG352" s="561">
        <v>0</v>
      </c>
      <c r="AH352" s="561">
        <v>0</v>
      </c>
      <c r="AI352" s="561">
        <v>0</v>
      </c>
      <c r="AJ352" s="561">
        <v>-434</v>
      </c>
      <c r="AK352" s="561">
        <v>0</v>
      </c>
      <c r="AL352" s="561">
        <v>0</v>
      </c>
      <c r="AM352" s="561">
        <v>0</v>
      </c>
      <c r="AN352" s="561">
        <v>0</v>
      </c>
      <c r="AO352" s="561">
        <v>0</v>
      </c>
      <c r="AP352" s="561">
        <v>0</v>
      </c>
      <c r="AQ352" s="561">
        <v>0</v>
      </c>
      <c r="AR352" s="561">
        <v>0</v>
      </c>
      <c r="AS352" s="561">
        <v>0</v>
      </c>
      <c r="AT352" s="561">
        <v>0</v>
      </c>
      <c r="AU352" s="561">
        <v>0</v>
      </c>
      <c r="AV352" s="561">
        <v>0</v>
      </c>
      <c r="AW352" s="561">
        <v>0</v>
      </c>
      <c r="AX352" s="561">
        <v>0</v>
      </c>
      <c r="AY352" s="561">
        <v>0</v>
      </c>
      <c r="AZ352" s="561">
        <v>0</v>
      </c>
      <c r="BA352" s="561">
        <v>0</v>
      </c>
      <c r="BB352" s="561">
        <v>0</v>
      </c>
      <c r="BC352" s="561">
        <v>0</v>
      </c>
      <c r="BD352" s="561">
        <v>0</v>
      </c>
      <c r="BE352" s="561">
        <v>0</v>
      </c>
      <c r="BF352" s="561">
        <v>0</v>
      </c>
      <c r="BG352" s="561">
        <v>0</v>
      </c>
      <c r="BH352" s="561">
        <v>0</v>
      </c>
      <c r="BI352" s="561">
        <v>0</v>
      </c>
      <c r="BJ352" s="561">
        <v>0</v>
      </c>
      <c r="BK352" s="561">
        <v>0</v>
      </c>
      <c r="BL352" s="561">
        <v>0</v>
      </c>
      <c r="BM352" s="561">
        <v>0</v>
      </c>
      <c r="BN352" s="561">
        <v>0</v>
      </c>
      <c r="BO352" s="561">
        <v>0</v>
      </c>
      <c r="BP352" s="561">
        <v>0</v>
      </c>
      <c r="BQ352" s="561">
        <v>0</v>
      </c>
      <c r="BR352" s="561">
        <v>0</v>
      </c>
      <c r="BS352" s="561">
        <v>0</v>
      </c>
      <c r="BT352" s="561">
        <v>0</v>
      </c>
      <c r="BU352" s="561">
        <v>0</v>
      </c>
      <c r="BV352" s="561">
        <v>0</v>
      </c>
      <c r="BW352" s="561">
        <v>0</v>
      </c>
      <c r="BX352" s="561">
        <v>0</v>
      </c>
      <c r="BY352" s="561">
        <v>0</v>
      </c>
      <c r="BZ352" s="561">
        <v>0</v>
      </c>
      <c r="CA352" s="561">
        <v>0</v>
      </c>
      <c r="CB352" s="561">
        <v>0</v>
      </c>
      <c r="CC352" s="561">
        <v>0</v>
      </c>
      <c r="CD352" s="561">
        <v>0</v>
      </c>
      <c r="CE352" s="561">
        <v>0</v>
      </c>
      <c r="CF352" s="561">
        <v>0</v>
      </c>
      <c r="CG352" s="561">
        <v>0</v>
      </c>
      <c r="CH352" s="561">
        <v>0</v>
      </c>
      <c r="CI352" s="561">
        <v>0</v>
      </c>
      <c r="CJ352" s="561">
        <v>0</v>
      </c>
      <c r="CK352" s="561">
        <v>0</v>
      </c>
      <c r="CL352" s="561">
        <v>0</v>
      </c>
      <c r="CM352" s="561">
        <v>0</v>
      </c>
      <c r="CN352" s="561">
        <v>0</v>
      </c>
      <c r="CO352" s="561">
        <v>0</v>
      </c>
      <c r="CP352" s="561">
        <v>0</v>
      </c>
      <c r="CQ352" s="561">
        <v>0</v>
      </c>
      <c r="CR352" s="561">
        <v>0</v>
      </c>
      <c r="CS352" s="561">
        <v>0</v>
      </c>
      <c r="CT352" s="561">
        <v>0</v>
      </c>
      <c r="CU352" s="561">
        <v>0</v>
      </c>
      <c r="CV352" s="561">
        <v>0</v>
      </c>
      <c r="CW352" s="561">
        <v>0</v>
      </c>
      <c r="CX352" s="561">
        <v>0</v>
      </c>
      <c r="CY352" s="561">
        <v>0</v>
      </c>
      <c r="CZ352" s="561">
        <v>0</v>
      </c>
      <c r="DA352" s="561">
        <v>0</v>
      </c>
      <c r="DB352" s="561">
        <v>0</v>
      </c>
      <c r="DC352" s="561">
        <v>0</v>
      </c>
      <c r="DD352" s="561">
        <v>0</v>
      </c>
      <c r="DE352" s="561">
        <v>0</v>
      </c>
      <c r="DF352" s="561">
        <v>0</v>
      </c>
      <c r="DG352" s="561">
        <v>0</v>
      </c>
      <c r="DH352" s="561">
        <v>1341</v>
      </c>
      <c r="DI352" s="561">
        <v>0</v>
      </c>
      <c r="DJ352" s="561">
        <v>0</v>
      </c>
      <c r="DK352" s="561">
        <v>0</v>
      </c>
      <c r="DL352" s="561">
        <v>0</v>
      </c>
      <c r="DM352" s="561">
        <v>0</v>
      </c>
      <c r="DN352" s="561">
        <v>0</v>
      </c>
      <c r="DO352" s="561">
        <v>276</v>
      </c>
      <c r="DP352" s="561">
        <v>12</v>
      </c>
      <c r="DQ352" s="561">
        <v>0</v>
      </c>
      <c r="DR352" s="561">
        <v>0</v>
      </c>
      <c r="DS352" s="561">
        <v>221</v>
      </c>
      <c r="DT352" s="561">
        <v>0</v>
      </c>
      <c r="DU352" s="561">
        <v>509</v>
      </c>
      <c r="DV352" s="561">
        <v>-400</v>
      </c>
      <c r="DW352" s="561">
        <v>0</v>
      </c>
      <c r="DX352" s="561">
        <v>0</v>
      </c>
      <c r="DY352" s="561">
        <v>617</v>
      </c>
      <c r="DZ352" s="561">
        <v>474</v>
      </c>
      <c r="EA352" s="561">
        <v>0</v>
      </c>
      <c r="EB352" s="561">
        <v>0</v>
      </c>
      <c r="EC352" s="561">
        <v>2541</v>
      </c>
      <c r="ED352" s="561">
        <v>0</v>
      </c>
      <c r="EE352" s="561">
        <v>0</v>
      </c>
      <c r="EF352" s="561">
        <v>0</v>
      </c>
      <c r="EG352" s="561">
        <v>0</v>
      </c>
      <c r="EH352" s="561">
        <v>0</v>
      </c>
      <c r="EI352" s="561">
        <v>0</v>
      </c>
      <c r="EJ352" s="561">
        <v>0</v>
      </c>
      <c r="EK352" s="561">
        <v>0</v>
      </c>
      <c r="EL352" s="561">
        <v>0</v>
      </c>
      <c r="EM352" s="561">
        <v>0</v>
      </c>
      <c r="EN352" s="561">
        <v>0</v>
      </c>
      <c r="EO352" s="561">
        <v>0</v>
      </c>
      <c r="EP352" s="561">
        <v>0</v>
      </c>
      <c r="EQ352" s="561">
        <v>0</v>
      </c>
      <c r="ER352" s="561">
        <v>0</v>
      </c>
      <c r="ES352" s="561" t="s">
        <v>4565</v>
      </c>
      <c r="ET352" s="561">
        <v>0</v>
      </c>
      <c r="EU352" s="561">
        <v>0</v>
      </c>
      <c r="EV352" s="561">
        <v>0</v>
      </c>
      <c r="EW352" s="561">
        <v>0</v>
      </c>
      <c r="EX352" s="561">
        <v>0</v>
      </c>
      <c r="EY352" s="561">
        <v>0</v>
      </c>
      <c r="EZ352" s="561">
        <v>0</v>
      </c>
      <c r="FA352" s="561">
        <v>0</v>
      </c>
      <c r="FB352" s="561">
        <v>0</v>
      </c>
      <c r="FC352" s="561">
        <v>16</v>
      </c>
      <c r="FD352" s="561">
        <v>0</v>
      </c>
      <c r="FE352" s="561">
        <v>6</v>
      </c>
      <c r="FF352" s="561">
        <v>42</v>
      </c>
      <c r="FG352" s="561">
        <v>507</v>
      </c>
      <c r="FH352" s="561">
        <v>0</v>
      </c>
      <c r="FI352" s="561">
        <v>-7</v>
      </c>
      <c r="FJ352" s="561">
        <v>-337</v>
      </c>
      <c r="FK352" s="561">
        <v>1127</v>
      </c>
      <c r="FL352" s="561">
        <v>0</v>
      </c>
      <c r="FM352" s="561">
        <v>118</v>
      </c>
      <c r="FN352" s="561">
        <v>0</v>
      </c>
      <c r="FO352" s="561">
        <v>1472</v>
      </c>
      <c r="FP352" s="561">
        <v>0</v>
      </c>
      <c r="FQ352" s="561">
        <v>-14</v>
      </c>
      <c r="FR352" s="561">
        <v>0</v>
      </c>
      <c r="FS352" s="561">
        <v>107</v>
      </c>
      <c r="FT352" s="561">
        <v>230</v>
      </c>
      <c r="FU352" s="561">
        <v>230</v>
      </c>
      <c r="FV352" s="561">
        <v>54</v>
      </c>
      <c r="FW352" s="561">
        <v>230</v>
      </c>
      <c r="FX352" s="561">
        <v>0</v>
      </c>
      <c r="FY352" s="561">
        <v>0</v>
      </c>
      <c r="FZ352" s="561">
        <v>68</v>
      </c>
      <c r="GA352" s="561">
        <v>0</v>
      </c>
      <c r="GB352" s="561">
        <v>180</v>
      </c>
      <c r="GC352" s="561">
        <v>-146</v>
      </c>
      <c r="GD352" s="561">
        <v>0</v>
      </c>
      <c r="GE352" s="561">
        <v>73</v>
      </c>
      <c r="GF352" s="561">
        <v>0</v>
      </c>
      <c r="GG352" s="561">
        <v>0</v>
      </c>
      <c r="GH352" s="561">
        <v>163</v>
      </c>
      <c r="GI352" s="561">
        <v>0</v>
      </c>
      <c r="GJ352" s="561">
        <v>0</v>
      </c>
      <c r="GK352" s="561">
        <v>0</v>
      </c>
      <c r="GL352" s="561">
        <v>785</v>
      </c>
      <c r="GM352" s="561">
        <v>2343</v>
      </c>
      <c r="GN352" s="561">
        <v>0</v>
      </c>
      <c r="GO352" s="561">
        <v>0</v>
      </c>
      <c r="GP352" s="561">
        <v>1518</v>
      </c>
      <c r="GQ352" s="561">
        <v>0</v>
      </c>
      <c r="GR352" s="561">
        <v>-13</v>
      </c>
      <c r="GS352" s="561">
        <v>5808</v>
      </c>
      <c r="GT352" s="561">
        <v>0</v>
      </c>
      <c r="GU352" s="561">
        <v>253</v>
      </c>
      <c r="GV352" s="561">
        <v>559</v>
      </c>
      <c r="GW352" s="561">
        <v>0</v>
      </c>
      <c r="GX352" s="561">
        <v>-19</v>
      </c>
      <c r="GY352" s="561">
        <v>46</v>
      </c>
      <c r="GZ352" s="561">
        <v>172</v>
      </c>
      <c r="HA352" s="561">
        <v>0</v>
      </c>
      <c r="HB352" s="561">
        <v>109</v>
      </c>
      <c r="HC352" s="561">
        <v>263</v>
      </c>
      <c r="HD352" s="561">
        <v>1383</v>
      </c>
      <c r="HE352" s="561">
        <v>0</v>
      </c>
      <c r="HF352" s="561">
        <v>8663</v>
      </c>
      <c r="HG352" s="561">
        <v>0</v>
      </c>
      <c r="HH352" s="561">
        <v>0</v>
      </c>
      <c r="HI352" s="561">
        <v>0</v>
      </c>
      <c r="HJ352" s="561">
        <v>0</v>
      </c>
      <c r="HK352" s="561">
        <v>0</v>
      </c>
      <c r="HL352" s="561">
        <v>0</v>
      </c>
      <c r="HM352" s="561">
        <v>0</v>
      </c>
      <c r="HN352" s="561">
        <v>0</v>
      </c>
      <c r="HO352" s="561">
        <v>3477</v>
      </c>
      <c r="HP352" s="561">
        <v>103</v>
      </c>
      <c r="HQ352" s="561">
        <v>0</v>
      </c>
      <c r="HR352" s="561">
        <v>0</v>
      </c>
      <c r="HS352" s="561">
        <v>185</v>
      </c>
      <c r="HT352" s="561">
        <v>616</v>
      </c>
      <c r="HU352" s="561">
        <v>0</v>
      </c>
      <c r="HV352" s="561">
        <v>0</v>
      </c>
      <c r="HW352" s="561">
        <v>229</v>
      </c>
      <c r="HX352" s="561">
        <v>443</v>
      </c>
      <c r="HY352" s="561">
        <v>386</v>
      </c>
      <c r="HZ352" s="561">
        <v>-118</v>
      </c>
      <c r="IA352" s="561">
        <v>0</v>
      </c>
      <c r="IB352" s="561">
        <v>20</v>
      </c>
      <c r="IC352" s="561">
        <v>0</v>
      </c>
      <c r="ID352" s="561">
        <v>0</v>
      </c>
      <c r="IE352" s="561">
        <v>1193</v>
      </c>
      <c r="IF352" s="561">
        <v>0</v>
      </c>
      <c r="IG352" s="561">
        <v>0</v>
      </c>
      <c r="IH352" s="561">
        <v>0</v>
      </c>
      <c r="II352" s="561">
        <v>6534</v>
      </c>
      <c r="IJ352" s="561">
        <v>0</v>
      </c>
      <c r="IK352" s="561">
        <v>0</v>
      </c>
      <c r="IL352" s="561">
        <v>0</v>
      </c>
      <c r="IM352" s="561">
        <v>0</v>
      </c>
      <c r="IN352" s="561">
        <v>0</v>
      </c>
      <c r="IO352" s="561">
        <v>0</v>
      </c>
      <c r="IP352" s="561">
        <v>0</v>
      </c>
      <c r="IQ352" s="561">
        <v>0</v>
      </c>
      <c r="IR352" s="561">
        <v>0</v>
      </c>
      <c r="IS352" s="561">
        <v>-434</v>
      </c>
      <c r="IT352" s="561">
        <v>0</v>
      </c>
      <c r="IU352" s="561">
        <v>0</v>
      </c>
      <c r="IV352" s="561">
        <v>0</v>
      </c>
      <c r="IW352" s="561">
        <v>2541</v>
      </c>
      <c r="IX352" s="561">
        <v>1472</v>
      </c>
      <c r="IY352" s="561">
        <v>5808</v>
      </c>
      <c r="IZ352" s="561">
        <v>1383</v>
      </c>
      <c r="JA352" s="561">
        <v>0</v>
      </c>
      <c r="JB352" s="561">
        <v>0</v>
      </c>
      <c r="JC352" s="561">
        <v>6534</v>
      </c>
      <c r="JD352" s="561">
        <v>0</v>
      </c>
      <c r="JE352" s="561">
        <v>17304</v>
      </c>
      <c r="JF352" s="561">
        <v>11159</v>
      </c>
      <c r="JG352" s="561">
        <v>179</v>
      </c>
      <c r="JH352" s="561">
        <v>0</v>
      </c>
      <c r="JI352" s="561">
        <v>0</v>
      </c>
      <c r="JJ352" s="561">
        <v>0</v>
      </c>
      <c r="JK352" s="561">
        <v>2779</v>
      </c>
      <c r="JL352" s="561">
        <v>0</v>
      </c>
      <c r="JM352" s="561">
        <v>0</v>
      </c>
      <c r="JN352" s="561">
        <v>0</v>
      </c>
      <c r="JO352" s="561">
        <v>0</v>
      </c>
      <c r="JP352" s="561">
        <v>0</v>
      </c>
      <c r="JQ352" s="561">
        <v>0</v>
      </c>
      <c r="JR352" s="561">
        <v>0</v>
      </c>
      <c r="JS352" s="561">
        <v>0</v>
      </c>
      <c r="JT352" s="561">
        <v>0</v>
      </c>
      <c r="JU352" s="561">
        <v>0</v>
      </c>
      <c r="JV352" s="561">
        <v>31421</v>
      </c>
      <c r="JW352" s="561">
        <v>0</v>
      </c>
      <c r="JX352" s="561">
        <v>0</v>
      </c>
      <c r="JY352" s="561">
        <v>0</v>
      </c>
      <c r="JZ352" s="561">
        <v>0</v>
      </c>
      <c r="KA352" s="561">
        <v>0</v>
      </c>
      <c r="KB352" s="561">
        <v>0</v>
      </c>
      <c r="KC352" s="561">
        <v>972</v>
      </c>
      <c r="KD352" s="561">
        <v>0</v>
      </c>
      <c r="KE352" s="561">
        <v>672</v>
      </c>
      <c r="KF352" s="561">
        <v>0</v>
      </c>
      <c r="KG352" s="561">
        <v>33065</v>
      </c>
      <c r="KH352" s="561">
        <v>-4822</v>
      </c>
      <c r="KI352" s="561">
        <v>0</v>
      </c>
      <c r="KJ352" s="561">
        <v>0</v>
      </c>
      <c r="KK352" s="561">
        <v>0</v>
      </c>
      <c r="KL352" s="561">
        <v>-10899</v>
      </c>
      <c r="KM352" s="561">
        <v>0</v>
      </c>
      <c r="KN352" s="561">
        <v>-7584</v>
      </c>
      <c r="KO352" s="561">
        <v>0</v>
      </c>
      <c r="KP352" s="561">
        <v>0</v>
      </c>
      <c r="KQ352" s="561">
        <v>0</v>
      </c>
      <c r="KR352" s="561">
        <v>9760</v>
      </c>
      <c r="KS352" s="561">
        <v>0</v>
      </c>
      <c r="KT352" s="561">
        <v>-3689</v>
      </c>
      <c r="KU352" s="561">
        <v>6071</v>
      </c>
      <c r="KV352" s="561">
        <v>0</v>
      </c>
      <c r="KW352" s="561">
        <v>0</v>
      </c>
      <c r="KX352" s="561">
        <v>0</v>
      </c>
      <c r="KY352" s="561">
        <v>0</v>
      </c>
      <c r="KZ352" s="561">
        <v>8151</v>
      </c>
      <c r="LA352" s="561">
        <v>0</v>
      </c>
      <c r="LB352" s="561">
        <v>-169</v>
      </c>
      <c r="LC352" s="561">
        <v>0</v>
      </c>
      <c r="LD352" s="561">
        <v>-5767</v>
      </c>
      <c r="LE352" s="561">
        <v>-74</v>
      </c>
      <c r="LF352" s="561">
        <v>0</v>
      </c>
      <c r="LG352" s="561">
        <v>8212</v>
      </c>
      <c r="LH352" s="561">
        <v>0</v>
      </c>
      <c r="LI352" s="561">
        <v>0</v>
      </c>
      <c r="LJ352" s="561">
        <v>0</v>
      </c>
      <c r="LK352" s="561">
        <v>0</v>
      </c>
      <c r="LL352" s="561">
        <v>41526</v>
      </c>
      <c r="LM352" s="561">
        <v>1000</v>
      </c>
      <c r="LN352" s="561">
        <v>0</v>
      </c>
      <c r="LO352" s="561">
        <v>0</v>
      </c>
      <c r="LP352" s="561">
        <v>0</v>
      </c>
      <c r="LQ352" s="561">
        <v>0</v>
      </c>
      <c r="LR352" s="561">
        <v>49677</v>
      </c>
      <c r="LS352" s="561">
        <v>1000</v>
      </c>
      <c r="LT352" s="561">
        <v>0</v>
      </c>
      <c r="LU352" s="561">
        <v>1076</v>
      </c>
      <c r="LV352" s="561">
        <v>0</v>
      </c>
      <c r="LW352" s="561">
        <v>0</v>
      </c>
      <c r="LX352" s="561">
        <v>0</v>
      </c>
      <c r="LY352" s="561">
        <v>1671</v>
      </c>
      <c r="LZ352" s="561">
        <v>2014</v>
      </c>
      <c r="MA352" s="561">
        <v>0</v>
      </c>
      <c r="MB352" s="561">
        <v>0</v>
      </c>
      <c r="MC352" s="561">
        <v>0</v>
      </c>
      <c r="MD352" s="561">
        <v>0</v>
      </c>
      <c r="ME352" s="561">
        <v>0</v>
      </c>
      <c r="MF352" s="561">
        <v>0</v>
      </c>
      <c r="MG352" s="561">
        <v>0</v>
      </c>
      <c r="MH352" s="561">
        <v>2115</v>
      </c>
      <c r="MI352" s="561">
        <v>3445</v>
      </c>
      <c r="MJ352" s="561">
        <v>5560</v>
      </c>
      <c r="MK352" s="561">
        <v>0</v>
      </c>
      <c r="ML352" s="561">
        <v>35865</v>
      </c>
      <c r="MM352" s="561">
        <v>11422</v>
      </c>
      <c r="MN352" s="561">
        <v>518</v>
      </c>
      <c r="MO352" s="561">
        <v>1872</v>
      </c>
      <c r="MP352" s="561">
        <v>0</v>
      </c>
      <c r="MQ352" s="561">
        <v>0</v>
      </c>
      <c r="MR352" s="561">
        <v>-434</v>
      </c>
      <c r="MS352" s="561">
        <v>0</v>
      </c>
      <c r="MT352" s="561">
        <v>0</v>
      </c>
      <c r="MU352" s="561">
        <v>0</v>
      </c>
      <c r="MV352" s="561">
        <v>2541</v>
      </c>
      <c r="MW352" s="561">
        <v>1472</v>
      </c>
      <c r="MX352" s="561">
        <v>5808</v>
      </c>
      <c r="MY352" s="561">
        <v>1383</v>
      </c>
      <c r="MZ352" s="561">
        <v>0</v>
      </c>
      <c r="NA352" s="561">
        <v>0</v>
      </c>
      <c r="NB352" s="561">
        <v>6534</v>
      </c>
      <c r="NC352" s="561">
        <v>0</v>
      </c>
      <c r="ND352" s="561">
        <v>17304</v>
      </c>
      <c r="NE352" s="561">
        <v>0</v>
      </c>
      <c r="NF352" s="561">
        <v>0</v>
      </c>
      <c r="NG352" s="561">
        <v>0</v>
      </c>
      <c r="NH352" s="561">
        <v>0</v>
      </c>
      <c r="NI352" s="561">
        <v>0</v>
      </c>
      <c r="NJ352" s="561">
        <v>0</v>
      </c>
      <c r="NK352" s="561">
        <v>0</v>
      </c>
      <c r="NL352" s="561">
        <v>0</v>
      </c>
      <c r="NM352" s="561">
        <v>0</v>
      </c>
      <c r="NN352" s="561">
        <v>0</v>
      </c>
      <c r="NO352" s="561">
        <v>0</v>
      </c>
      <c r="NP352" s="561">
        <v>0</v>
      </c>
      <c r="NQ352" s="561">
        <v>0</v>
      </c>
      <c r="NR352" s="561">
        <v>0</v>
      </c>
      <c r="NS352" s="561">
        <v>0</v>
      </c>
      <c r="NT352" s="561">
        <v>0</v>
      </c>
      <c r="NU352" s="561">
        <v>-1349</v>
      </c>
      <c r="NV352" s="561">
        <v>0</v>
      </c>
      <c r="NW352" s="561">
        <v>0</v>
      </c>
      <c r="NX352" s="561">
        <v>0</v>
      </c>
      <c r="NY352" s="561">
        <v>0</v>
      </c>
      <c r="NZ352" s="561">
        <v>0</v>
      </c>
      <c r="OA352" s="561">
        <v>0</v>
      </c>
      <c r="OB352" s="561">
        <v>0</v>
      </c>
      <c r="OC352" s="561">
        <v>0</v>
      </c>
      <c r="OD352" s="561">
        <v>0</v>
      </c>
      <c r="OE352" s="561">
        <v>0</v>
      </c>
      <c r="OF352" s="561">
        <v>0</v>
      </c>
      <c r="OG352" s="561">
        <v>0</v>
      </c>
      <c r="OH352" s="561">
        <v>0</v>
      </c>
      <c r="OI352" s="561">
        <v>0</v>
      </c>
      <c r="OJ352" s="561">
        <v>0</v>
      </c>
      <c r="OK352" s="561">
        <v>0</v>
      </c>
      <c r="OL352" s="561">
        <v>0</v>
      </c>
      <c r="OM352" s="561">
        <v>0</v>
      </c>
      <c r="ON352" s="561">
        <v>0</v>
      </c>
      <c r="OO352" s="561">
        <v>0</v>
      </c>
      <c r="OP352" s="561">
        <v>0</v>
      </c>
      <c r="OQ352" s="561">
        <v>0</v>
      </c>
      <c r="OR352" s="561">
        <v>0</v>
      </c>
      <c r="OS352" s="561">
        <v>0</v>
      </c>
      <c r="OT352" s="561">
        <v>0</v>
      </c>
      <c r="OU352" s="561">
        <v>0</v>
      </c>
      <c r="OV352" s="561">
        <v>418</v>
      </c>
      <c r="OW352" s="561">
        <v>0</v>
      </c>
      <c r="OX352" s="561">
        <v>0</v>
      </c>
      <c r="OY352" s="561">
        <v>0</v>
      </c>
      <c r="OZ352" s="561">
        <v>0</v>
      </c>
      <c r="PA352" s="561">
        <v>0</v>
      </c>
      <c r="PB352" s="561">
        <v>0</v>
      </c>
      <c r="PC352" s="561">
        <v>0</v>
      </c>
      <c r="PD352" s="561">
        <v>0</v>
      </c>
      <c r="PE352" s="561">
        <v>0</v>
      </c>
      <c r="PF352" s="561">
        <v>0</v>
      </c>
      <c r="PG352" s="561">
        <v>0</v>
      </c>
      <c r="PH352" s="561">
        <v>0</v>
      </c>
      <c r="PI352" s="561">
        <v>0</v>
      </c>
      <c r="PJ352" s="561">
        <v>0</v>
      </c>
    </row>
    <row r="353" spans="1:426" ht="14" x14ac:dyDescent="0.3">
      <c r="A353" t="s">
        <v>3502</v>
      </c>
      <c r="B353" t="s">
        <v>3503</v>
      </c>
      <c r="C353" t="s">
        <v>3504</v>
      </c>
      <c r="E353" t="s">
        <v>2466</v>
      </c>
      <c r="F353" s="561">
        <v>0</v>
      </c>
      <c r="G353" s="561">
        <v>0</v>
      </c>
      <c r="H353" s="561">
        <v>0</v>
      </c>
      <c r="I353" s="561">
        <v>0</v>
      </c>
      <c r="J353" s="561">
        <v>0</v>
      </c>
      <c r="K353" s="561">
        <v>0</v>
      </c>
      <c r="L353" s="561">
        <v>0</v>
      </c>
      <c r="M353" s="561">
        <v>0</v>
      </c>
      <c r="N353" s="561">
        <v>0</v>
      </c>
      <c r="O353" s="561">
        <v>0</v>
      </c>
      <c r="P353" s="561">
        <v>0</v>
      </c>
      <c r="Q353" s="561">
        <v>0</v>
      </c>
      <c r="R353" s="561">
        <v>0</v>
      </c>
      <c r="S353" s="561">
        <v>0</v>
      </c>
      <c r="T353" s="561">
        <v>0</v>
      </c>
      <c r="U353" s="561">
        <v>0</v>
      </c>
      <c r="V353" s="561">
        <v>0</v>
      </c>
      <c r="W353" s="561">
        <v>0</v>
      </c>
      <c r="X353" s="561">
        <v>0</v>
      </c>
      <c r="Y353" s="561">
        <v>0</v>
      </c>
      <c r="Z353" s="561">
        <v>0</v>
      </c>
      <c r="AA353" s="561">
        <v>0</v>
      </c>
      <c r="AB353" s="561">
        <v>0</v>
      </c>
      <c r="AC353" s="561">
        <v>0</v>
      </c>
      <c r="AD353" s="561">
        <v>0</v>
      </c>
      <c r="AE353" s="561">
        <v>0</v>
      </c>
      <c r="AF353" s="561">
        <v>0</v>
      </c>
      <c r="AG353" s="561">
        <v>0</v>
      </c>
      <c r="AH353" s="561">
        <v>0</v>
      </c>
      <c r="AI353" s="561">
        <v>0</v>
      </c>
      <c r="AJ353" s="561">
        <v>0</v>
      </c>
      <c r="AK353" s="561">
        <v>0</v>
      </c>
      <c r="AL353" s="561">
        <v>0</v>
      </c>
      <c r="AM353" s="561">
        <v>0</v>
      </c>
      <c r="AN353" s="561">
        <v>0</v>
      </c>
      <c r="AO353" s="561">
        <v>0</v>
      </c>
      <c r="AP353" s="561">
        <v>0</v>
      </c>
      <c r="AQ353" s="561">
        <v>0</v>
      </c>
      <c r="AR353" s="561">
        <v>0</v>
      </c>
      <c r="AS353" s="561">
        <v>0</v>
      </c>
      <c r="AT353" s="561">
        <v>0</v>
      </c>
      <c r="AU353" s="561">
        <v>0</v>
      </c>
      <c r="AV353" s="561">
        <v>0</v>
      </c>
      <c r="AW353" s="561">
        <v>0</v>
      </c>
      <c r="AX353" s="561">
        <v>0</v>
      </c>
      <c r="AY353" s="561">
        <v>0</v>
      </c>
      <c r="AZ353" s="561">
        <v>0</v>
      </c>
      <c r="BA353" s="561">
        <v>0</v>
      </c>
      <c r="BB353" s="561">
        <v>0</v>
      </c>
      <c r="BC353" s="561">
        <v>0</v>
      </c>
      <c r="BD353" s="561">
        <v>0</v>
      </c>
      <c r="BE353" s="561">
        <v>0</v>
      </c>
      <c r="BF353" s="561">
        <v>0</v>
      </c>
      <c r="BG353" s="561">
        <v>0</v>
      </c>
      <c r="BH353" s="561">
        <v>0</v>
      </c>
      <c r="BI353" s="561">
        <v>0</v>
      </c>
      <c r="BJ353" s="561">
        <v>0</v>
      </c>
      <c r="BK353" s="561">
        <v>0</v>
      </c>
      <c r="BL353" s="561">
        <v>0</v>
      </c>
      <c r="BM353" s="561">
        <v>0</v>
      </c>
      <c r="BN353" s="561">
        <v>0</v>
      </c>
      <c r="BO353" s="561">
        <v>0</v>
      </c>
      <c r="BP353" s="561">
        <v>0</v>
      </c>
      <c r="BQ353" s="561">
        <v>0</v>
      </c>
      <c r="BR353" s="561">
        <v>0</v>
      </c>
      <c r="BS353" s="561">
        <v>0</v>
      </c>
      <c r="BT353" s="561">
        <v>0</v>
      </c>
      <c r="BU353" s="561">
        <v>0</v>
      </c>
      <c r="BV353" s="561">
        <v>0</v>
      </c>
      <c r="BW353" s="561">
        <v>0</v>
      </c>
      <c r="BX353" s="561">
        <v>0</v>
      </c>
      <c r="BY353" s="561">
        <v>0</v>
      </c>
      <c r="BZ353" s="561">
        <v>0</v>
      </c>
      <c r="CA353" s="561">
        <v>0</v>
      </c>
      <c r="CB353" s="561">
        <v>0</v>
      </c>
      <c r="CC353" s="561">
        <v>0</v>
      </c>
      <c r="CD353" s="561">
        <v>0</v>
      </c>
      <c r="CE353" s="561">
        <v>0</v>
      </c>
      <c r="CF353" s="561">
        <v>0</v>
      </c>
      <c r="CG353" s="561">
        <v>0</v>
      </c>
      <c r="CH353" s="561">
        <v>0</v>
      </c>
      <c r="CI353" s="561">
        <v>0</v>
      </c>
      <c r="CJ353" s="561">
        <v>0</v>
      </c>
      <c r="CK353" s="561">
        <v>0</v>
      </c>
      <c r="CL353" s="561">
        <v>0</v>
      </c>
      <c r="CM353" s="561">
        <v>0</v>
      </c>
      <c r="CN353" s="561">
        <v>0</v>
      </c>
      <c r="CO353" s="561">
        <v>0</v>
      </c>
      <c r="CP353" s="561">
        <v>0</v>
      </c>
      <c r="CQ353" s="561">
        <v>0</v>
      </c>
      <c r="CR353" s="561">
        <v>0</v>
      </c>
      <c r="CS353" s="561">
        <v>0</v>
      </c>
      <c r="CT353" s="561">
        <v>0</v>
      </c>
      <c r="CU353" s="561">
        <v>0</v>
      </c>
      <c r="CV353" s="561">
        <v>0</v>
      </c>
      <c r="CW353" s="561">
        <v>0</v>
      </c>
      <c r="CX353" s="561">
        <v>0</v>
      </c>
      <c r="CY353" s="561">
        <v>0</v>
      </c>
      <c r="CZ353" s="561">
        <v>0</v>
      </c>
      <c r="DA353" s="561">
        <v>0</v>
      </c>
      <c r="DB353" s="561">
        <v>0</v>
      </c>
      <c r="DC353" s="561">
        <v>0</v>
      </c>
      <c r="DD353" s="561">
        <v>0</v>
      </c>
      <c r="DE353" s="561">
        <v>0</v>
      </c>
      <c r="DF353" s="561">
        <v>0</v>
      </c>
      <c r="DG353" s="561">
        <v>0</v>
      </c>
      <c r="DH353" s="561">
        <v>0</v>
      </c>
      <c r="DI353" s="561">
        <v>0</v>
      </c>
      <c r="DJ353" s="561">
        <v>0</v>
      </c>
      <c r="DK353" s="561">
        <v>0</v>
      </c>
      <c r="DL353" s="561">
        <v>0</v>
      </c>
      <c r="DM353" s="561">
        <v>0</v>
      </c>
      <c r="DN353" s="561">
        <v>0</v>
      </c>
      <c r="DO353" s="561">
        <v>0</v>
      </c>
      <c r="DP353" s="561">
        <v>0</v>
      </c>
      <c r="DQ353" s="561">
        <v>0</v>
      </c>
      <c r="DR353" s="561">
        <v>0</v>
      </c>
      <c r="DS353" s="561">
        <v>0</v>
      </c>
      <c r="DT353" s="561">
        <v>0</v>
      </c>
      <c r="DU353" s="561">
        <v>0</v>
      </c>
      <c r="DV353" s="561">
        <v>0</v>
      </c>
      <c r="DW353" s="561">
        <v>0</v>
      </c>
      <c r="DX353" s="561">
        <v>0</v>
      </c>
      <c r="DY353" s="561">
        <v>0</v>
      </c>
      <c r="DZ353" s="561">
        <v>0</v>
      </c>
      <c r="EA353" s="561">
        <v>0</v>
      </c>
      <c r="EB353" s="561">
        <v>0</v>
      </c>
      <c r="EC353" s="561">
        <v>0</v>
      </c>
      <c r="ED353" s="561">
        <v>0</v>
      </c>
      <c r="EE353" s="561">
        <v>0</v>
      </c>
      <c r="EF353" s="561">
        <v>0</v>
      </c>
      <c r="EG353" s="561">
        <v>0</v>
      </c>
      <c r="EH353" s="561">
        <v>0</v>
      </c>
      <c r="EI353" s="561">
        <v>0</v>
      </c>
      <c r="EJ353" s="561">
        <v>0</v>
      </c>
      <c r="EK353" s="561">
        <v>0</v>
      </c>
      <c r="EL353" s="561">
        <v>0</v>
      </c>
      <c r="EM353" s="561">
        <v>0</v>
      </c>
      <c r="EN353" s="561">
        <v>0</v>
      </c>
      <c r="EO353" s="561">
        <v>0</v>
      </c>
      <c r="EP353" s="561">
        <v>0</v>
      </c>
      <c r="EQ353" s="561">
        <v>0</v>
      </c>
      <c r="ER353" s="561">
        <v>0</v>
      </c>
      <c r="ES353" s="561" t="s">
        <v>4565</v>
      </c>
      <c r="ET353" s="561">
        <v>0</v>
      </c>
      <c r="EU353" s="561">
        <v>0</v>
      </c>
      <c r="EV353" s="561">
        <v>0</v>
      </c>
      <c r="EW353" s="561">
        <v>0</v>
      </c>
      <c r="EX353" s="561">
        <v>0</v>
      </c>
      <c r="EY353" s="561">
        <v>0</v>
      </c>
      <c r="EZ353" s="561">
        <v>0</v>
      </c>
      <c r="FA353" s="561">
        <v>0</v>
      </c>
      <c r="FB353" s="561">
        <v>0</v>
      </c>
      <c r="FC353" s="561">
        <v>0</v>
      </c>
      <c r="FD353" s="561">
        <v>0</v>
      </c>
      <c r="FE353" s="561">
        <v>0</v>
      </c>
      <c r="FF353" s="561">
        <v>0</v>
      </c>
      <c r="FG353" s="561">
        <v>0</v>
      </c>
      <c r="FH353" s="561">
        <v>0</v>
      </c>
      <c r="FI353" s="561">
        <v>0</v>
      </c>
      <c r="FJ353" s="561">
        <v>0</v>
      </c>
      <c r="FK353" s="561">
        <v>0</v>
      </c>
      <c r="FL353" s="561">
        <v>0</v>
      </c>
      <c r="FM353" s="561">
        <v>0</v>
      </c>
      <c r="FN353" s="561">
        <v>0</v>
      </c>
      <c r="FO353" s="561">
        <v>0</v>
      </c>
      <c r="FP353" s="561">
        <v>0</v>
      </c>
      <c r="FQ353" s="561">
        <v>0</v>
      </c>
      <c r="FR353" s="561">
        <v>0</v>
      </c>
      <c r="FS353" s="561">
        <v>0</v>
      </c>
      <c r="FT353" s="561">
        <v>0</v>
      </c>
      <c r="FU353" s="561">
        <v>0</v>
      </c>
      <c r="FV353" s="561">
        <v>0</v>
      </c>
      <c r="FW353" s="561">
        <v>0</v>
      </c>
      <c r="FX353" s="561">
        <v>0</v>
      </c>
      <c r="FY353" s="561">
        <v>0</v>
      </c>
      <c r="FZ353" s="561">
        <v>0</v>
      </c>
      <c r="GA353" s="561">
        <v>0</v>
      </c>
      <c r="GB353" s="561">
        <v>0</v>
      </c>
      <c r="GC353" s="561">
        <v>0</v>
      </c>
      <c r="GD353" s="561">
        <v>0</v>
      </c>
      <c r="GE353" s="561">
        <v>0</v>
      </c>
      <c r="GF353" s="561">
        <v>0</v>
      </c>
      <c r="GG353" s="561">
        <v>0</v>
      </c>
      <c r="GH353" s="561">
        <v>0</v>
      </c>
      <c r="GI353" s="561">
        <v>0</v>
      </c>
      <c r="GJ353" s="561">
        <v>0</v>
      </c>
      <c r="GK353" s="561">
        <v>0</v>
      </c>
      <c r="GL353" s="561">
        <v>0</v>
      </c>
      <c r="GM353" s="561">
        <v>0</v>
      </c>
      <c r="GN353" s="561">
        <v>0</v>
      </c>
      <c r="GO353" s="561">
        <v>0</v>
      </c>
      <c r="GP353" s="561">
        <v>0</v>
      </c>
      <c r="GQ353" s="561">
        <v>0</v>
      </c>
      <c r="GR353" s="561">
        <v>0</v>
      </c>
      <c r="GS353" s="561">
        <v>0</v>
      </c>
      <c r="GT353" s="561">
        <v>0</v>
      </c>
      <c r="GU353" s="561">
        <v>0</v>
      </c>
      <c r="GV353" s="561">
        <v>0</v>
      </c>
      <c r="GW353" s="561">
        <v>0</v>
      </c>
      <c r="GX353" s="561">
        <v>0</v>
      </c>
      <c r="GY353" s="561">
        <v>0</v>
      </c>
      <c r="GZ353" s="561">
        <v>0</v>
      </c>
      <c r="HA353" s="561">
        <v>0</v>
      </c>
      <c r="HB353" s="561">
        <v>0</v>
      </c>
      <c r="HC353" s="561">
        <v>0</v>
      </c>
      <c r="HD353" s="561">
        <v>0</v>
      </c>
      <c r="HE353" s="561">
        <v>0</v>
      </c>
      <c r="HF353" s="561">
        <v>0</v>
      </c>
      <c r="HG353" s="561">
        <v>0</v>
      </c>
      <c r="HH353" s="561">
        <v>646787</v>
      </c>
      <c r="HI353" s="561">
        <v>0</v>
      </c>
      <c r="HJ353" s="561">
        <v>0</v>
      </c>
      <c r="HK353" s="561">
        <v>0</v>
      </c>
      <c r="HL353" s="561">
        <v>0</v>
      </c>
      <c r="HM353" s="561">
        <v>0</v>
      </c>
      <c r="HN353" s="561">
        <v>0</v>
      </c>
      <c r="HO353" s="561">
        <v>2790</v>
      </c>
      <c r="HP353" s="561">
        <v>0</v>
      </c>
      <c r="HQ353" s="561">
        <v>0</v>
      </c>
      <c r="HR353" s="561">
        <v>0</v>
      </c>
      <c r="HS353" s="561">
        <v>0</v>
      </c>
      <c r="HT353" s="561">
        <v>0</v>
      </c>
      <c r="HU353" s="561">
        <v>0</v>
      </c>
      <c r="HV353" s="561">
        <v>0</v>
      </c>
      <c r="HW353" s="561">
        <v>0</v>
      </c>
      <c r="HX353" s="561">
        <v>0</v>
      </c>
      <c r="HY353" s="561">
        <v>0</v>
      </c>
      <c r="HZ353" s="561">
        <v>0</v>
      </c>
      <c r="IA353" s="561">
        <v>0</v>
      </c>
      <c r="IB353" s="561">
        <v>0</v>
      </c>
      <c r="IC353" s="561">
        <v>0</v>
      </c>
      <c r="ID353" s="561">
        <v>0</v>
      </c>
      <c r="IE353" s="561">
        <v>0</v>
      </c>
      <c r="IF353" s="561">
        <v>0</v>
      </c>
      <c r="IG353" s="561">
        <v>0</v>
      </c>
      <c r="IH353" s="561">
        <v>0</v>
      </c>
      <c r="II353" s="561">
        <v>2790</v>
      </c>
      <c r="IJ353" s="561">
        <v>0</v>
      </c>
      <c r="IK353" s="561">
        <v>0</v>
      </c>
      <c r="IL353" s="561">
        <v>0</v>
      </c>
      <c r="IM353" s="561">
        <v>0</v>
      </c>
      <c r="IN353" s="561">
        <v>0</v>
      </c>
      <c r="IO353" s="561">
        <v>0</v>
      </c>
      <c r="IP353" s="561">
        <v>0</v>
      </c>
      <c r="IQ353" s="561">
        <v>0</v>
      </c>
      <c r="IR353" s="561">
        <v>0</v>
      </c>
      <c r="IS353" s="561">
        <v>0</v>
      </c>
      <c r="IT353" s="561">
        <v>0</v>
      </c>
      <c r="IU353" s="561">
        <v>0</v>
      </c>
      <c r="IV353" s="561">
        <v>0</v>
      </c>
      <c r="IW353" s="561">
        <v>0</v>
      </c>
      <c r="IX353" s="561">
        <v>0</v>
      </c>
      <c r="IY353" s="561">
        <v>0</v>
      </c>
      <c r="IZ353" s="561">
        <v>0</v>
      </c>
      <c r="JA353" s="561">
        <v>646787</v>
      </c>
      <c r="JB353" s="561">
        <v>0</v>
      </c>
      <c r="JC353" s="561">
        <v>2790</v>
      </c>
      <c r="JD353" s="561">
        <v>0</v>
      </c>
      <c r="JE353" s="561">
        <v>649577</v>
      </c>
      <c r="JF353" s="561">
        <v>0</v>
      </c>
      <c r="JG353" s="561">
        <v>0</v>
      </c>
      <c r="JH353" s="561">
        <v>0</v>
      </c>
      <c r="JI353" s="561">
        <v>0</v>
      </c>
      <c r="JJ353" s="561">
        <v>0</v>
      </c>
      <c r="JK353" s="561">
        <v>0</v>
      </c>
      <c r="JL353" s="561">
        <v>0</v>
      </c>
      <c r="JM353" s="561">
        <v>0</v>
      </c>
      <c r="JN353" s="561">
        <v>0</v>
      </c>
      <c r="JO353" s="561">
        <v>0</v>
      </c>
      <c r="JP353" s="561">
        <v>0</v>
      </c>
      <c r="JQ353" s="561">
        <v>0</v>
      </c>
      <c r="JR353" s="561">
        <v>0</v>
      </c>
      <c r="JS353" s="561">
        <v>0</v>
      </c>
      <c r="JT353" s="561">
        <v>-426</v>
      </c>
      <c r="JU353" s="561">
        <v>0</v>
      </c>
      <c r="JV353" s="561">
        <v>649151</v>
      </c>
      <c r="JW353" s="561">
        <v>0</v>
      </c>
      <c r="JX353" s="561">
        <v>28365</v>
      </c>
      <c r="JY353" s="561">
        <v>0</v>
      </c>
      <c r="JZ353" s="561">
        <v>0</v>
      </c>
      <c r="KA353" s="561">
        <v>0</v>
      </c>
      <c r="KB353" s="561">
        <v>0</v>
      </c>
      <c r="KC353" s="561">
        <v>1737</v>
      </c>
      <c r="KD353" s="561">
        <v>-5085</v>
      </c>
      <c r="KE353" s="561">
        <v>1536</v>
      </c>
      <c r="KF353" s="561">
        <v>0</v>
      </c>
      <c r="KG353" s="561">
        <v>675704</v>
      </c>
      <c r="KH353" s="561">
        <v>-9819</v>
      </c>
      <c r="KI353" s="561">
        <v>0</v>
      </c>
      <c r="KJ353" s="561">
        <v>20</v>
      </c>
      <c r="KK353" s="561">
        <v>0</v>
      </c>
      <c r="KL353" s="561">
        <v>0</v>
      </c>
      <c r="KM353" s="561">
        <v>0</v>
      </c>
      <c r="KN353" s="561">
        <v>0</v>
      </c>
      <c r="KO353" s="561">
        <v>0</v>
      </c>
      <c r="KP353" s="561">
        <v>0</v>
      </c>
      <c r="KQ353" s="561">
        <v>0</v>
      </c>
      <c r="KR353" s="561">
        <v>665905</v>
      </c>
      <c r="KS353" s="561">
        <v>-19</v>
      </c>
      <c r="KT353" s="561">
        <v>-114546</v>
      </c>
      <c r="KU353" s="561">
        <v>551340</v>
      </c>
      <c r="KV353" s="561">
        <v>0</v>
      </c>
      <c r="KW353" s="561">
        <v>0</v>
      </c>
      <c r="KX353" s="561">
        <v>0</v>
      </c>
      <c r="KY353" s="561">
        <v>0</v>
      </c>
      <c r="KZ353" s="561">
        <v>-11753</v>
      </c>
      <c r="LA353" s="561">
        <v>260</v>
      </c>
      <c r="LB353" s="561">
        <v>0</v>
      </c>
      <c r="LC353" s="561">
        <v>-278682</v>
      </c>
      <c r="LD353" s="561">
        <v>0</v>
      </c>
      <c r="LE353" s="561">
        <v>0</v>
      </c>
      <c r="LF353" s="561">
        <v>0</v>
      </c>
      <c r="LG353" s="561">
        <v>261165</v>
      </c>
      <c r="LH353" s="561">
        <v>0</v>
      </c>
      <c r="LI353" s="561">
        <v>0</v>
      </c>
      <c r="LJ353" s="561">
        <v>0</v>
      </c>
      <c r="LK353" s="561">
        <v>0</v>
      </c>
      <c r="LL353" s="561">
        <v>101422</v>
      </c>
      <c r="LM353" s="561">
        <v>15527</v>
      </c>
      <c r="LN353" s="561">
        <v>0</v>
      </c>
      <c r="LO353" s="561">
        <v>0</v>
      </c>
      <c r="LP353" s="561">
        <v>0</v>
      </c>
      <c r="LQ353" s="561">
        <v>0</v>
      </c>
      <c r="LR353" s="561">
        <v>89669</v>
      </c>
      <c r="LS353" s="561">
        <v>15787</v>
      </c>
      <c r="LT353" s="561">
        <v>0</v>
      </c>
      <c r="LU353" s="561">
        <v>0</v>
      </c>
      <c r="LV353" s="561">
        <v>0</v>
      </c>
      <c r="LW353" s="561">
        <v>0</v>
      </c>
      <c r="LX353" s="561">
        <v>0</v>
      </c>
      <c r="LY353" s="561">
        <v>0</v>
      </c>
      <c r="LZ353" s="561">
        <v>0</v>
      </c>
      <c r="MA353" s="561">
        <v>0</v>
      </c>
      <c r="MB353" s="561">
        <v>0</v>
      </c>
      <c r="MC353" s="561">
        <v>0</v>
      </c>
      <c r="MD353" s="561">
        <v>0</v>
      </c>
      <c r="ME353" s="561">
        <v>0</v>
      </c>
      <c r="MF353" s="561">
        <v>0</v>
      </c>
      <c r="MG353" s="561">
        <v>0</v>
      </c>
      <c r="MH353" s="561">
        <v>0</v>
      </c>
      <c r="MI353" s="561">
        <v>0</v>
      </c>
      <c r="MJ353" s="561">
        <v>0</v>
      </c>
      <c r="MK353" s="561">
        <v>0</v>
      </c>
      <c r="ML353" s="561">
        <v>0</v>
      </c>
      <c r="MM353" s="561">
        <v>89669</v>
      </c>
      <c r="MN353" s="561">
        <v>0</v>
      </c>
      <c r="MO353" s="561">
        <v>0</v>
      </c>
      <c r="MP353" s="561">
        <v>0</v>
      </c>
      <c r="MQ353" s="561">
        <v>0</v>
      </c>
      <c r="MR353" s="561">
        <v>0</v>
      </c>
      <c r="MS353" s="561">
        <v>0</v>
      </c>
      <c r="MT353" s="561">
        <v>0</v>
      </c>
      <c r="MU353" s="561">
        <v>0</v>
      </c>
      <c r="MV353" s="561">
        <v>0</v>
      </c>
      <c r="MW353" s="561">
        <v>0</v>
      </c>
      <c r="MX353" s="561">
        <v>0</v>
      </c>
      <c r="MY353" s="561">
        <v>0</v>
      </c>
      <c r="MZ353" s="561">
        <v>646787</v>
      </c>
      <c r="NA353" s="561">
        <v>0</v>
      </c>
      <c r="NB353" s="561">
        <v>2790</v>
      </c>
      <c r="NC353" s="561">
        <v>0</v>
      </c>
      <c r="ND353" s="561">
        <v>649577</v>
      </c>
      <c r="NE353" s="561">
        <v>0</v>
      </c>
      <c r="NF353" s="561">
        <v>0</v>
      </c>
      <c r="NG353" s="561">
        <v>0</v>
      </c>
      <c r="NH353" s="561">
        <v>0</v>
      </c>
      <c r="NI353" s="561">
        <v>0</v>
      </c>
      <c r="NJ353" s="561">
        <v>0</v>
      </c>
      <c r="NK353" s="561">
        <v>0</v>
      </c>
      <c r="NL353" s="561">
        <v>0</v>
      </c>
      <c r="NM353" s="561">
        <v>0</v>
      </c>
      <c r="NN353" s="561">
        <v>0</v>
      </c>
      <c r="NO353" s="561">
        <v>0</v>
      </c>
      <c r="NP353" s="561">
        <v>0</v>
      </c>
      <c r="NQ353" s="561">
        <v>0</v>
      </c>
      <c r="NR353" s="561">
        <v>0</v>
      </c>
      <c r="NS353" s="561">
        <v>0</v>
      </c>
      <c r="NT353" s="561">
        <v>0</v>
      </c>
      <c r="NU353" s="561">
        <v>-3356</v>
      </c>
      <c r="NV353" s="561">
        <v>0</v>
      </c>
      <c r="NW353" s="561">
        <v>0</v>
      </c>
      <c r="NX353" s="561">
        <v>0</v>
      </c>
      <c r="NY353" s="561">
        <v>0</v>
      </c>
      <c r="NZ353" s="561">
        <v>0</v>
      </c>
      <c r="OA353" s="561">
        <v>0</v>
      </c>
      <c r="OB353" s="561">
        <v>0</v>
      </c>
      <c r="OC353" s="561">
        <v>0</v>
      </c>
      <c r="OD353" s="561">
        <v>0</v>
      </c>
      <c r="OE353" s="561">
        <v>0</v>
      </c>
      <c r="OF353" s="561">
        <v>0</v>
      </c>
      <c r="OG353" s="561">
        <v>0</v>
      </c>
      <c r="OH353" s="561">
        <v>0</v>
      </c>
      <c r="OI353" s="561">
        <v>0</v>
      </c>
      <c r="OJ353" s="561">
        <v>0</v>
      </c>
      <c r="OK353" s="561">
        <v>0</v>
      </c>
      <c r="OL353" s="561">
        <v>0</v>
      </c>
      <c r="OM353" s="561">
        <v>0</v>
      </c>
      <c r="ON353" s="561">
        <v>0</v>
      </c>
      <c r="OO353" s="561">
        <v>0</v>
      </c>
      <c r="OP353" s="561">
        <v>0</v>
      </c>
      <c r="OQ353" s="561">
        <v>0</v>
      </c>
      <c r="OR353" s="561">
        <v>0</v>
      </c>
      <c r="OS353" s="561">
        <v>0</v>
      </c>
      <c r="OT353" s="561">
        <v>0</v>
      </c>
      <c r="OU353" s="561">
        <v>0</v>
      </c>
      <c r="OV353" s="561">
        <v>0</v>
      </c>
      <c r="OW353" s="561">
        <v>0</v>
      </c>
      <c r="OX353" s="561">
        <v>0</v>
      </c>
      <c r="OY353" s="561">
        <v>0</v>
      </c>
      <c r="OZ353" s="561">
        <v>0</v>
      </c>
      <c r="PA353" s="561">
        <v>0</v>
      </c>
      <c r="PB353" s="561">
        <v>0</v>
      </c>
      <c r="PC353" s="561">
        <v>0</v>
      </c>
      <c r="PD353" s="561">
        <v>0</v>
      </c>
      <c r="PE353" s="561">
        <v>0</v>
      </c>
      <c r="PF353" s="561">
        <v>0</v>
      </c>
      <c r="PG353" s="561">
        <v>0</v>
      </c>
      <c r="PH353" s="561">
        <v>0</v>
      </c>
      <c r="PI353" s="561">
        <v>0</v>
      </c>
      <c r="PJ353" s="561">
        <v>0</v>
      </c>
    </row>
    <row r="354" spans="1:426" ht="14" x14ac:dyDescent="0.3">
      <c r="A354" t="s">
        <v>3505</v>
      </c>
      <c r="B354" t="s">
        <v>3506</v>
      </c>
      <c r="C354" t="s">
        <v>3507</v>
      </c>
      <c r="E354" t="s">
        <v>384</v>
      </c>
      <c r="F354" s="561">
        <v>0</v>
      </c>
      <c r="G354" s="561">
        <v>0</v>
      </c>
      <c r="H354" s="561">
        <v>0</v>
      </c>
      <c r="I354" s="561">
        <v>0</v>
      </c>
      <c r="J354" s="561">
        <v>0</v>
      </c>
      <c r="K354" s="561">
        <v>0</v>
      </c>
      <c r="L354" s="561">
        <v>0</v>
      </c>
      <c r="M354" s="561">
        <v>0</v>
      </c>
      <c r="N354" s="561">
        <v>0</v>
      </c>
      <c r="O354" s="561">
        <v>0</v>
      </c>
      <c r="P354" s="561">
        <v>0</v>
      </c>
      <c r="Q354" s="561">
        <v>0</v>
      </c>
      <c r="R354" s="561">
        <v>0</v>
      </c>
      <c r="S354" s="561">
        <v>0</v>
      </c>
      <c r="T354" s="561">
        <v>0</v>
      </c>
      <c r="U354" s="561">
        <v>0</v>
      </c>
      <c r="V354" s="561">
        <v>15</v>
      </c>
      <c r="W354" s="561">
        <v>0</v>
      </c>
      <c r="X354" s="561">
        <v>0</v>
      </c>
      <c r="Y354" s="561">
        <v>0</v>
      </c>
      <c r="Z354" s="561">
        <v>0</v>
      </c>
      <c r="AA354" s="561">
        <v>-236</v>
      </c>
      <c r="AB354" s="561">
        <v>-1171</v>
      </c>
      <c r="AC354" s="561">
        <v>0</v>
      </c>
      <c r="AD354" s="561">
        <v>0</v>
      </c>
      <c r="AE354" s="561">
        <v>0</v>
      </c>
      <c r="AF354" s="561">
        <v>0</v>
      </c>
      <c r="AG354" s="561">
        <v>0</v>
      </c>
      <c r="AH354" s="561">
        <v>1</v>
      </c>
      <c r="AI354" s="561">
        <v>0</v>
      </c>
      <c r="AJ354" s="561">
        <v>-1391</v>
      </c>
      <c r="AK354" s="561">
        <v>0</v>
      </c>
      <c r="AL354" s="561">
        <v>0</v>
      </c>
      <c r="AM354" s="561">
        <v>0</v>
      </c>
      <c r="AN354" s="561">
        <v>0</v>
      </c>
      <c r="AO354" s="561">
        <v>0</v>
      </c>
      <c r="AP354" s="561">
        <v>0</v>
      </c>
      <c r="AQ354" s="561">
        <v>0</v>
      </c>
      <c r="AR354" s="561">
        <v>0</v>
      </c>
      <c r="AS354" s="561">
        <v>460</v>
      </c>
      <c r="AT354" s="561">
        <v>1435</v>
      </c>
      <c r="AU354" s="561">
        <v>0</v>
      </c>
      <c r="AV354" s="561">
        <v>0</v>
      </c>
      <c r="AW354" s="561">
        <v>0</v>
      </c>
      <c r="AX354" s="561">
        <v>0</v>
      </c>
      <c r="AY354" s="561">
        <v>0</v>
      </c>
      <c r="AZ354" s="561">
        <v>0</v>
      </c>
      <c r="BA354" s="561">
        <v>0</v>
      </c>
      <c r="BB354" s="561">
        <v>0</v>
      </c>
      <c r="BC354" s="561">
        <v>0</v>
      </c>
      <c r="BD354" s="561">
        <v>0</v>
      </c>
      <c r="BE354" s="561">
        <v>0</v>
      </c>
      <c r="BF354" s="561">
        <v>0</v>
      </c>
      <c r="BG354" s="561">
        <v>0</v>
      </c>
      <c r="BH354" s="561">
        <v>0</v>
      </c>
      <c r="BI354" s="561">
        <v>0</v>
      </c>
      <c r="BJ354" s="561">
        <v>0</v>
      </c>
      <c r="BK354" s="561">
        <v>0</v>
      </c>
      <c r="BL354" s="561">
        <v>0</v>
      </c>
      <c r="BM354" s="561">
        <v>0</v>
      </c>
      <c r="BN354" s="561">
        <v>0</v>
      </c>
      <c r="BO354" s="561">
        <v>0</v>
      </c>
      <c r="BP354" s="561">
        <v>0</v>
      </c>
      <c r="BQ354" s="561">
        <v>0</v>
      </c>
      <c r="BR354" s="561">
        <v>0</v>
      </c>
      <c r="BS354" s="561">
        <v>0</v>
      </c>
      <c r="BT354" s="561">
        <v>0</v>
      </c>
      <c r="BU354" s="561">
        <v>0</v>
      </c>
      <c r="BV354" s="561">
        <v>0</v>
      </c>
      <c r="BW354" s="561">
        <v>0</v>
      </c>
      <c r="BX354" s="561">
        <v>0</v>
      </c>
      <c r="BY354" s="561">
        <v>0</v>
      </c>
      <c r="BZ354" s="561">
        <v>0</v>
      </c>
      <c r="CA354" s="561">
        <v>0</v>
      </c>
      <c r="CB354" s="561">
        <v>0</v>
      </c>
      <c r="CC354" s="561">
        <v>0</v>
      </c>
      <c r="CD354" s="561">
        <v>0</v>
      </c>
      <c r="CE354" s="561">
        <v>0</v>
      </c>
      <c r="CF354" s="561">
        <v>0</v>
      </c>
      <c r="CG354" s="561">
        <v>0</v>
      </c>
      <c r="CH354" s="561">
        <v>0</v>
      </c>
      <c r="CI354" s="561">
        <v>0</v>
      </c>
      <c r="CJ354" s="561">
        <v>0</v>
      </c>
      <c r="CK354" s="561">
        <v>0</v>
      </c>
      <c r="CL354" s="561">
        <v>0</v>
      </c>
      <c r="CM354" s="561">
        <v>0</v>
      </c>
      <c r="CN354" s="561">
        <v>0</v>
      </c>
      <c r="CO354" s="561">
        <v>0</v>
      </c>
      <c r="CP354" s="561">
        <v>0</v>
      </c>
      <c r="CQ354" s="561">
        <v>0</v>
      </c>
      <c r="CR354" s="561">
        <v>0</v>
      </c>
      <c r="CS354" s="561">
        <v>0</v>
      </c>
      <c r="CT354" s="561">
        <v>0</v>
      </c>
      <c r="CU354" s="561">
        <v>0</v>
      </c>
      <c r="CV354" s="561">
        <v>0</v>
      </c>
      <c r="CW354" s="561">
        <v>0</v>
      </c>
      <c r="CX354" s="561">
        <v>0</v>
      </c>
      <c r="CY354" s="561">
        <v>0</v>
      </c>
      <c r="CZ354" s="561">
        <v>0</v>
      </c>
      <c r="DA354" s="561">
        <v>0</v>
      </c>
      <c r="DB354" s="561">
        <v>0</v>
      </c>
      <c r="DC354" s="561">
        <v>0</v>
      </c>
      <c r="DD354" s="561">
        <v>0</v>
      </c>
      <c r="DE354" s="561">
        <v>0</v>
      </c>
      <c r="DF354" s="561">
        <v>0</v>
      </c>
      <c r="DG354" s="561">
        <v>0</v>
      </c>
      <c r="DH354" s="561">
        <v>535</v>
      </c>
      <c r="DI354" s="561">
        <v>0</v>
      </c>
      <c r="DJ354" s="561">
        <v>55</v>
      </c>
      <c r="DK354" s="561">
        <v>101</v>
      </c>
      <c r="DL354" s="561">
        <v>0</v>
      </c>
      <c r="DM354" s="561">
        <v>0</v>
      </c>
      <c r="DN354" s="561">
        <v>0</v>
      </c>
      <c r="DO354" s="561">
        <v>3748</v>
      </c>
      <c r="DP354" s="561">
        <v>0</v>
      </c>
      <c r="DQ354" s="561">
        <v>0</v>
      </c>
      <c r="DR354" s="561">
        <v>64</v>
      </c>
      <c r="DS354" s="561">
        <v>296</v>
      </c>
      <c r="DT354" s="561">
        <v>913</v>
      </c>
      <c r="DU354" s="561">
        <v>5021</v>
      </c>
      <c r="DV354" s="561">
        <v>1047</v>
      </c>
      <c r="DW354" s="561">
        <v>0</v>
      </c>
      <c r="DX354" s="561">
        <v>100</v>
      </c>
      <c r="DY354" s="561">
        <v>104</v>
      </c>
      <c r="DZ354" s="561">
        <v>0</v>
      </c>
      <c r="EA354" s="561">
        <v>0</v>
      </c>
      <c r="EB354" s="561">
        <v>0</v>
      </c>
      <c r="EC354" s="561">
        <v>6963</v>
      </c>
      <c r="ED354" s="561">
        <v>16</v>
      </c>
      <c r="EE354" s="561">
        <v>16651</v>
      </c>
      <c r="EF354" s="561">
        <v>18</v>
      </c>
      <c r="EG354" s="561">
        <v>1441</v>
      </c>
      <c r="EH354" s="561">
        <v>814</v>
      </c>
      <c r="EI354" s="561">
        <v>0</v>
      </c>
      <c r="EJ354" s="561">
        <v>994</v>
      </c>
      <c r="EK354" s="561">
        <v>0</v>
      </c>
      <c r="EL354" s="561">
        <v>0</v>
      </c>
      <c r="EM354" s="561">
        <v>0</v>
      </c>
      <c r="EN354" s="561">
        <v>6043</v>
      </c>
      <c r="EO354" s="561">
        <v>6345</v>
      </c>
      <c r="EP354" s="561">
        <v>1222</v>
      </c>
      <c r="EQ354" s="561">
        <v>451</v>
      </c>
      <c r="ER354" s="561">
        <v>681</v>
      </c>
      <c r="ES354" s="561" t="s">
        <v>4565</v>
      </c>
      <c r="ET354" s="561">
        <v>-230</v>
      </c>
      <c r="EU354" s="561">
        <v>442</v>
      </c>
      <c r="EV354" s="561">
        <v>15</v>
      </c>
      <c r="EW354" s="561">
        <v>4943</v>
      </c>
      <c r="EX354" s="561">
        <v>0</v>
      </c>
      <c r="EY354" s="561">
        <v>369</v>
      </c>
      <c r="EZ354" s="561">
        <v>-363</v>
      </c>
      <c r="FA354" s="561">
        <v>13394</v>
      </c>
      <c r="FB354" s="561">
        <v>0</v>
      </c>
      <c r="FC354" s="561">
        <v>0</v>
      </c>
      <c r="FD354" s="561">
        <v>17</v>
      </c>
      <c r="FE354" s="561">
        <v>71</v>
      </c>
      <c r="FF354" s="561">
        <v>178</v>
      </c>
      <c r="FG354" s="561">
        <v>0</v>
      </c>
      <c r="FH354" s="561">
        <v>785</v>
      </c>
      <c r="FI354" s="561">
        <v>-5</v>
      </c>
      <c r="FJ354" s="561">
        <v>355</v>
      </c>
      <c r="FK354" s="561">
        <v>3097</v>
      </c>
      <c r="FL354" s="561">
        <v>3</v>
      </c>
      <c r="FM354" s="561">
        <v>652</v>
      </c>
      <c r="FN354" s="561">
        <v>0</v>
      </c>
      <c r="FO354" s="561">
        <v>5153</v>
      </c>
      <c r="FP354" s="561">
        <v>18</v>
      </c>
      <c r="FQ354" s="561">
        <v>-207</v>
      </c>
      <c r="FR354" s="561">
        <v>0</v>
      </c>
      <c r="FS354" s="561">
        <v>0</v>
      </c>
      <c r="FT354" s="561">
        <v>484</v>
      </c>
      <c r="FU354" s="561">
        <v>596</v>
      </c>
      <c r="FV354" s="561">
        <v>639</v>
      </c>
      <c r="FW354" s="561">
        <v>6</v>
      </c>
      <c r="FX354" s="561">
        <v>0</v>
      </c>
      <c r="FY354" s="561">
        <v>0</v>
      </c>
      <c r="FZ354" s="561">
        <v>0</v>
      </c>
      <c r="GA354" s="561">
        <v>677</v>
      </c>
      <c r="GB354" s="561">
        <v>222</v>
      </c>
      <c r="GC354" s="561">
        <v>-95</v>
      </c>
      <c r="GD354" s="561">
        <v>0</v>
      </c>
      <c r="GE354" s="561">
        <v>736</v>
      </c>
      <c r="GF354" s="561">
        <v>448</v>
      </c>
      <c r="GG354" s="561">
        <v>0</v>
      </c>
      <c r="GH354" s="561">
        <v>0</v>
      </c>
      <c r="GI354" s="561">
        <v>110</v>
      </c>
      <c r="GJ354" s="561">
        <v>277</v>
      </c>
      <c r="GK354" s="561">
        <v>0</v>
      </c>
      <c r="GL354" s="561">
        <v>2820</v>
      </c>
      <c r="GM354" s="561">
        <v>2259</v>
      </c>
      <c r="GN354" s="561">
        <v>0</v>
      </c>
      <c r="GO354" s="561">
        <v>45</v>
      </c>
      <c r="GP354" s="561">
        <v>2707</v>
      </c>
      <c r="GQ354" s="561">
        <v>0</v>
      </c>
      <c r="GR354" s="561">
        <v>0</v>
      </c>
      <c r="GS354" s="561">
        <v>11724</v>
      </c>
      <c r="GT354" s="561">
        <v>596</v>
      </c>
      <c r="GU354" s="561">
        <v>119</v>
      </c>
      <c r="GV354" s="561">
        <v>679</v>
      </c>
      <c r="GW354" s="561">
        <v>0</v>
      </c>
      <c r="GX354" s="561">
        <v>708</v>
      </c>
      <c r="GY354" s="561">
        <v>69</v>
      </c>
      <c r="GZ354" s="561">
        <v>4437</v>
      </c>
      <c r="HA354" s="561">
        <v>183</v>
      </c>
      <c r="HB354" s="561">
        <v>0</v>
      </c>
      <c r="HC354" s="561">
        <v>204</v>
      </c>
      <c r="HD354" s="561">
        <v>6399</v>
      </c>
      <c r="HE354" s="561">
        <v>0</v>
      </c>
      <c r="HF354" s="561">
        <v>23276</v>
      </c>
      <c r="HG354" s="561">
        <v>614</v>
      </c>
      <c r="HH354" s="561">
        <v>0</v>
      </c>
      <c r="HI354" s="561">
        <v>0</v>
      </c>
      <c r="HJ354" s="561">
        <v>0</v>
      </c>
      <c r="HK354" s="561">
        <v>0</v>
      </c>
      <c r="HL354" s="561">
        <v>0</v>
      </c>
      <c r="HM354" s="561">
        <v>0</v>
      </c>
      <c r="HN354" s="561">
        <v>0</v>
      </c>
      <c r="HO354" s="561">
        <v>1575</v>
      </c>
      <c r="HP354" s="561">
        <v>1002</v>
      </c>
      <c r="HQ354" s="561">
        <v>0</v>
      </c>
      <c r="HR354" s="561">
        <v>186</v>
      </c>
      <c r="HS354" s="561">
        <v>0</v>
      </c>
      <c r="HT354" s="561">
        <v>151</v>
      </c>
      <c r="HU354" s="561">
        <v>0</v>
      </c>
      <c r="HV354" s="561">
        <v>0</v>
      </c>
      <c r="HW354" s="561">
        <v>481</v>
      </c>
      <c r="HX354" s="561">
        <v>10</v>
      </c>
      <c r="HY354" s="561">
        <v>110</v>
      </c>
      <c r="HZ354" s="561">
        <v>35</v>
      </c>
      <c r="IA354" s="561">
        <v>0</v>
      </c>
      <c r="IB354" s="561">
        <v>199</v>
      </c>
      <c r="IC354" s="561">
        <v>0</v>
      </c>
      <c r="ID354" s="561">
        <v>0</v>
      </c>
      <c r="IE354" s="561">
        <v>2314</v>
      </c>
      <c r="IF354" s="561">
        <v>0</v>
      </c>
      <c r="IG354" s="561">
        <v>0</v>
      </c>
      <c r="IH354" s="561">
        <v>155</v>
      </c>
      <c r="II354" s="561">
        <v>6218</v>
      </c>
      <c r="IJ354" s="561">
        <v>1602</v>
      </c>
      <c r="IK354" s="561">
        <v>2787</v>
      </c>
      <c r="IL354" s="561">
        <v>17237</v>
      </c>
      <c r="IM354" s="561">
        <v>0</v>
      </c>
      <c r="IN354" s="561">
        <v>0</v>
      </c>
      <c r="IO354" s="561">
        <v>6857</v>
      </c>
      <c r="IP354" s="561">
        <v>0</v>
      </c>
      <c r="IQ354" s="561">
        <v>0</v>
      </c>
      <c r="IR354" s="561">
        <v>0</v>
      </c>
      <c r="IS354" s="561">
        <v>-1391</v>
      </c>
      <c r="IT354" s="561">
        <v>0</v>
      </c>
      <c r="IU354" s="561">
        <v>0</v>
      </c>
      <c r="IV354" s="561">
        <v>0</v>
      </c>
      <c r="IW354" s="561">
        <v>6963</v>
      </c>
      <c r="IX354" s="561">
        <v>5153</v>
      </c>
      <c r="IY354" s="561">
        <v>11724</v>
      </c>
      <c r="IZ354" s="561">
        <v>6399</v>
      </c>
      <c r="JA354" s="561">
        <v>0</v>
      </c>
      <c r="JB354" s="561">
        <v>0</v>
      </c>
      <c r="JC354" s="561">
        <v>6218</v>
      </c>
      <c r="JD354" s="561">
        <v>0</v>
      </c>
      <c r="JE354" s="561">
        <v>35066</v>
      </c>
      <c r="JF354" s="561">
        <v>29069</v>
      </c>
      <c r="JG354" s="561">
        <v>2636</v>
      </c>
      <c r="JH354" s="561">
        <v>3794</v>
      </c>
      <c r="JI354" s="561">
        <v>0</v>
      </c>
      <c r="JJ354" s="561">
        <v>0</v>
      </c>
      <c r="JK354" s="561">
        <v>2620</v>
      </c>
      <c r="JL354" s="561">
        <v>0</v>
      </c>
      <c r="JM354" s="561">
        <v>0</v>
      </c>
      <c r="JN354" s="561">
        <v>0</v>
      </c>
      <c r="JO354" s="561">
        <v>0</v>
      </c>
      <c r="JP354" s="561">
        <v>3574</v>
      </c>
      <c r="JQ354" s="561">
        <v>-10</v>
      </c>
      <c r="JR354" s="561">
        <v>-2264</v>
      </c>
      <c r="JS354" s="561">
        <v>-796</v>
      </c>
      <c r="JT354" s="561">
        <v>67</v>
      </c>
      <c r="JU354" s="561">
        <v>0</v>
      </c>
      <c r="JV354" s="561">
        <v>73756</v>
      </c>
      <c r="JW354" s="561">
        <v>0</v>
      </c>
      <c r="JX354" s="561">
        <v>579</v>
      </c>
      <c r="JY354" s="561">
        <v>0</v>
      </c>
      <c r="JZ354" s="561">
        <v>-1</v>
      </c>
      <c r="KA354" s="561">
        <v>0</v>
      </c>
      <c r="KB354" s="561">
        <v>-320</v>
      </c>
      <c r="KC354" s="561">
        <v>1273</v>
      </c>
      <c r="KD354" s="561">
        <v>0</v>
      </c>
      <c r="KE354" s="561">
        <v>238</v>
      </c>
      <c r="KF354" s="561">
        <v>994</v>
      </c>
      <c r="KG354" s="561">
        <v>76519</v>
      </c>
      <c r="KH354" s="561">
        <v>-1553</v>
      </c>
      <c r="KI354" s="561">
        <v>0</v>
      </c>
      <c r="KJ354" s="561">
        <v>0</v>
      </c>
      <c r="KK354" s="561">
        <v>0</v>
      </c>
      <c r="KL354" s="561">
        <v>-34275</v>
      </c>
      <c r="KM354" s="561">
        <v>0</v>
      </c>
      <c r="KN354" s="561">
        <v>0</v>
      </c>
      <c r="KO354" s="561">
        <v>0</v>
      </c>
      <c r="KP354" s="561">
        <v>0</v>
      </c>
      <c r="KQ354" s="561">
        <v>0</v>
      </c>
      <c r="KR354" s="561">
        <v>40691</v>
      </c>
      <c r="KS354" s="561">
        <v>0</v>
      </c>
      <c r="KT354" s="561">
        <v>-8132</v>
      </c>
      <c r="KU354" s="561">
        <v>32559</v>
      </c>
      <c r="KV354" s="561">
        <v>0</v>
      </c>
      <c r="KW354" s="561">
        <v>0</v>
      </c>
      <c r="KX354" s="561">
        <v>0</v>
      </c>
      <c r="KY354" s="561">
        <v>0</v>
      </c>
      <c r="KZ354" s="561">
        <v>-6407</v>
      </c>
      <c r="LA354" s="561">
        <v>0</v>
      </c>
      <c r="LB354" s="561">
        <v>-382</v>
      </c>
      <c r="LC354" s="561">
        <v>0</v>
      </c>
      <c r="LD354" s="561">
        <v>-11737</v>
      </c>
      <c r="LE354" s="561">
        <v>96</v>
      </c>
      <c r="LF354" s="561">
        <v>717</v>
      </c>
      <c r="LG354" s="561">
        <v>14846</v>
      </c>
      <c r="LH354" s="561">
        <v>0</v>
      </c>
      <c r="LI354" s="561">
        <v>0</v>
      </c>
      <c r="LJ354" s="561">
        <v>0</v>
      </c>
      <c r="LK354" s="561">
        <v>0</v>
      </c>
      <c r="LL354" s="561">
        <v>14600</v>
      </c>
      <c r="LM354" s="561">
        <v>2011</v>
      </c>
      <c r="LN354" s="561">
        <v>0</v>
      </c>
      <c r="LO354" s="561">
        <v>0</v>
      </c>
      <c r="LP354" s="561">
        <v>0</v>
      </c>
      <c r="LQ354" s="561">
        <v>0</v>
      </c>
      <c r="LR354" s="561">
        <v>8193</v>
      </c>
      <c r="LS354" s="561">
        <v>2011</v>
      </c>
      <c r="LT354" s="561">
        <v>0</v>
      </c>
      <c r="LU354" s="561">
        <v>4887</v>
      </c>
      <c r="LV354" s="561">
        <v>0</v>
      </c>
      <c r="LW354" s="561">
        <v>-772</v>
      </c>
      <c r="LX354" s="561">
        <v>2352</v>
      </c>
      <c r="LY354" s="561">
        <v>0</v>
      </c>
      <c r="LZ354" s="561">
        <v>6467</v>
      </c>
      <c r="MA354" s="561">
        <v>0</v>
      </c>
      <c r="MB354" s="561">
        <v>0</v>
      </c>
      <c r="MC354" s="561">
        <v>19918</v>
      </c>
      <c r="MD354" s="561">
        <v>20281</v>
      </c>
      <c r="ME354" s="561">
        <v>-363</v>
      </c>
      <c r="MF354" s="561">
        <v>13394</v>
      </c>
      <c r="MG354" s="561">
        <v>13031</v>
      </c>
      <c r="MH354" s="561">
        <v>6303</v>
      </c>
      <c r="MI354" s="561">
        <v>8005</v>
      </c>
      <c r="MJ354" s="561">
        <v>14308</v>
      </c>
      <c r="MK354" s="561">
        <v>0</v>
      </c>
      <c r="ML354" s="561">
        <v>0</v>
      </c>
      <c r="MM354" s="561">
        <v>5049</v>
      </c>
      <c r="MN354" s="561">
        <v>1915</v>
      </c>
      <c r="MO354" s="561">
        <v>1229</v>
      </c>
      <c r="MP354" s="561">
        <v>0</v>
      </c>
      <c r="MQ354" s="561">
        <v>0</v>
      </c>
      <c r="MR354" s="561">
        <v>-1391</v>
      </c>
      <c r="MS354" s="561">
        <v>0</v>
      </c>
      <c r="MT354" s="561">
        <v>0</v>
      </c>
      <c r="MU354" s="561">
        <v>0</v>
      </c>
      <c r="MV354" s="561">
        <v>6963</v>
      </c>
      <c r="MW354" s="561">
        <v>5153</v>
      </c>
      <c r="MX354" s="561">
        <v>11724</v>
      </c>
      <c r="MY354" s="561">
        <v>6399</v>
      </c>
      <c r="MZ354" s="561">
        <v>0</v>
      </c>
      <c r="NA354" s="561">
        <v>0</v>
      </c>
      <c r="NB354" s="561">
        <v>6218</v>
      </c>
      <c r="NC354" s="561">
        <v>0</v>
      </c>
      <c r="ND354" s="561">
        <v>35066</v>
      </c>
      <c r="NE354" s="561">
        <v>0</v>
      </c>
      <c r="NF354" s="561">
        <v>0</v>
      </c>
      <c r="NG354" s="561">
        <v>0</v>
      </c>
      <c r="NH354" s="561">
        <v>0</v>
      </c>
      <c r="NI354" s="561">
        <v>0</v>
      </c>
      <c r="NJ354" s="561">
        <v>0</v>
      </c>
      <c r="NK354" s="561">
        <v>0</v>
      </c>
      <c r="NL354" s="561">
        <v>0</v>
      </c>
      <c r="NM354" s="561">
        <v>0</v>
      </c>
      <c r="NN354" s="561">
        <v>0</v>
      </c>
      <c r="NO354" s="561">
        <v>0</v>
      </c>
      <c r="NP354" s="561">
        <v>1687</v>
      </c>
      <c r="NQ354" s="561">
        <v>0</v>
      </c>
      <c r="NR354" s="561">
        <v>20</v>
      </c>
      <c r="NS354" s="561">
        <v>13</v>
      </c>
      <c r="NT354" s="561">
        <v>-77</v>
      </c>
      <c r="NU354" s="561">
        <v>0</v>
      </c>
      <c r="NV354" s="561">
        <v>-5</v>
      </c>
      <c r="NW354" s="561">
        <v>1310</v>
      </c>
      <c r="NX354" s="561">
        <v>2264</v>
      </c>
      <c r="NY354" s="561">
        <v>3574</v>
      </c>
      <c r="NZ354" s="561">
        <v>0</v>
      </c>
      <c r="OA354" s="561">
        <v>0</v>
      </c>
      <c r="OB354" s="561">
        <v>0</v>
      </c>
      <c r="OC354" s="561">
        <v>0</v>
      </c>
      <c r="OD354" s="561">
        <v>0</v>
      </c>
      <c r="OE354" s="561">
        <v>0</v>
      </c>
      <c r="OF354" s="561">
        <v>0</v>
      </c>
      <c r="OG354" s="561">
        <v>0</v>
      </c>
      <c r="OH354" s="561">
        <v>0</v>
      </c>
      <c r="OI354" s="561">
        <v>0</v>
      </c>
      <c r="OJ354" s="561">
        <v>0</v>
      </c>
      <c r="OK354" s="561">
        <v>0</v>
      </c>
      <c r="OL354" s="561">
        <v>0</v>
      </c>
      <c r="OM354" s="561">
        <v>0</v>
      </c>
      <c r="ON354" s="561">
        <v>0</v>
      </c>
      <c r="OO354" s="561">
        <v>-806</v>
      </c>
      <c r="OP354" s="561">
        <v>0</v>
      </c>
      <c r="OQ354" s="561">
        <v>0</v>
      </c>
      <c r="OR354" s="561">
        <v>0</v>
      </c>
      <c r="OS354" s="561">
        <v>0</v>
      </c>
      <c r="OT354" s="561">
        <v>0</v>
      </c>
      <c r="OU354" s="561">
        <v>0</v>
      </c>
      <c r="OV354" s="561">
        <v>0</v>
      </c>
      <c r="OW354" s="561">
        <v>796</v>
      </c>
      <c r="OX354" s="561">
        <v>-10</v>
      </c>
      <c r="OY354" s="561">
        <v>2264</v>
      </c>
      <c r="OZ354" s="561">
        <v>0</v>
      </c>
      <c r="PA354" s="561">
        <v>0</v>
      </c>
      <c r="PB354" s="561">
        <v>0</v>
      </c>
      <c r="PC354" s="561">
        <v>0</v>
      </c>
      <c r="PD354" s="561">
        <v>2264</v>
      </c>
      <c r="PE354" s="561">
        <v>796</v>
      </c>
      <c r="PF354" s="561">
        <v>0</v>
      </c>
      <c r="PG354" s="561">
        <v>0</v>
      </c>
      <c r="PH354" s="561">
        <v>0</v>
      </c>
      <c r="PI354" s="561">
        <v>0</v>
      </c>
      <c r="PJ354" s="561">
        <v>796</v>
      </c>
    </row>
    <row r="355" spans="1:426" ht="14" x14ac:dyDescent="0.3">
      <c r="A355" t="s">
        <v>3508</v>
      </c>
      <c r="B355" t="s">
        <v>3509</v>
      </c>
      <c r="C355" t="s">
        <v>3510</v>
      </c>
      <c r="E355" t="s">
        <v>2466</v>
      </c>
      <c r="F355" s="561">
        <v>0</v>
      </c>
      <c r="G355" s="561">
        <v>0</v>
      </c>
      <c r="H355" s="561">
        <v>0</v>
      </c>
      <c r="I355" s="561">
        <v>0</v>
      </c>
      <c r="J355" s="561">
        <v>0</v>
      </c>
      <c r="K355" s="561">
        <v>0</v>
      </c>
      <c r="L355" s="561">
        <v>0</v>
      </c>
      <c r="M355" s="561">
        <v>0</v>
      </c>
      <c r="N355" s="561">
        <v>0</v>
      </c>
      <c r="O355" s="561">
        <v>0</v>
      </c>
      <c r="P355" s="561">
        <v>0</v>
      </c>
      <c r="Q355" s="561">
        <v>0</v>
      </c>
      <c r="R355" s="561">
        <v>0</v>
      </c>
      <c r="S355" s="561">
        <v>0</v>
      </c>
      <c r="T355" s="561">
        <v>0</v>
      </c>
      <c r="U355" s="561">
        <v>0</v>
      </c>
      <c r="V355" s="561">
        <v>0</v>
      </c>
      <c r="W355" s="561">
        <v>0</v>
      </c>
      <c r="X355" s="561">
        <v>0</v>
      </c>
      <c r="Y355" s="561">
        <v>0</v>
      </c>
      <c r="Z355" s="561">
        <v>0</v>
      </c>
      <c r="AA355" s="561">
        <v>0</v>
      </c>
      <c r="AB355" s="561">
        <v>0</v>
      </c>
      <c r="AC355" s="561">
        <v>0</v>
      </c>
      <c r="AD355" s="561">
        <v>0</v>
      </c>
      <c r="AE355" s="561">
        <v>0</v>
      </c>
      <c r="AF355" s="561">
        <v>0</v>
      </c>
      <c r="AG355" s="561">
        <v>0</v>
      </c>
      <c r="AH355" s="561">
        <v>0</v>
      </c>
      <c r="AI355" s="561">
        <v>0</v>
      </c>
      <c r="AJ355" s="561">
        <v>0</v>
      </c>
      <c r="AK355" s="561">
        <v>0</v>
      </c>
      <c r="AL355" s="561">
        <v>0</v>
      </c>
      <c r="AM355" s="561">
        <v>0</v>
      </c>
      <c r="AN355" s="561">
        <v>0</v>
      </c>
      <c r="AO355" s="561">
        <v>0</v>
      </c>
      <c r="AP355" s="561">
        <v>0</v>
      </c>
      <c r="AQ355" s="561">
        <v>0</v>
      </c>
      <c r="AR355" s="561">
        <v>0</v>
      </c>
      <c r="AS355" s="561">
        <v>0</v>
      </c>
      <c r="AT355" s="561">
        <v>0</v>
      </c>
      <c r="AU355" s="561">
        <v>0</v>
      </c>
      <c r="AV355" s="561">
        <v>0</v>
      </c>
      <c r="AW355" s="561">
        <v>0</v>
      </c>
      <c r="AX355" s="561">
        <v>0</v>
      </c>
      <c r="AY355" s="561">
        <v>0</v>
      </c>
      <c r="AZ355" s="561">
        <v>0</v>
      </c>
      <c r="BA355" s="561">
        <v>0</v>
      </c>
      <c r="BB355" s="561">
        <v>0</v>
      </c>
      <c r="BC355" s="561">
        <v>0</v>
      </c>
      <c r="BD355" s="561">
        <v>0</v>
      </c>
      <c r="BE355" s="561">
        <v>0</v>
      </c>
      <c r="BF355" s="561">
        <v>0</v>
      </c>
      <c r="BG355" s="561">
        <v>0</v>
      </c>
      <c r="BH355" s="561">
        <v>0</v>
      </c>
      <c r="BI355" s="561">
        <v>0</v>
      </c>
      <c r="BJ355" s="561">
        <v>0</v>
      </c>
      <c r="BK355" s="561">
        <v>0</v>
      </c>
      <c r="BL355" s="561">
        <v>0</v>
      </c>
      <c r="BM355" s="561">
        <v>0</v>
      </c>
      <c r="BN355" s="561">
        <v>0</v>
      </c>
      <c r="BO355" s="561">
        <v>0</v>
      </c>
      <c r="BP355" s="561">
        <v>0</v>
      </c>
      <c r="BQ355" s="561">
        <v>0</v>
      </c>
      <c r="BR355" s="561">
        <v>0</v>
      </c>
      <c r="BS355" s="561">
        <v>0</v>
      </c>
      <c r="BT355" s="561">
        <v>0</v>
      </c>
      <c r="BU355" s="561">
        <v>0</v>
      </c>
      <c r="BV355" s="561">
        <v>0</v>
      </c>
      <c r="BW355" s="561">
        <v>0</v>
      </c>
      <c r="BX355" s="561">
        <v>0</v>
      </c>
      <c r="BY355" s="561">
        <v>0</v>
      </c>
      <c r="BZ355" s="561">
        <v>0</v>
      </c>
      <c r="CA355" s="561">
        <v>0</v>
      </c>
      <c r="CB355" s="561">
        <v>0</v>
      </c>
      <c r="CC355" s="561">
        <v>0</v>
      </c>
      <c r="CD355" s="561">
        <v>0</v>
      </c>
      <c r="CE355" s="561">
        <v>0</v>
      </c>
      <c r="CF355" s="561">
        <v>0</v>
      </c>
      <c r="CG355" s="561">
        <v>0</v>
      </c>
      <c r="CH355" s="561">
        <v>0</v>
      </c>
      <c r="CI355" s="561">
        <v>0</v>
      </c>
      <c r="CJ355" s="561">
        <v>0</v>
      </c>
      <c r="CK355" s="561">
        <v>0</v>
      </c>
      <c r="CL355" s="561">
        <v>0</v>
      </c>
      <c r="CM355" s="561">
        <v>0</v>
      </c>
      <c r="CN355" s="561">
        <v>0</v>
      </c>
      <c r="CO355" s="561">
        <v>0</v>
      </c>
      <c r="CP355" s="561">
        <v>0</v>
      </c>
      <c r="CQ355" s="561">
        <v>0</v>
      </c>
      <c r="CR355" s="561">
        <v>0</v>
      </c>
      <c r="CS355" s="561">
        <v>0</v>
      </c>
      <c r="CT355" s="561">
        <v>0</v>
      </c>
      <c r="CU355" s="561">
        <v>0</v>
      </c>
      <c r="CV355" s="561">
        <v>0</v>
      </c>
      <c r="CW355" s="561">
        <v>0</v>
      </c>
      <c r="CX355" s="561">
        <v>0</v>
      </c>
      <c r="CY355" s="561">
        <v>0</v>
      </c>
      <c r="CZ355" s="561">
        <v>0</v>
      </c>
      <c r="DA355" s="561">
        <v>0</v>
      </c>
      <c r="DB355" s="561">
        <v>0</v>
      </c>
      <c r="DC355" s="561">
        <v>0</v>
      </c>
      <c r="DD355" s="561">
        <v>0</v>
      </c>
      <c r="DE355" s="561">
        <v>0</v>
      </c>
      <c r="DF355" s="561">
        <v>0</v>
      </c>
      <c r="DG355" s="561">
        <v>0</v>
      </c>
      <c r="DH355" s="561">
        <v>0</v>
      </c>
      <c r="DI355" s="561">
        <v>0</v>
      </c>
      <c r="DJ355" s="561">
        <v>0</v>
      </c>
      <c r="DK355" s="561">
        <v>0</v>
      </c>
      <c r="DL355" s="561">
        <v>0</v>
      </c>
      <c r="DM355" s="561">
        <v>0</v>
      </c>
      <c r="DN355" s="561">
        <v>0</v>
      </c>
      <c r="DO355" s="561">
        <v>0</v>
      </c>
      <c r="DP355" s="561">
        <v>0</v>
      </c>
      <c r="DQ355" s="561">
        <v>0</v>
      </c>
      <c r="DR355" s="561">
        <v>0</v>
      </c>
      <c r="DS355" s="561">
        <v>0</v>
      </c>
      <c r="DT355" s="561">
        <v>0</v>
      </c>
      <c r="DU355" s="561">
        <v>0</v>
      </c>
      <c r="DV355" s="561">
        <v>0</v>
      </c>
      <c r="DW355" s="561">
        <v>0</v>
      </c>
      <c r="DX355" s="561">
        <v>0</v>
      </c>
      <c r="DY355" s="561">
        <v>0</v>
      </c>
      <c r="DZ355" s="561">
        <v>0</v>
      </c>
      <c r="EA355" s="561">
        <v>0</v>
      </c>
      <c r="EB355" s="561">
        <v>0</v>
      </c>
      <c r="EC355" s="561">
        <v>0</v>
      </c>
      <c r="ED355" s="561">
        <v>0</v>
      </c>
      <c r="EE355" s="561">
        <v>0</v>
      </c>
      <c r="EF355" s="561">
        <v>0</v>
      </c>
      <c r="EG355" s="561">
        <v>0</v>
      </c>
      <c r="EH355" s="561">
        <v>0</v>
      </c>
      <c r="EI355" s="561">
        <v>0</v>
      </c>
      <c r="EJ355" s="561">
        <v>0</v>
      </c>
      <c r="EK355" s="561">
        <v>0</v>
      </c>
      <c r="EL355" s="561">
        <v>0</v>
      </c>
      <c r="EM355" s="561">
        <v>0</v>
      </c>
      <c r="EN355" s="561">
        <v>0</v>
      </c>
      <c r="EO355" s="561">
        <v>0</v>
      </c>
      <c r="EP355" s="561">
        <v>0</v>
      </c>
      <c r="EQ355" s="561">
        <v>0</v>
      </c>
      <c r="ER355" s="561">
        <v>0</v>
      </c>
      <c r="ES355" s="561" t="s">
        <v>4565</v>
      </c>
      <c r="ET355" s="561">
        <v>0</v>
      </c>
      <c r="EU355" s="561">
        <v>0</v>
      </c>
      <c r="EV355" s="561">
        <v>0</v>
      </c>
      <c r="EW355" s="561">
        <v>0</v>
      </c>
      <c r="EX355" s="561">
        <v>0</v>
      </c>
      <c r="EY355" s="561">
        <v>0</v>
      </c>
      <c r="EZ355" s="561">
        <v>0</v>
      </c>
      <c r="FA355" s="561">
        <v>0</v>
      </c>
      <c r="FB355" s="561">
        <v>0</v>
      </c>
      <c r="FC355" s="561">
        <v>0</v>
      </c>
      <c r="FD355" s="561">
        <v>0</v>
      </c>
      <c r="FE355" s="561">
        <v>0</v>
      </c>
      <c r="FF355" s="561">
        <v>0</v>
      </c>
      <c r="FG355" s="561">
        <v>0</v>
      </c>
      <c r="FH355" s="561">
        <v>0</v>
      </c>
      <c r="FI355" s="561">
        <v>0</v>
      </c>
      <c r="FJ355" s="561">
        <v>0</v>
      </c>
      <c r="FK355" s="561">
        <v>5376</v>
      </c>
      <c r="FL355" s="561">
        <v>0</v>
      </c>
      <c r="FM355" s="561">
        <v>1019</v>
      </c>
      <c r="FN355" s="561">
        <v>0</v>
      </c>
      <c r="FO355" s="561">
        <v>6395</v>
      </c>
      <c r="FP355" s="561">
        <v>0</v>
      </c>
      <c r="FQ355" s="561">
        <v>0</v>
      </c>
      <c r="FR355" s="561">
        <v>0</v>
      </c>
      <c r="FS355" s="561">
        <v>0</v>
      </c>
      <c r="FT355" s="561">
        <v>0</v>
      </c>
      <c r="FU355" s="561">
        <v>0</v>
      </c>
      <c r="FV355" s="561">
        <v>0</v>
      </c>
      <c r="FW355" s="561">
        <v>0</v>
      </c>
      <c r="FX355" s="561">
        <v>0</v>
      </c>
      <c r="FY355" s="561">
        <v>0</v>
      </c>
      <c r="FZ355" s="561">
        <v>0</v>
      </c>
      <c r="GA355" s="561">
        <v>0</v>
      </c>
      <c r="GB355" s="561">
        <v>0</v>
      </c>
      <c r="GC355" s="561">
        <v>0</v>
      </c>
      <c r="GD355" s="561">
        <v>0</v>
      </c>
      <c r="GE355" s="561">
        <v>0</v>
      </c>
      <c r="GF355" s="561">
        <v>0</v>
      </c>
      <c r="GG355" s="561">
        <v>0</v>
      </c>
      <c r="GH355" s="561">
        <v>85</v>
      </c>
      <c r="GI355" s="561">
        <v>0</v>
      </c>
      <c r="GJ355" s="561">
        <v>0</v>
      </c>
      <c r="GK355" s="561">
        <v>0</v>
      </c>
      <c r="GL355" s="561">
        <v>0</v>
      </c>
      <c r="GM355" s="561">
        <v>0</v>
      </c>
      <c r="GN355" s="561">
        <v>0</v>
      </c>
      <c r="GO355" s="561">
        <v>0</v>
      </c>
      <c r="GP355" s="561">
        <v>0</v>
      </c>
      <c r="GQ355" s="561">
        <v>0</v>
      </c>
      <c r="GR355" s="561">
        <v>0</v>
      </c>
      <c r="GS355" s="561">
        <v>85</v>
      </c>
      <c r="GT355" s="561">
        <v>0</v>
      </c>
      <c r="GU355" s="561">
        <v>0</v>
      </c>
      <c r="GV355" s="561">
        <v>538</v>
      </c>
      <c r="GW355" s="561">
        <v>0</v>
      </c>
      <c r="GX355" s="561">
        <v>100</v>
      </c>
      <c r="GY355" s="561">
        <v>0</v>
      </c>
      <c r="GZ355" s="561">
        <v>0</v>
      </c>
      <c r="HA355" s="561">
        <v>0</v>
      </c>
      <c r="HB355" s="561">
        <v>0</v>
      </c>
      <c r="HC355" s="561">
        <v>0</v>
      </c>
      <c r="HD355" s="561">
        <v>638</v>
      </c>
      <c r="HE355" s="561">
        <v>0</v>
      </c>
      <c r="HF355" s="561">
        <v>7118</v>
      </c>
      <c r="HG355" s="561">
        <v>0</v>
      </c>
      <c r="HH355" s="561">
        <v>0</v>
      </c>
      <c r="HI355" s="561">
        <v>0</v>
      </c>
      <c r="HJ355" s="561">
        <v>0</v>
      </c>
      <c r="HK355" s="561">
        <v>0</v>
      </c>
      <c r="HL355" s="561">
        <v>0</v>
      </c>
      <c r="HM355" s="561">
        <v>0</v>
      </c>
      <c r="HN355" s="561">
        <v>0</v>
      </c>
      <c r="HO355" s="561">
        <v>430</v>
      </c>
      <c r="HP355" s="561">
        <v>0</v>
      </c>
      <c r="HQ355" s="561">
        <v>0</v>
      </c>
      <c r="HR355" s="561">
        <v>0</v>
      </c>
      <c r="HS355" s="561">
        <v>0</v>
      </c>
      <c r="HT355" s="561">
        <v>0</v>
      </c>
      <c r="HU355" s="561">
        <v>0</v>
      </c>
      <c r="HV355" s="561">
        <v>0</v>
      </c>
      <c r="HW355" s="561">
        <v>0</v>
      </c>
      <c r="HX355" s="561">
        <v>0</v>
      </c>
      <c r="HY355" s="561">
        <v>14</v>
      </c>
      <c r="HZ355" s="561">
        <v>0</v>
      </c>
      <c r="IA355" s="561">
        <v>0</v>
      </c>
      <c r="IB355" s="561">
        <v>0</v>
      </c>
      <c r="IC355" s="561">
        <v>0</v>
      </c>
      <c r="ID355" s="561">
        <v>0</v>
      </c>
      <c r="IE355" s="561">
        <v>0</v>
      </c>
      <c r="IF355" s="561">
        <v>0</v>
      </c>
      <c r="IG355" s="561">
        <v>0</v>
      </c>
      <c r="IH355" s="561">
        <v>0</v>
      </c>
      <c r="II355" s="561">
        <v>444</v>
      </c>
      <c r="IJ355" s="561">
        <v>0</v>
      </c>
      <c r="IK355" s="561">
        <v>98</v>
      </c>
      <c r="IL355" s="561">
        <v>1740</v>
      </c>
      <c r="IM355" s="561">
        <v>0</v>
      </c>
      <c r="IN355" s="561">
        <v>0</v>
      </c>
      <c r="IO355" s="561">
        <v>0</v>
      </c>
      <c r="IP355" s="561">
        <v>0</v>
      </c>
      <c r="IQ355" s="561">
        <v>0</v>
      </c>
      <c r="IR355" s="561">
        <v>0</v>
      </c>
      <c r="IS355" s="561">
        <v>0</v>
      </c>
      <c r="IT355" s="561">
        <v>0</v>
      </c>
      <c r="IU355" s="561">
        <v>0</v>
      </c>
      <c r="IV355" s="561">
        <v>0</v>
      </c>
      <c r="IW355" s="561">
        <v>0</v>
      </c>
      <c r="IX355" s="561">
        <v>6395</v>
      </c>
      <c r="IY355" s="561">
        <v>85</v>
      </c>
      <c r="IZ355" s="561">
        <v>638</v>
      </c>
      <c r="JA355" s="561">
        <v>0</v>
      </c>
      <c r="JB355" s="561">
        <v>0</v>
      </c>
      <c r="JC355" s="561">
        <v>444</v>
      </c>
      <c r="JD355" s="561">
        <v>0</v>
      </c>
      <c r="JE355" s="561">
        <v>7562</v>
      </c>
      <c r="JF355" s="561">
        <v>0</v>
      </c>
      <c r="JG355" s="561">
        <v>0</v>
      </c>
      <c r="JH355" s="561">
        <v>0</v>
      </c>
      <c r="JI355" s="561">
        <v>0</v>
      </c>
      <c r="JJ355" s="561">
        <v>0</v>
      </c>
      <c r="JK355" s="561">
        <v>0</v>
      </c>
      <c r="JL355" s="561">
        <v>0</v>
      </c>
      <c r="JM355" s="561">
        <v>0</v>
      </c>
      <c r="JN355" s="561">
        <v>0</v>
      </c>
      <c r="JO355" s="561">
        <v>-4407</v>
      </c>
      <c r="JP355" s="561">
        <v>0</v>
      </c>
      <c r="JQ355" s="561">
        <v>0</v>
      </c>
      <c r="JR355" s="561">
        <v>0</v>
      </c>
      <c r="JS355" s="561">
        <v>0</v>
      </c>
      <c r="JT355" s="561">
        <v>0</v>
      </c>
      <c r="JU355" s="561">
        <v>0</v>
      </c>
      <c r="JV355" s="561">
        <v>3155</v>
      </c>
      <c r="JW355" s="561">
        <v>0</v>
      </c>
      <c r="JX355" s="561">
        <v>393</v>
      </c>
      <c r="JY355" s="561">
        <v>0</v>
      </c>
      <c r="JZ355" s="561">
        <v>0</v>
      </c>
      <c r="KA355" s="561">
        <v>0</v>
      </c>
      <c r="KB355" s="561">
        <v>-4</v>
      </c>
      <c r="KC355" s="561">
        <v>36</v>
      </c>
      <c r="KD355" s="561">
        <v>45</v>
      </c>
      <c r="KE355" s="561">
        <v>69</v>
      </c>
      <c r="KF355" s="561">
        <v>0</v>
      </c>
      <c r="KG355" s="561">
        <v>3694</v>
      </c>
      <c r="KH355" s="561">
        <v>-320</v>
      </c>
      <c r="KI355" s="561">
        <v>0</v>
      </c>
      <c r="KJ355" s="561">
        <v>0</v>
      </c>
      <c r="KK355" s="561">
        <v>0</v>
      </c>
      <c r="KL355" s="561">
        <v>0</v>
      </c>
      <c r="KM355" s="561">
        <v>0</v>
      </c>
      <c r="KN355" s="561">
        <v>0</v>
      </c>
      <c r="KO355" s="561">
        <v>0</v>
      </c>
      <c r="KP355" s="561">
        <v>0</v>
      </c>
      <c r="KQ355" s="561">
        <v>0</v>
      </c>
      <c r="KR355" s="561">
        <v>3374</v>
      </c>
      <c r="KS355" s="561">
        <v>0</v>
      </c>
      <c r="KT355" s="561">
        <v>-3914</v>
      </c>
      <c r="KU355" s="561">
        <v>-540</v>
      </c>
      <c r="KV355" s="561">
        <v>0</v>
      </c>
      <c r="KW355" s="561">
        <v>0</v>
      </c>
      <c r="KX355" s="561">
        <v>0</v>
      </c>
      <c r="KY355" s="561">
        <v>0</v>
      </c>
      <c r="KZ355" s="561">
        <v>54</v>
      </c>
      <c r="LA355" s="561">
        <v>486</v>
      </c>
      <c r="LB355" s="561">
        <v>0</v>
      </c>
      <c r="LC355" s="561">
        <v>0</v>
      </c>
      <c r="LD355" s="561">
        <v>0</v>
      </c>
      <c r="LE355" s="561">
        <v>0</v>
      </c>
      <c r="LF355" s="561">
        <v>0</v>
      </c>
      <c r="LG355" s="561">
        <v>0</v>
      </c>
      <c r="LH355" s="561">
        <v>0</v>
      </c>
      <c r="LI355" s="561">
        <v>0</v>
      </c>
      <c r="LJ355" s="561">
        <v>0</v>
      </c>
      <c r="LK355" s="561">
        <v>0</v>
      </c>
      <c r="LL355" s="561">
        <v>3503</v>
      </c>
      <c r="LM355" s="561">
        <v>1309</v>
      </c>
      <c r="LN355" s="561">
        <v>0</v>
      </c>
      <c r="LO355" s="561">
        <v>0</v>
      </c>
      <c r="LP355" s="561">
        <v>0</v>
      </c>
      <c r="LQ355" s="561">
        <v>0</v>
      </c>
      <c r="LR355" s="561">
        <v>3557</v>
      </c>
      <c r="LS355" s="561">
        <v>1795</v>
      </c>
      <c r="LT355" s="561">
        <v>0</v>
      </c>
      <c r="LU355" s="561">
        <v>275</v>
      </c>
      <c r="LV355" s="561">
        <v>0</v>
      </c>
      <c r="LW355" s="561">
        <v>4</v>
      </c>
      <c r="LX355" s="561">
        <v>0</v>
      </c>
      <c r="LY355" s="561">
        <v>0</v>
      </c>
      <c r="LZ355" s="561">
        <v>279</v>
      </c>
      <c r="MA355" s="561">
        <v>0</v>
      </c>
      <c r="MB355" s="561">
        <v>0</v>
      </c>
      <c r="MC355" s="561">
        <v>0</v>
      </c>
      <c r="MD355" s="561">
        <v>0</v>
      </c>
      <c r="ME355" s="561">
        <v>0</v>
      </c>
      <c r="MF355" s="561">
        <v>0</v>
      </c>
      <c r="MG355" s="561">
        <v>0</v>
      </c>
      <c r="MH355" s="561">
        <v>0</v>
      </c>
      <c r="MI355" s="561">
        <v>0</v>
      </c>
      <c r="MJ355" s="561">
        <v>0</v>
      </c>
      <c r="MK355" s="561">
        <v>0</v>
      </c>
      <c r="ML355" s="561">
        <v>0</v>
      </c>
      <c r="MM355" s="561">
        <v>3094</v>
      </c>
      <c r="MN355" s="561">
        <v>0</v>
      </c>
      <c r="MO355" s="561">
        <v>463</v>
      </c>
      <c r="MP355" s="561">
        <v>0</v>
      </c>
      <c r="MQ355" s="561">
        <v>0</v>
      </c>
      <c r="MR355" s="561">
        <v>0</v>
      </c>
      <c r="MS355" s="561">
        <v>0</v>
      </c>
      <c r="MT355" s="561">
        <v>0</v>
      </c>
      <c r="MU355" s="561">
        <v>0</v>
      </c>
      <c r="MV355" s="561">
        <v>0</v>
      </c>
      <c r="MW355" s="561">
        <v>6395</v>
      </c>
      <c r="MX355" s="561">
        <v>85</v>
      </c>
      <c r="MY355" s="561">
        <v>638</v>
      </c>
      <c r="MZ355" s="561">
        <v>0</v>
      </c>
      <c r="NA355" s="561">
        <v>0</v>
      </c>
      <c r="NB355" s="561">
        <v>444</v>
      </c>
      <c r="NC355" s="561">
        <v>0</v>
      </c>
      <c r="ND355" s="561">
        <v>7562</v>
      </c>
      <c r="NE355" s="561">
        <v>0</v>
      </c>
      <c r="NF355" s="561">
        <v>0</v>
      </c>
      <c r="NG355" s="561">
        <v>0</v>
      </c>
      <c r="NH355" s="561">
        <v>0</v>
      </c>
      <c r="NI355" s="561">
        <v>0</v>
      </c>
      <c r="NJ355" s="561">
        <v>0</v>
      </c>
      <c r="NK355" s="561">
        <v>0</v>
      </c>
      <c r="NL355" s="561">
        <v>0</v>
      </c>
      <c r="NM355" s="561">
        <v>0</v>
      </c>
      <c r="NN355" s="561">
        <v>0</v>
      </c>
      <c r="NO355" s="561">
        <v>0</v>
      </c>
      <c r="NP355" s="561">
        <v>0</v>
      </c>
      <c r="NQ355" s="561">
        <v>0</v>
      </c>
      <c r="NR355" s="561">
        <v>0</v>
      </c>
      <c r="NS355" s="561">
        <v>0</v>
      </c>
      <c r="NT355" s="561">
        <v>0</v>
      </c>
      <c r="NU355" s="561">
        <v>-273</v>
      </c>
      <c r="NV355" s="561">
        <v>0</v>
      </c>
      <c r="NW355" s="561">
        <v>0</v>
      </c>
      <c r="NX355" s="561">
        <v>0</v>
      </c>
      <c r="NY355" s="561">
        <v>0</v>
      </c>
      <c r="NZ355" s="561">
        <v>0</v>
      </c>
      <c r="OA355" s="561">
        <v>0</v>
      </c>
      <c r="OB355" s="561">
        <v>0</v>
      </c>
      <c r="OC355" s="561">
        <v>0</v>
      </c>
      <c r="OD355" s="561">
        <v>0</v>
      </c>
      <c r="OE355" s="561">
        <v>0</v>
      </c>
      <c r="OF355" s="561">
        <v>0</v>
      </c>
      <c r="OG355" s="561">
        <v>0</v>
      </c>
      <c r="OH355" s="561">
        <v>0</v>
      </c>
      <c r="OI355" s="561">
        <v>0</v>
      </c>
      <c r="OJ355" s="561">
        <v>0</v>
      </c>
      <c r="OK355" s="561">
        <v>0</v>
      </c>
      <c r="OL355" s="561">
        <v>0</v>
      </c>
      <c r="OM355" s="561">
        <v>0</v>
      </c>
      <c r="ON355" s="561">
        <v>0</v>
      </c>
      <c r="OO355" s="561">
        <v>0</v>
      </c>
      <c r="OP355" s="561">
        <v>0</v>
      </c>
      <c r="OQ355" s="561">
        <v>0</v>
      </c>
      <c r="OR355" s="561">
        <v>0</v>
      </c>
      <c r="OS355" s="561">
        <v>0</v>
      </c>
      <c r="OT355" s="561">
        <v>0</v>
      </c>
      <c r="OU355" s="561">
        <v>0</v>
      </c>
      <c r="OV355" s="561">
        <v>-720</v>
      </c>
      <c r="OW355" s="561">
        <v>0</v>
      </c>
      <c r="OX355" s="561">
        <v>0</v>
      </c>
      <c r="OY355" s="561">
        <v>0</v>
      </c>
      <c r="OZ355" s="561">
        <v>0</v>
      </c>
      <c r="PA355" s="561">
        <v>0</v>
      </c>
      <c r="PB355" s="561">
        <v>0</v>
      </c>
      <c r="PC355" s="561">
        <v>0</v>
      </c>
      <c r="PD355" s="561">
        <v>0</v>
      </c>
      <c r="PE355" s="561">
        <v>0</v>
      </c>
      <c r="PF355" s="561">
        <v>0</v>
      </c>
      <c r="PG355" s="561">
        <v>0</v>
      </c>
      <c r="PH355" s="561">
        <v>0</v>
      </c>
      <c r="PI355" s="561">
        <v>0</v>
      </c>
      <c r="PJ355" s="561">
        <v>0</v>
      </c>
    </row>
    <row r="356" spans="1:426" ht="14" x14ac:dyDescent="0.3">
      <c r="A356" t="s">
        <v>3076</v>
      </c>
      <c r="B356" t="s">
        <v>3077</v>
      </c>
      <c r="C356" t="s">
        <v>4674</v>
      </c>
      <c r="E356" t="s">
        <v>2466</v>
      </c>
      <c r="F356" s="561">
        <v>0</v>
      </c>
      <c r="G356" s="561">
        <v>5.7</v>
      </c>
      <c r="H356" s="561">
        <v>62.86</v>
      </c>
      <c r="I356" s="561">
        <v>0</v>
      </c>
      <c r="J356" s="561">
        <v>2.93</v>
      </c>
      <c r="K356" s="561">
        <v>69883.12</v>
      </c>
      <c r="L356" s="561">
        <v>69954.61</v>
      </c>
      <c r="M356" s="561">
        <v>131.31</v>
      </c>
      <c r="N356" s="561">
        <v>0</v>
      </c>
      <c r="O356" s="561">
        <v>9072.43</v>
      </c>
      <c r="P356" s="561">
        <v>0</v>
      </c>
      <c r="Q356" s="561">
        <v>0</v>
      </c>
      <c r="R356" s="561">
        <v>0</v>
      </c>
      <c r="S356" s="561">
        <v>0</v>
      </c>
      <c r="T356" s="561">
        <v>0</v>
      </c>
      <c r="U356" s="561">
        <v>0</v>
      </c>
      <c r="V356" s="561">
        <v>0</v>
      </c>
      <c r="W356" s="561">
        <v>0</v>
      </c>
      <c r="X356" s="561">
        <v>0</v>
      </c>
      <c r="Y356" s="561">
        <v>0</v>
      </c>
      <c r="Z356" s="561">
        <v>0</v>
      </c>
      <c r="AA356" s="561">
        <v>0</v>
      </c>
      <c r="AB356" s="561">
        <v>0</v>
      </c>
      <c r="AC356" s="561">
        <v>34021.050000000003</v>
      </c>
      <c r="AD356" s="561">
        <v>11301.14</v>
      </c>
      <c r="AE356" s="561">
        <v>44851.13</v>
      </c>
      <c r="AF356" s="561">
        <v>118527.49</v>
      </c>
      <c r="AG356" s="561">
        <v>3179.75</v>
      </c>
      <c r="AH356" s="561">
        <v>11137.14</v>
      </c>
      <c r="AI356" s="561">
        <v>0</v>
      </c>
      <c r="AJ356" s="561">
        <v>232090.13</v>
      </c>
      <c r="AK356" s="561">
        <v>514.82000000000005</v>
      </c>
      <c r="AL356" s="561">
        <v>0</v>
      </c>
      <c r="AM356" s="561">
        <v>0</v>
      </c>
      <c r="AN356" s="561">
        <v>0</v>
      </c>
      <c r="AO356" s="561">
        <v>0</v>
      </c>
      <c r="AP356" s="561">
        <v>0</v>
      </c>
      <c r="AQ356" s="561">
        <v>0</v>
      </c>
      <c r="AR356" s="561">
        <v>0</v>
      </c>
      <c r="AS356" s="561">
        <v>0</v>
      </c>
      <c r="AT356" s="561">
        <v>0</v>
      </c>
      <c r="AU356" s="561">
        <v>0</v>
      </c>
      <c r="AV356" s="561">
        <v>0</v>
      </c>
      <c r="AW356" s="561">
        <v>0</v>
      </c>
      <c r="AX356" s="561">
        <v>0</v>
      </c>
      <c r="AY356" s="561">
        <v>0</v>
      </c>
      <c r="AZ356" s="561">
        <v>0</v>
      </c>
      <c r="BA356" s="561">
        <v>0</v>
      </c>
      <c r="BB356" s="561">
        <v>0</v>
      </c>
      <c r="BC356" s="561">
        <v>0</v>
      </c>
      <c r="BD356" s="561">
        <v>0</v>
      </c>
      <c r="BE356" s="561">
        <v>0</v>
      </c>
      <c r="BF356" s="561">
        <v>0</v>
      </c>
      <c r="BG356" s="561">
        <v>0</v>
      </c>
      <c r="BH356" s="561">
        <v>0</v>
      </c>
      <c r="BI356" s="561">
        <v>0</v>
      </c>
      <c r="BJ356" s="561">
        <v>0</v>
      </c>
      <c r="BK356" s="561">
        <v>0</v>
      </c>
      <c r="BL356" s="561">
        <v>0</v>
      </c>
      <c r="BM356" s="561">
        <v>0</v>
      </c>
      <c r="BN356" s="561">
        <v>0</v>
      </c>
      <c r="BO356" s="561">
        <v>0</v>
      </c>
      <c r="BP356" s="561">
        <v>0</v>
      </c>
      <c r="BQ356" s="561">
        <v>0</v>
      </c>
      <c r="BR356" s="561">
        <v>0</v>
      </c>
      <c r="BS356" s="561">
        <v>0</v>
      </c>
      <c r="BT356" s="561">
        <v>0</v>
      </c>
      <c r="BU356" s="561">
        <v>0</v>
      </c>
      <c r="BV356" s="561">
        <v>0</v>
      </c>
      <c r="BW356" s="561">
        <v>0</v>
      </c>
      <c r="BX356" s="561">
        <v>0</v>
      </c>
      <c r="BY356" s="561">
        <v>0</v>
      </c>
      <c r="BZ356" s="561">
        <v>0</v>
      </c>
      <c r="CA356" s="561">
        <v>0</v>
      </c>
      <c r="CB356" s="561">
        <v>0</v>
      </c>
      <c r="CC356" s="561">
        <v>0</v>
      </c>
      <c r="CD356" s="561">
        <v>0</v>
      </c>
      <c r="CE356" s="561">
        <v>0</v>
      </c>
      <c r="CF356" s="561">
        <v>0</v>
      </c>
      <c r="CG356" s="561">
        <v>0</v>
      </c>
      <c r="CH356" s="561">
        <v>0</v>
      </c>
      <c r="CI356" s="561">
        <v>0</v>
      </c>
      <c r="CJ356" s="561">
        <v>0</v>
      </c>
      <c r="CK356" s="561">
        <v>0</v>
      </c>
      <c r="CL356" s="561">
        <v>0</v>
      </c>
      <c r="CM356" s="561">
        <v>0</v>
      </c>
      <c r="CN356" s="561">
        <v>0</v>
      </c>
      <c r="CO356" s="561">
        <v>0</v>
      </c>
      <c r="CP356" s="561">
        <v>0</v>
      </c>
      <c r="CQ356" s="561">
        <v>0</v>
      </c>
      <c r="CR356" s="561">
        <v>0</v>
      </c>
      <c r="CS356" s="561">
        <v>0</v>
      </c>
      <c r="CT356" s="561">
        <v>0</v>
      </c>
      <c r="CU356" s="561">
        <v>0</v>
      </c>
      <c r="CV356" s="561">
        <v>0</v>
      </c>
      <c r="CW356" s="561">
        <v>0</v>
      </c>
      <c r="CX356" s="561">
        <v>0</v>
      </c>
      <c r="CY356" s="561">
        <v>0</v>
      </c>
      <c r="CZ356" s="561">
        <v>0</v>
      </c>
      <c r="DA356" s="561">
        <v>0</v>
      </c>
      <c r="DB356" s="561">
        <v>0</v>
      </c>
      <c r="DC356" s="561">
        <v>0</v>
      </c>
      <c r="DD356" s="561">
        <v>0</v>
      </c>
      <c r="DE356" s="561">
        <v>0</v>
      </c>
      <c r="DF356" s="561">
        <v>0</v>
      </c>
      <c r="DG356" s="561">
        <v>0</v>
      </c>
      <c r="DH356" s="561">
        <v>0</v>
      </c>
      <c r="DI356" s="561">
        <v>0</v>
      </c>
      <c r="DJ356" s="561">
        <v>0</v>
      </c>
      <c r="DK356" s="561">
        <v>0</v>
      </c>
      <c r="DL356" s="561">
        <v>0</v>
      </c>
      <c r="DM356" s="561">
        <v>0</v>
      </c>
      <c r="DN356" s="561">
        <v>0</v>
      </c>
      <c r="DO356" s="561">
        <v>0</v>
      </c>
      <c r="DP356" s="561">
        <v>0</v>
      </c>
      <c r="DQ356" s="561">
        <v>0</v>
      </c>
      <c r="DR356" s="561">
        <v>0</v>
      </c>
      <c r="DS356" s="561">
        <v>0</v>
      </c>
      <c r="DT356" s="561">
        <v>4457.1400000000003</v>
      </c>
      <c r="DU356" s="561">
        <v>4457.1400000000003</v>
      </c>
      <c r="DV356" s="561">
        <v>0</v>
      </c>
      <c r="DW356" s="561">
        <v>0</v>
      </c>
      <c r="DX356" s="561">
        <v>0</v>
      </c>
      <c r="DY356" s="561">
        <v>0</v>
      </c>
      <c r="DZ356" s="561">
        <v>0</v>
      </c>
      <c r="EA356" s="561">
        <v>0</v>
      </c>
      <c r="EB356" s="561">
        <v>0</v>
      </c>
      <c r="EC356" s="561">
        <v>4457.1400000000003</v>
      </c>
      <c r="ED356" s="561">
        <v>23.6</v>
      </c>
      <c r="EE356" s="561">
        <v>0</v>
      </c>
      <c r="EF356" s="561">
        <v>0</v>
      </c>
      <c r="EG356" s="561">
        <v>0</v>
      </c>
      <c r="EH356" s="561">
        <v>0</v>
      </c>
      <c r="EI356" s="561">
        <v>0</v>
      </c>
      <c r="EJ356" s="561">
        <v>0</v>
      </c>
      <c r="EK356" s="561">
        <v>0</v>
      </c>
      <c r="EL356" s="561">
        <v>0</v>
      </c>
      <c r="EM356" s="561">
        <v>0</v>
      </c>
      <c r="EN356" s="561">
        <v>0</v>
      </c>
      <c r="EO356" s="561">
        <v>0</v>
      </c>
      <c r="EP356" s="561">
        <v>0</v>
      </c>
      <c r="EQ356" s="561">
        <v>0</v>
      </c>
      <c r="ER356" s="561">
        <v>0</v>
      </c>
      <c r="ES356" s="561" t="s">
        <v>4565</v>
      </c>
      <c r="ET356" s="561">
        <v>0</v>
      </c>
      <c r="EU356" s="561">
        <v>0</v>
      </c>
      <c r="EV356" s="561">
        <v>0</v>
      </c>
      <c r="EW356" s="561">
        <v>0</v>
      </c>
      <c r="EX356" s="561">
        <v>0</v>
      </c>
      <c r="EY356" s="561">
        <v>0</v>
      </c>
      <c r="EZ356" s="561">
        <v>0</v>
      </c>
      <c r="FA356" s="561">
        <v>0</v>
      </c>
      <c r="FB356" s="561">
        <v>0</v>
      </c>
      <c r="FC356" s="561">
        <v>821.31</v>
      </c>
      <c r="FD356" s="561">
        <v>0</v>
      </c>
      <c r="FE356" s="561">
        <v>-6.54</v>
      </c>
      <c r="FF356" s="561">
        <v>379.44</v>
      </c>
      <c r="FG356" s="561">
        <v>0</v>
      </c>
      <c r="FH356" s="561">
        <v>0</v>
      </c>
      <c r="FI356" s="561">
        <v>0</v>
      </c>
      <c r="FJ356" s="561">
        <v>0</v>
      </c>
      <c r="FK356" s="561">
        <v>0</v>
      </c>
      <c r="FL356" s="561">
        <v>0</v>
      </c>
      <c r="FM356" s="561">
        <v>495.07</v>
      </c>
      <c r="FN356" s="561">
        <v>0</v>
      </c>
      <c r="FO356" s="561">
        <v>1689.28</v>
      </c>
      <c r="FP356" s="561">
        <v>0</v>
      </c>
      <c r="FQ356" s="561">
        <v>0</v>
      </c>
      <c r="FR356" s="561">
        <v>0</v>
      </c>
      <c r="FS356" s="561">
        <v>0</v>
      </c>
      <c r="FT356" s="561">
        <v>0</v>
      </c>
      <c r="FU356" s="561">
        <v>0</v>
      </c>
      <c r="FV356" s="561">
        <v>0</v>
      </c>
      <c r="FW356" s="561">
        <v>0</v>
      </c>
      <c r="FX356" s="561">
        <v>0</v>
      </c>
      <c r="FY356" s="561">
        <v>0</v>
      </c>
      <c r="FZ356" s="561">
        <v>0</v>
      </c>
      <c r="GA356" s="561">
        <v>0</v>
      </c>
      <c r="GB356" s="561">
        <v>0</v>
      </c>
      <c r="GC356" s="561">
        <v>0</v>
      </c>
      <c r="GD356" s="561">
        <v>0</v>
      </c>
      <c r="GE356" s="561">
        <v>0</v>
      </c>
      <c r="GF356" s="561">
        <v>0</v>
      </c>
      <c r="GG356" s="561">
        <v>0</v>
      </c>
      <c r="GH356" s="561">
        <v>0</v>
      </c>
      <c r="GI356" s="561">
        <v>0</v>
      </c>
      <c r="GJ356" s="561">
        <v>0</v>
      </c>
      <c r="GK356" s="561">
        <v>0</v>
      </c>
      <c r="GL356" s="561">
        <v>0</v>
      </c>
      <c r="GM356" s="561">
        <v>0</v>
      </c>
      <c r="GN356" s="561">
        <v>0</v>
      </c>
      <c r="GO356" s="561">
        <v>0</v>
      </c>
      <c r="GP356" s="561">
        <v>0</v>
      </c>
      <c r="GQ356" s="561">
        <v>0</v>
      </c>
      <c r="GR356" s="561">
        <v>0</v>
      </c>
      <c r="GS356" s="561">
        <v>0</v>
      </c>
      <c r="GT356" s="561">
        <v>0</v>
      </c>
      <c r="GU356" s="561">
        <v>0</v>
      </c>
      <c r="GV356" s="561">
        <v>0</v>
      </c>
      <c r="GW356" s="561">
        <v>0</v>
      </c>
      <c r="GX356" s="561">
        <v>1226.74</v>
      </c>
      <c r="GY356" s="561">
        <v>9626.01</v>
      </c>
      <c r="GZ356" s="561">
        <v>16584.11</v>
      </c>
      <c r="HA356" s="561">
        <v>4542.79</v>
      </c>
      <c r="HB356" s="561">
        <v>16884.41</v>
      </c>
      <c r="HC356" s="561">
        <v>3690.31</v>
      </c>
      <c r="HD356" s="561">
        <v>52554.37</v>
      </c>
      <c r="HE356" s="561">
        <v>426.19</v>
      </c>
      <c r="HF356" s="561">
        <v>54243.65</v>
      </c>
      <c r="HG356" s="561">
        <v>0</v>
      </c>
      <c r="HH356" s="561">
        <v>0</v>
      </c>
      <c r="HI356" s="561">
        <v>0</v>
      </c>
      <c r="HJ356" s="561">
        <v>0</v>
      </c>
      <c r="HK356" s="561">
        <v>0</v>
      </c>
      <c r="HL356" s="561">
        <v>0</v>
      </c>
      <c r="HM356" s="561">
        <v>0</v>
      </c>
      <c r="HN356" s="561">
        <v>0</v>
      </c>
      <c r="HO356" s="561">
        <v>9437.8799999999992</v>
      </c>
      <c r="HP356" s="561">
        <v>0</v>
      </c>
      <c r="HQ356" s="561">
        <v>0</v>
      </c>
      <c r="HR356" s="561">
        <v>0</v>
      </c>
      <c r="HS356" s="561">
        <v>0</v>
      </c>
      <c r="HT356" s="561">
        <v>0</v>
      </c>
      <c r="HU356" s="561">
        <v>0</v>
      </c>
      <c r="HV356" s="561">
        <v>0</v>
      </c>
      <c r="HW356" s="561">
        <v>0</v>
      </c>
      <c r="HX356" s="561">
        <v>2138.42</v>
      </c>
      <c r="HY356" s="561">
        <v>0</v>
      </c>
      <c r="HZ356" s="561">
        <v>0</v>
      </c>
      <c r="IA356" s="561">
        <v>0</v>
      </c>
      <c r="IB356" s="561">
        <v>0</v>
      </c>
      <c r="IC356" s="561">
        <v>0</v>
      </c>
      <c r="ID356" s="561">
        <v>0</v>
      </c>
      <c r="IE356" s="561">
        <v>0</v>
      </c>
      <c r="IF356" s="561">
        <v>0</v>
      </c>
      <c r="IG356" s="561">
        <v>0</v>
      </c>
      <c r="IH356" s="561">
        <v>-106</v>
      </c>
      <c r="II356" s="561">
        <v>11470.3</v>
      </c>
      <c r="IJ356" s="561">
        <v>139.28</v>
      </c>
      <c r="IK356" s="561">
        <v>0</v>
      </c>
      <c r="IL356" s="561">
        <v>0</v>
      </c>
      <c r="IM356" s="561">
        <v>0</v>
      </c>
      <c r="IN356" s="561">
        <v>0</v>
      </c>
      <c r="IO356" s="561">
        <v>0</v>
      </c>
      <c r="IP356" s="561">
        <v>0</v>
      </c>
      <c r="IQ356" s="561">
        <v>0</v>
      </c>
      <c r="IR356" s="561">
        <v>69954.61</v>
      </c>
      <c r="IS356" s="561">
        <v>232090.13</v>
      </c>
      <c r="IT356" s="561">
        <v>0</v>
      </c>
      <c r="IU356" s="561">
        <v>0</v>
      </c>
      <c r="IV356" s="561">
        <v>0</v>
      </c>
      <c r="IW356" s="561">
        <v>4457.1400000000003</v>
      </c>
      <c r="IX356" s="561">
        <v>1689.28</v>
      </c>
      <c r="IY356" s="561">
        <v>0</v>
      </c>
      <c r="IZ356" s="561">
        <v>52554.37</v>
      </c>
      <c r="JA356" s="561">
        <v>0</v>
      </c>
      <c r="JB356" s="561">
        <v>0</v>
      </c>
      <c r="JC356" s="561">
        <v>11470.3</v>
      </c>
      <c r="JD356" s="561">
        <v>0</v>
      </c>
      <c r="JE356" s="561">
        <v>372215.83</v>
      </c>
      <c r="JF356" s="561">
        <v>0</v>
      </c>
      <c r="JG356" s="561">
        <v>0</v>
      </c>
      <c r="JH356" s="561">
        <v>0</v>
      </c>
      <c r="JI356" s="561">
        <v>0</v>
      </c>
      <c r="JJ356" s="561">
        <v>0</v>
      </c>
      <c r="JK356" s="561">
        <v>0</v>
      </c>
      <c r="JL356" s="561">
        <v>-108696</v>
      </c>
      <c r="JM356" s="561">
        <v>0</v>
      </c>
      <c r="JN356" s="561">
        <v>0</v>
      </c>
      <c r="JO356" s="561">
        <v>0</v>
      </c>
      <c r="JP356" s="561">
        <v>-29552.76</v>
      </c>
      <c r="JQ356" s="561">
        <v>0</v>
      </c>
      <c r="JR356" s="561">
        <v>0</v>
      </c>
      <c r="JS356" s="561">
        <v>0</v>
      </c>
      <c r="JT356" s="561">
        <v>0</v>
      </c>
      <c r="JU356" s="561">
        <v>0</v>
      </c>
      <c r="JV356" s="561">
        <v>233967.07</v>
      </c>
      <c r="JW356" s="561">
        <v>0</v>
      </c>
      <c r="JX356" s="561">
        <v>21283</v>
      </c>
      <c r="JY356" s="561">
        <v>0</v>
      </c>
      <c r="JZ356" s="561">
        <v>0</v>
      </c>
      <c r="KA356" s="561">
        <v>0</v>
      </c>
      <c r="KB356" s="561">
        <v>2938</v>
      </c>
      <c r="KC356" s="561">
        <v>15661.62</v>
      </c>
      <c r="KD356" s="561">
        <v>0</v>
      </c>
      <c r="KE356" s="561">
        <v>9533.3700000000008</v>
      </c>
      <c r="KF356" s="561">
        <v>0</v>
      </c>
      <c r="KG356" s="561">
        <v>283383.06</v>
      </c>
      <c r="KH356" s="561">
        <v>-23035.8</v>
      </c>
      <c r="KI356" s="561">
        <v>0</v>
      </c>
      <c r="KJ356" s="561">
        <v>0</v>
      </c>
      <c r="KK356" s="561">
        <v>0</v>
      </c>
      <c r="KL356" s="561">
        <v>-70287.929999999993</v>
      </c>
      <c r="KM356" s="561">
        <v>0</v>
      </c>
      <c r="KN356" s="561">
        <v>0</v>
      </c>
      <c r="KO356" s="561">
        <v>0</v>
      </c>
      <c r="KP356" s="561">
        <v>0</v>
      </c>
      <c r="KQ356" s="561">
        <v>0</v>
      </c>
      <c r="KR356" s="561">
        <v>190059.33</v>
      </c>
      <c r="KS356" s="561">
        <v>0</v>
      </c>
      <c r="KT356" s="561">
        <v>-195791.74</v>
      </c>
      <c r="KU356" s="561">
        <v>-5732.41</v>
      </c>
      <c r="KV356" s="561">
        <v>0</v>
      </c>
      <c r="KW356" s="561">
        <v>0</v>
      </c>
      <c r="KX356" s="561">
        <v>0</v>
      </c>
      <c r="KY356" s="561">
        <v>0</v>
      </c>
      <c r="KZ356" s="561">
        <v>-348.64</v>
      </c>
      <c r="LA356" s="561">
        <v>14168</v>
      </c>
      <c r="LB356" s="561">
        <v>0</v>
      </c>
      <c r="LC356" s="561">
        <v>0</v>
      </c>
      <c r="LD356" s="561">
        <v>0</v>
      </c>
      <c r="LE356" s="561">
        <v>11</v>
      </c>
      <c r="LF356" s="561">
        <v>0</v>
      </c>
      <c r="LG356" s="561">
        <v>8098</v>
      </c>
      <c r="LH356" s="561">
        <v>0</v>
      </c>
      <c r="LI356" s="561">
        <v>0</v>
      </c>
      <c r="LJ356" s="561">
        <v>0</v>
      </c>
      <c r="LK356" s="561">
        <v>0</v>
      </c>
      <c r="LL356" s="561">
        <v>231572.54</v>
      </c>
      <c r="LM356" s="561">
        <v>29750</v>
      </c>
      <c r="LN356" s="561">
        <v>0</v>
      </c>
      <c r="LO356" s="561">
        <v>0</v>
      </c>
      <c r="LP356" s="561">
        <v>0</v>
      </c>
      <c r="LQ356" s="561">
        <v>0</v>
      </c>
      <c r="LR356" s="561">
        <v>231223.9</v>
      </c>
      <c r="LS356" s="561">
        <v>43918</v>
      </c>
      <c r="LT356" s="561">
        <v>0</v>
      </c>
      <c r="LU356" s="561">
        <v>17891</v>
      </c>
      <c r="LV356" s="561">
        <v>0</v>
      </c>
      <c r="LW356" s="561">
        <v>0</v>
      </c>
      <c r="LX356" s="561">
        <v>0</v>
      </c>
      <c r="LY356" s="561">
        <v>0</v>
      </c>
      <c r="LZ356" s="561">
        <v>17891</v>
      </c>
      <c r="MA356" s="561">
        <v>0</v>
      </c>
      <c r="MB356" s="561">
        <v>0</v>
      </c>
      <c r="MC356" s="561">
        <v>0</v>
      </c>
      <c r="MD356" s="561">
        <v>0</v>
      </c>
      <c r="ME356" s="561">
        <v>0</v>
      </c>
      <c r="MF356" s="561">
        <v>0</v>
      </c>
      <c r="MG356" s="561">
        <v>0</v>
      </c>
      <c r="MH356" s="561">
        <v>0</v>
      </c>
      <c r="MI356" s="561">
        <v>0</v>
      </c>
      <c r="MJ356" s="561">
        <v>0</v>
      </c>
      <c r="MK356" s="561">
        <v>0</v>
      </c>
      <c r="ML356" s="561">
        <v>0</v>
      </c>
      <c r="MM356" s="561">
        <v>150392.37</v>
      </c>
      <c r="MN356" s="561">
        <v>2000</v>
      </c>
      <c r="MO356" s="561">
        <v>78831.53</v>
      </c>
      <c r="MP356" s="561">
        <v>0</v>
      </c>
      <c r="MQ356" s="561">
        <v>69954.61</v>
      </c>
      <c r="MR356" s="561">
        <v>232090.13</v>
      </c>
      <c r="MS356" s="561">
        <v>0</v>
      </c>
      <c r="MT356" s="561">
        <v>0</v>
      </c>
      <c r="MU356" s="561">
        <v>0</v>
      </c>
      <c r="MV356" s="561">
        <v>4457.1400000000003</v>
      </c>
      <c r="MW356" s="561">
        <v>1689.28</v>
      </c>
      <c r="MX356" s="561">
        <v>0</v>
      </c>
      <c r="MY356" s="561">
        <v>52554.37</v>
      </c>
      <c r="MZ356" s="561">
        <v>0</v>
      </c>
      <c r="NA356" s="561">
        <v>0</v>
      </c>
      <c r="NB356" s="561">
        <v>11470.3</v>
      </c>
      <c r="NC356" s="561">
        <v>0</v>
      </c>
      <c r="ND356" s="561">
        <v>372215.83</v>
      </c>
      <c r="NE356" s="561">
        <v>0</v>
      </c>
      <c r="NF356" s="561">
        <v>0</v>
      </c>
      <c r="NG356" s="561">
        <v>0</v>
      </c>
      <c r="NH356" s="561">
        <v>0</v>
      </c>
      <c r="NI356" s="561">
        <v>-29552.76</v>
      </c>
      <c r="NJ356" s="561">
        <v>0</v>
      </c>
      <c r="NK356" s="561">
        <v>0</v>
      </c>
      <c r="NL356" s="561">
        <v>0</v>
      </c>
      <c r="NM356" s="561">
        <v>0</v>
      </c>
      <c r="NN356" s="561">
        <v>0</v>
      </c>
      <c r="NO356" s="561">
        <v>0</v>
      </c>
      <c r="NP356" s="561">
        <v>0</v>
      </c>
      <c r="NQ356" s="561">
        <v>0</v>
      </c>
      <c r="NR356" s="561">
        <v>0</v>
      </c>
      <c r="NS356" s="561">
        <v>0</v>
      </c>
      <c r="NT356" s="561">
        <v>0</v>
      </c>
      <c r="NU356" s="561">
        <v>0</v>
      </c>
      <c r="NV356" s="561">
        <v>0</v>
      </c>
      <c r="NW356" s="561">
        <v>-29552.76</v>
      </c>
      <c r="NX356" s="561">
        <v>0</v>
      </c>
      <c r="NY356" s="561">
        <v>-29552.76</v>
      </c>
      <c r="NZ356" s="561">
        <v>0</v>
      </c>
      <c r="OA356" s="561">
        <v>0</v>
      </c>
      <c r="OB356" s="561">
        <v>0</v>
      </c>
      <c r="OC356" s="561">
        <v>0</v>
      </c>
      <c r="OD356" s="561">
        <v>0</v>
      </c>
      <c r="OE356" s="561">
        <v>0</v>
      </c>
      <c r="OF356" s="561">
        <v>0</v>
      </c>
      <c r="OG356" s="561">
        <v>0</v>
      </c>
      <c r="OH356" s="561">
        <v>0</v>
      </c>
      <c r="OI356" s="561">
        <v>0</v>
      </c>
      <c r="OJ356" s="561">
        <v>0</v>
      </c>
      <c r="OK356" s="561">
        <v>0</v>
      </c>
      <c r="OL356" s="561">
        <v>0</v>
      </c>
      <c r="OM356" s="561">
        <v>0</v>
      </c>
      <c r="ON356" s="561">
        <v>0</v>
      </c>
      <c r="OO356" s="561">
        <v>0</v>
      </c>
      <c r="OP356" s="561">
        <v>0</v>
      </c>
      <c r="OQ356" s="561">
        <v>0</v>
      </c>
      <c r="OR356" s="561">
        <v>0</v>
      </c>
      <c r="OS356" s="561">
        <v>0</v>
      </c>
      <c r="OT356" s="561">
        <v>0</v>
      </c>
      <c r="OU356" s="561">
        <v>0</v>
      </c>
      <c r="OV356" s="561">
        <v>0</v>
      </c>
      <c r="OW356" s="561">
        <v>0</v>
      </c>
      <c r="OX356" s="561">
        <v>0</v>
      </c>
      <c r="OY356" s="561">
        <v>0</v>
      </c>
      <c r="OZ356" s="561">
        <v>0</v>
      </c>
      <c r="PA356" s="561">
        <v>0</v>
      </c>
      <c r="PB356" s="561">
        <v>0</v>
      </c>
      <c r="PC356" s="561">
        <v>0</v>
      </c>
      <c r="PD356" s="561">
        <v>0</v>
      </c>
      <c r="PE356" s="561">
        <v>0</v>
      </c>
      <c r="PF356" s="561">
        <v>0</v>
      </c>
      <c r="PG356" s="561">
        <v>0</v>
      </c>
      <c r="PH356" s="561">
        <v>0</v>
      </c>
      <c r="PI356" s="561">
        <v>0</v>
      </c>
      <c r="PJ356" s="561">
        <v>0</v>
      </c>
    </row>
    <row r="357" spans="1:426" ht="14" x14ac:dyDescent="0.3">
      <c r="A357" t="s">
        <v>3511</v>
      </c>
      <c r="B357" t="s">
        <v>3512</v>
      </c>
      <c r="C357" t="s">
        <v>3513</v>
      </c>
      <c r="E357" t="s">
        <v>384</v>
      </c>
      <c r="F357" s="561">
        <v>0</v>
      </c>
      <c r="G357" s="561">
        <v>0</v>
      </c>
      <c r="H357" s="561">
        <v>0</v>
      </c>
      <c r="I357" s="561">
        <v>0</v>
      </c>
      <c r="J357" s="561">
        <v>0</v>
      </c>
      <c r="K357" s="561">
        <v>0</v>
      </c>
      <c r="L357" s="561">
        <v>0</v>
      </c>
      <c r="M357" s="561">
        <v>0</v>
      </c>
      <c r="N357" s="561">
        <v>0</v>
      </c>
      <c r="O357" s="561">
        <v>0</v>
      </c>
      <c r="P357" s="561">
        <v>0</v>
      </c>
      <c r="Q357" s="561">
        <v>0</v>
      </c>
      <c r="R357" s="561">
        <v>0</v>
      </c>
      <c r="S357" s="561">
        <v>0</v>
      </c>
      <c r="T357" s="561">
        <v>0</v>
      </c>
      <c r="U357" s="561">
        <v>0</v>
      </c>
      <c r="V357" s="561">
        <v>0</v>
      </c>
      <c r="W357" s="561">
        <v>0</v>
      </c>
      <c r="X357" s="561">
        <v>0</v>
      </c>
      <c r="Y357" s="561">
        <v>0</v>
      </c>
      <c r="Z357" s="561">
        <v>0</v>
      </c>
      <c r="AA357" s="561">
        <v>174</v>
      </c>
      <c r="AB357" s="561">
        <v>75</v>
      </c>
      <c r="AC357" s="561">
        <v>0</v>
      </c>
      <c r="AD357" s="561">
        <v>0</v>
      </c>
      <c r="AE357" s="561">
        <v>146</v>
      </c>
      <c r="AF357" s="561">
        <v>0</v>
      </c>
      <c r="AG357" s="561">
        <v>3</v>
      </c>
      <c r="AH357" s="561">
        <v>0</v>
      </c>
      <c r="AI357" s="561">
        <v>0</v>
      </c>
      <c r="AJ357" s="561">
        <v>398</v>
      </c>
      <c r="AK357" s="561">
        <v>15</v>
      </c>
      <c r="AL357" s="561">
        <v>0</v>
      </c>
      <c r="AM357" s="561">
        <v>0</v>
      </c>
      <c r="AN357" s="561">
        <v>0</v>
      </c>
      <c r="AO357" s="561">
        <v>0</v>
      </c>
      <c r="AP357" s="561">
        <v>0</v>
      </c>
      <c r="AQ357" s="561">
        <v>0</v>
      </c>
      <c r="AR357" s="561">
        <v>0</v>
      </c>
      <c r="AS357" s="561">
        <v>220</v>
      </c>
      <c r="AT357" s="561">
        <v>26</v>
      </c>
      <c r="AU357" s="561">
        <v>0</v>
      </c>
      <c r="AV357" s="561">
        <v>0</v>
      </c>
      <c r="AW357" s="561">
        <v>0</v>
      </c>
      <c r="AX357" s="561">
        <v>0</v>
      </c>
      <c r="AY357" s="561">
        <v>0</v>
      </c>
      <c r="AZ357" s="561">
        <v>0</v>
      </c>
      <c r="BA357" s="561">
        <v>0</v>
      </c>
      <c r="BB357" s="561">
        <v>0</v>
      </c>
      <c r="BC357" s="561">
        <v>0</v>
      </c>
      <c r="BD357" s="561">
        <v>0</v>
      </c>
      <c r="BE357" s="561">
        <v>0</v>
      </c>
      <c r="BF357" s="561">
        <v>0</v>
      </c>
      <c r="BG357" s="561">
        <v>0</v>
      </c>
      <c r="BH357" s="561">
        <v>0</v>
      </c>
      <c r="BI357" s="561">
        <v>0</v>
      </c>
      <c r="BJ357" s="561">
        <v>0</v>
      </c>
      <c r="BK357" s="561">
        <v>0</v>
      </c>
      <c r="BL357" s="561">
        <v>0</v>
      </c>
      <c r="BM357" s="561">
        <v>0</v>
      </c>
      <c r="BN357" s="561">
        <v>0</v>
      </c>
      <c r="BO357" s="561">
        <v>0</v>
      </c>
      <c r="BP357" s="561">
        <v>0</v>
      </c>
      <c r="BQ357" s="561">
        <v>0</v>
      </c>
      <c r="BR357" s="561">
        <v>0</v>
      </c>
      <c r="BS357" s="561">
        <v>0</v>
      </c>
      <c r="BT357" s="561">
        <v>0</v>
      </c>
      <c r="BU357" s="561">
        <v>0</v>
      </c>
      <c r="BV357" s="561">
        <v>0</v>
      </c>
      <c r="BW357" s="561">
        <v>0</v>
      </c>
      <c r="BX357" s="561">
        <v>0</v>
      </c>
      <c r="BY357" s="561">
        <v>0</v>
      </c>
      <c r="BZ357" s="561">
        <v>0</v>
      </c>
      <c r="CA357" s="561">
        <v>0</v>
      </c>
      <c r="CB357" s="561">
        <v>0</v>
      </c>
      <c r="CC357" s="561">
        <v>0</v>
      </c>
      <c r="CD357" s="561">
        <v>0</v>
      </c>
      <c r="CE357" s="561">
        <v>0</v>
      </c>
      <c r="CF357" s="561">
        <v>0</v>
      </c>
      <c r="CG357" s="561">
        <v>0</v>
      </c>
      <c r="CH357" s="561">
        <v>0</v>
      </c>
      <c r="CI357" s="561">
        <v>0</v>
      </c>
      <c r="CJ357" s="561">
        <v>0</v>
      </c>
      <c r="CK357" s="561">
        <v>0</v>
      </c>
      <c r="CL357" s="561">
        <v>0</v>
      </c>
      <c r="CM357" s="561">
        <v>0</v>
      </c>
      <c r="CN357" s="561">
        <v>0</v>
      </c>
      <c r="CO357" s="561">
        <v>0</v>
      </c>
      <c r="CP357" s="561">
        <v>0</v>
      </c>
      <c r="CQ357" s="561">
        <v>0</v>
      </c>
      <c r="CR357" s="561">
        <v>0</v>
      </c>
      <c r="CS357" s="561">
        <v>0</v>
      </c>
      <c r="CT357" s="561">
        <v>0</v>
      </c>
      <c r="CU357" s="561">
        <v>0</v>
      </c>
      <c r="CV357" s="561">
        <v>0</v>
      </c>
      <c r="CW357" s="561">
        <v>0</v>
      </c>
      <c r="CX357" s="561">
        <v>0</v>
      </c>
      <c r="CY357" s="561">
        <v>0</v>
      </c>
      <c r="CZ357" s="561">
        <v>0</v>
      </c>
      <c r="DA357" s="561">
        <v>0</v>
      </c>
      <c r="DB357" s="561">
        <v>0</v>
      </c>
      <c r="DC357" s="561">
        <v>0</v>
      </c>
      <c r="DD357" s="561">
        <v>0</v>
      </c>
      <c r="DE357" s="561">
        <v>0</v>
      </c>
      <c r="DF357" s="561">
        <v>0</v>
      </c>
      <c r="DG357" s="561">
        <v>0</v>
      </c>
      <c r="DH357" s="561">
        <v>784</v>
      </c>
      <c r="DI357" s="561">
        <v>0</v>
      </c>
      <c r="DJ357" s="561">
        <v>0</v>
      </c>
      <c r="DK357" s="561">
        <v>0</v>
      </c>
      <c r="DL357" s="561">
        <v>28</v>
      </c>
      <c r="DM357" s="561">
        <v>0</v>
      </c>
      <c r="DN357" s="561">
        <v>0</v>
      </c>
      <c r="DO357" s="561">
        <v>0</v>
      </c>
      <c r="DP357" s="561">
        <v>-360</v>
      </c>
      <c r="DQ357" s="561">
        <v>0</v>
      </c>
      <c r="DR357" s="561">
        <v>0</v>
      </c>
      <c r="DS357" s="561">
        <v>529</v>
      </c>
      <c r="DT357" s="561">
        <v>0</v>
      </c>
      <c r="DU357" s="561">
        <v>197</v>
      </c>
      <c r="DV357" s="561">
        <v>0</v>
      </c>
      <c r="DW357" s="561">
        <v>0</v>
      </c>
      <c r="DX357" s="561">
        <v>0</v>
      </c>
      <c r="DY357" s="561">
        <v>876</v>
      </c>
      <c r="DZ357" s="561">
        <v>1020</v>
      </c>
      <c r="EA357" s="561">
        <v>0</v>
      </c>
      <c r="EB357" s="561">
        <v>295</v>
      </c>
      <c r="EC357" s="561">
        <v>3172</v>
      </c>
      <c r="ED357" s="561">
        <v>171</v>
      </c>
      <c r="EE357" s="561">
        <v>0</v>
      </c>
      <c r="EF357" s="561">
        <v>0</v>
      </c>
      <c r="EG357" s="561">
        <v>0</v>
      </c>
      <c r="EH357" s="561">
        <v>0</v>
      </c>
      <c r="EI357" s="561">
        <v>0</v>
      </c>
      <c r="EJ357" s="561">
        <v>0</v>
      </c>
      <c r="EK357" s="561">
        <v>0</v>
      </c>
      <c r="EL357" s="561">
        <v>0</v>
      </c>
      <c r="EM357" s="561">
        <v>0</v>
      </c>
      <c r="EN357" s="561">
        <v>0</v>
      </c>
      <c r="EO357" s="561">
        <v>0</v>
      </c>
      <c r="EP357" s="561">
        <v>0</v>
      </c>
      <c r="EQ357" s="561">
        <v>0</v>
      </c>
      <c r="ER357" s="561">
        <v>0</v>
      </c>
      <c r="ES357" s="561" t="s">
        <v>4565</v>
      </c>
      <c r="ET357" s="561">
        <v>0</v>
      </c>
      <c r="EU357" s="561">
        <v>0</v>
      </c>
      <c r="EV357" s="561">
        <v>0</v>
      </c>
      <c r="EW357" s="561">
        <v>0</v>
      </c>
      <c r="EX357" s="561">
        <v>0</v>
      </c>
      <c r="EY357" s="561">
        <v>0</v>
      </c>
      <c r="EZ357" s="561">
        <v>0</v>
      </c>
      <c r="FA357" s="561">
        <v>0</v>
      </c>
      <c r="FB357" s="561">
        <v>0</v>
      </c>
      <c r="FC357" s="561">
        <v>0</v>
      </c>
      <c r="FD357" s="561">
        <v>0</v>
      </c>
      <c r="FE357" s="561">
        <v>0</v>
      </c>
      <c r="FF357" s="561">
        <v>139</v>
      </c>
      <c r="FG357" s="561">
        <v>0</v>
      </c>
      <c r="FH357" s="561">
        <v>0</v>
      </c>
      <c r="FI357" s="561">
        <v>555</v>
      </c>
      <c r="FJ357" s="561">
        <v>-741</v>
      </c>
      <c r="FK357" s="561">
        <v>1707</v>
      </c>
      <c r="FL357" s="561">
        <v>0</v>
      </c>
      <c r="FM357" s="561">
        <v>0</v>
      </c>
      <c r="FN357" s="561">
        <v>0</v>
      </c>
      <c r="FO357" s="561">
        <v>1660</v>
      </c>
      <c r="FP357" s="561">
        <v>43</v>
      </c>
      <c r="FQ357" s="561">
        <v>-158</v>
      </c>
      <c r="FR357" s="561">
        <v>0</v>
      </c>
      <c r="FS357" s="561">
        <v>0</v>
      </c>
      <c r="FT357" s="561">
        <v>143</v>
      </c>
      <c r="FU357" s="561">
        <v>189</v>
      </c>
      <c r="FV357" s="561">
        <v>57</v>
      </c>
      <c r="FW357" s="561">
        <v>20</v>
      </c>
      <c r="FX357" s="561">
        <v>0</v>
      </c>
      <c r="FY357" s="561">
        <v>0</v>
      </c>
      <c r="FZ357" s="561">
        <v>11</v>
      </c>
      <c r="GA357" s="561">
        <v>4</v>
      </c>
      <c r="GB357" s="561">
        <v>113</v>
      </c>
      <c r="GC357" s="561">
        <v>18</v>
      </c>
      <c r="GD357" s="561">
        <v>223</v>
      </c>
      <c r="GE357" s="561">
        <v>223</v>
      </c>
      <c r="GF357" s="561">
        <v>0</v>
      </c>
      <c r="GG357" s="561">
        <v>0</v>
      </c>
      <c r="GH357" s="561">
        <v>0</v>
      </c>
      <c r="GI357" s="561">
        <v>0</v>
      </c>
      <c r="GJ357" s="561">
        <v>0</v>
      </c>
      <c r="GK357" s="561">
        <v>0</v>
      </c>
      <c r="GL357" s="561">
        <v>707</v>
      </c>
      <c r="GM357" s="561">
        <v>3442</v>
      </c>
      <c r="GN357" s="561">
        <v>0</v>
      </c>
      <c r="GO357" s="561">
        <v>144</v>
      </c>
      <c r="GP357" s="561">
        <v>-25</v>
      </c>
      <c r="GQ357" s="561">
        <v>0</v>
      </c>
      <c r="GR357" s="561">
        <v>1288</v>
      </c>
      <c r="GS357" s="561">
        <v>6399</v>
      </c>
      <c r="GT357" s="561">
        <v>238</v>
      </c>
      <c r="GU357" s="561">
        <v>35</v>
      </c>
      <c r="GV357" s="561">
        <v>814</v>
      </c>
      <c r="GW357" s="561">
        <v>57</v>
      </c>
      <c r="GX357" s="561">
        <v>618</v>
      </c>
      <c r="GY357" s="561">
        <v>0</v>
      </c>
      <c r="GZ357" s="561">
        <v>476</v>
      </c>
      <c r="HA357" s="561">
        <v>0</v>
      </c>
      <c r="HB357" s="561">
        <v>0</v>
      </c>
      <c r="HC357" s="561">
        <v>279</v>
      </c>
      <c r="HD357" s="561">
        <v>2279</v>
      </c>
      <c r="HE357" s="561">
        <v>88</v>
      </c>
      <c r="HF357" s="561">
        <v>10338</v>
      </c>
      <c r="HG357" s="561">
        <v>369</v>
      </c>
      <c r="HH357" s="561">
        <v>0</v>
      </c>
      <c r="HI357" s="561">
        <v>0</v>
      </c>
      <c r="HJ357" s="561">
        <v>0</v>
      </c>
      <c r="HK357" s="561">
        <v>0</v>
      </c>
      <c r="HL357" s="561">
        <v>0</v>
      </c>
      <c r="HM357" s="561">
        <v>0</v>
      </c>
      <c r="HN357" s="561">
        <v>0</v>
      </c>
      <c r="HO357" s="561">
        <v>946</v>
      </c>
      <c r="HP357" s="561">
        <v>849</v>
      </c>
      <c r="HQ357" s="561">
        <v>0</v>
      </c>
      <c r="HR357" s="561">
        <v>0</v>
      </c>
      <c r="HS357" s="561">
        <v>0</v>
      </c>
      <c r="HT357" s="561">
        <v>281</v>
      </c>
      <c r="HU357" s="561">
        <v>0</v>
      </c>
      <c r="HV357" s="561">
        <v>0</v>
      </c>
      <c r="HW357" s="561">
        <v>195</v>
      </c>
      <c r="HX357" s="561">
        <v>281</v>
      </c>
      <c r="HY357" s="561">
        <v>169</v>
      </c>
      <c r="HZ357" s="561">
        <v>86</v>
      </c>
      <c r="IA357" s="561">
        <v>0</v>
      </c>
      <c r="IB357" s="561">
        <v>0</v>
      </c>
      <c r="IC357" s="561">
        <v>0</v>
      </c>
      <c r="ID357" s="561">
        <v>0</v>
      </c>
      <c r="IE357" s="561">
        <v>0</v>
      </c>
      <c r="IF357" s="561">
        <v>0</v>
      </c>
      <c r="IG357" s="561">
        <v>0</v>
      </c>
      <c r="IH357" s="561">
        <v>-1</v>
      </c>
      <c r="II357" s="561">
        <v>2806</v>
      </c>
      <c r="IJ357" s="561">
        <v>325</v>
      </c>
      <c r="IK357" s="561">
        <v>5553</v>
      </c>
      <c r="IL357" s="561">
        <v>0</v>
      </c>
      <c r="IM357" s="561">
        <v>0</v>
      </c>
      <c r="IN357" s="561">
        <v>0</v>
      </c>
      <c r="IO357" s="561">
        <v>0</v>
      </c>
      <c r="IP357" s="561">
        <v>-1281</v>
      </c>
      <c r="IQ357" s="561">
        <v>0</v>
      </c>
      <c r="IR357" s="561">
        <v>0</v>
      </c>
      <c r="IS357" s="561">
        <v>398</v>
      </c>
      <c r="IT357" s="561">
        <v>0</v>
      </c>
      <c r="IU357" s="561">
        <v>0</v>
      </c>
      <c r="IV357" s="561">
        <v>0</v>
      </c>
      <c r="IW357" s="561">
        <v>3172</v>
      </c>
      <c r="IX357" s="561">
        <v>1660</v>
      </c>
      <c r="IY357" s="561">
        <v>6399</v>
      </c>
      <c r="IZ357" s="561">
        <v>2279</v>
      </c>
      <c r="JA357" s="561">
        <v>0</v>
      </c>
      <c r="JB357" s="561">
        <v>0</v>
      </c>
      <c r="JC357" s="561">
        <v>2806</v>
      </c>
      <c r="JD357" s="561">
        <v>-1281</v>
      </c>
      <c r="JE357" s="561">
        <v>15433</v>
      </c>
      <c r="JF357" s="561">
        <v>14071</v>
      </c>
      <c r="JG357" s="561">
        <v>0</v>
      </c>
      <c r="JH357" s="561">
        <v>0</v>
      </c>
      <c r="JI357" s="561">
        <v>0</v>
      </c>
      <c r="JJ357" s="561">
        <v>0</v>
      </c>
      <c r="JK357" s="561">
        <v>2501</v>
      </c>
      <c r="JL357" s="561">
        <v>0</v>
      </c>
      <c r="JM357" s="561">
        <v>0</v>
      </c>
      <c r="JN357" s="561">
        <v>0</v>
      </c>
      <c r="JO357" s="561">
        <v>53</v>
      </c>
      <c r="JP357" s="561">
        <v>0</v>
      </c>
      <c r="JQ357" s="561">
        <v>0</v>
      </c>
      <c r="JR357" s="561">
        <v>0</v>
      </c>
      <c r="JS357" s="561">
        <v>0</v>
      </c>
      <c r="JT357" s="561">
        <v>0</v>
      </c>
      <c r="JU357" s="561">
        <v>0</v>
      </c>
      <c r="JV357" s="561">
        <v>32058</v>
      </c>
      <c r="JW357" s="561">
        <v>0</v>
      </c>
      <c r="JX357" s="561">
        <v>301</v>
      </c>
      <c r="JY357" s="561">
        <v>0</v>
      </c>
      <c r="JZ357" s="561">
        <v>0</v>
      </c>
      <c r="KA357" s="561">
        <v>0</v>
      </c>
      <c r="KB357" s="561">
        <v>-25</v>
      </c>
      <c r="KC357" s="561">
        <v>498</v>
      </c>
      <c r="KD357" s="561">
        <v>0</v>
      </c>
      <c r="KE357" s="561">
        <v>193</v>
      </c>
      <c r="KF357" s="561">
        <v>0</v>
      </c>
      <c r="KG357" s="561">
        <v>33025</v>
      </c>
      <c r="KH357" s="561">
        <v>-3205</v>
      </c>
      <c r="KI357" s="561">
        <v>0</v>
      </c>
      <c r="KJ357" s="561">
        <v>0</v>
      </c>
      <c r="KK357" s="561">
        <v>0</v>
      </c>
      <c r="KL357" s="561">
        <v>-13102</v>
      </c>
      <c r="KM357" s="561">
        <v>0</v>
      </c>
      <c r="KN357" s="561">
        <v>-64</v>
      </c>
      <c r="KO357" s="561">
        <v>0</v>
      </c>
      <c r="KP357" s="561">
        <v>0</v>
      </c>
      <c r="KQ357" s="561">
        <v>0</v>
      </c>
      <c r="KR357" s="561">
        <v>16654</v>
      </c>
      <c r="KS357" s="561">
        <v>0</v>
      </c>
      <c r="KT357" s="561">
        <v>-3772</v>
      </c>
      <c r="KU357" s="561">
        <v>12882</v>
      </c>
      <c r="KV357" s="561">
        <v>0</v>
      </c>
      <c r="KW357" s="561">
        <v>0</v>
      </c>
      <c r="KX357" s="561">
        <v>0</v>
      </c>
      <c r="KY357" s="561">
        <v>0</v>
      </c>
      <c r="KZ357" s="561">
        <v>2425</v>
      </c>
      <c r="LA357" s="561">
        <v>-123</v>
      </c>
      <c r="LB357" s="561">
        <v>-79</v>
      </c>
      <c r="LC357" s="561">
        <v>0</v>
      </c>
      <c r="LD357" s="561">
        <v>-4653</v>
      </c>
      <c r="LE357" s="561">
        <v>33</v>
      </c>
      <c r="LF357" s="561">
        <v>0</v>
      </c>
      <c r="LG357" s="561">
        <v>10485</v>
      </c>
      <c r="LH357" s="561">
        <v>0</v>
      </c>
      <c r="LI357" s="561">
        <v>0</v>
      </c>
      <c r="LJ357" s="561">
        <v>0</v>
      </c>
      <c r="LK357" s="561">
        <v>0</v>
      </c>
      <c r="LL357" s="561">
        <v>21947</v>
      </c>
      <c r="LM357" s="561">
        <v>5027</v>
      </c>
      <c r="LN357" s="561">
        <v>0</v>
      </c>
      <c r="LO357" s="561">
        <v>0</v>
      </c>
      <c r="LP357" s="561">
        <v>0</v>
      </c>
      <c r="LQ357" s="561">
        <v>0</v>
      </c>
      <c r="LR357" s="561">
        <v>24372</v>
      </c>
      <c r="LS357" s="561">
        <v>4904</v>
      </c>
      <c r="LT357" s="561">
        <v>0</v>
      </c>
      <c r="LU357" s="561">
        <v>0</v>
      </c>
      <c r="LV357" s="561">
        <v>0</v>
      </c>
      <c r="LW357" s="561">
        <v>0</v>
      </c>
      <c r="LX357" s="561">
        <v>0</v>
      </c>
      <c r="LY357" s="561">
        <v>0</v>
      </c>
      <c r="LZ357" s="561">
        <v>0</v>
      </c>
      <c r="MA357" s="561">
        <v>0</v>
      </c>
      <c r="MB357" s="561">
        <v>0</v>
      </c>
      <c r="MC357" s="561">
        <v>0</v>
      </c>
      <c r="MD357" s="561">
        <v>0</v>
      </c>
      <c r="ME357" s="561">
        <v>0</v>
      </c>
      <c r="MF357" s="561">
        <v>0</v>
      </c>
      <c r="MG357" s="561">
        <v>0</v>
      </c>
      <c r="MH357" s="561">
        <v>2270</v>
      </c>
      <c r="MI357" s="561">
        <v>3658</v>
      </c>
      <c r="MJ357" s="561">
        <v>5928</v>
      </c>
      <c r="MK357" s="561">
        <v>0</v>
      </c>
      <c r="ML357" s="561">
        <v>0</v>
      </c>
      <c r="MM357" s="561">
        <v>5861</v>
      </c>
      <c r="MN357" s="561">
        <v>17128</v>
      </c>
      <c r="MO357" s="561">
        <v>1383</v>
      </c>
      <c r="MP357" s="561">
        <v>0</v>
      </c>
      <c r="MQ357" s="561">
        <v>0</v>
      </c>
      <c r="MR357" s="561">
        <v>398</v>
      </c>
      <c r="MS357" s="561">
        <v>0</v>
      </c>
      <c r="MT357" s="561">
        <v>0</v>
      </c>
      <c r="MU357" s="561">
        <v>0</v>
      </c>
      <c r="MV357" s="561">
        <v>3172</v>
      </c>
      <c r="MW357" s="561">
        <v>1660</v>
      </c>
      <c r="MX357" s="561">
        <v>6399</v>
      </c>
      <c r="MY357" s="561">
        <v>2279</v>
      </c>
      <c r="MZ357" s="561">
        <v>0</v>
      </c>
      <c r="NA357" s="561">
        <v>0</v>
      </c>
      <c r="NB357" s="561">
        <v>2806</v>
      </c>
      <c r="NC357" s="561">
        <v>-1281</v>
      </c>
      <c r="ND357" s="561">
        <v>15433</v>
      </c>
      <c r="NE357" s="561">
        <v>0</v>
      </c>
      <c r="NF357" s="561">
        <v>0</v>
      </c>
      <c r="NG357" s="561">
        <v>0</v>
      </c>
      <c r="NH357" s="561">
        <v>0</v>
      </c>
      <c r="NI357" s="561">
        <v>0</v>
      </c>
      <c r="NJ357" s="561">
        <v>0</v>
      </c>
      <c r="NK357" s="561">
        <v>0</v>
      </c>
      <c r="NL357" s="561">
        <v>0</v>
      </c>
      <c r="NM357" s="561">
        <v>0</v>
      </c>
      <c r="NN357" s="561">
        <v>0</v>
      </c>
      <c r="NO357" s="561">
        <v>0</v>
      </c>
      <c r="NP357" s="561">
        <v>0</v>
      </c>
      <c r="NQ357" s="561">
        <v>0</v>
      </c>
      <c r="NR357" s="561">
        <v>0</v>
      </c>
      <c r="NS357" s="561">
        <v>0</v>
      </c>
      <c r="NT357" s="561">
        <v>0</v>
      </c>
      <c r="NU357" s="561">
        <v>-677</v>
      </c>
      <c r="NV357" s="561">
        <v>0</v>
      </c>
      <c r="NW357" s="561">
        <v>0</v>
      </c>
      <c r="NX357" s="561">
        <v>0</v>
      </c>
      <c r="NY357" s="561">
        <v>0</v>
      </c>
      <c r="NZ357" s="561">
        <v>0</v>
      </c>
      <c r="OA357" s="561">
        <v>0</v>
      </c>
      <c r="OB357" s="561">
        <v>0</v>
      </c>
      <c r="OC357" s="561">
        <v>0</v>
      </c>
      <c r="OD357" s="561">
        <v>0</v>
      </c>
      <c r="OE357" s="561">
        <v>0</v>
      </c>
      <c r="OF357" s="561">
        <v>0</v>
      </c>
      <c r="OG357" s="561">
        <v>0</v>
      </c>
      <c r="OH357" s="561">
        <v>0</v>
      </c>
      <c r="OI357" s="561">
        <v>0</v>
      </c>
      <c r="OJ357" s="561">
        <v>0</v>
      </c>
      <c r="OK357" s="561">
        <v>0</v>
      </c>
      <c r="OL357" s="561">
        <v>0</v>
      </c>
      <c r="OM357" s="561">
        <v>0</v>
      </c>
      <c r="ON357" s="561">
        <v>0</v>
      </c>
      <c r="OO357" s="561">
        <v>0</v>
      </c>
      <c r="OP357" s="561">
        <v>0</v>
      </c>
      <c r="OQ357" s="561">
        <v>0</v>
      </c>
      <c r="OR357" s="561">
        <v>0</v>
      </c>
      <c r="OS357" s="561">
        <v>0</v>
      </c>
      <c r="OT357" s="561">
        <v>0</v>
      </c>
      <c r="OU357" s="561">
        <v>0</v>
      </c>
      <c r="OV357" s="561">
        <v>0</v>
      </c>
      <c r="OW357" s="561">
        <v>0</v>
      </c>
      <c r="OX357" s="561">
        <v>0</v>
      </c>
      <c r="OY357" s="561">
        <v>0</v>
      </c>
      <c r="OZ357" s="561">
        <v>0</v>
      </c>
      <c r="PA357" s="561">
        <v>0</v>
      </c>
      <c r="PB357" s="561">
        <v>0</v>
      </c>
      <c r="PC357" s="561">
        <v>0</v>
      </c>
      <c r="PD357" s="561">
        <v>0</v>
      </c>
      <c r="PE357" s="561">
        <v>0</v>
      </c>
      <c r="PF357" s="561">
        <v>0</v>
      </c>
      <c r="PG357" s="561">
        <v>0</v>
      </c>
      <c r="PH357" s="561">
        <v>0</v>
      </c>
      <c r="PI357" s="561">
        <v>0</v>
      </c>
      <c r="PJ357" s="561">
        <v>0</v>
      </c>
    </row>
    <row r="358" spans="1:426" ht="14" x14ac:dyDescent="0.3">
      <c r="A358" t="s">
        <v>3514</v>
      </c>
      <c r="B358" t="s">
        <v>3515</v>
      </c>
      <c r="C358" t="s">
        <v>4675</v>
      </c>
      <c r="E358" t="s">
        <v>385</v>
      </c>
      <c r="F358" s="561">
        <v>22007</v>
      </c>
      <c r="G358" s="561">
        <v>7850</v>
      </c>
      <c r="H358" s="561">
        <v>10830</v>
      </c>
      <c r="I358" s="561">
        <v>17306</v>
      </c>
      <c r="J358" s="561">
        <v>3032</v>
      </c>
      <c r="K358" s="561">
        <v>3415</v>
      </c>
      <c r="L358" s="561">
        <v>64440</v>
      </c>
      <c r="M358" s="561">
        <v>216</v>
      </c>
      <c r="N358" s="561">
        <v>39.340000000000003</v>
      </c>
      <c r="O358" s="561">
        <v>-614.51</v>
      </c>
      <c r="P358" s="561">
        <v>23.47</v>
      </c>
      <c r="Q358" s="561">
        <v>0</v>
      </c>
      <c r="R358" s="561">
        <v>141.30000000000001</v>
      </c>
      <c r="S358" s="561">
        <v>84.05</v>
      </c>
      <c r="T358" s="561">
        <v>2958.01</v>
      </c>
      <c r="U358" s="561">
        <v>197.29</v>
      </c>
      <c r="V358" s="561">
        <v>1519.11</v>
      </c>
      <c r="W358" s="561">
        <v>0</v>
      </c>
      <c r="X358" s="561">
        <v>0</v>
      </c>
      <c r="Y358" s="561">
        <v>177.92</v>
      </c>
      <c r="Z358" s="561">
        <v>51.73</v>
      </c>
      <c r="AA358" s="561">
        <v>-538.11</v>
      </c>
      <c r="AB358" s="561">
        <v>-39.26</v>
      </c>
      <c r="AC358" s="561">
        <v>1051.55</v>
      </c>
      <c r="AD358" s="561">
        <v>0</v>
      </c>
      <c r="AE358" s="561">
        <v>171.36</v>
      </c>
      <c r="AF358" s="561">
        <v>0</v>
      </c>
      <c r="AG358" s="561">
        <v>1.88</v>
      </c>
      <c r="AH358" s="561">
        <v>-37.08</v>
      </c>
      <c r="AI358" s="561">
        <v>0</v>
      </c>
      <c r="AJ358" s="561">
        <v>5188.05</v>
      </c>
      <c r="AK358" s="561">
        <v>588</v>
      </c>
      <c r="AL358" s="561">
        <v>0</v>
      </c>
      <c r="AM358" s="561">
        <v>0</v>
      </c>
      <c r="AN358" s="561">
        <v>0</v>
      </c>
      <c r="AO358" s="561">
        <v>0</v>
      </c>
      <c r="AP358" s="561">
        <v>0</v>
      </c>
      <c r="AQ358" s="561">
        <v>0</v>
      </c>
      <c r="AR358" s="561">
        <v>0</v>
      </c>
      <c r="AS358" s="561">
        <v>1446.19</v>
      </c>
      <c r="AT358" s="561">
        <v>411.86</v>
      </c>
      <c r="AU358" s="561">
        <v>0</v>
      </c>
      <c r="AV358" s="561">
        <v>0</v>
      </c>
      <c r="AW358" s="561">
        <v>0</v>
      </c>
      <c r="AX358" s="561">
        <v>460.26</v>
      </c>
      <c r="AY358" s="561">
        <v>37172.04</v>
      </c>
      <c r="AZ358" s="561">
        <v>977.01</v>
      </c>
      <c r="BA358" s="561">
        <v>4611.57</v>
      </c>
      <c r="BB358" s="561">
        <v>358.22</v>
      </c>
      <c r="BC358" s="561">
        <v>4351.8599999999997</v>
      </c>
      <c r="BD358" s="561">
        <v>2467.5100000000002</v>
      </c>
      <c r="BE358" s="561">
        <v>874.55</v>
      </c>
      <c r="BF358" s="561">
        <v>51273.02</v>
      </c>
      <c r="BG358" s="561">
        <v>3340</v>
      </c>
      <c r="BH358" s="561">
        <v>5296</v>
      </c>
      <c r="BI358" s="561">
        <v>10193</v>
      </c>
      <c r="BJ358" s="561">
        <v>221</v>
      </c>
      <c r="BK358" s="561">
        <v>98</v>
      </c>
      <c r="BL358" s="561">
        <v>275</v>
      </c>
      <c r="BM358" s="561">
        <v>1552</v>
      </c>
      <c r="BN358" s="561">
        <v>2493</v>
      </c>
      <c r="BO358" s="561">
        <v>1320</v>
      </c>
      <c r="BP358" s="561">
        <v>4481</v>
      </c>
      <c r="BQ358" s="561">
        <v>1283</v>
      </c>
      <c r="BR358" s="561">
        <v>129</v>
      </c>
      <c r="BS358" s="561">
        <v>0</v>
      </c>
      <c r="BT358" s="561">
        <v>1399</v>
      </c>
      <c r="BU358" s="561">
        <v>18</v>
      </c>
      <c r="BV358" s="561">
        <v>689</v>
      </c>
      <c r="BW358" s="561">
        <v>0</v>
      </c>
      <c r="BX358" s="561">
        <v>0</v>
      </c>
      <c r="BY358" s="561">
        <v>4697</v>
      </c>
      <c r="BZ358" s="561">
        <v>34144</v>
      </c>
      <c r="CA358" s="561">
        <v>508</v>
      </c>
      <c r="CB358" s="561">
        <v>251</v>
      </c>
      <c r="CC358" s="561">
        <v>251</v>
      </c>
      <c r="CD358" s="561">
        <v>251</v>
      </c>
      <c r="CE358" s="561">
        <v>32</v>
      </c>
      <c r="CF358" s="561">
        <v>33</v>
      </c>
      <c r="CG358" s="561">
        <v>1548</v>
      </c>
      <c r="CH358" s="561">
        <v>32</v>
      </c>
      <c r="CI358" s="561">
        <v>33</v>
      </c>
      <c r="CJ358" s="561">
        <v>1548</v>
      </c>
      <c r="CK358" s="561">
        <v>33</v>
      </c>
      <c r="CL358" s="561">
        <v>1548</v>
      </c>
      <c r="CM358" s="561">
        <v>519</v>
      </c>
      <c r="CN358" s="561">
        <v>519</v>
      </c>
      <c r="CO358" s="561">
        <v>519</v>
      </c>
      <c r="CP358" s="561">
        <v>519</v>
      </c>
      <c r="CQ358" s="561">
        <v>0</v>
      </c>
      <c r="CR358" s="561">
        <v>43</v>
      </c>
      <c r="CS358" s="561">
        <v>43</v>
      </c>
      <c r="CT358" s="561">
        <v>1548</v>
      </c>
      <c r="CU358" s="561">
        <v>508</v>
      </c>
      <c r="CV358" s="561">
        <v>558</v>
      </c>
      <c r="CW358" s="561">
        <v>32</v>
      </c>
      <c r="CX358" s="561">
        <v>0</v>
      </c>
      <c r="CY358" s="561">
        <v>185</v>
      </c>
      <c r="CZ358" s="561">
        <v>10553</v>
      </c>
      <c r="DA358" s="561">
        <v>197</v>
      </c>
      <c r="DB358" s="561">
        <v>0</v>
      </c>
      <c r="DC358" s="561">
        <v>0</v>
      </c>
      <c r="DD358" s="561">
        <v>0</v>
      </c>
      <c r="DE358" s="561">
        <v>0</v>
      </c>
      <c r="DF358" s="561">
        <v>0</v>
      </c>
      <c r="DG358" s="561">
        <v>0</v>
      </c>
      <c r="DH358" s="561">
        <v>0</v>
      </c>
      <c r="DI358" s="561">
        <v>0</v>
      </c>
      <c r="DJ358" s="561">
        <v>0</v>
      </c>
      <c r="DK358" s="561">
        <v>9</v>
      </c>
      <c r="DL358" s="561">
        <v>4225</v>
      </c>
      <c r="DM358" s="561">
        <v>1</v>
      </c>
      <c r="DN358" s="561">
        <v>1002</v>
      </c>
      <c r="DO358" s="561">
        <v>168</v>
      </c>
      <c r="DP358" s="561">
        <v>-149</v>
      </c>
      <c r="DQ358" s="561">
        <v>1</v>
      </c>
      <c r="DR358" s="561">
        <v>1002</v>
      </c>
      <c r="DS358" s="561">
        <v>-91</v>
      </c>
      <c r="DT358" s="561">
        <v>258</v>
      </c>
      <c r="DU358" s="561">
        <v>6417</v>
      </c>
      <c r="DV358" s="561">
        <v>0</v>
      </c>
      <c r="DW358" s="561">
        <v>0</v>
      </c>
      <c r="DX358" s="561">
        <v>0</v>
      </c>
      <c r="DY358" s="561">
        <v>0</v>
      </c>
      <c r="DZ358" s="561">
        <v>11</v>
      </c>
      <c r="EA358" s="561">
        <v>0</v>
      </c>
      <c r="EB358" s="561">
        <v>0</v>
      </c>
      <c r="EC358" s="561">
        <v>6437</v>
      </c>
      <c r="ED358" s="561">
        <v>279</v>
      </c>
      <c r="EE358" s="561">
        <v>55594</v>
      </c>
      <c r="EF358" s="561">
        <v>1438</v>
      </c>
      <c r="EG358" s="561">
        <v>6357</v>
      </c>
      <c r="EH358" s="561">
        <v>6836</v>
      </c>
      <c r="EI358" s="561">
        <v>0</v>
      </c>
      <c r="EJ358" s="561">
        <v>0</v>
      </c>
      <c r="EK358" s="561">
        <v>0</v>
      </c>
      <c r="EL358" s="561">
        <v>0</v>
      </c>
      <c r="EM358" s="561">
        <v>0</v>
      </c>
      <c r="EN358" s="561">
        <v>15564</v>
      </c>
      <c r="EO358" s="561">
        <v>29137</v>
      </c>
      <c r="EP358" s="561">
        <v>0</v>
      </c>
      <c r="EQ358" s="561">
        <v>0</v>
      </c>
      <c r="ER358" s="561">
        <v>10529</v>
      </c>
      <c r="ES358" s="561" t="s">
        <v>4565</v>
      </c>
      <c r="ET358" s="561">
        <v>0</v>
      </c>
      <c r="EU358" s="561">
        <v>0</v>
      </c>
      <c r="EV358" s="561">
        <v>0</v>
      </c>
      <c r="EW358" s="561">
        <v>0</v>
      </c>
      <c r="EX358" s="561">
        <v>10785</v>
      </c>
      <c r="EY358" s="561">
        <v>506</v>
      </c>
      <c r="EZ358" s="561">
        <v>3704</v>
      </c>
      <c r="FA358" s="561">
        <v>0</v>
      </c>
      <c r="FB358" s="561">
        <v>0</v>
      </c>
      <c r="FC358" s="561">
        <v>10</v>
      </c>
      <c r="FD358" s="561">
        <v>0</v>
      </c>
      <c r="FE358" s="561">
        <v>88.55</v>
      </c>
      <c r="FF358" s="561">
        <v>0</v>
      </c>
      <c r="FG358" s="561">
        <v>74.5</v>
      </c>
      <c r="FH358" s="561">
        <v>0</v>
      </c>
      <c r="FI358" s="561">
        <v>3.98</v>
      </c>
      <c r="FJ358" s="561">
        <v>0.15</v>
      </c>
      <c r="FK358" s="561">
        <v>1849.75</v>
      </c>
      <c r="FL358" s="561">
        <v>0</v>
      </c>
      <c r="FM358" s="561">
        <v>0</v>
      </c>
      <c r="FN358" s="561">
        <v>2159.1799999999998</v>
      </c>
      <c r="FO358" s="561">
        <v>4186.1099999999997</v>
      </c>
      <c r="FP358" s="561">
        <v>577</v>
      </c>
      <c r="FQ358" s="561">
        <v>193.8</v>
      </c>
      <c r="FR358" s="561">
        <v>432.02</v>
      </c>
      <c r="FS358" s="561">
        <v>0</v>
      </c>
      <c r="FT358" s="561">
        <v>411.52</v>
      </c>
      <c r="FU358" s="561">
        <v>1042.42</v>
      </c>
      <c r="FV358" s="561">
        <v>0</v>
      </c>
      <c r="FW358" s="561">
        <v>305.72000000000003</v>
      </c>
      <c r="FX358" s="561">
        <v>0</v>
      </c>
      <c r="FY358" s="561">
        <v>0</v>
      </c>
      <c r="FZ358" s="561">
        <v>0</v>
      </c>
      <c r="GA358" s="561">
        <v>0</v>
      </c>
      <c r="GB358" s="561">
        <v>0</v>
      </c>
      <c r="GC358" s="561">
        <v>108.41</v>
      </c>
      <c r="GD358" s="561">
        <v>0</v>
      </c>
      <c r="GE358" s="561">
        <v>201.24</v>
      </c>
      <c r="GF358" s="561">
        <v>0</v>
      </c>
      <c r="GG358" s="561">
        <v>0</v>
      </c>
      <c r="GH358" s="561">
        <v>0</v>
      </c>
      <c r="GI358" s="561">
        <v>0</v>
      </c>
      <c r="GJ358" s="561">
        <v>0</v>
      </c>
      <c r="GK358" s="561">
        <v>0</v>
      </c>
      <c r="GL358" s="561">
        <v>2374.63</v>
      </c>
      <c r="GM358" s="561">
        <v>4187.63</v>
      </c>
      <c r="GN358" s="561">
        <v>7006.33</v>
      </c>
      <c r="GO358" s="561">
        <v>0</v>
      </c>
      <c r="GP358" s="561">
        <v>1226.8499999999999</v>
      </c>
      <c r="GQ358" s="561">
        <v>0</v>
      </c>
      <c r="GR358" s="561">
        <v>0</v>
      </c>
      <c r="GS358" s="561">
        <v>17490.57</v>
      </c>
      <c r="GT358" s="561">
        <v>1504</v>
      </c>
      <c r="GU358" s="561">
        <v>0.61</v>
      </c>
      <c r="GV358" s="561">
        <v>531.67999999999995</v>
      </c>
      <c r="GW358" s="561">
        <v>0</v>
      </c>
      <c r="GX358" s="561">
        <v>1950.66</v>
      </c>
      <c r="GY358" s="561">
        <v>0</v>
      </c>
      <c r="GZ358" s="561">
        <v>796.83</v>
      </c>
      <c r="HA358" s="561">
        <v>21.35</v>
      </c>
      <c r="HB358" s="561">
        <v>-3556.9</v>
      </c>
      <c r="HC358" s="561">
        <v>-1854.71</v>
      </c>
      <c r="HD358" s="561">
        <v>-2110.48</v>
      </c>
      <c r="HE358" s="561">
        <v>1048</v>
      </c>
      <c r="HF358" s="561">
        <v>19566.2</v>
      </c>
      <c r="HG358" s="561">
        <v>3129</v>
      </c>
      <c r="HH358" s="561">
        <v>0</v>
      </c>
      <c r="HI358" s="561">
        <v>0</v>
      </c>
      <c r="HJ358" s="561">
        <v>0</v>
      </c>
      <c r="HK358" s="561">
        <v>0</v>
      </c>
      <c r="HL358" s="561">
        <v>0</v>
      </c>
      <c r="HM358" s="561">
        <v>0</v>
      </c>
      <c r="HN358" s="561">
        <v>0</v>
      </c>
      <c r="HO358" s="561">
        <v>2792.92</v>
      </c>
      <c r="HP358" s="561">
        <v>496.56</v>
      </c>
      <c r="HQ358" s="561">
        <v>0</v>
      </c>
      <c r="HR358" s="561">
        <v>0</v>
      </c>
      <c r="HS358" s="561">
        <v>0</v>
      </c>
      <c r="HT358" s="561">
        <v>237</v>
      </c>
      <c r="HU358" s="561">
        <v>0</v>
      </c>
      <c r="HV358" s="561">
        <v>-7.17</v>
      </c>
      <c r="HW358" s="561">
        <v>159.12</v>
      </c>
      <c r="HX358" s="561">
        <v>700.66</v>
      </c>
      <c r="HY358" s="561">
        <v>188.14</v>
      </c>
      <c r="HZ358" s="561">
        <v>-335.89</v>
      </c>
      <c r="IA358" s="561">
        <v>6</v>
      </c>
      <c r="IB358" s="561">
        <v>0</v>
      </c>
      <c r="IC358" s="561">
        <v>676.79</v>
      </c>
      <c r="ID358" s="561">
        <v>0</v>
      </c>
      <c r="IE358" s="561">
        <v>0</v>
      </c>
      <c r="IF358" s="561">
        <v>0</v>
      </c>
      <c r="IG358" s="561">
        <v>0</v>
      </c>
      <c r="IH358" s="561">
        <v>0</v>
      </c>
      <c r="II358" s="561">
        <v>4914.13</v>
      </c>
      <c r="IJ358" s="561">
        <v>0</v>
      </c>
      <c r="IK358" s="561">
        <v>872</v>
      </c>
      <c r="IL358" s="561">
        <v>18458</v>
      </c>
      <c r="IM358" s="561">
        <v>0</v>
      </c>
      <c r="IN358" s="561">
        <v>0</v>
      </c>
      <c r="IO358" s="561">
        <v>1787</v>
      </c>
      <c r="IP358" s="561">
        <v>5224.45</v>
      </c>
      <c r="IQ358" s="561">
        <v>0</v>
      </c>
      <c r="IR358" s="561">
        <v>64440</v>
      </c>
      <c r="IS358" s="561">
        <v>5188.05</v>
      </c>
      <c r="IT358" s="561">
        <v>51273.02</v>
      </c>
      <c r="IU358" s="561">
        <v>34144</v>
      </c>
      <c r="IV358" s="561">
        <v>10553</v>
      </c>
      <c r="IW358" s="561">
        <v>6437</v>
      </c>
      <c r="IX358" s="561">
        <v>4186.1099999999997</v>
      </c>
      <c r="IY358" s="561">
        <v>17490.57</v>
      </c>
      <c r="IZ358" s="561">
        <v>-2110.48</v>
      </c>
      <c r="JA358" s="561">
        <v>0</v>
      </c>
      <c r="JB358" s="561">
        <v>0</v>
      </c>
      <c r="JC358" s="561">
        <v>4914.13</v>
      </c>
      <c r="JD358" s="561">
        <v>5224.45</v>
      </c>
      <c r="JE358" s="561">
        <v>201739.85</v>
      </c>
      <c r="JF358" s="561">
        <v>10944</v>
      </c>
      <c r="JG358" s="561">
        <v>0</v>
      </c>
      <c r="JH358" s="561">
        <v>16684</v>
      </c>
      <c r="JI358" s="561">
        <v>0</v>
      </c>
      <c r="JJ358" s="561">
        <v>0</v>
      </c>
      <c r="JK358" s="561">
        <v>0</v>
      </c>
      <c r="JL358" s="561">
        <v>0</v>
      </c>
      <c r="JM358" s="561">
        <v>0</v>
      </c>
      <c r="JN358" s="561">
        <v>0</v>
      </c>
      <c r="JO358" s="561">
        <v>556.80999999999995</v>
      </c>
      <c r="JP358" s="561">
        <v>-723.9</v>
      </c>
      <c r="JQ358" s="561">
        <v>-711.9</v>
      </c>
      <c r="JR358" s="561">
        <v>0</v>
      </c>
      <c r="JS358" s="561">
        <v>0</v>
      </c>
      <c r="JT358" s="561">
        <v>223.92</v>
      </c>
      <c r="JU358" s="561">
        <v>0</v>
      </c>
      <c r="JV358" s="561">
        <v>228712.78</v>
      </c>
      <c r="JW358" s="561">
        <v>186.67</v>
      </c>
      <c r="JX358" s="561">
        <v>0</v>
      </c>
      <c r="JY358" s="561">
        <v>0</v>
      </c>
      <c r="JZ358" s="561">
        <v>0</v>
      </c>
      <c r="KA358" s="561">
        <v>-75305</v>
      </c>
      <c r="KB358" s="561">
        <v>0</v>
      </c>
      <c r="KC358" s="561">
        <v>48728</v>
      </c>
      <c r="KD358" s="561">
        <v>0</v>
      </c>
      <c r="KE358" s="561">
        <v>82537.59</v>
      </c>
      <c r="KF358" s="561">
        <v>0</v>
      </c>
      <c r="KG358" s="561">
        <v>284860.03999999998</v>
      </c>
      <c r="KH358" s="561">
        <v>-21098</v>
      </c>
      <c r="KI358" s="561">
        <v>0</v>
      </c>
      <c r="KJ358" s="561">
        <v>-441</v>
      </c>
      <c r="KK358" s="561">
        <v>0</v>
      </c>
      <c r="KL358" s="561">
        <v>-27849</v>
      </c>
      <c r="KM358" s="561">
        <v>0</v>
      </c>
      <c r="KN358" s="561">
        <v>0</v>
      </c>
      <c r="KO358" s="561">
        <v>0</v>
      </c>
      <c r="KP358" s="561">
        <v>0</v>
      </c>
      <c r="KQ358" s="561">
        <v>0</v>
      </c>
      <c r="KR358" s="561">
        <v>235472.04</v>
      </c>
      <c r="KS358" s="561">
        <v>0</v>
      </c>
      <c r="KT358" s="561">
        <v>-144513.57999999999</v>
      </c>
      <c r="KU358" s="561">
        <v>90958.46</v>
      </c>
      <c r="KV358" s="561">
        <v>0</v>
      </c>
      <c r="KW358" s="561">
        <v>0</v>
      </c>
      <c r="KX358" s="561">
        <v>-267</v>
      </c>
      <c r="KY358" s="561">
        <v>2558</v>
      </c>
      <c r="KZ358" s="561">
        <v>6667</v>
      </c>
      <c r="LA358" s="561">
        <v>0</v>
      </c>
      <c r="LB358" s="561">
        <v>-8494</v>
      </c>
      <c r="LC358" s="561">
        <v>0</v>
      </c>
      <c r="LD358" s="561">
        <v>0</v>
      </c>
      <c r="LE358" s="561">
        <v>273</v>
      </c>
      <c r="LF358" s="561">
        <v>-428.69</v>
      </c>
      <c r="LG358" s="561">
        <v>91267</v>
      </c>
      <c r="LH358" s="561">
        <v>0</v>
      </c>
      <c r="LI358" s="561">
        <v>0</v>
      </c>
      <c r="LJ358" s="561">
        <v>2534</v>
      </c>
      <c r="LK358" s="561">
        <v>1906</v>
      </c>
      <c r="LL358" s="561">
        <v>57870</v>
      </c>
      <c r="LM358" s="561">
        <v>11000</v>
      </c>
      <c r="LN358" s="561">
        <v>0</v>
      </c>
      <c r="LO358" s="561">
        <v>0</v>
      </c>
      <c r="LP358" s="561">
        <v>2267</v>
      </c>
      <c r="LQ358" s="561">
        <v>4464</v>
      </c>
      <c r="LR358" s="561">
        <v>64537</v>
      </c>
      <c r="LS358" s="561">
        <v>11000</v>
      </c>
      <c r="LT358" s="561">
        <v>0</v>
      </c>
      <c r="LU358" s="561">
        <v>0</v>
      </c>
      <c r="LV358" s="561">
        <v>0</v>
      </c>
      <c r="LW358" s="561">
        <v>773.92</v>
      </c>
      <c r="LX358" s="561">
        <v>0</v>
      </c>
      <c r="LY358" s="561">
        <v>312.83</v>
      </c>
      <c r="LZ358" s="561">
        <v>1086.75</v>
      </c>
      <c r="MA358" s="561">
        <v>0</v>
      </c>
      <c r="MB358" s="561">
        <v>0</v>
      </c>
      <c r="MC358" s="561">
        <v>70225</v>
      </c>
      <c r="MD358" s="561">
        <v>66521</v>
      </c>
      <c r="ME358" s="561">
        <v>3704</v>
      </c>
      <c r="MF358" s="561">
        <v>0</v>
      </c>
      <c r="MG358" s="561">
        <v>3704</v>
      </c>
      <c r="MH358" s="561">
        <v>4176</v>
      </c>
      <c r="MI358" s="561">
        <v>5151</v>
      </c>
      <c r="MJ358" s="561">
        <v>9327</v>
      </c>
      <c r="MK358" s="561">
        <v>0</v>
      </c>
      <c r="ML358" s="561">
        <v>0</v>
      </c>
      <c r="MM358" s="561">
        <v>39638</v>
      </c>
      <c r="MN358" s="561">
        <v>0</v>
      </c>
      <c r="MO358" s="561">
        <v>24899</v>
      </c>
      <c r="MP358" s="561">
        <v>0</v>
      </c>
      <c r="MQ358" s="561">
        <v>64440</v>
      </c>
      <c r="MR358" s="561">
        <v>5188.05</v>
      </c>
      <c r="MS358" s="561">
        <v>51273.02</v>
      </c>
      <c r="MT358" s="561">
        <v>34144</v>
      </c>
      <c r="MU358" s="561">
        <v>10553</v>
      </c>
      <c r="MV358" s="561">
        <v>6437</v>
      </c>
      <c r="MW358" s="561">
        <v>4186.1099999999997</v>
      </c>
      <c r="MX358" s="561">
        <v>17490.57</v>
      </c>
      <c r="MY358" s="561">
        <v>-2110.48</v>
      </c>
      <c r="MZ358" s="561">
        <v>0</v>
      </c>
      <c r="NA358" s="561">
        <v>0</v>
      </c>
      <c r="NB358" s="561">
        <v>4914.13</v>
      </c>
      <c r="NC358" s="561">
        <v>5224.45</v>
      </c>
      <c r="ND358" s="561">
        <v>201739.85</v>
      </c>
      <c r="NE358" s="561">
        <v>0</v>
      </c>
      <c r="NF358" s="561">
        <v>0</v>
      </c>
      <c r="NG358" s="561">
        <v>0</v>
      </c>
      <c r="NH358" s="561">
        <v>0</v>
      </c>
      <c r="NI358" s="561">
        <v>0</v>
      </c>
      <c r="NJ358" s="561">
        <v>0</v>
      </c>
      <c r="NK358" s="561">
        <v>7.25</v>
      </c>
      <c r="NL358" s="561">
        <v>0</v>
      </c>
      <c r="NM358" s="561">
        <v>0</v>
      </c>
      <c r="NN358" s="561">
        <v>0</v>
      </c>
      <c r="NO358" s="561">
        <v>0</v>
      </c>
      <c r="NP358" s="561">
        <v>0</v>
      </c>
      <c r="NQ358" s="561">
        <v>-814.05</v>
      </c>
      <c r="NR358" s="561">
        <v>118.7</v>
      </c>
      <c r="NS358" s="561">
        <v>0</v>
      </c>
      <c r="NT358" s="561">
        <v>0</v>
      </c>
      <c r="NU358" s="561">
        <v>0</v>
      </c>
      <c r="NV358" s="561">
        <v>0</v>
      </c>
      <c r="NW358" s="561">
        <v>-723.9</v>
      </c>
      <c r="NX358" s="561">
        <v>0</v>
      </c>
      <c r="NY358" s="561">
        <v>-723.9</v>
      </c>
      <c r="NZ358" s="561">
        <v>0</v>
      </c>
      <c r="OA358" s="561">
        <v>0</v>
      </c>
      <c r="OB358" s="561">
        <v>0</v>
      </c>
      <c r="OC358" s="561">
        <v>0</v>
      </c>
      <c r="OD358" s="561">
        <v>0</v>
      </c>
      <c r="OE358" s="561">
        <v>0</v>
      </c>
      <c r="OF358" s="561">
        <v>0</v>
      </c>
      <c r="OG358" s="561">
        <v>-4.59</v>
      </c>
      <c r="OH358" s="561">
        <v>0</v>
      </c>
      <c r="OI358" s="561">
        <v>0</v>
      </c>
      <c r="OJ358" s="561">
        <v>0</v>
      </c>
      <c r="OK358" s="561">
        <v>0</v>
      </c>
      <c r="OL358" s="561">
        <v>0</v>
      </c>
      <c r="OM358" s="561">
        <v>2.4500000000000002</v>
      </c>
      <c r="ON358" s="561">
        <v>-279.05</v>
      </c>
      <c r="OO358" s="561">
        <v>0</v>
      </c>
      <c r="OP358" s="561">
        <v>-430.71</v>
      </c>
      <c r="OQ358" s="561">
        <v>0</v>
      </c>
      <c r="OR358" s="561">
        <v>0</v>
      </c>
      <c r="OS358" s="561">
        <v>0</v>
      </c>
      <c r="OT358" s="561">
        <v>0</v>
      </c>
      <c r="OU358" s="561">
        <v>0</v>
      </c>
      <c r="OV358" s="561">
        <v>598</v>
      </c>
      <c r="OW358" s="561">
        <v>0</v>
      </c>
      <c r="OX358" s="561">
        <v>-711.9</v>
      </c>
      <c r="OY358" s="561">
        <v>0</v>
      </c>
      <c r="OZ358" s="561">
        <v>0</v>
      </c>
      <c r="PA358" s="561">
        <v>0</v>
      </c>
      <c r="PB358" s="561">
        <v>0</v>
      </c>
      <c r="PC358" s="561">
        <v>0</v>
      </c>
      <c r="PD358" s="561">
        <v>0</v>
      </c>
      <c r="PE358" s="561">
        <v>0</v>
      </c>
      <c r="PF358" s="561">
        <v>0</v>
      </c>
      <c r="PG358" s="561">
        <v>0</v>
      </c>
      <c r="PH358" s="561">
        <v>0</v>
      </c>
      <c r="PI358" s="561">
        <v>0</v>
      </c>
      <c r="PJ358" s="561">
        <v>0</v>
      </c>
    </row>
    <row r="359" spans="1:426" ht="14" x14ac:dyDescent="0.3">
      <c r="A359" t="s">
        <v>3517</v>
      </c>
      <c r="B359" t="s">
        <v>3518</v>
      </c>
      <c r="C359" t="s">
        <v>3519</v>
      </c>
      <c r="E359" t="s">
        <v>384</v>
      </c>
      <c r="F359" s="561">
        <v>0</v>
      </c>
      <c r="G359" s="561">
        <v>0</v>
      </c>
      <c r="H359" s="561">
        <v>0</v>
      </c>
      <c r="I359" s="561">
        <v>0</v>
      </c>
      <c r="J359" s="561">
        <v>0</v>
      </c>
      <c r="K359" s="561">
        <v>0</v>
      </c>
      <c r="L359" s="561">
        <v>0</v>
      </c>
      <c r="M359" s="561">
        <v>0</v>
      </c>
      <c r="N359" s="561">
        <v>29</v>
      </c>
      <c r="O359" s="561">
        <v>0</v>
      </c>
      <c r="P359" s="561">
        <v>0</v>
      </c>
      <c r="Q359" s="561">
        <v>0</v>
      </c>
      <c r="R359" s="561">
        <v>0</v>
      </c>
      <c r="S359" s="561">
        <v>25</v>
      </c>
      <c r="T359" s="561">
        <v>57</v>
      </c>
      <c r="U359" s="561">
        <v>0</v>
      </c>
      <c r="V359" s="561">
        <v>0</v>
      </c>
      <c r="W359" s="561">
        <v>0</v>
      </c>
      <c r="X359" s="561">
        <v>0</v>
      </c>
      <c r="Y359" s="561">
        <v>0</v>
      </c>
      <c r="Z359" s="561">
        <v>42</v>
      </c>
      <c r="AA359" s="561">
        <v>-7</v>
      </c>
      <c r="AB359" s="561">
        <v>-1513</v>
      </c>
      <c r="AC359" s="561">
        <v>0</v>
      </c>
      <c r="AD359" s="561">
        <v>0</v>
      </c>
      <c r="AE359" s="561">
        <v>0</v>
      </c>
      <c r="AF359" s="561">
        <v>0</v>
      </c>
      <c r="AG359" s="561">
        <v>0</v>
      </c>
      <c r="AH359" s="561">
        <v>0</v>
      </c>
      <c r="AI359" s="561">
        <v>0</v>
      </c>
      <c r="AJ359" s="561">
        <v>-1367</v>
      </c>
      <c r="AK359" s="561">
        <v>5</v>
      </c>
      <c r="AL359" s="561">
        <v>0</v>
      </c>
      <c r="AM359" s="561">
        <v>0</v>
      </c>
      <c r="AN359" s="561">
        <v>0</v>
      </c>
      <c r="AO359" s="561">
        <v>0</v>
      </c>
      <c r="AP359" s="561">
        <v>0</v>
      </c>
      <c r="AQ359" s="561">
        <v>0</v>
      </c>
      <c r="AR359" s="561">
        <v>0</v>
      </c>
      <c r="AS359" s="561">
        <v>275</v>
      </c>
      <c r="AT359" s="561">
        <v>338</v>
      </c>
      <c r="AU359" s="561">
        <v>0</v>
      </c>
      <c r="AV359" s="561">
        <v>0</v>
      </c>
      <c r="AW359" s="561">
        <v>0</v>
      </c>
      <c r="AX359" s="561">
        <v>0</v>
      </c>
      <c r="AY359" s="561">
        <v>0</v>
      </c>
      <c r="AZ359" s="561">
        <v>0</v>
      </c>
      <c r="BA359" s="561">
        <v>0</v>
      </c>
      <c r="BB359" s="561">
        <v>0</v>
      </c>
      <c r="BC359" s="561">
        <v>0</v>
      </c>
      <c r="BD359" s="561">
        <v>0</v>
      </c>
      <c r="BE359" s="561">
        <v>0</v>
      </c>
      <c r="BF359" s="561">
        <v>0</v>
      </c>
      <c r="BG359" s="561">
        <v>0</v>
      </c>
      <c r="BH359" s="561">
        <v>0</v>
      </c>
      <c r="BI359" s="561">
        <v>0</v>
      </c>
      <c r="BJ359" s="561">
        <v>0</v>
      </c>
      <c r="BK359" s="561">
        <v>0</v>
      </c>
      <c r="BL359" s="561">
        <v>0</v>
      </c>
      <c r="BM359" s="561">
        <v>0</v>
      </c>
      <c r="BN359" s="561">
        <v>0</v>
      </c>
      <c r="BO359" s="561">
        <v>0</v>
      </c>
      <c r="BP359" s="561">
        <v>0</v>
      </c>
      <c r="BQ359" s="561">
        <v>0</v>
      </c>
      <c r="BR359" s="561">
        <v>0</v>
      </c>
      <c r="BS359" s="561">
        <v>0</v>
      </c>
      <c r="BT359" s="561">
        <v>0</v>
      </c>
      <c r="BU359" s="561">
        <v>0</v>
      </c>
      <c r="BV359" s="561">
        <v>0</v>
      </c>
      <c r="BW359" s="561">
        <v>0</v>
      </c>
      <c r="BX359" s="561">
        <v>0</v>
      </c>
      <c r="BY359" s="561">
        <v>0</v>
      </c>
      <c r="BZ359" s="561">
        <v>0</v>
      </c>
      <c r="CA359" s="561">
        <v>0</v>
      </c>
      <c r="CB359" s="561">
        <v>0</v>
      </c>
      <c r="CC359" s="561">
        <v>0</v>
      </c>
      <c r="CD359" s="561">
        <v>0</v>
      </c>
      <c r="CE359" s="561">
        <v>0</v>
      </c>
      <c r="CF359" s="561">
        <v>0</v>
      </c>
      <c r="CG359" s="561">
        <v>0</v>
      </c>
      <c r="CH359" s="561">
        <v>0</v>
      </c>
      <c r="CI359" s="561">
        <v>0</v>
      </c>
      <c r="CJ359" s="561">
        <v>0</v>
      </c>
      <c r="CK359" s="561">
        <v>0</v>
      </c>
      <c r="CL359" s="561">
        <v>0</v>
      </c>
      <c r="CM359" s="561">
        <v>0</v>
      </c>
      <c r="CN359" s="561">
        <v>0</v>
      </c>
      <c r="CO359" s="561">
        <v>0</v>
      </c>
      <c r="CP359" s="561">
        <v>0</v>
      </c>
      <c r="CQ359" s="561">
        <v>0</v>
      </c>
      <c r="CR359" s="561">
        <v>0</v>
      </c>
      <c r="CS359" s="561">
        <v>0</v>
      </c>
      <c r="CT359" s="561">
        <v>0</v>
      </c>
      <c r="CU359" s="561">
        <v>0</v>
      </c>
      <c r="CV359" s="561">
        <v>0</v>
      </c>
      <c r="CW359" s="561">
        <v>0</v>
      </c>
      <c r="CX359" s="561">
        <v>0</v>
      </c>
      <c r="CY359" s="561">
        <v>65</v>
      </c>
      <c r="CZ359" s="561">
        <v>65</v>
      </c>
      <c r="DA359" s="561">
        <v>0</v>
      </c>
      <c r="DB359" s="561">
        <v>0</v>
      </c>
      <c r="DC359" s="561">
        <v>0</v>
      </c>
      <c r="DD359" s="561">
        <v>0</v>
      </c>
      <c r="DE359" s="561">
        <v>0</v>
      </c>
      <c r="DF359" s="561">
        <v>0</v>
      </c>
      <c r="DG359" s="561">
        <v>0</v>
      </c>
      <c r="DH359" s="561">
        <v>838</v>
      </c>
      <c r="DI359" s="561">
        <v>0</v>
      </c>
      <c r="DJ359" s="561">
        <v>385</v>
      </c>
      <c r="DK359" s="561">
        <v>0</v>
      </c>
      <c r="DL359" s="561">
        <v>1269</v>
      </c>
      <c r="DM359" s="561">
        <v>39</v>
      </c>
      <c r="DN359" s="561">
        <v>0</v>
      </c>
      <c r="DO359" s="561">
        <v>115</v>
      </c>
      <c r="DP359" s="561">
        <v>-64</v>
      </c>
      <c r="DQ359" s="561">
        <v>35</v>
      </c>
      <c r="DR359" s="561">
        <v>0</v>
      </c>
      <c r="DS359" s="561">
        <v>1237</v>
      </c>
      <c r="DT359" s="561">
        <v>0</v>
      </c>
      <c r="DU359" s="561">
        <v>2631</v>
      </c>
      <c r="DV359" s="561">
        <v>204</v>
      </c>
      <c r="DW359" s="561">
        <v>0</v>
      </c>
      <c r="DX359" s="561">
        <v>0</v>
      </c>
      <c r="DY359" s="561">
        <v>599</v>
      </c>
      <c r="DZ359" s="561">
        <v>64</v>
      </c>
      <c r="EA359" s="561">
        <v>0</v>
      </c>
      <c r="EB359" s="561">
        <v>0</v>
      </c>
      <c r="EC359" s="561">
        <v>4721</v>
      </c>
      <c r="ED359" s="561">
        <v>130</v>
      </c>
      <c r="EE359" s="561">
        <v>0</v>
      </c>
      <c r="EF359" s="561">
        <v>0</v>
      </c>
      <c r="EG359" s="561">
        <v>0</v>
      </c>
      <c r="EH359" s="561">
        <v>0</v>
      </c>
      <c r="EI359" s="561">
        <v>0</v>
      </c>
      <c r="EJ359" s="561">
        <v>0</v>
      </c>
      <c r="EK359" s="561">
        <v>0</v>
      </c>
      <c r="EL359" s="561">
        <v>0</v>
      </c>
      <c r="EM359" s="561">
        <v>0</v>
      </c>
      <c r="EN359" s="561">
        <v>0</v>
      </c>
      <c r="EO359" s="561">
        <v>0</v>
      </c>
      <c r="EP359" s="561">
        <v>0</v>
      </c>
      <c r="EQ359" s="561">
        <v>0</v>
      </c>
      <c r="ER359" s="561">
        <v>0</v>
      </c>
      <c r="ES359" s="561" t="s">
        <v>4565</v>
      </c>
      <c r="ET359" s="561">
        <v>0</v>
      </c>
      <c r="EU359" s="561">
        <v>0</v>
      </c>
      <c r="EV359" s="561">
        <v>0</v>
      </c>
      <c r="EW359" s="561">
        <v>0</v>
      </c>
      <c r="EX359" s="561">
        <v>0</v>
      </c>
      <c r="EY359" s="561">
        <v>0</v>
      </c>
      <c r="EZ359" s="561">
        <v>0</v>
      </c>
      <c r="FA359" s="561">
        <v>0</v>
      </c>
      <c r="FB359" s="561">
        <v>0</v>
      </c>
      <c r="FC359" s="561">
        <v>0</v>
      </c>
      <c r="FD359" s="561">
        <v>272</v>
      </c>
      <c r="FE359" s="561">
        <v>0</v>
      </c>
      <c r="FF359" s="561">
        <v>162</v>
      </c>
      <c r="FG359" s="561">
        <v>0</v>
      </c>
      <c r="FH359" s="561">
        <v>0</v>
      </c>
      <c r="FI359" s="561">
        <v>85</v>
      </c>
      <c r="FJ359" s="561">
        <v>1638</v>
      </c>
      <c r="FK359" s="561">
        <v>834</v>
      </c>
      <c r="FL359" s="561">
        <v>6</v>
      </c>
      <c r="FM359" s="561">
        <v>0</v>
      </c>
      <c r="FN359" s="561">
        <v>0</v>
      </c>
      <c r="FO359" s="561">
        <v>2997</v>
      </c>
      <c r="FP359" s="561">
        <v>0</v>
      </c>
      <c r="FQ359" s="561">
        <v>40</v>
      </c>
      <c r="FR359" s="561">
        <v>0</v>
      </c>
      <c r="FS359" s="561">
        <v>0</v>
      </c>
      <c r="FT359" s="561">
        <v>185</v>
      </c>
      <c r="FU359" s="561">
        <v>380</v>
      </c>
      <c r="FV359" s="561">
        <v>113</v>
      </c>
      <c r="FW359" s="561">
        <v>170</v>
      </c>
      <c r="FX359" s="561">
        <v>0</v>
      </c>
      <c r="FY359" s="561">
        <v>0</v>
      </c>
      <c r="FZ359" s="561">
        <v>23</v>
      </c>
      <c r="GA359" s="561">
        <v>93</v>
      </c>
      <c r="GB359" s="561">
        <v>113</v>
      </c>
      <c r="GC359" s="561">
        <v>73</v>
      </c>
      <c r="GD359" s="561">
        <v>242</v>
      </c>
      <c r="GE359" s="561">
        <v>40</v>
      </c>
      <c r="GF359" s="561">
        <v>66</v>
      </c>
      <c r="GG359" s="561">
        <v>0</v>
      </c>
      <c r="GH359" s="561">
        <v>41</v>
      </c>
      <c r="GI359" s="561">
        <v>504</v>
      </c>
      <c r="GJ359" s="561">
        <v>0</v>
      </c>
      <c r="GK359" s="561">
        <v>0</v>
      </c>
      <c r="GL359" s="561">
        <v>1251</v>
      </c>
      <c r="GM359" s="561">
        <v>1758</v>
      </c>
      <c r="GN359" s="561">
        <v>0</v>
      </c>
      <c r="GO359" s="561">
        <v>0</v>
      </c>
      <c r="GP359" s="561">
        <v>360</v>
      </c>
      <c r="GQ359" s="561">
        <v>0</v>
      </c>
      <c r="GR359" s="561">
        <v>125</v>
      </c>
      <c r="GS359" s="561">
        <v>5577</v>
      </c>
      <c r="GT359" s="561">
        <v>28</v>
      </c>
      <c r="GU359" s="561">
        <v>225</v>
      </c>
      <c r="GV359" s="561">
        <v>1413</v>
      </c>
      <c r="GW359" s="561">
        <v>105</v>
      </c>
      <c r="GX359" s="561">
        <v>1311</v>
      </c>
      <c r="GY359" s="561">
        <v>0</v>
      </c>
      <c r="GZ359" s="561">
        <v>399</v>
      </c>
      <c r="HA359" s="561">
        <v>0</v>
      </c>
      <c r="HB359" s="561">
        <v>450</v>
      </c>
      <c r="HC359" s="561">
        <v>49</v>
      </c>
      <c r="HD359" s="561">
        <v>3952</v>
      </c>
      <c r="HE359" s="561">
        <v>273</v>
      </c>
      <c r="HF359" s="561">
        <v>12526</v>
      </c>
      <c r="HG359" s="561">
        <v>301</v>
      </c>
      <c r="HH359" s="561">
        <v>0</v>
      </c>
      <c r="HI359" s="561">
        <v>0</v>
      </c>
      <c r="HJ359" s="561">
        <v>0</v>
      </c>
      <c r="HK359" s="561">
        <v>0</v>
      </c>
      <c r="HL359" s="561">
        <v>0</v>
      </c>
      <c r="HM359" s="561">
        <v>0</v>
      </c>
      <c r="HN359" s="561">
        <v>0</v>
      </c>
      <c r="HO359" s="561">
        <v>2955</v>
      </c>
      <c r="HP359" s="561">
        <v>408</v>
      </c>
      <c r="HQ359" s="561">
        <v>0</v>
      </c>
      <c r="HR359" s="561">
        <v>0</v>
      </c>
      <c r="HS359" s="561">
        <v>362</v>
      </c>
      <c r="HT359" s="561">
        <v>74</v>
      </c>
      <c r="HU359" s="561">
        <v>0</v>
      </c>
      <c r="HV359" s="561">
        <v>0</v>
      </c>
      <c r="HW359" s="561">
        <v>296</v>
      </c>
      <c r="HX359" s="561">
        <v>93</v>
      </c>
      <c r="HY359" s="561">
        <v>116</v>
      </c>
      <c r="HZ359" s="561">
        <v>87</v>
      </c>
      <c r="IA359" s="561">
        <v>41</v>
      </c>
      <c r="IB359" s="561">
        <v>127</v>
      </c>
      <c r="IC359" s="561">
        <v>0</v>
      </c>
      <c r="ID359" s="561">
        <v>0</v>
      </c>
      <c r="IE359" s="561">
        <v>1696</v>
      </c>
      <c r="IF359" s="561">
        <v>0</v>
      </c>
      <c r="IG359" s="561">
        <v>0</v>
      </c>
      <c r="IH359" s="561">
        <v>68</v>
      </c>
      <c r="II359" s="561">
        <v>6323</v>
      </c>
      <c r="IJ359" s="561">
        <v>269</v>
      </c>
      <c r="IK359" s="561">
        <v>2349</v>
      </c>
      <c r="IL359" s="561">
        <v>4239</v>
      </c>
      <c r="IM359" s="561">
        <v>0</v>
      </c>
      <c r="IN359" s="561">
        <v>0</v>
      </c>
      <c r="IO359" s="561">
        <v>188</v>
      </c>
      <c r="IP359" s="561">
        <v>51</v>
      </c>
      <c r="IQ359" s="561">
        <v>17</v>
      </c>
      <c r="IR359" s="561">
        <v>0</v>
      </c>
      <c r="IS359" s="561">
        <v>-1367</v>
      </c>
      <c r="IT359" s="561">
        <v>0</v>
      </c>
      <c r="IU359" s="561">
        <v>0</v>
      </c>
      <c r="IV359" s="561">
        <v>65</v>
      </c>
      <c r="IW359" s="561">
        <v>4721</v>
      </c>
      <c r="IX359" s="561">
        <v>2997</v>
      </c>
      <c r="IY359" s="561">
        <v>5577</v>
      </c>
      <c r="IZ359" s="561">
        <v>3952</v>
      </c>
      <c r="JA359" s="561">
        <v>0</v>
      </c>
      <c r="JB359" s="561">
        <v>0</v>
      </c>
      <c r="JC359" s="561">
        <v>6323</v>
      </c>
      <c r="JD359" s="561">
        <v>51</v>
      </c>
      <c r="JE359" s="561">
        <v>22319</v>
      </c>
      <c r="JF359" s="561">
        <v>22166</v>
      </c>
      <c r="JG359" s="561">
        <v>974</v>
      </c>
      <c r="JH359" s="561">
        <v>0</v>
      </c>
      <c r="JI359" s="561">
        <v>0</v>
      </c>
      <c r="JJ359" s="561">
        <v>0</v>
      </c>
      <c r="JK359" s="561">
        <v>3803</v>
      </c>
      <c r="JL359" s="561">
        <v>0</v>
      </c>
      <c r="JM359" s="561">
        <v>0</v>
      </c>
      <c r="JN359" s="561">
        <v>0</v>
      </c>
      <c r="JO359" s="561">
        <v>0</v>
      </c>
      <c r="JP359" s="561">
        <v>-324</v>
      </c>
      <c r="JQ359" s="561">
        <v>0</v>
      </c>
      <c r="JR359" s="561">
        <v>-2</v>
      </c>
      <c r="JS359" s="561">
        <v>0</v>
      </c>
      <c r="JT359" s="561">
        <v>-17</v>
      </c>
      <c r="JU359" s="561">
        <v>0</v>
      </c>
      <c r="JV359" s="561">
        <v>48919</v>
      </c>
      <c r="JW359" s="561">
        <v>0</v>
      </c>
      <c r="JX359" s="561">
        <v>2884</v>
      </c>
      <c r="JY359" s="561">
        <v>0</v>
      </c>
      <c r="JZ359" s="561">
        <v>0</v>
      </c>
      <c r="KA359" s="561">
        <v>0</v>
      </c>
      <c r="KB359" s="561">
        <v>-80</v>
      </c>
      <c r="KC359" s="561">
        <v>84</v>
      </c>
      <c r="KD359" s="561">
        <v>0</v>
      </c>
      <c r="KE359" s="561">
        <v>3</v>
      </c>
      <c r="KF359" s="561">
        <v>0</v>
      </c>
      <c r="KG359" s="561">
        <v>51810</v>
      </c>
      <c r="KH359" s="561">
        <v>-3326</v>
      </c>
      <c r="KI359" s="561">
        <v>0</v>
      </c>
      <c r="KJ359" s="561">
        <v>0</v>
      </c>
      <c r="KK359" s="561">
        <v>0</v>
      </c>
      <c r="KL359" s="561">
        <v>-23148</v>
      </c>
      <c r="KM359" s="561">
        <v>0</v>
      </c>
      <c r="KN359" s="561">
        <v>0</v>
      </c>
      <c r="KO359" s="561">
        <v>0</v>
      </c>
      <c r="KP359" s="561">
        <v>0</v>
      </c>
      <c r="KQ359" s="561">
        <v>0</v>
      </c>
      <c r="KR359" s="561">
        <v>25336</v>
      </c>
      <c r="KS359" s="561">
        <v>0</v>
      </c>
      <c r="KT359" s="561">
        <v>-6355</v>
      </c>
      <c r="KU359" s="561">
        <v>18981</v>
      </c>
      <c r="KV359" s="561">
        <v>0</v>
      </c>
      <c r="KW359" s="561">
        <v>0</v>
      </c>
      <c r="KX359" s="561">
        <v>0</v>
      </c>
      <c r="KY359" s="561">
        <v>0</v>
      </c>
      <c r="KZ359" s="561">
        <v>4845</v>
      </c>
      <c r="LA359" s="561">
        <v>1108</v>
      </c>
      <c r="LB359" s="561">
        <v>-146</v>
      </c>
      <c r="LC359" s="561">
        <v>0</v>
      </c>
      <c r="LD359" s="561">
        <v>-8168</v>
      </c>
      <c r="LE359" s="561">
        <v>-81</v>
      </c>
      <c r="LF359" s="561">
        <v>0</v>
      </c>
      <c r="LG359" s="561">
        <v>16539</v>
      </c>
      <c r="LH359" s="561">
        <v>0</v>
      </c>
      <c r="LI359" s="561">
        <v>0</v>
      </c>
      <c r="LJ359" s="561">
        <v>0</v>
      </c>
      <c r="LK359" s="561">
        <v>0</v>
      </c>
      <c r="LL359" s="561">
        <v>23505</v>
      </c>
      <c r="LM359" s="561">
        <v>9916</v>
      </c>
      <c r="LN359" s="561">
        <v>0</v>
      </c>
      <c r="LO359" s="561">
        <v>0</v>
      </c>
      <c r="LP359" s="561">
        <v>0</v>
      </c>
      <c r="LQ359" s="561">
        <v>0</v>
      </c>
      <c r="LR359" s="561">
        <v>28350</v>
      </c>
      <c r="LS359" s="561">
        <v>11024</v>
      </c>
      <c r="LT359" s="561">
        <v>0</v>
      </c>
      <c r="LU359" s="561">
        <v>2609</v>
      </c>
      <c r="LV359" s="561">
        <v>1437</v>
      </c>
      <c r="LW359" s="561">
        <v>0</v>
      </c>
      <c r="LX359" s="561">
        <v>0</v>
      </c>
      <c r="LY359" s="561">
        <v>237</v>
      </c>
      <c r="LZ359" s="561">
        <v>4283</v>
      </c>
      <c r="MA359" s="561">
        <v>0</v>
      </c>
      <c r="MB359" s="561">
        <v>0</v>
      </c>
      <c r="MC359" s="561">
        <v>0</v>
      </c>
      <c r="MD359" s="561">
        <v>0</v>
      </c>
      <c r="ME359" s="561">
        <v>0</v>
      </c>
      <c r="MF359" s="561">
        <v>0</v>
      </c>
      <c r="MG359" s="561">
        <v>0</v>
      </c>
      <c r="MH359" s="561">
        <v>3370</v>
      </c>
      <c r="MI359" s="561">
        <v>4313</v>
      </c>
      <c r="MJ359" s="561">
        <v>7683</v>
      </c>
      <c r="MK359" s="561">
        <v>0</v>
      </c>
      <c r="ML359" s="561">
        <v>0</v>
      </c>
      <c r="MM359" s="561">
        <v>22231</v>
      </c>
      <c r="MN359" s="561">
        <v>3250</v>
      </c>
      <c r="MO359" s="561">
        <v>2869</v>
      </c>
      <c r="MP359" s="561">
        <v>0</v>
      </c>
      <c r="MQ359" s="561">
        <v>0</v>
      </c>
      <c r="MR359" s="561">
        <v>-1367</v>
      </c>
      <c r="MS359" s="561">
        <v>0</v>
      </c>
      <c r="MT359" s="561">
        <v>0</v>
      </c>
      <c r="MU359" s="561">
        <v>65</v>
      </c>
      <c r="MV359" s="561">
        <v>4721</v>
      </c>
      <c r="MW359" s="561">
        <v>2997</v>
      </c>
      <c r="MX359" s="561">
        <v>5577</v>
      </c>
      <c r="MY359" s="561">
        <v>3952</v>
      </c>
      <c r="MZ359" s="561">
        <v>0</v>
      </c>
      <c r="NA359" s="561">
        <v>0</v>
      </c>
      <c r="NB359" s="561">
        <v>6323</v>
      </c>
      <c r="NC359" s="561">
        <v>51</v>
      </c>
      <c r="ND359" s="561">
        <v>22319</v>
      </c>
      <c r="NE359" s="561">
        <v>0</v>
      </c>
      <c r="NF359" s="561">
        <v>0</v>
      </c>
      <c r="NG359" s="561">
        <v>0</v>
      </c>
      <c r="NH359" s="561">
        <v>0</v>
      </c>
      <c r="NI359" s="561">
        <v>0</v>
      </c>
      <c r="NJ359" s="561">
        <v>0</v>
      </c>
      <c r="NK359" s="561">
        <v>0</v>
      </c>
      <c r="NL359" s="561">
        <v>0</v>
      </c>
      <c r="NM359" s="561">
        <v>0</v>
      </c>
      <c r="NN359" s="561">
        <v>0</v>
      </c>
      <c r="NO359" s="561">
        <v>0</v>
      </c>
      <c r="NP359" s="561">
        <v>0</v>
      </c>
      <c r="NQ359" s="561">
        <v>0</v>
      </c>
      <c r="NR359" s="561">
        <v>0</v>
      </c>
      <c r="NS359" s="561">
        <v>-258</v>
      </c>
      <c r="NT359" s="561">
        <v>-68</v>
      </c>
      <c r="NU359" s="561">
        <v>0</v>
      </c>
      <c r="NV359" s="561">
        <v>0</v>
      </c>
      <c r="NW359" s="561">
        <v>-326</v>
      </c>
      <c r="NX359" s="561">
        <v>2</v>
      </c>
      <c r="NY359" s="561">
        <v>-324</v>
      </c>
      <c r="NZ359" s="561">
        <v>0</v>
      </c>
      <c r="OA359" s="561">
        <v>0</v>
      </c>
      <c r="OB359" s="561">
        <v>0</v>
      </c>
      <c r="OC359" s="561">
        <v>0</v>
      </c>
      <c r="OD359" s="561">
        <v>0</v>
      </c>
      <c r="OE359" s="561">
        <v>0</v>
      </c>
      <c r="OF359" s="561">
        <v>0</v>
      </c>
      <c r="OG359" s="561">
        <v>0</v>
      </c>
      <c r="OH359" s="561">
        <v>0</v>
      </c>
      <c r="OI359" s="561">
        <v>0</v>
      </c>
      <c r="OJ359" s="561">
        <v>0</v>
      </c>
      <c r="OK359" s="561">
        <v>0</v>
      </c>
      <c r="OL359" s="561">
        <v>0</v>
      </c>
      <c r="OM359" s="561">
        <v>0</v>
      </c>
      <c r="ON359" s="561">
        <v>0</v>
      </c>
      <c r="OO359" s="561">
        <v>0</v>
      </c>
      <c r="OP359" s="561">
        <v>0</v>
      </c>
      <c r="OQ359" s="561">
        <v>0</v>
      </c>
      <c r="OR359" s="561">
        <v>0</v>
      </c>
      <c r="OS359" s="561">
        <v>0</v>
      </c>
      <c r="OT359" s="561">
        <v>0</v>
      </c>
      <c r="OU359" s="561">
        <v>0</v>
      </c>
      <c r="OV359" s="561">
        <v>0</v>
      </c>
      <c r="OW359" s="561">
        <v>0</v>
      </c>
      <c r="OX359" s="561">
        <v>0</v>
      </c>
      <c r="OY359" s="561">
        <v>2</v>
      </c>
      <c r="OZ359" s="561">
        <v>0</v>
      </c>
      <c r="PA359" s="561">
        <v>0</v>
      </c>
      <c r="PB359" s="561">
        <v>0</v>
      </c>
      <c r="PC359" s="561">
        <v>0</v>
      </c>
      <c r="PD359" s="561">
        <v>2</v>
      </c>
      <c r="PE359" s="561">
        <v>0</v>
      </c>
      <c r="PF359" s="561">
        <v>0</v>
      </c>
      <c r="PG359" s="561">
        <v>0</v>
      </c>
      <c r="PH359" s="561">
        <v>0</v>
      </c>
      <c r="PI359" s="561">
        <v>0</v>
      </c>
      <c r="PJ359" s="561">
        <v>0</v>
      </c>
    </row>
    <row r="360" spans="1:426" ht="14" x14ac:dyDescent="0.3">
      <c r="A360" t="s">
        <v>3520</v>
      </c>
      <c r="B360" t="s">
        <v>3521</v>
      </c>
      <c r="C360" t="s">
        <v>4676</v>
      </c>
      <c r="E360" t="s">
        <v>385</v>
      </c>
      <c r="F360" s="561">
        <v>11597</v>
      </c>
      <c r="G360" s="561">
        <v>16174</v>
      </c>
      <c r="H360" s="561">
        <v>24894</v>
      </c>
      <c r="I360" s="561">
        <v>12848</v>
      </c>
      <c r="J360" s="561">
        <v>2627</v>
      </c>
      <c r="K360" s="561">
        <v>5968</v>
      </c>
      <c r="L360" s="561">
        <v>74108</v>
      </c>
      <c r="M360" s="561">
        <v>515</v>
      </c>
      <c r="N360" s="561">
        <v>0</v>
      </c>
      <c r="O360" s="561">
        <v>415</v>
      </c>
      <c r="P360" s="561">
        <v>1330</v>
      </c>
      <c r="Q360" s="561">
        <v>-473</v>
      </c>
      <c r="R360" s="561">
        <v>27</v>
      </c>
      <c r="S360" s="561">
        <v>1277</v>
      </c>
      <c r="T360" s="561">
        <v>0</v>
      </c>
      <c r="U360" s="561">
        <v>0</v>
      </c>
      <c r="V360" s="561">
        <v>0</v>
      </c>
      <c r="W360" s="561">
        <v>0</v>
      </c>
      <c r="X360" s="561">
        <v>0</v>
      </c>
      <c r="Y360" s="561">
        <v>162</v>
      </c>
      <c r="Z360" s="561">
        <v>0</v>
      </c>
      <c r="AA360" s="561">
        <v>-3364</v>
      </c>
      <c r="AB360" s="561">
        <v>-2428</v>
      </c>
      <c r="AC360" s="561">
        <v>3434</v>
      </c>
      <c r="AD360" s="561">
        <v>440</v>
      </c>
      <c r="AE360" s="561">
        <v>0</v>
      </c>
      <c r="AF360" s="561">
        <v>0</v>
      </c>
      <c r="AG360" s="561">
        <v>0</v>
      </c>
      <c r="AH360" s="561">
        <v>0</v>
      </c>
      <c r="AI360" s="561">
        <v>487</v>
      </c>
      <c r="AJ360" s="561">
        <v>1307</v>
      </c>
      <c r="AK360" s="561">
        <v>0</v>
      </c>
      <c r="AL360" s="561">
        <v>0</v>
      </c>
      <c r="AM360" s="561">
        <v>0</v>
      </c>
      <c r="AN360" s="561">
        <v>0</v>
      </c>
      <c r="AO360" s="561">
        <v>0</v>
      </c>
      <c r="AP360" s="561">
        <v>0</v>
      </c>
      <c r="AQ360" s="561">
        <v>0</v>
      </c>
      <c r="AR360" s="561">
        <v>0</v>
      </c>
      <c r="AS360" s="561">
        <v>1995</v>
      </c>
      <c r="AT360" s="561">
        <v>2417</v>
      </c>
      <c r="AU360" s="561">
        <v>0</v>
      </c>
      <c r="AV360" s="561">
        <v>0</v>
      </c>
      <c r="AW360" s="561">
        <v>0</v>
      </c>
      <c r="AX360" s="561">
        <v>254</v>
      </c>
      <c r="AY360" s="561">
        <v>26634</v>
      </c>
      <c r="AZ360" s="561">
        <v>488</v>
      </c>
      <c r="BA360" s="561">
        <v>5285</v>
      </c>
      <c r="BB360" s="561">
        <v>840</v>
      </c>
      <c r="BC360" s="561">
        <v>21137</v>
      </c>
      <c r="BD360" s="561">
        <v>0</v>
      </c>
      <c r="BE360" s="561">
        <v>848</v>
      </c>
      <c r="BF360" s="561">
        <v>55486</v>
      </c>
      <c r="BG360" s="561">
        <v>2854</v>
      </c>
      <c r="BH360" s="561">
        <v>5981.42</v>
      </c>
      <c r="BI360" s="561">
        <v>18099.689999999999</v>
      </c>
      <c r="BJ360" s="561">
        <v>54.64</v>
      </c>
      <c r="BK360" s="561">
        <v>415.68</v>
      </c>
      <c r="BL360" s="561">
        <v>616.44000000000005</v>
      </c>
      <c r="BM360" s="561">
        <v>4566.16</v>
      </c>
      <c r="BN360" s="561">
        <v>19285.330000000002</v>
      </c>
      <c r="BO360" s="561">
        <v>3089.56</v>
      </c>
      <c r="BP360" s="561">
        <v>3356.47</v>
      </c>
      <c r="BQ360" s="561">
        <v>4346.5600000000004</v>
      </c>
      <c r="BR360" s="561">
        <v>188.83</v>
      </c>
      <c r="BS360" s="561">
        <v>0</v>
      </c>
      <c r="BT360" s="561">
        <v>127.11</v>
      </c>
      <c r="BU360" s="561">
        <v>470</v>
      </c>
      <c r="BV360" s="561">
        <v>1360</v>
      </c>
      <c r="BW360" s="561">
        <v>420</v>
      </c>
      <c r="BX360" s="561">
        <v>1650</v>
      </c>
      <c r="BY360" s="561">
        <v>3228</v>
      </c>
      <c r="BZ360" s="561">
        <v>67255.89</v>
      </c>
      <c r="CA360" s="561">
        <v>0</v>
      </c>
      <c r="CB360" s="561">
        <v>952</v>
      </c>
      <c r="CC360" s="561">
        <v>484</v>
      </c>
      <c r="CD360" s="561">
        <v>60</v>
      </c>
      <c r="CE360" s="561">
        <v>106</v>
      </c>
      <c r="CF360" s="561">
        <v>84</v>
      </c>
      <c r="CG360" s="561">
        <v>10</v>
      </c>
      <c r="CH360" s="561">
        <v>167</v>
      </c>
      <c r="CI360" s="561">
        <v>120</v>
      </c>
      <c r="CJ360" s="561">
        <v>39</v>
      </c>
      <c r="CK360" s="561">
        <v>28</v>
      </c>
      <c r="CL360" s="561">
        <v>0</v>
      </c>
      <c r="CM360" s="561">
        <v>2180</v>
      </c>
      <c r="CN360" s="561">
        <v>459</v>
      </c>
      <c r="CO360" s="561">
        <v>0</v>
      </c>
      <c r="CP360" s="561">
        <v>0</v>
      </c>
      <c r="CQ360" s="561">
        <v>65</v>
      </c>
      <c r="CR360" s="561">
        <v>309</v>
      </c>
      <c r="CS360" s="561">
        <v>0</v>
      </c>
      <c r="CT360" s="561">
        <v>640</v>
      </c>
      <c r="CU360" s="561">
        <v>2451</v>
      </c>
      <c r="CV360" s="561">
        <v>402</v>
      </c>
      <c r="CW360" s="561">
        <v>0</v>
      </c>
      <c r="CX360" s="561">
        <v>93</v>
      </c>
      <c r="CY360" s="561">
        <v>5605</v>
      </c>
      <c r="CZ360" s="561">
        <v>14254</v>
      </c>
      <c r="DA360" s="561">
        <v>0</v>
      </c>
      <c r="DB360" s="561">
        <v>0</v>
      </c>
      <c r="DC360" s="561">
        <v>0</v>
      </c>
      <c r="DD360" s="561">
        <v>0</v>
      </c>
      <c r="DE360" s="561">
        <v>0</v>
      </c>
      <c r="DF360" s="561">
        <v>0</v>
      </c>
      <c r="DG360" s="561">
        <v>0</v>
      </c>
      <c r="DH360" s="561">
        <v>143</v>
      </c>
      <c r="DI360" s="561">
        <v>100</v>
      </c>
      <c r="DJ360" s="561">
        <v>-57</v>
      </c>
      <c r="DK360" s="561">
        <v>0</v>
      </c>
      <c r="DL360" s="561">
        <v>678</v>
      </c>
      <c r="DM360" s="561">
        <v>622</v>
      </c>
      <c r="DN360" s="561">
        <v>1009</v>
      </c>
      <c r="DO360" s="561">
        <v>63</v>
      </c>
      <c r="DP360" s="561">
        <v>721</v>
      </c>
      <c r="DQ360" s="561">
        <v>0</v>
      </c>
      <c r="DR360" s="561">
        <v>0</v>
      </c>
      <c r="DS360" s="561">
        <v>1423</v>
      </c>
      <c r="DT360" s="561">
        <v>947</v>
      </c>
      <c r="DU360" s="561">
        <v>5463</v>
      </c>
      <c r="DV360" s="561">
        <v>344</v>
      </c>
      <c r="DW360" s="561">
        <v>0</v>
      </c>
      <c r="DX360" s="561">
        <v>0</v>
      </c>
      <c r="DY360" s="561">
        <v>1412</v>
      </c>
      <c r="DZ360" s="561">
        <v>0</v>
      </c>
      <c r="EA360" s="561">
        <v>-56</v>
      </c>
      <c r="EB360" s="561">
        <v>0</v>
      </c>
      <c r="EC360" s="561">
        <v>7349</v>
      </c>
      <c r="ED360" s="561">
        <v>229</v>
      </c>
      <c r="EE360" s="561">
        <v>0</v>
      </c>
      <c r="EF360" s="561">
        <v>0</v>
      </c>
      <c r="EG360" s="561">
        <v>0</v>
      </c>
      <c r="EH360" s="561">
        <v>0</v>
      </c>
      <c r="EI360" s="561">
        <v>0</v>
      </c>
      <c r="EJ360" s="561">
        <v>0</v>
      </c>
      <c r="EK360" s="561">
        <v>0</v>
      </c>
      <c r="EL360" s="561">
        <v>0</v>
      </c>
      <c r="EM360" s="561">
        <v>0</v>
      </c>
      <c r="EN360" s="561">
        <v>0</v>
      </c>
      <c r="EO360" s="561">
        <v>0</v>
      </c>
      <c r="EP360" s="561">
        <v>0</v>
      </c>
      <c r="EQ360" s="561">
        <v>0</v>
      </c>
      <c r="ER360" s="561">
        <v>0</v>
      </c>
      <c r="ES360" s="561" t="s">
        <v>4565</v>
      </c>
      <c r="ET360" s="561">
        <v>0</v>
      </c>
      <c r="EU360" s="561">
        <v>0</v>
      </c>
      <c r="EV360" s="561">
        <v>0</v>
      </c>
      <c r="EW360" s="561">
        <v>0</v>
      </c>
      <c r="EX360" s="561">
        <v>0</v>
      </c>
      <c r="EY360" s="561">
        <v>0</v>
      </c>
      <c r="EZ360" s="561">
        <v>0</v>
      </c>
      <c r="FA360" s="561">
        <v>0</v>
      </c>
      <c r="FB360" s="561">
        <v>119</v>
      </c>
      <c r="FC360" s="561">
        <v>625</v>
      </c>
      <c r="FD360" s="561">
        <v>0</v>
      </c>
      <c r="FE360" s="561">
        <v>1197</v>
      </c>
      <c r="FF360" s="561">
        <v>154</v>
      </c>
      <c r="FG360" s="561">
        <v>7</v>
      </c>
      <c r="FH360" s="561">
        <v>98</v>
      </c>
      <c r="FI360" s="561">
        <v>189</v>
      </c>
      <c r="FJ360" s="561">
        <v>-41</v>
      </c>
      <c r="FK360" s="561">
        <v>264</v>
      </c>
      <c r="FL360" s="561">
        <v>1</v>
      </c>
      <c r="FM360" s="561">
        <v>276</v>
      </c>
      <c r="FN360" s="561">
        <v>1466</v>
      </c>
      <c r="FO360" s="561">
        <v>4355</v>
      </c>
      <c r="FP360" s="561">
        <v>22</v>
      </c>
      <c r="FQ360" s="561">
        <v>-1045</v>
      </c>
      <c r="FR360" s="561">
        <v>338</v>
      </c>
      <c r="FS360" s="561">
        <v>0</v>
      </c>
      <c r="FT360" s="561">
        <v>457</v>
      </c>
      <c r="FU360" s="561">
        <v>875</v>
      </c>
      <c r="FV360" s="561">
        <v>679</v>
      </c>
      <c r="FW360" s="561">
        <v>15</v>
      </c>
      <c r="FX360" s="561">
        <v>0</v>
      </c>
      <c r="FY360" s="561">
        <v>0</v>
      </c>
      <c r="FZ360" s="561">
        <v>0</v>
      </c>
      <c r="GA360" s="561">
        <v>599</v>
      </c>
      <c r="GB360" s="561">
        <v>37</v>
      </c>
      <c r="GC360" s="561">
        <v>51</v>
      </c>
      <c r="GD360" s="561">
        <v>1479</v>
      </c>
      <c r="GE360" s="561">
        <v>291</v>
      </c>
      <c r="GF360" s="561">
        <v>300</v>
      </c>
      <c r="GG360" s="561">
        <v>87</v>
      </c>
      <c r="GH360" s="561">
        <v>0</v>
      </c>
      <c r="GI360" s="561">
        <v>0</v>
      </c>
      <c r="GJ360" s="561">
        <v>0</v>
      </c>
      <c r="GK360" s="561">
        <v>-1820</v>
      </c>
      <c r="GL360" s="561">
        <v>2129</v>
      </c>
      <c r="GM360" s="561">
        <v>5939</v>
      </c>
      <c r="GN360" s="561">
        <v>3850</v>
      </c>
      <c r="GO360" s="561">
        <v>0</v>
      </c>
      <c r="GP360" s="561">
        <v>186</v>
      </c>
      <c r="GQ360" s="561">
        <v>14</v>
      </c>
      <c r="GR360" s="561">
        <v>194</v>
      </c>
      <c r="GS360" s="561">
        <v>14655</v>
      </c>
      <c r="GT360" s="561">
        <v>155</v>
      </c>
      <c r="GU360" s="561">
        <v>337</v>
      </c>
      <c r="GV360" s="561">
        <v>1479</v>
      </c>
      <c r="GW360" s="561">
        <v>0</v>
      </c>
      <c r="GX360" s="561">
        <v>508</v>
      </c>
      <c r="GY360" s="561">
        <v>0</v>
      </c>
      <c r="GZ360" s="561">
        <v>705</v>
      </c>
      <c r="HA360" s="561">
        <v>0</v>
      </c>
      <c r="HB360" s="561">
        <v>612</v>
      </c>
      <c r="HC360" s="561">
        <v>72</v>
      </c>
      <c r="HD360" s="561">
        <v>3713</v>
      </c>
      <c r="HE360" s="561">
        <v>84</v>
      </c>
      <c r="HF360" s="561">
        <v>22723</v>
      </c>
      <c r="HG360" s="561">
        <v>261</v>
      </c>
      <c r="HH360" s="561">
        <v>0</v>
      </c>
      <c r="HI360" s="561">
        <v>0</v>
      </c>
      <c r="HJ360" s="561">
        <v>0</v>
      </c>
      <c r="HK360" s="561">
        <v>0</v>
      </c>
      <c r="HL360" s="561">
        <v>0</v>
      </c>
      <c r="HM360" s="561">
        <v>0</v>
      </c>
      <c r="HN360" s="561">
        <v>0</v>
      </c>
      <c r="HO360" s="561">
        <v>3196</v>
      </c>
      <c r="HP360" s="561">
        <v>1545</v>
      </c>
      <c r="HQ360" s="561">
        <v>0</v>
      </c>
      <c r="HR360" s="561">
        <v>0</v>
      </c>
      <c r="HS360" s="561">
        <v>10</v>
      </c>
      <c r="HT360" s="561">
        <v>1004</v>
      </c>
      <c r="HU360" s="561">
        <v>-224</v>
      </c>
      <c r="HV360" s="561">
        <v>145</v>
      </c>
      <c r="HW360" s="561">
        <v>0</v>
      </c>
      <c r="HX360" s="561">
        <v>356</v>
      </c>
      <c r="HY360" s="561">
        <v>80</v>
      </c>
      <c r="HZ360" s="561">
        <v>-177</v>
      </c>
      <c r="IA360" s="561">
        <v>62</v>
      </c>
      <c r="IB360" s="561">
        <v>0</v>
      </c>
      <c r="IC360" s="561">
        <v>559</v>
      </c>
      <c r="ID360" s="561">
        <v>0</v>
      </c>
      <c r="IE360" s="561">
        <v>1186</v>
      </c>
      <c r="IF360" s="561">
        <v>98</v>
      </c>
      <c r="IG360" s="561">
        <v>67</v>
      </c>
      <c r="IH360" s="561">
        <v>1820</v>
      </c>
      <c r="II360" s="561">
        <v>9727</v>
      </c>
      <c r="IJ360" s="561">
        <v>1196</v>
      </c>
      <c r="IK360" s="561">
        <v>27507</v>
      </c>
      <c r="IL360" s="561">
        <v>0</v>
      </c>
      <c r="IM360" s="561">
        <v>0</v>
      </c>
      <c r="IN360" s="561">
        <v>0</v>
      </c>
      <c r="IO360" s="561">
        <v>386</v>
      </c>
      <c r="IP360" s="561">
        <v>491</v>
      </c>
      <c r="IQ360" s="561">
        <v>0</v>
      </c>
      <c r="IR360" s="561">
        <v>74108</v>
      </c>
      <c r="IS360" s="561">
        <v>1307</v>
      </c>
      <c r="IT360" s="561">
        <v>55486</v>
      </c>
      <c r="IU360" s="561">
        <v>67255.89</v>
      </c>
      <c r="IV360" s="561">
        <v>14254</v>
      </c>
      <c r="IW360" s="561">
        <v>7349</v>
      </c>
      <c r="IX360" s="561">
        <v>4355</v>
      </c>
      <c r="IY360" s="561">
        <v>14655</v>
      </c>
      <c r="IZ360" s="561">
        <v>3713</v>
      </c>
      <c r="JA360" s="561">
        <v>0</v>
      </c>
      <c r="JB360" s="561">
        <v>0</v>
      </c>
      <c r="JC360" s="561">
        <v>9727</v>
      </c>
      <c r="JD360" s="561">
        <v>491</v>
      </c>
      <c r="JE360" s="561">
        <v>252700.89</v>
      </c>
      <c r="JF360" s="561">
        <v>33228</v>
      </c>
      <c r="JG360" s="561">
        <v>0</v>
      </c>
      <c r="JH360" s="561">
        <v>0</v>
      </c>
      <c r="JI360" s="561">
        <v>0</v>
      </c>
      <c r="JJ360" s="561">
        <v>0</v>
      </c>
      <c r="JK360" s="561">
        <v>473</v>
      </c>
      <c r="JL360" s="561">
        <v>0</v>
      </c>
      <c r="JM360" s="561">
        <v>0</v>
      </c>
      <c r="JN360" s="561">
        <v>0</v>
      </c>
      <c r="JO360" s="561">
        <v>196</v>
      </c>
      <c r="JP360" s="561">
        <v>0</v>
      </c>
      <c r="JQ360" s="561">
        <v>0</v>
      </c>
      <c r="JR360" s="561">
        <v>0</v>
      </c>
      <c r="JS360" s="561">
        <v>0</v>
      </c>
      <c r="JT360" s="561">
        <v>1070</v>
      </c>
      <c r="JU360" s="561">
        <v>-193</v>
      </c>
      <c r="JV360" s="561">
        <v>287474.89</v>
      </c>
      <c r="JW360" s="561">
        <v>197</v>
      </c>
      <c r="JX360" s="561">
        <v>497</v>
      </c>
      <c r="JY360" s="561">
        <v>0</v>
      </c>
      <c r="JZ360" s="561">
        <v>0</v>
      </c>
      <c r="KA360" s="561">
        <v>0</v>
      </c>
      <c r="KB360" s="561">
        <v>3504</v>
      </c>
      <c r="KC360" s="561">
        <v>7630</v>
      </c>
      <c r="KD360" s="561">
        <v>-4000</v>
      </c>
      <c r="KE360" s="561">
        <v>22421</v>
      </c>
      <c r="KF360" s="561">
        <v>0</v>
      </c>
      <c r="KG360" s="561">
        <v>317723.89</v>
      </c>
      <c r="KH360" s="561">
        <v>-15479</v>
      </c>
      <c r="KI360" s="561">
        <v>0</v>
      </c>
      <c r="KJ360" s="561">
        <v>0</v>
      </c>
      <c r="KK360" s="561">
        <v>0</v>
      </c>
      <c r="KL360" s="561">
        <v>-35016</v>
      </c>
      <c r="KM360" s="561">
        <v>0</v>
      </c>
      <c r="KN360" s="561">
        <v>-334</v>
      </c>
      <c r="KO360" s="561">
        <v>0</v>
      </c>
      <c r="KP360" s="561">
        <v>0</v>
      </c>
      <c r="KQ360" s="561">
        <v>-723</v>
      </c>
      <c r="KR360" s="561">
        <v>266171.89</v>
      </c>
      <c r="KS360" s="561">
        <v>0</v>
      </c>
      <c r="KT360" s="561">
        <v>-127618</v>
      </c>
      <c r="KU360" s="561">
        <v>138553.89000000001</v>
      </c>
      <c r="KV360" s="561">
        <v>12340</v>
      </c>
      <c r="KW360" s="561">
        <v>57</v>
      </c>
      <c r="KX360" s="561">
        <v>2791</v>
      </c>
      <c r="KY360" s="561">
        <v>-36</v>
      </c>
      <c r="KZ360" s="561">
        <v>-23930</v>
      </c>
      <c r="LA360" s="561">
        <v>10872</v>
      </c>
      <c r="LB360" s="561">
        <v>-8219</v>
      </c>
      <c r="LC360" s="561">
        <v>0</v>
      </c>
      <c r="LD360" s="561">
        <v>-44010</v>
      </c>
      <c r="LE360" s="561">
        <v>-328</v>
      </c>
      <c r="LF360" s="561">
        <v>0</v>
      </c>
      <c r="LG360" s="561">
        <v>88526</v>
      </c>
      <c r="LH360" s="561">
        <v>3058</v>
      </c>
      <c r="LI360" s="561">
        <v>-5486</v>
      </c>
      <c r="LJ360" s="561">
        <v>0</v>
      </c>
      <c r="LK360" s="561">
        <v>3262</v>
      </c>
      <c r="LL360" s="561">
        <v>62220</v>
      </c>
      <c r="LM360" s="561">
        <v>0</v>
      </c>
      <c r="LN360" s="561">
        <v>3115</v>
      </c>
      <c r="LO360" s="561">
        <v>-6209</v>
      </c>
      <c r="LP360" s="561">
        <v>2791</v>
      </c>
      <c r="LQ360" s="561">
        <v>3226</v>
      </c>
      <c r="LR360" s="561">
        <v>38290</v>
      </c>
      <c r="LS360" s="561">
        <v>10872</v>
      </c>
      <c r="LT360" s="561">
        <v>0</v>
      </c>
      <c r="LU360" s="561">
        <v>16394</v>
      </c>
      <c r="LV360" s="561">
        <v>0</v>
      </c>
      <c r="LW360" s="561">
        <v>-5349</v>
      </c>
      <c r="LX360" s="561">
        <v>-15510</v>
      </c>
      <c r="LY360" s="561">
        <v>2913</v>
      </c>
      <c r="LZ360" s="561">
        <v>-578</v>
      </c>
      <c r="MA360" s="561">
        <v>0</v>
      </c>
      <c r="MB360" s="561">
        <v>0</v>
      </c>
      <c r="MC360" s="561">
        <v>0</v>
      </c>
      <c r="MD360" s="561">
        <v>0</v>
      </c>
      <c r="ME360" s="561">
        <v>0</v>
      </c>
      <c r="MF360" s="561">
        <v>0</v>
      </c>
      <c r="MG360" s="561">
        <v>0</v>
      </c>
      <c r="MH360" s="561">
        <v>5131</v>
      </c>
      <c r="MI360" s="561">
        <v>5667</v>
      </c>
      <c r="MJ360" s="561">
        <v>10798</v>
      </c>
      <c r="MK360" s="561">
        <v>473</v>
      </c>
      <c r="ML360" s="561">
        <v>5081</v>
      </c>
      <c r="MM360" s="561">
        <v>23385</v>
      </c>
      <c r="MN360" s="561">
        <v>5060</v>
      </c>
      <c r="MO360" s="561">
        <v>3058</v>
      </c>
      <c r="MP360" s="561">
        <v>1706</v>
      </c>
      <c r="MQ360" s="561">
        <v>74108</v>
      </c>
      <c r="MR360" s="561">
        <v>1307</v>
      </c>
      <c r="MS360" s="561">
        <v>55486</v>
      </c>
      <c r="MT360" s="561">
        <v>67255.89</v>
      </c>
      <c r="MU360" s="561">
        <v>14254</v>
      </c>
      <c r="MV360" s="561">
        <v>7349</v>
      </c>
      <c r="MW360" s="561">
        <v>4355</v>
      </c>
      <c r="MX360" s="561">
        <v>14655</v>
      </c>
      <c r="MY360" s="561">
        <v>3713</v>
      </c>
      <c r="MZ360" s="561">
        <v>0</v>
      </c>
      <c r="NA360" s="561">
        <v>0</v>
      </c>
      <c r="NB360" s="561">
        <v>9727</v>
      </c>
      <c r="NC360" s="561">
        <v>491</v>
      </c>
      <c r="ND360" s="561">
        <v>252700.89</v>
      </c>
      <c r="NE360" s="561">
        <v>0</v>
      </c>
      <c r="NF360" s="561">
        <v>0</v>
      </c>
      <c r="NG360" s="561">
        <v>0</v>
      </c>
      <c r="NH360" s="561">
        <v>0</v>
      </c>
      <c r="NI360" s="561">
        <v>0</v>
      </c>
      <c r="NJ360" s="561">
        <v>0</v>
      </c>
      <c r="NK360" s="561">
        <v>0</v>
      </c>
      <c r="NL360" s="561">
        <v>0</v>
      </c>
      <c r="NM360" s="561">
        <v>0</v>
      </c>
      <c r="NN360" s="561">
        <v>0</v>
      </c>
      <c r="NO360" s="561">
        <v>0</v>
      </c>
      <c r="NP360" s="561">
        <v>0</v>
      </c>
      <c r="NQ360" s="561">
        <v>0</v>
      </c>
      <c r="NR360" s="561">
        <v>0</v>
      </c>
      <c r="NS360" s="561">
        <v>0</v>
      </c>
      <c r="NT360" s="561">
        <v>0</v>
      </c>
      <c r="NU360" s="561">
        <v>0</v>
      </c>
      <c r="NV360" s="561">
        <v>0</v>
      </c>
      <c r="NW360" s="561">
        <v>0</v>
      </c>
      <c r="NX360" s="561">
        <v>0</v>
      </c>
      <c r="NY360" s="561">
        <v>0</v>
      </c>
      <c r="NZ360" s="561">
        <v>0</v>
      </c>
      <c r="OA360" s="561">
        <v>0</v>
      </c>
      <c r="OB360" s="561">
        <v>0</v>
      </c>
      <c r="OC360" s="561">
        <v>0</v>
      </c>
      <c r="OD360" s="561">
        <v>0</v>
      </c>
      <c r="OE360" s="561">
        <v>0</v>
      </c>
      <c r="OF360" s="561">
        <v>0</v>
      </c>
      <c r="OG360" s="561">
        <v>0</v>
      </c>
      <c r="OH360" s="561">
        <v>0</v>
      </c>
      <c r="OI360" s="561">
        <v>0</v>
      </c>
      <c r="OJ360" s="561">
        <v>0</v>
      </c>
      <c r="OK360" s="561">
        <v>0</v>
      </c>
      <c r="OL360" s="561">
        <v>0</v>
      </c>
      <c r="OM360" s="561">
        <v>0</v>
      </c>
      <c r="ON360" s="561">
        <v>0</v>
      </c>
      <c r="OO360" s="561">
        <v>0</v>
      </c>
      <c r="OP360" s="561">
        <v>0</v>
      </c>
      <c r="OQ360" s="561">
        <v>0</v>
      </c>
      <c r="OR360" s="561">
        <v>0</v>
      </c>
      <c r="OS360" s="561">
        <v>0</v>
      </c>
      <c r="OT360" s="561">
        <v>0</v>
      </c>
      <c r="OU360" s="561">
        <v>0</v>
      </c>
      <c r="OV360" s="561">
        <v>0</v>
      </c>
      <c r="OW360" s="561">
        <v>0</v>
      </c>
      <c r="OX360" s="561">
        <v>0</v>
      </c>
      <c r="OY360" s="561">
        <v>0</v>
      </c>
      <c r="OZ360" s="561">
        <v>0</v>
      </c>
      <c r="PA360" s="561">
        <v>0</v>
      </c>
      <c r="PB360" s="561">
        <v>0</v>
      </c>
      <c r="PC360" s="561">
        <v>0</v>
      </c>
      <c r="PD360" s="561">
        <v>0</v>
      </c>
      <c r="PE360" s="561">
        <v>0</v>
      </c>
      <c r="PF360" s="561">
        <v>0</v>
      </c>
      <c r="PG360" s="561">
        <v>0</v>
      </c>
      <c r="PH360" s="561">
        <v>0</v>
      </c>
      <c r="PI360" s="561">
        <v>0</v>
      </c>
      <c r="PJ360" s="561">
        <v>0</v>
      </c>
    </row>
    <row r="361" spans="1:426" ht="14" x14ac:dyDescent="0.3">
      <c r="A361" t="s">
        <v>3523</v>
      </c>
      <c r="B361" t="s">
        <v>3524</v>
      </c>
      <c r="C361" t="s">
        <v>3525</v>
      </c>
      <c r="E361" t="s">
        <v>384</v>
      </c>
      <c r="F361" s="561">
        <v>0</v>
      </c>
      <c r="G361" s="561">
        <v>0</v>
      </c>
      <c r="H361" s="561">
        <v>0</v>
      </c>
      <c r="I361" s="561">
        <v>0</v>
      </c>
      <c r="J361" s="561">
        <v>0</v>
      </c>
      <c r="K361" s="561">
        <v>0</v>
      </c>
      <c r="L361" s="561">
        <v>0</v>
      </c>
      <c r="M361" s="561">
        <v>0</v>
      </c>
      <c r="N361" s="561">
        <v>0</v>
      </c>
      <c r="O361" s="561">
        <v>0</v>
      </c>
      <c r="P361" s="561">
        <v>0</v>
      </c>
      <c r="Q361" s="561">
        <v>0</v>
      </c>
      <c r="R361" s="561">
        <v>0</v>
      </c>
      <c r="S361" s="561">
        <v>0</v>
      </c>
      <c r="T361" s="561">
        <v>0</v>
      </c>
      <c r="U361" s="561">
        <v>0</v>
      </c>
      <c r="V361" s="561">
        <v>0</v>
      </c>
      <c r="W361" s="561">
        <v>0</v>
      </c>
      <c r="X361" s="561">
        <v>0</v>
      </c>
      <c r="Y361" s="561">
        <v>0</v>
      </c>
      <c r="Z361" s="561">
        <v>0</v>
      </c>
      <c r="AA361" s="561">
        <v>0</v>
      </c>
      <c r="AB361" s="561">
        <v>-976</v>
      </c>
      <c r="AC361" s="561">
        <v>0</v>
      </c>
      <c r="AD361" s="561">
        <v>0</v>
      </c>
      <c r="AE361" s="561">
        <v>0</v>
      </c>
      <c r="AF361" s="561">
        <v>0</v>
      </c>
      <c r="AG361" s="561">
        <v>0</v>
      </c>
      <c r="AH361" s="561">
        <v>1</v>
      </c>
      <c r="AI361" s="561">
        <v>181</v>
      </c>
      <c r="AJ361" s="561">
        <v>-794</v>
      </c>
      <c r="AK361" s="561">
        <v>0</v>
      </c>
      <c r="AL361" s="561">
        <v>0</v>
      </c>
      <c r="AM361" s="561">
        <v>0</v>
      </c>
      <c r="AN361" s="561">
        <v>0</v>
      </c>
      <c r="AO361" s="561">
        <v>0</v>
      </c>
      <c r="AP361" s="561">
        <v>0</v>
      </c>
      <c r="AQ361" s="561">
        <v>0</v>
      </c>
      <c r="AR361" s="561">
        <v>0</v>
      </c>
      <c r="AS361" s="561">
        <v>0</v>
      </c>
      <c r="AT361" s="561">
        <v>0</v>
      </c>
      <c r="AU361" s="561">
        <v>0</v>
      </c>
      <c r="AV361" s="561">
        <v>0</v>
      </c>
      <c r="AW361" s="561">
        <v>0</v>
      </c>
      <c r="AX361" s="561">
        <v>0</v>
      </c>
      <c r="AY361" s="561">
        <v>0</v>
      </c>
      <c r="AZ361" s="561">
        <v>0</v>
      </c>
      <c r="BA361" s="561">
        <v>0</v>
      </c>
      <c r="BB361" s="561">
        <v>0</v>
      </c>
      <c r="BC361" s="561">
        <v>0</v>
      </c>
      <c r="BD361" s="561">
        <v>0</v>
      </c>
      <c r="BE361" s="561">
        <v>0</v>
      </c>
      <c r="BF361" s="561">
        <v>0</v>
      </c>
      <c r="BG361" s="561">
        <v>0</v>
      </c>
      <c r="BH361" s="561">
        <v>0</v>
      </c>
      <c r="BI361" s="561">
        <v>0</v>
      </c>
      <c r="BJ361" s="561">
        <v>0</v>
      </c>
      <c r="BK361" s="561">
        <v>0</v>
      </c>
      <c r="BL361" s="561">
        <v>0</v>
      </c>
      <c r="BM361" s="561">
        <v>0</v>
      </c>
      <c r="BN361" s="561">
        <v>0</v>
      </c>
      <c r="BO361" s="561">
        <v>0</v>
      </c>
      <c r="BP361" s="561">
        <v>0</v>
      </c>
      <c r="BQ361" s="561">
        <v>0</v>
      </c>
      <c r="BR361" s="561">
        <v>0</v>
      </c>
      <c r="BS361" s="561">
        <v>0</v>
      </c>
      <c r="BT361" s="561">
        <v>0</v>
      </c>
      <c r="BU361" s="561">
        <v>0</v>
      </c>
      <c r="BV361" s="561">
        <v>0</v>
      </c>
      <c r="BW361" s="561">
        <v>0</v>
      </c>
      <c r="BX361" s="561">
        <v>0</v>
      </c>
      <c r="BY361" s="561">
        <v>0</v>
      </c>
      <c r="BZ361" s="561">
        <v>0</v>
      </c>
      <c r="CA361" s="561">
        <v>0</v>
      </c>
      <c r="CB361" s="561">
        <v>0</v>
      </c>
      <c r="CC361" s="561">
        <v>0</v>
      </c>
      <c r="CD361" s="561">
        <v>0</v>
      </c>
      <c r="CE361" s="561">
        <v>0</v>
      </c>
      <c r="CF361" s="561">
        <v>0</v>
      </c>
      <c r="CG361" s="561">
        <v>0</v>
      </c>
      <c r="CH361" s="561">
        <v>0</v>
      </c>
      <c r="CI361" s="561">
        <v>0</v>
      </c>
      <c r="CJ361" s="561">
        <v>0</v>
      </c>
      <c r="CK361" s="561">
        <v>0</v>
      </c>
      <c r="CL361" s="561">
        <v>0</v>
      </c>
      <c r="CM361" s="561">
        <v>0</v>
      </c>
      <c r="CN361" s="561">
        <v>0</v>
      </c>
      <c r="CO361" s="561">
        <v>0</v>
      </c>
      <c r="CP361" s="561">
        <v>0</v>
      </c>
      <c r="CQ361" s="561">
        <v>0</v>
      </c>
      <c r="CR361" s="561">
        <v>0</v>
      </c>
      <c r="CS361" s="561">
        <v>0</v>
      </c>
      <c r="CT361" s="561">
        <v>0</v>
      </c>
      <c r="CU361" s="561">
        <v>0</v>
      </c>
      <c r="CV361" s="561">
        <v>0</v>
      </c>
      <c r="CW361" s="561">
        <v>0</v>
      </c>
      <c r="CX361" s="561">
        <v>0</v>
      </c>
      <c r="CY361" s="561">
        <v>0</v>
      </c>
      <c r="CZ361" s="561">
        <v>0</v>
      </c>
      <c r="DA361" s="561">
        <v>0</v>
      </c>
      <c r="DB361" s="561">
        <v>0</v>
      </c>
      <c r="DC361" s="561">
        <v>0</v>
      </c>
      <c r="DD361" s="561">
        <v>0</v>
      </c>
      <c r="DE361" s="561">
        <v>0</v>
      </c>
      <c r="DF361" s="561">
        <v>0</v>
      </c>
      <c r="DG361" s="561">
        <v>0</v>
      </c>
      <c r="DH361" s="561">
        <v>258</v>
      </c>
      <c r="DI361" s="561">
        <v>0</v>
      </c>
      <c r="DJ361" s="561">
        <v>138</v>
      </c>
      <c r="DK361" s="561">
        <v>0</v>
      </c>
      <c r="DL361" s="561">
        <v>0</v>
      </c>
      <c r="DM361" s="561">
        <v>7</v>
      </c>
      <c r="DN361" s="561">
        <v>-41</v>
      </c>
      <c r="DO361" s="561">
        <v>221</v>
      </c>
      <c r="DP361" s="561">
        <v>-14</v>
      </c>
      <c r="DQ361" s="561">
        <v>0</v>
      </c>
      <c r="DR361" s="561">
        <v>0</v>
      </c>
      <c r="DS361" s="561">
        <v>564</v>
      </c>
      <c r="DT361" s="561">
        <v>0</v>
      </c>
      <c r="DU361" s="561">
        <v>737</v>
      </c>
      <c r="DV361" s="561">
        <v>0</v>
      </c>
      <c r="DW361" s="561">
        <v>0</v>
      </c>
      <c r="DX361" s="561">
        <v>0</v>
      </c>
      <c r="DY361" s="561">
        <v>294</v>
      </c>
      <c r="DZ361" s="561">
        <v>0</v>
      </c>
      <c r="EA361" s="561">
        <v>0</v>
      </c>
      <c r="EB361" s="561">
        <v>-50</v>
      </c>
      <c r="EC361" s="561">
        <v>1377</v>
      </c>
      <c r="ED361" s="561">
        <v>0</v>
      </c>
      <c r="EE361" s="561">
        <v>0</v>
      </c>
      <c r="EF361" s="561">
        <v>0</v>
      </c>
      <c r="EG361" s="561">
        <v>0</v>
      </c>
      <c r="EH361" s="561">
        <v>0</v>
      </c>
      <c r="EI361" s="561">
        <v>0</v>
      </c>
      <c r="EJ361" s="561">
        <v>0</v>
      </c>
      <c r="EK361" s="561">
        <v>0</v>
      </c>
      <c r="EL361" s="561">
        <v>0</v>
      </c>
      <c r="EM361" s="561">
        <v>0</v>
      </c>
      <c r="EN361" s="561">
        <v>0</v>
      </c>
      <c r="EO361" s="561">
        <v>0</v>
      </c>
      <c r="EP361" s="561">
        <v>0</v>
      </c>
      <c r="EQ361" s="561">
        <v>0</v>
      </c>
      <c r="ER361" s="561">
        <v>0</v>
      </c>
      <c r="ES361" s="561" t="s">
        <v>4565</v>
      </c>
      <c r="ET361" s="561">
        <v>0</v>
      </c>
      <c r="EU361" s="561">
        <v>0</v>
      </c>
      <c r="EV361" s="561">
        <v>0</v>
      </c>
      <c r="EW361" s="561">
        <v>0</v>
      </c>
      <c r="EX361" s="561">
        <v>0</v>
      </c>
      <c r="EY361" s="561">
        <v>0</v>
      </c>
      <c r="EZ361" s="561">
        <v>0</v>
      </c>
      <c r="FA361" s="561">
        <v>0</v>
      </c>
      <c r="FB361" s="561">
        <v>0</v>
      </c>
      <c r="FC361" s="561">
        <v>0</v>
      </c>
      <c r="FD361" s="561">
        <v>0</v>
      </c>
      <c r="FE361" s="561">
        <v>150</v>
      </c>
      <c r="FF361" s="561">
        <v>0</v>
      </c>
      <c r="FG361" s="561">
        <v>12</v>
      </c>
      <c r="FH361" s="561">
        <v>0</v>
      </c>
      <c r="FI361" s="561">
        <v>55</v>
      </c>
      <c r="FJ361" s="561">
        <v>625</v>
      </c>
      <c r="FK361" s="561">
        <v>811</v>
      </c>
      <c r="FL361" s="561">
        <v>0</v>
      </c>
      <c r="FM361" s="561">
        <v>0</v>
      </c>
      <c r="FN361" s="561">
        <v>0</v>
      </c>
      <c r="FO361" s="561">
        <v>1653</v>
      </c>
      <c r="FP361" s="561">
        <v>46</v>
      </c>
      <c r="FQ361" s="561">
        <v>-157</v>
      </c>
      <c r="FR361" s="561">
        <v>0</v>
      </c>
      <c r="FS361" s="561">
        <v>102</v>
      </c>
      <c r="FT361" s="561">
        <v>59</v>
      </c>
      <c r="FU361" s="561">
        <v>237</v>
      </c>
      <c r="FV361" s="561">
        <v>106</v>
      </c>
      <c r="FW361" s="561">
        <v>44</v>
      </c>
      <c r="FX361" s="561">
        <v>0</v>
      </c>
      <c r="FY361" s="561">
        <v>0</v>
      </c>
      <c r="FZ361" s="561">
        <v>12</v>
      </c>
      <c r="GA361" s="561">
        <v>203</v>
      </c>
      <c r="GB361" s="561">
        <v>98</v>
      </c>
      <c r="GC361" s="561">
        <v>-32</v>
      </c>
      <c r="GD361" s="561">
        <v>0</v>
      </c>
      <c r="GE361" s="561">
        <v>249</v>
      </c>
      <c r="GF361" s="561">
        <v>134</v>
      </c>
      <c r="GG361" s="561">
        <v>0</v>
      </c>
      <c r="GH361" s="561">
        <v>1</v>
      </c>
      <c r="GI361" s="561">
        <v>0</v>
      </c>
      <c r="GJ361" s="561">
        <v>11</v>
      </c>
      <c r="GK361" s="561">
        <v>0</v>
      </c>
      <c r="GL361" s="561">
        <v>1003</v>
      </c>
      <c r="GM361" s="561">
        <v>844</v>
      </c>
      <c r="GN361" s="561">
        <v>0</v>
      </c>
      <c r="GO361" s="561">
        <v>0</v>
      </c>
      <c r="GP361" s="561">
        <v>1772</v>
      </c>
      <c r="GQ361" s="561">
        <v>0</v>
      </c>
      <c r="GR361" s="561">
        <v>50</v>
      </c>
      <c r="GS361" s="561">
        <v>4736</v>
      </c>
      <c r="GT361" s="561">
        <v>330</v>
      </c>
      <c r="GU361" s="561">
        <v>159</v>
      </c>
      <c r="GV361" s="561">
        <v>346</v>
      </c>
      <c r="GW361" s="561">
        <v>58</v>
      </c>
      <c r="GX361" s="561">
        <v>418</v>
      </c>
      <c r="GY361" s="561">
        <v>49</v>
      </c>
      <c r="GZ361" s="561">
        <v>930</v>
      </c>
      <c r="HA361" s="561">
        <v>0</v>
      </c>
      <c r="HB361" s="561">
        <v>0</v>
      </c>
      <c r="HC361" s="561">
        <v>1</v>
      </c>
      <c r="HD361" s="561">
        <v>1961</v>
      </c>
      <c r="HE361" s="561">
        <v>6</v>
      </c>
      <c r="HF361" s="561">
        <v>8350</v>
      </c>
      <c r="HG361" s="561">
        <v>382</v>
      </c>
      <c r="HH361" s="561">
        <v>0</v>
      </c>
      <c r="HI361" s="561">
        <v>0</v>
      </c>
      <c r="HJ361" s="561">
        <v>0</v>
      </c>
      <c r="HK361" s="561">
        <v>0</v>
      </c>
      <c r="HL361" s="561">
        <v>0</v>
      </c>
      <c r="HM361" s="561">
        <v>0</v>
      </c>
      <c r="HN361" s="561">
        <v>0</v>
      </c>
      <c r="HO361" s="561">
        <v>1737</v>
      </c>
      <c r="HP361" s="561">
        <v>507</v>
      </c>
      <c r="HQ361" s="561">
        <v>0</v>
      </c>
      <c r="HR361" s="561">
        <v>0</v>
      </c>
      <c r="HS361" s="561">
        <v>249</v>
      </c>
      <c r="HT361" s="561">
        <v>54</v>
      </c>
      <c r="HU361" s="561">
        <v>0</v>
      </c>
      <c r="HV361" s="561">
        <v>0</v>
      </c>
      <c r="HW361" s="561">
        <v>214</v>
      </c>
      <c r="HX361" s="561">
        <v>160</v>
      </c>
      <c r="HY361" s="561">
        <v>32</v>
      </c>
      <c r="HZ361" s="561">
        <v>40</v>
      </c>
      <c r="IA361" s="561">
        <v>-32</v>
      </c>
      <c r="IB361" s="561">
        <v>107</v>
      </c>
      <c r="IC361" s="561">
        <v>0</v>
      </c>
      <c r="ID361" s="561">
        <v>0</v>
      </c>
      <c r="IE361" s="561">
        <v>632</v>
      </c>
      <c r="IF361" s="561">
        <v>0</v>
      </c>
      <c r="IG361" s="561">
        <v>0</v>
      </c>
      <c r="IH361" s="561">
        <v>-251</v>
      </c>
      <c r="II361" s="561">
        <v>3449</v>
      </c>
      <c r="IJ361" s="561">
        <v>289</v>
      </c>
      <c r="IK361" s="561">
        <v>4505</v>
      </c>
      <c r="IL361" s="561">
        <v>10308</v>
      </c>
      <c r="IM361" s="561">
        <v>0</v>
      </c>
      <c r="IN361" s="561">
        <v>0</v>
      </c>
      <c r="IO361" s="561">
        <v>0</v>
      </c>
      <c r="IP361" s="561">
        <v>0</v>
      </c>
      <c r="IQ361" s="561">
        <v>0</v>
      </c>
      <c r="IR361" s="561">
        <v>0</v>
      </c>
      <c r="IS361" s="561">
        <v>-794</v>
      </c>
      <c r="IT361" s="561">
        <v>0</v>
      </c>
      <c r="IU361" s="561">
        <v>0</v>
      </c>
      <c r="IV361" s="561">
        <v>0</v>
      </c>
      <c r="IW361" s="561">
        <v>1377</v>
      </c>
      <c r="IX361" s="561">
        <v>1653</v>
      </c>
      <c r="IY361" s="561">
        <v>4736</v>
      </c>
      <c r="IZ361" s="561">
        <v>1961</v>
      </c>
      <c r="JA361" s="561">
        <v>0</v>
      </c>
      <c r="JB361" s="561">
        <v>0</v>
      </c>
      <c r="JC361" s="561">
        <v>3449</v>
      </c>
      <c r="JD361" s="561">
        <v>0</v>
      </c>
      <c r="JE361" s="561">
        <v>12382</v>
      </c>
      <c r="JF361" s="561">
        <v>11138</v>
      </c>
      <c r="JG361" s="561">
        <v>601</v>
      </c>
      <c r="JH361" s="561">
        <v>0</v>
      </c>
      <c r="JI361" s="561">
        <v>0</v>
      </c>
      <c r="JJ361" s="561">
        <v>0</v>
      </c>
      <c r="JK361" s="561">
        <v>2113</v>
      </c>
      <c r="JL361" s="561">
        <v>0</v>
      </c>
      <c r="JM361" s="561">
        <v>0</v>
      </c>
      <c r="JN361" s="561">
        <v>0</v>
      </c>
      <c r="JO361" s="561">
        <v>0</v>
      </c>
      <c r="JP361" s="561">
        <v>0</v>
      </c>
      <c r="JQ361" s="561">
        <v>0</v>
      </c>
      <c r="JR361" s="561">
        <v>0</v>
      </c>
      <c r="JS361" s="561">
        <v>0</v>
      </c>
      <c r="JT361" s="561">
        <v>0</v>
      </c>
      <c r="JU361" s="561">
        <v>0</v>
      </c>
      <c r="JV361" s="561">
        <v>26234</v>
      </c>
      <c r="JW361" s="561">
        <v>0</v>
      </c>
      <c r="JX361" s="561">
        <v>635</v>
      </c>
      <c r="JY361" s="561">
        <v>0</v>
      </c>
      <c r="JZ361" s="561">
        <v>0</v>
      </c>
      <c r="KA361" s="561">
        <v>0</v>
      </c>
      <c r="KB361" s="561">
        <v>0</v>
      </c>
      <c r="KC361" s="561">
        <v>58</v>
      </c>
      <c r="KD361" s="561">
        <v>0</v>
      </c>
      <c r="KE361" s="561">
        <v>42</v>
      </c>
      <c r="KF361" s="561">
        <v>0</v>
      </c>
      <c r="KG361" s="561">
        <v>26969</v>
      </c>
      <c r="KH361" s="561">
        <v>-1283</v>
      </c>
      <c r="KI361" s="561">
        <v>0</v>
      </c>
      <c r="KJ361" s="561">
        <v>0</v>
      </c>
      <c r="KK361" s="561">
        <v>0</v>
      </c>
      <c r="KL361" s="561">
        <v>-11644</v>
      </c>
      <c r="KM361" s="561">
        <v>0</v>
      </c>
      <c r="KN361" s="561">
        <v>0</v>
      </c>
      <c r="KO361" s="561">
        <v>0</v>
      </c>
      <c r="KP361" s="561">
        <v>0</v>
      </c>
      <c r="KQ361" s="561">
        <v>0</v>
      </c>
      <c r="KR361" s="561">
        <v>14042</v>
      </c>
      <c r="KS361" s="561">
        <v>0</v>
      </c>
      <c r="KT361" s="561">
        <v>-2993</v>
      </c>
      <c r="KU361" s="561">
        <v>11049</v>
      </c>
      <c r="KV361" s="561">
        <v>0</v>
      </c>
      <c r="KW361" s="561">
        <v>0</v>
      </c>
      <c r="KX361" s="561">
        <v>0</v>
      </c>
      <c r="KY361" s="561">
        <v>0</v>
      </c>
      <c r="KZ361" s="561">
        <v>1871</v>
      </c>
      <c r="LA361" s="561">
        <v>0</v>
      </c>
      <c r="LB361" s="561">
        <v>-331</v>
      </c>
      <c r="LC361" s="561">
        <v>0</v>
      </c>
      <c r="LD361" s="561">
        <v>-5600</v>
      </c>
      <c r="LE361" s="561">
        <v>-86</v>
      </c>
      <c r="LF361" s="561">
        <v>0</v>
      </c>
      <c r="LG361" s="561">
        <v>6903</v>
      </c>
      <c r="LH361" s="561">
        <v>0</v>
      </c>
      <c r="LI361" s="561">
        <v>0</v>
      </c>
      <c r="LJ361" s="561">
        <v>0</v>
      </c>
      <c r="LK361" s="561">
        <v>0</v>
      </c>
      <c r="LL361" s="561">
        <v>14298</v>
      </c>
      <c r="LM361" s="561">
        <v>1084</v>
      </c>
      <c r="LN361" s="561">
        <v>0</v>
      </c>
      <c r="LO361" s="561">
        <v>0</v>
      </c>
      <c r="LP361" s="561">
        <v>0</v>
      </c>
      <c r="LQ361" s="561">
        <v>0</v>
      </c>
      <c r="LR361" s="561">
        <v>16169</v>
      </c>
      <c r="LS361" s="561">
        <v>1084</v>
      </c>
      <c r="LT361" s="561">
        <v>0</v>
      </c>
      <c r="LU361" s="561">
        <v>2203</v>
      </c>
      <c r="LV361" s="561">
        <v>0</v>
      </c>
      <c r="LW361" s="561">
        <v>-32</v>
      </c>
      <c r="LX361" s="561">
        <v>-15065</v>
      </c>
      <c r="LY361" s="561">
        <v>1689</v>
      </c>
      <c r="LZ361" s="561">
        <v>-11292</v>
      </c>
      <c r="MA361" s="561">
        <v>0</v>
      </c>
      <c r="MB361" s="561">
        <v>0</v>
      </c>
      <c r="MC361" s="561">
        <v>0</v>
      </c>
      <c r="MD361" s="561">
        <v>0</v>
      </c>
      <c r="ME361" s="561">
        <v>0</v>
      </c>
      <c r="MF361" s="561">
        <v>0</v>
      </c>
      <c r="MG361" s="561">
        <v>0</v>
      </c>
      <c r="MH361" s="561">
        <v>2659</v>
      </c>
      <c r="MI361" s="561">
        <v>1678</v>
      </c>
      <c r="MJ361" s="561">
        <v>4337</v>
      </c>
      <c r="MK361" s="561">
        <v>0</v>
      </c>
      <c r="ML361" s="561">
        <v>0</v>
      </c>
      <c r="MM361" s="561">
        <v>12021</v>
      </c>
      <c r="MN361" s="561">
        <v>643</v>
      </c>
      <c r="MO361" s="561">
        <v>3430</v>
      </c>
      <c r="MP361" s="561">
        <v>75</v>
      </c>
      <c r="MQ361" s="561">
        <v>0</v>
      </c>
      <c r="MR361" s="561">
        <v>-794</v>
      </c>
      <c r="MS361" s="561">
        <v>0</v>
      </c>
      <c r="MT361" s="561">
        <v>0</v>
      </c>
      <c r="MU361" s="561">
        <v>0</v>
      </c>
      <c r="MV361" s="561">
        <v>1377</v>
      </c>
      <c r="MW361" s="561">
        <v>1653</v>
      </c>
      <c r="MX361" s="561">
        <v>4736</v>
      </c>
      <c r="MY361" s="561">
        <v>1961</v>
      </c>
      <c r="MZ361" s="561">
        <v>0</v>
      </c>
      <c r="NA361" s="561">
        <v>0</v>
      </c>
      <c r="NB361" s="561">
        <v>3449</v>
      </c>
      <c r="NC361" s="561">
        <v>0</v>
      </c>
      <c r="ND361" s="561">
        <v>12382</v>
      </c>
      <c r="NE361" s="561">
        <v>0</v>
      </c>
      <c r="NF361" s="561">
        <v>0</v>
      </c>
      <c r="NG361" s="561">
        <v>0</v>
      </c>
      <c r="NH361" s="561">
        <v>0</v>
      </c>
      <c r="NI361" s="561">
        <v>0</v>
      </c>
      <c r="NJ361" s="561">
        <v>0</v>
      </c>
      <c r="NK361" s="561">
        <v>0</v>
      </c>
      <c r="NL361" s="561">
        <v>0</v>
      </c>
      <c r="NM361" s="561">
        <v>0</v>
      </c>
      <c r="NN361" s="561">
        <v>0</v>
      </c>
      <c r="NO361" s="561">
        <v>0</v>
      </c>
      <c r="NP361" s="561">
        <v>0</v>
      </c>
      <c r="NQ361" s="561">
        <v>0</v>
      </c>
      <c r="NR361" s="561">
        <v>0</v>
      </c>
      <c r="NS361" s="561">
        <v>0</v>
      </c>
      <c r="NT361" s="561">
        <v>0</v>
      </c>
      <c r="NU361" s="561">
        <v>0</v>
      </c>
      <c r="NV361" s="561">
        <v>0</v>
      </c>
      <c r="NW361" s="561">
        <v>0</v>
      </c>
      <c r="NX361" s="561">
        <v>0</v>
      </c>
      <c r="NY361" s="561">
        <v>0</v>
      </c>
      <c r="NZ361" s="561">
        <v>0</v>
      </c>
      <c r="OA361" s="561">
        <v>0</v>
      </c>
      <c r="OB361" s="561">
        <v>0</v>
      </c>
      <c r="OC361" s="561">
        <v>0</v>
      </c>
      <c r="OD361" s="561">
        <v>0</v>
      </c>
      <c r="OE361" s="561">
        <v>0</v>
      </c>
      <c r="OF361" s="561">
        <v>0</v>
      </c>
      <c r="OG361" s="561">
        <v>0</v>
      </c>
      <c r="OH361" s="561">
        <v>0</v>
      </c>
      <c r="OI361" s="561">
        <v>0</v>
      </c>
      <c r="OJ361" s="561">
        <v>0</v>
      </c>
      <c r="OK361" s="561">
        <v>0</v>
      </c>
      <c r="OL361" s="561">
        <v>0</v>
      </c>
      <c r="OM361" s="561">
        <v>0</v>
      </c>
      <c r="ON361" s="561">
        <v>0</v>
      </c>
      <c r="OO361" s="561">
        <v>0</v>
      </c>
      <c r="OP361" s="561">
        <v>0</v>
      </c>
      <c r="OQ361" s="561">
        <v>0</v>
      </c>
      <c r="OR361" s="561">
        <v>0</v>
      </c>
      <c r="OS361" s="561">
        <v>0</v>
      </c>
      <c r="OT361" s="561">
        <v>0</v>
      </c>
      <c r="OU361" s="561">
        <v>0</v>
      </c>
      <c r="OV361" s="561">
        <v>0</v>
      </c>
      <c r="OW361" s="561">
        <v>0</v>
      </c>
      <c r="OX361" s="561">
        <v>0</v>
      </c>
      <c r="OY361" s="561">
        <v>0</v>
      </c>
      <c r="OZ361" s="561">
        <v>0</v>
      </c>
      <c r="PA361" s="561">
        <v>0</v>
      </c>
      <c r="PB361" s="561">
        <v>0</v>
      </c>
      <c r="PC361" s="561">
        <v>0</v>
      </c>
      <c r="PD361" s="561">
        <v>0</v>
      </c>
      <c r="PE361" s="561">
        <v>0</v>
      </c>
      <c r="PF361" s="561">
        <v>0</v>
      </c>
      <c r="PG361" s="561">
        <v>0</v>
      </c>
      <c r="PH361" s="561">
        <v>0</v>
      </c>
      <c r="PI361" s="561">
        <v>0</v>
      </c>
      <c r="PJ361" s="561">
        <v>0</v>
      </c>
    </row>
    <row r="362" spans="1:426" ht="14" x14ac:dyDescent="0.3">
      <c r="A362" t="s">
        <v>3526</v>
      </c>
      <c r="B362" t="s">
        <v>3527</v>
      </c>
      <c r="C362" t="s">
        <v>3528</v>
      </c>
      <c r="E362" t="s">
        <v>2476</v>
      </c>
      <c r="F362" s="561">
        <v>38115</v>
      </c>
      <c r="G362" s="561">
        <v>170408</v>
      </c>
      <c r="H362" s="561">
        <v>118872</v>
      </c>
      <c r="I362" s="561">
        <v>64023</v>
      </c>
      <c r="J362" s="561">
        <v>4257</v>
      </c>
      <c r="K362" s="561">
        <v>32365</v>
      </c>
      <c r="L362" s="561">
        <v>428040</v>
      </c>
      <c r="M362" s="561">
        <v>30180</v>
      </c>
      <c r="N362" s="561">
        <v>-2397</v>
      </c>
      <c r="O362" s="561">
        <v>0</v>
      </c>
      <c r="P362" s="561">
        <v>0</v>
      </c>
      <c r="Q362" s="561">
        <v>1230</v>
      </c>
      <c r="R362" s="561">
        <v>42</v>
      </c>
      <c r="S362" s="561">
        <v>0</v>
      </c>
      <c r="T362" s="561">
        <v>1106</v>
      </c>
      <c r="U362" s="561">
        <v>414</v>
      </c>
      <c r="V362" s="561">
        <v>2067</v>
      </c>
      <c r="W362" s="561">
        <v>0</v>
      </c>
      <c r="X362" s="561">
        <v>0</v>
      </c>
      <c r="Y362" s="561">
        <v>475</v>
      </c>
      <c r="Z362" s="561">
        <v>506</v>
      </c>
      <c r="AA362" s="561">
        <v>-15901</v>
      </c>
      <c r="AB362" s="561">
        <v>-170</v>
      </c>
      <c r="AC362" s="561">
        <v>9646</v>
      </c>
      <c r="AD362" s="561">
        <v>0</v>
      </c>
      <c r="AE362" s="561">
        <v>0</v>
      </c>
      <c r="AF362" s="561">
        <v>0</v>
      </c>
      <c r="AG362" s="561">
        <v>0</v>
      </c>
      <c r="AH362" s="561">
        <v>0</v>
      </c>
      <c r="AI362" s="561">
        <v>0</v>
      </c>
      <c r="AJ362" s="561">
        <v>-2982</v>
      </c>
      <c r="AK362" s="561">
        <v>2071</v>
      </c>
      <c r="AL362" s="561">
        <v>0</v>
      </c>
      <c r="AM362" s="561">
        <v>0</v>
      </c>
      <c r="AN362" s="561">
        <v>0</v>
      </c>
      <c r="AO362" s="561">
        <v>0</v>
      </c>
      <c r="AP362" s="561">
        <v>0</v>
      </c>
      <c r="AQ362" s="561">
        <v>0</v>
      </c>
      <c r="AR362" s="561">
        <v>0</v>
      </c>
      <c r="AS362" s="561">
        <v>16435</v>
      </c>
      <c r="AT362" s="561">
        <v>17286</v>
      </c>
      <c r="AU362" s="561">
        <v>0</v>
      </c>
      <c r="AV362" s="561">
        <v>0</v>
      </c>
      <c r="AW362" s="561">
        <v>0</v>
      </c>
      <c r="AX362" s="561">
        <v>11106</v>
      </c>
      <c r="AY362" s="561">
        <v>28666</v>
      </c>
      <c r="AZ362" s="561">
        <v>9901</v>
      </c>
      <c r="BA362" s="561">
        <v>15573</v>
      </c>
      <c r="BB362" s="561">
        <v>2026</v>
      </c>
      <c r="BC362" s="561">
        <v>17805</v>
      </c>
      <c r="BD362" s="561">
        <v>8580</v>
      </c>
      <c r="BE362" s="561">
        <v>1918</v>
      </c>
      <c r="BF362" s="561">
        <v>95575</v>
      </c>
      <c r="BG362" s="561">
        <v>12537</v>
      </c>
      <c r="BH362" s="561">
        <v>17681</v>
      </c>
      <c r="BI362" s="561">
        <v>43832</v>
      </c>
      <c r="BJ362" s="561">
        <v>95</v>
      </c>
      <c r="BK362" s="561">
        <v>549</v>
      </c>
      <c r="BL362" s="561">
        <v>325</v>
      </c>
      <c r="BM362" s="561">
        <v>2765</v>
      </c>
      <c r="BN362" s="561">
        <v>37087</v>
      </c>
      <c r="BO362" s="561">
        <v>4372</v>
      </c>
      <c r="BP362" s="561">
        <v>12844</v>
      </c>
      <c r="BQ362" s="561">
        <v>10486</v>
      </c>
      <c r="BR362" s="561">
        <v>399</v>
      </c>
      <c r="BS362" s="561">
        <v>20</v>
      </c>
      <c r="BT362" s="561">
        <v>2879</v>
      </c>
      <c r="BU362" s="561">
        <v>836</v>
      </c>
      <c r="BV362" s="561">
        <v>1016</v>
      </c>
      <c r="BW362" s="561">
        <v>13636</v>
      </c>
      <c r="BX362" s="561">
        <v>2153</v>
      </c>
      <c r="BY362" s="561">
        <v>14912</v>
      </c>
      <c r="BZ362" s="561">
        <v>165887</v>
      </c>
      <c r="CA362" s="561">
        <v>4658</v>
      </c>
      <c r="CB362" s="561">
        <v>5665</v>
      </c>
      <c r="CC362" s="561">
        <v>1858</v>
      </c>
      <c r="CD362" s="561">
        <v>433</v>
      </c>
      <c r="CE362" s="561">
        <v>286</v>
      </c>
      <c r="CF362" s="561">
        <v>178</v>
      </c>
      <c r="CG362" s="561">
        <v>159</v>
      </c>
      <c r="CH362" s="561">
        <v>291</v>
      </c>
      <c r="CI362" s="561">
        <v>1149</v>
      </c>
      <c r="CJ362" s="561">
        <v>883</v>
      </c>
      <c r="CK362" s="561">
        <v>1084</v>
      </c>
      <c r="CL362" s="561">
        <v>547</v>
      </c>
      <c r="CM362" s="561">
        <v>3550</v>
      </c>
      <c r="CN362" s="561">
        <v>1115</v>
      </c>
      <c r="CO362" s="561">
        <v>1728</v>
      </c>
      <c r="CP362" s="561">
        <v>601</v>
      </c>
      <c r="CQ362" s="561">
        <v>356</v>
      </c>
      <c r="CR362" s="561">
        <v>906</v>
      </c>
      <c r="CS362" s="561">
        <v>211</v>
      </c>
      <c r="CT362" s="561">
        <v>4537</v>
      </c>
      <c r="CU362" s="561">
        <v>7965</v>
      </c>
      <c r="CV362" s="561">
        <v>4518</v>
      </c>
      <c r="CW362" s="561">
        <v>119</v>
      </c>
      <c r="CX362" s="561">
        <v>1024</v>
      </c>
      <c r="CY362" s="561">
        <v>4169</v>
      </c>
      <c r="CZ362" s="561">
        <v>43332</v>
      </c>
      <c r="DA362" s="561">
        <v>195</v>
      </c>
      <c r="DB362" s="561">
        <v>0</v>
      </c>
      <c r="DC362" s="561">
        <v>0</v>
      </c>
      <c r="DD362" s="561">
        <v>0</v>
      </c>
      <c r="DE362" s="561">
        <v>0</v>
      </c>
      <c r="DF362" s="561">
        <v>0</v>
      </c>
      <c r="DG362" s="561">
        <v>0</v>
      </c>
      <c r="DH362" s="561">
        <v>2988</v>
      </c>
      <c r="DI362" s="561">
        <v>0</v>
      </c>
      <c r="DJ362" s="561">
        <v>-322</v>
      </c>
      <c r="DK362" s="561">
        <v>136</v>
      </c>
      <c r="DL362" s="561">
        <v>-426</v>
      </c>
      <c r="DM362" s="561">
        <v>13183</v>
      </c>
      <c r="DN362" s="561">
        <v>0</v>
      </c>
      <c r="DO362" s="561">
        <v>7888</v>
      </c>
      <c r="DP362" s="561">
        <v>-2634</v>
      </c>
      <c r="DQ362" s="561">
        <v>0</v>
      </c>
      <c r="DR362" s="561">
        <v>4082</v>
      </c>
      <c r="DS362" s="561">
        <v>10950</v>
      </c>
      <c r="DT362" s="561">
        <v>2253</v>
      </c>
      <c r="DU362" s="561">
        <v>35296</v>
      </c>
      <c r="DV362" s="561">
        <v>0</v>
      </c>
      <c r="DW362" s="561">
        <v>0</v>
      </c>
      <c r="DX362" s="561">
        <v>0</v>
      </c>
      <c r="DY362" s="561">
        <v>5558</v>
      </c>
      <c r="DZ362" s="561">
        <v>8</v>
      </c>
      <c r="EA362" s="561">
        <v>0</v>
      </c>
      <c r="EB362" s="561">
        <v>183</v>
      </c>
      <c r="EC362" s="561">
        <v>43847</v>
      </c>
      <c r="ED362" s="561">
        <v>5546</v>
      </c>
      <c r="EE362" s="561">
        <v>81899</v>
      </c>
      <c r="EF362" s="561">
        <v>4765</v>
      </c>
      <c r="EG362" s="561">
        <v>40629</v>
      </c>
      <c r="EH362" s="561">
        <v>0</v>
      </c>
      <c r="EI362" s="561">
        <v>0</v>
      </c>
      <c r="EJ362" s="561">
        <v>9013</v>
      </c>
      <c r="EK362" s="561">
        <v>0</v>
      </c>
      <c r="EL362" s="561">
        <v>183</v>
      </c>
      <c r="EM362" s="561">
        <v>0</v>
      </c>
      <c r="EN362" s="561">
        <v>35701</v>
      </c>
      <c r="EO362" s="561">
        <v>39620</v>
      </c>
      <c r="EP362" s="561">
        <v>9100</v>
      </c>
      <c r="EQ362" s="561">
        <v>16029</v>
      </c>
      <c r="ER362" s="561">
        <v>11419</v>
      </c>
      <c r="ES362" s="561" t="s">
        <v>4565</v>
      </c>
      <c r="ET362" s="561">
        <v>17027</v>
      </c>
      <c r="EU362" s="561">
        <v>0</v>
      </c>
      <c r="EV362" s="561">
        <v>109</v>
      </c>
      <c r="EW362" s="561">
        <v>143</v>
      </c>
      <c r="EX362" s="561">
        <v>3744</v>
      </c>
      <c r="EY362" s="561">
        <v>318</v>
      </c>
      <c r="EZ362" s="561">
        <v>3279</v>
      </c>
      <c r="FA362" s="561">
        <v>33373</v>
      </c>
      <c r="FB362" s="561">
        <v>0</v>
      </c>
      <c r="FC362" s="561">
        <v>-1154</v>
      </c>
      <c r="FD362" s="561">
        <v>0</v>
      </c>
      <c r="FE362" s="561">
        <v>0</v>
      </c>
      <c r="FF362" s="561">
        <v>0</v>
      </c>
      <c r="FG362" s="561">
        <v>-129</v>
      </c>
      <c r="FH362" s="561">
        <v>0</v>
      </c>
      <c r="FI362" s="561">
        <v>1061</v>
      </c>
      <c r="FJ362" s="561">
        <v>4810</v>
      </c>
      <c r="FK362" s="561">
        <v>4395</v>
      </c>
      <c r="FL362" s="561">
        <v>0</v>
      </c>
      <c r="FM362" s="561">
        <v>0</v>
      </c>
      <c r="FN362" s="561">
        <v>7495</v>
      </c>
      <c r="FO362" s="561">
        <v>16478</v>
      </c>
      <c r="FP362" s="561">
        <v>957</v>
      </c>
      <c r="FQ362" s="561">
        <v>177</v>
      </c>
      <c r="FR362" s="561">
        <v>879</v>
      </c>
      <c r="FS362" s="561">
        <v>0</v>
      </c>
      <c r="FT362" s="561">
        <v>598</v>
      </c>
      <c r="FU362" s="561">
        <v>3794</v>
      </c>
      <c r="FV362" s="561">
        <v>780</v>
      </c>
      <c r="FW362" s="561">
        <v>730</v>
      </c>
      <c r="FX362" s="561">
        <v>0</v>
      </c>
      <c r="FY362" s="561">
        <v>0</v>
      </c>
      <c r="FZ362" s="561">
        <v>35</v>
      </c>
      <c r="GA362" s="561">
        <v>0</v>
      </c>
      <c r="GB362" s="561">
        <v>291</v>
      </c>
      <c r="GC362" s="561">
        <v>-20</v>
      </c>
      <c r="GD362" s="561">
        <v>3516</v>
      </c>
      <c r="GE362" s="561">
        <v>11117</v>
      </c>
      <c r="GF362" s="561">
        <v>1747</v>
      </c>
      <c r="GG362" s="561">
        <v>0</v>
      </c>
      <c r="GH362" s="561">
        <v>0</v>
      </c>
      <c r="GI362" s="561">
        <v>0</v>
      </c>
      <c r="GJ362" s="561">
        <v>0</v>
      </c>
      <c r="GK362" s="561">
        <v>0</v>
      </c>
      <c r="GL362" s="561">
        <v>23713</v>
      </c>
      <c r="GM362" s="561">
        <v>11437</v>
      </c>
      <c r="GN362" s="561">
        <v>9846</v>
      </c>
      <c r="GO362" s="561">
        <v>-1305</v>
      </c>
      <c r="GP362" s="561">
        <v>7135</v>
      </c>
      <c r="GQ362" s="561">
        <v>865</v>
      </c>
      <c r="GR362" s="561">
        <v>0</v>
      </c>
      <c r="GS362" s="561">
        <v>75335</v>
      </c>
      <c r="GT362" s="561">
        <v>7876</v>
      </c>
      <c r="GU362" s="561">
        <v>1560</v>
      </c>
      <c r="GV362" s="561">
        <v>2638</v>
      </c>
      <c r="GW362" s="561">
        <v>464</v>
      </c>
      <c r="GX362" s="561">
        <v>2040</v>
      </c>
      <c r="GY362" s="561">
        <v>0</v>
      </c>
      <c r="GZ362" s="561">
        <v>3294</v>
      </c>
      <c r="HA362" s="561">
        <v>0</v>
      </c>
      <c r="HB362" s="561">
        <v>0</v>
      </c>
      <c r="HC362" s="561">
        <v>11019</v>
      </c>
      <c r="HD362" s="561">
        <v>21015</v>
      </c>
      <c r="HE362" s="561">
        <v>630</v>
      </c>
      <c r="HF362" s="561">
        <v>112828</v>
      </c>
      <c r="HG362" s="561">
        <v>0</v>
      </c>
      <c r="HH362" s="561">
        <v>0</v>
      </c>
      <c r="HI362" s="561">
        <v>0</v>
      </c>
      <c r="HJ362" s="561">
        <v>0</v>
      </c>
      <c r="HK362" s="561">
        <v>0</v>
      </c>
      <c r="HL362" s="561">
        <v>0</v>
      </c>
      <c r="HM362" s="561">
        <v>0</v>
      </c>
      <c r="HN362" s="561">
        <v>0</v>
      </c>
      <c r="HO362" s="561">
        <v>7279</v>
      </c>
      <c r="HP362" s="561">
        <v>1474</v>
      </c>
      <c r="HQ362" s="561">
        <v>0</v>
      </c>
      <c r="HR362" s="561">
        <v>0</v>
      </c>
      <c r="HS362" s="561">
        <v>29</v>
      </c>
      <c r="HT362" s="561">
        <v>0</v>
      </c>
      <c r="HU362" s="561">
        <v>0</v>
      </c>
      <c r="HV362" s="561">
        <v>-250</v>
      </c>
      <c r="HW362" s="561">
        <v>702</v>
      </c>
      <c r="HX362" s="561">
        <v>136</v>
      </c>
      <c r="HY362" s="561">
        <v>372</v>
      </c>
      <c r="HZ362" s="561">
        <v>-963</v>
      </c>
      <c r="IA362" s="561">
        <v>0</v>
      </c>
      <c r="IB362" s="561">
        <v>0</v>
      </c>
      <c r="IC362" s="561">
        <v>844</v>
      </c>
      <c r="ID362" s="561">
        <v>0</v>
      </c>
      <c r="IE362" s="561">
        <v>0</v>
      </c>
      <c r="IF362" s="561">
        <v>3158</v>
      </c>
      <c r="IG362" s="561">
        <v>0</v>
      </c>
      <c r="IH362" s="561">
        <v>1813</v>
      </c>
      <c r="II362" s="561">
        <v>14594</v>
      </c>
      <c r="IJ362" s="561">
        <v>8984</v>
      </c>
      <c r="IK362" s="561">
        <v>0</v>
      </c>
      <c r="IL362" s="561">
        <v>48931</v>
      </c>
      <c r="IM362" s="561">
        <v>0</v>
      </c>
      <c r="IN362" s="561">
        <v>0</v>
      </c>
      <c r="IO362" s="561">
        <v>41936</v>
      </c>
      <c r="IP362" s="561">
        <v>0</v>
      </c>
      <c r="IQ362" s="561">
        <v>0</v>
      </c>
      <c r="IR362" s="561">
        <v>428040</v>
      </c>
      <c r="IS362" s="561">
        <v>-2982</v>
      </c>
      <c r="IT362" s="561">
        <v>95575</v>
      </c>
      <c r="IU362" s="561">
        <v>165887</v>
      </c>
      <c r="IV362" s="561">
        <v>43332</v>
      </c>
      <c r="IW362" s="561">
        <v>43847</v>
      </c>
      <c r="IX362" s="561">
        <v>16478</v>
      </c>
      <c r="IY362" s="561">
        <v>75335</v>
      </c>
      <c r="IZ362" s="561">
        <v>21015</v>
      </c>
      <c r="JA362" s="561">
        <v>0</v>
      </c>
      <c r="JB362" s="561">
        <v>0</v>
      </c>
      <c r="JC362" s="561">
        <v>14594</v>
      </c>
      <c r="JD362" s="561">
        <v>0</v>
      </c>
      <c r="JE362" s="561">
        <v>901121</v>
      </c>
      <c r="JF362" s="561">
        <v>105421</v>
      </c>
      <c r="JG362" s="561">
        <v>42594</v>
      </c>
      <c r="JH362" s="561">
        <v>23787</v>
      </c>
      <c r="JI362" s="561">
        <v>0</v>
      </c>
      <c r="JJ362" s="561">
        <v>0</v>
      </c>
      <c r="JK362" s="561">
        <v>0</v>
      </c>
      <c r="JL362" s="561">
        <v>0</v>
      </c>
      <c r="JM362" s="561">
        <v>0</v>
      </c>
      <c r="JN362" s="561">
        <v>1537</v>
      </c>
      <c r="JO362" s="561">
        <v>296</v>
      </c>
      <c r="JP362" s="561">
        <v>-23</v>
      </c>
      <c r="JQ362" s="561">
        <v>373</v>
      </c>
      <c r="JR362" s="561">
        <v>0</v>
      </c>
      <c r="JS362" s="561">
        <v>0</v>
      </c>
      <c r="JT362" s="561">
        <v>1828</v>
      </c>
      <c r="JU362" s="561">
        <v>0</v>
      </c>
      <c r="JV362" s="561">
        <v>1076934</v>
      </c>
      <c r="JW362" s="561">
        <v>273</v>
      </c>
      <c r="JX362" s="561">
        <v>2817</v>
      </c>
      <c r="JY362" s="561">
        <v>0</v>
      </c>
      <c r="JZ362" s="561">
        <v>-1813</v>
      </c>
      <c r="KA362" s="561">
        <v>0</v>
      </c>
      <c r="KB362" s="561">
        <v>0</v>
      </c>
      <c r="KC362" s="561">
        <v>11233</v>
      </c>
      <c r="KD362" s="561">
        <v>0</v>
      </c>
      <c r="KE362" s="561">
        <v>7877</v>
      </c>
      <c r="KF362" s="561">
        <v>0</v>
      </c>
      <c r="KG362" s="561">
        <v>1097321</v>
      </c>
      <c r="KH362" s="561">
        <v>-625</v>
      </c>
      <c r="KI362" s="561">
        <v>3686</v>
      </c>
      <c r="KJ362" s="561">
        <v>437</v>
      </c>
      <c r="KK362" s="561">
        <v>0</v>
      </c>
      <c r="KL362" s="561">
        <v>-188309</v>
      </c>
      <c r="KM362" s="561">
        <v>0</v>
      </c>
      <c r="KN362" s="561">
        <v>-780</v>
      </c>
      <c r="KO362" s="561">
        <v>0</v>
      </c>
      <c r="KP362" s="561">
        <v>0</v>
      </c>
      <c r="KQ362" s="561">
        <v>-4288</v>
      </c>
      <c r="KR362" s="561">
        <v>907442</v>
      </c>
      <c r="KS362" s="561">
        <v>0</v>
      </c>
      <c r="KT362" s="561">
        <v>-515394</v>
      </c>
      <c r="KU362" s="561">
        <v>392048</v>
      </c>
      <c r="KV362" s="561">
        <v>0</v>
      </c>
      <c r="KW362" s="561">
        <v>-2387</v>
      </c>
      <c r="KX362" s="561">
        <v>0</v>
      </c>
      <c r="KY362" s="561">
        <v>-3603</v>
      </c>
      <c r="KZ362" s="561">
        <v>-41107</v>
      </c>
      <c r="LA362" s="561">
        <v>0</v>
      </c>
      <c r="LB362" s="561">
        <v>-41954</v>
      </c>
      <c r="LC362" s="561">
        <v>0</v>
      </c>
      <c r="LD362" s="561">
        <v>-177629</v>
      </c>
      <c r="LE362" s="561">
        <v>12800</v>
      </c>
      <c r="LF362" s="561">
        <v>0</v>
      </c>
      <c r="LG362" s="561">
        <v>138168</v>
      </c>
      <c r="LH362" s="561">
        <v>33977</v>
      </c>
      <c r="LI362" s="561">
        <v>-15828</v>
      </c>
      <c r="LJ362" s="561">
        <v>0</v>
      </c>
      <c r="LK362" s="561">
        <v>7286</v>
      </c>
      <c r="LL362" s="561">
        <v>167016</v>
      </c>
      <c r="LM362" s="561">
        <v>21234</v>
      </c>
      <c r="LN362" s="561">
        <v>31590</v>
      </c>
      <c r="LO362" s="561">
        <v>-20116</v>
      </c>
      <c r="LP362" s="561">
        <v>0</v>
      </c>
      <c r="LQ362" s="561">
        <v>3683</v>
      </c>
      <c r="LR362" s="561">
        <v>125909</v>
      </c>
      <c r="LS362" s="561">
        <v>21234</v>
      </c>
      <c r="LT362" s="561">
        <v>0</v>
      </c>
      <c r="LU362" s="561">
        <v>55152</v>
      </c>
      <c r="LV362" s="561">
        <v>0</v>
      </c>
      <c r="LW362" s="561">
        <v>-36518</v>
      </c>
      <c r="LX362" s="561">
        <v>-66944</v>
      </c>
      <c r="LY362" s="561">
        <v>9684</v>
      </c>
      <c r="LZ362" s="561">
        <v>-38626</v>
      </c>
      <c r="MA362" s="561">
        <v>0</v>
      </c>
      <c r="MB362" s="561">
        <v>0</v>
      </c>
      <c r="MC362" s="561">
        <v>136489</v>
      </c>
      <c r="MD362" s="561">
        <v>133210</v>
      </c>
      <c r="ME362" s="561">
        <v>3279</v>
      </c>
      <c r="MF362" s="561">
        <v>33373</v>
      </c>
      <c r="MG362" s="561">
        <v>36652</v>
      </c>
      <c r="MH362" s="561">
        <v>9715</v>
      </c>
      <c r="MI362" s="561">
        <v>24942</v>
      </c>
      <c r="MJ362" s="561">
        <v>34657</v>
      </c>
      <c r="MK362" s="561">
        <v>0</v>
      </c>
      <c r="ML362" s="561">
        <v>0</v>
      </c>
      <c r="MM362" s="561">
        <v>89372</v>
      </c>
      <c r="MN362" s="561">
        <v>10663</v>
      </c>
      <c r="MO362" s="561">
        <v>25874</v>
      </c>
      <c r="MP362" s="561">
        <v>0</v>
      </c>
      <c r="MQ362" s="561">
        <v>428040</v>
      </c>
      <c r="MR362" s="561">
        <v>-2982</v>
      </c>
      <c r="MS362" s="561">
        <v>95575</v>
      </c>
      <c r="MT362" s="561">
        <v>165887</v>
      </c>
      <c r="MU362" s="561">
        <v>43332</v>
      </c>
      <c r="MV362" s="561">
        <v>43847</v>
      </c>
      <c r="MW362" s="561">
        <v>16478</v>
      </c>
      <c r="MX362" s="561">
        <v>75335</v>
      </c>
      <c r="MY362" s="561">
        <v>21015</v>
      </c>
      <c r="MZ362" s="561">
        <v>0</v>
      </c>
      <c r="NA362" s="561">
        <v>0</v>
      </c>
      <c r="NB362" s="561">
        <v>14594</v>
      </c>
      <c r="NC362" s="561">
        <v>0</v>
      </c>
      <c r="ND362" s="561">
        <v>901121</v>
      </c>
      <c r="NE362" s="561">
        <v>0</v>
      </c>
      <c r="NF362" s="561">
        <v>0</v>
      </c>
      <c r="NG362" s="561">
        <v>0</v>
      </c>
      <c r="NH362" s="561">
        <v>0</v>
      </c>
      <c r="NI362" s="561">
        <v>0</v>
      </c>
      <c r="NJ362" s="561">
        <v>0</v>
      </c>
      <c r="NK362" s="561">
        <v>0</v>
      </c>
      <c r="NL362" s="561">
        <v>0</v>
      </c>
      <c r="NM362" s="561">
        <v>0</v>
      </c>
      <c r="NN362" s="561">
        <v>0</v>
      </c>
      <c r="NO362" s="561">
        <v>0</v>
      </c>
      <c r="NP362" s="561">
        <v>0</v>
      </c>
      <c r="NQ362" s="561">
        <v>0</v>
      </c>
      <c r="NR362" s="561">
        <v>0</v>
      </c>
      <c r="NS362" s="561">
        <v>0</v>
      </c>
      <c r="NT362" s="561">
        <v>0</v>
      </c>
      <c r="NU362" s="561">
        <v>0</v>
      </c>
      <c r="NV362" s="561">
        <v>-23</v>
      </c>
      <c r="NW362" s="561">
        <v>-23</v>
      </c>
      <c r="NX362" s="561">
        <v>0</v>
      </c>
      <c r="NY362" s="561">
        <v>-23</v>
      </c>
      <c r="NZ362" s="561">
        <v>0</v>
      </c>
      <c r="OA362" s="561">
        <v>0</v>
      </c>
      <c r="OB362" s="561">
        <v>0</v>
      </c>
      <c r="OC362" s="561">
        <v>0</v>
      </c>
      <c r="OD362" s="561">
        <v>0</v>
      </c>
      <c r="OE362" s="561">
        <v>0</v>
      </c>
      <c r="OF362" s="561">
        <v>0</v>
      </c>
      <c r="OG362" s="561">
        <v>0</v>
      </c>
      <c r="OH362" s="561">
        <v>0</v>
      </c>
      <c r="OI362" s="561">
        <v>0</v>
      </c>
      <c r="OJ362" s="561">
        <v>0</v>
      </c>
      <c r="OK362" s="561">
        <v>0</v>
      </c>
      <c r="OL362" s="561">
        <v>0</v>
      </c>
      <c r="OM362" s="561">
        <v>-18</v>
      </c>
      <c r="ON362" s="561">
        <v>391</v>
      </c>
      <c r="OO362" s="561">
        <v>0</v>
      </c>
      <c r="OP362" s="561">
        <v>0</v>
      </c>
      <c r="OQ362" s="561">
        <v>0</v>
      </c>
      <c r="OR362" s="561">
        <v>0</v>
      </c>
      <c r="OS362" s="561">
        <v>0</v>
      </c>
      <c r="OT362" s="561">
        <v>0</v>
      </c>
      <c r="OU362" s="561">
        <v>0</v>
      </c>
      <c r="OV362" s="561">
        <v>247</v>
      </c>
      <c r="OW362" s="561">
        <v>0</v>
      </c>
      <c r="OX362" s="561">
        <v>373</v>
      </c>
      <c r="OY362" s="561">
        <v>0</v>
      </c>
      <c r="OZ362" s="561">
        <v>0</v>
      </c>
      <c r="PA362" s="561">
        <v>0</v>
      </c>
      <c r="PB362" s="561">
        <v>0</v>
      </c>
      <c r="PC362" s="561">
        <v>0</v>
      </c>
      <c r="PD362" s="561">
        <v>0</v>
      </c>
      <c r="PE362" s="561">
        <v>0</v>
      </c>
      <c r="PF362" s="561">
        <v>0</v>
      </c>
      <c r="PG362" s="561">
        <v>0</v>
      </c>
      <c r="PH362" s="561">
        <v>0</v>
      </c>
      <c r="PI362" s="561">
        <v>0</v>
      </c>
      <c r="PJ362" s="561">
        <v>0</v>
      </c>
    </row>
    <row r="363" spans="1:426" ht="14" x14ac:dyDescent="0.3">
      <c r="A363" t="s">
        <v>3529</v>
      </c>
      <c r="B363" t="s">
        <v>3530</v>
      </c>
      <c r="C363" t="s">
        <v>3531</v>
      </c>
      <c r="E363" t="s">
        <v>379</v>
      </c>
      <c r="F363" s="561">
        <v>24399</v>
      </c>
      <c r="G363" s="561">
        <v>110743</v>
      </c>
      <c r="H363" s="561">
        <v>42626</v>
      </c>
      <c r="I363" s="561">
        <v>26453</v>
      </c>
      <c r="J363" s="561">
        <v>9075</v>
      </c>
      <c r="K363" s="561">
        <v>13654</v>
      </c>
      <c r="L363" s="561">
        <v>226950</v>
      </c>
      <c r="M363" s="561">
        <v>2</v>
      </c>
      <c r="N363" s="561">
        <v>523</v>
      </c>
      <c r="O363" s="561">
        <v>0</v>
      </c>
      <c r="P363" s="561">
        <v>-321</v>
      </c>
      <c r="Q363" s="561">
        <v>508</v>
      </c>
      <c r="R363" s="561">
        <v>180</v>
      </c>
      <c r="S363" s="561">
        <v>-127</v>
      </c>
      <c r="T363" s="561">
        <v>1493</v>
      </c>
      <c r="U363" s="561">
        <v>437</v>
      </c>
      <c r="V363" s="561">
        <v>1973</v>
      </c>
      <c r="W363" s="561">
        <v>0</v>
      </c>
      <c r="X363" s="561">
        <v>0</v>
      </c>
      <c r="Y363" s="561">
        <v>728</v>
      </c>
      <c r="Z363" s="561">
        <v>0</v>
      </c>
      <c r="AA363" s="561">
        <v>-2362</v>
      </c>
      <c r="AB363" s="561">
        <v>807</v>
      </c>
      <c r="AC363" s="561">
        <v>0</v>
      </c>
      <c r="AD363" s="561">
        <v>0</v>
      </c>
      <c r="AE363" s="561">
        <v>0</v>
      </c>
      <c r="AF363" s="561">
        <v>0</v>
      </c>
      <c r="AG363" s="561">
        <v>0</v>
      </c>
      <c r="AH363" s="561">
        <v>0</v>
      </c>
      <c r="AI363" s="561">
        <v>0</v>
      </c>
      <c r="AJ363" s="561">
        <v>3839</v>
      </c>
      <c r="AK363" s="561">
        <v>13</v>
      </c>
      <c r="AL363" s="561">
        <v>0</v>
      </c>
      <c r="AM363" s="561">
        <v>0</v>
      </c>
      <c r="AN363" s="561">
        <v>0</v>
      </c>
      <c r="AO363" s="561">
        <v>0</v>
      </c>
      <c r="AP363" s="561">
        <v>0</v>
      </c>
      <c r="AQ363" s="561">
        <v>0</v>
      </c>
      <c r="AR363" s="561">
        <v>0</v>
      </c>
      <c r="AS363" s="561">
        <v>1699</v>
      </c>
      <c r="AT363" s="561">
        <v>1568</v>
      </c>
      <c r="AU363" s="561">
        <v>0</v>
      </c>
      <c r="AV363" s="561">
        <v>0</v>
      </c>
      <c r="AW363" s="561">
        <v>0</v>
      </c>
      <c r="AX363" s="561">
        <v>3275</v>
      </c>
      <c r="AY363" s="561">
        <v>30066</v>
      </c>
      <c r="AZ363" s="561">
        <v>1008</v>
      </c>
      <c r="BA363" s="561">
        <v>5150</v>
      </c>
      <c r="BB363" s="561">
        <v>1402</v>
      </c>
      <c r="BC363" s="561">
        <v>13774</v>
      </c>
      <c r="BD363" s="561">
        <v>0</v>
      </c>
      <c r="BE363" s="561">
        <v>1242</v>
      </c>
      <c r="BF363" s="561">
        <v>55917</v>
      </c>
      <c r="BG363" s="561">
        <v>5131</v>
      </c>
      <c r="BH363" s="561">
        <v>7559</v>
      </c>
      <c r="BI363" s="561">
        <v>22464</v>
      </c>
      <c r="BJ363" s="561">
        <v>373</v>
      </c>
      <c r="BK363" s="561">
        <v>360</v>
      </c>
      <c r="BL363" s="561">
        <v>236</v>
      </c>
      <c r="BM363" s="561">
        <v>3133</v>
      </c>
      <c r="BN363" s="561">
        <v>33630</v>
      </c>
      <c r="BO363" s="561">
        <v>2100</v>
      </c>
      <c r="BP363" s="561">
        <v>7482</v>
      </c>
      <c r="BQ363" s="561">
        <v>4396</v>
      </c>
      <c r="BR363" s="561">
        <v>0</v>
      </c>
      <c r="BS363" s="561">
        <v>0</v>
      </c>
      <c r="BT363" s="561">
        <v>0</v>
      </c>
      <c r="BU363" s="561">
        <v>291</v>
      </c>
      <c r="BV363" s="561">
        <v>1154</v>
      </c>
      <c r="BW363" s="561">
        <v>13319</v>
      </c>
      <c r="BX363" s="561">
        <v>1068</v>
      </c>
      <c r="BY363" s="561">
        <v>2056</v>
      </c>
      <c r="BZ363" s="561">
        <v>99621</v>
      </c>
      <c r="CA363" s="561">
        <v>1361</v>
      </c>
      <c r="CB363" s="561">
        <v>1463</v>
      </c>
      <c r="CC363" s="561">
        <v>314</v>
      </c>
      <c r="CD363" s="561">
        <v>90</v>
      </c>
      <c r="CE363" s="561">
        <v>331</v>
      </c>
      <c r="CF363" s="561">
        <v>4</v>
      </c>
      <c r="CG363" s="561">
        <v>1</v>
      </c>
      <c r="CH363" s="561">
        <v>1038</v>
      </c>
      <c r="CI363" s="561">
        <v>13</v>
      </c>
      <c r="CJ363" s="561">
        <v>0</v>
      </c>
      <c r="CK363" s="561">
        <v>16</v>
      </c>
      <c r="CL363" s="561">
        <v>0</v>
      </c>
      <c r="CM363" s="561">
        <v>1243</v>
      </c>
      <c r="CN363" s="561">
        <v>1276</v>
      </c>
      <c r="CO363" s="561">
        <v>0</v>
      </c>
      <c r="CP363" s="561">
        <v>0</v>
      </c>
      <c r="CQ363" s="561">
        <v>117</v>
      </c>
      <c r="CR363" s="561">
        <v>352</v>
      </c>
      <c r="CS363" s="561">
        <v>0</v>
      </c>
      <c r="CT363" s="561">
        <v>1586</v>
      </c>
      <c r="CU363" s="561">
        <v>4130</v>
      </c>
      <c r="CV363" s="561">
        <v>459</v>
      </c>
      <c r="CW363" s="561">
        <v>0</v>
      </c>
      <c r="CX363" s="561">
        <v>69</v>
      </c>
      <c r="CY363" s="561">
        <v>2169</v>
      </c>
      <c r="CZ363" s="561">
        <v>14671</v>
      </c>
      <c r="DA363" s="561">
        <v>0</v>
      </c>
      <c r="DB363" s="561">
        <v>0</v>
      </c>
      <c r="DC363" s="561">
        <v>0</v>
      </c>
      <c r="DD363" s="561">
        <v>0</v>
      </c>
      <c r="DE363" s="561">
        <v>0</v>
      </c>
      <c r="DF363" s="561">
        <v>0</v>
      </c>
      <c r="DG363" s="561">
        <v>0</v>
      </c>
      <c r="DH363" s="561">
        <v>322</v>
      </c>
      <c r="DI363" s="561">
        <v>0</v>
      </c>
      <c r="DJ363" s="561">
        <v>0</v>
      </c>
      <c r="DK363" s="561">
        <v>0</v>
      </c>
      <c r="DL363" s="561">
        <v>0</v>
      </c>
      <c r="DM363" s="561">
        <v>-709</v>
      </c>
      <c r="DN363" s="561">
        <v>0</v>
      </c>
      <c r="DO363" s="561">
        <v>0</v>
      </c>
      <c r="DP363" s="561">
        <v>-131</v>
      </c>
      <c r="DQ363" s="561">
        <v>0</v>
      </c>
      <c r="DR363" s="561">
        <v>0</v>
      </c>
      <c r="DS363" s="561">
        <v>2499</v>
      </c>
      <c r="DT363" s="561">
        <v>392</v>
      </c>
      <c r="DU363" s="561">
        <v>2051</v>
      </c>
      <c r="DV363" s="561">
        <v>0</v>
      </c>
      <c r="DW363" s="561">
        <v>0</v>
      </c>
      <c r="DX363" s="561">
        <v>0</v>
      </c>
      <c r="DY363" s="561">
        <v>882</v>
      </c>
      <c r="DZ363" s="561">
        <v>0</v>
      </c>
      <c r="EA363" s="561">
        <v>0</v>
      </c>
      <c r="EB363" s="561">
        <v>0</v>
      </c>
      <c r="EC363" s="561">
        <v>3255</v>
      </c>
      <c r="ED363" s="561">
        <v>5</v>
      </c>
      <c r="EE363" s="561">
        <v>0</v>
      </c>
      <c r="EF363" s="561">
        <v>0</v>
      </c>
      <c r="EG363" s="561">
        <v>0</v>
      </c>
      <c r="EH363" s="561">
        <v>0</v>
      </c>
      <c r="EI363" s="561">
        <v>0</v>
      </c>
      <c r="EJ363" s="561">
        <v>0</v>
      </c>
      <c r="EK363" s="561">
        <v>0</v>
      </c>
      <c r="EL363" s="561">
        <v>0</v>
      </c>
      <c r="EM363" s="561">
        <v>0</v>
      </c>
      <c r="EN363" s="561">
        <v>0</v>
      </c>
      <c r="EO363" s="561">
        <v>0</v>
      </c>
      <c r="EP363" s="561">
        <v>0</v>
      </c>
      <c r="EQ363" s="561">
        <v>0</v>
      </c>
      <c r="ER363" s="561">
        <v>0</v>
      </c>
      <c r="ES363" s="561" t="s">
        <v>4565</v>
      </c>
      <c r="ET363" s="561">
        <v>0</v>
      </c>
      <c r="EU363" s="561">
        <v>0</v>
      </c>
      <c r="EV363" s="561">
        <v>0</v>
      </c>
      <c r="EW363" s="561">
        <v>0</v>
      </c>
      <c r="EX363" s="561">
        <v>0</v>
      </c>
      <c r="EY363" s="561">
        <v>0</v>
      </c>
      <c r="EZ363" s="561">
        <v>0</v>
      </c>
      <c r="FA363" s="561">
        <v>0</v>
      </c>
      <c r="FB363" s="561">
        <v>239</v>
      </c>
      <c r="FC363" s="561">
        <v>272</v>
      </c>
      <c r="FD363" s="561">
        <v>0</v>
      </c>
      <c r="FE363" s="561">
        <v>137</v>
      </c>
      <c r="FF363" s="561">
        <v>886</v>
      </c>
      <c r="FG363" s="561">
        <v>89</v>
      </c>
      <c r="FH363" s="561">
        <v>0</v>
      </c>
      <c r="FI363" s="561">
        <v>2202</v>
      </c>
      <c r="FJ363" s="561">
        <v>0</v>
      </c>
      <c r="FK363" s="561">
        <v>2977</v>
      </c>
      <c r="FL363" s="561">
        <v>0</v>
      </c>
      <c r="FM363" s="561">
        <v>87</v>
      </c>
      <c r="FN363" s="561">
        <v>2603</v>
      </c>
      <c r="FO363" s="561">
        <v>9492</v>
      </c>
      <c r="FP363" s="561">
        <v>0</v>
      </c>
      <c r="FQ363" s="561">
        <v>-1244</v>
      </c>
      <c r="FR363" s="561">
        <v>381</v>
      </c>
      <c r="FS363" s="561">
        <v>0</v>
      </c>
      <c r="FT363" s="561">
        <v>384</v>
      </c>
      <c r="FU363" s="561">
        <v>492</v>
      </c>
      <c r="FV363" s="561">
        <v>163</v>
      </c>
      <c r="FW363" s="561">
        <v>-28</v>
      </c>
      <c r="FX363" s="561">
        <v>16</v>
      </c>
      <c r="FY363" s="561">
        <v>0</v>
      </c>
      <c r="FZ363" s="561">
        <v>88</v>
      </c>
      <c r="GA363" s="561">
        <v>26</v>
      </c>
      <c r="GB363" s="561">
        <v>102</v>
      </c>
      <c r="GC363" s="561">
        <v>-103</v>
      </c>
      <c r="GD363" s="561">
        <v>406</v>
      </c>
      <c r="GE363" s="561">
        <v>148</v>
      </c>
      <c r="GF363" s="561">
        <v>548</v>
      </c>
      <c r="GG363" s="561">
        <v>0</v>
      </c>
      <c r="GH363" s="561">
        <v>735</v>
      </c>
      <c r="GI363" s="561">
        <v>0</v>
      </c>
      <c r="GJ363" s="561">
        <v>0</v>
      </c>
      <c r="GK363" s="561">
        <v>0</v>
      </c>
      <c r="GL363" s="561">
        <v>3285</v>
      </c>
      <c r="GM363" s="561">
        <v>1972</v>
      </c>
      <c r="GN363" s="561">
        <v>73</v>
      </c>
      <c r="GO363" s="561">
        <v>-221</v>
      </c>
      <c r="GP363" s="561">
        <v>4595</v>
      </c>
      <c r="GQ363" s="561">
        <v>0</v>
      </c>
      <c r="GR363" s="561">
        <v>0</v>
      </c>
      <c r="GS363" s="561">
        <v>11818</v>
      </c>
      <c r="GT363" s="561">
        <v>0</v>
      </c>
      <c r="GU363" s="561">
        <v>174</v>
      </c>
      <c r="GV363" s="561">
        <v>1140</v>
      </c>
      <c r="GW363" s="561">
        <v>0</v>
      </c>
      <c r="GX363" s="561">
        <v>1089</v>
      </c>
      <c r="GY363" s="561">
        <v>290</v>
      </c>
      <c r="GZ363" s="561">
        <v>465</v>
      </c>
      <c r="HA363" s="561">
        <v>-199</v>
      </c>
      <c r="HB363" s="561">
        <v>0</v>
      </c>
      <c r="HC363" s="561">
        <v>0</v>
      </c>
      <c r="HD363" s="561">
        <v>2959</v>
      </c>
      <c r="HE363" s="561">
        <v>13</v>
      </c>
      <c r="HF363" s="561">
        <v>24269</v>
      </c>
      <c r="HG363" s="561">
        <v>13</v>
      </c>
      <c r="HH363" s="561">
        <v>0</v>
      </c>
      <c r="HI363" s="561">
        <v>0</v>
      </c>
      <c r="HJ363" s="561">
        <v>0</v>
      </c>
      <c r="HK363" s="561">
        <v>0</v>
      </c>
      <c r="HL363" s="561">
        <v>0</v>
      </c>
      <c r="HM363" s="561">
        <v>0</v>
      </c>
      <c r="HN363" s="561">
        <v>0</v>
      </c>
      <c r="HO363" s="561">
        <v>-1467</v>
      </c>
      <c r="HP363" s="561">
        <v>1536</v>
      </c>
      <c r="HQ363" s="561">
        <v>0</v>
      </c>
      <c r="HR363" s="561">
        <v>0</v>
      </c>
      <c r="HS363" s="561">
        <v>739</v>
      </c>
      <c r="HT363" s="561">
        <v>590</v>
      </c>
      <c r="HU363" s="561">
        <v>0</v>
      </c>
      <c r="HV363" s="561">
        <v>31</v>
      </c>
      <c r="HW363" s="561">
        <v>915</v>
      </c>
      <c r="HX363" s="561">
        <v>-83</v>
      </c>
      <c r="HY363" s="561">
        <v>185</v>
      </c>
      <c r="HZ363" s="561">
        <v>-36</v>
      </c>
      <c r="IA363" s="561">
        <v>2638</v>
      </c>
      <c r="IB363" s="561">
        <v>0</v>
      </c>
      <c r="IC363" s="561">
        <v>862</v>
      </c>
      <c r="ID363" s="561">
        <v>19</v>
      </c>
      <c r="IE363" s="561">
        <v>999</v>
      </c>
      <c r="IF363" s="561">
        <v>-215</v>
      </c>
      <c r="IG363" s="561">
        <v>0</v>
      </c>
      <c r="IH363" s="561">
        <v>11762</v>
      </c>
      <c r="II363" s="561">
        <v>18475</v>
      </c>
      <c r="IJ363" s="561">
        <v>1414</v>
      </c>
      <c r="IK363" s="561">
        <v>0</v>
      </c>
      <c r="IL363" s="561">
        <v>12525</v>
      </c>
      <c r="IM363" s="561">
        <v>0</v>
      </c>
      <c r="IN363" s="561">
        <v>611</v>
      </c>
      <c r="IO363" s="561">
        <v>3177</v>
      </c>
      <c r="IP363" s="561">
        <v>-312</v>
      </c>
      <c r="IQ363" s="561">
        <v>0</v>
      </c>
      <c r="IR363" s="561">
        <v>226950</v>
      </c>
      <c r="IS363" s="561">
        <v>3839</v>
      </c>
      <c r="IT363" s="561">
        <v>55917</v>
      </c>
      <c r="IU363" s="561">
        <v>99621</v>
      </c>
      <c r="IV363" s="561">
        <v>14671</v>
      </c>
      <c r="IW363" s="561">
        <v>3255</v>
      </c>
      <c r="IX363" s="561">
        <v>9492</v>
      </c>
      <c r="IY363" s="561">
        <v>11818</v>
      </c>
      <c r="IZ363" s="561">
        <v>2959</v>
      </c>
      <c r="JA363" s="561">
        <v>0</v>
      </c>
      <c r="JB363" s="561">
        <v>0</v>
      </c>
      <c r="JC363" s="561">
        <v>18475</v>
      </c>
      <c r="JD363" s="561">
        <v>-312</v>
      </c>
      <c r="JE363" s="561">
        <v>446685</v>
      </c>
      <c r="JF363" s="561">
        <v>48042</v>
      </c>
      <c r="JG363" s="561">
        <v>0</v>
      </c>
      <c r="JH363" s="561">
        <v>0</v>
      </c>
      <c r="JI363" s="561">
        <v>0</v>
      </c>
      <c r="JJ363" s="561">
        <v>0</v>
      </c>
      <c r="JK363" s="561">
        <v>137</v>
      </c>
      <c r="JL363" s="561">
        <v>16732</v>
      </c>
      <c r="JM363" s="561">
        <v>16104</v>
      </c>
      <c r="JN363" s="561">
        <v>0</v>
      </c>
      <c r="JO363" s="561">
        <v>0</v>
      </c>
      <c r="JP363" s="561">
        <v>0</v>
      </c>
      <c r="JQ363" s="561">
        <v>1132</v>
      </c>
      <c r="JR363" s="561">
        <v>0</v>
      </c>
      <c r="JS363" s="561">
        <v>0</v>
      </c>
      <c r="JT363" s="561">
        <v>0</v>
      </c>
      <c r="JU363" s="561">
        <v>0</v>
      </c>
      <c r="JV363" s="561">
        <v>528832</v>
      </c>
      <c r="JW363" s="561">
        <v>158</v>
      </c>
      <c r="JX363" s="561">
        <v>1334</v>
      </c>
      <c r="JY363" s="561">
        <v>0</v>
      </c>
      <c r="JZ363" s="561">
        <v>-788</v>
      </c>
      <c r="KA363" s="561">
        <v>0</v>
      </c>
      <c r="KB363" s="561">
        <v>0</v>
      </c>
      <c r="KC363" s="561">
        <v>5619</v>
      </c>
      <c r="KD363" s="561">
        <v>0</v>
      </c>
      <c r="KE363" s="561">
        <v>10574</v>
      </c>
      <c r="KF363" s="561">
        <v>0</v>
      </c>
      <c r="KG363" s="561">
        <v>545729</v>
      </c>
      <c r="KH363" s="561">
        <v>-17946</v>
      </c>
      <c r="KI363" s="561">
        <v>0</v>
      </c>
      <c r="KJ363" s="561">
        <v>0</v>
      </c>
      <c r="KK363" s="561">
        <v>0</v>
      </c>
      <c r="KL363" s="561">
        <v>-50936</v>
      </c>
      <c r="KM363" s="561">
        <v>0</v>
      </c>
      <c r="KN363" s="561">
        <v>-39</v>
      </c>
      <c r="KO363" s="561">
        <v>0</v>
      </c>
      <c r="KP363" s="561">
        <v>0</v>
      </c>
      <c r="KQ363" s="561">
        <v>-10021</v>
      </c>
      <c r="KR363" s="561">
        <v>466787</v>
      </c>
      <c r="KS363" s="561">
        <v>0</v>
      </c>
      <c r="KT363" s="561">
        <v>-248419</v>
      </c>
      <c r="KU363" s="561">
        <v>218368</v>
      </c>
      <c r="KV363" s="561">
        <v>0</v>
      </c>
      <c r="KW363" s="561">
        <v>-896</v>
      </c>
      <c r="KX363" s="561">
        <v>0</v>
      </c>
      <c r="KY363" s="561">
        <v>0</v>
      </c>
      <c r="KZ363" s="561">
        <v>-11111</v>
      </c>
      <c r="LA363" s="561">
        <v>0</v>
      </c>
      <c r="LB363" s="561">
        <v>0</v>
      </c>
      <c r="LC363" s="561">
        <v>0</v>
      </c>
      <c r="LD363" s="561">
        <v>-79656</v>
      </c>
      <c r="LE363" s="561">
        <v>-893</v>
      </c>
      <c r="LF363" s="561">
        <v>1436</v>
      </c>
      <c r="LG363" s="561">
        <v>127246</v>
      </c>
      <c r="LH363" s="561">
        <v>15612</v>
      </c>
      <c r="LI363" s="561">
        <v>-9720</v>
      </c>
      <c r="LJ363" s="561">
        <v>0</v>
      </c>
      <c r="LK363" s="561">
        <v>0</v>
      </c>
      <c r="LL363" s="561">
        <v>70400</v>
      </c>
      <c r="LM363" s="561">
        <v>10500</v>
      </c>
      <c r="LN363" s="561">
        <v>14716</v>
      </c>
      <c r="LO363" s="561">
        <v>-19741</v>
      </c>
      <c r="LP363" s="561">
        <v>0</v>
      </c>
      <c r="LQ363" s="561">
        <v>0</v>
      </c>
      <c r="LR363" s="561">
        <v>59289</v>
      </c>
      <c r="LS363" s="561">
        <v>10500</v>
      </c>
      <c r="LT363" s="561">
        <v>0</v>
      </c>
      <c r="LU363" s="561">
        <v>26225</v>
      </c>
      <c r="LV363" s="561">
        <v>0</v>
      </c>
      <c r="LW363" s="561">
        <v>-3927</v>
      </c>
      <c r="LX363" s="561">
        <v>-28414</v>
      </c>
      <c r="LY363" s="561">
        <v>1505</v>
      </c>
      <c r="LZ363" s="561">
        <v>-4611</v>
      </c>
      <c r="MA363" s="561">
        <v>0</v>
      </c>
      <c r="MB363" s="561">
        <v>0</v>
      </c>
      <c r="MC363" s="561">
        <v>0</v>
      </c>
      <c r="MD363" s="561">
        <v>0</v>
      </c>
      <c r="ME363" s="561">
        <v>0</v>
      </c>
      <c r="MF363" s="561">
        <v>0</v>
      </c>
      <c r="MG363" s="561">
        <v>0</v>
      </c>
      <c r="MH363" s="561">
        <v>5674</v>
      </c>
      <c r="MI363" s="561">
        <v>8103</v>
      </c>
      <c r="MJ363" s="561">
        <v>13777</v>
      </c>
      <c r="MK363" s="561">
        <v>0</v>
      </c>
      <c r="ML363" s="561">
        <v>425</v>
      </c>
      <c r="MM363" s="561">
        <v>13431</v>
      </c>
      <c r="MN363" s="561">
        <v>32237</v>
      </c>
      <c r="MO363" s="561">
        <v>9380</v>
      </c>
      <c r="MP363" s="561">
        <v>3816</v>
      </c>
      <c r="MQ363" s="561">
        <v>226950</v>
      </c>
      <c r="MR363" s="561">
        <v>3839</v>
      </c>
      <c r="MS363" s="561">
        <v>55917</v>
      </c>
      <c r="MT363" s="561">
        <v>99621</v>
      </c>
      <c r="MU363" s="561">
        <v>14671</v>
      </c>
      <c r="MV363" s="561">
        <v>3255</v>
      </c>
      <c r="MW363" s="561">
        <v>9492</v>
      </c>
      <c r="MX363" s="561">
        <v>11818</v>
      </c>
      <c r="MY363" s="561">
        <v>2959</v>
      </c>
      <c r="MZ363" s="561">
        <v>0</v>
      </c>
      <c r="NA363" s="561">
        <v>0</v>
      </c>
      <c r="NB363" s="561">
        <v>18475</v>
      </c>
      <c r="NC363" s="561">
        <v>-312</v>
      </c>
      <c r="ND363" s="561">
        <v>446685</v>
      </c>
      <c r="NE363" s="561">
        <v>0</v>
      </c>
      <c r="NF363" s="561">
        <v>0</v>
      </c>
      <c r="NG363" s="561">
        <v>0</v>
      </c>
      <c r="NH363" s="561">
        <v>0</v>
      </c>
      <c r="NI363" s="561">
        <v>0</v>
      </c>
      <c r="NJ363" s="561">
        <v>0</v>
      </c>
      <c r="NK363" s="561">
        <v>0</v>
      </c>
      <c r="NL363" s="561">
        <v>0</v>
      </c>
      <c r="NM363" s="561">
        <v>0</v>
      </c>
      <c r="NN363" s="561">
        <v>0</v>
      </c>
      <c r="NO363" s="561">
        <v>0</v>
      </c>
      <c r="NP363" s="561">
        <v>0</v>
      </c>
      <c r="NQ363" s="561">
        <v>0</v>
      </c>
      <c r="NR363" s="561">
        <v>0</v>
      </c>
      <c r="NS363" s="561">
        <v>0</v>
      </c>
      <c r="NT363" s="561">
        <v>0</v>
      </c>
      <c r="NU363" s="561">
        <v>0</v>
      </c>
      <c r="NV363" s="561">
        <v>0</v>
      </c>
      <c r="NW363" s="561">
        <v>0</v>
      </c>
      <c r="NX363" s="561">
        <v>0</v>
      </c>
      <c r="NY363" s="561">
        <v>0</v>
      </c>
      <c r="NZ363" s="561">
        <v>0</v>
      </c>
      <c r="OA363" s="561">
        <v>0</v>
      </c>
      <c r="OB363" s="561">
        <v>0</v>
      </c>
      <c r="OC363" s="561">
        <v>0</v>
      </c>
      <c r="OD363" s="561">
        <v>0</v>
      </c>
      <c r="OE363" s="561">
        <v>0</v>
      </c>
      <c r="OF363" s="561">
        <v>0</v>
      </c>
      <c r="OG363" s="561">
        <v>0</v>
      </c>
      <c r="OH363" s="561">
        <v>0</v>
      </c>
      <c r="OI363" s="561">
        <v>0</v>
      </c>
      <c r="OJ363" s="561">
        <v>44</v>
      </c>
      <c r="OK363" s="561">
        <v>0</v>
      </c>
      <c r="OL363" s="561">
        <v>0</v>
      </c>
      <c r="OM363" s="561">
        <v>0</v>
      </c>
      <c r="ON363" s="561">
        <v>0</v>
      </c>
      <c r="OO363" s="561">
        <v>0</v>
      </c>
      <c r="OP363" s="561">
        <v>1072</v>
      </c>
      <c r="OQ363" s="561">
        <v>0</v>
      </c>
      <c r="OR363" s="561">
        <v>0</v>
      </c>
      <c r="OS363" s="561">
        <v>0</v>
      </c>
      <c r="OT363" s="561">
        <v>0</v>
      </c>
      <c r="OU363" s="561">
        <v>0</v>
      </c>
      <c r="OV363" s="561">
        <v>1003</v>
      </c>
      <c r="OW363" s="561">
        <v>0</v>
      </c>
      <c r="OX363" s="561">
        <v>1132</v>
      </c>
      <c r="OY363" s="561">
        <v>0</v>
      </c>
      <c r="OZ363" s="561">
        <v>0</v>
      </c>
      <c r="PA363" s="561">
        <v>0</v>
      </c>
      <c r="PB363" s="561">
        <v>0</v>
      </c>
      <c r="PC363" s="561">
        <v>0</v>
      </c>
      <c r="PD363" s="561">
        <v>0</v>
      </c>
      <c r="PE363" s="561">
        <v>0</v>
      </c>
      <c r="PF363" s="561">
        <v>0</v>
      </c>
      <c r="PG363" s="561">
        <v>0</v>
      </c>
      <c r="PH363" s="561">
        <v>0</v>
      </c>
      <c r="PI363" s="561">
        <v>0</v>
      </c>
      <c r="PJ363" s="561">
        <v>0</v>
      </c>
    </row>
    <row r="364" spans="1:426" ht="14" x14ac:dyDescent="0.3">
      <c r="A364" t="s">
        <v>3532</v>
      </c>
      <c r="B364" t="s">
        <v>3533</v>
      </c>
      <c r="C364" t="s">
        <v>3534</v>
      </c>
      <c r="E364" t="s">
        <v>384</v>
      </c>
      <c r="F364" s="561">
        <v>0</v>
      </c>
      <c r="G364" s="561">
        <v>0</v>
      </c>
      <c r="H364" s="561">
        <v>0</v>
      </c>
      <c r="I364" s="561">
        <v>0</v>
      </c>
      <c r="J364" s="561">
        <v>0</v>
      </c>
      <c r="K364" s="561">
        <v>0</v>
      </c>
      <c r="L364" s="561">
        <v>0</v>
      </c>
      <c r="M364" s="561">
        <v>0</v>
      </c>
      <c r="N364" s="561">
        <v>0</v>
      </c>
      <c r="O364" s="561">
        <v>0</v>
      </c>
      <c r="P364" s="561">
        <v>0</v>
      </c>
      <c r="Q364" s="561">
        <v>0</v>
      </c>
      <c r="R364" s="561">
        <v>0</v>
      </c>
      <c r="S364" s="561">
        <v>0</v>
      </c>
      <c r="T364" s="561">
        <v>0</v>
      </c>
      <c r="U364" s="561">
        <v>0</v>
      </c>
      <c r="V364" s="561">
        <v>133</v>
      </c>
      <c r="W364" s="561">
        <v>0</v>
      </c>
      <c r="X364" s="561">
        <v>-857</v>
      </c>
      <c r="Y364" s="561">
        <v>0</v>
      </c>
      <c r="Z364" s="561">
        <v>0</v>
      </c>
      <c r="AA364" s="561">
        <v>-285</v>
      </c>
      <c r="AB364" s="561">
        <v>-3350</v>
      </c>
      <c r="AC364" s="561">
        <v>0</v>
      </c>
      <c r="AD364" s="561">
        <v>0</v>
      </c>
      <c r="AE364" s="561">
        <v>0</v>
      </c>
      <c r="AF364" s="561">
        <v>0</v>
      </c>
      <c r="AG364" s="561">
        <v>0</v>
      </c>
      <c r="AH364" s="561">
        <v>0</v>
      </c>
      <c r="AI364" s="561">
        <v>0</v>
      </c>
      <c r="AJ364" s="561">
        <v>-4359</v>
      </c>
      <c r="AK364" s="561">
        <v>0</v>
      </c>
      <c r="AL364" s="561">
        <v>0</v>
      </c>
      <c r="AM364" s="561">
        <v>0</v>
      </c>
      <c r="AN364" s="561">
        <v>0</v>
      </c>
      <c r="AO364" s="561">
        <v>0</v>
      </c>
      <c r="AP364" s="561">
        <v>0</v>
      </c>
      <c r="AQ364" s="561">
        <v>0</v>
      </c>
      <c r="AR364" s="561">
        <v>0</v>
      </c>
      <c r="AS364" s="561">
        <v>1041</v>
      </c>
      <c r="AT364" s="561">
        <v>559</v>
      </c>
      <c r="AU364" s="561">
        <v>0</v>
      </c>
      <c r="AV364" s="561">
        <v>0</v>
      </c>
      <c r="AW364" s="561">
        <v>0</v>
      </c>
      <c r="AX364" s="561">
        <v>0</v>
      </c>
      <c r="AY364" s="561">
        <v>0</v>
      </c>
      <c r="AZ364" s="561">
        <v>0</v>
      </c>
      <c r="BA364" s="561">
        <v>0</v>
      </c>
      <c r="BB364" s="561">
        <v>0</v>
      </c>
      <c r="BC364" s="561">
        <v>0</v>
      </c>
      <c r="BD364" s="561">
        <v>0</v>
      </c>
      <c r="BE364" s="561">
        <v>0</v>
      </c>
      <c r="BF364" s="561">
        <v>0</v>
      </c>
      <c r="BG364" s="561">
        <v>0</v>
      </c>
      <c r="BH364" s="561">
        <v>0</v>
      </c>
      <c r="BI364" s="561">
        <v>0</v>
      </c>
      <c r="BJ364" s="561">
        <v>0</v>
      </c>
      <c r="BK364" s="561">
        <v>0</v>
      </c>
      <c r="BL364" s="561">
        <v>0</v>
      </c>
      <c r="BM364" s="561">
        <v>0</v>
      </c>
      <c r="BN364" s="561">
        <v>0</v>
      </c>
      <c r="BO364" s="561">
        <v>0</v>
      </c>
      <c r="BP364" s="561">
        <v>0</v>
      </c>
      <c r="BQ364" s="561">
        <v>0</v>
      </c>
      <c r="BR364" s="561">
        <v>0</v>
      </c>
      <c r="BS364" s="561">
        <v>0</v>
      </c>
      <c r="BT364" s="561">
        <v>0</v>
      </c>
      <c r="BU364" s="561">
        <v>0</v>
      </c>
      <c r="BV364" s="561">
        <v>0</v>
      </c>
      <c r="BW364" s="561">
        <v>0</v>
      </c>
      <c r="BX364" s="561">
        <v>0</v>
      </c>
      <c r="BY364" s="561">
        <v>0</v>
      </c>
      <c r="BZ364" s="561">
        <v>0</v>
      </c>
      <c r="CA364" s="561">
        <v>0</v>
      </c>
      <c r="CB364" s="561">
        <v>0</v>
      </c>
      <c r="CC364" s="561">
        <v>0</v>
      </c>
      <c r="CD364" s="561">
        <v>0</v>
      </c>
      <c r="CE364" s="561">
        <v>0</v>
      </c>
      <c r="CF364" s="561">
        <v>0</v>
      </c>
      <c r="CG364" s="561">
        <v>0</v>
      </c>
      <c r="CH364" s="561">
        <v>0</v>
      </c>
      <c r="CI364" s="561">
        <v>0</v>
      </c>
      <c r="CJ364" s="561">
        <v>0</v>
      </c>
      <c r="CK364" s="561">
        <v>0</v>
      </c>
      <c r="CL364" s="561">
        <v>0</v>
      </c>
      <c r="CM364" s="561">
        <v>0</v>
      </c>
      <c r="CN364" s="561">
        <v>0</v>
      </c>
      <c r="CO364" s="561">
        <v>0</v>
      </c>
      <c r="CP364" s="561">
        <v>0</v>
      </c>
      <c r="CQ364" s="561">
        <v>0</v>
      </c>
      <c r="CR364" s="561">
        <v>0</v>
      </c>
      <c r="CS364" s="561">
        <v>0</v>
      </c>
      <c r="CT364" s="561">
        <v>0</v>
      </c>
      <c r="CU364" s="561">
        <v>0</v>
      </c>
      <c r="CV364" s="561">
        <v>0</v>
      </c>
      <c r="CW364" s="561">
        <v>0</v>
      </c>
      <c r="CX364" s="561">
        <v>0</v>
      </c>
      <c r="CY364" s="561">
        <v>0</v>
      </c>
      <c r="CZ364" s="561">
        <v>0</v>
      </c>
      <c r="DA364" s="561">
        <v>0</v>
      </c>
      <c r="DB364" s="561">
        <v>0</v>
      </c>
      <c r="DC364" s="561">
        <v>0</v>
      </c>
      <c r="DD364" s="561">
        <v>0</v>
      </c>
      <c r="DE364" s="561">
        <v>0</v>
      </c>
      <c r="DF364" s="561">
        <v>0</v>
      </c>
      <c r="DG364" s="561">
        <v>0</v>
      </c>
      <c r="DH364" s="561">
        <v>424</v>
      </c>
      <c r="DI364" s="561">
        <v>0</v>
      </c>
      <c r="DJ364" s="561">
        <v>94</v>
      </c>
      <c r="DK364" s="561">
        <v>104</v>
      </c>
      <c r="DL364" s="561">
        <v>64</v>
      </c>
      <c r="DM364" s="561">
        <v>15</v>
      </c>
      <c r="DN364" s="561">
        <v>0</v>
      </c>
      <c r="DO364" s="561">
        <v>284</v>
      </c>
      <c r="DP364" s="561">
        <v>-65</v>
      </c>
      <c r="DQ364" s="561">
        <v>0</v>
      </c>
      <c r="DR364" s="561">
        <v>275</v>
      </c>
      <c r="DS364" s="561">
        <v>1032</v>
      </c>
      <c r="DT364" s="561">
        <v>143</v>
      </c>
      <c r="DU364" s="561">
        <v>1748</v>
      </c>
      <c r="DV364" s="561">
        <v>0</v>
      </c>
      <c r="DW364" s="561">
        <v>0</v>
      </c>
      <c r="DX364" s="561">
        <v>0</v>
      </c>
      <c r="DY364" s="561">
        <v>467</v>
      </c>
      <c r="DZ364" s="561">
        <v>21</v>
      </c>
      <c r="EA364" s="561">
        <v>0</v>
      </c>
      <c r="EB364" s="561">
        <v>0</v>
      </c>
      <c r="EC364" s="561">
        <v>2858</v>
      </c>
      <c r="ED364" s="561">
        <v>130</v>
      </c>
      <c r="EE364" s="561">
        <v>0</v>
      </c>
      <c r="EF364" s="561">
        <v>0</v>
      </c>
      <c r="EG364" s="561">
        <v>0</v>
      </c>
      <c r="EH364" s="561">
        <v>0</v>
      </c>
      <c r="EI364" s="561">
        <v>0</v>
      </c>
      <c r="EJ364" s="561">
        <v>0</v>
      </c>
      <c r="EK364" s="561">
        <v>0</v>
      </c>
      <c r="EL364" s="561">
        <v>0</v>
      </c>
      <c r="EM364" s="561">
        <v>0</v>
      </c>
      <c r="EN364" s="561">
        <v>0</v>
      </c>
      <c r="EO364" s="561">
        <v>0</v>
      </c>
      <c r="EP364" s="561">
        <v>0</v>
      </c>
      <c r="EQ364" s="561">
        <v>0</v>
      </c>
      <c r="ER364" s="561">
        <v>0</v>
      </c>
      <c r="ES364" s="561" t="s">
        <v>4565</v>
      </c>
      <c r="ET364" s="561">
        <v>0</v>
      </c>
      <c r="EU364" s="561">
        <v>0</v>
      </c>
      <c r="EV364" s="561">
        <v>0</v>
      </c>
      <c r="EW364" s="561">
        <v>0</v>
      </c>
      <c r="EX364" s="561">
        <v>0</v>
      </c>
      <c r="EY364" s="561">
        <v>0</v>
      </c>
      <c r="EZ364" s="561">
        <v>0</v>
      </c>
      <c r="FA364" s="561">
        <v>0</v>
      </c>
      <c r="FB364" s="561">
        <v>0</v>
      </c>
      <c r="FC364" s="561">
        <v>0</v>
      </c>
      <c r="FD364" s="561">
        <v>0</v>
      </c>
      <c r="FE364" s="561">
        <v>1298</v>
      </c>
      <c r="FF364" s="561">
        <v>872</v>
      </c>
      <c r="FG364" s="561">
        <v>129</v>
      </c>
      <c r="FH364" s="561">
        <v>0</v>
      </c>
      <c r="FI364" s="561">
        <v>0</v>
      </c>
      <c r="FJ364" s="561">
        <v>287</v>
      </c>
      <c r="FK364" s="561">
        <v>2195</v>
      </c>
      <c r="FL364" s="561">
        <v>0</v>
      </c>
      <c r="FM364" s="561">
        <v>101</v>
      </c>
      <c r="FN364" s="561">
        <v>0</v>
      </c>
      <c r="FO364" s="561">
        <v>4882</v>
      </c>
      <c r="FP364" s="561">
        <v>0</v>
      </c>
      <c r="FQ364" s="561">
        <v>-427</v>
      </c>
      <c r="FR364" s="561">
        <v>50</v>
      </c>
      <c r="FS364" s="561">
        <v>0</v>
      </c>
      <c r="FT364" s="561">
        <v>220</v>
      </c>
      <c r="FU364" s="561">
        <v>856</v>
      </c>
      <c r="FV364" s="561">
        <v>0</v>
      </c>
      <c r="FW364" s="561">
        <v>173</v>
      </c>
      <c r="FX364" s="561">
        <v>0</v>
      </c>
      <c r="FY364" s="561">
        <v>0</v>
      </c>
      <c r="FZ364" s="561">
        <v>0</v>
      </c>
      <c r="GA364" s="561">
        <v>223</v>
      </c>
      <c r="GB364" s="561">
        <v>24</v>
      </c>
      <c r="GC364" s="561">
        <v>197</v>
      </c>
      <c r="GD364" s="561">
        <v>0</v>
      </c>
      <c r="GE364" s="561">
        <v>147</v>
      </c>
      <c r="GF364" s="561">
        <v>289</v>
      </c>
      <c r="GG364" s="561">
        <v>0</v>
      </c>
      <c r="GH364" s="561">
        <v>8</v>
      </c>
      <c r="GI364" s="561">
        <v>108</v>
      </c>
      <c r="GJ364" s="561">
        <v>0</v>
      </c>
      <c r="GK364" s="561">
        <v>0</v>
      </c>
      <c r="GL364" s="561">
        <v>1319</v>
      </c>
      <c r="GM364" s="561">
        <v>2087</v>
      </c>
      <c r="GN364" s="561">
        <v>0</v>
      </c>
      <c r="GO364" s="561">
        <v>0</v>
      </c>
      <c r="GP364" s="561">
        <v>0</v>
      </c>
      <c r="GQ364" s="561">
        <v>0</v>
      </c>
      <c r="GR364" s="561">
        <v>0</v>
      </c>
      <c r="GS364" s="561">
        <v>5274</v>
      </c>
      <c r="GT364" s="561">
        <v>75</v>
      </c>
      <c r="GU364" s="561">
        <v>174</v>
      </c>
      <c r="GV364" s="561">
        <v>848</v>
      </c>
      <c r="GW364" s="561">
        <v>0</v>
      </c>
      <c r="GX364" s="561">
        <v>1405</v>
      </c>
      <c r="GY364" s="561">
        <v>89</v>
      </c>
      <c r="GZ364" s="561">
        <v>617</v>
      </c>
      <c r="HA364" s="561">
        <v>0</v>
      </c>
      <c r="HB364" s="561">
        <v>1193</v>
      </c>
      <c r="HC364" s="561">
        <v>0</v>
      </c>
      <c r="HD364" s="561">
        <v>4326</v>
      </c>
      <c r="HE364" s="561">
        <v>93</v>
      </c>
      <c r="HF364" s="561">
        <v>14482</v>
      </c>
      <c r="HG364" s="561">
        <v>168</v>
      </c>
      <c r="HH364" s="561">
        <v>0</v>
      </c>
      <c r="HI364" s="561">
        <v>0</v>
      </c>
      <c r="HJ364" s="561">
        <v>0</v>
      </c>
      <c r="HK364" s="561">
        <v>0</v>
      </c>
      <c r="HL364" s="561">
        <v>0</v>
      </c>
      <c r="HM364" s="561">
        <v>0</v>
      </c>
      <c r="HN364" s="561">
        <v>0</v>
      </c>
      <c r="HO364" s="561">
        <v>2106</v>
      </c>
      <c r="HP364" s="561">
        <v>141</v>
      </c>
      <c r="HQ364" s="561">
        <v>0</v>
      </c>
      <c r="HR364" s="561">
        <v>0</v>
      </c>
      <c r="HS364" s="561">
        <v>467</v>
      </c>
      <c r="HT364" s="561">
        <v>115</v>
      </c>
      <c r="HU364" s="561">
        <v>0</v>
      </c>
      <c r="HV364" s="561">
        <v>0</v>
      </c>
      <c r="HW364" s="561">
        <v>363</v>
      </c>
      <c r="HX364" s="561">
        <v>305</v>
      </c>
      <c r="HY364" s="561">
        <v>58</v>
      </c>
      <c r="HZ364" s="561">
        <v>-155</v>
      </c>
      <c r="IA364" s="561">
        <v>0</v>
      </c>
      <c r="IB364" s="561">
        <v>-298</v>
      </c>
      <c r="IC364" s="561">
        <v>0</v>
      </c>
      <c r="ID364" s="561">
        <v>0</v>
      </c>
      <c r="IE364" s="561">
        <v>631</v>
      </c>
      <c r="IF364" s="561">
        <v>0</v>
      </c>
      <c r="IG364" s="561">
        <v>0</v>
      </c>
      <c r="IH364" s="561">
        <v>0</v>
      </c>
      <c r="II364" s="561">
        <v>3733</v>
      </c>
      <c r="IJ364" s="561">
        <v>8</v>
      </c>
      <c r="IK364" s="561">
        <v>0</v>
      </c>
      <c r="IL364" s="561">
        <v>0</v>
      </c>
      <c r="IM364" s="561">
        <v>0</v>
      </c>
      <c r="IN364" s="561">
        <v>0</v>
      </c>
      <c r="IO364" s="561">
        <v>296</v>
      </c>
      <c r="IP364" s="561">
        <v>0</v>
      </c>
      <c r="IQ364" s="561">
        <v>0</v>
      </c>
      <c r="IR364" s="561">
        <v>0</v>
      </c>
      <c r="IS364" s="561">
        <v>-4359</v>
      </c>
      <c r="IT364" s="561">
        <v>0</v>
      </c>
      <c r="IU364" s="561">
        <v>0</v>
      </c>
      <c r="IV364" s="561">
        <v>0</v>
      </c>
      <c r="IW364" s="561">
        <v>2858</v>
      </c>
      <c r="IX364" s="561">
        <v>4882</v>
      </c>
      <c r="IY364" s="561">
        <v>5274</v>
      </c>
      <c r="IZ364" s="561">
        <v>4326</v>
      </c>
      <c r="JA364" s="561">
        <v>0</v>
      </c>
      <c r="JB364" s="561">
        <v>0</v>
      </c>
      <c r="JC364" s="561">
        <v>3733</v>
      </c>
      <c r="JD364" s="561">
        <v>0</v>
      </c>
      <c r="JE364" s="561">
        <v>16714</v>
      </c>
      <c r="JF364" s="561">
        <v>20462</v>
      </c>
      <c r="JG364" s="561">
        <v>698</v>
      </c>
      <c r="JH364" s="561">
        <v>0</v>
      </c>
      <c r="JI364" s="561">
        <v>0</v>
      </c>
      <c r="JJ364" s="561">
        <v>0</v>
      </c>
      <c r="JK364" s="561">
        <v>3657</v>
      </c>
      <c r="JL364" s="561">
        <v>0</v>
      </c>
      <c r="JM364" s="561">
        <v>0</v>
      </c>
      <c r="JN364" s="561">
        <v>0</v>
      </c>
      <c r="JO364" s="561">
        <v>0</v>
      </c>
      <c r="JP364" s="561">
        <v>0</v>
      </c>
      <c r="JQ364" s="561">
        <v>0</v>
      </c>
      <c r="JR364" s="561">
        <v>0</v>
      </c>
      <c r="JS364" s="561">
        <v>0</v>
      </c>
      <c r="JT364" s="561">
        <v>0</v>
      </c>
      <c r="JU364" s="561">
        <v>0</v>
      </c>
      <c r="JV364" s="561">
        <v>41531</v>
      </c>
      <c r="JW364" s="561">
        <v>0</v>
      </c>
      <c r="JX364" s="561">
        <v>3395</v>
      </c>
      <c r="JY364" s="561">
        <v>0</v>
      </c>
      <c r="JZ364" s="561">
        <v>0</v>
      </c>
      <c r="KA364" s="561">
        <v>0</v>
      </c>
      <c r="KB364" s="561">
        <v>0</v>
      </c>
      <c r="KC364" s="561">
        <v>539</v>
      </c>
      <c r="KD364" s="561">
        <v>0</v>
      </c>
      <c r="KE364" s="561">
        <v>10</v>
      </c>
      <c r="KF364" s="561">
        <v>0</v>
      </c>
      <c r="KG364" s="561">
        <v>45475</v>
      </c>
      <c r="KH364" s="561">
        <v>-3181</v>
      </c>
      <c r="KI364" s="561">
        <v>0</v>
      </c>
      <c r="KJ364" s="561">
        <v>0</v>
      </c>
      <c r="KK364" s="561">
        <v>0</v>
      </c>
      <c r="KL364" s="561">
        <v>-21072</v>
      </c>
      <c r="KM364" s="561">
        <v>0</v>
      </c>
      <c r="KN364" s="561">
        <v>0</v>
      </c>
      <c r="KO364" s="561">
        <v>0</v>
      </c>
      <c r="KP364" s="561">
        <v>0</v>
      </c>
      <c r="KQ364" s="561">
        <v>0</v>
      </c>
      <c r="KR364" s="561">
        <v>21222</v>
      </c>
      <c r="KS364" s="561">
        <v>0</v>
      </c>
      <c r="KT364" s="561">
        <v>-3194</v>
      </c>
      <c r="KU364" s="561">
        <v>18028</v>
      </c>
      <c r="KV364" s="561">
        <v>0</v>
      </c>
      <c r="KW364" s="561">
        <v>0</v>
      </c>
      <c r="KX364" s="561">
        <v>0</v>
      </c>
      <c r="KY364" s="561">
        <v>0</v>
      </c>
      <c r="KZ364" s="561">
        <v>-430</v>
      </c>
      <c r="LA364" s="561">
        <v>0</v>
      </c>
      <c r="LB364" s="561">
        <v>-189</v>
      </c>
      <c r="LC364" s="561">
        <v>0</v>
      </c>
      <c r="LD364" s="561">
        <v>-3741</v>
      </c>
      <c r="LE364" s="561">
        <v>-89</v>
      </c>
      <c r="LF364" s="561">
        <v>0</v>
      </c>
      <c r="LG364" s="561">
        <v>13579</v>
      </c>
      <c r="LH364" s="561">
        <v>0</v>
      </c>
      <c r="LI364" s="561">
        <v>0</v>
      </c>
      <c r="LJ364" s="561">
        <v>0</v>
      </c>
      <c r="LK364" s="561">
        <v>0</v>
      </c>
      <c r="LL364" s="561">
        <v>16955</v>
      </c>
      <c r="LM364" s="561">
        <v>4355</v>
      </c>
      <c r="LN364" s="561">
        <v>0</v>
      </c>
      <c r="LO364" s="561">
        <v>0</v>
      </c>
      <c r="LP364" s="561">
        <v>0</v>
      </c>
      <c r="LQ364" s="561">
        <v>0</v>
      </c>
      <c r="LR364" s="561">
        <v>16525</v>
      </c>
      <c r="LS364" s="561">
        <v>4355</v>
      </c>
      <c r="LT364" s="561">
        <v>0</v>
      </c>
      <c r="LU364" s="561">
        <v>3833</v>
      </c>
      <c r="LV364" s="561">
        <v>179</v>
      </c>
      <c r="LW364" s="561">
        <v>0</v>
      </c>
      <c r="LX364" s="561">
        <v>0</v>
      </c>
      <c r="LY364" s="561">
        <v>3974</v>
      </c>
      <c r="LZ364" s="561">
        <v>7986</v>
      </c>
      <c r="MA364" s="561">
        <v>0</v>
      </c>
      <c r="MB364" s="561">
        <v>0</v>
      </c>
      <c r="MC364" s="561">
        <v>0</v>
      </c>
      <c r="MD364" s="561">
        <v>0</v>
      </c>
      <c r="ME364" s="561">
        <v>0</v>
      </c>
      <c r="MF364" s="561">
        <v>0</v>
      </c>
      <c r="MG364" s="561">
        <v>0</v>
      </c>
      <c r="MH364" s="561">
        <v>2834</v>
      </c>
      <c r="MI364" s="561">
        <v>3552</v>
      </c>
      <c r="MJ364" s="561">
        <v>6386</v>
      </c>
      <c r="MK364" s="561">
        <v>0</v>
      </c>
      <c r="ML364" s="561">
        <v>0</v>
      </c>
      <c r="MM364" s="561">
        <v>13065</v>
      </c>
      <c r="MN364" s="561">
        <v>796</v>
      </c>
      <c r="MO364" s="561">
        <v>2664</v>
      </c>
      <c r="MP364" s="561">
        <v>0</v>
      </c>
      <c r="MQ364" s="561">
        <v>0</v>
      </c>
      <c r="MR364" s="561">
        <v>-4359</v>
      </c>
      <c r="MS364" s="561">
        <v>0</v>
      </c>
      <c r="MT364" s="561">
        <v>0</v>
      </c>
      <c r="MU364" s="561">
        <v>0</v>
      </c>
      <c r="MV364" s="561">
        <v>2858</v>
      </c>
      <c r="MW364" s="561">
        <v>4882</v>
      </c>
      <c r="MX364" s="561">
        <v>5274</v>
      </c>
      <c r="MY364" s="561">
        <v>4326</v>
      </c>
      <c r="MZ364" s="561">
        <v>0</v>
      </c>
      <c r="NA364" s="561">
        <v>0</v>
      </c>
      <c r="NB364" s="561">
        <v>3733</v>
      </c>
      <c r="NC364" s="561">
        <v>0</v>
      </c>
      <c r="ND364" s="561">
        <v>16714</v>
      </c>
      <c r="NE364" s="561">
        <v>0</v>
      </c>
      <c r="NF364" s="561">
        <v>0</v>
      </c>
      <c r="NG364" s="561">
        <v>0</v>
      </c>
      <c r="NH364" s="561">
        <v>0</v>
      </c>
      <c r="NI364" s="561">
        <v>0</v>
      </c>
      <c r="NJ364" s="561">
        <v>0</v>
      </c>
      <c r="NK364" s="561">
        <v>0</v>
      </c>
      <c r="NL364" s="561">
        <v>0</v>
      </c>
      <c r="NM364" s="561">
        <v>0</v>
      </c>
      <c r="NN364" s="561">
        <v>0</v>
      </c>
      <c r="NO364" s="561">
        <v>0</v>
      </c>
      <c r="NP364" s="561">
        <v>0</v>
      </c>
      <c r="NQ364" s="561">
        <v>0</v>
      </c>
      <c r="NR364" s="561">
        <v>0</v>
      </c>
      <c r="NS364" s="561">
        <v>0</v>
      </c>
      <c r="NT364" s="561">
        <v>0</v>
      </c>
      <c r="NU364" s="561">
        <v>0</v>
      </c>
      <c r="NV364" s="561">
        <v>0</v>
      </c>
      <c r="NW364" s="561">
        <v>0</v>
      </c>
      <c r="NX364" s="561">
        <v>0</v>
      </c>
      <c r="NY364" s="561">
        <v>0</v>
      </c>
      <c r="NZ364" s="561">
        <v>0</v>
      </c>
      <c r="OA364" s="561">
        <v>0</v>
      </c>
      <c r="OB364" s="561">
        <v>0</v>
      </c>
      <c r="OC364" s="561">
        <v>0</v>
      </c>
      <c r="OD364" s="561">
        <v>0</v>
      </c>
      <c r="OE364" s="561">
        <v>0</v>
      </c>
      <c r="OF364" s="561">
        <v>0</v>
      </c>
      <c r="OG364" s="561">
        <v>0</v>
      </c>
      <c r="OH364" s="561">
        <v>0</v>
      </c>
      <c r="OI364" s="561">
        <v>0</v>
      </c>
      <c r="OJ364" s="561">
        <v>0</v>
      </c>
      <c r="OK364" s="561">
        <v>0</v>
      </c>
      <c r="OL364" s="561">
        <v>0</v>
      </c>
      <c r="OM364" s="561">
        <v>0</v>
      </c>
      <c r="ON364" s="561">
        <v>0</v>
      </c>
      <c r="OO364" s="561">
        <v>0</v>
      </c>
      <c r="OP364" s="561">
        <v>0</v>
      </c>
      <c r="OQ364" s="561">
        <v>0</v>
      </c>
      <c r="OR364" s="561">
        <v>0</v>
      </c>
      <c r="OS364" s="561">
        <v>0</v>
      </c>
      <c r="OT364" s="561">
        <v>0</v>
      </c>
      <c r="OU364" s="561">
        <v>0</v>
      </c>
      <c r="OV364" s="561">
        <v>0</v>
      </c>
      <c r="OW364" s="561">
        <v>0</v>
      </c>
      <c r="OX364" s="561">
        <v>0</v>
      </c>
      <c r="OY364" s="561">
        <v>0</v>
      </c>
      <c r="OZ364" s="561">
        <v>0</v>
      </c>
      <c r="PA364" s="561">
        <v>0</v>
      </c>
      <c r="PB364" s="561">
        <v>0</v>
      </c>
      <c r="PC364" s="561">
        <v>0</v>
      </c>
      <c r="PD364" s="561">
        <v>0</v>
      </c>
      <c r="PE364" s="561">
        <v>0</v>
      </c>
      <c r="PF364" s="561">
        <v>0</v>
      </c>
      <c r="PG364" s="561">
        <v>0</v>
      </c>
      <c r="PH364" s="561">
        <v>0</v>
      </c>
      <c r="PI364" s="561">
        <v>0</v>
      </c>
      <c r="PJ364" s="561">
        <v>0</v>
      </c>
    </row>
    <row r="365" spans="1:426" ht="14" x14ac:dyDescent="0.3">
      <c r="A365" t="s">
        <v>3535</v>
      </c>
      <c r="B365" t="s">
        <v>3536</v>
      </c>
      <c r="C365" t="s">
        <v>3537</v>
      </c>
      <c r="E365" t="s">
        <v>2466</v>
      </c>
      <c r="F365" s="561">
        <v>0</v>
      </c>
      <c r="G365" s="561">
        <v>0</v>
      </c>
      <c r="H365" s="561">
        <v>0</v>
      </c>
      <c r="I365" s="561">
        <v>0</v>
      </c>
      <c r="J365" s="561">
        <v>0</v>
      </c>
      <c r="K365" s="561">
        <v>0</v>
      </c>
      <c r="L365" s="561">
        <v>0</v>
      </c>
      <c r="M365" s="561">
        <v>0</v>
      </c>
      <c r="N365" s="561">
        <v>0</v>
      </c>
      <c r="O365" s="561">
        <v>0</v>
      </c>
      <c r="P365" s="561">
        <v>0</v>
      </c>
      <c r="Q365" s="561">
        <v>0</v>
      </c>
      <c r="R365" s="561">
        <v>0</v>
      </c>
      <c r="S365" s="561">
        <v>0</v>
      </c>
      <c r="T365" s="561">
        <v>0</v>
      </c>
      <c r="U365" s="561">
        <v>0</v>
      </c>
      <c r="V365" s="561">
        <v>0</v>
      </c>
      <c r="W365" s="561">
        <v>0</v>
      </c>
      <c r="X365" s="561">
        <v>0</v>
      </c>
      <c r="Y365" s="561">
        <v>0</v>
      </c>
      <c r="Z365" s="561">
        <v>0</v>
      </c>
      <c r="AA365" s="561">
        <v>0</v>
      </c>
      <c r="AB365" s="561">
        <v>0</v>
      </c>
      <c r="AC365" s="561">
        <v>0</v>
      </c>
      <c r="AD365" s="561">
        <v>0</v>
      </c>
      <c r="AE365" s="561">
        <v>0</v>
      </c>
      <c r="AF365" s="561">
        <v>0</v>
      </c>
      <c r="AG365" s="561">
        <v>0</v>
      </c>
      <c r="AH365" s="561">
        <v>0</v>
      </c>
      <c r="AI365" s="561">
        <v>0</v>
      </c>
      <c r="AJ365" s="561">
        <v>0</v>
      </c>
      <c r="AK365" s="561">
        <v>0</v>
      </c>
      <c r="AL365" s="561">
        <v>0</v>
      </c>
      <c r="AM365" s="561">
        <v>0</v>
      </c>
      <c r="AN365" s="561">
        <v>0</v>
      </c>
      <c r="AO365" s="561">
        <v>0</v>
      </c>
      <c r="AP365" s="561">
        <v>0</v>
      </c>
      <c r="AQ365" s="561">
        <v>0</v>
      </c>
      <c r="AR365" s="561">
        <v>0</v>
      </c>
      <c r="AS365" s="561">
        <v>0</v>
      </c>
      <c r="AT365" s="561">
        <v>0</v>
      </c>
      <c r="AU365" s="561">
        <v>0</v>
      </c>
      <c r="AV365" s="561">
        <v>0</v>
      </c>
      <c r="AW365" s="561">
        <v>0</v>
      </c>
      <c r="AX365" s="561">
        <v>0</v>
      </c>
      <c r="AY365" s="561">
        <v>0</v>
      </c>
      <c r="AZ365" s="561">
        <v>0</v>
      </c>
      <c r="BA365" s="561">
        <v>0</v>
      </c>
      <c r="BB365" s="561">
        <v>0</v>
      </c>
      <c r="BC365" s="561">
        <v>0</v>
      </c>
      <c r="BD365" s="561">
        <v>0</v>
      </c>
      <c r="BE365" s="561">
        <v>0</v>
      </c>
      <c r="BF365" s="561">
        <v>0</v>
      </c>
      <c r="BG365" s="561">
        <v>0</v>
      </c>
      <c r="BH365" s="561">
        <v>0</v>
      </c>
      <c r="BI365" s="561">
        <v>0</v>
      </c>
      <c r="BJ365" s="561">
        <v>0</v>
      </c>
      <c r="BK365" s="561">
        <v>0</v>
      </c>
      <c r="BL365" s="561">
        <v>0</v>
      </c>
      <c r="BM365" s="561">
        <v>0</v>
      </c>
      <c r="BN365" s="561">
        <v>0</v>
      </c>
      <c r="BO365" s="561">
        <v>0</v>
      </c>
      <c r="BP365" s="561">
        <v>0</v>
      </c>
      <c r="BQ365" s="561">
        <v>0</v>
      </c>
      <c r="BR365" s="561">
        <v>0</v>
      </c>
      <c r="BS365" s="561">
        <v>0</v>
      </c>
      <c r="BT365" s="561">
        <v>0</v>
      </c>
      <c r="BU365" s="561">
        <v>0</v>
      </c>
      <c r="BV365" s="561">
        <v>0</v>
      </c>
      <c r="BW365" s="561">
        <v>0</v>
      </c>
      <c r="BX365" s="561">
        <v>0</v>
      </c>
      <c r="BY365" s="561">
        <v>0</v>
      </c>
      <c r="BZ365" s="561">
        <v>0</v>
      </c>
      <c r="CA365" s="561">
        <v>0</v>
      </c>
      <c r="CB365" s="561">
        <v>0</v>
      </c>
      <c r="CC365" s="561">
        <v>0</v>
      </c>
      <c r="CD365" s="561">
        <v>0</v>
      </c>
      <c r="CE365" s="561">
        <v>0</v>
      </c>
      <c r="CF365" s="561">
        <v>0</v>
      </c>
      <c r="CG365" s="561">
        <v>0</v>
      </c>
      <c r="CH365" s="561">
        <v>0</v>
      </c>
      <c r="CI365" s="561">
        <v>0</v>
      </c>
      <c r="CJ365" s="561">
        <v>0</v>
      </c>
      <c r="CK365" s="561">
        <v>0</v>
      </c>
      <c r="CL365" s="561">
        <v>0</v>
      </c>
      <c r="CM365" s="561">
        <v>0</v>
      </c>
      <c r="CN365" s="561">
        <v>0</v>
      </c>
      <c r="CO365" s="561">
        <v>0</v>
      </c>
      <c r="CP365" s="561">
        <v>0</v>
      </c>
      <c r="CQ365" s="561">
        <v>0</v>
      </c>
      <c r="CR365" s="561">
        <v>0</v>
      </c>
      <c r="CS365" s="561">
        <v>0</v>
      </c>
      <c r="CT365" s="561">
        <v>0</v>
      </c>
      <c r="CU365" s="561">
        <v>0</v>
      </c>
      <c r="CV365" s="561">
        <v>0</v>
      </c>
      <c r="CW365" s="561">
        <v>0</v>
      </c>
      <c r="CX365" s="561">
        <v>0</v>
      </c>
      <c r="CY365" s="561">
        <v>0</v>
      </c>
      <c r="CZ365" s="561">
        <v>0</v>
      </c>
      <c r="DA365" s="561">
        <v>0</v>
      </c>
      <c r="DB365" s="561">
        <v>0</v>
      </c>
      <c r="DC365" s="561">
        <v>0</v>
      </c>
      <c r="DD365" s="561">
        <v>0</v>
      </c>
      <c r="DE365" s="561">
        <v>0</v>
      </c>
      <c r="DF365" s="561">
        <v>0</v>
      </c>
      <c r="DG365" s="561">
        <v>0</v>
      </c>
      <c r="DH365" s="561">
        <v>0</v>
      </c>
      <c r="DI365" s="561">
        <v>0</v>
      </c>
      <c r="DJ365" s="561">
        <v>0</v>
      </c>
      <c r="DK365" s="561">
        <v>0</v>
      </c>
      <c r="DL365" s="561">
        <v>0</v>
      </c>
      <c r="DM365" s="561">
        <v>0</v>
      </c>
      <c r="DN365" s="561">
        <v>0</v>
      </c>
      <c r="DO365" s="561">
        <v>0</v>
      </c>
      <c r="DP365" s="561">
        <v>0</v>
      </c>
      <c r="DQ365" s="561">
        <v>0</v>
      </c>
      <c r="DR365" s="561">
        <v>0</v>
      </c>
      <c r="DS365" s="561">
        <v>0</v>
      </c>
      <c r="DT365" s="561">
        <v>0</v>
      </c>
      <c r="DU365" s="561">
        <v>0</v>
      </c>
      <c r="DV365" s="561">
        <v>0</v>
      </c>
      <c r="DW365" s="561">
        <v>0</v>
      </c>
      <c r="DX365" s="561">
        <v>0</v>
      </c>
      <c r="DY365" s="561">
        <v>0</v>
      </c>
      <c r="DZ365" s="561">
        <v>0</v>
      </c>
      <c r="EA365" s="561">
        <v>0</v>
      </c>
      <c r="EB365" s="561">
        <v>0</v>
      </c>
      <c r="EC365" s="561">
        <v>0</v>
      </c>
      <c r="ED365" s="561">
        <v>0</v>
      </c>
      <c r="EE365" s="561">
        <v>0</v>
      </c>
      <c r="EF365" s="561">
        <v>0</v>
      </c>
      <c r="EG365" s="561">
        <v>0</v>
      </c>
      <c r="EH365" s="561">
        <v>0</v>
      </c>
      <c r="EI365" s="561">
        <v>0</v>
      </c>
      <c r="EJ365" s="561">
        <v>0</v>
      </c>
      <c r="EK365" s="561">
        <v>0</v>
      </c>
      <c r="EL365" s="561">
        <v>0</v>
      </c>
      <c r="EM365" s="561">
        <v>0</v>
      </c>
      <c r="EN365" s="561">
        <v>0</v>
      </c>
      <c r="EO365" s="561">
        <v>0</v>
      </c>
      <c r="EP365" s="561">
        <v>0</v>
      </c>
      <c r="EQ365" s="561">
        <v>0</v>
      </c>
      <c r="ER365" s="561">
        <v>0</v>
      </c>
      <c r="ES365" s="561" t="s">
        <v>4565</v>
      </c>
      <c r="ET365" s="561">
        <v>0</v>
      </c>
      <c r="EU365" s="561">
        <v>0</v>
      </c>
      <c r="EV365" s="561">
        <v>0</v>
      </c>
      <c r="EW365" s="561">
        <v>0</v>
      </c>
      <c r="EX365" s="561">
        <v>0</v>
      </c>
      <c r="EY365" s="561">
        <v>0</v>
      </c>
      <c r="EZ365" s="561">
        <v>0</v>
      </c>
      <c r="FA365" s="561">
        <v>0</v>
      </c>
      <c r="FB365" s="561">
        <v>0</v>
      </c>
      <c r="FC365" s="561">
        <v>0</v>
      </c>
      <c r="FD365" s="561">
        <v>0</v>
      </c>
      <c r="FE365" s="561">
        <v>0</v>
      </c>
      <c r="FF365" s="561">
        <v>0</v>
      </c>
      <c r="FG365" s="561">
        <v>0</v>
      </c>
      <c r="FH365" s="561">
        <v>0</v>
      </c>
      <c r="FI365" s="561">
        <v>0</v>
      </c>
      <c r="FJ365" s="561">
        <v>0</v>
      </c>
      <c r="FK365" s="561">
        <v>0</v>
      </c>
      <c r="FL365" s="561">
        <v>0</v>
      </c>
      <c r="FM365" s="561">
        <v>0</v>
      </c>
      <c r="FN365" s="561">
        <v>0</v>
      </c>
      <c r="FO365" s="561">
        <v>0</v>
      </c>
      <c r="FP365" s="561">
        <v>0</v>
      </c>
      <c r="FQ365" s="561">
        <v>0</v>
      </c>
      <c r="FR365" s="561">
        <v>0</v>
      </c>
      <c r="FS365" s="561">
        <v>0</v>
      </c>
      <c r="FT365" s="561">
        <v>0</v>
      </c>
      <c r="FU365" s="561">
        <v>0</v>
      </c>
      <c r="FV365" s="561">
        <v>0</v>
      </c>
      <c r="FW365" s="561">
        <v>0</v>
      </c>
      <c r="FX365" s="561">
        <v>0</v>
      </c>
      <c r="FY365" s="561">
        <v>0</v>
      </c>
      <c r="FZ365" s="561">
        <v>0</v>
      </c>
      <c r="GA365" s="561">
        <v>0</v>
      </c>
      <c r="GB365" s="561">
        <v>0</v>
      </c>
      <c r="GC365" s="561">
        <v>0</v>
      </c>
      <c r="GD365" s="561">
        <v>0</v>
      </c>
      <c r="GE365" s="561">
        <v>0</v>
      </c>
      <c r="GF365" s="561">
        <v>0</v>
      </c>
      <c r="GG365" s="561">
        <v>0</v>
      </c>
      <c r="GH365" s="561">
        <v>0</v>
      </c>
      <c r="GI365" s="561">
        <v>0</v>
      </c>
      <c r="GJ365" s="561">
        <v>0</v>
      </c>
      <c r="GK365" s="561">
        <v>0</v>
      </c>
      <c r="GL365" s="561">
        <v>0</v>
      </c>
      <c r="GM365" s="561">
        <v>0</v>
      </c>
      <c r="GN365" s="561">
        <v>0</v>
      </c>
      <c r="GO365" s="561">
        <v>0</v>
      </c>
      <c r="GP365" s="561">
        <v>0</v>
      </c>
      <c r="GQ365" s="561">
        <v>0</v>
      </c>
      <c r="GR365" s="561">
        <v>0</v>
      </c>
      <c r="GS365" s="561">
        <v>0</v>
      </c>
      <c r="GT365" s="561">
        <v>0</v>
      </c>
      <c r="GU365" s="561">
        <v>0</v>
      </c>
      <c r="GV365" s="561">
        <v>0</v>
      </c>
      <c r="GW365" s="561">
        <v>0</v>
      </c>
      <c r="GX365" s="561">
        <v>0</v>
      </c>
      <c r="GY365" s="561">
        <v>0</v>
      </c>
      <c r="GZ365" s="561">
        <v>0</v>
      </c>
      <c r="HA365" s="561">
        <v>0</v>
      </c>
      <c r="HB365" s="561">
        <v>0</v>
      </c>
      <c r="HC365" s="561">
        <v>0</v>
      </c>
      <c r="HD365" s="561">
        <v>0</v>
      </c>
      <c r="HE365" s="561">
        <v>0</v>
      </c>
      <c r="HF365" s="561">
        <v>0</v>
      </c>
      <c r="HG365" s="561">
        <v>0</v>
      </c>
      <c r="HH365" s="561">
        <v>0</v>
      </c>
      <c r="HI365" s="561">
        <v>0</v>
      </c>
      <c r="HJ365" s="561">
        <v>9686</v>
      </c>
      <c r="HK365" s="561">
        <v>57712</v>
      </c>
      <c r="HL365" s="561">
        <v>0</v>
      </c>
      <c r="HM365" s="561">
        <v>67398</v>
      </c>
      <c r="HN365" s="561">
        <v>11</v>
      </c>
      <c r="HO365" s="561">
        <v>320</v>
      </c>
      <c r="HP365" s="561">
        <v>0</v>
      </c>
      <c r="HQ365" s="561">
        <v>0</v>
      </c>
      <c r="HR365" s="561">
        <v>0</v>
      </c>
      <c r="HS365" s="561">
        <v>0</v>
      </c>
      <c r="HT365" s="561">
        <v>0</v>
      </c>
      <c r="HU365" s="561">
        <v>0</v>
      </c>
      <c r="HV365" s="561">
        <v>0</v>
      </c>
      <c r="HW365" s="561">
        <v>0</v>
      </c>
      <c r="HX365" s="561">
        <v>0</v>
      </c>
      <c r="HY365" s="561">
        <v>0</v>
      </c>
      <c r="HZ365" s="561">
        <v>0</v>
      </c>
      <c r="IA365" s="561">
        <v>0</v>
      </c>
      <c r="IB365" s="561">
        <v>0</v>
      </c>
      <c r="IC365" s="561">
        <v>0</v>
      </c>
      <c r="ID365" s="561">
        <v>0</v>
      </c>
      <c r="IE365" s="561">
        <v>191</v>
      </c>
      <c r="IF365" s="561">
        <v>0</v>
      </c>
      <c r="IG365" s="561">
        <v>0</v>
      </c>
      <c r="IH365" s="561">
        <v>0</v>
      </c>
      <c r="II365" s="561">
        <v>511</v>
      </c>
      <c r="IJ365" s="561">
        <v>141</v>
      </c>
      <c r="IK365" s="561">
        <v>0</v>
      </c>
      <c r="IL365" s="561">
        <v>0</v>
      </c>
      <c r="IM365" s="561">
        <v>0</v>
      </c>
      <c r="IN365" s="561">
        <v>0</v>
      </c>
      <c r="IO365" s="561">
        <v>0</v>
      </c>
      <c r="IP365" s="561">
        <v>0</v>
      </c>
      <c r="IQ365" s="561">
        <v>0</v>
      </c>
      <c r="IR365" s="561">
        <v>0</v>
      </c>
      <c r="IS365" s="561">
        <v>0</v>
      </c>
      <c r="IT365" s="561">
        <v>0</v>
      </c>
      <c r="IU365" s="561">
        <v>0</v>
      </c>
      <c r="IV365" s="561">
        <v>0</v>
      </c>
      <c r="IW365" s="561">
        <v>0</v>
      </c>
      <c r="IX365" s="561">
        <v>0</v>
      </c>
      <c r="IY365" s="561">
        <v>0</v>
      </c>
      <c r="IZ365" s="561">
        <v>0</v>
      </c>
      <c r="JA365" s="561">
        <v>0</v>
      </c>
      <c r="JB365" s="561">
        <v>67398</v>
      </c>
      <c r="JC365" s="561">
        <v>511</v>
      </c>
      <c r="JD365" s="561">
        <v>0</v>
      </c>
      <c r="JE365" s="561">
        <v>67909</v>
      </c>
      <c r="JF365" s="561">
        <v>0</v>
      </c>
      <c r="JG365" s="561">
        <v>0</v>
      </c>
      <c r="JH365" s="561">
        <v>0</v>
      </c>
      <c r="JI365" s="561">
        <v>0</v>
      </c>
      <c r="JJ365" s="561">
        <v>0</v>
      </c>
      <c r="JK365" s="561">
        <v>0</v>
      </c>
      <c r="JL365" s="561">
        <v>0</v>
      </c>
      <c r="JM365" s="561">
        <v>0</v>
      </c>
      <c r="JN365" s="561">
        <v>0</v>
      </c>
      <c r="JO365" s="561">
        <v>0</v>
      </c>
      <c r="JP365" s="561">
        <v>0</v>
      </c>
      <c r="JQ365" s="561">
        <v>0</v>
      </c>
      <c r="JR365" s="561">
        <v>0</v>
      </c>
      <c r="JS365" s="561">
        <v>0</v>
      </c>
      <c r="JT365" s="561">
        <v>2</v>
      </c>
      <c r="JU365" s="561">
        <v>0</v>
      </c>
      <c r="JV365" s="561">
        <v>67911</v>
      </c>
      <c r="JW365" s="561">
        <v>0</v>
      </c>
      <c r="JX365" s="561">
        <v>6574</v>
      </c>
      <c r="JY365" s="561">
        <v>0</v>
      </c>
      <c r="JZ365" s="561">
        <v>0</v>
      </c>
      <c r="KA365" s="561">
        <v>0</v>
      </c>
      <c r="KB365" s="561">
        <v>0</v>
      </c>
      <c r="KC365" s="561">
        <v>406</v>
      </c>
      <c r="KD365" s="561">
        <v>0</v>
      </c>
      <c r="KE365" s="561">
        <v>301</v>
      </c>
      <c r="KF365" s="561">
        <v>0</v>
      </c>
      <c r="KG365" s="561">
        <v>75192</v>
      </c>
      <c r="KH365" s="561">
        <v>-1769</v>
      </c>
      <c r="KI365" s="561">
        <v>0</v>
      </c>
      <c r="KJ365" s="561">
        <v>0</v>
      </c>
      <c r="KK365" s="561">
        <v>0</v>
      </c>
      <c r="KL365" s="561">
        <v>0</v>
      </c>
      <c r="KM365" s="561">
        <v>0</v>
      </c>
      <c r="KN365" s="561">
        <v>0</v>
      </c>
      <c r="KO365" s="561">
        <v>0</v>
      </c>
      <c r="KP365" s="561">
        <v>0</v>
      </c>
      <c r="KQ365" s="561">
        <v>0</v>
      </c>
      <c r="KR365" s="561">
        <v>73423</v>
      </c>
      <c r="KS365" s="561">
        <v>0</v>
      </c>
      <c r="KT365" s="561">
        <v>-8570</v>
      </c>
      <c r="KU365" s="561">
        <v>64853</v>
      </c>
      <c r="KV365" s="561">
        <v>0</v>
      </c>
      <c r="KW365" s="561">
        <v>0</v>
      </c>
      <c r="KX365" s="561">
        <v>0</v>
      </c>
      <c r="KY365" s="561">
        <v>0</v>
      </c>
      <c r="KZ365" s="561">
        <v>-2571</v>
      </c>
      <c r="LA365" s="561">
        <v>0</v>
      </c>
      <c r="LB365" s="561">
        <v>-13471</v>
      </c>
      <c r="LC365" s="561">
        <v>0</v>
      </c>
      <c r="LD365" s="561">
        <v>-19853</v>
      </c>
      <c r="LE365" s="561">
        <v>-528</v>
      </c>
      <c r="LF365" s="561">
        <v>290</v>
      </c>
      <c r="LG365" s="561">
        <v>28720</v>
      </c>
      <c r="LH365" s="561">
        <v>0</v>
      </c>
      <c r="LI365" s="561">
        <v>0</v>
      </c>
      <c r="LJ365" s="561">
        <v>0</v>
      </c>
      <c r="LK365" s="561">
        <v>0</v>
      </c>
      <c r="LL365" s="561">
        <v>28456</v>
      </c>
      <c r="LM365" s="561">
        <v>4072</v>
      </c>
      <c r="LN365" s="561">
        <v>0</v>
      </c>
      <c r="LO365" s="561">
        <v>0</v>
      </c>
      <c r="LP365" s="561">
        <v>0</v>
      </c>
      <c r="LQ365" s="561">
        <v>0</v>
      </c>
      <c r="LR365" s="561">
        <v>25885</v>
      </c>
      <c r="LS365" s="561">
        <v>4072</v>
      </c>
      <c r="LT365" s="561">
        <v>0</v>
      </c>
      <c r="LU365" s="561">
        <v>3068</v>
      </c>
      <c r="LV365" s="561">
        <v>0</v>
      </c>
      <c r="LW365" s="561">
        <v>0</v>
      </c>
      <c r="LX365" s="561">
        <v>0</v>
      </c>
      <c r="LY365" s="561">
        <v>0</v>
      </c>
      <c r="LZ365" s="561">
        <v>3068</v>
      </c>
      <c r="MA365" s="561">
        <v>0</v>
      </c>
      <c r="MB365" s="561">
        <v>0</v>
      </c>
      <c r="MC365" s="561">
        <v>0</v>
      </c>
      <c r="MD365" s="561">
        <v>0</v>
      </c>
      <c r="ME365" s="561">
        <v>0</v>
      </c>
      <c r="MF365" s="561">
        <v>0</v>
      </c>
      <c r="MG365" s="561">
        <v>0</v>
      </c>
      <c r="MH365" s="561">
        <v>0</v>
      </c>
      <c r="MI365" s="561">
        <v>0</v>
      </c>
      <c r="MJ365" s="561">
        <v>0</v>
      </c>
      <c r="MK365" s="561">
        <v>0</v>
      </c>
      <c r="ML365" s="561">
        <v>0</v>
      </c>
      <c r="MM365" s="561">
        <v>24885</v>
      </c>
      <c r="MN365" s="561">
        <v>0</v>
      </c>
      <c r="MO365" s="561">
        <v>1000</v>
      </c>
      <c r="MP365" s="561">
        <v>0</v>
      </c>
      <c r="MQ365" s="561">
        <v>0</v>
      </c>
      <c r="MR365" s="561">
        <v>0</v>
      </c>
      <c r="MS365" s="561">
        <v>0</v>
      </c>
      <c r="MT365" s="561">
        <v>0</v>
      </c>
      <c r="MU365" s="561">
        <v>0</v>
      </c>
      <c r="MV365" s="561">
        <v>0</v>
      </c>
      <c r="MW365" s="561">
        <v>0</v>
      </c>
      <c r="MX365" s="561">
        <v>0</v>
      </c>
      <c r="MY365" s="561">
        <v>0</v>
      </c>
      <c r="MZ365" s="561">
        <v>0</v>
      </c>
      <c r="NA365" s="561">
        <v>67398</v>
      </c>
      <c r="NB365" s="561">
        <v>511</v>
      </c>
      <c r="NC365" s="561">
        <v>0</v>
      </c>
      <c r="ND365" s="561">
        <v>67909</v>
      </c>
      <c r="NE365" s="561">
        <v>0</v>
      </c>
      <c r="NF365" s="561">
        <v>0</v>
      </c>
      <c r="NG365" s="561">
        <v>0</v>
      </c>
      <c r="NH365" s="561">
        <v>0</v>
      </c>
      <c r="NI365" s="561">
        <v>0</v>
      </c>
      <c r="NJ365" s="561">
        <v>0</v>
      </c>
      <c r="NK365" s="561">
        <v>0</v>
      </c>
      <c r="NL365" s="561">
        <v>0</v>
      </c>
      <c r="NM365" s="561">
        <v>0</v>
      </c>
      <c r="NN365" s="561">
        <v>0</v>
      </c>
      <c r="NO365" s="561">
        <v>0</v>
      </c>
      <c r="NP365" s="561">
        <v>0</v>
      </c>
      <c r="NQ365" s="561">
        <v>0</v>
      </c>
      <c r="NR365" s="561">
        <v>0</v>
      </c>
      <c r="NS365" s="561">
        <v>0</v>
      </c>
      <c r="NT365" s="561">
        <v>0</v>
      </c>
      <c r="NU365" s="561">
        <v>0</v>
      </c>
      <c r="NV365" s="561">
        <v>0</v>
      </c>
      <c r="NW365" s="561">
        <v>0</v>
      </c>
      <c r="NX365" s="561">
        <v>0</v>
      </c>
      <c r="NY365" s="561">
        <v>0</v>
      </c>
      <c r="NZ365" s="561">
        <v>0</v>
      </c>
      <c r="OA365" s="561">
        <v>0</v>
      </c>
      <c r="OB365" s="561">
        <v>0</v>
      </c>
      <c r="OC365" s="561">
        <v>0</v>
      </c>
      <c r="OD365" s="561">
        <v>0</v>
      </c>
      <c r="OE365" s="561">
        <v>0</v>
      </c>
      <c r="OF365" s="561">
        <v>0</v>
      </c>
      <c r="OG365" s="561">
        <v>0</v>
      </c>
      <c r="OH365" s="561">
        <v>0</v>
      </c>
      <c r="OI365" s="561">
        <v>0</v>
      </c>
      <c r="OJ365" s="561">
        <v>0</v>
      </c>
      <c r="OK365" s="561">
        <v>0</v>
      </c>
      <c r="OL365" s="561">
        <v>0</v>
      </c>
      <c r="OM365" s="561">
        <v>0</v>
      </c>
      <c r="ON365" s="561">
        <v>0</v>
      </c>
      <c r="OO365" s="561">
        <v>0</v>
      </c>
      <c r="OP365" s="561">
        <v>0</v>
      </c>
      <c r="OQ365" s="561">
        <v>0</v>
      </c>
      <c r="OR365" s="561">
        <v>0</v>
      </c>
      <c r="OS365" s="561">
        <v>0</v>
      </c>
      <c r="OT365" s="561">
        <v>0</v>
      </c>
      <c r="OU365" s="561">
        <v>0</v>
      </c>
      <c r="OV365" s="561">
        <v>0</v>
      </c>
      <c r="OW365" s="561">
        <v>0</v>
      </c>
      <c r="OX365" s="561">
        <v>0</v>
      </c>
      <c r="OY365" s="561">
        <v>0</v>
      </c>
      <c r="OZ365" s="561">
        <v>0</v>
      </c>
      <c r="PA365" s="561">
        <v>0</v>
      </c>
      <c r="PB365" s="561">
        <v>0</v>
      </c>
      <c r="PC365" s="561">
        <v>0</v>
      </c>
      <c r="PD365" s="561">
        <v>0</v>
      </c>
      <c r="PE365" s="561">
        <v>0</v>
      </c>
      <c r="PF365" s="561">
        <v>0</v>
      </c>
      <c r="PG365" s="561">
        <v>0</v>
      </c>
      <c r="PH365" s="561">
        <v>0</v>
      </c>
      <c r="PI365" s="561">
        <v>0</v>
      </c>
      <c r="PJ365" s="561">
        <v>0</v>
      </c>
    </row>
    <row r="366" spans="1:426" ht="14" x14ac:dyDescent="0.3">
      <c r="A366" t="s">
        <v>3538</v>
      </c>
      <c r="B366" t="s">
        <v>3539</v>
      </c>
      <c r="C366" t="s">
        <v>3540</v>
      </c>
      <c r="E366" t="s">
        <v>384</v>
      </c>
      <c r="F366" s="561">
        <v>0</v>
      </c>
      <c r="G366" s="561">
        <v>0</v>
      </c>
      <c r="H366" s="561">
        <v>0</v>
      </c>
      <c r="I366" s="561">
        <v>0</v>
      </c>
      <c r="J366" s="561">
        <v>0</v>
      </c>
      <c r="K366" s="561">
        <v>0</v>
      </c>
      <c r="L366" s="561">
        <v>0</v>
      </c>
      <c r="M366" s="561">
        <v>0</v>
      </c>
      <c r="N366" s="561">
        <v>0</v>
      </c>
      <c r="O366" s="561">
        <v>0</v>
      </c>
      <c r="P366" s="561">
        <v>0</v>
      </c>
      <c r="Q366" s="561">
        <v>0</v>
      </c>
      <c r="R366" s="561">
        <v>0</v>
      </c>
      <c r="S366" s="561">
        <v>1.03</v>
      </c>
      <c r="T366" s="561">
        <v>0</v>
      </c>
      <c r="U366" s="561">
        <v>0</v>
      </c>
      <c r="V366" s="561">
        <v>0</v>
      </c>
      <c r="W366" s="561">
        <v>0</v>
      </c>
      <c r="X366" s="561">
        <v>0</v>
      </c>
      <c r="Y366" s="561">
        <v>0</v>
      </c>
      <c r="Z366" s="561">
        <v>0</v>
      </c>
      <c r="AA366" s="561">
        <v>0</v>
      </c>
      <c r="AB366" s="561">
        <v>-1062.04</v>
      </c>
      <c r="AC366" s="561">
        <v>0</v>
      </c>
      <c r="AD366" s="561">
        <v>0</v>
      </c>
      <c r="AE366" s="561">
        <v>-0.99</v>
      </c>
      <c r="AF366" s="561">
        <v>0</v>
      </c>
      <c r="AG366" s="561">
        <v>0</v>
      </c>
      <c r="AH366" s="561">
        <v>0</v>
      </c>
      <c r="AI366" s="561">
        <v>0</v>
      </c>
      <c r="AJ366" s="561">
        <v>-1062</v>
      </c>
      <c r="AK366" s="561">
        <v>0</v>
      </c>
      <c r="AL366" s="561">
        <v>0</v>
      </c>
      <c r="AM366" s="561">
        <v>0</v>
      </c>
      <c r="AN366" s="561">
        <v>0</v>
      </c>
      <c r="AO366" s="561">
        <v>0</v>
      </c>
      <c r="AP366" s="561">
        <v>0</v>
      </c>
      <c r="AQ366" s="561">
        <v>0</v>
      </c>
      <c r="AR366" s="561">
        <v>0</v>
      </c>
      <c r="AS366" s="561">
        <v>0</v>
      </c>
      <c r="AT366" s="561">
        <v>0</v>
      </c>
      <c r="AU366" s="561">
        <v>0</v>
      </c>
      <c r="AV366" s="561">
        <v>0</v>
      </c>
      <c r="AW366" s="561">
        <v>0</v>
      </c>
      <c r="AX366" s="561">
        <v>0</v>
      </c>
      <c r="AY366" s="561">
        <v>0</v>
      </c>
      <c r="AZ366" s="561">
        <v>0</v>
      </c>
      <c r="BA366" s="561">
        <v>0</v>
      </c>
      <c r="BB366" s="561">
        <v>0</v>
      </c>
      <c r="BC366" s="561">
        <v>0</v>
      </c>
      <c r="BD366" s="561">
        <v>0</v>
      </c>
      <c r="BE366" s="561">
        <v>0</v>
      </c>
      <c r="BF366" s="561">
        <v>0</v>
      </c>
      <c r="BG366" s="561">
        <v>0</v>
      </c>
      <c r="BH366" s="561">
        <v>0</v>
      </c>
      <c r="BI366" s="561">
        <v>0</v>
      </c>
      <c r="BJ366" s="561">
        <v>0</v>
      </c>
      <c r="BK366" s="561">
        <v>0</v>
      </c>
      <c r="BL366" s="561">
        <v>0</v>
      </c>
      <c r="BM366" s="561">
        <v>0</v>
      </c>
      <c r="BN366" s="561">
        <v>0</v>
      </c>
      <c r="BO366" s="561">
        <v>0</v>
      </c>
      <c r="BP366" s="561">
        <v>0</v>
      </c>
      <c r="BQ366" s="561">
        <v>0</v>
      </c>
      <c r="BR366" s="561">
        <v>0</v>
      </c>
      <c r="BS366" s="561">
        <v>0</v>
      </c>
      <c r="BT366" s="561">
        <v>0</v>
      </c>
      <c r="BU366" s="561">
        <v>0</v>
      </c>
      <c r="BV366" s="561">
        <v>0</v>
      </c>
      <c r="BW366" s="561">
        <v>0</v>
      </c>
      <c r="BX366" s="561">
        <v>0</v>
      </c>
      <c r="BY366" s="561">
        <v>0</v>
      </c>
      <c r="BZ366" s="561">
        <v>0</v>
      </c>
      <c r="CA366" s="561">
        <v>0</v>
      </c>
      <c r="CB366" s="561">
        <v>0</v>
      </c>
      <c r="CC366" s="561">
        <v>0</v>
      </c>
      <c r="CD366" s="561">
        <v>0</v>
      </c>
      <c r="CE366" s="561">
        <v>0</v>
      </c>
      <c r="CF366" s="561">
        <v>0</v>
      </c>
      <c r="CG366" s="561">
        <v>0</v>
      </c>
      <c r="CH366" s="561">
        <v>0</v>
      </c>
      <c r="CI366" s="561">
        <v>0</v>
      </c>
      <c r="CJ366" s="561">
        <v>0</v>
      </c>
      <c r="CK366" s="561">
        <v>75.040000000000006</v>
      </c>
      <c r="CL366" s="561">
        <v>0</v>
      </c>
      <c r="CM366" s="561">
        <v>0</v>
      </c>
      <c r="CN366" s="561">
        <v>0</v>
      </c>
      <c r="CO366" s="561">
        <v>0</v>
      </c>
      <c r="CP366" s="561">
        <v>0</v>
      </c>
      <c r="CQ366" s="561">
        <v>0</v>
      </c>
      <c r="CR366" s="561">
        <v>0</v>
      </c>
      <c r="CS366" s="561">
        <v>0</v>
      </c>
      <c r="CT366" s="561">
        <v>0</v>
      </c>
      <c r="CU366" s="561">
        <v>0</v>
      </c>
      <c r="CV366" s="561">
        <v>0</v>
      </c>
      <c r="CW366" s="561">
        <v>0</v>
      </c>
      <c r="CX366" s="561">
        <v>0</v>
      </c>
      <c r="CY366" s="561">
        <v>0</v>
      </c>
      <c r="CZ366" s="561">
        <v>75.040000000000006</v>
      </c>
      <c r="DA366" s="561">
        <v>0</v>
      </c>
      <c r="DB366" s="561">
        <v>0</v>
      </c>
      <c r="DC366" s="561">
        <v>0</v>
      </c>
      <c r="DD366" s="561">
        <v>0</v>
      </c>
      <c r="DE366" s="561">
        <v>0</v>
      </c>
      <c r="DF366" s="561">
        <v>0</v>
      </c>
      <c r="DG366" s="561">
        <v>0</v>
      </c>
      <c r="DH366" s="561">
        <v>77.349999999999994</v>
      </c>
      <c r="DI366" s="561">
        <v>0</v>
      </c>
      <c r="DJ366" s="561">
        <v>0</v>
      </c>
      <c r="DK366" s="561">
        <v>0</v>
      </c>
      <c r="DL366" s="561">
        <v>0</v>
      </c>
      <c r="DM366" s="561">
        <v>0</v>
      </c>
      <c r="DN366" s="561">
        <v>0</v>
      </c>
      <c r="DO366" s="561">
        <v>623.77</v>
      </c>
      <c r="DP366" s="561">
        <v>0</v>
      </c>
      <c r="DQ366" s="561">
        <v>0</v>
      </c>
      <c r="DR366" s="561">
        <v>0</v>
      </c>
      <c r="DS366" s="561">
        <v>35.08</v>
      </c>
      <c r="DT366" s="561">
        <v>0</v>
      </c>
      <c r="DU366" s="561">
        <v>658.85</v>
      </c>
      <c r="DV366" s="561">
        <v>2.54</v>
      </c>
      <c r="DW366" s="561">
        <v>72.739999999999995</v>
      </c>
      <c r="DX366" s="561">
        <v>0</v>
      </c>
      <c r="DY366" s="561">
        <v>0</v>
      </c>
      <c r="DZ366" s="561">
        <v>0</v>
      </c>
      <c r="EA366" s="561">
        <v>0</v>
      </c>
      <c r="EB366" s="561">
        <v>0</v>
      </c>
      <c r="EC366" s="561">
        <v>811.48</v>
      </c>
      <c r="ED366" s="561">
        <v>533.58000000000004</v>
      </c>
      <c r="EE366" s="561">
        <v>18290.02</v>
      </c>
      <c r="EF366" s="561">
        <v>205.76</v>
      </c>
      <c r="EG366" s="561">
        <v>1347.32</v>
      </c>
      <c r="EH366" s="561">
        <v>0.34</v>
      </c>
      <c r="EI366" s="561">
        <v>0</v>
      </c>
      <c r="EJ366" s="561">
        <v>198.54</v>
      </c>
      <c r="EK366" s="561">
        <v>0</v>
      </c>
      <c r="EL366" s="561">
        <v>0</v>
      </c>
      <c r="EM366" s="561">
        <v>-1.45</v>
      </c>
      <c r="EN366" s="561">
        <v>4307.04</v>
      </c>
      <c r="EO366" s="561">
        <v>3708.88</v>
      </c>
      <c r="EP366" s="561">
        <v>1218.68</v>
      </c>
      <c r="EQ366" s="561">
        <v>387.58</v>
      </c>
      <c r="ER366" s="561">
        <v>2642.97</v>
      </c>
      <c r="ES366" s="561" t="s">
        <v>4565</v>
      </c>
      <c r="ET366" s="561">
        <v>0</v>
      </c>
      <c r="EU366" s="561">
        <v>435.22</v>
      </c>
      <c r="EV366" s="561">
        <v>0</v>
      </c>
      <c r="EW366" s="561">
        <v>0</v>
      </c>
      <c r="EX366" s="561">
        <v>4899.2299999999996</v>
      </c>
      <c r="EY366" s="561">
        <v>0</v>
      </c>
      <c r="EZ366" s="561">
        <v>2440.9299999999998</v>
      </c>
      <c r="FA366" s="561">
        <v>2379</v>
      </c>
      <c r="FB366" s="561">
        <v>0</v>
      </c>
      <c r="FC366" s="561">
        <v>0</v>
      </c>
      <c r="FD366" s="561">
        <v>0</v>
      </c>
      <c r="FE366" s="561">
        <v>281.52999999999997</v>
      </c>
      <c r="FF366" s="561">
        <v>0</v>
      </c>
      <c r="FG366" s="561">
        <v>48.46</v>
      </c>
      <c r="FH366" s="561">
        <v>0</v>
      </c>
      <c r="FI366" s="561">
        <v>0</v>
      </c>
      <c r="FJ366" s="561">
        <v>1133.49</v>
      </c>
      <c r="FK366" s="561">
        <v>0</v>
      </c>
      <c r="FL366" s="561">
        <v>0</v>
      </c>
      <c r="FM366" s="561">
        <v>0</v>
      </c>
      <c r="FN366" s="561">
        <v>0</v>
      </c>
      <c r="FO366" s="561">
        <v>1463.48</v>
      </c>
      <c r="FP366" s="561">
        <v>0</v>
      </c>
      <c r="FQ366" s="561">
        <v>0</v>
      </c>
      <c r="FR366" s="561">
        <v>0</v>
      </c>
      <c r="FS366" s="561">
        <v>0</v>
      </c>
      <c r="FT366" s="561">
        <v>503.27</v>
      </c>
      <c r="FU366" s="561">
        <v>516.13</v>
      </c>
      <c r="FV366" s="561">
        <v>-8.58</v>
      </c>
      <c r="FW366" s="561">
        <v>41.04</v>
      </c>
      <c r="FX366" s="561">
        <v>-224.52</v>
      </c>
      <c r="FY366" s="561">
        <v>0</v>
      </c>
      <c r="FZ366" s="561">
        <v>0</v>
      </c>
      <c r="GA366" s="561">
        <v>0</v>
      </c>
      <c r="GB366" s="561">
        <v>9.09</v>
      </c>
      <c r="GC366" s="561">
        <v>-158.87</v>
      </c>
      <c r="GD366" s="561">
        <v>0</v>
      </c>
      <c r="GE366" s="561">
        <v>270.88</v>
      </c>
      <c r="GF366" s="561">
        <v>0</v>
      </c>
      <c r="GG366" s="561">
        <v>0</v>
      </c>
      <c r="GH366" s="561">
        <v>0</v>
      </c>
      <c r="GI366" s="561">
        <v>0</v>
      </c>
      <c r="GJ366" s="561">
        <v>0</v>
      </c>
      <c r="GK366" s="561">
        <v>0</v>
      </c>
      <c r="GL366" s="561">
        <v>513.4</v>
      </c>
      <c r="GM366" s="561">
        <v>2398.91</v>
      </c>
      <c r="GN366" s="561">
        <v>0</v>
      </c>
      <c r="GO366" s="561">
        <v>968.7</v>
      </c>
      <c r="GP366" s="561">
        <v>-2101.87</v>
      </c>
      <c r="GQ366" s="561">
        <v>0</v>
      </c>
      <c r="GR366" s="561">
        <v>390.34</v>
      </c>
      <c r="GS366" s="561">
        <v>3117.92</v>
      </c>
      <c r="GT366" s="561">
        <v>721.59</v>
      </c>
      <c r="GU366" s="561">
        <v>59.38</v>
      </c>
      <c r="GV366" s="561">
        <v>24.4</v>
      </c>
      <c r="GW366" s="561">
        <v>261.79000000000002</v>
      </c>
      <c r="GX366" s="561">
        <v>1363.2</v>
      </c>
      <c r="GY366" s="561">
        <v>0</v>
      </c>
      <c r="GZ366" s="561">
        <v>826.95</v>
      </c>
      <c r="HA366" s="561">
        <v>0</v>
      </c>
      <c r="HB366" s="561">
        <v>0</v>
      </c>
      <c r="HC366" s="561">
        <v>0</v>
      </c>
      <c r="HD366" s="561">
        <v>2535.7199999999998</v>
      </c>
      <c r="HE366" s="561">
        <v>865.45</v>
      </c>
      <c r="HF366" s="561">
        <v>7117.12</v>
      </c>
      <c r="HG366" s="561">
        <v>1587.04</v>
      </c>
      <c r="HH366" s="561">
        <v>0</v>
      </c>
      <c r="HI366" s="561">
        <v>0</v>
      </c>
      <c r="HJ366" s="561">
        <v>0</v>
      </c>
      <c r="HK366" s="561">
        <v>0</v>
      </c>
      <c r="HL366" s="561">
        <v>0</v>
      </c>
      <c r="HM366" s="561">
        <v>0</v>
      </c>
      <c r="HN366" s="561">
        <v>0</v>
      </c>
      <c r="HO366" s="561">
        <v>771.28</v>
      </c>
      <c r="HP366" s="561">
        <v>-158.5</v>
      </c>
      <c r="HQ366" s="561">
        <v>0</v>
      </c>
      <c r="HR366" s="561">
        <v>-97.44</v>
      </c>
      <c r="HS366" s="561">
        <v>0</v>
      </c>
      <c r="HT366" s="561">
        <v>-151.79</v>
      </c>
      <c r="HU366" s="561">
        <v>0</v>
      </c>
      <c r="HV366" s="561">
        <v>0</v>
      </c>
      <c r="HW366" s="561">
        <v>191.14</v>
      </c>
      <c r="HX366" s="561">
        <v>-4.08</v>
      </c>
      <c r="HY366" s="561">
        <v>29.49</v>
      </c>
      <c r="HZ366" s="561">
        <v>-261.52999999999997</v>
      </c>
      <c r="IA366" s="561">
        <v>0</v>
      </c>
      <c r="IB366" s="561">
        <v>356.9</v>
      </c>
      <c r="IC366" s="561">
        <v>0</v>
      </c>
      <c r="ID366" s="561">
        <v>0</v>
      </c>
      <c r="IE366" s="561">
        <v>45.29</v>
      </c>
      <c r="IF366" s="561">
        <v>0</v>
      </c>
      <c r="IG366" s="561">
        <v>0</v>
      </c>
      <c r="IH366" s="561">
        <v>9660.0400000000009</v>
      </c>
      <c r="II366" s="561">
        <v>10380.799999999999</v>
      </c>
      <c r="IJ366" s="561">
        <v>1010.86</v>
      </c>
      <c r="IK366" s="561">
        <v>0</v>
      </c>
      <c r="IL366" s="561">
        <v>1364.21</v>
      </c>
      <c r="IM366" s="561">
        <v>0</v>
      </c>
      <c r="IN366" s="561">
        <v>0</v>
      </c>
      <c r="IO366" s="561">
        <v>260.44</v>
      </c>
      <c r="IP366" s="561">
        <v>0</v>
      </c>
      <c r="IQ366" s="561">
        <v>0</v>
      </c>
      <c r="IR366" s="561">
        <v>0</v>
      </c>
      <c r="IS366" s="561">
        <v>-1062</v>
      </c>
      <c r="IT366" s="561">
        <v>0</v>
      </c>
      <c r="IU366" s="561">
        <v>0</v>
      </c>
      <c r="IV366" s="561">
        <v>75.040000000000006</v>
      </c>
      <c r="IW366" s="561">
        <v>811.48</v>
      </c>
      <c r="IX366" s="561">
        <v>1463.48</v>
      </c>
      <c r="IY366" s="561">
        <v>3117.92</v>
      </c>
      <c r="IZ366" s="561">
        <v>2535.7199999999998</v>
      </c>
      <c r="JA366" s="561">
        <v>0</v>
      </c>
      <c r="JB366" s="561">
        <v>0</v>
      </c>
      <c r="JC366" s="561">
        <v>10380.799999999999</v>
      </c>
      <c r="JD366" s="561">
        <v>0</v>
      </c>
      <c r="JE366" s="561">
        <v>17322.439999999999</v>
      </c>
      <c r="JF366" s="561">
        <v>6550.71</v>
      </c>
      <c r="JG366" s="561">
        <v>0</v>
      </c>
      <c r="JH366" s="561">
        <v>5294.33</v>
      </c>
      <c r="JI366" s="561">
        <v>0</v>
      </c>
      <c r="JJ366" s="561">
        <v>0</v>
      </c>
      <c r="JK366" s="561">
        <v>4816</v>
      </c>
      <c r="JL366" s="561">
        <v>0</v>
      </c>
      <c r="JM366" s="561">
        <v>0</v>
      </c>
      <c r="JN366" s="561">
        <v>0</v>
      </c>
      <c r="JO366" s="561">
        <v>0</v>
      </c>
      <c r="JP366" s="561">
        <v>0</v>
      </c>
      <c r="JQ366" s="561">
        <v>0</v>
      </c>
      <c r="JR366" s="561">
        <v>0</v>
      </c>
      <c r="JS366" s="561">
        <v>0</v>
      </c>
      <c r="JT366" s="561">
        <v>30.14</v>
      </c>
      <c r="JU366" s="561">
        <v>0</v>
      </c>
      <c r="JV366" s="561">
        <v>34013.620000000003</v>
      </c>
      <c r="JW366" s="561">
        <v>0</v>
      </c>
      <c r="JX366" s="561">
        <v>2038.76</v>
      </c>
      <c r="JY366" s="561">
        <v>0</v>
      </c>
      <c r="JZ366" s="561">
        <v>0</v>
      </c>
      <c r="KA366" s="561">
        <v>0</v>
      </c>
      <c r="KB366" s="561">
        <v>201.32</v>
      </c>
      <c r="KC366" s="561">
        <v>1163.74</v>
      </c>
      <c r="KD366" s="561">
        <v>0</v>
      </c>
      <c r="KE366" s="561">
        <v>10207.459999999999</v>
      </c>
      <c r="KF366" s="561">
        <v>0</v>
      </c>
      <c r="KG366" s="561">
        <v>47624.9</v>
      </c>
      <c r="KH366" s="561">
        <v>-12613.68</v>
      </c>
      <c r="KI366" s="561">
        <v>0</v>
      </c>
      <c r="KJ366" s="561">
        <v>0</v>
      </c>
      <c r="KK366" s="561">
        <v>0</v>
      </c>
      <c r="KL366" s="561">
        <v>-12091</v>
      </c>
      <c r="KM366" s="561">
        <v>0</v>
      </c>
      <c r="KN366" s="561">
        <v>0</v>
      </c>
      <c r="KO366" s="561">
        <v>0</v>
      </c>
      <c r="KP366" s="561">
        <v>0</v>
      </c>
      <c r="KQ366" s="561">
        <v>0</v>
      </c>
      <c r="KR366" s="561">
        <v>22920.22</v>
      </c>
      <c r="KS366" s="561">
        <v>0</v>
      </c>
      <c r="KT366" s="561">
        <v>-4777</v>
      </c>
      <c r="KU366" s="561">
        <v>18143.22</v>
      </c>
      <c r="KV366" s="561">
        <v>0</v>
      </c>
      <c r="KW366" s="561">
        <v>0</v>
      </c>
      <c r="KX366" s="561">
        <v>0</v>
      </c>
      <c r="KY366" s="561">
        <v>0</v>
      </c>
      <c r="KZ366" s="561">
        <v>1677</v>
      </c>
      <c r="LA366" s="561">
        <v>0</v>
      </c>
      <c r="LB366" s="561">
        <v>-115</v>
      </c>
      <c r="LC366" s="561">
        <v>0</v>
      </c>
      <c r="LD366" s="561">
        <v>-8042.24</v>
      </c>
      <c r="LE366" s="561">
        <v>-15</v>
      </c>
      <c r="LF366" s="561">
        <v>0</v>
      </c>
      <c r="LG366" s="561">
        <v>11872</v>
      </c>
      <c r="LH366" s="561">
        <v>0</v>
      </c>
      <c r="LI366" s="561">
        <v>0</v>
      </c>
      <c r="LJ366" s="561">
        <v>0</v>
      </c>
      <c r="LK366" s="561">
        <v>0</v>
      </c>
      <c r="LL366" s="561">
        <v>29788</v>
      </c>
      <c r="LM366" s="561">
        <v>2000</v>
      </c>
      <c r="LN366" s="561">
        <v>0</v>
      </c>
      <c r="LO366" s="561">
        <v>0</v>
      </c>
      <c r="LP366" s="561">
        <v>0</v>
      </c>
      <c r="LQ366" s="561">
        <v>0</v>
      </c>
      <c r="LR366" s="561">
        <v>31465</v>
      </c>
      <c r="LS366" s="561">
        <v>2000</v>
      </c>
      <c r="LT366" s="561">
        <v>0</v>
      </c>
      <c r="LU366" s="561">
        <v>6287.52</v>
      </c>
      <c r="LV366" s="561">
        <v>5517.42</v>
      </c>
      <c r="LW366" s="561">
        <v>0</v>
      </c>
      <c r="LX366" s="561">
        <v>-5663.65</v>
      </c>
      <c r="LY366" s="561">
        <v>1631.58</v>
      </c>
      <c r="LZ366" s="561">
        <v>7772.87</v>
      </c>
      <c r="MA366" s="561">
        <v>0</v>
      </c>
      <c r="MB366" s="561">
        <v>0</v>
      </c>
      <c r="MC366" s="561">
        <v>20040.53</v>
      </c>
      <c r="MD366" s="561">
        <v>17599.599999999999</v>
      </c>
      <c r="ME366" s="561">
        <v>2440.9299999999998</v>
      </c>
      <c r="MF366" s="561">
        <v>2379</v>
      </c>
      <c r="MG366" s="561">
        <v>4819.93</v>
      </c>
      <c r="MH366" s="561">
        <v>1909.72</v>
      </c>
      <c r="MI366" s="561">
        <v>2290.19</v>
      </c>
      <c r="MJ366" s="561">
        <v>4199.91</v>
      </c>
      <c r="MK366" s="561">
        <v>0</v>
      </c>
      <c r="ML366" s="561">
        <v>0</v>
      </c>
      <c r="MM366" s="561">
        <v>31465</v>
      </c>
      <c r="MN366" s="561">
        <v>0</v>
      </c>
      <c r="MO366" s="561">
        <v>0</v>
      </c>
      <c r="MP366" s="561">
        <v>0</v>
      </c>
      <c r="MQ366" s="561">
        <v>0</v>
      </c>
      <c r="MR366" s="561">
        <v>-1062</v>
      </c>
      <c r="MS366" s="561">
        <v>0</v>
      </c>
      <c r="MT366" s="561">
        <v>0</v>
      </c>
      <c r="MU366" s="561">
        <v>75.040000000000006</v>
      </c>
      <c r="MV366" s="561">
        <v>811.48</v>
      </c>
      <c r="MW366" s="561">
        <v>1463.48</v>
      </c>
      <c r="MX366" s="561">
        <v>3117.92</v>
      </c>
      <c r="MY366" s="561">
        <v>2535.7199999999998</v>
      </c>
      <c r="MZ366" s="561">
        <v>0</v>
      </c>
      <c r="NA366" s="561">
        <v>0</v>
      </c>
      <c r="NB366" s="561">
        <v>10380.799999999999</v>
      </c>
      <c r="NC366" s="561">
        <v>0</v>
      </c>
      <c r="ND366" s="561">
        <v>17322.439999999999</v>
      </c>
      <c r="NE366" s="561">
        <v>0</v>
      </c>
      <c r="NF366" s="561">
        <v>0</v>
      </c>
      <c r="NG366" s="561">
        <v>0</v>
      </c>
      <c r="NH366" s="561">
        <v>0</v>
      </c>
      <c r="NI366" s="561">
        <v>0</v>
      </c>
      <c r="NJ366" s="561">
        <v>0</v>
      </c>
      <c r="NK366" s="561">
        <v>0</v>
      </c>
      <c r="NL366" s="561">
        <v>0</v>
      </c>
      <c r="NM366" s="561">
        <v>0</v>
      </c>
      <c r="NN366" s="561">
        <v>0</v>
      </c>
      <c r="NO366" s="561">
        <v>0</v>
      </c>
      <c r="NP366" s="561">
        <v>0</v>
      </c>
      <c r="NQ366" s="561">
        <v>0</v>
      </c>
      <c r="NR366" s="561">
        <v>0</v>
      </c>
      <c r="NS366" s="561">
        <v>0</v>
      </c>
      <c r="NT366" s="561">
        <v>0</v>
      </c>
      <c r="NU366" s="561">
        <v>0</v>
      </c>
      <c r="NV366" s="561">
        <v>0</v>
      </c>
      <c r="NW366" s="561">
        <v>0</v>
      </c>
      <c r="NX366" s="561">
        <v>0</v>
      </c>
      <c r="NY366" s="561">
        <v>0</v>
      </c>
      <c r="NZ366" s="561">
        <v>0</v>
      </c>
      <c r="OA366" s="561">
        <v>0</v>
      </c>
      <c r="OB366" s="561">
        <v>0</v>
      </c>
      <c r="OC366" s="561">
        <v>0</v>
      </c>
      <c r="OD366" s="561">
        <v>0</v>
      </c>
      <c r="OE366" s="561">
        <v>0</v>
      </c>
      <c r="OF366" s="561">
        <v>0</v>
      </c>
      <c r="OG366" s="561">
        <v>0</v>
      </c>
      <c r="OH366" s="561">
        <v>0</v>
      </c>
      <c r="OI366" s="561">
        <v>0</v>
      </c>
      <c r="OJ366" s="561">
        <v>0</v>
      </c>
      <c r="OK366" s="561">
        <v>0</v>
      </c>
      <c r="OL366" s="561">
        <v>0</v>
      </c>
      <c r="OM366" s="561">
        <v>0</v>
      </c>
      <c r="ON366" s="561">
        <v>0</v>
      </c>
      <c r="OO366" s="561">
        <v>0</v>
      </c>
      <c r="OP366" s="561">
        <v>0</v>
      </c>
      <c r="OQ366" s="561">
        <v>0</v>
      </c>
      <c r="OR366" s="561">
        <v>0</v>
      </c>
      <c r="OS366" s="561">
        <v>0</v>
      </c>
      <c r="OT366" s="561">
        <v>0</v>
      </c>
      <c r="OU366" s="561">
        <v>0</v>
      </c>
      <c r="OV366" s="561">
        <v>0</v>
      </c>
      <c r="OW366" s="561">
        <v>0</v>
      </c>
      <c r="OX366" s="561">
        <v>0</v>
      </c>
      <c r="OY366" s="561">
        <v>0</v>
      </c>
      <c r="OZ366" s="561">
        <v>0</v>
      </c>
      <c r="PA366" s="561">
        <v>0</v>
      </c>
      <c r="PB366" s="561">
        <v>0</v>
      </c>
      <c r="PC366" s="561">
        <v>0</v>
      </c>
      <c r="PD366" s="561">
        <v>0</v>
      </c>
      <c r="PE366" s="561">
        <v>0</v>
      </c>
      <c r="PF366" s="561">
        <v>0</v>
      </c>
      <c r="PG366" s="561">
        <v>0</v>
      </c>
      <c r="PH366" s="561">
        <v>0</v>
      </c>
      <c r="PI366" s="561">
        <v>0</v>
      </c>
      <c r="PJ366" s="561">
        <v>0</v>
      </c>
    </row>
    <row r="367" spans="1:426" ht="14" x14ac:dyDescent="0.3">
      <c r="A367" t="s">
        <v>3541</v>
      </c>
      <c r="B367" t="s">
        <v>3542</v>
      </c>
      <c r="C367" t="s">
        <v>4677</v>
      </c>
      <c r="E367" t="s">
        <v>384</v>
      </c>
      <c r="F367" s="561">
        <v>0</v>
      </c>
      <c r="G367" s="561">
        <v>0</v>
      </c>
      <c r="H367" s="561">
        <v>0</v>
      </c>
      <c r="I367" s="561">
        <v>0</v>
      </c>
      <c r="J367" s="561">
        <v>0</v>
      </c>
      <c r="K367" s="561">
        <v>0</v>
      </c>
      <c r="L367" s="561">
        <v>0</v>
      </c>
      <c r="M367" s="561">
        <v>0</v>
      </c>
      <c r="N367" s="561">
        <v>0</v>
      </c>
      <c r="O367" s="561">
        <v>0</v>
      </c>
      <c r="P367" s="561">
        <v>0</v>
      </c>
      <c r="Q367" s="561">
        <v>0</v>
      </c>
      <c r="R367" s="561">
        <v>0</v>
      </c>
      <c r="S367" s="561">
        <v>0</v>
      </c>
      <c r="T367" s="561">
        <v>0</v>
      </c>
      <c r="U367" s="561">
        <v>0</v>
      </c>
      <c r="V367" s="561">
        <v>0</v>
      </c>
      <c r="W367" s="561">
        <v>0</v>
      </c>
      <c r="X367" s="561">
        <v>0</v>
      </c>
      <c r="Y367" s="561">
        <v>0</v>
      </c>
      <c r="Z367" s="561">
        <v>9</v>
      </c>
      <c r="AA367" s="561">
        <v>0</v>
      </c>
      <c r="AB367" s="561">
        <v>-81</v>
      </c>
      <c r="AC367" s="561">
        <v>0</v>
      </c>
      <c r="AD367" s="561">
        <v>0</v>
      </c>
      <c r="AE367" s="561">
        <v>0</v>
      </c>
      <c r="AF367" s="561">
        <v>0</v>
      </c>
      <c r="AG367" s="561">
        <v>0</v>
      </c>
      <c r="AH367" s="561">
        <v>0</v>
      </c>
      <c r="AI367" s="561">
        <v>0</v>
      </c>
      <c r="AJ367" s="561">
        <v>-72</v>
      </c>
      <c r="AK367" s="561">
        <v>1</v>
      </c>
      <c r="AL367" s="561">
        <v>0</v>
      </c>
      <c r="AM367" s="561">
        <v>0</v>
      </c>
      <c r="AN367" s="561">
        <v>0</v>
      </c>
      <c r="AO367" s="561">
        <v>0</v>
      </c>
      <c r="AP367" s="561">
        <v>0</v>
      </c>
      <c r="AQ367" s="561">
        <v>0</v>
      </c>
      <c r="AR367" s="561">
        <v>0</v>
      </c>
      <c r="AS367" s="561">
        <v>0</v>
      </c>
      <c r="AT367" s="561">
        <v>0</v>
      </c>
      <c r="AU367" s="561">
        <v>0</v>
      </c>
      <c r="AV367" s="561">
        <v>0</v>
      </c>
      <c r="AW367" s="561">
        <v>0</v>
      </c>
      <c r="AX367" s="561">
        <v>0</v>
      </c>
      <c r="AY367" s="561">
        <v>0</v>
      </c>
      <c r="AZ367" s="561">
        <v>0</v>
      </c>
      <c r="BA367" s="561">
        <v>0</v>
      </c>
      <c r="BB367" s="561">
        <v>0</v>
      </c>
      <c r="BC367" s="561">
        <v>0</v>
      </c>
      <c r="BD367" s="561">
        <v>0</v>
      </c>
      <c r="BE367" s="561">
        <v>0</v>
      </c>
      <c r="BF367" s="561">
        <v>0</v>
      </c>
      <c r="BG367" s="561">
        <v>0</v>
      </c>
      <c r="BH367" s="561">
        <v>0</v>
      </c>
      <c r="BI367" s="561">
        <v>0</v>
      </c>
      <c r="BJ367" s="561">
        <v>0</v>
      </c>
      <c r="BK367" s="561">
        <v>0</v>
      </c>
      <c r="BL367" s="561">
        <v>0</v>
      </c>
      <c r="BM367" s="561">
        <v>0</v>
      </c>
      <c r="BN367" s="561">
        <v>0</v>
      </c>
      <c r="BO367" s="561">
        <v>0</v>
      </c>
      <c r="BP367" s="561">
        <v>0</v>
      </c>
      <c r="BQ367" s="561">
        <v>0</v>
      </c>
      <c r="BR367" s="561">
        <v>0</v>
      </c>
      <c r="BS367" s="561">
        <v>0</v>
      </c>
      <c r="BT367" s="561">
        <v>0</v>
      </c>
      <c r="BU367" s="561">
        <v>0</v>
      </c>
      <c r="BV367" s="561">
        <v>0</v>
      </c>
      <c r="BW367" s="561">
        <v>0</v>
      </c>
      <c r="BX367" s="561">
        <v>0</v>
      </c>
      <c r="BY367" s="561">
        <v>0</v>
      </c>
      <c r="BZ367" s="561">
        <v>0</v>
      </c>
      <c r="CA367" s="561">
        <v>0</v>
      </c>
      <c r="CB367" s="561">
        <v>0</v>
      </c>
      <c r="CC367" s="561">
        <v>0</v>
      </c>
      <c r="CD367" s="561">
        <v>0</v>
      </c>
      <c r="CE367" s="561">
        <v>0</v>
      </c>
      <c r="CF367" s="561">
        <v>0</v>
      </c>
      <c r="CG367" s="561">
        <v>0</v>
      </c>
      <c r="CH367" s="561">
        <v>0</v>
      </c>
      <c r="CI367" s="561">
        <v>0</v>
      </c>
      <c r="CJ367" s="561">
        <v>0</v>
      </c>
      <c r="CK367" s="561">
        <v>0</v>
      </c>
      <c r="CL367" s="561">
        <v>0</v>
      </c>
      <c r="CM367" s="561">
        <v>0</v>
      </c>
      <c r="CN367" s="561">
        <v>0</v>
      </c>
      <c r="CO367" s="561">
        <v>0</v>
      </c>
      <c r="CP367" s="561">
        <v>0</v>
      </c>
      <c r="CQ367" s="561">
        <v>0</v>
      </c>
      <c r="CR367" s="561">
        <v>0</v>
      </c>
      <c r="CS367" s="561">
        <v>0</v>
      </c>
      <c r="CT367" s="561">
        <v>0</v>
      </c>
      <c r="CU367" s="561">
        <v>0</v>
      </c>
      <c r="CV367" s="561">
        <v>0</v>
      </c>
      <c r="CW367" s="561">
        <v>0</v>
      </c>
      <c r="CX367" s="561">
        <v>0</v>
      </c>
      <c r="CY367" s="561">
        <v>0</v>
      </c>
      <c r="CZ367" s="561">
        <v>0</v>
      </c>
      <c r="DA367" s="561">
        <v>0</v>
      </c>
      <c r="DB367" s="561">
        <v>0</v>
      </c>
      <c r="DC367" s="561">
        <v>0</v>
      </c>
      <c r="DD367" s="561">
        <v>0</v>
      </c>
      <c r="DE367" s="561">
        <v>0</v>
      </c>
      <c r="DF367" s="561">
        <v>0</v>
      </c>
      <c r="DG367" s="561">
        <v>0</v>
      </c>
      <c r="DH367" s="561">
        <v>820</v>
      </c>
      <c r="DI367" s="561">
        <v>0</v>
      </c>
      <c r="DJ367" s="561">
        <v>0</v>
      </c>
      <c r="DK367" s="561">
        <v>191</v>
      </c>
      <c r="DL367" s="561">
        <v>0</v>
      </c>
      <c r="DM367" s="561">
        <v>409</v>
      </c>
      <c r="DN367" s="561">
        <v>0</v>
      </c>
      <c r="DO367" s="561">
        <v>-101</v>
      </c>
      <c r="DP367" s="561">
        <v>0</v>
      </c>
      <c r="DQ367" s="561">
        <v>0</v>
      </c>
      <c r="DR367" s="561">
        <v>28</v>
      </c>
      <c r="DS367" s="561">
        <v>141</v>
      </c>
      <c r="DT367" s="561">
        <v>0</v>
      </c>
      <c r="DU367" s="561">
        <v>477</v>
      </c>
      <c r="DV367" s="561">
        <v>0</v>
      </c>
      <c r="DW367" s="561">
        <v>0</v>
      </c>
      <c r="DX367" s="561">
        <v>0</v>
      </c>
      <c r="DY367" s="561">
        <v>658</v>
      </c>
      <c r="DZ367" s="561">
        <v>-315</v>
      </c>
      <c r="EA367" s="561">
        <v>0</v>
      </c>
      <c r="EB367" s="561">
        <v>0</v>
      </c>
      <c r="EC367" s="561">
        <v>1831</v>
      </c>
      <c r="ED367" s="561">
        <v>66</v>
      </c>
      <c r="EE367" s="561">
        <v>0</v>
      </c>
      <c r="EF367" s="561">
        <v>0</v>
      </c>
      <c r="EG367" s="561">
        <v>0</v>
      </c>
      <c r="EH367" s="561">
        <v>0</v>
      </c>
      <c r="EI367" s="561">
        <v>0</v>
      </c>
      <c r="EJ367" s="561">
        <v>0</v>
      </c>
      <c r="EK367" s="561">
        <v>0</v>
      </c>
      <c r="EL367" s="561">
        <v>0</v>
      </c>
      <c r="EM367" s="561">
        <v>0</v>
      </c>
      <c r="EN367" s="561">
        <v>0</v>
      </c>
      <c r="EO367" s="561">
        <v>0</v>
      </c>
      <c r="EP367" s="561">
        <v>0</v>
      </c>
      <c r="EQ367" s="561">
        <v>0</v>
      </c>
      <c r="ER367" s="561">
        <v>0</v>
      </c>
      <c r="ES367" s="561" t="s">
        <v>4565</v>
      </c>
      <c r="ET367" s="561">
        <v>0</v>
      </c>
      <c r="EU367" s="561">
        <v>0</v>
      </c>
      <c r="EV367" s="561">
        <v>0</v>
      </c>
      <c r="EW367" s="561">
        <v>0</v>
      </c>
      <c r="EX367" s="561">
        <v>0</v>
      </c>
      <c r="EY367" s="561">
        <v>0</v>
      </c>
      <c r="EZ367" s="561">
        <v>0</v>
      </c>
      <c r="FA367" s="561">
        <v>0</v>
      </c>
      <c r="FB367" s="561">
        <v>0</v>
      </c>
      <c r="FC367" s="561">
        <v>18</v>
      </c>
      <c r="FD367" s="561">
        <v>0</v>
      </c>
      <c r="FE367" s="561">
        <v>0</v>
      </c>
      <c r="FF367" s="561">
        <v>0</v>
      </c>
      <c r="FG367" s="561">
        <v>473</v>
      </c>
      <c r="FH367" s="561">
        <v>0</v>
      </c>
      <c r="FI367" s="561">
        <v>267</v>
      </c>
      <c r="FJ367" s="561">
        <v>-866</v>
      </c>
      <c r="FK367" s="561">
        <v>995</v>
      </c>
      <c r="FL367" s="561">
        <v>0</v>
      </c>
      <c r="FM367" s="561">
        <v>0</v>
      </c>
      <c r="FN367" s="561">
        <v>0</v>
      </c>
      <c r="FO367" s="561">
        <v>887</v>
      </c>
      <c r="FP367" s="561">
        <v>196</v>
      </c>
      <c r="FQ367" s="561">
        <v>0</v>
      </c>
      <c r="FR367" s="561">
        <v>0</v>
      </c>
      <c r="FS367" s="561">
        <v>0</v>
      </c>
      <c r="FT367" s="561">
        <v>96</v>
      </c>
      <c r="FU367" s="561">
        <v>0</v>
      </c>
      <c r="FV367" s="561">
        <v>0</v>
      </c>
      <c r="FW367" s="561">
        <v>0</v>
      </c>
      <c r="FX367" s="561">
        <v>0</v>
      </c>
      <c r="FY367" s="561">
        <v>0</v>
      </c>
      <c r="FZ367" s="561">
        <v>0</v>
      </c>
      <c r="GA367" s="561">
        <v>126</v>
      </c>
      <c r="GB367" s="561">
        <v>700</v>
      </c>
      <c r="GC367" s="561">
        <v>-40</v>
      </c>
      <c r="GD367" s="561">
        <v>0</v>
      </c>
      <c r="GE367" s="561">
        <v>0</v>
      </c>
      <c r="GF367" s="561">
        <v>32</v>
      </c>
      <c r="GG367" s="561">
        <v>0</v>
      </c>
      <c r="GH367" s="561">
        <v>80</v>
      </c>
      <c r="GI367" s="561">
        <v>0</v>
      </c>
      <c r="GJ367" s="561">
        <v>0</v>
      </c>
      <c r="GK367" s="561">
        <v>0</v>
      </c>
      <c r="GL367" s="561">
        <v>1854</v>
      </c>
      <c r="GM367" s="561">
        <v>1402</v>
      </c>
      <c r="GN367" s="561">
        <v>0</v>
      </c>
      <c r="GO367" s="561">
        <v>0</v>
      </c>
      <c r="GP367" s="561">
        <v>3346</v>
      </c>
      <c r="GQ367" s="561">
        <v>0</v>
      </c>
      <c r="GR367" s="561">
        <v>0</v>
      </c>
      <c r="GS367" s="561">
        <v>7596</v>
      </c>
      <c r="GT367" s="561">
        <v>1</v>
      </c>
      <c r="GU367" s="561">
        <v>133</v>
      </c>
      <c r="GV367" s="561">
        <v>863</v>
      </c>
      <c r="GW367" s="561">
        <v>78</v>
      </c>
      <c r="GX367" s="561">
        <v>964</v>
      </c>
      <c r="GY367" s="561">
        <v>0</v>
      </c>
      <c r="GZ367" s="561">
        <v>699</v>
      </c>
      <c r="HA367" s="561">
        <v>0</v>
      </c>
      <c r="HB367" s="561">
        <v>0</v>
      </c>
      <c r="HC367" s="561">
        <v>264</v>
      </c>
      <c r="HD367" s="561">
        <v>3001</v>
      </c>
      <c r="HE367" s="561">
        <v>147</v>
      </c>
      <c r="HF367" s="561">
        <v>11484</v>
      </c>
      <c r="HG367" s="561">
        <v>344</v>
      </c>
      <c r="HH367" s="561">
        <v>0</v>
      </c>
      <c r="HI367" s="561">
        <v>0</v>
      </c>
      <c r="HJ367" s="561">
        <v>0</v>
      </c>
      <c r="HK367" s="561">
        <v>0</v>
      </c>
      <c r="HL367" s="561">
        <v>0</v>
      </c>
      <c r="HM367" s="561">
        <v>0</v>
      </c>
      <c r="HN367" s="561">
        <v>0</v>
      </c>
      <c r="HO367" s="561">
        <v>1943</v>
      </c>
      <c r="HP367" s="561">
        <v>565</v>
      </c>
      <c r="HQ367" s="561">
        <v>0</v>
      </c>
      <c r="HR367" s="561">
        <v>0</v>
      </c>
      <c r="HS367" s="561">
        <v>0</v>
      </c>
      <c r="HT367" s="561">
        <v>158</v>
      </c>
      <c r="HU367" s="561">
        <v>0</v>
      </c>
      <c r="HV367" s="561">
        <v>0</v>
      </c>
      <c r="HW367" s="561">
        <v>155</v>
      </c>
      <c r="HX367" s="561">
        <v>130</v>
      </c>
      <c r="HY367" s="561">
        <v>31</v>
      </c>
      <c r="HZ367" s="561">
        <v>-132</v>
      </c>
      <c r="IA367" s="561">
        <v>0</v>
      </c>
      <c r="IB367" s="561">
        <v>479</v>
      </c>
      <c r="IC367" s="561">
        <v>0</v>
      </c>
      <c r="ID367" s="561">
        <v>0</v>
      </c>
      <c r="IE367" s="561">
        <v>898</v>
      </c>
      <c r="IF367" s="561">
        <v>0</v>
      </c>
      <c r="IG367" s="561">
        <v>0</v>
      </c>
      <c r="IH367" s="561">
        <v>6912</v>
      </c>
      <c r="II367" s="561">
        <v>11139</v>
      </c>
      <c r="IJ367" s="561">
        <v>860</v>
      </c>
      <c r="IK367" s="561">
        <v>0</v>
      </c>
      <c r="IL367" s="561">
        <v>0</v>
      </c>
      <c r="IM367" s="561">
        <v>0</v>
      </c>
      <c r="IN367" s="561">
        <v>0</v>
      </c>
      <c r="IO367" s="561">
        <v>0</v>
      </c>
      <c r="IP367" s="561">
        <v>0</v>
      </c>
      <c r="IQ367" s="561">
        <v>0</v>
      </c>
      <c r="IR367" s="561">
        <v>0</v>
      </c>
      <c r="IS367" s="561">
        <v>-72</v>
      </c>
      <c r="IT367" s="561">
        <v>0</v>
      </c>
      <c r="IU367" s="561">
        <v>0</v>
      </c>
      <c r="IV367" s="561">
        <v>0</v>
      </c>
      <c r="IW367" s="561">
        <v>1831</v>
      </c>
      <c r="IX367" s="561">
        <v>887</v>
      </c>
      <c r="IY367" s="561">
        <v>7596</v>
      </c>
      <c r="IZ367" s="561">
        <v>3001</v>
      </c>
      <c r="JA367" s="561">
        <v>0</v>
      </c>
      <c r="JB367" s="561">
        <v>0</v>
      </c>
      <c r="JC367" s="561">
        <v>11139</v>
      </c>
      <c r="JD367" s="561">
        <v>0</v>
      </c>
      <c r="JE367" s="561">
        <v>24382</v>
      </c>
      <c r="JF367" s="561">
        <v>16767</v>
      </c>
      <c r="JG367" s="561">
        <v>540</v>
      </c>
      <c r="JH367" s="561">
        <v>0</v>
      </c>
      <c r="JI367" s="561">
        <v>0</v>
      </c>
      <c r="JJ367" s="561">
        <v>0</v>
      </c>
      <c r="JK367" s="561">
        <v>5522</v>
      </c>
      <c r="JL367" s="561">
        <v>0</v>
      </c>
      <c r="JM367" s="561">
        <v>0</v>
      </c>
      <c r="JN367" s="561">
        <v>0</v>
      </c>
      <c r="JO367" s="561">
        <v>0</v>
      </c>
      <c r="JP367" s="561">
        <v>2005</v>
      </c>
      <c r="JQ367" s="561">
        <v>0</v>
      </c>
      <c r="JR367" s="561">
        <v>-2071</v>
      </c>
      <c r="JS367" s="561">
        <v>0</v>
      </c>
      <c r="JT367" s="561">
        <v>0</v>
      </c>
      <c r="JU367" s="561">
        <v>0</v>
      </c>
      <c r="JV367" s="561">
        <v>47145</v>
      </c>
      <c r="JW367" s="561">
        <v>0</v>
      </c>
      <c r="JX367" s="561">
        <v>0</v>
      </c>
      <c r="JY367" s="561">
        <v>0</v>
      </c>
      <c r="JZ367" s="561">
        <v>0</v>
      </c>
      <c r="KA367" s="561">
        <v>0</v>
      </c>
      <c r="KB367" s="561">
        <v>0</v>
      </c>
      <c r="KC367" s="561">
        <v>0</v>
      </c>
      <c r="KD367" s="561">
        <v>0</v>
      </c>
      <c r="KE367" s="561">
        <v>0</v>
      </c>
      <c r="KF367" s="561">
        <v>0</v>
      </c>
      <c r="KG367" s="561">
        <v>47145</v>
      </c>
      <c r="KH367" s="561">
        <v>-6651</v>
      </c>
      <c r="KI367" s="561">
        <v>0</v>
      </c>
      <c r="KJ367" s="561">
        <v>0</v>
      </c>
      <c r="KK367" s="561">
        <v>0</v>
      </c>
      <c r="KL367" s="561">
        <v>-18307</v>
      </c>
      <c r="KM367" s="561">
        <v>0</v>
      </c>
      <c r="KN367" s="561">
        <v>-298</v>
      </c>
      <c r="KO367" s="561">
        <v>0</v>
      </c>
      <c r="KP367" s="561">
        <v>0</v>
      </c>
      <c r="KQ367" s="561">
        <v>0</v>
      </c>
      <c r="KR367" s="561">
        <v>21889</v>
      </c>
      <c r="KS367" s="561">
        <v>0</v>
      </c>
      <c r="KT367" s="561">
        <v>-5311</v>
      </c>
      <c r="KU367" s="561">
        <v>16578</v>
      </c>
      <c r="KV367" s="561">
        <v>0</v>
      </c>
      <c r="KW367" s="561">
        <v>0</v>
      </c>
      <c r="KX367" s="561">
        <v>0</v>
      </c>
      <c r="KY367" s="561">
        <v>0</v>
      </c>
      <c r="KZ367" s="561">
        <v>635</v>
      </c>
      <c r="LA367" s="561">
        <v>-279</v>
      </c>
      <c r="LB367" s="561">
        <v>-125</v>
      </c>
      <c r="LC367" s="561">
        <v>0</v>
      </c>
      <c r="LD367" s="561">
        <v>-1862</v>
      </c>
      <c r="LE367" s="561">
        <v>-321</v>
      </c>
      <c r="LF367" s="561">
        <v>0</v>
      </c>
      <c r="LG367" s="561">
        <v>14626</v>
      </c>
      <c r="LH367" s="561">
        <v>0</v>
      </c>
      <c r="LI367" s="561">
        <v>0</v>
      </c>
      <c r="LJ367" s="561">
        <v>0</v>
      </c>
      <c r="LK367" s="561">
        <v>0</v>
      </c>
      <c r="LL367" s="561">
        <v>9943</v>
      </c>
      <c r="LM367" s="561">
        <v>25719</v>
      </c>
      <c r="LN367" s="561">
        <v>0</v>
      </c>
      <c r="LO367" s="561">
        <v>0</v>
      </c>
      <c r="LP367" s="561">
        <v>0</v>
      </c>
      <c r="LQ367" s="561">
        <v>0</v>
      </c>
      <c r="LR367" s="561">
        <v>10578</v>
      </c>
      <c r="LS367" s="561">
        <v>25440</v>
      </c>
      <c r="LT367" s="561">
        <v>0</v>
      </c>
      <c r="LU367" s="561">
        <v>3013</v>
      </c>
      <c r="LV367" s="561">
        <v>0</v>
      </c>
      <c r="LW367" s="561">
        <v>6056</v>
      </c>
      <c r="LX367" s="561">
        <v>-9531</v>
      </c>
      <c r="LY367" s="561">
        <v>7706</v>
      </c>
      <c r="LZ367" s="561">
        <v>7244</v>
      </c>
      <c r="MA367" s="561">
        <v>0</v>
      </c>
      <c r="MB367" s="561">
        <v>0</v>
      </c>
      <c r="MC367" s="561">
        <v>0</v>
      </c>
      <c r="MD367" s="561">
        <v>0</v>
      </c>
      <c r="ME367" s="561">
        <v>0</v>
      </c>
      <c r="MF367" s="561">
        <v>0</v>
      </c>
      <c r="MG367" s="561">
        <v>0</v>
      </c>
      <c r="MH367" s="561">
        <v>2839</v>
      </c>
      <c r="MI367" s="561">
        <v>4835</v>
      </c>
      <c r="MJ367" s="561">
        <v>7674</v>
      </c>
      <c r="MK367" s="561">
        <v>0</v>
      </c>
      <c r="ML367" s="561">
        <v>0</v>
      </c>
      <c r="MM367" s="561">
        <v>10578</v>
      </c>
      <c r="MN367" s="561">
        <v>0</v>
      </c>
      <c r="MO367" s="561">
        <v>0</v>
      </c>
      <c r="MP367" s="561">
        <v>0</v>
      </c>
      <c r="MQ367" s="561">
        <v>0</v>
      </c>
      <c r="MR367" s="561">
        <v>-72</v>
      </c>
      <c r="MS367" s="561">
        <v>0</v>
      </c>
      <c r="MT367" s="561">
        <v>0</v>
      </c>
      <c r="MU367" s="561">
        <v>0</v>
      </c>
      <c r="MV367" s="561">
        <v>1831</v>
      </c>
      <c r="MW367" s="561">
        <v>887</v>
      </c>
      <c r="MX367" s="561">
        <v>7596</v>
      </c>
      <c r="MY367" s="561">
        <v>3001</v>
      </c>
      <c r="MZ367" s="561">
        <v>0</v>
      </c>
      <c r="NA367" s="561">
        <v>0</v>
      </c>
      <c r="NB367" s="561">
        <v>11139</v>
      </c>
      <c r="NC367" s="561">
        <v>0</v>
      </c>
      <c r="ND367" s="561">
        <v>24382</v>
      </c>
      <c r="NE367" s="561">
        <v>0</v>
      </c>
      <c r="NF367" s="561">
        <v>0</v>
      </c>
      <c r="NG367" s="561">
        <v>0</v>
      </c>
      <c r="NH367" s="561">
        <v>0</v>
      </c>
      <c r="NI367" s="561">
        <v>0</v>
      </c>
      <c r="NJ367" s="561">
        <v>0</v>
      </c>
      <c r="NK367" s="561">
        <v>0</v>
      </c>
      <c r="NL367" s="561">
        <v>0</v>
      </c>
      <c r="NM367" s="561">
        <v>0</v>
      </c>
      <c r="NN367" s="561">
        <v>0</v>
      </c>
      <c r="NO367" s="561">
        <v>0</v>
      </c>
      <c r="NP367" s="561">
        <v>0</v>
      </c>
      <c r="NQ367" s="561">
        <v>0</v>
      </c>
      <c r="NR367" s="561">
        <v>0</v>
      </c>
      <c r="NS367" s="561">
        <v>0</v>
      </c>
      <c r="NT367" s="561">
        <v>-66</v>
      </c>
      <c r="NU367" s="561">
        <v>287</v>
      </c>
      <c r="NV367" s="561">
        <v>0</v>
      </c>
      <c r="NW367" s="561">
        <v>-66</v>
      </c>
      <c r="NX367" s="561">
        <v>2071</v>
      </c>
      <c r="NY367" s="561">
        <v>2005</v>
      </c>
      <c r="NZ367" s="561">
        <v>0</v>
      </c>
      <c r="OA367" s="561">
        <v>0</v>
      </c>
      <c r="OB367" s="561">
        <v>0</v>
      </c>
      <c r="OC367" s="561">
        <v>0</v>
      </c>
      <c r="OD367" s="561">
        <v>0</v>
      </c>
      <c r="OE367" s="561">
        <v>0</v>
      </c>
      <c r="OF367" s="561">
        <v>0</v>
      </c>
      <c r="OG367" s="561">
        <v>0</v>
      </c>
      <c r="OH367" s="561">
        <v>0</v>
      </c>
      <c r="OI367" s="561">
        <v>0</v>
      </c>
      <c r="OJ367" s="561">
        <v>0</v>
      </c>
      <c r="OK367" s="561">
        <v>0</v>
      </c>
      <c r="OL367" s="561">
        <v>0</v>
      </c>
      <c r="OM367" s="561">
        <v>0</v>
      </c>
      <c r="ON367" s="561">
        <v>0</v>
      </c>
      <c r="OO367" s="561">
        <v>0</v>
      </c>
      <c r="OP367" s="561">
        <v>0</v>
      </c>
      <c r="OQ367" s="561">
        <v>0</v>
      </c>
      <c r="OR367" s="561">
        <v>0</v>
      </c>
      <c r="OS367" s="561">
        <v>0</v>
      </c>
      <c r="OT367" s="561">
        <v>0</v>
      </c>
      <c r="OU367" s="561">
        <v>0</v>
      </c>
      <c r="OV367" s="561">
        <v>0</v>
      </c>
      <c r="OW367" s="561">
        <v>0</v>
      </c>
      <c r="OX367" s="561">
        <v>0</v>
      </c>
      <c r="OY367" s="561">
        <v>84</v>
      </c>
      <c r="OZ367" s="561">
        <v>0</v>
      </c>
      <c r="PA367" s="561">
        <v>1987</v>
      </c>
      <c r="PB367" s="561">
        <v>0</v>
      </c>
      <c r="PC367" s="561">
        <v>0</v>
      </c>
      <c r="PD367" s="561">
        <v>2071</v>
      </c>
      <c r="PE367" s="561">
        <v>0</v>
      </c>
      <c r="PF367" s="561">
        <v>0</v>
      </c>
      <c r="PG367" s="561">
        <v>0</v>
      </c>
      <c r="PH367" s="561">
        <v>0</v>
      </c>
      <c r="PI367" s="561">
        <v>0</v>
      </c>
      <c r="PJ367" s="561">
        <v>0</v>
      </c>
    </row>
    <row r="368" spans="1:426" ht="14" x14ac:dyDescent="0.3">
      <c r="A368" t="s">
        <v>3544</v>
      </c>
      <c r="B368" t="s">
        <v>3545</v>
      </c>
      <c r="C368" t="s">
        <v>3546</v>
      </c>
      <c r="E368" t="s">
        <v>379</v>
      </c>
      <c r="F368" s="561">
        <v>37413</v>
      </c>
      <c r="G368" s="561">
        <v>93567</v>
      </c>
      <c r="H368" s="561">
        <v>35834</v>
      </c>
      <c r="I368" s="561">
        <v>26840</v>
      </c>
      <c r="J368" s="561">
        <v>2922</v>
      </c>
      <c r="K368" s="561">
        <v>9601</v>
      </c>
      <c r="L368" s="561">
        <v>206177</v>
      </c>
      <c r="M368" s="561">
        <v>3985</v>
      </c>
      <c r="N368" s="561">
        <v>-270</v>
      </c>
      <c r="O368" s="561">
        <v>0</v>
      </c>
      <c r="P368" s="561">
        <v>23</v>
      </c>
      <c r="Q368" s="561">
        <v>213</v>
      </c>
      <c r="R368" s="561">
        <v>166</v>
      </c>
      <c r="S368" s="561">
        <v>5247</v>
      </c>
      <c r="T368" s="561">
        <v>0</v>
      </c>
      <c r="U368" s="561">
        <v>906</v>
      </c>
      <c r="V368" s="561">
        <v>5535</v>
      </c>
      <c r="W368" s="561">
        <v>0</v>
      </c>
      <c r="X368" s="561">
        <v>0</v>
      </c>
      <c r="Y368" s="561">
        <v>33</v>
      </c>
      <c r="Z368" s="561">
        <v>603</v>
      </c>
      <c r="AA368" s="561">
        <v>-97</v>
      </c>
      <c r="AB368" s="561">
        <v>-1421</v>
      </c>
      <c r="AC368" s="561">
        <v>0</v>
      </c>
      <c r="AD368" s="561">
        <v>0</v>
      </c>
      <c r="AE368" s="561">
        <v>0</v>
      </c>
      <c r="AF368" s="561">
        <v>0</v>
      </c>
      <c r="AG368" s="561">
        <v>0</v>
      </c>
      <c r="AH368" s="561">
        <v>0</v>
      </c>
      <c r="AI368" s="561">
        <v>0</v>
      </c>
      <c r="AJ368" s="561">
        <v>10938</v>
      </c>
      <c r="AK368" s="561">
        <v>1041</v>
      </c>
      <c r="AL368" s="561">
        <v>0</v>
      </c>
      <c r="AM368" s="561">
        <v>0</v>
      </c>
      <c r="AN368" s="561">
        <v>0</v>
      </c>
      <c r="AO368" s="561">
        <v>0</v>
      </c>
      <c r="AP368" s="561">
        <v>0</v>
      </c>
      <c r="AQ368" s="561">
        <v>0</v>
      </c>
      <c r="AR368" s="561">
        <v>0</v>
      </c>
      <c r="AS368" s="561">
        <v>130</v>
      </c>
      <c r="AT368" s="561">
        <v>704</v>
      </c>
      <c r="AU368" s="561">
        <v>0</v>
      </c>
      <c r="AV368" s="561">
        <v>0</v>
      </c>
      <c r="AW368" s="561">
        <v>0</v>
      </c>
      <c r="AX368" s="561">
        <v>2598</v>
      </c>
      <c r="AY368" s="561">
        <v>49302</v>
      </c>
      <c r="AZ368" s="561">
        <v>183</v>
      </c>
      <c r="BA368" s="561">
        <v>15232</v>
      </c>
      <c r="BB368" s="561">
        <v>2126</v>
      </c>
      <c r="BC368" s="561">
        <v>23234</v>
      </c>
      <c r="BD368" s="561">
        <v>1173</v>
      </c>
      <c r="BE368" s="561">
        <v>3629</v>
      </c>
      <c r="BF368" s="561">
        <v>97477</v>
      </c>
      <c r="BG368" s="561">
        <v>5934</v>
      </c>
      <c r="BH368" s="561">
        <v>11124</v>
      </c>
      <c r="BI368" s="561">
        <v>45520</v>
      </c>
      <c r="BJ368" s="561">
        <v>513</v>
      </c>
      <c r="BK368" s="561">
        <v>1367</v>
      </c>
      <c r="BL368" s="561">
        <v>131</v>
      </c>
      <c r="BM368" s="561">
        <v>1406</v>
      </c>
      <c r="BN368" s="561">
        <v>49701</v>
      </c>
      <c r="BO368" s="561">
        <v>8002</v>
      </c>
      <c r="BP368" s="561">
        <v>4372</v>
      </c>
      <c r="BQ368" s="561">
        <v>2984</v>
      </c>
      <c r="BR368" s="561">
        <v>3</v>
      </c>
      <c r="BS368" s="561">
        <v>741</v>
      </c>
      <c r="BT368" s="561">
        <v>165</v>
      </c>
      <c r="BU368" s="561">
        <v>966</v>
      </c>
      <c r="BV368" s="561">
        <v>-524</v>
      </c>
      <c r="BW368" s="561">
        <v>17335</v>
      </c>
      <c r="BX368" s="561">
        <v>1051</v>
      </c>
      <c r="BY368" s="561">
        <v>11322</v>
      </c>
      <c r="BZ368" s="561">
        <v>156179</v>
      </c>
      <c r="CA368" s="561">
        <v>2261</v>
      </c>
      <c r="CB368" s="561">
        <v>1260</v>
      </c>
      <c r="CC368" s="561">
        <v>1147</v>
      </c>
      <c r="CD368" s="561">
        <v>503</v>
      </c>
      <c r="CE368" s="561">
        <v>207</v>
      </c>
      <c r="CF368" s="561">
        <v>713</v>
      </c>
      <c r="CG368" s="561">
        <v>103</v>
      </c>
      <c r="CH368" s="561">
        <v>333</v>
      </c>
      <c r="CI368" s="561">
        <v>714</v>
      </c>
      <c r="CJ368" s="561">
        <v>496</v>
      </c>
      <c r="CK368" s="561">
        <v>444</v>
      </c>
      <c r="CL368" s="561">
        <v>209</v>
      </c>
      <c r="CM368" s="561">
        <v>3584</v>
      </c>
      <c r="CN368" s="561">
        <v>625</v>
      </c>
      <c r="CO368" s="561">
        <v>2274</v>
      </c>
      <c r="CP368" s="561">
        <v>1146</v>
      </c>
      <c r="CQ368" s="561">
        <v>400</v>
      </c>
      <c r="CR368" s="561">
        <v>1337</v>
      </c>
      <c r="CS368" s="561">
        <v>143</v>
      </c>
      <c r="CT368" s="561">
        <v>3790</v>
      </c>
      <c r="CU368" s="561">
        <v>3659</v>
      </c>
      <c r="CV368" s="561">
        <v>1771</v>
      </c>
      <c r="CW368" s="561">
        <v>49</v>
      </c>
      <c r="CX368" s="561">
        <v>490</v>
      </c>
      <c r="CY368" s="561">
        <v>6586</v>
      </c>
      <c r="CZ368" s="561">
        <v>31983</v>
      </c>
      <c r="DA368" s="561">
        <v>273</v>
      </c>
      <c r="DB368" s="561">
        <v>0</v>
      </c>
      <c r="DC368" s="561">
        <v>0</v>
      </c>
      <c r="DD368" s="561">
        <v>0</v>
      </c>
      <c r="DE368" s="561">
        <v>0</v>
      </c>
      <c r="DF368" s="561">
        <v>0</v>
      </c>
      <c r="DG368" s="561">
        <v>0</v>
      </c>
      <c r="DH368" s="561">
        <v>480</v>
      </c>
      <c r="DI368" s="561">
        <v>189</v>
      </c>
      <c r="DJ368" s="561">
        <v>0</v>
      </c>
      <c r="DK368" s="561">
        <v>394</v>
      </c>
      <c r="DL368" s="561">
        <v>0</v>
      </c>
      <c r="DM368" s="561">
        <v>0</v>
      </c>
      <c r="DN368" s="561">
        <v>0</v>
      </c>
      <c r="DO368" s="561">
        <v>1425</v>
      </c>
      <c r="DP368" s="561">
        <v>905</v>
      </c>
      <c r="DQ368" s="561">
        <v>310</v>
      </c>
      <c r="DR368" s="561">
        <v>937</v>
      </c>
      <c r="DS368" s="561">
        <v>2825</v>
      </c>
      <c r="DT368" s="561">
        <v>529</v>
      </c>
      <c r="DU368" s="561">
        <v>6931</v>
      </c>
      <c r="DV368" s="561">
        <v>548</v>
      </c>
      <c r="DW368" s="561">
        <v>0</v>
      </c>
      <c r="DX368" s="561">
        <v>0</v>
      </c>
      <c r="DY368" s="561">
        <v>1593</v>
      </c>
      <c r="DZ368" s="561">
        <v>189</v>
      </c>
      <c r="EA368" s="561">
        <v>2491</v>
      </c>
      <c r="EB368" s="561">
        <v>0</v>
      </c>
      <c r="EC368" s="561">
        <v>12815</v>
      </c>
      <c r="ED368" s="561">
        <v>66</v>
      </c>
      <c r="EE368" s="561">
        <v>0</v>
      </c>
      <c r="EF368" s="561">
        <v>0</v>
      </c>
      <c r="EG368" s="561">
        <v>0</v>
      </c>
      <c r="EH368" s="561">
        <v>0</v>
      </c>
      <c r="EI368" s="561">
        <v>0</v>
      </c>
      <c r="EJ368" s="561">
        <v>0</v>
      </c>
      <c r="EK368" s="561">
        <v>0</v>
      </c>
      <c r="EL368" s="561">
        <v>0</v>
      </c>
      <c r="EM368" s="561">
        <v>0</v>
      </c>
      <c r="EN368" s="561">
        <v>0</v>
      </c>
      <c r="EO368" s="561">
        <v>0</v>
      </c>
      <c r="EP368" s="561">
        <v>0</v>
      </c>
      <c r="EQ368" s="561">
        <v>0</v>
      </c>
      <c r="ER368" s="561">
        <v>0</v>
      </c>
      <c r="ES368" s="561" t="s">
        <v>4565</v>
      </c>
      <c r="ET368" s="561">
        <v>0</v>
      </c>
      <c r="EU368" s="561">
        <v>0</v>
      </c>
      <c r="EV368" s="561">
        <v>0</v>
      </c>
      <c r="EW368" s="561">
        <v>0</v>
      </c>
      <c r="EX368" s="561">
        <v>0</v>
      </c>
      <c r="EY368" s="561">
        <v>0</v>
      </c>
      <c r="EZ368" s="561">
        <v>0</v>
      </c>
      <c r="FA368" s="561">
        <v>0</v>
      </c>
      <c r="FB368" s="561">
        <v>211</v>
      </c>
      <c r="FC368" s="561">
        <v>659</v>
      </c>
      <c r="FD368" s="561">
        <v>466</v>
      </c>
      <c r="FE368" s="561">
        <v>2655</v>
      </c>
      <c r="FF368" s="561">
        <v>2090</v>
      </c>
      <c r="FG368" s="561">
        <v>889</v>
      </c>
      <c r="FH368" s="561">
        <v>0</v>
      </c>
      <c r="FI368" s="561">
        <v>800</v>
      </c>
      <c r="FJ368" s="561">
        <v>6591</v>
      </c>
      <c r="FK368" s="561">
        <v>7997</v>
      </c>
      <c r="FL368" s="561">
        <v>22</v>
      </c>
      <c r="FM368" s="561">
        <v>221</v>
      </c>
      <c r="FN368" s="561">
        <v>5112</v>
      </c>
      <c r="FO368" s="561">
        <v>27713</v>
      </c>
      <c r="FP368" s="561">
        <v>19</v>
      </c>
      <c r="FQ368" s="561">
        <v>-618</v>
      </c>
      <c r="FR368" s="561">
        <v>398</v>
      </c>
      <c r="FS368" s="561">
        <v>0</v>
      </c>
      <c r="FT368" s="561">
        <v>655</v>
      </c>
      <c r="FU368" s="561">
        <v>2642</v>
      </c>
      <c r="FV368" s="561">
        <v>242</v>
      </c>
      <c r="FW368" s="561">
        <v>675</v>
      </c>
      <c r="FX368" s="561">
        <v>0</v>
      </c>
      <c r="FY368" s="561">
        <v>0</v>
      </c>
      <c r="FZ368" s="561">
        <v>107</v>
      </c>
      <c r="GA368" s="561">
        <v>0</v>
      </c>
      <c r="GB368" s="561">
        <v>394</v>
      </c>
      <c r="GC368" s="561">
        <v>-290</v>
      </c>
      <c r="GD368" s="561">
        <v>227</v>
      </c>
      <c r="GE368" s="561">
        <v>0</v>
      </c>
      <c r="GF368" s="561">
        <v>699</v>
      </c>
      <c r="GG368" s="561">
        <v>0</v>
      </c>
      <c r="GH368" s="561">
        <v>471</v>
      </c>
      <c r="GI368" s="561">
        <v>173</v>
      </c>
      <c r="GJ368" s="561">
        <v>0</v>
      </c>
      <c r="GK368" s="561">
        <v>0</v>
      </c>
      <c r="GL368" s="561">
        <v>6243</v>
      </c>
      <c r="GM368" s="561">
        <v>4429</v>
      </c>
      <c r="GN368" s="561">
        <v>30442</v>
      </c>
      <c r="GO368" s="561">
        <v>-1132</v>
      </c>
      <c r="GP368" s="561">
        <v>7339</v>
      </c>
      <c r="GQ368" s="561">
        <v>181</v>
      </c>
      <c r="GR368" s="561">
        <v>614</v>
      </c>
      <c r="GS368" s="561">
        <v>53891</v>
      </c>
      <c r="GT368" s="561">
        <v>328</v>
      </c>
      <c r="GU368" s="561">
        <v>431</v>
      </c>
      <c r="GV368" s="561">
        <v>558</v>
      </c>
      <c r="GW368" s="561">
        <v>86</v>
      </c>
      <c r="GX368" s="561">
        <v>816</v>
      </c>
      <c r="GY368" s="561">
        <v>34</v>
      </c>
      <c r="GZ368" s="561">
        <v>5013</v>
      </c>
      <c r="HA368" s="561">
        <v>499</v>
      </c>
      <c r="HB368" s="561">
        <v>402</v>
      </c>
      <c r="HC368" s="561">
        <v>2131</v>
      </c>
      <c r="HD368" s="561">
        <v>9970</v>
      </c>
      <c r="HE368" s="561">
        <v>147</v>
      </c>
      <c r="HF368" s="561">
        <v>91574</v>
      </c>
      <c r="HG368" s="561">
        <v>494</v>
      </c>
      <c r="HH368" s="561">
        <v>0</v>
      </c>
      <c r="HI368" s="561">
        <v>0</v>
      </c>
      <c r="HJ368" s="561">
        <v>0</v>
      </c>
      <c r="HK368" s="561">
        <v>0</v>
      </c>
      <c r="HL368" s="561">
        <v>0</v>
      </c>
      <c r="HM368" s="561">
        <v>0</v>
      </c>
      <c r="HN368" s="561">
        <v>0</v>
      </c>
      <c r="HO368" s="561">
        <v>7124</v>
      </c>
      <c r="HP368" s="561">
        <v>1648</v>
      </c>
      <c r="HQ368" s="561">
        <v>0</v>
      </c>
      <c r="HR368" s="561">
        <v>392</v>
      </c>
      <c r="HS368" s="561">
        <v>2034</v>
      </c>
      <c r="HT368" s="561">
        <v>-288</v>
      </c>
      <c r="HU368" s="561">
        <v>0</v>
      </c>
      <c r="HV368" s="561">
        <v>181</v>
      </c>
      <c r="HW368" s="561">
        <v>783</v>
      </c>
      <c r="HX368" s="561">
        <v>973</v>
      </c>
      <c r="HY368" s="561">
        <v>144</v>
      </c>
      <c r="HZ368" s="561">
        <v>28</v>
      </c>
      <c r="IA368" s="561">
        <v>6286</v>
      </c>
      <c r="IB368" s="561">
        <v>136</v>
      </c>
      <c r="IC368" s="561">
        <v>835</v>
      </c>
      <c r="ID368" s="561">
        <v>0</v>
      </c>
      <c r="IE368" s="561">
        <v>8989</v>
      </c>
      <c r="IF368" s="561">
        <v>0</v>
      </c>
      <c r="IG368" s="561">
        <v>425</v>
      </c>
      <c r="IH368" s="561">
        <v>-3857</v>
      </c>
      <c r="II368" s="561">
        <v>25833</v>
      </c>
      <c r="IJ368" s="561">
        <v>1171</v>
      </c>
      <c r="IK368" s="561">
        <v>27489</v>
      </c>
      <c r="IL368" s="561">
        <v>81251</v>
      </c>
      <c r="IM368" s="561">
        <v>0</v>
      </c>
      <c r="IN368" s="561">
        <v>0</v>
      </c>
      <c r="IO368" s="561">
        <v>0</v>
      </c>
      <c r="IP368" s="561">
        <v>0</v>
      </c>
      <c r="IQ368" s="561">
        <v>0</v>
      </c>
      <c r="IR368" s="561">
        <v>206177</v>
      </c>
      <c r="IS368" s="561">
        <v>10938</v>
      </c>
      <c r="IT368" s="561">
        <v>97477</v>
      </c>
      <c r="IU368" s="561">
        <v>156179</v>
      </c>
      <c r="IV368" s="561">
        <v>31983</v>
      </c>
      <c r="IW368" s="561">
        <v>12815</v>
      </c>
      <c r="IX368" s="561">
        <v>27713</v>
      </c>
      <c r="IY368" s="561">
        <v>53891</v>
      </c>
      <c r="IZ368" s="561">
        <v>9970</v>
      </c>
      <c r="JA368" s="561">
        <v>0</v>
      </c>
      <c r="JB368" s="561">
        <v>0</v>
      </c>
      <c r="JC368" s="561">
        <v>25833</v>
      </c>
      <c r="JD368" s="561">
        <v>0</v>
      </c>
      <c r="JE368" s="561">
        <v>632976</v>
      </c>
      <c r="JF368" s="561">
        <v>73784</v>
      </c>
      <c r="JG368" s="561">
        <v>235</v>
      </c>
      <c r="JH368" s="561">
        <v>0</v>
      </c>
      <c r="JI368" s="561">
        <v>0</v>
      </c>
      <c r="JJ368" s="561">
        <v>0</v>
      </c>
      <c r="JK368" s="561">
        <v>3717</v>
      </c>
      <c r="JL368" s="561">
        <v>15288</v>
      </c>
      <c r="JM368" s="561">
        <v>0</v>
      </c>
      <c r="JN368" s="561">
        <v>0</v>
      </c>
      <c r="JO368" s="561">
        <v>0</v>
      </c>
      <c r="JP368" s="561">
        <v>-2013</v>
      </c>
      <c r="JQ368" s="561">
        <v>55</v>
      </c>
      <c r="JR368" s="561">
        <v>2013</v>
      </c>
      <c r="JS368" s="561">
        <v>0</v>
      </c>
      <c r="JT368" s="561">
        <v>-884</v>
      </c>
      <c r="JU368" s="561">
        <v>0</v>
      </c>
      <c r="JV368" s="561">
        <v>725171</v>
      </c>
      <c r="JW368" s="561">
        <v>198</v>
      </c>
      <c r="JX368" s="561">
        <v>0</v>
      </c>
      <c r="JY368" s="561">
        <v>0</v>
      </c>
      <c r="JZ368" s="561">
        <v>-5697</v>
      </c>
      <c r="KA368" s="561">
        <v>0</v>
      </c>
      <c r="KB368" s="561">
        <v>1815</v>
      </c>
      <c r="KC368" s="561">
        <v>12860</v>
      </c>
      <c r="KD368" s="561">
        <v>274</v>
      </c>
      <c r="KE368" s="561">
        <v>16313</v>
      </c>
      <c r="KF368" s="561">
        <v>0</v>
      </c>
      <c r="KG368" s="561">
        <v>750934</v>
      </c>
      <c r="KH368" s="561">
        <v>-5587</v>
      </c>
      <c r="KI368" s="561">
        <v>0</v>
      </c>
      <c r="KJ368" s="561">
        <v>930</v>
      </c>
      <c r="KK368" s="561">
        <v>0</v>
      </c>
      <c r="KL368" s="561">
        <v>-73962</v>
      </c>
      <c r="KM368" s="561">
        <v>0</v>
      </c>
      <c r="KN368" s="561">
        <v>-48</v>
      </c>
      <c r="KO368" s="561">
        <v>0</v>
      </c>
      <c r="KP368" s="561">
        <v>0</v>
      </c>
      <c r="KQ368" s="561">
        <v>-838</v>
      </c>
      <c r="KR368" s="561">
        <v>671429</v>
      </c>
      <c r="KS368" s="561">
        <v>-611</v>
      </c>
      <c r="KT368" s="561">
        <v>-320865.77</v>
      </c>
      <c r="KU368" s="561">
        <v>349952.23</v>
      </c>
      <c r="KV368" s="561">
        <v>0</v>
      </c>
      <c r="KW368" s="561">
        <v>2071</v>
      </c>
      <c r="KX368" s="561">
        <v>-3684</v>
      </c>
      <c r="KY368" s="561">
        <v>2273</v>
      </c>
      <c r="KZ368" s="561">
        <v>-30702</v>
      </c>
      <c r="LA368" s="561">
        <v>0</v>
      </c>
      <c r="LB368" s="561">
        <v>-17972</v>
      </c>
      <c r="LC368" s="561">
        <v>0</v>
      </c>
      <c r="LD368" s="561">
        <v>-117591</v>
      </c>
      <c r="LE368" s="561">
        <v>1210</v>
      </c>
      <c r="LF368" s="561">
        <v>766</v>
      </c>
      <c r="LG368" s="561">
        <v>186323</v>
      </c>
      <c r="LH368" s="561">
        <v>7304</v>
      </c>
      <c r="LI368" s="561">
        <v>0</v>
      </c>
      <c r="LJ368" s="561">
        <v>3684</v>
      </c>
      <c r="LK368" s="561">
        <v>4036</v>
      </c>
      <c r="LL368" s="561">
        <v>81493</v>
      </c>
      <c r="LM368" s="561">
        <v>16284</v>
      </c>
      <c r="LN368" s="561">
        <v>9375</v>
      </c>
      <c r="LO368" s="561">
        <v>-838</v>
      </c>
      <c r="LP368" s="561">
        <v>0</v>
      </c>
      <c r="LQ368" s="561">
        <v>6309</v>
      </c>
      <c r="LR368" s="561">
        <v>50791</v>
      </c>
      <c r="LS368" s="561">
        <v>16284</v>
      </c>
      <c r="LT368" s="561">
        <v>0</v>
      </c>
      <c r="LU368" s="561">
        <v>0</v>
      </c>
      <c r="LV368" s="561">
        <v>0</v>
      </c>
      <c r="LW368" s="561">
        <v>0</v>
      </c>
      <c r="LX368" s="561">
        <v>0</v>
      </c>
      <c r="LY368" s="561">
        <v>0</v>
      </c>
      <c r="LZ368" s="561">
        <v>0</v>
      </c>
      <c r="MA368" s="561">
        <v>0</v>
      </c>
      <c r="MB368" s="561">
        <v>0</v>
      </c>
      <c r="MC368" s="561">
        <v>0</v>
      </c>
      <c r="MD368" s="561">
        <v>0</v>
      </c>
      <c r="ME368" s="561">
        <v>0</v>
      </c>
      <c r="MF368" s="561">
        <v>0</v>
      </c>
      <c r="MG368" s="561">
        <v>0</v>
      </c>
      <c r="MH368" s="561">
        <v>10419</v>
      </c>
      <c r="MI368" s="561">
        <v>16025</v>
      </c>
      <c r="MJ368" s="561">
        <v>26444</v>
      </c>
      <c r="MK368" s="561">
        <v>3717</v>
      </c>
      <c r="ML368" s="561">
        <v>0</v>
      </c>
      <c r="MM368" s="561">
        <v>31274</v>
      </c>
      <c r="MN368" s="561">
        <v>0</v>
      </c>
      <c r="MO368" s="561">
        <v>17394</v>
      </c>
      <c r="MP368" s="561">
        <v>2123</v>
      </c>
      <c r="MQ368" s="561">
        <v>206177</v>
      </c>
      <c r="MR368" s="561">
        <v>10938</v>
      </c>
      <c r="MS368" s="561">
        <v>97477</v>
      </c>
      <c r="MT368" s="561">
        <v>156179</v>
      </c>
      <c r="MU368" s="561">
        <v>31983</v>
      </c>
      <c r="MV368" s="561">
        <v>12815</v>
      </c>
      <c r="MW368" s="561">
        <v>27713</v>
      </c>
      <c r="MX368" s="561">
        <v>53891</v>
      </c>
      <c r="MY368" s="561">
        <v>9970</v>
      </c>
      <c r="MZ368" s="561">
        <v>0</v>
      </c>
      <c r="NA368" s="561">
        <v>0</v>
      </c>
      <c r="NB368" s="561">
        <v>25833</v>
      </c>
      <c r="NC368" s="561">
        <v>0</v>
      </c>
      <c r="ND368" s="561">
        <v>632976</v>
      </c>
      <c r="NE368" s="561">
        <v>0</v>
      </c>
      <c r="NF368" s="561">
        <v>0</v>
      </c>
      <c r="NG368" s="561">
        <v>0</v>
      </c>
      <c r="NH368" s="561">
        <v>0</v>
      </c>
      <c r="NI368" s="561">
        <v>0</v>
      </c>
      <c r="NJ368" s="561">
        <v>0</v>
      </c>
      <c r="NK368" s="561">
        <v>0</v>
      </c>
      <c r="NL368" s="561">
        <v>0</v>
      </c>
      <c r="NM368" s="561">
        <v>0</v>
      </c>
      <c r="NN368" s="561">
        <v>0</v>
      </c>
      <c r="NO368" s="561">
        <v>0</v>
      </c>
      <c r="NP368" s="561">
        <v>0</v>
      </c>
      <c r="NQ368" s="561">
        <v>0</v>
      </c>
      <c r="NR368" s="561">
        <v>0</v>
      </c>
      <c r="NS368" s="561">
        <v>0</v>
      </c>
      <c r="NT368" s="561">
        <v>0</v>
      </c>
      <c r="NU368" s="561">
        <v>0</v>
      </c>
      <c r="NV368" s="561">
        <v>0</v>
      </c>
      <c r="NW368" s="561">
        <v>0</v>
      </c>
      <c r="NX368" s="561">
        <v>-2013</v>
      </c>
      <c r="NY368" s="561">
        <v>-2013</v>
      </c>
      <c r="NZ368" s="561">
        <v>0</v>
      </c>
      <c r="OA368" s="561">
        <v>0</v>
      </c>
      <c r="OB368" s="561">
        <v>0</v>
      </c>
      <c r="OC368" s="561">
        <v>0</v>
      </c>
      <c r="OD368" s="561">
        <v>0</v>
      </c>
      <c r="OE368" s="561">
        <v>0</v>
      </c>
      <c r="OF368" s="561">
        <v>0</v>
      </c>
      <c r="OG368" s="561">
        <v>0</v>
      </c>
      <c r="OH368" s="561">
        <v>0</v>
      </c>
      <c r="OI368" s="561">
        <v>0</v>
      </c>
      <c r="OJ368" s="561">
        <v>0</v>
      </c>
      <c r="OK368" s="561">
        <v>0</v>
      </c>
      <c r="OL368" s="561">
        <v>0</v>
      </c>
      <c r="OM368" s="561">
        <v>0</v>
      </c>
      <c r="ON368" s="561">
        <v>0</v>
      </c>
      <c r="OO368" s="561">
        <v>0</v>
      </c>
      <c r="OP368" s="561">
        <v>0</v>
      </c>
      <c r="OQ368" s="561">
        <v>0</v>
      </c>
      <c r="OR368" s="561">
        <v>0</v>
      </c>
      <c r="OS368" s="561">
        <v>0</v>
      </c>
      <c r="OT368" s="561">
        <v>0</v>
      </c>
      <c r="OU368" s="561">
        <v>0</v>
      </c>
      <c r="OV368" s="561">
        <v>38</v>
      </c>
      <c r="OW368" s="561">
        <v>0</v>
      </c>
      <c r="OX368" s="561">
        <v>55</v>
      </c>
      <c r="OY368" s="561">
        <v>40727</v>
      </c>
      <c r="OZ368" s="561">
        <v>814</v>
      </c>
      <c r="PA368" s="561">
        <v>-7962</v>
      </c>
      <c r="PB368" s="561">
        <v>-54977</v>
      </c>
      <c r="PC368" s="561">
        <v>19385</v>
      </c>
      <c r="PD368" s="561">
        <v>-2013</v>
      </c>
      <c r="PE368" s="561">
        <v>0</v>
      </c>
      <c r="PF368" s="561">
        <v>0</v>
      </c>
      <c r="PG368" s="561">
        <v>0</v>
      </c>
      <c r="PH368" s="561">
        <v>0</v>
      </c>
      <c r="PI368" s="561">
        <v>0</v>
      </c>
      <c r="PJ368" s="561">
        <v>0</v>
      </c>
    </row>
    <row r="369" spans="1:426" ht="14" x14ac:dyDescent="0.3">
      <c r="A369" t="s">
        <v>3547</v>
      </c>
      <c r="B369" t="s">
        <v>3548</v>
      </c>
      <c r="C369" t="s">
        <v>3549</v>
      </c>
      <c r="E369" t="s">
        <v>379</v>
      </c>
      <c r="F369" s="561">
        <v>35603</v>
      </c>
      <c r="G369" s="561">
        <v>142624</v>
      </c>
      <c r="H369" s="561">
        <v>17431</v>
      </c>
      <c r="I369" s="561">
        <v>48941</v>
      </c>
      <c r="J369" s="561">
        <v>3715</v>
      </c>
      <c r="K369" s="561">
        <v>19162</v>
      </c>
      <c r="L369" s="561">
        <v>267476</v>
      </c>
      <c r="M369" s="561">
        <v>5571</v>
      </c>
      <c r="N369" s="561">
        <v>335</v>
      </c>
      <c r="O369" s="561">
        <v>17</v>
      </c>
      <c r="P369" s="561">
        <v>179</v>
      </c>
      <c r="Q369" s="561">
        <v>0</v>
      </c>
      <c r="R369" s="561">
        <v>127</v>
      </c>
      <c r="S369" s="561">
        <v>5739</v>
      </c>
      <c r="T369" s="561">
        <v>234</v>
      </c>
      <c r="U369" s="561">
        <v>301</v>
      </c>
      <c r="V369" s="561">
        <v>5672</v>
      </c>
      <c r="W369" s="561">
        <v>0</v>
      </c>
      <c r="X369" s="561">
        <v>2</v>
      </c>
      <c r="Y369" s="561">
        <v>781</v>
      </c>
      <c r="Z369" s="561">
        <v>1520</v>
      </c>
      <c r="AA369" s="561">
        <v>180</v>
      </c>
      <c r="AB369" s="561">
        <v>1</v>
      </c>
      <c r="AC369" s="561">
        <v>0</v>
      </c>
      <c r="AD369" s="561">
        <v>0</v>
      </c>
      <c r="AE369" s="561">
        <v>0</v>
      </c>
      <c r="AF369" s="561">
        <v>0</v>
      </c>
      <c r="AG369" s="561">
        <v>0</v>
      </c>
      <c r="AH369" s="561">
        <v>0</v>
      </c>
      <c r="AI369" s="561">
        <v>0</v>
      </c>
      <c r="AJ369" s="561">
        <v>15088</v>
      </c>
      <c r="AK369" s="561">
        <v>231</v>
      </c>
      <c r="AL369" s="561">
        <v>107</v>
      </c>
      <c r="AM369" s="561">
        <v>0</v>
      </c>
      <c r="AN369" s="561">
        <v>50</v>
      </c>
      <c r="AO369" s="561">
        <v>3</v>
      </c>
      <c r="AP369" s="561">
        <v>0</v>
      </c>
      <c r="AQ369" s="561">
        <v>0</v>
      </c>
      <c r="AR369" s="561">
        <v>0</v>
      </c>
      <c r="AS369" s="561">
        <v>688</v>
      </c>
      <c r="AT369" s="561">
        <v>126</v>
      </c>
      <c r="AU369" s="561">
        <v>0</v>
      </c>
      <c r="AV369" s="561">
        <v>0</v>
      </c>
      <c r="AW369" s="561">
        <v>0</v>
      </c>
      <c r="AX369" s="561">
        <v>0</v>
      </c>
      <c r="AY369" s="561">
        <v>58043</v>
      </c>
      <c r="AZ369" s="561">
        <v>185</v>
      </c>
      <c r="BA369" s="561">
        <v>12742</v>
      </c>
      <c r="BB369" s="561">
        <v>1765</v>
      </c>
      <c r="BC369" s="561">
        <v>27724</v>
      </c>
      <c r="BD369" s="561">
        <v>0</v>
      </c>
      <c r="BE369" s="561">
        <v>242</v>
      </c>
      <c r="BF369" s="561">
        <v>100701</v>
      </c>
      <c r="BG369" s="561">
        <v>3804</v>
      </c>
      <c r="BH369" s="561">
        <v>8868</v>
      </c>
      <c r="BI369" s="561">
        <v>38242</v>
      </c>
      <c r="BJ369" s="561">
        <v>121</v>
      </c>
      <c r="BK369" s="561">
        <v>508</v>
      </c>
      <c r="BL369" s="561">
        <v>962</v>
      </c>
      <c r="BM369" s="561">
        <v>5781</v>
      </c>
      <c r="BN369" s="561">
        <v>28135</v>
      </c>
      <c r="BO369" s="561">
        <v>4177</v>
      </c>
      <c r="BP369" s="561">
        <v>6538</v>
      </c>
      <c r="BQ369" s="561">
        <v>5454</v>
      </c>
      <c r="BR369" s="561">
        <v>0</v>
      </c>
      <c r="BS369" s="561">
        <v>0</v>
      </c>
      <c r="BT369" s="561">
        <v>4866</v>
      </c>
      <c r="BU369" s="561">
        <v>0</v>
      </c>
      <c r="BV369" s="561">
        <v>1110</v>
      </c>
      <c r="BW369" s="561">
        <v>11820</v>
      </c>
      <c r="BX369" s="561">
        <v>788</v>
      </c>
      <c r="BY369" s="561">
        <v>11722</v>
      </c>
      <c r="BZ369" s="561">
        <v>129092</v>
      </c>
      <c r="CA369" s="561">
        <v>2863</v>
      </c>
      <c r="CB369" s="561">
        <v>1599</v>
      </c>
      <c r="CC369" s="561">
        <v>814</v>
      </c>
      <c r="CD369" s="561">
        <v>348</v>
      </c>
      <c r="CE369" s="561">
        <v>556</v>
      </c>
      <c r="CF369" s="561">
        <v>501</v>
      </c>
      <c r="CG369" s="561">
        <v>9</v>
      </c>
      <c r="CH369" s="561">
        <v>126</v>
      </c>
      <c r="CI369" s="561">
        <v>200</v>
      </c>
      <c r="CJ369" s="561">
        <v>32</v>
      </c>
      <c r="CK369" s="561">
        <v>1752</v>
      </c>
      <c r="CL369" s="561">
        <v>117</v>
      </c>
      <c r="CM369" s="561">
        <v>1849</v>
      </c>
      <c r="CN369" s="561">
        <v>1087</v>
      </c>
      <c r="CO369" s="561">
        <v>475</v>
      </c>
      <c r="CP369" s="561">
        <v>478</v>
      </c>
      <c r="CQ369" s="561">
        <v>776</v>
      </c>
      <c r="CR369" s="561">
        <v>533</v>
      </c>
      <c r="CS369" s="561">
        <v>37</v>
      </c>
      <c r="CT369" s="561">
        <v>1590</v>
      </c>
      <c r="CU369" s="561">
        <v>3886</v>
      </c>
      <c r="CV369" s="561">
        <v>1046</v>
      </c>
      <c r="CW369" s="561">
        <v>0</v>
      </c>
      <c r="CX369" s="561">
        <v>783</v>
      </c>
      <c r="CY369" s="561">
        <v>4116</v>
      </c>
      <c r="CZ369" s="561">
        <v>22710</v>
      </c>
      <c r="DA369" s="561">
        <v>288</v>
      </c>
      <c r="DB369" s="561">
        <v>456</v>
      </c>
      <c r="DC369" s="561">
        <v>0</v>
      </c>
      <c r="DD369" s="561">
        <v>30</v>
      </c>
      <c r="DE369" s="561">
        <v>0</v>
      </c>
      <c r="DF369" s="561">
        <v>0</v>
      </c>
      <c r="DG369" s="561">
        <v>0</v>
      </c>
      <c r="DH369" s="561">
        <v>142</v>
      </c>
      <c r="DI369" s="561">
        <v>0</v>
      </c>
      <c r="DJ369" s="561">
        <v>0</v>
      </c>
      <c r="DK369" s="561">
        <v>497</v>
      </c>
      <c r="DL369" s="561">
        <v>0</v>
      </c>
      <c r="DM369" s="561">
        <v>0</v>
      </c>
      <c r="DN369" s="561">
        <v>0</v>
      </c>
      <c r="DO369" s="561">
        <v>459</v>
      </c>
      <c r="DP369" s="561">
        <v>-312</v>
      </c>
      <c r="DQ369" s="561">
        <v>0</v>
      </c>
      <c r="DR369" s="561">
        <v>746</v>
      </c>
      <c r="DS369" s="561">
        <v>3086</v>
      </c>
      <c r="DT369" s="561">
        <v>590</v>
      </c>
      <c r="DU369" s="561">
        <v>4569</v>
      </c>
      <c r="DV369" s="561">
        <v>563</v>
      </c>
      <c r="DW369" s="561">
        <v>0</v>
      </c>
      <c r="DX369" s="561">
        <v>0</v>
      </c>
      <c r="DY369" s="561">
        <v>3715</v>
      </c>
      <c r="DZ369" s="561">
        <v>53</v>
      </c>
      <c r="EA369" s="561">
        <v>2862</v>
      </c>
      <c r="EB369" s="561">
        <v>0</v>
      </c>
      <c r="EC369" s="561">
        <v>12401</v>
      </c>
      <c r="ED369" s="561">
        <v>691</v>
      </c>
      <c r="EE369" s="561">
        <v>0</v>
      </c>
      <c r="EF369" s="561">
        <v>0</v>
      </c>
      <c r="EG369" s="561">
        <v>0</v>
      </c>
      <c r="EH369" s="561">
        <v>0</v>
      </c>
      <c r="EI369" s="561">
        <v>0</v>
      </c>
      <c r="EJ369" s="561">
        <v>0</v>
      </c>
      <c r="EK369" s="561">
        <v>0</v>
      </c>
      <c r="EL369" s="561">
        <v>0</v>
      </c>
      <c r="EM369" s="561">
        <v>0</v>
      </c>
      <c r="EN369" s="561">
        <v>0</v>
      </c>
      <c r="EO369" s="561">
        <v>0</v>
      </c>
      <c r="EP369" s="561">
        <v>0</v>
      </c>
      <c r="EQ369" s="561">
        <v>0</v>
      </c>
      <c r="ER369" s="561">
        <v>0</v>
      </c>
      <c r="ES369" s="561" t="s">
        <v>4565</v>
      </c>
      <c r="ET369" s="561">
        <v>0</v>
      </c>
      <c r="EU369" s="561">
        <v>0</v>
      </c>
      <c r="EV369" s="561">
        <v>0</v>
      </c>
      <c r="EW369" s="561">
        <v>0</v>
      </c>
      <c r="EX369" s="561">
        <v>0</v>
      </c>
      <c r="EY369" s="561">
        <v>0</v>
      </c>
      <c r="EZ369" s="561">
        <v>0</v>
      </c>
      <c r="FA369" s="561">
        <v>0</v>
      </c>
      <c r="FB369" s="561">
        <v>312</v>
      </c>
      <c r="FC369" s="561">
        <v>744</v>
      </c>
      <c r="FD369" s="561">
        <v>12</v>
      </c>
      <c r="FE369" s="561">
        <v>2557</v>
      </c>
      <c r="FF369" s="561">
        <v>596</v>
      </c>
      <c r="FG369" s="561">
        <v>1044</v>
      </c>
      <c r="FH369" s="561">
        <v>0</v>
      </c>
      <c r="FI369" s="561">
        <v>646</v>
      </c>
      <c r="FJ369" s="561">
        <v>3381</v>
      </c>
      <c r="FK369" s="561">
        <v>3061</v>
      </c>
      <c r="FL369" s="561">
        <v>0</v>
      </c>
      <c r="FM369" s="561">
        <v>0</v>
      </c>
      <c r="FN369" s="561">
        <v>3553</v>
      </c>
      <c r="FO369" s="561">
        <v>15906</v>
      </c>
      <c r="FP369" s="561">
        <v>397</v>
      </c>
      <c r="FQ369" s="561">
        <v>-750</v>
      </c>
      <c r="FR369" s="561">
        <v>287</v>
      </c>
      <c r="FS369" s="561">
        <v>0</v>
      </c>
      <c r="FT369" s="561">
        <v>507</v>
      </c>
      <c r="FU369" s="561">
        <v>592</v>
      </c>
      <c r="FV369" s="561">
        <v>0</v>
      </c>
      <c r="FW369" s="561">
        <v>0</v>
      </c>
      <c r="FX369" s="561">
        <v>0</v>
      </c>
      <c r="FY369" s="561">
        <v>0</v>
      </c>
      <c r="FZ369" s="561">
        <v>0</v>
      </c>
      <c r="GA369" s="561">
        <v>11</v>
      </c>
      <c r="GB369" s="561">
        <v>80</v>
      </c>
      <c r="GC369" s="561">
        <v>162</v>
      </c>
      <c r="GD369" s="561">
        <v>281</v>
      </c>
      <c r="GE369" s="561">
        <v>1149</v>
      </c>
      <c r="GF369" s="561">
        <v>509</v>
      </c>
      <c r="GG369" s="561">
        <v>99</v>
      </c>
      <c r="GH369" s="561">
        <v>0</v>
      </c>
      <c r="GI369" s="561">
        <v>0</v>
      </c>
      <c r="GJ369" s="561">
        <v>0</v>
      </c>
      <c r="GK369" s="561">
        <v>0</v>
      </c>
      <c r="GL369" s="561">
        <v>4805</v>
      </c>
      <c r="GM369" s="561">
        <v>3500</v>
      </c>
      <c r="GN369" s="561">
        <v>7770</v>
      </c>
      <c r="GO369" s="561">
        <v>64</v>
      </c>
      <c r="GP369" s="561">
        <v>5438</v>
      </c>
      <c r="GQ369" s="561">
        <v>35</v>
      </c>
      <c r="GR369" s="561">
        <v>477</v>
      </c>
      <c r="GS369" s="561">
        <v>25016</v>
      </c>
      <c r="GT369" s="561">
        <v>1665</v>
      </c>
      <c r="GU369" s="561">
        <v>366</v>
      </c>
      <c r="GV369" s="561">
        <v>2450</v>
      </c>
      <c r="GW369" s="561">
        <v>0</v>
      </c>
      <c r="GX369" s="561">
        <v>865</v>
      </c>
      <c r="GY369" s="561">
        <v>133</v>
      </c>
      <c r="GZ369" s="561">
        <v>14701</v>
      </c>
      <c r="HA369" s="561">
        <v>88</v>
      </c>
      <c r="HB369" s="561">
        <v>649</v>
      </c>
      <c r="HC369" s="561">
        <v>3045</v>
      </c>
      <c r="HD369" s="561">
        <v>22297</v>
      </c>
      <c r="HE369" s="561">
        <v>757</v>
      </c>
      <c r="HF369" s="561">
        <v>63219</v>
      </c>
      <c r="HG369" s="561">
        <v>2819</v>
      </c>
      <c r="HH369" s="561">
        <v>0</v>
      </c>
      <c r="HI369" s="561">
        <v>0</v>
      </c>
      <c r="HJ369" s="561">
        <v>0</v>
      </c>
      <c r="HK369" s="561">
        <v>0</v>
      </c>
      <c r="HL369" s="561">
        <v>0</v>
      </c>
      <c r="HM369" s="561">
        <v>0</v>
      </c>
      <c r="HN369" s="561">
        <v>0</v>
      </c>
      <c r="HO369" s="561">
        <v>9634</v>
      </c>
      <c r="HP369" s="561">
        <v>1765</v>
      </c>
      <c r="HQ369" s="561">
        <v>0</v>
      </c>
      <c r="HR369" s="561">
        <v>0</v>
      </c>
      <c r="HS369" s="561">
        <v>603</v>
      </c>
      <c r="HT369" s="561">
        <v>222</v>
      </c>
      <c r="HU369" s="561">
        <v>0</v>
      </c>
      <c r="HV369" s="561">
        <v>679</v>
      </c>
      <c r="HW369" s="561">
        <v>1564</v>
      </c>
      <c r="HX369" s="561">
        <v>661</v>
      </c>
      <c r="HY369" s="561">
        <v>378</v>
      </c>
      <c r="HZ369" s="561">
        <v>-93</v>
      </c>
      <c r="IA369" s="561">
        <v>5849</v>
      </c>
      <c r="IB369" s="561">
        <v>0</v>
      </c>
      <c r="IC369" s="561">
        <v>690</v>
      </c>
      <c r="ID369" s="561">
        <v>0</v>
      </c>
      <c r="IE369" s="561">
        <v>7338</v>
      </c>
      <c r="IF369" s="561">
        <v>0</v>
      </c>
      <c r="IG369" s="561">
        <v>0</v>
      </c>
      <c r="IH369" s="561">
        <v>0</v>
      </c>
      <c r="II369" s="561">
        <v>29290</v>
      </c>
      <c r="IJ369" s="561">
        <v>2977</v>
      </c>
      <c r="IK369" s="561">
        <v>1527</v>
      </c>
      <c r="IL369" s="561">
        <v>46330</v>
      </c>
      <c r="IM369" s="561">
        <v>0</v>
      </c>
      <c r="IN369" s="561">
        <v>0</v>
      </c>
      <c r="IO369" s="561">
        <v>0</v>
      </c>
      <c r="IP369" s="561">
        <v>597</v>
      </c>
      <c r="IQ369" s="561">
        <v>0</v>
      </c>
      <c r="IR369" s="561">
        <v>267476</v>
      </c>
      <c r="IS369" s="561">
        <v>15088</v>
      </c>
      <c r="IT369" s="561">
        <v>100701</v>
      </c>
      <c r="IU369" s="561">
        <v>129092</v>
      </c>
      <c r="IV369" s="561">
        <v>22710</v>
      </c>
      <c r="IW369" s="561">
        <v>12401</v>
      </c>
      <c r="IX369" s="561">
        <v>15906</v>
      </c>
      <c r="IY369" s="561">
        <v>25016</v>
      </c>
      <c r="IZ369" s="561">
        <v>22297</v>
      </c>
      <c r="JA369" s="561">
        <v>0</v>
      </c>
      <c r="JB369" s="561">
        <v>0</v>
      </c>
      <c r="JC369" s="561">
        <v>29290</v>
      </c>
      <c r="JD369" s="561">
        <v>597</v>
      </c>
      <c r="JE369" s="561">
        <v>640574</v>
      </c>
      <c r="JF369" s="561">
        <v>54059</v>
      </c>
      <c r="JG369" s="561">
        <v>1500</v>
      </c>
      <c r="JH369" s="561">
        <v>0</v>
      </c>
      <c r="JI369" s="561">
        <v>0</v>
      </c>
      <c r="JJ369" s="561">
        <v>0</v>
      </c>
      <c r="JK369" s="561">
        <v>0</v>
      </c>
      <c r="JL369" s="561">
        <v>11560</v>
      </c>
      <c r="JM369" s="561">
        <v>0</v>
      </c>
      <c r="JN369" s="561">
        <v>0</v>
      </c>
      <c r="JO369" s="561">
        <v>2751</v>
      </c>
      <c r="JP369" s="561">
        <v>93</v>
      </c>
      <c r="JQ369" s="561">
        <v>1805</v>
      </c>
      <c r="JR369" s="561">
        <v>0</v>
      </c>
      <c r="JS369" s="561">
        <v>0</v>
      </c>
      <c r="JT369" s="561">
        <v>-2281</v>
      </c>
      <c r="JU369" s="561">
        <v>0</v>
      </c>
      <c r="JV369" s="561">
        <v>710061</v>
      </c>
      <c r="JW369" s="561">
        <v>87</v>
      </c>
      <c r="JX369" s="561">
        <v>3093</v>
      </c>
      <c r="JY369" s="561">
        <v>0</v>
      </c>
      <c r="JZ369" s="561">
        <v>-810</v>
      </c>
      <c r="KA369" s="561">
        <v>0</v>
      </c>
      <c r="KB369" s="561">
        <v>0</v>
      </c>
      <c r="KC369" s="561">
        <v>15854</v>
      </c>
      <c r="KD369" s="561">
        <v>197</v>
      </c>
      <c r="KE369" s="561">
        <v>11931</v>
      </c>
      <c r="KF369" s="561">
        <v>0</v>
      </c>
      <c r="KG369" s="561">
        <v>740413</v>
      </c>
      <c r="KH369" s="561">
        <v>-11069</v>
      </c>
      <c r="KI369" s="561">
        <v>0</v>
      </c>
      <c r="KJ369" s="561">
        <v>0</v>
      </c>
      <c r="KK369" s="561">
        <v>0</v>
      </c>
      <c r="KL369" s="561">
        <v>-64622</v>
      </c>
      <c r="KM369" s="561">
        <v>0</v>
      </c>
      <c r="KN369" s="561">
        <v>0</v>
      </c>
      <c r="KO369" s="561">
        <v>0</v>
      </c>
      <c r="KP369" s="561">
        <v>0</v>
      </c>
      <c r="KQ369" s="561">
        <v>-22843</v>
      </c>
      <c r="KR369" s="561">
        <v>641879</v>
      </c>
      <c r="KS369" s="561">
        <v>0</v>
      </c>
      <c r="KT369" s="561">
        <v>-337133</v>
      </c>
      <c r="KU369" s="561">
        <v>304746</v>
      </c>
      <c r="KV369" s="561">
        <v>0</v>
      </c>
      <c r="KW369" s="561">
        <v>1425</v>
      </c>
      <c r="KX369" s="561">
        <v>0</v>
      </c>
      <c r="KY369" s="561">
        <v>-792</v>
      </c>
      <c r="KZ369" s="561">
        <v>-31748</v>
      </c>
      <c r="LA369" s="561">
        <v>4587</v>
      </c>
      <c r="LB369" s="561">
        <v>0</v>
      </c>
      <c r="LC369" s="561">
        <v>0</v>
      </c>
      <c r="LD369" s="561">
        <v>-125837</v>
      </c>
      <c r="LE369" s="561">
        <v>-349</v>
      </c>
      <c r="LF369" s="561">
        <v>0</v>
      </c>
      <c r="LG369" s="561">
        <v>152032</v>
      </c>
      <c r="LH369" s="561">
        <v>13694</v>
      </c>
      <c r="LI369" s="561">
        <v>-7400</v>
      </c>
      <c r="LJ369" s="561">
        <v>0</v>
      </c>
      <c r="LK369" s="561">
        <v>3811</v>
      </c>
      <c r="LL369" s="561">
        <v>171020</v>
      </c>
      <c r="LM369" s="561">
        <v>19559</v>
      </c>
      <c r="LN369" s="561">
        <v>15119</v>
      </c>
      <c r="LO369" s="561">
        <v>-30243</v>
      </c>
      <c r="LP369" s="561">
        <v>0</v>
      </c>
      <c r="LQ369" s="561">
        <v>3019</v>
      </c>
      <c r="LR369" s="561">
        <v>139272</v>
      </c>
      <c r="LS369" s="561">
        <v>24146</v>
      </c>
      <c r="LT369" s="561">
        <v>0</v>
      </c>
      <c r="LU369" s="561">
        <v>18977</v>
      </c>
      <c r="LV369" s="561">
        <v>7280</v>
      </c>
      <c r="LW369" s="561">
        <v>8879</v>
      </c>
      <c r="LX369" s="561">
        <v>-7716</v>
      </c>
      <c r="LY369" s="561">
        <v>22830</v>
      </c>
      <c r="LZ369" s="561">
        <v>50250</v>
      </c>
      <c r="MA369" s="561">
        <v>0</v>
      </c>
      <c r="MB369" s="561">
        <v>0</v>
      </c>
      <c r="MC369" s="561">
        <v>0</v>
      </c>
      <c r="MD369" s="561">
        <v>0</v>
      </c>
      <c r="ME369" s="561">
        <v>0</v>
      </c>
      <c r="MF369" s="561">
        <v>0</v>
      </c>
      <c r="MG369" s="561">
        <v>0</v>
      </c>
      <c r="MH369" s="561">
        <v>13688</v>
      </c>
      <c r="MI369" s="561">
        <v>12350</v>
      </c>
      <c r="MJ369" s="561">
        <v>26038</v>
      </c>
      <c r="MK369" s="561">
        <v>0</v>
      </c>
      <c r="ML369" s="561">
        <v>12982</v>
      </c>
      <c r="MM369" s="561">
        <v>50669</v>
      </c>
      <c r="MN369" s="561">
        <v>32673</v>
      </c>
      <c r="MO369" s="561">
        <v>42948</v>
      </c>
      <c r="MP369" s="561">
        <v>0</v>
      </c>
      <c r="MQ369" s="561">
        <v>267476</v>
      </c>
      <c r="MR369" s="561">
        <v>15088</v>
      </c>
      <c r="MS369" s="561">
        <v>100701</v>
      </c>
      <c r="MT369" s="561">
        <v>129092</v>
      </c>
      <c r="MU369" s="561">
        <v>22710</v>
      </c>
      <c r="MV369" s="561">
        <v>12401</v>
      </c>
      <c r="MW369" s="561">
        <v>15906</v>
      </c>
      <c r="MX369" s="561">
        <v>25016</v>
      </c>
      <c r="MY369" s="561">
        <v>22297</v>
      </c>
      <c r="MZ369" s="561">
        <v>0</v>
      </c>
      <c r="NA369" s="561">
        <v>0</v>
      </c>
      <c r="NB369" s="561">
        <v>29290</v>
      </c>
      <c r="NC369" s="561">
        <v>597</v>
      </c>
      <c r="ND369" s="561">
        <v>640574</v>
      </c>
      <c r="NE369" s="561">
        <v>0</v>
      </c>
      <c r="NF369" s="561">
        <v>0</v>
      </c>
      <c r="NG369" s="561">
        <v>0</v>
      </c>
      <c r="NH369" s="561">
        <v>0</v>
      </c>
      <c r="NI369" s="561">
        <v>0</v>
      </c>
      <c r="NJ369" s="561">
        <v>0</v>
      </c>
      <c r="NK369" s="561">
        <v>0</v>
      </c>
      <c r="NL369" s="561">
        <v>0</v>
      </c>
      <c r="NM369" s="561">
        <v>0</v>
      </c>
      <c r="NN369" s="561">
        <v>0</v>
      </c>
      <c r="NO369" s="561">
        <v>0</v>
      </c>
      <c r="NP369" s="561">
        <v>0</v>
      </c>
      <c r="NQ369" s="561">
        <v>0</v>
      </c>
      <c r="NR369" s="561">
        <v>0</v>
      </c>
      <c r="NS369" s="561">
        <v>0</v>
      </c>
      <c r="NT369" s="561">
        <v>0</v>
      </c>
      <c r="NU369" s="561">
        <v>0</v>
      </c>
      <c r="NV369" s="561">
        <v>93</v>
      </c>
      <c r="NW369" s="561">
        <v>93</v>
      </c>
      <c r="NX369" s="561">
        <v>0</v>
      </c>
      <c r="NY369" s="561">
        <v>93</v>
      </c>
      <c r="NZ369" s="561">
        <v>0</v>
      </c>
      <c r="OA369" s="561">
        <v>0</v>
      </c>
      <c r="OB369" s="561">
        <v>0</v>
      </c>
      <c r="OC369" s="561">
        <v>0</v>
      </c>
      <c r="OD369" s="561">
        <v>0</v>
      </c>
      <c r="OE369" s="561">
        <v>0</v>
      </c>
      <c r="OF369" s="561">
        <v>0</v>
      </c>
      <c r="OG369" s="561">
        <v>0</v>
      </c>
      <c r="OH369" s="561">
        <v>0</v>
      </c>
      <c r="OI369" s="561">
        <v>0</v>
      </c>
      <c r="OJ369" s="561">
        <v>1256</v>
      </c>
      <c r="OK369" s="561">
        <v>0</v>
      </c>
      <c r="OL369" s="561">
        <v>0</v>
      </c>
      <c r="OM369" s="561">
        <v>0</v>
      </c>
      <c r="ON369" s="561">
        <v>0</v>
      </c>
      <c r="OO369" s="561">
        <v>0</v>
      </c>
      <c r="OP369" s="561">
        <v>171</v>
      </c>
      <c r="OQ369" s="561">
        <v>0</v>
      </c>
      <c r="OR369" s="561">
        <v>-62</v>
      </c>
      <c r="OS369" s="561">
        <v>-45</v>
      </c>
      <c r="OT369" s="561">
        <v>0</v>
      </c>
      <c r="OU369" s="561">
        <v>-51</v>
      </c>
      <c r="OV369" s="561">
        <v>1516</v>
      </c>
      <c r="OW369" s="561">
        <v>0</v>
      </c>
      <c r="OX369" s="561">
        <v>1805</v>
      </c>
      <c r="OY369" s="561">
        <v>0</v>
      </c>
      <c r="OZ369" s="561">
        <v>0</v>
      </c>
      <c r="PA369" s="561">
        <v>0</v>
      </c>
      <c r="PB369" s="561">
        <v>0</v>
      </c>
      <c r="PC369" s="561">
        <v>0</v>
      </c>
      <c r="PD369" s="561">
        <v>0</v>
      </c>
      <c r="PE369" s="561">
        <v>0</v>
      </c>
      <c r="PF369" s="561">
        <v>0</v>
      </c>
      <c r="PG369" s="561">
        <v>0</v>
      </c>
      <c r="PH369" s="561">
        <v>0</v>
      </c>
      <c r="PI369" s="561">
        <v>0</v>
      </c>
      <c r="PJ369" s="561">
        <v>0</v>
      </c>
    </row>
    <row r="370" spans="1:426" ht="14" x14ac:dyDescent="0.3">
      <c r="A370" t="s">
        <v>3550</v>
      </c>
      <c r="B370" t="s">
        <v>3551</v>
      </c>
      <c r="C370" t="s">
        <v>3552</v>
      </c>
      <c r="E370" t="s">
        <v>2476</v>
      </c>
      <c r="F370" s="561">
        <v>29200.84</v>
      </c>
      <c r="G370" s="561">
        <v>93703.12</v>
      </c>
      <c r="H370" s="561">
        <v>79526.509999999995</v>
      </c>
      <c r="I370" s="561">
        <v>21340.7</v>
      </c>
      <c r="J370" s="561">
        <v>7010.94</v>
      </c>
      <c r="K370" s="561">
        <v>29833.83</v>
      </c>
      <c r="L370" s="561">
        <v>260615.94</v>
      </c>
      <c r="M370" s="561">
        <v>2746.13</v>
      </c>
      <c r="N370" s="561">
        <v>1084.17</v>
      </c>
      <c r="O370" s="561">
        <v>707.91</v>
      </c>
      <c r="P370" s="561">
        <v>202.39</v>
      </c>
      <c r="Q370" s="561">
        <v>2538.3000000000002</v>
      </c>
      <c r="R370" s="561">
        <v>1.84</v>
      </c>
      <c r="S370" s="561">
        <v>786.05</v>
      </c>
      <c r="T370" s="561">
        <v>1991.12</v>
      </c>
      <c r="U370" s="561">
        <v>196.24</v>
      </c>
      <c r="V370" s="561">
        <v>3578.33</v>
      </c>
      <c r="W370" s="561">
        <v>0</v>
      </c>
      <c r="X370" s="561">
        <v>-406</v>
      </c>
      <c r="Y370" s="561">
        <v>-1</v>
      </c>
      <c r="Z370" s="561">
        <v>1216</v>
      </c>
      <c r="AA370" s="561">
        <v>-12320.03</v>
      </c>
      <c r="AB370" s="561">
        <v>-582.98</v>
      </c>
      <c r="AC370" s="561">
        <v>9301.67</v>
      </c>
      <c r="AD370" s="561">
        <v>0</v>
      </c>
      <c r="AE370" s="561">
        <v>0</v>
      </c>
      <c r="AF370" s="561">
        <v>0</v>
      </c>
      <c r="AG370" s="561">
        <v>0</v>
      </c>
      <c r="AH370" s="561">
        <v>0</v>
      </c>
      <c r="AI370" s="561">
        <v>0</v>
      </c>
      <c r="AJ370" s="561">
        <v>8294.01</v>
      </c>
      <c r="AK370" s="561">
        <v>0</v>
      </c>
      <c r="AL370" s="561">
        <v>0</v>
      </c>
      <c r="AM370" s="561">
        <v>0</v>
      </c>
      <c r="AN370" s="561">
        <v>0</v>
      </c>
      <c r="AO370" s="561">
        <v>0</v>
      </c>
      <c r="AP370" s="561">
        <v>0</v>
      </c>
      <c r="AQ370" s="561">
        <v>0</v>
      </c>
      <c r="AR370" s="561">
        <v>0</v>
      </c>
      <c r="AS370" s="561">
        <v>26435.87</v>
      </c>
      <c r="AT370" s="561">
        <v>0</v>
      </c>
      <c r="AU370" s="561">
        <v>0</v>
      </c>
      <c r="AV370" s="561">
        <v>0</v>
      </c>
      <c r="AW370" s="561">
        <v>0</v>
      </c>
      <c r="AX370" s="561">
        <v>8475.49</v>
      </c>
      <c r="AY370" s="561">
        <v>32679.32</v>
      </c>
      <c r="AZ370" s="561">
        <v>0</v>
      </c>
      <c r="BA370" s="561">
        <v>8265.48</v>
      </c>
      <c r="BB370" s="561">
        <v>1455.13</v>
      </c>
      <c r="BC370" s="561">
        <v>17981.05</v>
      </c>
      <c r="BD370" s="561">
        <v>0</v>
      </c>
      <c r="BE370" s="561">
        <v>4287.3500000000004</v>
      </c>
      <c r="BF370" s="561">
        <v>73143.820000000007</v>
      </c>
      <c r="BG370" s="561">
        <v>4745.76</v>
      </c>
      <c r="BH370" s="561">
        <v>12556.98</v>
      </c>
      <c r="BI370" s="561">
        <v>28792.79</v>
      </c>
      <c r="BJ370" s="561">
        <v>210.33</v>
      </c>
      <c r="BK370" s="561">
        <v>132.49</v>
      </c>
      <c r="BL370" s="561">
        <v>514.46</v>
      </c>
      <c r="BM370" s="561">
        <v>1237.23</v>
      </c>
      <c r="BN370" s="561">
        <v>32655.09</v>
      </c>
      <c r="BO370" s="561">
        <v>3361.26</v>
      </c>
      <c r="BP370" s="561">
        <v>10131.879999999999</v>
      </c>
      <c r="BQ370" s="561">
        <v>3190.85</v>
      </c>
      <c r="BR370" s="561">
        <v>0</v>
      </c>
      <c r="BS370" s="561">
        <v>0</v>
      </c>
      <c r="BT370" s="561">
        <v>-7.8</v>
      </c>
      <c r="BU370" s="561">
        <v>839.29</v>
      </c>
      <c r="BV370" s="561">
        <v>1869.56</v>
      </c>
      <c r="BW370" s="561">
        <v>8940.51</v>
      </c>
      <c r="BX370" s="561">
        <v>743.77</v>
      </c>
      <c r="BY370" s="561">
        <v>6381.83</v>
      </c>
      <c r="BZ370" s="561">
        <v>111550.52</v>
      </c>
      <c r="CA370" s="561">
        <v>0</v>
      </c>
      <c r="CB370" s="561">
        <v>3373.23</v>
      </c>
      <c r="CC370" s="561">
        <v>560.01</v>
      </c>
      <c r="CD370" s="561">
        <v>122.89</v>
      </c>
      <c r="CE370" s="561">
        <v>350.5</v>
      </c>
      <c r="CF370" s="561">
        <v>142.72999999999999</v>
      </c>
      <c r="CG370" s="561">
        <v>83.08</v>
      </c>
      <c r="CH370" s="561">
        <v>482.07</v>
      </c>
      <c r="CI370" s="561">
        <v>141.19999999999999</v>
      </c>
      <c r="CJ370" s="561">
        <v>96</v>
      </c>
      <c r="CK370" s="561">
        <v>515.4</v>
      </c>
      <c r="CL370" s="561">
        <v>74.05</v>
      </c>
      <c r="CM370" s="561">
        <v>889.99</v>
      </c>
      <c r="CN370" s="561">
        <v>711.06</v>
      </c>
      <c r="CO370" s="561">
        <v>1264.93</v>
      </c>
      <c r="CP370" s="561">
        <v>711.06</v>
      </c>
      <c r="CQ370" s="561">
        <v>1028.53</v>
      </c>
      <c r="CR370" s="561">
        <v>757.8</v>
      </c>
      <c r="CS370" s="561">
        <v>73.44</v>
      </c>
      <c r="CT370" s="561">
        <v>2220.36</v>
      </c>
      <c r="CU370" s="561">
        <v>2958.76</v>
      </c>
      <c r="CV370" s="561">
        <v>3000.32</v>
      </c>
      <c r="CW370" s="561">
        <v>475.14</v>
      </c>
      <c r="CX370" s="561">
        <v>622.61</v>
      </c>
      <c r="CY370" s="561">
        <v>501.07</v>
      </c>
      <c r="CZ370" s="561">
        <v>21156.23</v>
      </c>
      <c r="DA370" s="561">
        <v>0</v>
      </c>
      <c r="DB370" s="561">
        <v>0</v>
      </c>
      <c r="DC370" s="561">
        <v>0</v>
      </c>
      <c r="DD370" s="561">
        <v>0</v>
      </c>
      <c r="DE370" s="561">
        <v>0</v>
      </c>
      <c r="DF370" s="561">
        <v>0</v>
      </c>
      <c r="DG370" s="561">
        <v>0</v>
      </c>
      <c r="DH370" s="561">
        <v>933</v>
      </c>
      <c r="DI370" s="561">
        <v>0</v>
      </c>
      <c r="DJ370" s="561">
        <v>0</v>
      </c>
      <c r="DK370" s="561">
        <v>2659.97</v>
      </c>
      <c r="DL370" s="561">
        <v>11290</v>
      </c>
      <c r="DM370" s="561">
        <v>3533</v>
      </c>
      <c r="DN370" s="561">
        <v>0</v>
      </c>
      <c r="DO370" s="561">
        <v>7771</v>
      </c>
      <c r="DP370" s="561">
        <v>0</v>
      </c>
      <c r="DQ370" s="561">
        <v>427</v>
      </c>
      <c r="DR370" s="561">
        <v>1148</v>
      </c>
      <c r="DS370" s="561">
        <v>5197</v>
      </c>
      <c r="DT370" s="561">
        <v>283</v>
      </c>
      <c r="DU370" s="561">
        <v>29649</v>
      </c>
      <c r="DV370" s="561">
        <v>0</v>
      </c>
      <c r="DW370" s="561">
        <v>0</v>
      </c>
      <c r="DX370" s="561">
        <v>0</v>
      </c>
      <c r="DY370" s="561">
        <v>3002</v>
      </c>
      <c r="DZ370" s="561">
        <v>-84</v>
      </c>
      <c r="EA370" s="561">
        <v>219</v>
      </c>
      <c r="EB370" s="561">
        <v>0</v>
      </c>
      <c r="EC370" s="561">
        <v>36378.97</v>
      </c>
      <c r="ED370" s="561">
        <v>0</v>
      </c>
      <c r="EE370" s="561">
        <v>68835</v>
      </c>
      <c r="EF370" s="561">
        <v>702</v>
      </c>
      <c r="EG370" s="561">
        <v>11782</v>
      </c>
      <c r="EH370" s="561">
        <v>563</v>
      </c>
      <c r="EI370" s="561">
        <v>5894</v>
      </c>
      <c r="EJ370" s="561">
        <v>2405</v>
      </c>
      <c r="EK370" s="561">
        <v>0</v>
      </c>
      <c r="EL370" s="561">
        <v>0</v>
      </c>
      <c r="EM370" s="561">
        <v>-106</v>
      </c>
      <c r="EN370" s="561">
        <v>16989</v>
      </c>
      <c r="EO370" s="561">
        <v>23873</v>
      </c>
      <c r="EP370" s="561">
        <v>10060</v>
      </c>
      <c r="EQ370" s="561">
        <v>955</v>
      </c>
      <c r="ER370" s="561">
        <v>16114</v>
      </c>
      <c r="ES370" s="561" t="s">
        <v>4565</v>
      </c>
      <c r="ET370" s="561">
        <v>0</v>
      </c>
      <c r="EU370" s="561">
        <v>0</v>
      </c>
      <c r="EV370" s="561">
        <v>282</v>
      </c>
      <c r="EW370" s="561">
        <v>0</v>
      </c>
      <c r="EX370" s="561">
        <v>19762</v>
      </c>
      <c r="EY370" s="561">
        <v>652</v>
      </c>
      <c r="EZ370" s="561">
        <v>1388</v>
      </c>
      <c r="FA370" s="561">
        <v>5518</v>
      </c>
      <c r="FB370" s="561">
        <v>0</v>
      </c>
      <c r="FC370" s="561">
        <v>1052.28</v>
      </c>
      <c r="FD370" s="561">
        <v>0</v>
      </c>
      <c r="FE370" s="561">
        <v>1071.58</v>
      </c>
      <c r="FF370" s="561">
        <v>32.020000000000003</v>
      </c>
      <c r="FG370" s="561">
        <v>272.98</v>
      </c>
      <c r="FH370" s="561">
        <v>0</v>
      </c>
      <c r="FI370" s="561">
        <v>894.8</v>
      </c>
      <c r="FJ370" s="561">
        <v>-986.24</v>
      </c>
      <c r="FK370" s="561">
        <v>3035.99</v>
      </c>
      <c r="FL370" s="561">
        <v>64.3</v>
      </c>
      <c r="FM370" s="561">
        <v>0</v>
      </c>
      <c r="FN370" s="561">
        <v>3747</v>
      </c>
      <c r="FO370" s="561">
        <v>9184.7099999999991</v>
      </c>
      <c r="FP370" s="561">
        <v>0</v>
      </c>
      <c r="FQ370" s="561">
        <v>-41.71</v>
      </c>
      <c r="FR370" s="561">
        <v>166.17</v>
      </c>
      <c r="FS370" s="561">
        <v>0</v>
      </c>
      <c r="FT370" s="561">
        <v>136.77000000000001</v>
      </c>
      <c r="FU370" s="561">
        <v>206.44</v>
      </c>
      <c r="FV370" s="561">
        <v>-43.02</v>
      </c>
      <c r="FW370" s="561">
        <v>96.4</v>
      </c>
      <c r="FX370" s="561">
        <v>0</v>
      </c>
      <c r="FY370" s="561">
        <v>0</v>
      </c>
      <c r="FZ370" s="561">
        <v>174.14</v>
      </c>
      <c r="GA370" s="561">
        <v>6.05</v>
      </c>
      <c r="GB370" s="561">
        <v>-51.63</v>
      </c>
      <c r="GC370" s="561">
        <v>-79.36</v>
      </c>
      <c r="GD370" s="561">
        <v>3653.86</v>
      </c>
      <c r="GE370" s="561">
        <v>0</v>
      </c>
      <c r="GF370" s="561">
        <v>-116.8</v>
      </c>
      <c r="GG370" s="561">
        <v>0</v>
      </c>
      <c r="GH370" s="561">
        <v>0</v>
      </c>
      <c r="GI370" s="561">
        <v>0</v>
      </c>
      <c r="GJ370" s="561">
        <v>0</v>
      </c>
      <c r="GK370" s="561">
        <v>0</v>
      </c>
      <c r="GL370" s="561">
        <v>7968.11</v>
      </c>
      <c r="GM370" s="561">
        <v>9273.5300000000007</v>
      </c>
      <c r="GN370" s="561">
        <v>72.599999999999994</v>
      </c>
      <c r="GO370" s="561">
        <v>-456.52</v>
      </c>
      <c r="GP370" s="561">
        <v>1278.5</v>
      </c>
      <c r="GQ370" s="561">
        <v>0</v>
      </c>
      <c r="GR370" s="561">
        <v>0</v>
      </c>
      <c r="GS370" s="561">
        <v>22243.53</v>
      </c>
      <c r="GT370" s="561">
        <v>0</v>
      </c>
      <c r="GU370" s="561">
        <v>82.07</v>
      </c>
      <c r="GV370" s="561">
        <v>70.03</v>
      </c>
      <c r="GW370" s="561">
        <v>113.12</v>
      </c>
      <c r="GX370" s="561">
        <v>713.89</v>
      </c>
      <c r="GY370" s="561">
        <v>204.57</v>
      </c>
      <c r="GZ370" s="561">
        <v>1469.64</v>
      </c>
      <c r="HA370" s="561">
        <v>0</v>
      </c>
      <c r="HB370" s="561">
        <v>-38.979999999999997</v>
      </c>
      <c r="HC370" s="561">
        <v>999</v>
      </c>
      <c r="HD370" s="561">
        <v>3613.34</v>
      </c>
      <c r="HE370" s="561">
        <v>0</v>
      </c>
      <c r="HF370" s="561">
        <v>35041.58</v>
      </c>
      <c r="HG370" s="561">
        <v>0</v>
      </c>
      <c r="HH370" s="561">
        <v>0</v>
      </c>
      <c r="HI370" s="561">
        <v>0</v>
      </c>
      <c r="HJ370" s="561">
        <v>0</v>
      </c>
      <c r="HK370" s="561">
        <v>0</v>
      </c>
      <c r="HL370" s="561">
        <v>0</v>
      </c>
      <c r="HM370" s="561">
        <v>0</v>
      </c>
      <c r="HN370" s="561">
        <v>0</v>
      </c>
      <c r="HO370" s="561">
        <v>6866.32</v>
      </c>
      <c r="HP370" s="561">
        <v>2667</v>
      </c>
      <c r="HQ370" s="561">
        <v>0</v>
      </c>
      <c r="HR370" s="561">
        <v>0</v>
      </c>
      <c r="HS370" s="561">
        <v>1287</v>
      </c>
      <c r="HT370" s="561">
        <v>471</v>
      </c>
      <c r="HU370" s="561">
        <v>0</v>
      </c>
      <c r="HV370" s="561">
        <v>-205</v>
      </c>
      <c r="HW370" s="561">
        <v>407</v>
      </c>
      <c r="HX370" s="561">
        <v>3</v>
      </c>
      <c r="HY370" s="561">
        <v>160.59</v>
      </c>
      <c r="HZ370" s="561">
        <v>-188.03</v>
      </c>
      <c r="IA370" s="561">
        <v>0</v>
      </c>
      <c r="IB370" s="561">
        <v>807.49</v>
      </c>
      <c r="IC370" s="561">
        <v>431</v>
      </c>
      <c r="ID370" s="561">
        <v>0</v>
      </c>
      <c r="IE370" s="561">
        <v>11652.33</v>
      </c>
      <c r="IF370" s="561">
        <v>0</v>
      </c>
      <c r="IG370" s="561">
        <v>0</v>
      </c>
      <c r="IH370" s="561">
        <v>22979.53</v>
      </c>
      <c r="II370" s="561">
        <v>47339.23</v>
      </c>
      <c r="IJ370" s="561">
        <v>0</v>
      </c>
      <c r="IK370" s="561">
        <v>16159.98</v>
      </c>
      <c r="IL370" s="561">
        <v>46269.5</v>
      </c>
      <c r="IM370" s="561">
        <v>0</v>
      </c>
      <c r="IN370" s="561">
        <v>3297.25</v>
      </c>
      <c r="IO370" s="561">
        <v>76</v>
      </c>
      <c r="IP370" s="561">
        <v>0</v>
      </c>
      <c r="IQ370" s="561">
        <v>0</v>
      </c>
      <c r="IR370" s="561">
        <v>260615.94</v>
      </c>
      <c r="IS370" s="561">
        <v>8294.01</v>
      </c>
      <c r="IT370" s="561">
        <v>73143.820000000007</v>
      </c>
      <c r="IU370" s="561">
        <v>111550.52</v>
      </c>
      <c r="IV370" s="561">
        <v>21156.23</v>
      </c>
      <c r="IW370" s="561">
        <v>36378.97</v>
      </c>
      <c r="IX370" s="561">
        <v>9184.7099999999991</v>
      </c>
      <c r="IY370" s="561">
        <v>22243.53</v>
      </c>
      <c r="IZ370" s="561">
        <v>3613.34</v>
      </c>
      <c r="JA370" s="561">
        <v>0</v>
      </c>
      <c r="JB370" s="561">
        <v>0</v>
      </c>
      <c r="JC370" s="561">
        <v>47339.23</v>
      </c>
      <c r="JD370" s="561">
        <v>0</v>
      </c>
      <c r="JE370" s="561">
        <v>593520.30000000005</v>
      </c>
      <c r="JF370" s="561">
        <v>53763</v>
      </c>
      <c r="JG370" s="561">
        <v>11329</v>
      </c>
      <c r="JH370" s="561">
        <v>19909</v>
      </c>
      <c r="JI370" s="561">
        <v>0</v>
      </c>
      <c r="JJ370" s="561">
        <v>0</v>
      </c>
      <c r="JK370" s="561">
        <v>0</v>
      </c>
      <c r="JL370" s="561">
        <v>0</v>
      </c>
      <c r="JM370" s="561">
        <v>10833</v>
      </c>
      <c r="JN370" s="561">
        <v>263.91000000000003</v>
      </c>
      <c r="JO370" s="561">
        <v>193.17</v>
      </c>
      <c r="JP370" s="561">
        <v>0</v>
      </c>
      <c r="JQ370" s="561">
        <v>-318.39</v>
      </c>
      <c r="JR370" s="561">
        <v>0</v>
      </c>
      <c r="JS370" s="561">
        <v>0</v>
      </c>
      <c r="JT370" s="561">
        <v>0</v>
      </c>
      <c r="JU370" s="561">
        <v>0</v>
      </c>
      <c r="JV370" s="561">
        <v>689492.99</v>
      </c>
      <c r="JW370" s="561">
        <v>193.66</v>
      </c>
      <c r="JX370" s="561">
        <v>203.98</v>
      </c>
      <c r="JY370" s="561">
        <v>0</v>
      </c>
      <c r="JZ370" s="561">
        <v>0</v>
      </c>
      <c r="KA370" s="561">
        <v>0</v>
      </c>
      <c r="KB370" s="561">
        <v>0</v>
      </c>
      <c r="KC370" s="561">
        <v>0</v>
      </c>
      <c r="KD370" s="561">
        <v>0</v>
      </c>
      <c r="KE370" s="561">
        <v>24633.48</v>
      </c>
      <c r="KF370" s="561">
        <v>-16588.53</v>
      </c>
      <c r="KG370" s="561">
        <v>697935.58</v>
      </c>
      <c r="KH370" s="561">
        <v>-1518.68</v>
      </c>
      <c r="KI370" s="561">
        <v>0</v>
      </c>
      <c r="KJ370" s="561">
        <v>578.53</v>
      </c>
      <c r="KK370" s="561">
        <v>0</v>
      </c>
      <c r="KL370" s="561">
        <v>-89014.64</v>
      </c>
      <c r="KM370" s="561">
        <v>0</v>
      </c>
      <c r="KN370" s="561">
        <v>-82</v>
      </c>
      <c r="KO370" s="561">
        <v>0</v>
      </c>
      <c r="KP370" s="561">
        <v>0</v>
      </c>
      <c r="KQ370" s="561">
        <v>0</v>
      </c>
      <c r="KR370" s="561">
        <v>607898.79</v>
      </c>
      <c r="KS370" s="561">
        <v>0</v>
      </c>
      <c r="KT370" s="561">
        <v>-327515.13</v>
      </c>
      <c r="KU370" s="561">
        <v>280383.65999999997</v>
      </c>
      <c r="KV370" s="561">
        <v>0</v>
      </c>
      <c r="KW370" s="561">
        <v>-3031</v>
      </c>
      <c r="KX370" s="561">
        <v>146</v>
      </c>
      <c r="KY370" s="561">
        <v>0</v>
      </c>
      <c r="KZ370" s="561">
        <v>-17681</v>
      </c>
      <c r="LA370" s="561">
        <v>0</v>
      </c>
      <c r="LB370" s="561">
        <v>-23214</v>
      </c>
      <c r="LC370" s="561">
        <v>0</v>
      </c>
      <c r="LD370" s="561">
        <v>-97306.67</v>
      </c>
      <c r="LE370" s="561">
        <v>-861.16</v>
      </c>
      <c r="LF370" s="561">
        <v>0</v>
      </c>
      <c r="LG370" s="561">
        <v>138436</v>
      </c>
      <c r="LH370" s="561">
        <v>14370</v>
      </c>
      <c r="LI370" s="561">
        <v>0</v>
      </c>
      <c r="LJ370" s="561">
        <v>3575</v>
      </c>
      <c r="LK370" s="561">
        <v>4058</v>
      </c>
      <c r="LL370" s="561">
        <v>76514</v>
      </c>
      <c r="LM370" s="561">
        <v>14906</v>
      </c>
      <c r="LN370" s="561">
        <v>11339</v>
      </c>
      <c r="LO370" s="561">
        <v>0</v>
      </c>
      <c r="LP370" s="561">
        <v>3721</v>
      </c>
      <c r="LQ370" s="561">
        <v>4058</v>
      </c>
      <c r="LR370" s="561">
        <v>58833</v>
      </c>
      <c r="LS370" s="561">
        <v>14906</v>
      </c>
      <c r="LT370" s="561">
        <v>0</v>
      </c>
      <c r="LU370" s="561">
        <v>28408</v>
      </c>
      <c r="LV370" s="561">
        <v>0</v>
      </c>
      <c r="LW370" s="561">
        <v>0</v>
      </c>
      <c r="LX370" s="561">
        <v>15</v>
      </c>
      <c r="LY370" s="561">
        <v>0</v>
      </c>
      <c r="LZ370" s="561">
        <v>28423</v>
      </c>
      <c r="MA370" s="561">
        <v>0</v>
      </c>
      <c r="MB370" s="561">
        <v>0</v>
      </c>
      <c r="MC370" s="561">
        <v>90075</v>
      </c>
      <c r="MD370" s="561">
        <v>88687</v>
      </c>
      <c r="ME370" s="561">
        <v>1388</v>
      </c>
      <c r="MF370" s="561">
        <v>5518</v>
      </c>
      <c r="MG370" s="561">
        <v>6906</v>
      </c>
      <c r="MH370" s="561">
        <v>7835</v>
      </c>
      <c r="MI370" s="561">
        <v>10911</v>
      </c>
      <c r="MJ370" s="561">
        <v>18746</v>
      </c>
      <c r="MK370" s="561">
        <v>0</v>
      </c>
      <c r="ML370" s="561">
        <v>0</v>
      </c>
      <c r="MM370" s="561">
        <v>58833</v>
      </c>
      <c r="MN370" s="561">
        <v>0</v>
      </c>
      <c r="MO370" s="561">
        <v>0</v>
      </c>
      <c r="MP370" s="561">
        <v>0</v>
      </c>
      <c r="MQ370" s="561">
        <v>260615.94</v>
      </c>
      <c r="MR370" s="561">
        <v>8294.01</v>
      </c>
      <c r="MS370" s="561">
        <v>73143.820000000007</v>
      </c>
      <c r="MT370" s="561">
        <v>111550.52</v>
      </c>
      <c r="MU370" s="561">
        <v>21156.23</v>
      </c>
      <c r="MV370" s="561">
        <v>36378.97</v>
      </c>
      <c r="MW370" s="561">
        <v>9184.7099999999991</v>
      </c>
      <c r="MX370" s="561">
        <v>22243.53</v>
      </c>
      <c r="MY370" s="561">
        <v>3613.34</v>
      </c>
      <c r="MZ370" s="561">
        <v>0</v>
      </c>
      <c r="NA370" s="561">
        <v>0</v>
      </c>
      <c r="NB370" s="561">
        <v>47339.23</v>
      </c>
      <c r="NC370" s="561">
        <v>0</v>
      </c>
      <c r="ND370" s="561">
        <v>593520.30000000005</v>
      </c>
      <c r="NE370" s="561">
        <v>0</v>
      </c>
      <c r="NF370" s="561">
        <v>0</v>
      </c>
      <c r="NG370" s="561">
        <v>0</v>
      </c>
      <c r="NH370" s="561">
        <v>0</v>
      </c>
      <c r="NI370" s="561">
        <v>0</v>
      </c>
      <c r="NJ370" s="561">
        <v>0</v>
      </c>
      <c r="NK370" s="561">
        <v>0</v>
      </c>
      <c r="NL370" s="561">
        <v>0</v>
      </c>
      <c r="NM370" s="561">
        <v>0</v>
      </c>
      <c r="NN370" s="561">
        <v>0</v>
      </c>
      <c r="NO370" s="561">
        <v>0</v>
      </c>
      <c r="NP370" s="561">
        <v>0</v>
      </c>
      <c r="NQ370" s="561">
        <v>0</v>
      </c>
      <c r="NR370" s="561">
        <v>0</v>
      </c>
      <c r="NS370" s="561">
        <v>0</v>
      </c>
      <c r="NT370" s="561">
        <v>0</v>
      </c>
      <c r="NU370" s="561">
        <v>0</v>
      </c>
      <c r="NV370" s="561">
        <v>0</v>
      </c>
      <c r="NW370" s="561">
        <v>0</v>
      </c>
      <c r="NX370" s="561">
        <v>0</v>
      </c>
      <c r="NY370" s="561">
        <v>0</v>
      </c>
      <c r="NZ370" s="561">
        <v>0</v>
      </c>
      <c r="OA370" s="561">
        <v>0</v>
      </c>
      <c r="OB370" s="561">
        <v>0</v>
      </c>
      <c r="OC370" s="561">
        <v>0</v>
      </c>
      <c r="OD370" s="561">
        <v>0</v>
      </c>
      <c r="OE370" s="561">
        <v>0</v>
      </c>
      <c r="OF370" s="561">
        <v>0</v>
      </c>
      <c r="OG370" s="561">
        <v>0</v>
      </c>
      <c r="OH370" s="561">
        <v>0</v>
      </c>
      <c r="OI370" s="561">
        <v>0</v>
      </c>
      <c r="OJ370" s="561">
        <v>0</v>
      </c>
      <c r="OK370" s="561">
        <v>0</v>
      </c>
      <c r="OL370" s="561">
        <v>0</v>
      </c>
      <c r="OM370" s="561">
        <v>0</v>
      </c>
      <c r="ON370" s="561">
        <v>0</v>
      </c>
      <c r="OO370" s="561">
        <v>0</v>
      </c>
      <c r="OP370" s="561">
        <v>-318.39</v>
      </c>
      <c r="OQ370" s="561">
        <v>0</v>
      </c>
      <c r="OR370" s="561">
        <v>0</v>
      </c>
      <c r="OS370" s="561">
        <v>0</v>
      </c>
      <c r="OT370" s="561">
        <v>0</v>
      </c>
      <c r="OU370" s="561">
        <v>0</v>
      </c>
      <c r="OV370" s="561">
        <v>616</v>
      </c>
      <c r="OW370" s="561">
        <v>0</v>
      </c>
      <c r="OX370" s="561">
        <v>-318.39</v>
      </c>
      <c r="OY370" s="561">
        <v>0</v>
      </c>
      <c r="OZ370" s="561">
        <v>0</v>
      </c>
      <c r="PA370" s="561">
        <v>0</v>
      </c>
      <c r="PB370" s="561">
        <v>0</v>
      </c>
      <c r="PC370" s="561">
        <v>0</v>
      </c>
      <c r="PD370" s="561">
        <v>0</v>
      </c>
      <c r="PE370" s="561">
        <v>0</v>
      </c>
      <c r="PF370" s="561">
        <v>0</v>
      </c>
      <c r="PG370" s="561">
        <v>0</v>
      </c>
      <c r="PH370" s="561">
        <v>0</v>
      </c>
      <c r="PI370" s="561">
        <v>0</v>
      </c>
      <c r="PJ370" s="561">
        <v>0</v>
      </c>
    </row>
    <row r="371" spans="1:426" ht="14" x14ac:dyDescent="0.3">
      <c r="A371" t="s">
        <v>3553</v>
      </c>
      <c r="B371" t="s">
        <v>3554</v>
      </c>
      <c r="C371" t="s">
        <v>3555</v>
      </c>
      <c r="E371" t="s">
        <v>2476</v>
      </c>
      <c r="F371" s="561">
        <v>29478</v>
      </c>
      <c r="G371" s="561">
        <v>114824</v>
      </c>
      <c r="H371" s="561">
        <v>14140</v>
      </c>
      <c r="I371" s="561">
        <v>58063</v>
      </c>
      <c r="J371" s="561">
        <v>4250</v>
      </c>
      <c r="K371" s="561">
        <v>18173</v>
      </c>
      <c r="L371" s="561">
        <v>238928</v>
      </c>
      <c r="M371" s="561">
        <v>794</v>
      </c>
      <c r="N371" s="561">
        <v>703</v>
      </c>
      <c r="O371" s="561">
        <v>1112</v>
      </c>
      <c r="P371" s="561">
        <v>0</v>
      </c>
      <c r="Q371" s="561">
        <v>1508</v>
      </c>
      <c r="R371" s="561">
        <v>404</v>
      </c>
      <c r="S371" s="561">
        <v>150</v>
      </c>
      <c r="T371" s="561">
        <v>1506</v>
      </c>
      <c r="U371" s="561">
        <v>140</v>
      </c>
      <c r="V371" s="561">
        <v>2176</v>
      </c>
      <c r="W371" s="561">
        <v>0</v>
      </c>
      <c r="X371" s="561">
        <v>0</v>
      </c>
      <c r="Y371" s="561">
        <v>348</v>
      </c>
      <c r="Z371" s="561">
        <v>1030</v>
      </c>
      <c r="AA371" s="561">
        <v>-32313</v>
      </c>
      <c r="AB371" s="561">
        <v>0</v>
      </c>
      <c r="AC371" s="561">
        <v>12391</v>
      </c>
      <c r="AD371" s="561">
        <v>0</v>
      </c>
      <c r="AE371" s="561">
        <v>0</v>
      </c>
      <c r="AF371" s="561">
        <v>0</v>
      </c>
      <c r="AG371" s="561">
        <v>0</v>
      </c>
      <c r="AH371" s="561">
        <v>0</v>
      </c>
      <c r="AI371" s="561">
        <v>0</v>
      </c>
      <c r="AJ371" s="561">
        <v>-10845</v>
      </c>
      <c r="AK371" s="561">
        <v>669</v>
      </c>
      <c r="AL371" s="561">
        <v>0</v>
      </c>
      <c r="AM371" s="561">
        <v>0</v>
      </c>
      <c r="AN371" s="561">
        <v>0</v>
      </c>
      <c r="AO371" s="561">
        <v>0</v>
      </c>
      <c r="AP371" s="561">
        <v>0</v>
      </c>
      <c r="AQ371" s="561">
        <v>0</v>
      </c>
      <c r="AR371" s="561">
        <v>0</v>
      </c>
      <c r="AS371" s="561">
        <v>8558</v>
      </c>
      <c r="AT371" s="561">
        <v>34229</v>
      </c>
      <c r="AU371" s="561">
        <v>0</v>
      </c>
      <c r="AV371" s="561">
        <v>0</v>
      </c>
      <c r="AW371" s="561">
        <v>0</v>
      </c>
      <c r="AX371" s="561">
        <v>1805</v>
      </c>
      <c r="AY371" s="561">
        <v>29336</v>
      </c>
      <c r="AZ371" s="561">
        <v>8557</v>
      </c>
      <c r="BA371" s="561">
        <v>7733</v>
      </c>
      <c r="BB371" s="561">
        <v>1926</v>
      </c>
      <c r="BC371" s="561">
        <v>13856</v>
      </c>
      <c r="BD371" s="561">
        <v>1970</v>
      </c>
      <c r="BE371" s="561">
        <v>4811</v>
      </c>
      <c r="BF371" s="561">
        <v>69994</v>
      </c>
      <c r="BG371" s="561">
        <v>2721</v>
      </c>
      <c r="BH371" s="561">
        <v>7773</v>
      </c>
      <c r="BI371" s="561">
        <v>30489</v>
      </c>
      <c r="BJ371" s="561">
        <v>377</v>
      </c>
      <c r="BK371" s="561">
        <v>468</v>
      </c>
      <c r="BL371" s="561">
        <v>368</v>
      </c>
      <c r="BM371" s="561">
        <v>9037</v>
      </c>
      <c r="BN371" s="561">
        <v>44686</v>
      </c>
      <c r="BO371" s="561">
        <v>7088</v>
      </c>
      <c r="BP371" s="561">
        <v>9962</v>
      </c>
      <c r="BQ371" s="561">
        <v>7266</v>
      </c>
      <c r="BR371" s="561">
        <v>523</v>
      </c>
      <c r="BS371" s="561">
        <v>4891</v>
      </c>
      <c r="BT371" s="561">
        <v>201</v>
      </c>
      <c r="BU371" s="561">
        <v>208</v>
      </c>
      <c r="BV371" s="561">
        <v>463</v>
      </c>
      <c r="BW371" s="561">
        <v>1313</v>
      </c>
      <c r="BX371" s="561">
        <v>1957</v>
      </c>
      <c r="BY371" s="561">
        <v>4700</v>
      </c>
      <c r="BZ371" s="561">
        <v>131770</v>
      </c>
      <c r="CA371" s="561">
        <v>7123</v>
      </c>
      <c r="CB371" s="561">
        <v>7416</v>
      </c>
      <c r="CC371" s="561">
        <v>392</v>
      </c>
      <c r="CD371" s="561">
        <v>18</v>
      </c>
      <c r="CE371" s="561">
        <v>422</v>
      </c>
      <c r="CF371" s="561">
        <v>122</v>
      </c>
      <c r="CG371" s="561">
        <v>176</v>
      </c>
      <c r="CH371" s="561">
        <v>84</v>
      </c>
      <c r="CI371" s="561">
        <v>13</v>
      </c>
      <c r="CJ371" s="561">
        <v>327</v>
      </c>
      <c r="CK371" s="561">
        <v>1336</v>
      </c>
      <c r="CL371" s="561">
        <v>784</v>
      </c>
      <c r="CM371" s="561">
        <v>53</v>
      </c>
      <c r="CN371" s="561">
        <v>6150</v>
      </c>
      <c r="CO371" s="561">
        <v>40</v>
      </c>
      <c r="CP371" s="561">
        <v>38</v>
      </c>
      <c r="CQ371" s="561">
        <v>38</v>
      </c>
      <c r="CR371" s="561">
        <v>193</v>
      </c>
      <c r="CS371" s="561">
        <v>323</v>
      </c>
      <c r="CT371" s="561">
        <v>2375</v>
      </c>
      <c r="CU371" s="561">
        <v>6204</v>
      </c>
      <c r="CV371" s="561">
        <v>922</v>
      </c>
      <c r="CW371" s="561">
        <v>756</v>
      </c>
      <c r="CX371" s="561">
        <v>2699</v>
      </c>
      <c r="CY371" s="561">
        <v>5093</v>
      </c>
      <c r="CZ371" s="561">
        <v>35974</v>
      </c>
      <c r="DA371" s="561">
        <v>547</v>
      </c>
      <c r="DB371" s="561">
        <v>0</v>
      </c>
      <c r="DC371" s="561">
        <v>0</v>
      </c>
      <c r="DD371" s="561">
        <v>0</v>
      </c>
      <c r="DE371" s="561">
        <v>0</v>
      </c>
      <c r="DF371" s="561">
        <v>0</v>
      </c>
      <c r="DG371" s="561">
        <v>0</v>
      </c>
      <c r="DH371" s="561">
        <v>204</v>
      </c>
      <c r="DI371" s="561">
        <v>-14</v>
      </c>
      <c r="DJ371" s="561">
        <v>13</v>
      </c>
      <c r="DK371" s="561">
        <v>825</v>
      </c>
      <c r="DL371" s="561">
        <v>22189</v>
      </c>
      <c r="DM371" s="561">
        <v>4645</v>
      </c>
      <c r="DN371" s="561">
        <v>132</v>
      </c>
      <c r="DO371" s="561">
        <v>4048</v>
      </c>
      <c r="DP371" s="561">
        <v>0</v>
      </c>
      <c r="DQ371" s="561">
        <v>0</v>
      </c>
      <c r="DR371" s="561">
        <v>0</v>
      </c>
      <c r="DS371" s="561">
        <v>146</v>
      </c>
      <c r="DT371" s="561">
        <v>8817</v>
      </c>
      <c r="DU371" s="561">
        <v>39977</v>
      </c>
      <c r="DV371" s="561">
        <v>93</v>
      </c>
      <c r="DW371" s="561">
        <v>0</v>
      </c>
      <c r="DX371" s="561">
        <v>787</v>
      </c>
      <c r="DY371" s="561">
        <v>1875</v>
      </c>
      <c r="DZ371" s="561">
        <v>-3119</v>
      </c>
      <c r="EA371" s="561">
        <v>-70</v>
      </c>
      <c r="EB371" s="561">
        <v>85</v>
      </c>
      <c r="EC371" s="561">
        <v>40656</v>
      </c>
      <c r="ED371" s="561">
        <v>1451</v>
      </c>
      <c r="EE371" s="561">
        <v>132038</v>
      </c>
      <c r="EF371" s="561">
        <v>5319</v>
      </c>
      <c r="EG371" s="561">
        <v>36568</v>
      </c>
      <c r="EH371" s="561">
        <v>0</v>
      </c>
      <c r="EI371" s="561">
        <v>0</v>
      </c>
      <c r="EJ371" s="561">
        <v>12899</v>
      </c>
      <c r="EK371" s="561">
        <v>0</v>
      </c>
      <c r="EL371" s="561">
        <v>0</v>
      </c>
      <c r="EM371" s="561">
        <v>0</v>
      </c>
      <c r="EN371" s="561">
        <v>56102</v>
      </c>
      <c r="EO371" s="561">
        <v>48435</v>
      </c>
      <c r="EP371" s="561">
        <v>22910</v>
      </c>
      <c r="EQ371" s="561">
        <v>861</v>
      </c>
      <c r="ER371" s="561">
        <v>4683</v>
      </c>
      <c r="ES371" s="561" t="s">
        <v>4565</v>
      </c>
      <c r="ET371" s="561">
        <v>70426</v>
      </c>
      <c r="EU371" s="561">
        <v>0</v>
      </c>
      <c r="EV371" s="561">
        <v>0</v>
      </c>
      <c r="EW371" s="561">
        <v>0</v>
      </c>
      <c r="EX371" s="561">
        <v>0</v>
      </c>
      <c r="EY371" s="561">
        <v>9358</v>
      </c>
      <c r="EZ371" s="561">
        <v>-25951</v>
      </c>
      <c r="FA371" s="561">
        <v>154222</v>
      </c>
      <c r="FB371" s="561">
        <v>0</v>
      </c>
      <c r="FC371" s="561">
        <v>1202</v>
      </c>
      <c r="FD371" s="561">
        <v>0</v>
      </c>
      <c r="FE371" s="561">
        <v>0</v>
      </c>
      <c r="FF371" s="561">
        <v>0</v>
      </c>
      <c r="FG371" s="561">
        <v>278</v>
      </c>
      <c r="FH371" s="561">
        <v>0</v>
      </c>
      <c r="FI371" s="561">
        <v>0</v>
      </c>
      <c r="FJ371" s="561">
        <v>1340</v>
      </c>
      <c r="FK371" s="561">
        <v>3095</v>
      </c>
      <c r="FL371" s="561">
        <v>0</v>
      </c>
      <c r="FM371" s="561">
        <v>0</v>
      </c>
      <c r="FN371" s="561">
        <v>5060</v>
      </c>
      <c r="FO371" s="561">
        <v>10975</v>
      </c>
      <c r="FP371" s="561">
        <v>362</v>
      </c>
      <c r="FQ371" s="561">
        <v>-433</v>
      </c>
      <c r="FR371" s="561">
        <v>471</v>
      </c>
      <c r="FS371" s="561">
        <v>0</v>
      </c>
      <c r="FT371" s="561">
        <v>507</v>
      </c>
      <c r="FU371" s="561">
        <v>994</v>
      </c>
      <c r="FV371" s="561">
        <v>39</v>
      </c>
      <c r="FW371" s="561">
        <v>13</v>
      </c>
      <c r="FX371" s="561">
        <v>0</v>
      </c>
      <c r="FY371" s="561">
        <v>0</v>
      </c>
      <c r="FZ371" s="561">
        <v>164</v>
      </c>
      <c r="GA371" s="561">
        <v>13</v>
      </c>
      <c r="GB371" s="561">
        <v>0</v>
      </c>
      <c r="GC371" s="561">
        <v>-22</v>
      </c>
      <c r="GD371" s="561">
        <v>423</v>
      </c>
      <c r="GE371" s="561">
        <v>442</v>
      </c>
      <c r="GF371" s="561">
        <v>1027</v>
      </c>
      <c r="GG371" s="561">
        <v>7</v>
      </c>
      <c r="GH371" s="561">
        <v>0</v>
      </c>
      <c r="GI371" s="561">
        <v>0</v>
      </c>
      <c r="GJ371" s="561">
        <v>0</v>
      </c>
      <c r="GK371" s="561">
        <v>0</v>
      </c>
      <c r="GL371" s="561">
        <v>6066</v>
      </c>
      <c r="GM371" s="561">
        <v>7903</v>
      </c>
      <c r="GN371" s="561">
        <v>0</v>
      </c>
      <c r="GO371" s="561">
        <v>0</v>
      </c>
      <c r="GP371" s="561">
        <v>2689</v>
      </c>
      <c r="GQ371" s="561">
        <v>0</v>
      </c>
      <c r="GR371" s="561">
        <v>515</v>
      </c>
      <c r="GS371" s="561">
        <v>20818</v>
      </c>
      <c r="GT371" s="561">
        <v>204</v>
      </c>
      <c r="GU371" s="561">
        <v>749</v>
      </c>
      <c r="GV371" s="561">
        <v>856</v>
      </c>
      <c r="GW371" s="561">
        <v>1572</v>
      </c>
      <c r="GX371" s="561">
        <v>66</v>
      </c>
      <c r="GY371" s="561">
        <v>93</v>
      </c>
      <c r="GZ371" s="561">
        <v>2843</v>
      </c>
      <c r="HA371" s="561">
        <v>0</v>
      </c>
      <c r="HB371" s="561">
        <v>602</v>
      </c>
      <c r="HC371" s="561">
        <v>169</v>
      </c>
      <c r="HD371" s="561">
        <v>6950</v>
      </c>
      <c r="HE371" s="561">
        <v>766</v>
      </c>
      <c r="HF371" s="561">
        <v>38743</v>
      </c>
      <c r="HG371" s="561">
        <v>0</v>
      </c>
      <c r="HH371" s="561">
        <v>0</v>
      </c>
      <c r="HI371" s="561">
        <v>0</v>
      </c>
      <c r="HJ371" s="561">
        <v>0</v>
      </c>
      <c r="HK371" s="561">
        <v>0</v>
      </c>
      <c r="HL371" s="561">
        <v>0</v>
      </c>
      <c r="HM371" s="561">
        <v>0</v>
      </c>
      <c r="HN371" s="561">
        <v>0</v>
      </c>
      <c r="HO371" s="561">
        <v>11239</v>
      </c>
      <c r="HP371" s="561">
        <v>1552</v>
      </c>
      <c r="HQ371" s="561">
        <v>31</v>
      </c>
      <c r="HR371" s="561">
        <v>26</v>
      </c>
      <c r="HS371" s="561">
        <v>274</v>
      </c>
      <c r="HT371" s="561">
        <v>-288</v>
      </c>
      <c r="HU371" s="561">
        <v>0</v>
      </c>
      <c r="HV371" s="561">
        <v>122</v>
      </c>
      <c r="HW371" s="561">
        <v>845</v>
      </c>
      <c r="HX371" s="561">
        <v>192</v>
      </c>
      <c r="HY371" s="561">
        <v>278</v>
      </c>
      <c r="HZ371" s="561">
        <v>54</v>
      </c>
      <c r="IA371" s="561">
        <v>4715</v>
      </c>
      <c r="IB371" s="561">
        <v>1315</v>
      </c>
      <c r="IC371" s="561">
        <v>1059</v>
      </c>
      <c r="ID371" s="561">
        <v>0</v>
      </c>
      <c r="IE371" s="561">
        <v>339</v>
      </c>
      <c r="IF371" s="561">
        <v>0</v>
      </c>
      <c r="IG371" s="561">
        <v>44</v>
      </c>
      <c r="IH371" s="561">
        <v>0</v>
      </c>
      <c r="II371" s="561">
        <v>21797</v>
      </c>
      <c r="IJ371" s="561">
        <v>385</v>
      </c>
      <c r="IK371" s="561">
        <v>0</v>
      </c>
      <c r="IL371" s="561">
        <v>50112</v>
      </c>
      <c r="IM371" s="561">
        <v>0</v>
      </c>
      <c r="IN371" s="561">
        <v>0</v>
      </c>
      <c r="IO371" s="561">
        <v>0</v>
      </c>
      <c r="IP371" s="561">
        <v>0</v>
      </c>
      <c r="IQ371" s="561">
        <v>0</v>
      </c>
      <c r="IR371" s="561">
        <v>238928</v>
      </c>
      <c r="IS371" s="561">
        <v>-10845</v>
      </c>
      <c r="IT371" s="561">
        <v>69994</v>
      </c>
      <c r="IU371" s="561">
        <v>131770</v>
      </c>
      <c r="IV371" s="561">
        <v>35974</v>
      </c>
      <c r="IW371" s="561">
        <v>40656</v>
      </c>
      <c r="IX371" s="561">
        <v>10975</v>
      </c>
      <c r="IY371" s="561">
        <v>20818</v>
      </c>
      <c r="IZ371" s="561">
        <v>6950</v>
      </c>
      <c r="JA371" s="561">
        <v>0</v>
      </c>
      <c r="JB371" s="561">
        <v>0</v>
      </c>
      <c r="JC371" s="561">
        <v>21797</v>
      </c>
      <c r="JD371" s="561">
        <v>0</v>
      </c>
      <c r="JE371" s="561">
        <v>567017</v>
      </c>
      <c r="JF371" s="561">
        <v>60877</v>
      </c>
      <c r="JG371" s="561">
        <v>23216</v>
      </c>
      <c r="JH371" s="561">
        <v>44730</v>
      </c>
      <c r="JI371" s="561">
        <v>0</v>
      </c>
      <c r="JJ371" s="561">
        <v>0</v>
      </c>
      <c r="JK371" s="561">
        <v>0</v>
      </c>
      <c r="JL371" s="561">
        <v>0</v>
      </c>
      <c r="JM371" s="561">
        <v>14227</v>
      </c>
      <c r="JN371" s="561">
        <v>853</v>
      </c>
      <c r="JO371" s="561">
        <v>2668</v>
      </c>
      <c r="JP371" s="561">
        <v>0</v>
      </c>
      <c r="JQ371" s="561">
        <v>-165</v>
      </c>
      <c r="JR371" s="561">
        <v>0</v>
      </c>
      <c r="JS371" s="561">
        <v>0</v>
      </c>
      <c r="JT371" s="561">
        <v>0</v>
      </c>
      <c r="JU371" s="561">
        <v>0</v>
      </c>
      <c r="JV371" s="561">
        <v>713423</v>
      </c>
      <c r="JW371" s="561">
        <v>342</v>
      </c>
      <c r="JX371" s="561">
        <v>12456</v>
      </c>
      <c r="JY371" s="561">
        <v>0</v>
      </c>
      <c r="JZ371" s="561">
        <v>0</v>
      </c>
      <c r="KA371" s="561">
        <v>0</v>
      </c>
      <c r="KB371" s="561">
        <v>1355</v>
      </c>
      <c r="KC371" s="561">
        <v>0</v>
      </c>
      <c r="KD371" s="561">
        <v>0</v>
      </c>
      <c r="KE371" s="561">
        <v>6099</v>
      </c>
      <c r="KF371" s="561">
        <v>0</v>
      </c>
      <c r="KG371" s="561">
        <v>733675</v>
      </c>
      <c r="KH371" s="561">
        <v>-31780</v>
      </c>
      <c r="KI371" s="561">
        <v>0</v>
      </c>
      <c r="KJ371" s="561">
        <v>0</v>
      </c>
      <c r="KK371" s="561">
        <v>0</v>
      </c>
      <c r="KL371" s="561">
        <v>-131823</v>
      </c>
      <c r="KM371" s="561">
        <v>0</v>
      </c>
      <c r="KN371" s="561">
        <v>-1705</v>
      </c>
      <c r="KO371" s="561">
        <v>0</v>
      </c>
      <c r="KP371" s="561">
        <v>0</v>
      </c>
      <c r="KQ371" s="561">
        <v>-7311</v>
      </c>
      <c r="KR371" s="561">
        <v>561056</v>
      </c>
      <c r="KS371" s="561">
        <v>0</v>
      </c>
      <c r="KT371" s="561">
        <v>-337441</v>
      </c>
      <c r="KU371" s="561">
        <v>223615</v>
      </c>
      <c r="KV371" s="561">
        <v>0</v>
      </c>
      <c r="KW371" s="561">
        <v>2021</v>
      </c>
      <c r="KX371" s="561">
        <v>0</v>
      </c>
      <c r="KY371" s="561">
        <v>0</v>
      </c>
      <c r="KZ371" s="561">
        <v>1746</v>
      </c>
      <c r="LA371" s="561">
        <v>-312</v>
      </c>
      <c r="LB371" s="561">
        <v>-28884</v>
      </c>
      <c r="LC371" s="561">
        <v>0</v>
      </c>
      <c r="LD371" s="561">
        <v>-102761</v>
      </c>
      <c r="LE371" s="561">
        <v>-2017</v>
      </c>
      <c r="LF371" s="561">
        <v>-22029</v>
      </c>
      <c r="LG371" s="561">
        <v>71379</v>
      </c>
      <c r="LH371" s="561">
        <v>13783</v>
      </c>
      <c r="LI371" s="561">
        <v>-13864</v>
      </c>
      <c r="LJ371" s="561">
        <v>0</v>
      </c>
      <c r="LK371" s="561">
        <v>0</v>
      </c>
      <c r="LL371" s="561">
        <v>359985</v>
      </c>
      <c r="LM371" s="561">
        <v>15333</v>
      </c>
      <c r="LN371" s="561">
        <v>15804</v>
      </c>
      <c r="LO371" s="561">
        <v>-21175</v>
      </c>
      <c r="LP371" s="561">
        <v>0</v>
      </c>
      <c r="LQ371" s="561">
        <v>0</v>
      </c>
      <c r="LR371" s="561">
        <v>361731</v>
      </c>
      <c r="LS371" s="561">
        <v>15021</v>
      </c>
      <c r="LT371" s="561">
        <v>0</v>
      </c>
      <c r="LU371" s="561">
        <v>20172</v>
      </c>
      <c r="LV371" s="561">
        <v>0</v>
      </c>
      <c r="LW371" s="561">
        <v>0</v>
      </c>
      <c r="LX371" s="561">
        <v>773</v>
      </c>
      <c r="LY371" s="561">
        <v>23625</v>
      </c>
      <c r="LZ371" s="561">
        <v>44570</v>
      </c>
      <c r="MA371" s="561">
        <v>0</v>
      </c>
      <c r="MB371" s="561">
        <v>0</v>
      </c>
      <c r="MC371" s="561">
        <v>186824</v>
      </c>
      <c r="MD371" s="561">
        <v>212775</v>
      </c>
      <c r="ME371" s="561">
        <v>-25951</v>
      </c>
      <c r="MF371" s="561">
        <v>154222</v>
      </c>
      <c r="MG371" s="561">
        <v>128271</v>
      </c>
      <c r="MH371" s="561">
        <v>3963</v>
      </c>
      <c r="MI371" s="561">
        <v>6860</v>
      </c>
      <c r="MJ371" s="561">
        <v>10823</v>
      </c>
      <c r="MK371" s="561">
        <v>0</v>
      </c>
      <c r="ML371" s="561">
        <v>517</v>
      </c>
      <c r="MM371" s="561">
        <v>153650</v>
      </c>
      <c r="MN371" s="561">
        <v>83642</v>
      </c>
      <c r="MO371" s="561">
        <v>91477</v>
      </c>
      <c r="MP371" s="561">
        <v>32445</v>
      </c>
      <c r="MQ371" s="561">
        <v>238928</v>
      </c>
      <c r="MR371" s="561">
        <v>-10845</v>
      </c>
      <c r="MS371" s="561">
        <v>69994</v>
      </c>
      <c r="MT371" s="561">
        <v>131770</v>
      </c>
      <c r="MU371" s="561">
        <v>35974</v>
      </c>
      <c r="MV371" s="561">
        <v>40656</v>
      </c>
      <c r="MW371" s="561">
        <v>10975</v>
      </c>
      <c r="MX371" s="561">
        <v>20818</v>
      </c>
      <c r="MY371" s="561">
        <v>6950</v>
      </c>
      <c r="MZ371" s="561">
        <v>0</v>
      </c>
      <c r="NA371" s="561">
        <v>0</v>
      </c>
      <c r="NB371" s="561">
        <v>21797</v>
      </c>
      <c r="NC371" s="561">
        <v>0</v>
      </c>
      <c r="ND371" s="561">
        <v>567017</v>
      </c>
      <c r="NE371" s="561">
        <v>0</v>
      </c>
      <c r="NF371" s="561">
        <v>0</v>
      </c>
      <c r="NG371" s="561">
        <v>0</v>
      </c>
      <c r="NH371" s="561">
        <v>0</v>
      </c>
      <c r="NI371" s="561">
        <v>0</v>
      </c>
      <c r="NJ371" s="561">
        <v>0</v>
      </c>
      <c r="NK371" s="561">
        <v>0</v>
      </c>
      <c r="NL371" s="561">
        <v>0</v>
      </c>
      <c r="NM371" s="561">
        <v>0</v>
      </c>
      <c r="NN371" s="561">
        <v>0</v>
      </c>
      <c r="NO371" s="561">
        <v>0</v>
      </c>
      <c r="NP371" s="561">
        <v>0</v>
      </c>
      <c r="NQ371" s="561">
        <v>0</v>
      </c>
      <c r="NR371" s="561">
        <v>0</v>
      </c>
      <c r="NS371" s="561">
        <v>0</v>
      </c>
      <c r="NT371" s="561">
        <v>0</v>
      </c>
      <c r="NU371" s="561">
        <v>0</v>
      </c>
      <c r="NV371" s="561">
        <v>0</v>
      </c>
      <c r="NW371" s="561">
        <v>0</v>
      </c>
      <c r="NX371" s="561">
        <v>0</v>
      </c>
      <c r="NY371" s="561">
        <v>0</v>
      </c>
      <c r="NZ371" s="561">
        <v>0</v>
      </c>
      <c r="OA371" s="561">
        <v>0</v>
      </c>
      <c r="OB371" s="561">
        <v>-156</v>
      </c>
      <c r="OC371" s="561">
        <v>0</v>
      </c>
      <c r="OD371" s="561">
        <v>0</v>
      </c>
      <c r="OE371" s="561">
        <v>0</v>
      </c>
      <c r="OF371" s="561">
        <v>0</v>
      </c>
      <c r="OG371" s="561">
        <v>0</v>
      </c>
      <c r="OH371" s="561">
        <v>0</v>
      </c>
      <c r="OI371" s="561">
        <v>0</v>
      </c>
      <c r="OJ371" s="561">
        <v>0</v>
      </c>
      <c r="OK371" s="561">
        <v>0</v>
      </c>
      <c r="OL371" s="561">
        <v>0</v>
      </c>
      <c r="OM371" s="561">
        <v>-51</v>
      </c>
      <c r="ON371" s="561">
        <v>85</v>
      </c>
      <c r="OO371" s="561">
        <v>0</v>
      </c>
      <c r="OP371" s="561">
        <v>0</v>
      </c>
      <c r="OQ371" s="561">
        <v>0</v>
      </c>
      <c r="OR371" s="561">
        <v>0</v>
      </c>
      <c r="OS371" s="561">
        <v>0</v>
      </c>
      <c r="OT371" s="561">
        <v>0</v>
      </c>
      <c r="OU371" s="561">
        <v>0</v>
      </c>
      <c r="OV371" s="561">
        <v>-455</v>
      </c>
      <c r="OW371" s="561">
        <v>0</v>
      </c>
      <c r="OX371" s="561">
        <v>-165</v>
      </c>
      <c r="OY371" s="561">
        <v>0</v>
      </c>
      <c r="OZ371" s="561">
        <v>0</v>
      </c>
      <c r="PA371" s="561">
        <v>0</v>
      </c>
      <c r="PB371" s="561">
        <v>0</v>
      </c>
      <c r="PC371" s="561">
        <v>0</v>
      </c>
      <c r="PD371" s="561">
        <v>0</v>
      </c>
      <c r="PE371" s="561">
        <v>0</v>
      </c>
      <c r="PF371" s="561">
        <v>0</v>
      </c>
      <c r="PG371" s="561">
        <v>0</v>
      </c>
      <c r="PH371" s="561">
        <v>0</v>
      </c>
      <c r="PI371" s="561">
        <v>0</v>
      </c>
      <c r="PJ371" s="561">
        <v>0</v>
      </c>
    </row>
    <row r="372" spans="1:426" ht="14" x14ac:dyDescent="0.3">
      <c r="A372" t="s">
        <v>3556</v>
      </c>
      <c r="B372" t="s">
        <v>3557</v>
      </c>
      <c r="C372" t="s">
        <v>4678</v>
      </c>
      <c r="E372" t="s">
        <v>385</v>
      </c>
      <c r="F372" s="561">
        <v>23287</v>
      </c>
      <c r="G372" s="561">
        <v>65745</v>
      </c>
      <c r="H372" s="561">
        <v>23673</v>
      </c>
      <c r="I372" s="561">
        <v>9607</v>
      </c>
      <c r="J372" s="561">
        <v>4610</v>
      </c>
      <c r="K372" s="561">
        <v>28649</v>
      </c>
      <c r="L372" s="561">
        <v>155571</v>
      </c>
      <c r="M372" s="561">
        <v>0</v>
      </c>
      <c r="N372" s="561">
        <v>-949.52</v>
      </c>
      <c r="O372" s="561">
        <v>174.64</v>
      </c>
      <c r="P372" s="561">
        <v>12.22</v>
      </c>
      <c r="Q372" s="561">
        <v>-11.26</v>
      </c>
      <c r="R372" s="561">
        <v>63.36</v>
      </c>
      <c r="S372" s="561">
        <v>1.1100000000000001</v>
      </c>
      <c r="T372" s="561">
        <v>2442.2600000000002</v>
      </c>
      <c r="U372" s="561">
        <v>425.42</v>
      </c>
      <c r="V372" s="561">
        <v>1867.36</v>
      </c>
      <c r="W372" s="561">
        <v>0</v>
      </c>
      <c r="X372" s="561">
        <v>0</v>
      </c>
      <c r="Y372" s="561">
        <v>491.09</v>
      </c>
      <c r="Z372" s="561">
        <v>1184.06</v>
      </c>
      <c r="AA372" s="561">
        <v>-367.77</v>
      </c>
      <c r="AB372" s="561">
        <v>-153.36000000000001</v>
      </c>
      <c r="AC372" s="561">
        <v>2416</v>
      </c>
      <c r="AD372" s="561">
        <v>0</v>
      </c>
      <c r="AE372" s="561">
        <v>1834.17</v>
      </c>
      <c r="AF372" s="561">
        <v>0</v>
      </c>
      <c r="AG372" s="561">
        <v>0</v>
      </c>
      <c r="AH372" s="561">
        <v>-193.38</v>
      </c>
      <c r="AI372" s="561">
        <v>22.17</v>
      </c>
      <c r="AJ372" s="561">
        <v>9258.57</v>
      </c>
      <c r="AK372" s="561">
        <v>0</v>
      </c>
      <c r="AL372" s="561">
        <v>0</v>
      </c>
      <c r="AM372" s="561">
        <v>0</v>
      </c>
      <c r="AN372" s="561">
        <v>0</v>
      </c>
      <c r="AO372" s="561">
        <v>0</v>
      </c>
      <c r="AP372" s="561">
        <v>0</v>
      </c>
      <c r="AQ372" s="561">
        <v>0</v>
      </c>
      <c r="AR372" s="561">
        <v>0</v>
      </c>
      <c r="AS372" s="561">
        <v>405.69</v>
      </c>
      <c r="AT372" s="561">
        <v>936.15</v>
      </c>
      <c r="AU372" s="561">
        <v>0</v>
      </c>
      <c r="AV372" s="561">
        <v>0</v>
      </c>
      <c r="AW372" s="561">
        <v>0</v>
      </c>
      <c r="AX372" s="561">
        <v>6667</v>
      </c>
      <c r="AY372" s="561">
        <v>29055</v>
      </c>
      <c r="AZ372" s="561">
        <v>12743</v>
      </c>
      <c r="BA372" s="561">
        <v>4800</v>
      </c>
      <c r="BB372" s="561">
        <v>206</v>
      </c>
      <c r="BC372" s="561">
        <v>1446</v>
      </c>
      <c r="BD372" s="561">
        <v>1393</v>
      </c>
      <c r="BE372" s="561">
        <v>0</v>
      </c>
      <c r="BF372" s="561">
        <v>56310</v>
      </c>
      <c r="BG372" s="561">
        <v>0</v>
      </c>
      <c r="BH372" s="561">
        <v>6850</v>
      </c>
      <c r="BI372" s="561">
        <v>23548</v>
      </c>
      <c r="BJ372" s="561">
        <v>416</v>
      </c>
      <c r="BK372" s="561">
        <v>949</v>
      </c>
      <c r="BL372" s="561">
        <v>1471</v>
      </c>
      <c r="BM372" s="561">
        <v>6179</v>
      </c>
      <c r="BN372" s="561">
        <v>24554</v>
      </c>
      <c r="BO372" s="561">
        <v>3798</v>
      </c>
      <c r="BP372" s="561">
        <v>6119</v>
      </c>
      <c r="BQ372" s="561">
        <v>4410</v>
      </c>
      <c r="BR372" s="561">
        <v>209</v>
      </c>
      <c r="BS372" s="561">
        <v>0</v>
      </c>
      <c r="BT372" s="561">
        <v>0</v>
      </c>
      <c r="BU372" s="561">
        <v>14</v>
      </c>
      <c r="BV372" s="561">
        <v>848</v>
      </c>
      <c r="BW372" s="561">
        <v>8590</v>
      </c>
      <c r="BX372" s="561">
        <v>6647</v>
      </c>
      <c r="BY372" s="561">
        <v>7355</v>
      </c>
      <c r="BZ372" s="561">
        <v>101957</v>
      </c>
      <c r="CA372" s="561">
        <v>0</v>
      </c>
      <c r="CB372" s="561">
        <v>835</v>
      </c>
      <c r="CC372" s="561">
        <v>500</v>
      </c>
      <c r="CD372" s="561">
        <v>627</v>
      </c>
      <c r="CE372" s="561">
        <v>473.35</v>
      </c>
      <c r="CF372" s="561">
        <v>1256.93</v>
      </c>
      <c r="CG372" s="561">
        <v>77.790000000000006</v>
      </c>
      <c r="CH372" s="561">
        <v>306.11</v>
      </c>
      <c r="CI372" s="561">
        <v>485.97</v>
      </c>
      <c r="CJ372" s="561">
        <v>222.68</v>
      </c>
      <c r="CK372" s="561">
        <v>754.31</v>
      </c>
      <c r="CL372" s="561">
        <v>124.28</v>
      </c>
      <c r="CM372" s="561">
        <v>914.95</v>
      </c>
      <c r="CN372" s="561">
        <v>904.07</v>
      </c>
      <c r="CO372" s="561">
        <v>302.95</v>
      </c>
      <c r="CP372" s="561">
        <v>436.91</v>
      </c>
      <c r="CQ372" s="561">
        <v>341.4</v>
      </c>
      <c r="CR372" s="561">
        <v>741.37</v>
      </c>
      <c r="CS372" s="561">
        <v>347.41</v>
      </c>
      <c r="CT372" s="561">
        <v>1018.41</v>
      </c>
      <c r="CU372" s="561">
        <v>1663.21</v>
      </c>
      <c r="CV372" s="561">
        <v>855.62</v>
      </c>
      <c r="CW372" s="561">
        <v>264.49</v>
      </c>
      <c r="CX372" s="561">
        <v>339.27</v>
      </c>
      <c r="CY372" s="561">
        <v>1692.64</v>
      </c>
      <c r="CZ372" s="561">
        <v>15486.12</v>
      </c>
      <c r="DA372" s="561">
        <v>0</v>
      </c>
      <c r="DB372" s="561">
        <v>0</v>
      </c>
      <c r="DC372" s="561">
        <v>0</v>
      </c>
      <c r="DD372" s="561">
        <v>0</v>
      </c>
      <c r="DE372" s="561">
        <v>0</v>
      </c>
      <c r="DF372" s="561">
        <v>0</v>
      </c>
      <c r="DG372" s="561">
        <v>0</v>
      </c>
      <c r="DH372" s="561">
        <v>-551.23</v>
      </c>
      <c r="DI372" s="561">
        <v>0</v>
      </c>
      <c r="DJ372" s="561">
        <v>654.29</v>
      </c>
      <c r="DK372" s="561">
        <v>0</v>
      </c>
      <c r="DL372" s="561">
        <v>0</v>
      </c>
      <c r="DM372" s="561">
        <v>0</v>
      </c>
      <c r="DN372" s="561">
        <v>0</v>
      </c>
      <c r="DO372" s="561">
        <v>0</v>
      </c>
      <c r="DP372" s="561">
        <v>0</v>
      </c>
      <c r="DQ372" s="561">
        <v>227.04</v>
      </c>
      <c r="DR372" s="561">
        <v>0</v>
      </c>
      <c r="DS372" s="561">
        <v>2459</v>
      </c>
      <c r="DT372" s="561">
        <v>0</v>
      </c>
      <c r="DU372" s="561">
        <v>2686.04</v>
      </c>
      <c r="DV372" s="561">
        <v>0</v>
      </c>
      <c r="DW372" s="561">
        <v>35</v>
      </c>
      <c r="DX372" s="561">
        <v>0</v>
      </c>
      <c r="DY372" s="561">
        <v>1138</v>
      </c>
      <c r="DZ372" s="561">
        <v>-1.7</v>
      </c>
      <c r="EA372" s="561">
        <v>1412</v>
      </c>
      <c r="EB372" s="561">
        <v>0</v>
      </c>
      <c r="EC372" s="561">
        <v>5372.4</v>
      </c>
      <c r="ED372" s="561">
        <v>0</v>
      </c>
      <c r="EE372" s="561">
        <v>0</v>
      </c>
      <c r="EF372" s="561">
        <v>0</v>
      </c>
      <c r="EG372" s="561">
        <v>0</v>
      </c>
      <c r="EH372" s="561">
        <v>0</v>
      </c>
      <c r="EI372" s="561">
        <v>0</v>
      </c>
      <c r="EJ372" s="561">
        <v>0</v>
      </c>
      <c r="EK372" s="561">
        <v>0</v>
      </c>
      <c r="EL372" s="561">
        <v>0</v>
      </c>
      <c r="EM372" s="561">
        <v>0</v>
      </c>
      <c r="EN372" s="561">
        <v>0</v>
      </c>
      <c r="EO372" s="561">
        <v>0</v>
      </c>
      <c r="EP372" s="561">
        <v>0</v>
      </c>
      <c r="EQ372" s="561">
        <v>0</v>
      </c>
      <c r="ER372" s="561">
        <v>0</v>
      </c>
      <c r="ES372" s="561" t="s">
        <v>4565</v>
      </c>
      <c r="ET372" s="561">
        <v>0</v>
      </c>
      <c r="EU372" s="561">
        <v>0</v>
      </c>
      <c r="EV372" s="561">
        <v>0</v>
      </c>
      <c r="EW372" s="561">
        <v>0</v>
      </c>
      <c r="EX372" s="561">
        <v>0</v>
      </c>
      <c r="EY372" s="561">
        <v>0</v>
      </c>
      <c r="EZ372" s="561">
        <v>0</v>
      </c>
      <c r="FA372" s="561">
        <v>0</v>
      </c>
      <c r="FB372" s="561">
        <v>0</v>
      </c>
      <c r="FC372" s="561">
        <v>0</v>
      </c>
      <c r="FD372" s="561">
        <v>0</v>
      </c>
      <c r="FE372" s="561">
        <v>0</v>
      </c>
      <c r="FF372" s="561">
        <v>59.03</v>
      </c>
      <c r="FG372" s="561">
        <v>346</v>
      </c>
      <c r="FH372" s="561">
        <v>0</v>
      </c>
      <c r="FI372" s="561">
        <v>60.84</v>
      </c>
      <c r="FJ372" s="561">
        <v>5451.52</v>
      </c>
      <c r="FK372" s="561">
        <v>3846.61</v>
      </c>
      <c r="FL372" s="561">
        <v>54.38</v>
      </c>
      <c r="FM372" s="561">
        <v>0</v>
      </c>
      <c r="FN372" s="561">
        <v>1551.79</v>
      </c>
      <c r="FO372" s="561">
        <v>11370.17</v>
      </c>
      <c r="FP372" s="561">
        <v>0</v>
      </c>
      <c r="FQ372" s="561">
        <v>-1019.76</v>
      </c>
      <c r="FR372" s="561">
        <v>1488.35</v>
      </c>
      <c r="FS372" s="561">
        <v>0</v>
      </c>
      <c r="FT372" s="561">
        <v>0</v>
      </c>
      <c r="FU372" s="561">
        <v>97.56</v>
      </c>
      <c r="FV372" s="561">
        <v>0</v>
      </c>
      <c r="FW372" s="561">
        <v>0</v>
      </c>
      <c r="FX372" s="561">
        <v>0</v>
      </c>
      <c r="FY372" s="561">
        <v>0</v>
      </c>
      <c r="FZ372" s="561">
        <v>55.34</v>
      </c>
      <c r="GA372" s="561">
        <v>3.76</v>
      </c>
      <c r="GB372" s="561">
        <v>0</v>
      </c>
      <c r="GC372" s="561">
        <v>-23.04</v>
      </c>
      <c r="GD372" s="561">
        <v>-291</v>
      </c>
      <c r="GE372" s="561">
        <v>0</v>
      </c>
      <c r="GF372" s="561">
        <v>317.26</v>
      </c>
      <c r="GG372" s="561">
        <v>4</v>
      </c>
      <c r="GH372" s="561">
        <v>331.72</v>
      </c>
      <c r="GI372" s="561">
        <v>0</v>
      </c>
      <c r="GJ372" s="561">
        <v>0</v>
      </c>
      <c r="GK372" s="561">
        <v>0</v>
      </c>
      <c r="GL372" s="561">
        <v>1418.16</v>
      </c>
      <c r="GM372" s="561">
        <v>3387.09</v>
      </c>
      <c r="GN372" s="561">
        <v>7334.94</v>
      </c>
      <c r="GO372" s="561">
        <v>135.71</v>
      </c>
      <c r="GP372" s="561">
        <v>3726.4</v>
      </c>
      <c r="GQ372" s="561">
        <v>0</v>
      </c>
      <c r="GR372" s="561">
        <v>-1884</v>
      </c>
      <c r="GS372" s="561">
        <v>15082.49</v>
      </c>
      <c r="GT372" s="561">
        <v>0</v>
      </c>
      <c r="GU372" s="561">
        <v>5.23</v>
      </c>
      <c r="GV372" s="561">
        <v>509.34</v>
      </c>
      <c r="GW372" s="561">
        <v>0</v>
      </c>
      <c r="GX372" s="561">
        <v>381.61</v>
      </c>
      <c r="GY372" s="561">
        <v>0</v>
      </c>
      <c r="GZ372" s="561">
        <v>651.41999999999996</v>
      </c>
      <c r="HA372" s="561">
        <v>0</v>
      </c>
      <c r="HB372" s="561">
        <v>0</v>
      </c>
      <c r="HC372" s="561">
        <v>237</v>
      </c>
      <c r="HD372" s="561">
        <v>1784.6</v>
      </c>
      <c r="HE372" s="561">
        <v>0</v>
      </c>
      <c r="HF372" s="561">
        <v>28237.26</v>
      </c>
      <c r="HG372" s="561">
        <v>0</v>
      </c>
      <c r="HH372" s="561">
        <v>0</v>
      </c>
      <c r="HI372" s="561">
        <v>0</v>
      </c>
      <c r="HJ372" s="561">
        <v>0</v>
      </c>
      <c r="HK372" s="561">
        <v>0</v>
      </c>
      <c r="HL372" s="561">
        <v>0</v>
      </c>
      <c r="HM372" s="561">
        <v>0</v>
      </c>
      <c r="HN372" s="561">
        <v>0</v>
      </c>
      <c r="HO372" s="561">
        <v>4752</v>
      </c>
      <c r="HP372" s="561">
        <v>2076</v>
      </c>
      <c r="HQ372" s="561">
        <v>0</v>
      </c>
      <c r="HR372" s="561">
        <v>0</v>
      </c>
      <c r="HS372" s="561">
        <v>0</v>
      </c>
      <c r="HT372" s="561">
        <v>-746</v>
      </c>
      <c r="HU372" s="561">
        <v>0</v>
      </c>
      <c r="HV372" s="561">
        <v>97</v>
      </c>
      <c r="HW372" s="561">
        <v>470</v>
      </c>
      <c r="HX372" s="561">
        <v>756</v>
      </c>
      <c r="HY372" s="561">
        <v>189</v>
      </c>
      <c r="HZ372" s="561">
        <v>-38</v>
      </c>
      <c r="IA372" s="561">
        <v>255</v>
      </c>
      <c r="IB372" s="561">
        <v>0</v>
      </c>
      <c r="IC372" s="561">
        <v>0</v>
      </c>
      <c r="ID372" s="561">
        <v>0</v>
      </c>
      <c r="IE372" s="561">
        <v>0</v>
      </c>
      <c r="IF372" s="561">
        <v>0</v>
      </c>
      <c r="IG372" s="561">
        <v>0</v>
      </c>
      <c r="IH372" s="561">
        <v>17677.849999999999</v>
      </c>
      <c r="II372" s="561">
        <v>25488.85</v>
      </c>
      <c r="IJ372" s="561">
        <v>0</v>
      </c>
      <c r="IK372" s="561">
        <v>5441</v>
      </c>
      <c r="IL372" s="561">
        <v>10230.450000000001</v>
      </c>
      <c r="IM372" s="561">
        <v>0</v>
      </c>
      <c r="IN372" s="561">
        <v>7952</v>
      </c>
      <c r="IO372" s="561">
        <v>12</v>
      </c>
      <c r="IP372" s="561">
        <v>0</v>
      </c>
      <c r="IQ372" s="561">
        <v>0</v>
      </c>
      <c r="IR372" s="561">
        <v>155571</v>
      </c>
      <c r="IS372" s="561">
        <v>9258.57</v>
      </c>
      <c r="IT372" s="561">
        <v>56310</v>
      </c>
      <c r="IU372" s="561">
        <v>101957</v>
      </c>
      <c r="IV372" s="561">
        <v>15486.12</v>
      </c>
      <c r="IW372" s="561">
        <v>5372.4</v>
      </c>
      <c r="IX372" s="561">
        <v>11370.17</v>
      </c>
      <c r="IY372" s="561">
        <v>15082.49</v>
      </c>
      <c r="IZ372" s="561">
        <v>1784.6</v>
      </c>
      <c r="JA372" s="561">
        <v>0</v>
      </c>
      <c r="JB372" s="561">
        <v>0</v>
      </c>
      <c r="JC372" s="561">
        <v>25488.85</v>
      </c>
      <c r="JD372" s="561">
        <v>0</v>
      </c>
      <c r="JE372" s="561">
        <v>397681.2</v>
      </c>
      <c r="JF372" s="561">
        <v>35293</v>
      </c>
      <c r="JG372" s="561">
        <v>744</v>
      </c>
      <c r="JH372" s="561">
        <v>0</v>
      </c>
      <c r="JI372" s="561">
        <v>0</v>
      </c>
      <c r="JJ372" s="561">
        <v>0</v>
      </c>
      <c r="JK372" s="561">
        <v>2789</v>
      </c>
      <c r="JL372" s="561">
        <v>0</v>
      </c>
      <c r="JM372" s="561">
        <v>0</v>
      </c>
      <c r="JN372" s="561">
        <v>0</v>
      </c>
      <c r="JO372" s="561">
        <v>0</v>
      </c>
      <c r="JP372" s="561">
        <v>-3255</v>
      </c>
      <c r="JQ372" s="561">
        <v>0</v>
      </c>
      <c r="JR372" s="561">
        <v>0</v>
      </c>
      <c r="JS372" s="561">
        <v>0</v>
      </c>
      <c r="JT372" s="561">
        <v>0</v>
      </c>
      <c r="JU372" s="561">
        <v>0</v>
      </c>
      <c r="JV372" s="561">
        <v>433252.2</v>
      </c>
      <c r="JW372" s="561">
        <v>144</v>
      </c>
      <c r="JX372" s="561">
        <v>0</v>
      </c>
      <c r="JY372" s="561">
        <v>0</v>
      </c>
      <c r="JZ372" s="561">
        <v>0</v>
      </c>
      <c r="KA372" s="561">
        <v>0</v>
      </c>
      <c r="KB372" s="561">
        <v>187</v>
      </c>
      <c r="KC372" s="561">
        <v>13816</v>
      </c>
      <c r="KD372" s="561">
        <v>0</v>
      </c>
      <c r="KE372" s="561">
        <v>19261</v>
      </c>
      <c r="KF372" s="561">
        <v>0</v>
      </c>
      <c r="KG372" s="561">
        <v>466660.2</v>
      </c>
      <c r="KH372" s="561">
        <v>-37133</v>
      </c>
      <c r="KI372" s="561">
        <v>0</v>
      </c>
      <c r="KJ372" s="561">
        <v>0</v>
      </c>
      <c r="KK372" s="561">
        <v>0</v>
      </c>
      <c r="KL372" s="561">
        <v>-34637</v>
      </c>
      <c r="KM372" s="561">
        <v>0</v>
      </c>
      <c r="KN372" s="561">
        <v>0</v>
      </c>
      <c r="KO372" s="561">
        <v>0</v>
      </c>
      <c r="KP372" s="561">
        <v>0</v>
      </c>
      <c r="KQ372" s="561">
        <v>0</v>
      </c>
      <c r="KR372" s="561">
        <v>394890.2</v>
      </c>
      <c r="KS372" s="561">
        <v>0</v>
      </c>
      <c r="KT372" s="561">
        <v>-207811</v>
      </c>
      <c r="KU372" s="561">
        <v>187079.2</v>
      </c>
      <c r="KV372" s="561">
        <v>0</v>
      </c>
      <c r="KW372" s="561">
        <v>-504</v>
      </c>
      <c r="KX372" s="561">
        <v>0</v>
      </c>
      <c r="KY372" s="561">
        <v>-1598</v>
      </c>
      <c r="KZ372" s="561">
        <v>-15758</v>
      </c>
      <c r="LA372" s="561">
        <v>3444</v>
      </c>
      <c r="LB372" s="561">
        <v>-1916</v>
      </c>
      <c r="LC372" s="561">
        <v>0</v>
      </c>
      <c r="LD372" s="561">
        <v>-36573</v>
      </c>
      <c r="LE372" s="561">
        <v>-3749</v>
      </c>
      <c r="LF372" s="561">
        <v>0</v>
      </c>
      <c r="LG372" s="561">
        <v>130425</v>
      </c>
      <c r="LH372" s="561">
        <v>10386</v>
      </c>
      <c r="LI372" s="561">
        <v>0</v>
      </c>
      <c r="LJ372" s="561">
        <v>0</v>
      </c>
      <c r="LK372" s="561">
        <v>4000</v>
      </c>
      <c r="LL372" s="561">
        <v>68010</v>
      </c>
      <c r="LM372" s="561">
        <v>5000</v>
      </c>
      <c r="LN372" s="561">
        <v>9882</v>
      </c>
      <c r="LO372" s="561">
        <v>0</v>
      </c>
      <c r="LP372" s="561">
        <v>0</v>
      </c>
      <c r="LQ372" s="561">
        <v>2402</v>
      </c>
      <c r="LR372" s="561">
        <v>52252</v>
      </c>
      <c r="LS372" s="561">
        <v>8444</v>
      </c>
      <c r="LT372" s="561">
        <v>0</v>
      </c>
      <c r="LU372" s="561">
        <v>0</v>
      </c>
      <c r="LV372" s="561">
        <v>0</v>
      </c>
      <c r="LW372" s="561">
        <v>0</v>
      </c>
      <c r="LX372" s="561">
        <v>0</v>
      </c>
      <c r="LY372" s="561">
        <v>0</v>
      </c>
      <c r="LZ372" s="561">
        <v>0</v>
      </c>
      <c r="MA372" s="561">
        <v>0</v>
      </c>
      <c r="MB372" s="561">
        <v>0</v>
      </c>
      <c r="MC372" s="561">
        <v>0</v>
      </c>
      <c r="MD372" s="561">
        <v>0</v>
      </c>
      <c r="ME372" s="561">
        <v>0</v>
      </c>
      <c r="MF372" s="561">
        <v>0</v>
      </c>
      <c r="MG372" s="561">
        <v>0</v>
      </c>
      <c r="MH372" s="561">
        <v>5665</v>
      </c>
      <c r="MI372" s="561">
        <v>8500</v>
      </c>
      <c r="MJ372" s="561">
        <v>14165</v>
      </c>
      <c r="MK372" s="561">
        <v>0</v>
      </c>
      <c r="ML372" s="561">
        <v>0</v>
      </c>
      <c r="MM372" s="561">
        <v>24560</v>
      </c>
      <c r="MN372" s="561">
        <v>27692</v>
      </c>
      <c r="MO372" s="561">
        <v>0</v>
      </c>
      <c r="MP372" s="561">
        <v>0</v>
      </c>
      <c r="MQ372" s="561">
        <v>155571</v>
      </c>
      <c r="MR372" s="561">
        <v>9258.57</v>
      </c>
      <c r="MS372" s="561">
        <v>56310</v>
      </c>
      <c r="MT372" s="561">
        <v>101957</v>
      </c>
      <c r="MU372" s="561">
        <v>15486.12</v>
      </c>
      <c r="MV372" s="561">
        <v>5372.4</v>
      </c>
      <c r="MW372" s="561">
        <v>11370.17</v>
      </c>
      <c r="MX372" s="561">
        <v>15082.49</v>
      </c>
      <c r="MY372" s="561">
        <v>1784.6</v>
      </c>
      <c r="MZ372" s="561">
        <v>0</v>
      </c>
      <c r="NA372" s="561">
        <v>0</v>
      </c>
      <c r="NB372" s="561">
        <v>25488.85</v>
      </c>
      <c r="NC372" s="561">
        <v>0</v>
      </c>
      <c r="ND372" s="561">
        <v>397681.2</v>
      </c>
      <c r="NE372" s="561">
        <v>0</v>
      </c>
      <c r="NF372" s="561">
        <v>0</v>
      </c>
      <c r="NG372" s="561">
        <v>0</v>
      </c>
      <c r="NH372" s="561">
        <v>0</v>
      </c>
      <c r="NI372" s="561">
        <v>0</v>
      </c>
      <c r="NJ372" s="561">
        <v>0</v>
      </c>
      <c r="NK372" s="561">
        <v>0</v>
      </c>
      <c r="NL372" s="561">
        <v>0</v>
      </c>
      <c r="NM372" s="561">
        <v>0</v>
      </c>
      <c r="NN372" s="561">
        <v>0</v>
      </c>
      <c r="NO372" s="561">
        <v>0</v>
      </c>
      <c r="NP372" s="561">
        <v>0</v>
      </c>
      <c r="NQ372" s="561">
        <v>0</v>
      </c>
      <c r="NR372" s="561">
        <v>0</v>
      </c>
      <c r="NS372" s="561">
        <v>0</v>
      </c>
      <c r="NT372" s="561">
        <v>-1518</v>
      </c>
      <c r="NU372" s="561">
        <v>0</v>
      </c>
      <c r="NV372" s="561">
        <v>0</v>
      </c>
      <c r="NW372" s="561">
        <v>-3255</v>
      </c>
      <c r="NX372" s="561">
        <v>0</v>
      </c>
      <c r="NY372" s="561">
        <v>-3255</v>
      </c>
      <c r="NZ372" s="561">
        <v>0</v>
      </c>
      <c r="OA372" s="561">
        <v>0</v>
      </c>
      <c r="OB372" s="561">
        <v>0</v>
      </c>
      <c r="OC372" s="561">
        <v>0</v>
      </c>
      <c r="OD372" s="561">
        <v>0</v>
      </c>
      <c r="OE372" s="561">
        <v>0</v>
      </c>
      <c r="OF372" s="561">
        <v>0</v>
      </c>
      <c r="OG372" s="561">
        <v>0</v>
      </c>
      <c r="OH372" s="561">
        <v>0</v>
      </c>
      <c r="OI372" s="561">
        <v>0</v>
      </c>
      <c r="OJ372" s="561">
        <v>0</v>
      </c>
      <c r="OK372" s="561">
        <v>0</v>
      </c>
      <c r="OL372" s="561">
        <v>0</v>
      </c>
      <c r="OM372" s="561">
        <v>0</v>
      </c>
      <c r="ON372" s="561">
        <v>0</v>
      </c>
      <c r="OO372" s="561">
        <v>0</v>
      </c>
      <c r="OP372" s="561">
        <v>0</v>
      </c>
      <c r="OQ372" s="561">
        <v>0</v>
      </c>
      <c r="OR372" s="561">
        <v>0</v>
      </c>
      <c r="OS372" s="561">
        <v>0</v>
      </c>
      <c r="OT372" s="561">
        <v>0</v>
      </c>
      <c r="OU372" s="561">
        <v>0</v>
      </c>
      <c r="OV372" s="561">
        <v>0</v>
      </c>
      <c r="OW372" s="561">
        <v>0</v>
      </c>
      <c r="OX372" s="561">
        <v>0</v>
      </c>
      <c r="OY372" s="561">
        <v>0</v>
      </c>
      <c r="OZ372" s="561">
        <v>0</v>
      </c>
      <c r="PA372" s="561">
        <v>0</v>
      </c>
      <c r="PB372" s="561">
        <v>0</v>
      </c>
      <c r="PC372" s="561">
        <v>0</v>
      </c>
      <c r="PD372" s="561">
        <v>0</v>
      </c>
      <c r="PE372" s="561">
        <v>0</v>
      </c>
      <c r="PF372" s="561">
        <v>0</v>
      </c>
      <c r="PG372" s="561">
        <v>0</v>
      </c>
      <c r="PH372" s="561">
        <v>0</v>
      </c>
      <c r="PI372" s="561">
        <v>0</v>
      </c>
      <c r="PJ372" s="561">
        <v>0</v>
      </c>
    </row>
    <row r="373" spans="1:426" ht="14" x14ac:dyDescent="0.3">
      <c r="A373" t="s">
        <v>3559</v>
      </c>
      <c r="B373" t="s">
        <v>3560</v>
      </c>
      <c r="C373" t="s">
        <v>3561</v>
      </c>
      <c r="E373" t="s">
        <v>384</v>
      </c>
      <c r="F373" s="561" t="s">
        <v>2453</v>
      </c>
      <c r="G373" s="561" t="s">
        <v>2453</v>
      </c>
      <c r="H373" s="561" t="s">
        <v>2453</v>
      </c>
      <c r="I373" s="561" t="s">
        <v>2453</v>
      </c>
      <c r="J373" s="561" t="s">
        <v>2453</v>
      </c>
      <c r="K373" s="561" t="s">
        <v>2453</v>
      </c>
      <c r="L373" s="561" t="s">
        <v>2453</v>
      </c>
      <c r="M373" s="561" t="s">
        <v>2453</v>
      </c>
      <c r="N373" s="561" t="s">
        <v>2453</v>
      </c>
      <c r="O373" s="561" t="s">
        <v>2453</v>
      </c>
      <c r="P373" s="561" t="s">
        <v>2453</v>
      </c>
      <c r="Q373" s="561" t="s">
        <v>2453</v>
      </c>
      <c r="R373" s="561" t="s">
        <v>2453</v>
      </c>
      <c r="S373" s="561" t="s">
        <v>2453</v>
      </c>
      <c r="T373" s="561" t="s">
        <v>2453</v>
      </c>
      <c r="U373" s="561" t="s">
        <v>2453</v>
      </c>
      <c r="V373" s="561" t="s">
        <v>2453</v>
      </c>
      <c r="W373" s="561" t="s">
        <v>2453</v>
      </c>
      <c r="X373" s="561" t="s">
        <v>2453</v>
      </c>
      <c r="Y373" s="561" t="s">
        <v>2453</v>
      </c>
      <c r="Z373" s="561" t="s">
        <v>2453</v>
      </c>
      <c r="AA373" s="561" t="s">
        <v>2453</v>
      </c>
      <c r="AB373" s="561" t="s">
        <v>2453</v>
      </c>
      <c r="AC373" s="561" t="s">
        <v>2453</v>
      </c>
      <c r="AD373" s="561" t="s">
        <v>2453</v>
      </c>
      <c r="AE373" s="561" t="s">
        <v>2453</v>
      </c>
      <c r="AF373" s="561" t="s">
        <v>2453</v>
      </c>
      <c r="AG373" s="561" t="s">
        <v>2453</v>
      </c>
      <c r="AH373" s="561" t="s">
        <v>2453</v>
      </c>
      <c r="AI373" s="561" t="s">
        <v>2453</v>
      </c>
      <c r="AJ373" s="561" t="s">
        <v>2453</v>
      </c>
      <c r="AK373" s="561" t="s">
        <v>2453</v>
      </c>
      <c r="AL373" s="561" t="s">
        <v>2453</v>
      </c>
      <c r="AM373" s="561" t="s">
        <v>2453</v>
      </c>
      <c r="AN373" s="561" t="s">
        <v>2453</v>
      </c>
      <c r="AO373" s="561" t="s">
        <v>2453</v>
      </c>
      <c r="AP373" s="561" t="s">
        <v>2453</v>
      </c>
      <c r="AQ373" s="561" t="s">
        <v>2453</v>
      </c>
      <c r="AR373" s="561" t="s">
        <v>2453</v>
      </c>
      <c r="AS373" s="561" t="s">
        <v>2453</v>
      </c>
      <c r="AT373" s="561" t="s">
        <v>2453</v>
      </c>
      <c r="AU373" s="561" t="s">
        <v>2453</v>
      </c>
      <c r="AV373" s="561" t="s">
        <v>2453</v>
      </c>
      <c r="AW373" s="561" t="s">
        <v>2453</v>
      </c>
      <c r="AX373" s="561" t="s">
        <v>2453</v>
      </c>
      <c r="AY373" s="561" t="s">
        <v>2453</v>
      </c>
      <c r="AZ373" s="561" t="s">
        <v>2453</v>
      </c>
      <c r="BA373" s="561" t="s">
        <v>2453</v>
      </c>
      <c r="BB373" s="561" t="s">
        <v>2453</v>
      </c>
      <c r="BC373" s="561" t="s">
        <v>2453</v>
      </c>
      <c r="BD373" s="561" t="s">
        <v>2453</v>
      </c>
      <c r="BE373" s="561" t="s">
        <v>2453</v>
      </c>
      <c r="BF373" s="561" t="s">
        <v>2453</v>
      </c>
      <c r="BG373" s="561" t="s">
        <v>2453</v>
      </c>
      <c r="BH373" s="561" t="s">
        <v>2453</v>
      </c>
      <c r="BI373" s="561" t="s">
        <v>2453</v>
      </c>
      <c r="BJ373" s="561" t="s">
        <v>2453</v>
      </c>
      <c r="BK373" s="561" t="s">
        <v>2453</v>
      </c>
      <c r="BL373" s="561" t="s">
        <v>2453</v>
      </c>
      <c r="BM373" s="561" t="s">
        <v>2453</v>
      </c>
      <c r="BN373" s="561" t="s">
        <v>2453</v>
      </c>
      <c r="BO373" s="561" t="s">
        <v>2453</v>
      </c>
      <c r="BP373" s="561" t="s">
        <v>2453</v>
      </c>
      <c r="BQ373" s="561" t="s">
        <v>2453</v>
      </c>
      <c r="BR373" s="561" t="s">
        <v>2453</v>
      </c>
      <c r="BS373" s="561" t="s">
        <v>2453</v>
      </c>
      <c r="BT373" s="561" t="s">
        <v>2453</v>
      </c>
      <c r="BU373" s="561" t="s">
        <v>2453</v>
      </c>
      <c r="BV373" s="561" t="s">
        <v>2453</v>
      </c>
      <c r="BW373" s="561" t="s">
        <v>2453</v>
      </c>
      <c r="BX373" s="561" t="s">
        <v>2453</v>
      </c>
      <c r="BY373" s="561" t="s">
        <v>2453</v>
      </c>
      <c r="BZ373" s="561" t="s">
        <v>2453</v>
      </c>
      <c r="CA373" s="561" t="s">
        <v>2453</v>
      </c>
      <c r="CB373" s="561" t="s">
        <v>2453</v>
      </c>
      <c r="CC373" s="561" t="s">
        <v>2453</v>
      </c>
      <c r="CD373" s="561" t="s">
        <v>2453</v>
      </c>
      <c r="CE373" s="561" t="s">
        <v>2453</v>
      </c>
      <c r="CF373" s="561" t="s">
        <v>2453</v>
      </c>
      <c r="CG373" s="561" t="s">
        <v>2453</v>
      </c>
      <c r="CH373" s="561" t="s">
        <v>2453</v>
      </c>
      <c r="CI373" s="561" t="s">
        <v>2453</v>
      </c>
      <c r="CJ373" s="561" t="s">
        <v>2453</v>
      </c>
      <c r="CK373" s="561" t="s">
        <v>2453</v>
      </c>
      <c r="CL373" s="561" t="s">
        <v>2453</v>
      </c>
      <c r="CM373" s="561" t="s">
        <v>2453</v>
      </c>
      <c r="CN373" s="561" t="s">
        <v>2453</v>
      </c>
      <c r="CO373" s="561" t="s">
        <v>2453</v>
      </c>
      <c r="CP373" s="561" t="s">
        <v>2453</v>
      </c>
      <c r="CQ373" s="561" t="s">
        <v>2453</v>
      </c>
      <c r="CR373" s="561" t="s">
        <v>2453</v>
      </c>
      <c r="CS373" s="561" t="s">
        <v>2453</v>
      </c>
      <c r="CT373" s="561" t="s">
        <v>2453</v>
      </c>
      <c r="CU373" s="561" t="s">
        <v>2453</v>
      </c>
      <c r="CV373" s="561" t="s">
        <v>2453</v>
      </c>
      <c r="CW373" s="561" t="s">
        <v>2453</v>
      </c>
      <c r="CX373" s="561" t="s">
        <v>2453</v>
      </c>
      <c r="CY373" s="561" t="s">
        <v>2453</v>
      </c>
      <c r="CZ373" s="561" t="s">
        <v>2453</v>
      </c>
      <c r="DA373" s="561" t="s">
        <v>2453</v>
      </c>
      <c r="DB373" s="561" t="s">
        <v>2453</v>
      </c>
      <c r="DC373" s="561" t="s">
        <v>2453</v>
      </c>
      <c r="DD373" s="561" t="s">
        <v>2453</v>
      </c>
      <c r="DE373" s="561" t="s">
        <v>2453</v>
      </c>
      <c r="DF373" s="561" t="s">
        <v>2453</v>
      </c>
      <c r="DG373" s="561" t="s">
        <v>2453</v>
      </c>
      <c r="DH373" s="561" t="s">
        <v>2453</v>
      </c>
      <c r="DI373" s="561" t="s">
        <v>2453</v>
      </c>
      <c r="DJ373" s="561" t="s">
        <v>2453</v>
      </c>
      <c r="DK373" s="561" t="s">
        <v>2453</v>
      </c>
      <c r="DL373" s="561" t="s">
        <v>2453</v>
      </c>
      <c r="DM373" s="561" t="s">
        <v>2453</v>
      </c>
      <c r="DN373" s="561" t="s">
        <v>2453</v>
      </c>
      <c r="DO373" s="561" t="s">
        <v>2453</v>
      </c>
      <c r="DP373" s="561" t="s">
        <v>2453</v>
      </c>
      <c r="DQ373" s="561" t="s">
        <v>2453</v>
      </c>
      <c r="DR373" s="561" t="s">
        <v>2453</v>
      </c>
      <c r="DS373" s="561" t="s">
        <v>2453</v>
      </c>
      <c r="DT373" s="561" t="s">
        <v>2453</v>
      </c>
      <c r="DU373" s="561" t="s">
        <v>2453</v>
      </c>
      <c r="DV373" s="561" t="s">
        <v>2453</v>
      </c>
      <c r="DW373" s="561" t="s">
        <v>2453</v>
      </c>
      <c r="DX373" s="561" t="s">
        <v>2453</v>
      </c>
      <c r="DY373" s="561" t="s">
        <v>2453</v>
      </c>
      <c r="DZ373" s="561" t="s">
        <v>2453</v>
      </c>
      <c r="EA373" s="561" t="s">
        <v>2453</v>
      </c>
      <c r="EB373" s="561" t="s">
        <v>2453</v>
      </c>
      <c r="EC373" s="561" t="s">
        <v>2453</v>
      </c>
      <c r="ED373" s="561" t="s">
        <v>2453</v>
      </c>
      <c r="EE373" s="561" t="s">
        <v>2453</v>
      </c>
      <c r="EF373" s="561" t="s">
        <v>2453</v>
      </c>
      <c r="EG373" s="561" t="s">
        <v>2453</v>
      </c>
      <c r="EH373" s="561" t="s">
        <v>2453</v>
      </c>
      <c r="EI373" s="561" t="s">
        <v>2453</v>
      </c>
      <c r="EJ373" s="561" t="s">
        <v>2453</v>
      </c>
      <c r="EK373" s="561" t="s">
        <v>2453</v>
      </c>
      <c r="EL373" s="561" t="s">
        <v>2453</v>
      </c>
      <c r="EM373" s="561" t="s">
        <v>2453</v>
      </c>
      <c r="EN373" s="561" t="s">
        <v>2453</v>
      </c>
      <c r="EO373" s="561" t="s">
        <v>2453</v>
      </c>
      <c r="EP373" s="561" t="s">
        <v>2453</v>
      </c>
      <c r="EQ373" s="561" t="s">
        <v>2453</v>
      </c>
      <c r="ER373" s="561" t="s">
        <v>2453</v>
      </c>
      <c r="ES373" s="561" t="s">
        <v>4565</v>
      </c>
      <c r="ET373" s="561" t="s">
        <v>2453</v>
      </c>
      <c r="EU373" s="561" t="s">
        <v>2453</v>
      </c>
      <c r="EV373" s="561" t="s">
        <v>2453</v>
      </c>
      <c r="EW373" s="561" t="s">
        <v>2453</v>
      </c>
      <c r="EX373" s="561" t="s">
        <v>2453</v>
      </c>
      <c r="EY373" s="561" t="s">
        <v>2453</v>
      </c>
      <c r="EZ373" s="561" t="s">
        <v>2453</v>
      </c>
      <c r="FA373" s="561" t="s">
        <v>2453</v>
      </c>
      <c r="FB373" s="561" t="s">
        <v>2453</v>
      </c>
      <c r="FC373" s="561" t="s">
        <v>2453</v>
      </c>
      <c r="FD373" s="561" t="s">
        <v>2453</v>
      </c>
      <c r="FE373" s="561" t="s">
        <v>2453</v>
      </c>
      <c r="FF373" s="561" t="s">
        <v>2453</v>
      </c>
      <c r="FG373" s="561" t="s">
        <v>2453</v>
      </c>
      <c r="FH373" s="561" t="s">
        <v>2453</v>
      </c>
      <c r="FI373" s="561" t="s">
        <v>2453</v>
      </c>
      <c r="FJ373" s="561" t="s">
        <v>2453</v>
      </c>
      <c r="FK373" s="561" t="s">
        <v>2453</v>
      </c>
      <c r="FL373" s="561" t="s">
        <v>2453</v>
      </c>
      <c r="FM373" s="561" t="s">
        <v>2453</v>
      </c>
      <c r="FN373" s="561" t="s">
        <v>2453</v>
      </c>
      <c r="FO373" s="561" t="s">
        <v>2453</v>
      </c>
      <c r="FP373" s="561" t="s">
        <v>2453</v>
      </c>
      <c r="FQ373" s="561" t="s">
        <v>2453</v>
      </c>
      <c r="FR373" s="561" t="s">
        <v>2453</v>
      </c>
      <c r="FS373" s="561" t="s">
        <v>2453</v>
      </c>
      <c r="FT373" s="561" t="s">
        <v>2453</v>
      </c>
      <c r="FU373" s="561" t="s">
        <v>2453</v>
      </c>
      <c r="FV373" s="561" t="s">
        <v>2453</v>
      </c>
      <c r="FW373" s="561" t="s">
        <v>2453</v>
      </c>
      <c r="FX373" s="561" t="s">
        <v>2453</v>
      </c>
      <c r="FY373" s="561" t="s">
        <v>2453</v>
      </c>
      <c r="FZ373" s="561" t="s">
        <v>2453</v>
      </c>
      <c r="GA373" s="561" t="s">
        <v>2453</v>
      </c>
      <c r="GB373" s="561" t="s">
        <v>2453</v>
      </c>
      <c r="GC373" s="561" t="s">
        <v>2453</v>
      </c>
      <c r="GD373" s="561" t="s">
        <v>2453</v>
      </c>
      <c r="GE373" s="561" t="s">
        <v>2453</v>
      </c>
      <c r="GF373" s="561" t="s">
        <v>2453</v>
      </c>
      <c r="GG373" s="561" t="s">
        <v>2453</v>
      </c>
      <c r="GH373" s="561" t="s">
        <v>2453</v>
      </c>
      <c r="GI373" s="561" t="s">
        <v>2453</v>
      </c>
      <c r="GJ373" s="561" t="s">
        <v>2453</v>
      </c>
      <c r="GK373" s="561" t="s">
        <v>2453</v>
      </c>
      <c r="GL373" s="561" t="s">
        <v>2453</v>
      </c>
      <c r="GM373" s="561" t="s">
        <v>2453</v>
      </c>
      <c r="GN373" s="561" t="s">
        <v>2453</v>
      </c>
      <c r="GO373" s="561" t="s">
        <v>2453</v>
      </c>
      <c r="GP373" s="561" t="s">
        <v>2453</v>
      </c>
      <c r="GQ373" s="561" t="s">
        <v>2453</v>
      </c>
      <c r="GR373" s="561" t="s">
        <v>2453</v>
      </c>
      <c r="GS373" s="561" t="s">
        <v>2453</v>
      </c>
      <c r="GT373" s="561" t="s">
        <v>2453</v>
      </c>
      <c r="GU373" s="561" t="s">
        <v>2453</v>
      </c>
      <c r="GV373" s="561" t="s">
        <v>2453</v>
      </c>
      <c r="GW373" s="561" t="s">
        <v>2453</v>
      </c>
      <c r="GX373" s="561" t="s">
        <v>2453</v>
      </c>
      <c r="GY373" s="561" t="s">
        <v>2453</v>
      </c>
      <c r="GZ373" s="561" t="s">
        <v>2453</v>
      </c>
      <c r="HA373" s="561" t="s">
        <v>2453</v>
      </c>
      <c r="HB373" s="561" t="s">
        <v>2453</v>
      </c>
      <c r="HC373" s="561" t="s">
        <v>2453</v>
      </c>
      <c r="HD373" s="561" t="s">
        <v>2453</v>
      </c>
      <c r="HE373" s="561" t="s">
        <v>2453</v>
      </c>
      <c r="HF373" s="561" t="s">
        <v>2453</v>
      </c>
      <c r="HG373" s="561" t="s">
        <v>2453</v>
      </c>
      <c r="HH373" s="561" t="s">
        <v>2453</v>
      </c>
      <c r="HI373" s="561" t="s">
        <v>2453</v>
      </c>
      <c r="HJ373" s="561" t="s">
        <v>2453</v>
      </c>
      <c r="HK373" s="561" t="s">
        <v>2453</v>
      </c>
      <c r="HL373" s="561" t="s">
        <v>2453</v>
      </c>
      <c r="HM373" s="561" t="s">
        <v>2453</v>
      </c>
      <c r="HN373" s="561" t="s">
        <v>2453</v>
      </c>
      <c r="HO373" s="561" t="s">
        <v>2453</v>
      </c>
      <c r="HP373" s="561" t="s">
        <v>2453</v>
      </c>
      <c r="HQ373" s="561" t="s">
        <v>2453</v>
      </c>
      <c r="HR373" s="561" t="s">
        <v>2453</v>
      </c>
      <c r="HS373" s="561" t="s">
        <v>2453</v>
      </c>
      <c r="HT373" s="561" t="s">
        <v>2453</v>
      </c>
      <c r="HU373" s="561" t="s">
        <v>2453</v>
      </c>
      <c r="HV373" s="561" t="s">
        <v>2453</v>
      </c>
      <c r="HW373" s="561" t="s">
        <v>2453</v>
      </c>
      <c r="HX373" s="561" t="s">
        <v>2453</v>
      </c>
      <c r="HY373" s="561" t="s">
        <v>2453</v>
      </c>
      <c r="HZ373" s="561" t="s">
        <v>2453</v>
      </c>
      <c r="IA373" s="561" t="s">
        <v>2453</v>
      </c>
      <c r="IB373" s="561" t="s">
        <v>2453</v>
      </c>
      <c r="IC373" s="561" t="s">
        <v>2453</v>
      </c>
      <c r="ID373" s="561" t="s">
        <v>2453</v>
      </c>
      <c r="IE373" s="561" t="s">
        <v>2453</v>
      </c>
      <c r="IF373" s="561" t="s">
        <v>2453</v>
      </c>
      <c r="IG373" s="561" t="s">
        <v>2453</v>
      </c>
      <c r="IH373" s="561" t="s">
        <v>2453</v>
      </c>
      <c r="II373" s="561" t="s">
        <v>2453</v>
      </c>
      <c r="IJ373" s="561" t="s">
        <v>2453</v>
      </c>
      <c r="IK373" s="561" t="s">
        <v>2453</v>
      </c>
      <c r="IL373" s="561" t="s">
        <v>2453</v>
      </c>
      <c r="IM373" s="561" t="s">
        <v>2453</v>
      </c>
      <c r="IN373" s="561" t="s">
        <v>2453</v>
      </c>
      <c r="IO373" s="561" t="s">
        <v>2453</v>
      </c>
      <c r="IP373" s="561" t="s">
        <v>2453</v>
      </c>
      <c r="IQ373" s="561" t="s">
        <v>2453</v>
      </c>
      <c r="IR373" s="561" t="s">
        <v>2453</v>
      </c>
      <c r="IS373" s="561" t="s">
        <v>2453</v>
      </c>
      <c r="IT373" s="561" t="s">
        <v>2453</v>
      </c>
      <c r="IU373" s="561" t="s">
        <v>2453</v>
      </c>
      <c r="IV373" s="561" t="s">
        <v>2453</v>
      </c>
      <c r="IW373" s="561" t="s">
        <v>2453</v>
      </c>
      <c r="IX373" s="561" t="s">
        <v>2453</v>
      </c>
      <c r="IY373" s="561" t="s">
        <v>2453</v>
      </c>
      <c r="IZ373" s="561" t="s">
        <v>2453</v>
      </c>
      <c r="JA373" s="561" t="s">
        <v>2453</v>
      </c>
      <c r="JB373" s="561" t="s">
        <v>2453</v>
      </c>
      <c r="JC373" s="561" t="s">
        <v>2453</v>
      </c>
      <c r="JD373" s="561" t="s">
        <v>2453</v>
      </c>
      <c r="JE373" s="561" t="s">
        <v>2453</v>
      </c>
      <c r="JF373" s="561" t="s">
        <v>2453</v>
      </c>
      <c r="JG373" s="561" t="s">
        <v>2453</v>
      </c>
      <c r="JH373" s="561" t="s">
        <v>2453</v>
      </c>
      <c r="JI373" s="561" t="s">
        <v>2453</v>
      </c>
      <c r="JJ373" s="561" t="s">
        <v>2453</v>
      </c>
      <c r="JK373" s="561" t="s">
        <v>2453</v>
      </c>
      <c r="JL373" s="561" t="s">
        <v>2453</v>
      </c>
      <c r="JM373" s="561" t="s">
        <v>2453</v>
      </c>
      <c r="JN373" s="561" t="s">
        <v>2453</v>
      </c>
      <c r="JO373" s="561" t="s">
        <v>2453</v>
      </c>
      <c r="JP373" s="561" t="s">
        <v>2453</v>
      </c>
      <c r="JQ373" s="561" t="s">
        <v>2453</v>
      </c>
      <c r="JR373" s="561" t="s">
        <v>2453</v>
      </c>
      <c r="JS373" s="561" t="s">
        <v>2453</v>
      </c>
      <c r="JT373" s="561" t="s">
        <v>2453</v>
      </c>
      <c r="JU373" s="561" t="s">
        <v>2453</v>
      </c>
      <c r="JV373" s="561" t="s">
        <v>2453</v>
      </c>
      <c r="JW373" s="561" t="s">
        <v>2453</v>
      </c>
      <c r="JX373" s="561" t="s">
        <v>2453</v>
      </c>
      <c r="JY373" s="561" t="s">
        <v>2453</v>
      </c>
      <c r="JZ373" s="561" t="s">
        <v>2453</v>
      </c>
      <c r="KA373" s="561" t="s">
        <v>2453</v>
      </c>
      <c r="KB373" s="561" t="s">
        <v>2453</v>
      </c>
      <c r="KC373" s="561" t="s">
        <v>2453</v>
      </c>
      <c r="KD373" s="561" t="s">
        <v>2453</v>
      </c>
      <c r="KE373" s="561" t="s">
        <v>2453</v>
      </c>
      <c r="KF373" s="561" t="s">
        <v>2453</v>
      </c>
      <c r="KG373" s="561" t="s">
        <v>2453</v>
      </c>
      <c r="KH373" s="561" t="s">
        <v>2453</v>
      </c>
      <c r="KI373" s="561" t="s">
        <v>2453</v>
      </c>
      <c r="KJ373" s="561" t="s">
        <v>2453</v>
      </c>
      <c r="KK373" s="561" t="s">
        <v>2453</v>
      </c>
      <c r="KL373" s="561" t="s">
        <v>2453</v>
      </c>
      <c r="KM373" s="561" t="s">
        <v>2453</v>
      </c>
      <c r="KN373" s="561" t="s">
        <v>2453</v>
      </c>
      <c r="KO373" s="561" t="s">
        <v>2453</v>
      </c>
      <c r="KP373" s="561" t="s">
        <v>2453</v>
      </c>
      <c r="KQ373" s="561" t="s">
        <v>2453</v>
      </c>
      <c r="KR373" s="561" t="s">
        <v>2453</v>
      </c>
      <c r="KS373" s="561" t="s">
        <v>2453</v>
      </c>
      <c r="KT373" s="561" t="s">
        <v>2453</v>
      </c>
      <c r="KU373" s="561" t="s">
        <v>2453</v>
      </c>
      <c r="KV373" s="561" t="s">
        <v>2453</v>
      </c>
      <c r="KW373" s="561" t="s">
        <v>2453</v>
      </c>
      <c r="KX373" s="561" t="s">
        <v>2453</v>
      </c>
      <c r="KY373" s="561" t="s">
        <v>2453</v>
      </c>
      <c r="KZ373" s="561" t="s">
        <v>2453</v>
      </c>
      <c r="LA373" s="561" t="s">
        <v>2453</v>
      </c>
      <c r="LB373" s="561" t="s">
        <v>2453</v>
      </c>
      <c r="LC373" s="561" t="s">
        <v>2453</v>
      </c>
      <c r="LD373" s="561" t="s">
        <v>2453</v>
      </c>
      <c r="LE373" s="561" t="s">
        <v>2453</v>
      </c>
      <c r="LF373" s="561" t="s">
        <v>2453</v>
      </c>
      <c r="LG373" s="561" t="s">
        <v>2453</v>
      </c>
      <c r="LH373" s="561" t="s">
        <v>2453</v>
      </c>
      <c r="LI373" s="561" t="s">
        <v>2453</v>
      </c>
      <c r="LJ373" s="561" t="s">
        <v>2453</v>
      </c>
      <c r="LK373" s="561" t="s">
        <v>2453</v>
      </c>
      <c r="LL373" s="561" t="s">
        <v>2453</v>
      </c>
      <c r="LM373" s="561" t="s">
        <v>2453</v>
      </c>
      <c r="LN373" s="561" t="s">
        <v>2453</v>
      </c>
      <c r="LO373" s="561" t="s">
        <v>2453</v>
      </c>
      <c r="LP373" s="561" t="s">
        <v>2453</v>
      </c>
      <c r="LQ373" s="561" t="s">
        <v>2453</v>
      </c>
      <c r="LR373" s="561" t="s">
        <v>2453</v>
      </c>
      <c r="LS373" s="561" t="s">
        <v>2453</v>
      </c>
      <c r="LT373" s="561" t="s">
        <v>2453</v>
      </c>
      <c r="LU373" s="561" t="s">
        <v>2453</v>
      </c>
      <c r="LV373" s="561" t="s">
        <v>2453</v>
      </c>
      <c r="LW373" s="561" t="s">
        <v>2453</v>
      </c>
      <c r="LX373" s="561" t="s">
        <v>2453</v>
      </c>
      <c r="LY373" s="561" t="s">
        <v>2453</v>
      </c>
      <c r="LZ373" s="561" t="s">
        <v>2453</v>
      </c>
      <c r="MA373" s="561" t="s">
        <v>2453</v>
      </c>
      <c r="MB373" s="561" t="s">
        <v>2453</v>
      </c>
      <c r="MC373" s="561" t="s">
        <v>2453</v>
      </c>
      <c r="MD373" s="561" t="s">
        <v>2453</v>
      </c>
      <c r="ME373" s="561" t="s">
        <v>2453</v>
      </c>
      <c r="MF373" s="561" t="s">
        <v>2453</v>
      </c>
      <c r="MG373" s="561" t="s">
        <v>2453</v>
      </c>
      <c r="MH373" s="561" t="s">
        <v>2453</v>
      </c>
      <c r="MI373" s="561" t="s">
        <v>2453</v>
      </c>
      <c r="MJ373" s="561" t="s">
        <v>2453</v>
      </c>
      <c r="MK373" s="561" t="s">
        <v>2453</v>
      </c>
      <c r="ML373" s="561" t="s">
        <v>2453</v>
      </c>
      <c r="MM373" s="561" t="s">
        <v>2453</v>
      </c>
      <c r="MN373" s="561" t="s">
        <v>2453</v>
      </c>
      <c r="MO373" s="561" t="s">
        <v>2453</v>
      </c>
      <c r="MP373" s="561" t="s">
        <v>2453</v>
      </c>
      <c r="MQ373" s="561" t="s">
        <v>2453</v>
      </c>
      <c r="MR373" s="561" t="s">
        <v>2453</v>
      </c>
      <c r="MS373" s="561" t="s">
        <v>2453</v>
      </c>
      <c r="MT373" s="561" t="s">
        <v>2453</v>
      </c>
      <c r="MU373" s="561" t="s">
        <v>2453</v>
      </c>
      <c r="MV373" s="561" t="s">
        <v>2453</v>
      </c>
      <c r="MW373" s="561" t="s">
        <v>2453</v>
      </c>
      <c r="MX373" s="561" t="s">
        <v>2453</v>
      </c>
      <c r="MY373" s="561" t="s">
        <v>2453</v>
      </c>
      <c r="MZ373" s="561" t="s">
        <v>2453</v>
      </c>
      <c r="NA373" s="561" t="s">
        <v>2453</v>
      </c>
      <c r="NB373" s="561" t="s">
        <v>2453</v>
      </c>
      <c r="NC373" s="561" t="s">
        <v>2453</v>
      </c>
      <c r="ND373" s="561" t="s">
        <v>2453</v>
      </c>
      <c r="NE373" s="561" t="s">
        <v>2453</v>
      </c>
      <c r="NF373" s="561" t="s">
        <v>2453</v>
      </c>
      <c r="NG373" s="561" t="s">
        <v>2453</v>
      </c>
      <c r="NH373" s="561" t="s">
        <v>2453</v>
      </c>
      <c r="NI373" s="561" t="s">
        <v>2453</v>
      </c>
      <c r="NJ373" s="561" t="s">
        <v>2453</v>
      </c>
      <c r="NK373" s="561" t="s">
        <v>2453</v>
      </c>
      <c r="NL373" s="561" t="s">
        <v>2453</v>
      </c>
      <c r="NM373" s="561" t="s">
        <v>2453</v>
      </c>
      <c r="NN373" s="561" t="s">
        <v>2453</v>
      </c>
      <c r="NO373" s="561" t="s">
        <v>2453</v>
      </c>
      <c r="NP373" s="561" t="s">
        <v>2453</v>
      </c>
      <c r="NQ373" s="561" t="s">
        <v>2453</v>
      </c>
      <c r="NR373" s="561" t="s">
        <v>2453</v>
      </c>
      <c r="NS373" s="561" t="s">
        <v>2453</v>
      </c>
      <c r="NT373" s="561" t="s">
        <v>2453</v>
      </c>
      <c r="NU373" s="561">
        <v>0</v>
      </c>
      <c r="NV373" s="561" t="s">
        <v>2453</v>
      </c>
      <c r="NW373" s="561" t="s">
        <v>2453</v>
      </c>
      <c r="NX373" s="561" t="s">
        <v>2453</v>
      </c>
      <c r="NY373" s="561" t="s">
        <v>2453</v>
      </c>
      <c r="NZ373" s="561" t="s">
        <v>2453</v>
      </c>
      <c r="OA373" s="561" t="s">
        <v>2453</v>
      </c>
      <c r="OB373" s="561" t="s">
        <v>2453</v>
      </c>
      <c r="OC373" s="561" t="s">
        <v>2453</v>
      </c>
      <c r="OD373" s="561" t="s">
        <v>2453</v>
      </c>
      <c r="OE373" s="561" t="s">
        <v>2453</v>
      </c>
      <c r="OF373" s="561" t="s">
        <v>2453</v>
      </c>
      <c r="OG373" s="561" t="s">
        <v>2453</v>
      </c>
      <c r="OH373" s="561" t="s">
        <v>2453</v>
      </c>
      <c r="OI373" s="561" t="s">
        <v>2453</v>
      </c>
      <c r="OJ373" s="561" t="s">
        <v>2453</v>
      </c>
      <c r="OK373" s="561" t="s">
        <v>2453</v>
      </c>
      <c r="OL373" s="561" t="s">
        <v>2453</v>
      </c>
      <c r="OM373" s="561" t="s">
        <v>2453</v>
      </c>
      <c r="ON373" s="561" t="s">
        <v>2453</v>
      </c>
      <c r="OO373" s="561" t="s">
        <v>2453</v>
      </c>
      <c r="OP373" s="561" t="s">
        <v>2453</v>
      </c>
      <c r="OQ373" s="561" t="s">
        <v>2453</v>
      </c>
      <c r="OR373" s="561" t="s">
        <v>2453</v>
      </c>
      <c r="OS373" s="561" t="s">
        <v>2453</v>
      </c>
      <c r="OT373" s="561" t="s">
        <v>2453</v>
      </c>
      <c r="OU373" s="561" t="s">
        <v>2453</v>
      </c>
      <c r="OV373" s="561">
        <v>0</v>
      </c>
      <c r="OW373" s="561" t="s">
        <v>2453</v>
      </c>
      <c r="OX373" s="561" t="s">
        <v>2453</v>
      </c>
      <c r="OY373" s="561" t="s">
        <v>2453</v>
      </c>
      <c r="OZ373" s="561" t="s">
        <v>2453</v>
      </c>
      <c r="PA373" s="561" t="s">
        <v>2453</v>
      </c>
      <c r="PB373" s="561" t="s">
        <v>2453</v>
      </c>
      <c r="PC373" s="561" t="s">
        <v>2453</v>
      </c>
      <c r="PD373" s="561" t="s">
        <v>2453</v>
      </c>
      <c r="PE373" s="561" t="s">
        <v>2453</v>
      </c>
      <c r="PF373" s="561" t="s">
        <v>2453</v>
      </c>
      <c r="PG373" s="561" t="s">
        <v>2453</v>
      </c>
      <c r="PH373" s="561" t="s">
        <v>2453</v>
      </c>
      <c r="PI373" s="561" t="s">
        <v>2453</v>
      </c>
      <c r="PJ373" s="561" t="s">
        <v>2453</v>
      </c>
    </row>
    <row r="374" spans="1:426" ht="14" x14ac:dyDescent="0.3">
      <c r="A374" t="s">
        <v>3562</v>
      </c>
      <c r="B374" t="s">
        <v>3563</v>
      </c>
      <c r="C374" t="s">
        <v>4679</v>
      </c>
      <c r="E374" t="s">
        <v>2595</v>
      </c>
      <c r="F374" s="561">
        <v>68435</v>
      </c>
      <c r="G374" s="561">
        <v>172951</v>
      </c>
      <c r="H374" s="561">
        <v>37562</v>
      </c>
      <c r="I374" s="561">
        <v>79148</v>
      </c>
      <c r="J374" s="561">
        <v>15695</v>
      </c>
      <c r="K374" s="561">
        <v>66330</v>
      </c>
      <c r="L374" s="561">
        <v>440121</v>
      </c>
      <c r="M374" s="561">
        <v>5335</v>
      </c>
      <c r="N374" s="561">
        <v>509</v>
      </c>
      <c r="O374" s="561">
        <v>1210</v>
      </c>
      <c r="P374" s="561">
        <v>0</v>
      </c>
      <c r="Q374" s="561">
        <v>2269</v>
      </c>
      <c r="R374" s="561">
        <v>796</v>
      </c>
      <c r="S374" s="561">
        <v>1149</v>
      </c>
      <c r="T374" s="561">
        <v>9995</v>
      </c>
      <c r="U374" s="561">
        <v>2225</v>
      </c>
      <c r="V374" s="561">
        <v>4140</v>
      </c>
      <c r="W374" s="561">
        <v>0</v>
      </c>
      <c r="X374" s="561">
        <v>0</v>
      </c>
      <c r="Y374" s="561">
        <v>964</v>
      </c>
      <c r="Z374" s="561">
        <v>422</v>
      </c>
      <c r="AA374" s="561">
        <v>-1791</v>
      </c>
      <c r="AB374" s="561">
        <v>94</v>
      </c>
      <c r="AC374" s="561">
        <v>5309</v>
      </c>
      <c r="AD374" s="561">
        <v>0</v>
      </c>
      <c r="AE374" s="561">
        <v>9992</v>
      </c>
      <c r="AF374" s="561">
        <v>0</v>
      </c>
      <c r="AG374" s="561">
        <v>0</v>
      </c>
      <c r="AH374" s="561">
        <v>11</v>
      </c>
      <c r="AI374" s="561">
        <v>0</v>
      </c>
      <c r="AJ374" s="561">
        <v>37294</v>
      </c>
      <c r="AK374" s="561">
        <v>5855</v>
      </c>
      <c r="AL374" s="561">
        <v>0</v>
      </c>
      <c r="AM374" s="561">
        <v>0</v>
      </c>
      <c r="AN374" s="561">
        <v>0</v>
      </c>
      <c r="AO374" s="561">
        <v>0</v>
      </c>
      <c r="AP374" s="561">
        <v>0</v>
      </c>
      <c r="AQ374" s="561">
        <v>0</v>
      </c>
      <c r="AR374" s="561">
        <v>0</v>
      </c>
      <c r="AS374" s="561">
        <v>0</v>
      </c>
      <c r="AT374" s="561">
        <v>0</v>
      </c>
      <c r="AU374" s="561">
        <v>0</v>
      </c>
      <c r="AV374" s="561">
        <v>0</v>
      </c>
      <c r="AW374" s="561">
        <v>0</v>
      </c>
      <c r="AX374" s="561">
        <v>5408</v>
      </c>
      <c r="AY374" s="561">
        <v>72640</v>
      </c>
      <c r="AZ374" s="561">
        <v>0</v>
      </c>
      <c r="BA374" s="561">
        <v>18087</v>
      </c>
      <c r="BB374" s="561">
        <v>2922</v>
      </c>
      <c r="BC374" s="561">
        <v>41543</v>
      </c>
      <c r="BD374" s="561">
        <v>7599</v>
      </c>
      <c r="BE374" s="561">
        <v>1951</v>
      </c>
      <c r="BF374" s="561">
        <v>150150</v>
      </c>
      <c r="BG374" s="561">
        <v>1497</v>
      </c>
      <c r="BH374" s="561">
        <v>13902</v>
      </c>
      <c r="BI374" s="561">
        <v>43466</v>
      </c>
      <c r="BJ374" s="561">
        <v>1061</v>
      </c>
      <c r="BK374" s="561">
        <v>577</v>
      </c>
      <c r="BL374" s="561">
        <v>2341</v>
      </c>
      <c r="BM374" s="561">
        <v>19481</v>
      </c>
      <c r="BN374" s="561">
        <v>66168</v>
      </c>
      <c r="BO374" s="561">
        <v>10652</v>
      </c>
      <c r="BP374" s="561">
        <v>13407</v>
      </c>
      <c r="BQ374" s="561">
        <v>6505</v>
      </c>
      <c r="BR374" s="561">
        <v>103</v>
      </c>
      <c r="BS374" s="561">
        <v>0</v>
      </c>
      <c r="BT374" s="561">
        <v>1764</v>
      </c>
      <c r="BU374" s="561">
        <v>761</v>
      </c>
      <c r="BV374" s="561">
        <v>566</v>
      </c>
      <c r="BW374" s="561">
        <v>41375</v>
      </c>
      <c r="BX374" s="561">
        <v>1131</v>
      </c>
      <c r="BY374" s="561">
        <v>11372</v>
      </c>
      <c r="BZ374" s="561">
        <v>234632</v>
      </c>
      <c r="CA374" s="561">
        <v>1683</v>
      </c>
      <c r="CB374" s="561">
        <v>3213</v>
      </c>
      <c r="CC374" s="561">
        <v>1546</v>
      </c>
      <c r="CD374" s="561">
        <v>578</v>
      </c>
      <c r="CE374" s="561">
        <v>358</v>
      </c>
      <c r="CF374" s="561">
        <v>175</v>
      </c>
      <c r="CG374" s="561">
        <v>52</v>
      </c>
      <c r="CH374" s="561">
        <v>493</v>
      </c>
      <c r="CI374" s="561">
        <v>395</v>
      </c>
      <c r="CJ374" s="561">
        <v>77</v>
      </c>
      <c r="CK374" s="561">
        <v>211</v>
      </c>
      <c r="CL374" s="561">
        <v>77</v>
      </c>
      <c r="CM374" s="561">
        <v>1908</v>
      </c>
      <c r="CN374" s="561">
        <v>2429</v>
      </c>
      <c r="CO374" s="561">
        <v>278</v>
      </c>
      <c r="CP374" s="561">
        <v>555</v>
      </c>
      <c r="CQ374" s="561">
        <v>492</v>
      </c>
      <c r="CR374" s="561">
        <v>1204</v>
      </c>
      <c r="CS374" s="561">
        <v>41</v>
      </c>
      <c r="CT374" s="561">
        <v>2841</v>
      </c>
      <c r="CU374" s="561">
        <v>7462</v>
      </c>
      <c r="CV374" s="561">
        <v>29</v>
      </c>
      <c r="CW374" s="561">
        <v>0</v>
      </c>
      <c r="CX374" s="561">
        <v>885</v>
      </c>
      <c r="CY374" s="561">
        <v>3027</v>
      </c>
      <c r="CZ374" s="561">
        <v>28326</v>
      </c>
      <c r="DA374" s="561">
        <v>0</v>
      </c>
      <c r="DB374" s="561">
        <v>0</v>
      </c>
      <c r="DC374" s="561">
        <v>0</v>
      </c>
      <c r="DD374" s="561">
        <v>0</v>
      </c>
      <c r="DE374" s="561">
        <v>0</v>
      </c>
      <c r="DF374" s="561">
        <v>0</v>
      </c>
      <c r="DG374" s="561">
        <v>0</v>
      </c>
      <c r="DH374" s="561">
        <v>0</v>
      </c>
      <c r="DI374" s="561">
        <v>0</v>
      </c>
      <c r="DJ374" s="561">
        <v>0</v>
      </c>
      <c r="DK374" s="561">
        <v>0</v>
      </c>
      <c r="DL374" s="561">
        <v>0</v>
      </c>
      <c r="DM374" s="561">
        <v>0</v>
      </c>
      <c r="DN374" s="561">
        <v>0</v>
      </c>
      <c r="DO374" s="561">
        <v>0</v>
      </c>
      <c r="DP374" s="561">
        <v>0</v>
      </c>
      <c r="DQ374" s="561">
        <v>0</v>
      </c>
      <c r="DR374" s="561">
        <v>0</v>
      </c>
      <c r="DS374" s="561">
        <v>0</v>
      </c>
      <c r="DT374" s="561">
        <v>0</v>
      </c>
      <c r="DU374" s="561">
        <v>0</v>
      </c>
      <c r="DV374" s="561">
        <v>0</v>
      </c>
      <c r="DW374" s="561">
        <v>0</v>
      </c>
      <c r="DX374" s="561">
        <v>0</v>
      </c>
      <c r="DY374" s="561">
        <v>0</v>
      </c>
      <c r="DZ374" s="561">
        <v>286</v>
      </c>
      <c r="EA374" s="561">
        <v>4448</v>
      </c>
      <c r="EB374" s="561">
        <v>0</v>
      </c>
      <c r="EC374" s="561">
        <v>4734</v>
      </c>
      <c r="ED374" s="561">
        <v>0</v>
      </c>
      <c r="EE374" s="561">
        <v>0</v>
      </c>
      <c r="EF374" s="561">
        <v>0</v>
      </c>
      <c r="EG374" s="561">
        <v>0</v>
      </c>
      <c r="EH374" s="561">
        <v>0</v>
      </c>
      <c r="EI374" s="561">
        <v>0</v>
      </c>
      <c r="EJ374" s="561">
        <v>0</v>
      </c>
      <c r="EK374" s="561">
        <v>0</v>
      </c>
      <c r="EL374" s="561">
        <v>0</v>
      </c>
      <c r="EM374" s="561">
        <v>0</v>
      </c>
      <c r="EN374" s="561">
        <v>0</v>
      </c>
      <c r="EO374" s="561">
        <v>0</v>
      </c>
      <c r="EP374" s="561">
        <v>0</v>
      </c>
      <c r="EQ374" s="561">
        <v>0</v>
      </c>
      <c r="ER374" s="561">
        <v>0</v>
      </c>
      <c r="ES374" s="561" t="s">
        <v>4565</v>
      </c>
      <c r="ET374" s="561">
        <v>0</v>
      </c>
      <c r="EU374" s="561">
        <v>0</v>
      </c>
      <c r="EV374" s="561">
        <v>0</v>
      </c>
      <c r="EW374" s="561">
        <v>0</v>
      </c>
      <c r="EX374" s="561">
        <v>0</v>
      </c>
      <c r="EY374" s="561">
        <v>0</v>
      </c>
      <c r="EZ374" s="561">
        <v>0</v>
      </c>
      <c r="FA374" s="561">
        <v>0</v>
      </c>
      <c r="FB374" s="561">
        <v>845</v>
      </c>
      <c r="FC374" s="561">
        <v>56</v>
      </c>
      <c r="FD374" s="561">
        <v>481</v>
      </c>
      <c r="FE374" s="561">
        <v>148</v>
      </c>
      <c r="FF374" s="561">
        <v>0</v>
      </c>
      <c r="FG374" s="561">
        <v>0</v>
      </c>
      <c r="FH374" s="561">
        <v>0</v>
      </c>
      <c r="FI374" s="561">
        <v>0</v>
      </c>
      <c r="FJ374" s="561">
        <v>0</v>
      </c>
      <c r="FK374" s="561">
        <v>841</v>
      </c>
      <c r="FL374" s="561">
        <v>0</v>
      </c>
      <c r="FM374" s="561">
        <v>266</v>
      </c>
      <c r="FN374" s="561">
        <v>7080</v>
      </c>
      <c r="FO374" s="561">
        <v>9717</v>
      </c>
      <c r="FP374" s="561">
        <v>42</v>
      </c>
      <c r="FQ374" s="561">
        <v>0</v>
      </c>
      <c r="FR374" s="561">
        <v>1343</v>
      </c>
      <c r="FS374" s="561">
        <v>0</v>
      </c>
      <c r="FT374" s="561">
        <v>0</v>
      </c>
      <c r="FU374" s="561">
        <v>0</v>
      </c>
      <c r="FV374" s="561">
        <v>0</v>
      </c>
      <c r="FW374" s="561">
        <v>0</v>
      </c>
      <c r="FX374" s="561">
        <v>0</v>
      </c>
      <c r="FY374" s="561">
        <v>0</v>
      </c>
      <c r="FZ374" s="561">
        <v>0</v>
      </c>
      <c r="GA374" s="561">
        <v>0</v>
      </c>
      <c r="GB374" s="561">
        <v>0</v>
      </c>
      <c r="GC374" s="561">
        <v>0</v>
      </c>
      <c r="GD374" s="561">
        <v>542</v>
      </c>
      <c r="GE374" s="561">
        <v>0</v>
      </c>
      <c r="GF374" s="561">
        <v>0</v>
      </c>
      <c r="GG374" s="561">
        <v>397</v>
      </c>
      <c r="GH374" s="561">
        <v>365</v>
      </c>
      <c r="GI374" s="561">
        <v>0</v>
      </c>
      <c r="GJ374" s="561">
        <v>0</v>
      </c>
      <c r="GK374" s="561">
        <v>-821</v>
      </c>
      <c r="GL374" s="561">
        <v>346</v>
      </c>
      <c r="GM374" s="561">
        <v>0</v>
      </c>
      <c r="GN374" s="561">
        <v>17543</v>
      </c>
      <c r="GO374" s="561">
        <v>-631</v>
      </c>
      <c r="GP374" s="561">
        <v>5791</v>
      </c>
      <c r="GQ374" s="561">
        <v>50</v>
      </c>
      <c r="GR374" s="561">
        <v>0</v>
      </c>
      <c r="GS374" s="561">
        <v>24925</v>
      </c>
      <c r="GT374" s="561">
        <v>193</v>
      </c>
      <c r="GU374" s="561">
        <v>0</v>
      </c>
      <c r="GV374" s="561">
        <v>-1339</v>
      </c>
      <c r="GW374" s="561">
        <v>0</v>
      </c>
      <c r="GX374" s="561">
        <v>1521</v>
      </c>
      <c r="GY374" s="561">
        <v>772</v>
      </c>
      <c r="GZ374" s="561">
        <v>2022</v>
      </c>
      <c r="HA374" s="561">
        <v>0</v>
      </c>
      <c r="HB374" s="561">
        <v>3536</v>
      </c>
      <c r="HC374" s="561">
        <v>3278</v>
      </c>
      <c r="HD374" s="561">
        <v>9790</v>
      </c>
      <c r="HE374" s="561">
        <v>1372</v>
      </c>
      <c r="HF374" s="561">
        <v>44432</v>
      </c>
      <c r="HG374" s="561">
        <v>1607</v>
      </c>
      <c r="HH374" s="561">
        <v>0</v>
      </c>
      <c r="HI374" s="561">
        <v>0</v>
      </c>
      <c r="HJ374" s="561">
        <v>2929</v>
      </c>
      <c r="HK374" s="561">
        <v>27332</v>
      </c>
      <c r="HL374" s="561">
        <v>0</v>
      </c>
      <c r="HM374" s="561">
        <v>30261</v>
      </c>
      <c r="HN374" s="561">
        <v>119</v>
      </c>
      <c r="HO374" s="561">
        <v>8415</v>
      </c>
      <c r="HP374" s="561">
        <v>0</v>
      </c>
      <c r="HQ374" s="561">
        <v>0</v>
      </c>
      <c r="HR374" s="561">
        <v>0</v>
      </c>
      <c r="HS374" s="561">
        <v>0</v>
      </c>
      <c r="HT374" s="561">
        <v>0</v>
      </c>
      <c r="HU374" s="561">
        <v>0</v>
      </c>
      <c r="HV374" s="561">
        <v>-190</v>
      </c>
      <c r="HW374" s="561">
        <v>0</v>
      </c>
      <c r="HX374" s="561">
        <v>17</v>
      </c>
      <c r="HY374" s="561">
        <v>442</v>
      </c>
      <c r="HZ374" s="561">
        <v>0</v>
      </c>
      <c r="IA374" s="561">
        <v>7865</v>
      </c>
      <c r="IB374" s="561">
        <v>204</v>
      </c>
      <c r="IC374" s="561">
        <v>900</v>
      </c>
      <c r="ID374" s="561">
        <v>0</v>
      </c>
      <c r="IE374" s="561">
        <v>1517</v>
      </c>
      <c r="IF374" s="561">
        <v>0</v>
      </c>
      <c r="IG374" s="561">
        <v>0</v>
      </c>
      <c r="IH374" s="561">
        <v>0</v>
      </c>
      <c r="II374" s="561">
        <v>19170</v>
      </c>
      <c r="IJ374" s="561">
        <v>4187</v>
      </c>
      <c r="IK374" s="561">
        <v>0</v>
      </c>
      <c r="IL374" s="561">
        <v>0</v>
      </c>
      <c r="IM374" s="561">
        <v>0</v>
      </c>
      <c r="IN374" s="561">
        <v>0</v>
      </c>
      <c r="IO374" s="561">
        <v>0</v>
      </c>
      <c r="IP374" s="561">
        <v>0</v>
      </c>
      <c r="IQ374" s="561">
        <v>0</v>
      </c>
      <c r="IR374" s="561">
        <v>440121</v>
      </c>
      <c r="IS374" s="561">
        <v>37294</v>
      </c>
      <c r="IT374" s="561">
        <v>150150</v>
      </c>
      <c r="IU374" s="561">
        <v>234632</v>
      </c>
      <c r="IV374" s="561">
        <v>28326</v>
      </c>
      <c r="IW374" s="561">
        <v>4734</v>
      </c>
      <c r="IX374" s="561">
        <v>9717</v>
      </c>
      <c r="IY374" s="561">
        <v>24925</v>
      </c>
      <c r="IZ374" s="561">
        <v>9790</v>
      </c>
      <c r="JA374" s="561">
        <v>0</v>
      </c>
      <c r="JB374" s="561">
        <v>30261</v>
      </c>
      <c r="JC374" s="561">
        <v>19170</v>
      </c>
      <c r="JD374" s="561">
        <v>0</v>
      </c>
      <c r="JE374" s="561">
        <v>989120</v>
      </c>
      <c r="JF374" s="561">
        <v>0</v>
      </c>
      <c r="JG374" s="561">
        <v>0</v>
      </c>
      <c r="JH374" s="561">
        <v>0</v>
      </c>
      <c r="JI374" s="561">
        <v>0</v>
      </c>
      <c r="JJ374" s="561">
        <v>0</v>
      </c>
      <c r="JK374" s="561">
        <v>0</v>
      </c>
      <c r="JL374" s="561">
        <v>0</v>
      </c>
      <c r="JM374" s="561">
        <v>0</v>
      </c>
      <c r="JN374" s="561">
        <v>0</v>
      </c>
      <c r="JO374" s="561">
        <v>0</v>
      </c>
      <c r="JP374" s="561">
        <v>0</v>
      </c>
      <c r="JQ374" s="561">
        <v>-1309</v>
      </c>
      <c r="JR374" s="561">
        <v>0</v>
      </c>
      <c r="JS374" s="561">
        <v>0</v>
      </c>
      <c r="JT374" s="561">
        <v>0</v>
      </c>
      <c r="JU374" s="561">
        <v>0</v>
      </c>
      <c r="JV374" s="561">
        <v>987811</v>
      </c>
      <c r="JW374" s="561">
        <v>275</v>
      </c>
      <c r="JX374" s="561">
        <v>1938</v>
      </c>
      <c r="JY374" s="561">
        <v>4</v>
      </c>
      <c r="JZ374" s="561">
        <v>0</v>
      </c>
      <c r="KA374" s="561">
        <v>0</v>
      </c>
      <c r="KB374" s="561">
        <v>2748</v>
      </c>
      <c r="KC374" s="561">
        <v>10154</v>
      </c>
      <c r="KD374" s="561">
        <v>0</v>
      </c>
      <c r="KE374" s="561">
        <v>13945</v>
      </c>
      <c r="KF374" s="561">
        <v>0</v>
      </c>
      <c r="KG374" s="561">
        <v>1016875</v>
      </c>
      <c r="KH374" s="561">
        <v>-20378</v>
      </c>
      <c r="KI374" s="561">
        <v>0</v>
      </c>
      <c r="KJ374" s="561">
        <v>0</v>
      </c>
      <c r="KK374" s="561">
        <v>0</v>
      </c>
      <c r="KL374" s="561">
        <v>-2704</v>
      </c>
      <c r="KM374" s="561">
        <v>0</v>
      </c>
      <c r="KN374" s="561">
        <v>0</v>
      </c>
      <c r="KO374" s="561">
        <v>0</v>
      </c>
      <c r="KP374" s="561">
        <v>0</v>
      </c>
      <c r="KQ374" s="561">
        <v>-44698</v>
      </c>
      <c r="KR374" s="561">
        <v>949095</v>
      </c>
      <c r="KS374" s="561">
        <v>0</v>
      </c>
      <c r="KT374" s="561">
        <v>-471981</v>
      </c>
      <c r="KU374" s="561">
        <v>477114</v>
      </c>
      <c r="KV374" s="561">
        <v>0</v>
      </c>
      <c r="KW374" s="561">
        <v>155</v>
      </c>
      <c r="KX374" s="561">
        <v>0</v>
      </c>
      <c r="KY374" s="561">
        <v>0</v>
      </c>
      <c r="KZ374" s="561">
        <v>1219</v>
      </c>
      <c r="LA374" s="561">
        <v>3248</v>
      </c>
      <c r="LB374" s="561">
        <v>-1180</v>
      </c>
      <c r="LC374" s="561">
        <v>0</v>
      </c>
      <c r="LD374" s="561">
        <v>-93892</v>
      </c>
      <c r="LE374" s="561">
        <v>360</v>
      </c>
      <c r="LF374" s="561">
        <v>0</v>
      </c>
      <c r="LG374" s="561">
        <v>387024</v>
      </c>
      <c r="LH374" s="561">
        <v>17169</v>
      </c>
      <c r="LI374" s="561">
        <v>-33214</v>
      </c>
      <c r="LJ374" s="561">
        <v>0</v>
      </c>
      <c r="LK374" s="561">
        <v>0</v>
      </c>
      <c r="LL374" s="561">
        <v>145105</v>
      </c>
      <c r="LM374" s="561">
        <v>65398</v>
      </c>
      <c r="LN374" s="561">
        <v>17324</v>
      </c>
      <c r="LO374" s="561">
        <v>-77912</v>
      </c>
      <c r="LP374" s="561">
        <v>0</v>
      </c>
      <c r="LQ374" s="561">
        <v>0</v>
      </c>
      <c r="LR374" s="561">
        <v>146324</v>
      </c>
      <c r="LS374" s="561">
        <v>68646</v>
      </c>
      <c r="LT374" s="561">
        <v>0</v>
      </c>
      <c r="LU374" s="561">
        <v>65799</v>
      </c>
      <c r="LV374" s="561">
        <v>0</v>
      </c>
      <c r="LW374" s="561">
        <v>3289</v>
      </c>
      <c r="LX374" s="561">
        <v>-95014</v>
      </c>
      <c r="LY374" s="561">
        <v>60751</v>
      </c>
      <c r="LZ374" s="561">
        <v>35628</v>
      </c>
      <c r="MA374" s="561">
        <v>0</v>
      </c>
      <c r="MB374" s="561">
        <v>0</v>
      </c>
      <c r="MC374" s="561">
        <v>0</v>
      </c>
      <c r="MD374" s="561">
        <v>0</v>
      </c>
      <c r="ME374" s="561">
        <v>0</v>
      </c>
      <c r="MF374" s="561">
        <v>0</v>
      </c>
      <c r="MG374" s="561">
        <v>0</v>
      </c>
      <c r="MH374" s="561">
        <v>0</v>
      </c>
      <c r="MI374" s="561">
        <v>0</v>
      </c>
      <c r="MJ374" s="561">
        <v>0</v>
      </c>
      <c r="MK374" s="561">
        <v>0</v>
      </c>
      <c r="ML374" s="561">
        <v>0</v>
      </c>
      <c r="MM374" s="561">
        <v>48759</v>
      </c>
      <c r="MN374" s="561">
        <v>44894</v>
      </c>
      <c r="MO374" s="561">
        <v>52671</v>
      </c>
      <c r="MP374" s="561">
        <v>0</v>
      </c>
      <c r="MQ374" s="561">
        <v>440121</v>
      </c>
      <c r="MR374" s="561">
        <v>37294</v>
      </c>
      <c r="MS374" s="561">
        <v>150150</v>
      </c>
      <c r="MT374" s="561">
        <v>234632</v>
      </c>
      <c r="MU374" s="561">
        <v>28326</v>
      </c>
      <c r="MV374" s="561">
        <v>4734</v>
      </c>
      <c r="MW374" s="561">
        <v>9717</v>
      </c>
      <c r="MX374" s="561">
        <v>24925</v>
      </c>
      <c r="MY374" s="561">
        <v>9790</v>
      </c>
      <c r="MZ374" s="561">
        <v>0</v>
      </c>
      <c r="NA374" s="561">
        <v>30261</v>
      </c>
      <c r="NB374" s="561">
        <v>19170</v>
      </c>
      <c r="NC374" s="561">
        <v>0</v>
      </c>
      <c r="ND374" s="561">
        <v>989120</v>
      </c>
      <c r="NE374" s="561">
        <v>0</v>
      </c>
      <c r="NF374" s="561">
        <v>0</v>
      </c>
      <c r="NG374" s="561">
        <v>0</v>
      </c>
      <c r="NH374" s="561">
        <v>0</v>
      </c>
      <c r="NI374" s="561">
        <v>0</v>
      </c>
      <c r="NJ374" s="561">
        <v>0</v>
      </c>
      <c r="NK374" s="561">
        <v>0</v>
      </c>
      <c r="NL374" s="561">
        <v>0</v>
      </c>
      <c r="NM374" s="561">
        <v>0</v>
      </c>
      <c r="NN374" s="561">
        <v>0</v>
      </c>
      <c r="NO374" s="561">
        <v>0</v>
      </c>
      <c r="NP374" s="561">
        <v>0</v>
      </c>
      <c r="NQ374" s="561">
        <v>0</v>
      </c>
      <c r="NR374" s="561">
        <v>0</v>
      </c>
      <c r="NS374" s="561">
        <v>0</v>
      </c>
      <c r="NT374" s="561">
        <v>0</v>
      </c>
      <c r="NU374" s="561">
        <v>0</v>
      </c>
      <c r="NV374" s="561">
        <v>0</v>
      </c>
      <c r="NW374" s="561">
        <v>0</v>
      </c>
      <c r="NX374" s="561">
        <v>0</v>
      </c>
      <c r="NY374" s="561">
        <v>0</v>
      </c>
      <c r="NZ374" s="561">
        <v>92</v>
      </c>
      <c r="OA374" s="561">
        <v>-56</v>
      </c>
      <c r="OB374" s="561">
        <v>-256</v>
      </c>
      <c r="OC374" s="561">
        <v>0</v>
      </c>
      <c r="OD374" s="561">
        <v>0</v>
      </c>
      <c r="OE374" s="561">
        <v>0</v>
      </c>
      <c r="OF374" s="561">
        <v>0</v>
      </c>
      <c r="OG374" s="561">
        <v>0</v>
      </c>
      <c r="OH374" s="561">
        <v>0</v>
      </c>
      <c r="OI374" s="561">
        <v>0</v>
      </c>
      <c r="OJ374" s="561">
        <v>-17</v>
      </c>
      <c r="OK374" s="561">
        <v>-13</v>
      </c>
      <c r="OL374" s="561">
        <v>0</v>
      </c>
      <c r="OM374" s="561">
        <v>-38</v>
      </c>
      <c r="ON374" s="561">
        <v>0</v>
      </c>
      <c r="OO374" s="561">
        <v>0</v>
      </c>
      <c r="OP374" s="561">
        <v>0</v>
      </c>
      <c r="OQ374" s="561">
        <v>0</v>
      </c>
      <c r="OR374" s="561">
        <v>154</v>
      </c>
      <c r="OS374" s="561">
        <v>-150</v>
      </c>
      <c r="OT374" s="561">
        <v>-770</v>
      </c>
      <c r="OU374" s="561">
        <v>-285</v>
      </c>
      <c r="OV374" s="561">
        <v>-1289</v>
      </c>
      <c r="OW374" s="561">
        <v>0</v>
      </c>
      <c r="OX374" s="561">
        <v>-1309</v>
      </c>
      <c r="OY374" s="561">
        <v>0</v>
      </c>
      <c r="OZ374" s="561">
        <v>0</v>
      </c>
      <c r="PA374" s="561">
        <v>0</v>
      </c>
      <c r="PB374" s="561">
        <v>0</v>
      </c>
      <c r="PC374" s="561">
        <v>0</v>
      </c>
      <c r="PD374" s="561">
        <v>0</v>
      </c>
      <c r="PE374" s="561">
        <v>0</v>
      </c>
      <c r="PF374" s="561">
        <v>0</v>
      </c>
      <c r="PG374" s="561">
        <v>0</v>
      </c>
      <c r="PH374" s="561">
        <v>0</v>
      </c>
      <c r="PI374" s="561">
        <v>0</v>
      </c>
      <c r="PJ374" s="561">
        <v>0</v>
      </c>
    </row>
    <row r="375" spans="1:426" ht="14" x14ac:dyDescent="0.3">
      <c r="A375" t="s">
        <v>3565</v>
      </c>
      <c r="B375" t="s">
        <v>3566</v>
      </c>
      <c r="C375" t="s">
        <v>3567</v>
      </c>
      <c r="E375" t="s">
        <v>2466</v>
      </c>
      <c r="F375" s="561">
        <v>0</v>
      </c>
      <c r="G375" s="561">
        <v>0</v>
      </c>
      <c r="H375" s="561">
        <v>0</v>
      </c>
      <c r="I375" s="561">
        <v>0</v>
      </c>
      <c r="J375" s="561">
        <v>0</v>
      </c>
      <c r="K375" s="561">
        <v>0</v>
      </c>
      <c r="L375" s="561">
        <v>0</v>
      </c>
      <c r="M375" s="561">
        <v>0</v>
      </c>
      <c r="N375" s="561">
        <v>0</v>
      </c>
      <c r="O375" s="561">
        <v>0</v>
      </c>
      <c r="P375" s="561">
        <v>0</v>
      </c>
      <c r="Q375" s="561">
        <v>0</v>
      </c>
      <c r="R375" s="561">
        <v>0</v>
      </c>
      <c r="S375" s="561">
        <v>0</v>
      </c>
      <c r="T375" s="561">
        <v>0</v>
      </c>
      <c r="U375" s="561">
        <v>0</v>
      </c>
      <c r="V375" s="561">
        <v>0</v>
      </c>
      <c r="W375" s="561">
        <v>0</v>
      </c>
      <c r="X375" s="561">
        <v>0</v>
      </c>
      <c r="Y375" s="561">
        <v>0</v>
      </c>
      <c r="Z375" s="561">
        <v>0</v>
      </c>
      <c r="AA375" s="561">
        <v>0</v>
      </c>
      <c r="AB375" s="561">
        <v>0</v>
      </c>
      <c r="AC375" s="561">
        <v>0</v>
      </c>
      <c r="AD375" s="561">
        <v>0</v>
      </c>
      <c r="AE375" s="561">
        <v>0</v>
      </c>
      <c r="AF375" s="561">
        <v>0</v>
      </c>
      <c r="AG375" s="561">
        <v>0</v>
      </c>
      <c r="AH375" s="561">
        <v>0</v>
      </c>
      <c r="AI375" s="561">
        <v>0</v>
      </c>
      <c r="AJ375" s="561">
        <v>0</v>
      </c>
      <c r="AK375" s="561">
        <v>0</v>
      </c>
      <c r="AL375" s="561">
        <v>0</v>
      </c>
      <c r="AM375" s="561">
        <v>0</v>
      </c>
      <c r="AN375" s="561">
        <v>0</v>
      </c>
      <c r="AO375" s="561">
        <v>0</v>
      </c>
      <c r="AP375" s="561">
        <v>0</v>
      </c>
      <c r="AQ375" s="561">
        <v>0</v>
      </c>
      <c r="AR375" s="561">
        <v>0</v>
      </c>
      <c r="AS375" s="561">
        <v>0</v>
      </c>
      <c r="AT375" s="561">
        <v>0</v>
      </c>
      <c r="AU375" s="561">
        <v>0</v>
      </c>
      <c r="AV375" s="561">
        <v>0</v>
      </c>
      <c r="AW375" s="561">
        <v>0</v>
      </c>
      <c r="AX375" s="561">
        <v>0</v>
      </c>
      <c r="AY375" s="561">
        <v>0</v>
      </c>
      <c r="AZ375" s="561">
        <v>0</v>
      </c>
      <c r="BA375" s="561">
        <v>0</v>
      </c>
      <c r="BB375" s="561">
        <v>0</v>
      </c>
      <c r="BC375" s="561">
        <v>0</v>
      </c>
      <c r="BD375" s="561">
        <v>0</v>
      </c>
      <c r="BE375" s="561">
        <v>0</v>
      </c>
      <c r="BF375" s="561">
        <v>0</v>
      </c>
      <c r="BG375" s="561">
        <v>0</v>
      </c>
      <c r="BH375" s="561">
        <v>0</v>
      </c>
      <c r="BI375" s="561">
        <v>0</v>
      </c>
      <c r="BJ375" s="561">
        <v>0</v>
      </c>
      <c r="BK375" s="561">
        <v>0</v>
      </c>
      <c r="BL375" s="561">
        <v>0</v>
      </c>
      <c r="BM375" s="561">
        <v>0</v>
      </c>
      <c r="BN375" s="561">
        <v>0</v>
      </c>
      <c r="BO375" s="561">
        <v>0</v>
      </c>
      <c r="BP375" s="561">
        <v>0</v>
      </c>
      <c r="BQ375" s="561">
        <v>0</v>
      </c>
      <c r="BR375" s="561">
        <v>0</v>
      </c>
      <c r="BS375" s="561">
        <v>0</v>
      </c>
      <c r="BT375" s="561">
        <v>0</v>
      </c>
      <c r="BU375" s="561">
        <v>0</v>
      </c>
      <c r="BV375" s="561">
        <v>0</v>
      </c>
      <c r="BW375" s="561">
        <v>0</v>
      </c>
      <c r="BX375" s="561">
        <v>0</v>
      </c>
      <c r="BY375" s="561">
        <v>0</v>
      </c>
      <c r="BZ375" s="561">
        <v>0</v>
      </c>
      <c r="CA375" s="561">
        <v>0</v>
      </c>
      <c r="CB375" s="561">
        <v>0</v>
      </c>
      <c r="CC375" s="561">
        <v>0</v>
      </c>
      <c r="CD375" s="561">
        <v>0</v>
      </c>
      <c r="CE375" s="561">
        <v>0</v>
      </c>
      <c r="CF375" s="561">
        <v>0</v>
      </c>
      <c r="CG375" s="561">
        <v>0</v>
      </c>
      <c r="CH375" s="561">
        <v>0</v>
      </c>
      <c r="CI375" s="561">
        <v>0</v>
      </c>
      <c r="CJ375" s="561">
        <v>0</v>
      </c>
      <c r="CK375" s="561">
        <v>0</v>
      </c>
      <c r="CL375" s="561">
        <v>0</v>
      </c>
      <c r="CM375" s="561">
        <v>0</v>
      </c>
      <c r="CN375" s="561">
        <v>0</v>
      </c>
      <c r="CO375" s="561">
        <v>0</v>
      </c>
      <c r="CP375" s="561">
        <v>0</v>
      </c>
      <c r="CQ375" s="561">
        <v>0</v>
      </c>
      <c r="CR375" s="561">
        <v>0</v>
      </c>
      <c r="CS375" s="561">
        <v>0</v>
      </c>
      <c r="CT375" s="561">
        <v>0</v>
      </c>
      <c r="CU375" s="561">
        <v>0</v>
      </c>
      <c r="CV375" s="561">
        <v>0</v>
      </c>
      <c r="CW375" s="561">
        <v>0</v>
      </c>
      <c r="CX375" s="561">
        <v>0</v>
      </c>
      <c r="CY375" s="561">
        <v>0</v>
      </c>
      <c r="CZ375" s="561">
        <v>0</v>
      </c>
      <c r="DA375" s="561">
        <v>0</v>
      </c>
      <c r="DB375" s="561">
        <v>0</v>
      </c>
      <c r="DC375" s="561">
        <v>0</v>
      </c>
      <c r="DD375" s="561">
        <v>0</v>
      </c>
      <c r="DE375" s="561">
        <v>0</v>
      </c>
      <c r="DF375" s="561">
        <v>0</v>
      </c>
      <c r="DG375" s="561">
        <v>0</v>
      </c>
      <c r="DH375" s="561">
        <v>0</v>
      </c>
      <c r="DI375" s="561">
        <v>0</v>
      </c>
      <c r="DJ375" s="561">
        <v>0</v>
      </c>
      <c r="DK375" s="561">
        <v>0</v>
      </c>
      <c r="DL375" s="561">
        <v>0</v>
      </c>
      <c r="DM375" s="561">
        <v>0</v>
      </c>
      <c r="DN375" s="561">
        <v>0</v>
      </c>
      <c r="DO375" s="561">
        <v>0</v>
      </c>
      <c r="DP375" s="561">
        <v>0</v>
      </c>
      <c r="DQ375" s="561">
        <v>0</v>
      </c>
      <c r="DR375" s="561">
        <v>0</v>
      </c>
      <c r="DS375" s="561">
        <v>0</v>
      </c>
      <c r="DT375" s="561">
        <v>0</v>
      </c>
      <c r="DU375" s="561">
        <v>0</v>
      </c>
      <c r="DV375" s="561">
        <v>0</v>
      </c>
      <c r="DW375" s="561">
        <v>0</v>
      </c>
      <c r="DX375" s="561">
        <v>0</v>
      </c>
      <c r="DY375" s="561">
        <v>0</v>
      </c>
      <c r="DZ375" s="561">
        <v>0</v>
      </c>
      <c r="EA375" s="561">
        <v>0</v>
      </c>
      <c r="EB375" s="561">
        <v>0</v>
      </c>
      <c r="EC375" s="561">
        <v>0</v>
      </c>
      <c r="ED375" s="561">
        <v>0</v>
      </c>
      <c r="EE375" s="561">
        <v>0</v>
      </c>
      <c r="EF375" s="561">
        <v>0</v>
      </c>
      <c r="EG375" s="561">
        <v>0</v>
      </c>
      <c r="EH375" s="561">
        <v>0</v>
      </c>
      <c r="EI375" s="561">
        <v>0</v>
      </c>
      <c r="EJ375" s="561">
        <v>0</v>
      </c>
      <c r="EK375" s="561">
        <v>0</v>
      </c>
      <c r="EL375" s="561">
        <v>0</v>
      </c>
      <c r="EM375" s="561">
        <v>0</v>
      </c>
      <c r="EN375" s="561">
        <v>0</v>
      </c>
      <c r="EO375" s="561">
        <v>0</v>
      </c>
      <c r="EP375" s="561">
        <v>0</v>
      </c>
      <c r="EQ375" s="561">
        <v>0</v>
      </c>
      <c r="ER375" s="561">
        <v>0</v>
      </c>
      <c r="ES375" s="561" t="s">
        <v>4565</v>
      </c>
      <c r="ET375" s="561">
        <v>0</v>
      </c>
      <c r="EU375" s="561">
        <v>0</v>
      </c>
      <c r="EV375" s="561">
        <v>0</v>
      </c>
      <c r="EW375" s="561">
        <v>0</v>
      </c>
      <c r="EX375" s="561">
        <v>0</v>
      </c>
      <c r="EY375" s="561">
        <v>0</v>
      </c>
      <c r="EZ375" s="561">
        <v>0</v>
      </c>
      <c r="FA375" s="561">
        <v>0</v>
      </c>
      <c r="FB375" s="561">
        <v>0</v>
      </c>
      <c r="FC375" s="561">
        <v>0</v>
      </c>
      <c r="FD375" s="561">
        <v>0</v>
      </c>
      <c r="FE375" s="561">
        <v>0</v>
      </c>
      <c r="FF375" s="561">
        <v>0</v>
      </c>
      <c r="FG375" s="561">
        <v>0</v>
      </c>
      <c r="FH375" s="561">
        <v>0</v>
      </c>
      <c r="FI375" s="561">
        <v>0</v>
      </c>
      <c r="FJ375" s="561">
        <v>0</v>
      </c>
      <c r="FK375" s="561">
        <v>0</v>
      </c>
      <c r="FL375" s="561">
        <v>0</v>
      </c>
      <c r="FM375" s="561">
        <v>0</v>
      </c>
      <c r="FN375" s="561">
        <v>0</v>
      </c>
      <c r="FO375" s="561">
        <v>0</v>
      </c>
      <c r="FP375" s="561">
        <v>0</v>
      </c>
      <c r="FQ375" s="561">
        <v>0</v>
      </c>
      <c r="FR375" s="561">
        <v>0</v>
      </c>
      <c r="FS375" s="561">
        <v>0</v>
      </c>
      <c r="FT375" s="561">
        <v>0</v>
      </c>
      <c r="FU375" s="561">
        <v>0</v>
      </c>
      <c r="FV375" s="561">
        <v>0</v>
      </c>
      <c r="FW375" s="561">
        <v>0</v>
      </c>
      <c r="FX375" s="561">
        <v>0</v>
      </c>
      <c r="FY375" s="561">
        <v>0</v>
      </c>
      <c r="FZ375" s="561">
        <v>0</v>
      </c>
      <c r="GA375" s="561">
        <v>0</v>
      </c>
      <c r="GB375" s="561">
        <v>0</v>
      </c>
      <c r="GC375" s="561">
        <v>0</v>
      </c>
      <c r="GD375" s="561">
        <v>0</v>
      </c>
      <c r="GE375" s="561">
        <v>0</v>
      </c>
      <c r="GF375" s="561">
        <v>0</v>
      </c>
      <c r="GG375" s="561">
        <v>0</v>
      </c>
      <c r="GH375" s="561">
        <v>0</v>
      </c>
      <c r="GI375" s="561">
        <v>0</v>
      </c>
      <c r="GJ375" s="561">
        <v>0</v>
      </c>
      <c r="GK375" s="561">
        <v>0</v>
      </c>
      <c r="GL375" s="561">
        <v>0</v>
      </c>
      <c r="GM375" s="561">
        <v>0</v>
      </c>
      <c r="GN375" s="561">
        <v>0</v>
      </c>
      <c r="GO375" s="561">
        <v>0</v>
      </c>
      <c r="GP375" s="561">
        <v>0</v>
      </c>
      <c r="GQ375" s="561">
        <v>0</v>
      </c>
      <c r="GR375" s="561">
        <v>0</v>
      </c>
      <c r="GS375" s="561">
        <v>0</v>
      </c>
      <c r="GT375" s="561">
        <v>0</v>
      </c>
      <c r="GU375" s="561">
        <v>0</v>
      </c>
      <c r="GV375" s="561">
        <v>0</v>
      </c>
      <c r="GW375" s="561">
        <v>0</v>
      </c>
      <c r="GX375" s="561">
        <v>0</v>
      </c>
      <c r="GY375" s="561">
        <v>0</v>
      </c>
      <c r="GZ375" s="561">
        <v>0</v>
      </c>
      <c r="HA375" s="561">
        <v>0</v>
      </c>
      <c r="HB375" s="561">
        <v>0</v>
      </c>
      <c r="HC375" s="561">
        <v>0</v>
      </c>
      <c r="HD375" s="561">
        <v>0</v>
      </c>
      <c r="HE375" s="561">
        <v>0</v>
      </c>
      <c r="HF375" s="561">
        <v>0</v>
      </c>
      <c r="HG375" s="561">
        <v>0</v>
      </c>
      <c r="HH375" s="561">
        <v>137426</v>
      </c>
      <c r="HI375" s="561">
        <v>0</v>
      </c>
      <c r="HJ375" s="561">
        <v>0</v>
      </c>
      <c r="HK375" s="561">
        <v>0</v>
      </c>
      <c r="HL375" s="561">
        <v>0</v>
      </c>
      <c r="HM375" s="561">
        <v>0</v>
      </c>
      <c r="HN375" s="561">
        <v>0</v>
      </c>
      <c r="HO375" s="561">
        <v>5709</v>
      </c>
      <c r="HP375" s="561">
        <v>0</v>
      </c>
      <c r="HQ375" s="561">
        <v>0</v>
      </c>
      <c r="HR375" s="561">
        <v>0</v>
      </c>
      <c r="HS375" s="561">
        <v>0</v>
      </c>
      <c r="HT375" s="561">
        <v>0</v>
      </c>
      <c r="HU375" s="561">
        <v>0</v>
      </c>
      <c r="HV375" s="561">
        <v>0</v>
      </c>
      <c r="HW375" s="561">
        <v>0</v>
      </c>
      <c r="HX375" s="561">
        <v>0</v>
      </c>
      <c r="HY375" s="561">
        <v>0</v>
      </c>
      <c r="HZ375" s="561">
        <v>0</v>
      </c>
      <c r="IA375" s="561">
        <v>0</v>
      </c>
      <c r="IB375" s="561">
        <v>0</v>
      </c>
      <c r="IC375" s="561">
        <v>0</v>
      </c>
      <c r="ID375" s="561">
        <v>0</v>
      </c>
      <c r="IE375" s="561">
        <v>0</v>
      </c>
      <c r="IF375" s="561">
        <v>0</v>
      </c>
      <c r="IG375" s="561">
        <v>0</v>
      </c>
      <c r="IH375" s="561">
        <v>0</v>
      </c>
      <c r="II375" s="561">
        <v>5709</v>
      </c>
      <c r="IJ375" s="561">
        <v>0</v>
      </c>
      <c r="IK375" s="561">
        <v>0</v>
      </c>
      <c r="IL375" s="561">
        <v>0</v>
      </c>
      <c r="IM375" s="561">
        <v>0</v>
      </c>
      <c r="IN375" s="561">
        <v>0</v>
      </c>
      <c r="IO375" s="561">
        <v>0</v>
      </c>
      <c r="IP375" s="561">
        <v>0</v>
      </c>
      <c r="IQ375" s="561">
        <v>0</v>
      </c>
      <c r="IR375" s="561">
        <v>0</v>
      </c>
      <c r="IS375" s="561">
        <v>0</v>
      </c>
      <c r="IT375" s="561">
        <v>0</v>
      </c>
      <c r="IU375" s="561">
        <v>0</v>
      </c>
      <c r="IV375" s="561">
        <v>0</v>
      </c>
      <c r="IW375" s="561">
        <v>0</v>
      </c>
      <c r="IX375" s="561">
        <v>0</v>
      </c>
      <c r="IY375" s="561">
        <v>0</v>
      </c>
      <c r="IZ375" s="561">
        <v>0</v>
      </c>
      <c r="JA375" s="561">
        <v>137426</v>
      </c>
      <c r="JB375" s="561">
        <v>0</v>
      </c>
      <c r="JC375" s="561">
        <v>5709</v>
      </c>
      <c r="JD375" s="561">
        <v>0</v>
      </c>
      <c r="JE375" s="561">
        <v>143135</v>
      </c>
      <c r="JF375" s="561">
        <v>0</v>
      </c>
      <c r="JG375" s="561">
        <v>0</v>
      </c>
      <c r="JH375" s="561">
        <v>0</v>
      </c>
      <c r="JI375" s="561">
        <v>0</v>
      </c>
      <c r="JJ375" s="561">
        <v>0</v>
      </c>
      <c r="JK375" s="561">
        <v>0</v>
      </c>
      <c r="JL375" s="561">
        <v>0</v>
      </c>
      <c r="JM375" s="561">
        <v>0</v>
      </c>
      <c r="JN375" s="561">
        <v>0</v>
      </c>
      <c r="JO375" s="561">
        <v>0</v>
      </c>
      <c r="JP375" s="561">
        <v>0</v>
      </c>
      <c r="JQ375" s="561">
        <v>0</v>
      </c>
      <c r="JR375" s="561">
        <v>0</v>
      </c>
      <c r="JS375" s="561">
        <v>0</v>
      </c>
      <c r="JT375" s="561">
        <v>0</v>
      </c>
      <c r="JU375" s="561">
        <v>0</v>
      </c>
      <c r="JV375" s="561">
        <v>143135</v>
      </c>
      <c r="JW375" s="561">
        <v>0</v>
      </c>
      <c r="JX375" s="561">
        <v>3645</v>
      </c>
      <c r="JY375" s="561">
        <v>0</v>
      </c>
      <c r="JZ375" s="561">
        <v>0</v>
      </c>
      <c r="KA375" s="561">
        <v>0</v>
      </c>
      <c r="KB375" s="561">
        <v>0</v>
      </c>
      <c r="KC375" s="561">
        <v>4081</v>
      </c>
      <c r="KD375" s="561">
        <v>0</v>
      </c>
      <c r="KE375" s="561">
        <v>669</v>
      </c>
      <c r="KF375" s="561">
        <v>0</v>
      </c>
      <c r="KG375" s="561">
        <v>151530</v>
      </c>
      <c r="KH375" s="561">
        <v>-448</v>
      </c>
      <c r="KI375" s="561">
        <v>0</v>
      </c>
      <c r="KJ375" s="561">
        <v>0</v>
      </c>
      <c r="KK375" s="561">
        <v>0</v>
      </c>
      <c r="KL375" s="561">
        <v>0</v>
      </c>
      <c r="KM375" s="561">
        <v>0</v>
      </c>
      <c r="KN375" s="561">
        <v>0</v>
      </c>
      <c r="KO375" s="561">
        <v>0</v>
      </c>
      <c r="KP375" s="561">
        <v>0</v>
      </c>
      <c r="KQ375" s="561">
        <v>0</v>
      </c>
      <c r="KR375" s="561">
        <v>151082</v>
      </c>
      <c r="KS375" s="561">
        <v>0</v>
      </c>
      <c r="KT375" s="561">
        <v>-17688</v>
      </c>
      <c r="KU375" s="561">
        <v>133394</v>
      </c>
      <c r="KV375" s="561">
        <v>0</v>
      </c>
      <c r="KW375" s="561">
        <v>0</v>
      </c>
      <c r="KX375" s="561">
        <v>0</v>
      </c>
      <c r="KY375" s="561">
        <v>0</v>
      </c>
      <c r="KZ375" s="561">
        <v>-1065</v>
      </c>
      <c r="LA375" s="561">
        <v>0</v>
      </c>
      <c r="LB375" s="561">
        <v>-3910</v>
      </c>
      <c r="LC375" s="561">
        <v>-64078</v>
      </c>
      <c r="LD375" s="561">
        <v>0</v>
      </c>
      <c r="LE375" s="561">
        <v>54</v>
      </c>
      <c r="LF375" s="561">
        <v>186</v>
      </c>
      <c r="LG375" s="561">
        <v>64581</v>
      </c>
      <c r="LH375" s="561">
        <v>0</v>
      </c>
      <c r="LI375" s="561">
        <v>0</v>
      </c>
      <c r="LJ375" s="561">
        <v>0</v>
      </c>
      <c r="LK375" s="561">
        <v>0</v>
      </c>
      <c r="LL375" s="561">
        <v>7454</v>
      </c>
      <c r="LM375" s="561">
        <v>6000</v>
      </c>
      <c r="LN375" s="561">
        <v>0</v>
      </c>
      <c r="LO375" s="561">
        <v>0</v>
      </c>
      <c r="LP375" s="561">
        <v>0</v>
      </c>
      <c r="LQ375" s="561">
        <v>0</v>
      </c>
      <c r="LR375" s="561">
        <v>6389</v>
      </c>
      <c r="LS375" s="561">
        <v>6000</v>
      </c>
      <c r="LT375" s="561">
        <v>0</v>
      </c>
      <c r="LU375" s="561">
        <v>9313</v>
      </c>
      <c r="LV375" s="561">
        <v>0</v>
      </c>
      <c r="LW375" s="561">
        <v>875</v>
      </c>
      <c r="LX375" s="561">
        <v>-508</v>
      </c>
      <c r="LY375" s="561">
        <v>0</v>
      </c>
      <c r="LZ375" s="561">
        <v>9732</v>
      </c>
      <c r="MA375" s="561">
        <v>0</v>
      </c>
      <c r="MB375" s="561">
        <v>0</v>
      </c>
      <c r="MC375" s="561">
        <v>0</v>
      </c>
      <c r="MD375" s="561">
        <v>0</v>
      </c>
      <c r="ME375" s="561">
        <v>0</v>
      </c>
      <c r="MF375" s="561">
        <v>0</v>
      </c>
      <c r="MG375" s="561">
        <v>0</v>
      </c>
      <c r="MH375" s="561">
        <v>0</v>
      </c>
      <c r="MI375" s="561">
        <v>0</v>
      </c>
      <c r="MJ375" s="561">
        <v>0</v>
      </c>
      <c r="MK375" s="561">
        <v>0</v>
      </c>
      <c r="ML375" s="561">
        <v>0</v>
      </c>
      <c r="MM375" s="561">
        <v>6389</v>
      </c>
      <c r="MN375" s="561">
        <v>0</v>
      </c>
      <c r="MO375" s="561">
        <v>0</v>
      </c>
      <c r="MP375" s="561">
        <v>0</v>
      </c>
      <c r="MQ375" s="561">
        <v>0</v>
      </c>
      <c r="MR375" s="561">
        <v>0</v>
      </c>
      <c r="MS375" s="561">
        <v>0</v>
      </c>
      <c r="MT375" s="561">
        <v>0</v>
      </c>
      <c r="MU375" s="561">
        <v>0</v>
      </c>
      <c r="MV375" s="561">
        <v>0</v>
      </c>
      <c r="MW375" s="561">
        <v>0</v>
      </c>
      <c r="MX375" s="561">
        <v>0</v>
      </c>
      <c r="MY375" s="561">
        <v>0</v>
      </c>
      <c r="MZ375" s="561">
        <v>137426</v>
      </c>
      <c r="NA375" s="561">
        <v>0</v>
      </c>
      <c r="NB375" s="561">
        <v>5709</v>
      </c>
      <c r="NC375" s="561">
        <v>0</v>
      </c>
      <c r="ND375" s="561">
        <v>143135</v>
      </c>
      <c r="NE375" s="561">
        <v>0</v>
      </c>
      <c r="NF375" s="561">
        <v>0</v>
      </c>
      <c r="NG375" s="561">
        <v>0</v>
      </c>
      <c r="NH375" s="561">
        <v>0</v>
      </c>
      <c r="NI375" s="561">
        <v>0</v>
      </c>
      <c r="NJ375" s="561">
        <v>0</v>
      </c>
      <c r="NK375" s="561">
        <v>0</v>
      </c>
      <c r="NL375" s="561">
        <v>0</v>
      </c>
      <c r="NM375" s="561">
        <v>0</v>
      </c>
      <c r="NN375" s="561">
        <v>0</v>
      </c>
      <c r="NO375" s="561">
        <v>0</v>
      </c>
      <c r="NP375" s="561">
        <v>0</v>
      </c>
      <c r="NQ375" s="561">
        <v>0</v>
      </c>
      <c r="NR375" s="561">
        <v>0</v>
      </c>
      <c r="NS375" s="561">
        <v>0</v>
      </c>
      <c r="NT375" s="561">
        <v>0</v>
      </c>
      <c r="NU375" s="561">
        <v>0</v>
      </c>
      <c r="NV375" s="561">
        <v>0</v>
      </c>
      <c r="NW375" s="561">
        <v>0</v>
      </c>
      <c r="NX375" s="561">
        <v>0</v>
      </c>
      <c r="NY375" s="561">
        <v>0</v>
      </c>
      <c r="NZ375" s="561">
        <v>0</v>
      </c>
      <c r="OA375" s="561">
        <v>0</v>
      </c>
      <c r="OB375" s="561">
        <v>0</v>
      </c>
      <c r="OC375" s="561">
        <v>0</v>
      </c>
      <c r="OD375" s="561">
        <v>0</v>
      </c>
      <c r="OE375" s="561">
        <v>0</v>
      </c>
      <c r="OF375" s="561">
        <v>0</v>
      </c>
      <c r="OG375" s="561">
        <v>0</v>
      </c>
      <c r="OH375" s="561">
        <v>0</v>
      </c>
      <c r="OI375" s="561">
        <v>0</v>
      </c>
      <c r="OJ375" s="561">
        <v>0</v>
      </c>
      <c r="OK375" s="561">
        <v>0</v>
      </c>
      <c r="OL375" s="561">
        <v>0</v>
      </c>
      <c r="OM375" s="561">
        <v>0</v>
      </c>
      <c r="ON375" s="561">
        <v>0</v>
      </c>
      <c r="OO375" s="561">
        <v>0</v>
      </c>
      <c r="OP375" s="561">
        <v>0</v>
      </c>
      <c r="OQ375" s="561">
        <v>0</v>
      </c>
      <c r="OR375" s="561">
        <v>0</v>
      </c>
      <c r="OS375" s="561">
        <v>0</v>
      </c>
      <c r="OT375" s="561">
        <v>0</v>
      </c>
      <c r="OU375" s="561">
        <v>0</v>
      </c>
      <c r="OV375" s="561">
        <v>0</v>
      </c>
      <c r="OW375" s="561">
        <v>0</v>
      </c>
      <c r="OX375" s="561">
        <v>0</v>
      </c>
      <c r="OY375" s="561">
        <v>0</v>
      </c>
      <c r="OZ375" s="561">
        <v>0</v>
      </c>
      <c r="PA375" s="561">
        <v>0</v>
      </c>
      <c r="PB375" s="561">
        <v>0</v>
      </c>
      <c r="PC375" s="561">
        <v>0</v>
      </c>
      <c r="PD375" s="561">
        <v>0</v>
      </c>
      <c r="PE375" s="561">
        <v>0</v>
      </c>
      <c r="PF375" s="561">
        <v>0</v>
      </c>
      <c r="PG375" s="561">
        <v>0</v>
      </c>
      <c r="PH375" s="561">
        <v>0</v>
      </c>
      <c r="PI375" s="561">
        <v>0</v>
      </c>
      <c r="PJ375" s="561">
        <v>0</v>
      </c>
    </row>
    <row r="376" spans="1:426" ht="14" x14ac:dyDescent="0.3">
      <c r="A376" t="s">
        <v>3568</v>
      </c>
      <c r="B376" t="s">
        <v>3569</v>
      </c>
      <c r="C376" t="s">
        <v>3570</v>
      </c>
      <c r="E376" t="s">
        <v>384</v>
      </c>
      <c r="F376" s="561">
        <v>0</v>
      </c>
      <c r="G376" s="561">
        <v>0</v>
      </c>
      <c r="H376" s="561">
        <v>0</v>
      </c>
      <c r="I376" s="561">
        <v>0</v>
      </c>
      <c r="J376" s="561">
        <v>0</v>
      </c>
      <c r="K376" s="561">
        <v>0</v>
      </c>
      <c r="L376" s="561">
        <v>0</v>
      </c>
      <c r="M376" s="561">
        <v>0</v>
      </c>
      <c r="N376" s="561">
        <v>370</v>
      </c>
      <c r="O376" s="561">
        <v>89</v>
      </c>
      <c r="P376" s="561">
        <v>0</v>
      </c>
      <c r="Q376" s="561">
        <v>0</v>
      </c>
      <c r="R376" s="561">
        <v>0</v>
      </c>
      <c r="S376" s="561">
        <v>0</v>
      </c>
      <c r="T376" s="561">
        <v>0</v>
      </c>
      <c r="U376" s="561">
        <v>0</v>
      </c>
      <c r="V376" s="561">
        <v>0</v>
      </c>
      <c r="W376" s="561">
        <v>0</v>
      </c>
      <c r="X376" s="561">
        <v>0</v>
      </c>
      <c r="Y376" s="561">
        <v>0</v>
      </c>
      <c r="Z376" s="561">
        <v>0</v>
      </c>
      <c r="AA376" s="561">
        <v>180</v>
      </c>
      <c r="AB376" s="561">
        <v>-163</v>
      </c>
      <c r="AC376" s="561">
        <v>0</v>
      </c>
      <c r="AD376" s="561">
        <v>0</v>
      </c>
      <c r="AE376" s="561">
        <v>56</v>
      </c>
      <c r="AF376" s="561">
        <v>0</v>
      </c>
      <c r="AG376" s="561">
        <v>157</v>
      </c>
      <c r="AH376" s="561">
        <v>0</v>
      </c>
      <c r="AI376" s="561">
        <v>0</v>
      </c>
      <c r="AJ376" s="561">
        <v>689</v>
      </c>
      <c r="AK376" s="561">
        <v>0</v>
      </c>
      <c r="AL376" s="561">
        <v>0</v>
      </c>
      <c r="AM376" s="561">
        <v>0</v>
      </c>
      <c r="AN376" s="561">
        <v>0</v>
      </c>
      <c r="AO376" s="561">
        <v>0</v>
      </c>
      <c r="AP376" s="561">
        <v>0</v>
      </c>
      <c r="AQ376" s="561">
        <v>0</v>
      </c>
      <c r="AR376" s="561">
        <v>0</v>
      </c>
      <c r="AS376" s="561">
        <v>1126</v>
      </c>
      <c r="AT376" s="561">
        <v>1210</v>
      </c>
      <c r="AU376" s="561">
        <v>0</v>
      </c>
      <c r="AV376" s="561">
        <v>0</v>
      </c>
      <c r="AW376" s="561">
        <v>0</v>
      </c>
      <c r="AX376" s="561">
        <v>0</v>
      </c>
      <c r="AY376" s="561">
        <v>0</v>
      </c>
      <c r="AZ376" s="561">
        <v>0</v>
      </c>
      <c r="BA376" s="561">
        <v>0</v>
      </c>
      <c r="BB376" s="561">
        <v>0</v>
      </c>
      <c r="BC376" s="561">
        <v>0</v>
      </c>
      <c r="BD376" s="561">
        <v>0</v>
      </c>
      <c r="BE376" s="561">
        <v>0</v>
      </c>
      <c r="BF376" s="561">
        <v>0</v>
      </c>
      <c r="BG376" s="561">
        <v>0</v>
      </c>
      <c r="BH376" s="561">
        <v>0</v>
      </c>
      <c r="BI376" s="561">
        <v>0</v>
      </c>
      <c r="BJ376" s="561">
        <v>0</v>
      </c>
      <c r="BK376" s="561">
        <v>0</v>
      </c>
      <c r="BL376" s="561">
        <v>0</v>
      </c>
      <c r="BM376" s="561">
        <v>0</v>
      </c>
      <c r="BN376" s="561">
        <v>0</v>
      </c>
      <c r="BO376" s="561">
        <v>0</v>
      </c>
      <c r="BP376" s="561">
        <v>0</v>
      </c>
      <c r="BQ376" s="561">
        <v>0</v>
      </c>
      <c r="BR376" s="561">
        <v>0</v>
      </c>
      <c r="BS376" s="561">
        <v>0</v>
      </c>
      <c r="BT376" s="561">
        <v>0</v>
      </c>
      <c r="BU376" s="561">
        <v>0</v>
      </c>
      <c r="BV376" s="561">
        <v>0</v>
      </c>
      <c r="BW376" s="561">
        <v>0</v>
      </c>
      <c r="BX376" s="561">
        <v>0</v>
      </c>
      <c r="BY376" s="561">
        <v>0</v>
      </c>
      <c r="BZ376" s="561">
        <v>0</v>
      </c>
      <c r="CA376" s="561">
        <v>0</v>
      </c>
      <c r="CB376" s="561">
        <v>0</v>
      </c>
      <c r="CC376" s="561">
        <v>0</v>
      </c>
      <c r="CD376" s="561">
        <v>0</v>
      </c>
      <c r="CE376" s="561">
        <v>0</v>
      </c>
      <c r="CF376" s="561">
        <v>0</v>
      </c>
      <c r="CG376" s="561">
        <v>0</v>
      </c>
      <c r="CH376" s="561">
        <v>0</v>
      </c>
      <c r="CI376" s="561">
        <v>0</v>
      </c>
      <c r="CJ376" s="561">
        <v>0</v>
      </c>
      <c r="CK376" s="561">
        <v>0</v>
      </c>
      <c r="CL376" s="561">
        <v>0</v>
      </c>
      <c r="CM376" s="561">
        <v>0</v>
      </c>
      <c r="CN376" s="561">
        <v>0</v>
      </c>
      <c r="CO376" s="561">
        <v>0</v>
      </c>
      <c r="CP376" s="561">
        <v>0</v>
      </c>
      <c r="CQ376" s="561">
        <v>0</v>
      </c>
      <c r="CR376" s="561">
        <v>0</v>
      </c>
      <c r="CS376" s="561">
        <v>0</v>
      </c>
      <c r="CT376" s="561">
        <v>0</v>
      </c>
      <c r="CU376" s="561">
        <v>0</v>
      </c>
      <c r="CV376" s="561">
        <v>0</v>
      </c>
      <c r="CW376" s="561">
        <v>0</v>
      </c>
      <c r="CX376" s="561">
        <v>0</v>
      </c>
      <c r="CY376" s="561">
        <v>0</v>
      </c>
      <c r="CZ376" s="561">
        <v>0</v>
      </c>
      <c r="DA376" s="561">
        <v>0</v>
      </c>
      <c r="DB376" s="561">
        <v>0</v>
      </c>
      <c r="DC376" s="561">
        <v>0</v>
      </c>
      <c r="DD376" s="561">
        <v>0</v>
      </c>
      <c r="DE376" s="561">
        <v>0</v>
      </c>
      <c r="DF376" s="561">
        <v>0</v>
      </c>
      <c r="DG376" s="561">
        <v>0</v>
      </c>
      <c r="DH376" s="561">
        <v>-367</v>
      </c>
      <c r="DI376" s="561">
        <v>0</v>
      </c>
      <c r="DJ376" s="561">
        <v>0</v>
      </c>
      <c r="DK376" s="561">
        <v>0</v>
      </c>
      <c r="DL376" s="561">
        <v>356</v>
      </c>
      <c r="DM376" s="561">
        <v>0</v>
      </c>
      <c r="DN376" s="561">
        <v>35</v>
      </c>
      <c r="DO376" s="561">
        <v>86</v>
      </c>
      <c r="DP376" s="561">
        <v>5</v>
      </c>
      <c r="DQ376" s="561">
        <v>20</v>
      </c>
      <c r="DR376" s="561">
        <v>0</v>
      </c>
      <c r="DS376" s="561">
        <v>3860</v>
      </c>
      <c r="DT376" s="561">
        <v>52</v>
      </c>
      <c r="DU376" s="561">
        <v>4414</v>
      </c>
      <c r="DV376" s="561">
        <v>0</v>
      </c>
      <c r="DW376" s="561">
        <v>0</v>
      </c>
      <c r="DX376" s="561">
        <v>0</v>
      </c>
      <c r="DY376" s="561">
        <v>0</v>
      </c>
      <c r="DZ376" s="561">
        <v>0</v>
      </c>
      <c r="EA376" s="561">
        <v>0</v>
      </c>
      <c r="EB376" s="561">
        <v>0</v>
      </c>
      <c r="EC376" s="561">
        <v>4047</v>
      </c>
      <c r="ED376" s="561">
        <v>0</v>
      </c>
      <c r="EE376" s="561">
        <v>0</v>
      </c>
      <c r="EF376" s="561">
        <v>0</v>
      </c>
      <c r="EG376" s="561">
        <v>0</v>
      </c>
      <c r="EH376" s="561">
        <v>0</v>
      </c>
      <c r="EI376" s="561">
        <v>0</v>
      </c>
      <c r="EJ376" s="561">
        <v>0</v>
      </c>
      <c r="EK376" s="561">
        <v>0</v>
      </c>
      <c r="EL376" s="561">
        <v>0</v>
      </c>
      <c r="EM376" s="561">
        <v>0</v>
      </c>
      <c r="EN376" s="561">
        <v>0</v>
      </c>
      <c r="EO376" s="561">
        <v>0</v>
      </c>
      <c r="EP376" s="561">
        <v>0</v>
      </c>
      <c r="EQ376" s="561">
        <v>0</v>
      </c>
      <c r="ER376" s="561">
        <v>0</v>
      </c>
      <c r="ES376" s="561" t="s">
        <v>4565</v>
      </c>
      <c r="ET376" s="561">
        <v>0</v>
      </c>
      <c r="EU376" s="561">
        <v>0</v>
      </c>
      <c r="EV376" s="561">
        <v>0</v>
      </c>
      <c r="EW376" s="561">
        <v>0</v>
      </c>
      <c r="EX376" s="561">
        <v>0</v>
      </c>
      <c r="EY376" s="561">
        <v>0</v>
      </c>
      <c r="EZ376" s="561">
        <v>0</v>
      </c>
      <c r="FA376" s="561">
        <v>0</v>
      </c>
      <c r="FB376" s="561">
        <v>0</v>
      </c>
      <c r="FC376" s="561">
        <v>723</v>
      </c>
      <c r="FD376" s="561">
        <v>0</v>
      </c>
      <c r="FE376" s="561">
        <v>471</v>
      </c>
      <c r="FF376" s="561">
        <v>42</v>
      </c>
      <c r="FG376" s="561">
        <v>221</v>
      </c>
      <c r="FH376" s="561">
        <v>0</v>
      </c>
      <c r="FI376" s="561">
        <v>313</v>
      </c>
      <c r="FJ376" s="561">
        <v>-714</v>
      </c>
      <c r="FK376" s="561">
        <v>2923</v>
      </c>
      <c r="FL376" s="561">
        <v>129</v>
      </c>
      <c r="FM376" s="561">
        <v>0</v>
      </c>
      <c r="FN376" s="561">
        <v>0</v>
      </c>
      <c r="FO376" s="561">
        <v>4108</v>
      </c>
      <c r="FP376" s="561">
        <v>0</v>
      </c>
      <c r="FQ376" s="561">
        <v>-319</v>
      </c>
      <c r="FR376" s="561">
        <v>-3</v>
      </c>
      <c r="FS376" s="561">
        <v>0</v>
      </c>
      <c r="FT376" s="561">
        <v>-2</v>
      </c>
      <c r="FU376" s="561">
        <v>2333</v>
      </c>
      <c r="FV376" s="561">
        <v>-165</v>
      </c>
      <c r="FW376" s="561">
        <v>0</v>
      </c>
      <c r="FX376" s="561">
        <v>0</v>
      </c>
      <c r="FY376" s="561">
        <v>0</v>
      </c>
      <c r="FZ376" s="561">
        <v>3</v>
      </c>
      <c r="GA376" s="561">
        <v>53</v>
      </c>
      <c r="GB376" s="561">
        <v>43</v>
      </c>
      <c r="GC376" s="561">
        <v>-196</v>
      </c>
      <c r="GD376" s="561">
        <v>0</v>
      </c>
      <c r="GE376" s="561">
        <v>0</v>
      </c>
      <c r="GF376" s="561">
        <v>189</v>
      </c>
      <c r="GG376" s="561">
        <v>0</v>
      </c>
      <c r="GH376" s="561">
        <v>0</v>
      </c>
      <c r="GI376" s="561">
        <v>0</v>
      </c>
      <c r="GJ376" s="561">
        <v>0</v>
      </c>
      <c r="GK376" s="561">
        <v>0</v>
      </c>
      <c r="GL376" s="561">
        <v>2632</v>
      </c>
      <c r="GM376" s="561">
        <v>-22</v>
      </c>
      <c r="GN376" s="561">
        <v>1817</v>
      </c>
      <c r="GO376" s="561">
        <v>-3</v>
      </c>
      <c r="GP376" s="561">
        <v>1048</v>
      </c>
      <c r="GQ376" s="561">
        <v>59</v>
      </c>
      <c r="GR376" s="561">
        <v>94</v>
      </c>
      <c r="GS376" s="561">
        <v>7561</v>
      </c>
      <c r="GT376" s="561">
        <v>0</v>
      </c>
      <c r="GU376" s="561">
        <v>432</v>
      </c>
      <c r="GV376" s="561">
        <v>577</v>
      </c>
      <c r="GW376" s="561">
        <v>0</v>
      </c>
      <c r="GX376" s="561">
        <v>-1</v>
      </c>
      <c r="GY376" s="561">
        <v>0</v>
      </c>
      <c r="GZ376" s="561">
        <v>183</v>
      </c>
      <c r="HA376" s="561">
        <v>0</v>
      </c>
      <c r="HB376" s="561">
        <v>13</v>
      </c>
      <c r="HC376" s="561">
        <v>0</v>
      </c>
      <c r="HD376" s="561">
        <v>1204</v>
      </c>
      <c r="HE376" s="561">
        <v>0</v>
      </c>
      <c r="HF376" s="561">
        <v>12873</v>
      </c>
      <c r="HG376" s="561">
        <v>0</v>
      </c>
      <c r="HH376" s="561">
        <v>0</v>
      </c>
      <c r="HI376" s="561">
        <v>0</v>
      </c>
      <c r="HJ376" s="561">
        <v>0</v>
      </c>
      <c r="HK376" s="561">
        <v>0</v>
      </c>
      <c r="HL376" s="561">
        <v>0</v>
      </c>
      <c r="HM376" s="561">
        <v>0</v>
      </c>
      <c r="HN376" s="561">
        <v>0</v>
      </c>
      <c r="HO376" s="561">
        <v>5264</v>
      </c>
      <c r="HP376" s="561">
        <v>600</v>
      </c>
      <c r="HQ376" s="561">
        <v>0</v>
      </c>
      <c r="HR376" s="561">
        <v>0</v>
      </c>
      <c r="HS376" s="561">
        <v>0</v>
      </c>
      <c r="HT376" s="561">
        <v>1137</v>
      </c>
      <c r="HU376" s="561">
        <v>0</v>
      </c>
      <c r="HV376" s="561">
        <v>0</v>
      </c>
      <c r="HW376" s="561">
        <v>121</v>
      </c>
      <c r="HX376" s="561">
        <v>129</v>
      </c>
      <c r="HY376" s="561">
        <v>0</v>
      </c>
      <c r="HZ376" s="561">
        <v>52</v>
      </c>
      <c r="IA376" s="561">
        <v>0</v>
      </c>
      <c r="IB376" s="561">
        <v>0</v>
      </c>
      <c r="IC376" s="561">
        <v>0</v>
      </c>
      <c r="ID376" s="561">
        <v>0</v>
      </c>
      <c r="IE376" s="561">
        <v>45</v>
      </c>
      <c r="IF376" s="561">
        <v>0</v>
      </c>
      <c r="IG376" s="561">
        <v>0</v>
      </c>
      <c r="IH376" s="561">
        <v>2640</v>
      </c>
      <c r="II376" s="561">
        <v>9988</v>
      </c>
      <c r="IJ376" s="561">
        <v>0</v>
      </c>
      <c r="IK376" s="561">
        <v>0</v>
      </c>
      <c r="IL376" s="561">
        <v>0</v>
      </c>
      <c r="IM376" s="561">
        <v>0</v>
      </c>
      <c r="IN376" s="561">
        <v>0</v>
      </c>
      <c r="IO376" s="561">
        <v>0</v>
      </c>
      <c r="IP376" s="561">
        <v>0</v>
      </c>
      <c r="IQ376" s="561">
        <v>0</v>
      </c>
      <c r="IR376" s="561">
        <v>0</v>
      </c>
      <c r="IS376" s="561">
        <v>689</v>
      </c>
      <c r="IT376" s="561">
        <v>0</v>
      </c>
      <c r="IU376" s="561">
        <v>0</v>
      </c>
      <c r="IV376" s="561">
        <v>0</v>
      </c>
      <c r="IW376" s="561">
        <v>4047</v>
      </c>
      <c r="IX376" s="561">
        <v>4108</v>
      </c>
      <c r="IY376" s="561">
        <v>7561</v>
      </c>
      <c r="IZ376" s="561">
        <v>1204</v>
      </c>
      <c r="JA376" s="561">
        <v>0</v>
      </c>
      <c r="JB376" s="561">
        <v>0</v>
      </c>
      <c r="JC376" s="561">
        <v>9988</v>
      </c>
      <c r="JD376" s="561">
        <v>0</v>
      </c>
      <c r="JE376" s="561">
        <v>27597</v>
      </c>
      <c r="JF376" s="561">
        <v>26478</v>
      </c>
      <c r="JG376" s="561">
        <v>0</v>
      </c>
      <c r="JH376" s="561">
        <v>0</v>
      </c>
      <c r="JI376" s="561">
        <v>0</v>
      </c>
      <c r="JJ376" s="561">
        <v>0</v>
      </c>
      <c r="JK376" s="561">
        <v>0</v>
      </c>
      <c r="JL376" s="561">
        <v>0</v>
      </c>
      <c r="JM376" s="561">
        <v>0</v>
      </c>
      <c r="JN376" s="561">
        <v>0</v>
      </c>
      <c r="JO376" s="561">
        <v>0</v>
      </c>
      <c r="JP376" s="561">
        <v>-165</v>
      </c>
      <c r="JQ376" s="561">
        <v>0</v>
      </c>
      <c r="JR376" s="561">
        <v>0</v>
      </c>
      <c r="JS376" s="561">
        <v>0</v>
      </c>
      <c r="JT376" s="561">
        <v>0</v>
      </c>
      <c r="JU376" s="561">
        <v>0</v>
      </c>
      <c r="JV376" s="561">
        <v>53910</v>
      </c>
      <c r="JW376" s="561">
        <v>0</v>
      </c>
      <c r="JX376" s="561">
        <v>0</v>
      </c>
      <c r="JY376" s="561">
        <v>0</v>
      </c>
      <c r="JZ376" s="561">
        <v>0</v>
      </c>
      <c r="KA376" s="561">
        <v>0</v>
      </c>
      <c r="KB376" s="561">
        <v>0</v>
      </c>
      <c r="KC376" s="561">
        <v>0</v>
      </c>
      <c r="KD376" s="561">
        <v>0</v>
      </c>
      <c r="KE376" s="561">
        <v>1357</v>
      </c>
      <c r="KF376" s="561">
        <v>0</v>
      </c>
      <c r="KG376" s="561">
        <v>55267</v>
      </c>
      <c r="KH376" s="561">
        <v>-3107</v>
      </c>
      <c r="KI376" s="561">
        <v>0</v>
      </c>
      <c r="KJ376" s="561">
        <v>0</v>
      </c>
      <c r="KK376" s="561">
        <v>0</v>
      </c>
      <c r="KL376" s="561">
        <v>-24631</v>
      </c>
      <c r="KM376" s="561">
        <v>0</v>
      </c>
      <c r="KN376" s="561">
        <v>-16</v>
      </c>
      <c r="KO376" s="561">
        <v>0</v>
      </c>
      <c r="KP376" s="561">
        <v>0</v>
      </c>
      <c r="KQ376" s="561">
        <v>0</v>
      </c>
      <c r="KR376" s="561">
        <v>27513</v>
      </c>
      <c r="KS376" s="561">
        <v>0</v>
      </c>
      <c r="KT376" s="561">
        <v>-5804</v>
      </c>
      <c r="KU376" s="561">
        <v>21709</v>
      </c>
      <c r="KV376" s="561">
        <v>0</v>
      </c>
      <c r="KW376" s="561">
        <v>0</v>
      </c>
      <c r="KX376" s="561">
        <v>0</v>
      </c>
      <c r="KY376" s="561">
        <v>0</v>
      </c>
      <c r="KZ376" s="561">
        <v>-10958</v>
      </c>
      <c r="LA376" s="561">
        <v>0</v>
      </c>
      <c r="LB376" s="561">
        <v>-107</v>
      </c>
      <c r="LC376" s="561">
        <v>0</v>
      </c>
      <c r="LD376" s="561">
        <v>0</v>
      </c>
      <c r="LE376" s="561">
        <v>0</v>
      </c>
      <c r="LF376" s="561">
        <v>0</v>
      </c>
      <c r="LG376" s="561">
        <v>10644</v>
      </c>
      <c r="LH376" s="561">
        <v>0</v>
      </c>
      <c r="LI376" s="561">
        <v>0</v>
      </c>
      <c r="LJ376" s="561">
        <v>0</v>
      </c>
      <c r="LK376" s="561">
        <v>0</v>
      </c>
      <c r="LL376" s="561">
        <v>89105</v>
      </c>
      <c r="LM376" s="561">
        <v>2000</v>
      </c>
      <c r="LN376" s="561">
        <v>0</v>
      </c>
      <c r="LO376" s="561">
        <v>0</v>
      </c>
      <c r="LP376" s="561">
        <v>0</v>
      </c>
      <c r="LQ376" s="561">
        <v>0</v>
      </c>
      <c r="LR376" s="561">
        <v>78147</v>
      </c>
      <c r="LS376" s="561">
        <v>2000</v>
      </c>
      <c r="LT376" s="561">
        <v>0</v>
      </c>
      <c r="LU376" s="561">
        <v>0</v>
      </c>
      <c r="LV376" s="561">
        <v>0</v>
      </c>
      <c r="LW376" s="561">
        <v>0</v>
      </c>
      <c r="LX376" s="561">
        <v>0</v>
      </c>
      <c r="LY376" s="561">
        <v>0</v>
      </c>
      <c r="LZ376" s="561">
        <v>0</v>
      </c>
      <c r="MA376" s="561">
        <v>0</v>
      </c>
      <c r="MB376" s="561">
        <v>0</v>
      </c>
      <c r="MC376" s="561">
        <v>0</v>
      </c>
      <c r="MD376" s="561">
        <v>0</v>
      </c>
      <c r="ME376" s="561">
        <v>0</v>
      </c>
      <c r="MF376" s="561">
        <v>0</v>
      </c>
      <c r="MG376" s="561">
        <v>0</v>
      </c>
      <c r="MH376" s="561">
        <v>2370</v>
      </c>
      <c r="MI376" s="561">
        <v>5799</v>
      </c>
      <c r="MJ376" s="561">
        <v>8169</v>
      </c>
      <c r="MK376" s="561">
        <v>0</v>
      </c>
      <c r="ML376" s="561">
        <v>0</v>
      </c>
      <c r="MM376" s="561">
        <v>2920</v>
      </c>
      <c r="MN376" s="561">
        <v>75053</v>
      </c>
      <c r="MO376" s="561">
        <v>174</v>
      </c>
      <c r="MP376" s="561">
        <v>0</v>
      </c>
      <c r="MQ376" s="561">
        <v>0</v>
      </c>
      <c r="MR376" s="561">
        <v>689</v>
      </c>
      <c r="MS376" s="561">
        <v>0</v>
      </c>
      <c r="MT376" s="561">
        <v>0</v>
      </c>
      <c r="MU376" s="561">
        <v>0</v>
      </c>
      <c r="MV376" s="561">
        <v>4047</v>
      </c>
      <c r="MW376" s="561">
        <v>4108</v>
      </c>
      <c r="MX376" s="561">
        <v>7561</v>
      </c>
      <c r="MY376" s="561">
        <v>1204</v>
      </c>
      <c r="MZ376" s="561">
        <v>0</v>
      </c>
      <c r="NA376" s="561">
        <v>0</v>
      </c>
      <c r="NB376" s="561">
        <v>9988</v>
      </c>
      <c r="NC376" s="561">
        <v>0</v>
      </c>
      <c r="ND376" s="561">
        <v>27597</v>
      </c>
      <c r="NE376" s="561">
        <v>0</v>
      </c>
      <c r="NF376" s="561">
        <v>0</v>
      </c>
      <c r="NG376" s="561">
        <v>0</v>
      </c>
      <c r="NH376" s="561">
        <v>0</v>
      </c>
      <c r="NI376" s="561">
        <v>0</v>
      </c>
      <c r="NJ376" s="561">
        <v>0</v>
      </c>
      <c r="NK376" s="561">
        <v>0</v>
      </c>
      <c r="NL376" s="561">
        <v>0</v>
      </c>
      <c r="NM376" s="561">
        <v>0</v>
      </c>
      <c r="NN376" s="561">
        <v>0</v>
      </c>
      <c r="NO376" s="561">
        <v>0</v>
      </c>
      <c r="NP376" s="561">
        <v>0</v>
      </c>
      <c r="NQ376" s="561">
        <v>0</v>
      </c>
      <c r="NR376" s="561">
        <v>0</v>
      </c>
      <c r="NS376" s="561">
        <v>0</v>
      </c>
      <c r="NT376" s="561">
        <v>0</v>
      </c>
      <c r="NU376" s="561">
        <v>-3474</v>
      </c>
      <c r="NV376" s="561">
        <v>0</v>
      </c>
      <c r="NW376" s="561">
        <v>-165</v>
      </c>
      <c r="NX376" s="561">
        <v>0</v>
      </c>
      <c r="NY376" s="561">
        <v>-165</v>
      </c>
      <c r="NZ376" s="561">
        <v>0</v>
      </c>
      <c r="OA376" s="561">
        <v>0</v>
      </c>
      <c r="OB376" s="561">
        <v>0</v>
      </c>
      <c r="OC376" s="561">
        <v>0</v>
      </c>
      <c r="OD376" s="561">
        <v>0</v>
      </c>
      <c r="OE376" s="561">
        <v>0</v>
      </c>
      <c r="OF376" s="561">
        <v>0</v>
      </c>
      <c r="OG376" s="561">
        <v>0</v>
      </c>
      <c r="OH376" s="561">
        <v>0</v>
      </c>
      <c r="OI376" s="561">
        <v>0</v>
      </c>
      <c r="OJ376" s="561">
        <v>0</v>
      </c>
      <c r="OK376" s="561">
        <v>0</v>
      </c>
      <c r="OL376" s="561">
        <v>0</v>
      </c>
      <c r="OM376" s="561">
        <v>0</v>
      </c>
      <c r="ON376" s="561">
        <v>0</v>
      </c>
      <c r="OO376" s="561">
        <v>0</v>
      </c>
      <c r="OP376" s="561">
        <v>0</v>
      </c>
      <c r="OQ376" s="561">
        <v>0</v>
      </c>
      <c r="OR376" s="561">
        <v>0</v>
      </c>
      <c r="OS376" s="561">
        <v>0</v>
      </c>
      <c r="OT376" s="561">
        <v>0</v>
      </c>
      <c r="OU376" s="561">
        <v>0</v>
      </c>
      <c r="OV376" s="561">
        <v>0</v>
      </c>
      <c r="OW376" s="561">
        <v>0</v>
      </c>
      <c r="OX376" s="561">
        <v>0</v>
      </c>
      <c r="OY376" s="561">
        <v>0</v>
      </c>
      <c r="OZ376" s="561">
        <v>0</v>
      </c>
      <c r="PA376" s="561">
        <v>0</v>
      </c>
      <c r="PB376" s="561">
        <v>0</v>
      </c>
      <c r="PC376" s="561">
        <v>0</v>
      </c>
      <c r="PD376" s="561">
        <v>0</v>
      </c>
      <c r="PE376" s="561">
        <v>0</v>
      </c>
      <c r="PF376" s="561">
        <v>0</v>
      </c>
      <c r="PG376" s="561">
        <v>0</v>
      </c>
      <c r="PH376" s="561">
        <v>0</v>
      </c>
      <c r="PI376" s="561">
        <v>0</v>
      </c>
      <c r="PJ376" s="561">
        <v>0</v>
      </c>
    </row>
    <row r="377" spans="1:426" ht="14" x14ac:dyDescent="0.3">
      <c r="A377" t="s">
        <v>3571</v>
      </c>
      <c r="B377" t="s">
        <v>3572</v>
      </c>
      <c r="C377" t="s">
        <v>3573</v>
      </c>
      <c r="E377" t="s">
        <v>384</v>
      </c>
      <c r="F377" s="561">
        <v>0</v>
      </c>
      <c r="G377" s="561">
        <v>0</v>
      </c>
      <c r="H377" s="561">
        <v>0</v>
      </c>
      <c r="I377" s="561">
        <v>0</v>
      </c>
      <c r="J377" s="561">
        <v>0</v>
      </c>
      <c r="K377" s="561">
        <v>0</v>
      </c>
      <c r="L377" s="561">
        <v>0</v>
      </c>
      <c r="M377" s="561">
        <v>0</v>
      </c>
      <c r="N377" s="561">
        <v>0</v>
      </c>
      <c r="O377" s="561">
        <v>0</v>
      </c>
      <c r="P377" s="561">
        <v>0</v>
      </c>
      <c r="Q377" s="561">
        <v>0</v>
      </c>
      <c r="R377" s="561">
        <v>0</v>
      </c>
      <c r="S377" s="561">
        <v>0</v>
      </c>
      <c r="T377" s="561">
        <v>0</v>
      </c>
      <c r="U377" s="561">
        <v>0</v>
      </c>
      <c r="V377" s="561">
        <v>0</v>
      </c>
      <c r="W377" s="561">
        <v>0</v>
      </c>
      <c r="X377" s="561">
        <v>0</v>
      </c>
      <c r="Y377" s="561">
        <v>0</v>
      </c>
      <c r="Z377" s="561">
        <v>0</v>
      </c>
      <c r="AA377" s="561">
        <v>86</v>
      </c>
      <c r="AB377" s="561">
        <v>-4361</v>
      </c>
      <c r="AC377" s="561">
        <v>0</v>
      </c>
      <c r="AD377" s="561">
        <v>0</v>
      </c>
      <c r="AE377" s="561">
        <v>0</v>
      </c>
      <c r="AF377" s="561">
        <v>0</v>
      </c>
      <c r="AG377" s="561">
        <v>0</v>
      </c>
      <c r="AH377" s="561">
        <v>36</v>
      </c>
      <c r="AI377" s="561">
        <v>0</v>
      </c>
      <c r="AJ377" s="561">
        <v>-4239</v>
      </c>
      <c r="AK377" s="561">
        <v>0</v>
      </c>
      <c r="AL377" s="561">
        <v>0</v>
      </c>
      <c r="AM377" s="561">
        <v>0</v>
      </c>
      <c r="AN377" s="561">
        <v>0</v>
      </c>
      <c r="AO377" s="561">
        <v>0</v>
      </c>
      <c r="AP377" s="561">
        <v>0</v>
      </c>
      <c r="AQ377" s="561">
        <v>0</v>
      </c>
      <c r="AR377" s="561">
        <v>0</v>
      </c>
      <c r="AS377" s="561">
        <v>0</v>
      </c>
      <c r="AT377" s="561">
        <v>0</v>
      </c>
      <c r="AU377" s="561">
        <v>0</v>
      </c>
      <c r="AV377" s="561">
        <v>0</v>
      </c>
      <c r="AW377" s="561">
        <v>0</v>
      </c>
      <c r="AX377" s="561">
        <v>0</v>
      </c>
      <c r="AY377" s="561">
        <v>0</v>
      </c>
      <c r="AZ377" s="561">
        <v>0</v>
      </c>
      <c r="BA377" s="561">
        <v>0</v>
      </c>
      <c r="BB377" s="561">
        <v>0</v>
      </c>
      <c r="BC377" s="561">
        <v>0</v>
      </c>
      <c r="BD377" s="561">
        <v>0</v>
      </c>
      <c r="BE377" s="561">
        <v>0</v>
      </c>
      <c r="BF377" s="561">
        <v>0</v>
      </c>
      <c r="BG377" s="561">
        <v>0</v>
      </c>
      <c r="BH377" s="561">
        <v>0</v>
      </c>
      <c r="BI377" s="561">
        <v>0</v>
      </c>
      <c r="BJ377" s="561">
        <v>0</v>
      </c>
      <c r="BK377" s="561">
        <v>0</v>
      </c>
      <c r="BL377" s="561">
        <v>0</v>
      </c>
      <c r="BM377" s="561">
        <v>0</v>
      </c>
      <c r="BN377" s="561">
        <v>0</v>
      </c>
      <c r="BO377" s="561">
        <v>0</v>
      </c>
      <c r="BP377" s="561">
        <v>0</v>
      </c>
      <c r="BQ377" s="561">
        <v>0</v>
      </c>
      <c r="BR377" s="561">
        <v>0</v>
      </c>
      <c r="BS377" s="561">
        <v>0</v>
      </c>
      <c r="BT377" s="561">
        <v>0</v>
      </c>
      <c r="BU377" s="561">
        <v>0</v>
      </c>
      <c r="BV377" s="561">
        <v>0</v>
      </c>
      <c r="BW377" s="561">
        <v>0</v>
      </c>
      <c r="BX377" s="561">
        <v>134</v>
      </c>
      <c r="BY377" s="561">
        <v>-85</v>
      </c>
      <c r="BZ377" s="561">
        <v>49</v>
      </c>
      <c r="CA377" s="561">
        <v>0</v>
      </c>
      <c r="CB377" s="561">
        <v>0</v>
      </c>
      <c r="CC377" s="561">
        <v>0</v>
      </c>
      <c r="CD377" s="561">
        <v>0</v>
      </c>
      <c r="CE377" s="561">
        <v>0</v>
      </c>
      <c r="CF377" s="561">
        <v>0</v>
      </c>
      <c r="CG377" s="561">
        <v>0</v>
      </c>
      <c r="CH377" s="561">
        <v>0</v>
      </c>
      <c r="CI377" s="561">
        <v>0</v>
      </c>
      <c r="CJ377" s="561">
        <v>0</v>
      </c>
      <c r="CK377" s="561">
        <v>0</v>
      </c>
      <c r="CL377" s="561">
        <v>0</v>
      </c>
      <c r="CM377" s="561">
        <v>0</v>
      </c>
      <c r="CN377" s="561">
        <v>0</v>
      </c>
      <c r="CO377" s="561">
        <v>0</v>
      </c>
      <c r="CP377" s="561">
        <v>0</v>
      </c>
      <c r="CQ377" s="561">
        <v>0</v>
      </c>
      <c r="CR377" s="561">
        <v>0</v>
      </c>
      <c r="CS377" s="561">
        <v>0</v>
      </c>
      <c r="CT377" s="561">
        <v>0</v>
      </c>
      <c r="CU377" s="561">
        <v>0</v>
      </c>
      <c r="CV377" s="561">
        <v>0</v>
      </c>
      <c r="CW377" s="561">
        <v>0</v>
      </c>
      <c r="CX377" s="561">
        <v>0</v>
      </c>
      <c r="CY377" s="561">
        <v>0</v>
      </c>
      <c r="CZ377" s="561">
        <v>0</v>
      </c>
      <c r="DA377" s="561">
        <v>0</v>
      </c>
      <c r="DB377" s="561">
        <v>0</v>
      </c>
      <c r="DC377" s="561">
        <v>0</v>
      </c>
      <c r="DD377" s="561">
        <v>0</v>
      </c>
      <c r="DE377" s="561">
        <v>0</v>
      </c>
      <c r="DF377" s="561">
        <v>0</v>
      </c>
      <c r="DG377" s="561">
        <v>0</v>
      </c>
      <c r="DH377" s="561">
        <v>656</v>
      </c>
      <c r="DI377" s="561">
        <v>0</v>
      </c>
      <c r="DJ377" s="561">
        <v>60</v>
      </c>
      <c r="DK377" s="561">
        <v>23</v>
      </c>
      <c r="DL377" s="561">
        <v>0</v>
      </c>
      <c r="DM377" s="561">
        <v>0</v>
      </c>
      <c r="DN377" s="561">
        <v>0</v>
      </c>
      <c r="DO377" s="561">
        <v>149</v>
      </c>
      <c r="DP377" s="561">
        <v>0</v>
      </c>
      <c r="DQ377" s="561">
        <v>0</v>
      </c>
      <c r="DR377" s="561">
        <v>0</v>
      </c>
      <c r="DS377" s="561">
        <v>837</v>
      </c>
      <c r="DT377" s="561">
        <v>-165</v>
      </c>
      <c r="DU377" s="561">
        <v>821</v>
      </c>
      <c r="DV377" s="561">
        <v>568</v>
      </c>
      <c r="DW377" s="561">
        <v>0</v>
      </c>
      <c r="DX377" s="561">
        <v>0</v>
      </c>
      <c r="DY377" s="561">
        <v>0</v>
      </c>
      <c r="DZ377" s="561">
        <v>0</v>
      </c>
      <c r="EA377" s="561">
        <v>0</v>
      </c>
      <c r="EB377" s="561">
        <v>0</v>
      </c>
      <c r="EC377" s="561">
        <v>2128</v>
      </c>
      <c r="ED377" s="561">
        <v>0</v>
      </c>
      <c r="EE377" s="561" t="s">
        <v>3574</v>
      </c>
      <c r="EF377" s="561" t="s">
        <v>3574</v>
      </c>
      <c r="EG377" s="561" t="s">
        <v>3574</v>
      </c>
      <c r="EH377" s="561" t="s">
        <v>3574</v>
      </c>
      <c r="EI377" s="561" t="s">
        <v>3574</v>
      </c>
      <c r="EJ377" s="561" t="s">
        <v>3574</v>
      </c>
      <c r="EK377" s="561" t="s">
        <v>3574</v>
      </c>
      <c r="EL377" s="561" t="s">
        <v>3574</v>
      </c>
      <c r="EM377" s="561" t="s">
        <v>3574</v>
      </c>
      <c r="EN377" s="561" t="s">
        <v>3574</v>
      </c>
      <c r="EO377" s="561" t="s">
        <v>3574</v>
      </c>
      <c r="EP377" s="561" t="s">
        <v>3574</v>
      </c>
      <c r="EQ377" s="561" t="s">
        <v>3574</v>
      </c>
      <c r="ER377" s="561" t="s">
        <v>3574</v>
      </c>
      <c r="ES377" s="561" t="s">
        <v>4565</v>
      </c>
      <c r="ET377" s="561" t="s">
        <v>3574</v>
      </c>
      <c r="EU377" s="561" t="s">
        <v>3574</v>
      </c>
      <c r="EV377" s="561" t="s">
        <v>3574</v>
      </c>
      <c r="EW377" s="561" t="s">
        <v>3574</v>
      </c>
      <c r="EX377" s="561" t="s">
        <v>3574</v>
      </c>
      <c r="EY377" s="561" t="s">
        <v>3574</v>
      </c>
      <c r="EZ377" s="561" t="s">
        <v>3574</v>
      </c>
      <c r="FA377" s="561" t="s">
        <v>3574</v>
      </c>
      <c r="FB377" s="561">
        <v>0</v>
      </c>
      <c r="FC377" s="561">
        <v>-41</v>
      </c>
      <c r="FD377" s="561">
        <v>0</v>
      </c>
      <c r="FE377" s="561">
        <v>116</v>
      </c>
      <c r="FF377" s="561">
        <v>0</v>
      </c>
      <c r="FG377" s="561">
        <v>0</v>
      </c>
      <c r="FH377" s="561">
        <v>0</v>
      </c>
      <c r="FI377" s="561">
        <v>128</v>
      </c>
      <c r="FJ377" s="561">
        <v>258.06</v>
      </c>
      <c r="FK377" s="561">
        <v>1917</v>
      </c>
      <c r="FL377" s="561">
        <v>0</v>
      </c>
      <c r="FM377" s="561">
        <v>0</v>
      </c>
      <c r="FN377" s="561">
        <v>0</v>
      </c>
      <c r="FO377" s="561">
        <v>2378.06</v>
      </c>
      <c r="FP377" s="561">
        <v>0</v>
      </c>
      <c r="FQ377" s="561">
        <v>148.63999999999999</v>
      </c>
      <c r="FR377" s="561">
        <v>0</v>
      </c>
      <c r="FS377" s="561">
        <v>0</v>
      </c>
      <c r="FT377" s="561">
        <v>2</v>
      </c>
      <c r="FU377" s="561">
        <v>230.42</v>
      </c>
      <c r="FV377" s="561">
        <v>-12</v>
      </c>
      <c r="FW377" s="561">
        <v>0</v>
      </c>
      <c r="FX377" s="561">
        <v>0</v>
      </c>
      <c r="FY377" s="561">
        <v>0</v>
      </c>
      <c r="FZ377" s="561">
        <v>65</v>
      </c>
      <c r="GA377" s="561">
        <v>9</v>
      </c>
      <c r="GB377" s="561">
        <v>903</v>
      </c>
      <c r="GC377" s="561">
        <v>91</v>
      </c>
      <c r="GD377" s="561">
        <v>0</v>
      </c>
      <c r="GE377" s="561">
        <v>67.459999999999994</v>
      </c>
      <c r="GF377" s="561">
        <v>0</v>
      </c>
      <c r="GG377" s="561">
        <v>34</v>
      </c>
      <c r="GH377" s="561">
        <v>0</v>
      </c>
      <c r="GI377" s="561">
        <v>0</v>
      </c>
      <c r="GJ377" s="561">
        <v>0</v>
      </c>
      <c r="GK377" s="561">
        <v>0</v>
      </c>
      <c r="GL377" s="561">
        <v>1500</v>
      </c>
      <c r="GM377" s="561">
        <v>2307</v>
      </c>
      <c r="GN377" s="561">
        <v>0</v>
      </c>
      <c r="GO377" s="561">
        <v>0</v>
      </c>
      <c r="GP377" s="561">
        <v>2295</v>
      </c>
      <c r="GQ377" s="561">
        <v>0</v>
      </c>
      <c r="GR377" s="561">
        <v>0</v>
      </c>
      <c r="GS377" s="561">
        <v>7640.52</v>
      </c>
      <c r="GT377" s="561">
        <v>0</v>
      </c>
      <c r="GU377" s="561">
        <v>212.08</v>
      </c>
      <c r="GV377" s="561">
        <v>2893</v>
      </c>
      <c r="GW377" s="561">
        <v>142</v>
      </c>
      <c r="GX377" s="561">
        <v>630</v>
      </c>
      <c r="GY377" s="561">
        <v>235</v>
      </c>
      <c r="GZ377" s="561">
        <v>1762</v>
      </c>
      <c r="HA377" s="561">
        <v>0</v>
      </c>
      <c r="HB377" s="561">
        <v>0</v>
      </c>
      <c r="HC377" s="561">
        <v>28</v>
      </c>
      <c r="HD377" s="561">
        <v>5902.08</v>
      </c>
      <c r="HE377" s="561">
        <v>0</v>
      </c>
      <c r="HF377" s="561">
        <v>15920.66</v>
      </c>
      <c r="HG377" s="561">
        <v>0</v>
      </c>
      <c r="HH377" s="561">
        <v>0</v>
      </c>
      <c r="HI377" s="561">
        <v>0</v>
      </c>
      <c r="HJ377" s="561">
        <v>0</v>
      </c>
      <c r="HK377" s="561">
        <v>0</v>
      </c>
      <c r="HL377" s="561">
        <v>0</v>
      </c>
      <c r="HM377" s="561">
        <v>0</v>
      </c>
      <c r="HN377" s="561">
        <v>0</v>
      </c>
      <c r="HO377" s="561">
        <v>4038.77</v>
      </c>
      <c r="HP377" s="561">
        <v>498</v>
      </c>
      <c r="HQ377" s="561">
        <v>0</v>
      </c>
      <c r="HR377" s="561">
        <v>0</v>
      </c>
      <c r="HS377" s="561">
        <v>319.05</v>
      </c>
      <c r="HT377" s="561">
        <v>-6</v>
      </c>
      <c r="HU377" s="561">
        <v>0</v>
      </c>
      <c r="HV377" s="561">
        <v>0</v>
      </c>
      <c r="HW377" s="561">
        <v>238</v>
      </c>
      <c r="HX377" s="561">
        <v>189.63</v>
      </c>
      <c r="HY377" s="561">
        <v>277</v>
      </c>
      <c r="HZ377" s="561">
        <v>105.25</v>
      </c>
      <c r="IA377" s="561">
        <v>0</v>
      </c>
      <c r="IB377" s="561">
        <v>14</v>
      </c>
      <c r="IC377" s="561">
        <v>0</v>
      </c>
      <c r="ID377" s="561">
        <v>0</v>
      </c>
      <c r="IE377" s="561">
        <v>1100</v>
      </c>
      <c r="IF377" s="561">
        <v>0</v>
      </c>
      <c r="IG377" s="561">
        <v>0</v>
      </c>
      <c r="IH377" s="561">
        <v>1673</v>
      </c>
      <c r="II377" s="561">
        <v>8446.7000000000007</v>
      </c>
      <c r="IJ377" s="561">
        <v>0</v>
      </c>
      <c r="IK377" s="561">
        <v>1105</v>
      </c>
      <c r="IL377" s="561">
        <v>0</v>
      </c>
      <c r="IM377" s="561">
        <v>0</v>
      </c>
      <c r="IN377" s="561">
        <v>0</v>
      </c>
      <c r="IO377" s="561">
        <v>0</v>
      </c>
      <c r="IP377" s="561">
        <v>-772</v>
      </c>
      <c r="IQ377" s="561">
        <v>0</v>
      </c>
      <c r="IR377" s="561">
        <v>0</v>
      </c>
      <c r="IS377" s="561">
        <v>-4239</v>
      </c>
      <c r="IT377" s="561">
        <v>0</v>
      </c>
      <c r="IU377" s="561">
        <v>49</v>
      </c>
      <c r="IV377" s="561">
        <v>0</v>
      </c>
      <c r="IW377" s="561">
        <v>2128</v>
      </c>
      <c r="IX377" s="561">
        <v>2378.06</v>
      </c>
      <c r="IY377" s="561">
        <v>7640.52</v>
      </c>
      <c r="IZ377" s="561">
        <v>5902.08</v>
      </c>
      <c r="JA377" s="561">
        <v>0</v>
      </c>
      <c r="JB377" s="561">
        <v>0</v>
      </c>
      <c r="JC377" s="561">
        <v>8446.7000000000007</v>
      </c>
      <c r="JD377" s="561">
        <v>-772</v>
      </c>
      <c r="JE377" s="561">
        <v>21533.360000000001</v>
      </c>
      <c r="JF377" s="561">
        <v>9152</v>
      </c>
      <c r="JG377" s="561">
        <v>0</v>
      </c>
      <c r="JH377" s="561">
        <v>8473</v>
      </c>
      <c r="JI377" s="561">
        <v>0</v>
      </c>
      <c r="JJ377" s="561">
        <v>0</v>
      </c>
      <c r="JK377" s="561">
        <v>4735</v>
      </c>
      <c r="JL377" s="561">
        <v>0</v>
      </c>
      <c r="JM377" s="561">
        <v>0</v>
      </c>
      <c r="JN377" s="561">
        <v>0</v>
      </c>
      <c r="JO377" s="561">
        <v>0</v>
      </c>
      <c r="JP377" s="561">
        <v>-633</v>
      </c>
      <c r="JQ377" s="561">
        <v>3</v>
      </c>
      <c r="JR377" s="561">
        <v>0</v>
      </c>
      <c r="JS377" s="561">
        <v>0</v>
      </c>
      <c r="JT377" s="561">
        <v>0</v>
      </c>
      <c r="JU377" s="561">
        <v>0</v>
      </c>
      <c r="JV377" s="561">
        <v>43263.360000000001</v>
      </c>
      <c r="JW377" s="561">
        <v>0</v>
      </c>
      <c r="JX377" s="561">
        <v>880</v>
      </c>
      <c r="JY377" s="561">
        <v>0</v>
      </c>
      <c r="JZ377" s="561">
        <v>0</v>
      </c>
      <c r="KA377" s="561">
        <v>0</v>
      </c>
      <c r="KB377" s="561">
        <v>80</v>
      </c>
      <c r="KC377" s="561">
        <v>0</v>
      </c>
      <c r="KD377" s="561">
        <v>25</v>
      </c>
      <c r="KE377" s="561">
        <v>456</v>
      </c>
      <c r="KF377" s="561">
        <v>1837</v>
      </c>
      <c r="KG377" s="561">
        <v>46541.36</v>
      </c>
      <c r="KH377" s="561">
        <v>-6381</v>
      </c>
      <c r="KI377" s="561">
        <v>0</v>
      </c>
      <c r="KJ377" s="561">
        <v>0</v>
      </c>
      <c r="KK377" s="561">
        <v>0</v>
      </c>
      <c r="KL377" s="561">
        <v>-17625</v>
      </c>
      <c r="KM377" s="561">
        <v>0</v>
      </c>
      <c r="KN377" s="561">
        <v>-457</v>
      </c>
      <c r="KO377" s="561">
        <v>0</v>
      </c>
      <c r="KP377" s="561">
        <v>0</v>
      </c>
      <c r="KQ377" s="561">
        <v>0</v>
      </c>
      <c r="KR377" s="561">
        <v>22078.36</v>
      </c>
      <c r="KS377" s="561">
        <v>0</v>
      </c>
      <c r="KT377" s="561">
        <v>-3504</v>
      </c>
      <c r="KU377" s="561">
        <v>18574.36</v>
      </c>
      <c r="KV377" s="561">
        <v>0</v>
      </c>
      <c r="KW377" s="561">
        <v>0</v>
      </c>
      <c r="KX377" s="561">
        <v>0</v>
      </c>
      <c r="KY377" s="561">
        <v>0</v>
      </c>
      <c r="KZ377" s="561">
        <v>104</v>
      </c>
      <c r="LA377" s="561">
        <v>1394</v>
      </c>
      <c r="LB377" s="561">
        <v>-121</v>
      </c>
      <c r="LC377" s="561">
        <v>0</v>
      </c>
      <c r="LD377" s="561">
        <v>-2814</v>
      </c>
      <c r="LE377" s="561">
        <v>-303</v>
      </c>
      <c r="LF377" s="561">
        <v>0</v>
      </c>
      <c r="LG377" s="561">
        <v>16834</v>
      </c>
      <c r="LH377" s="561">
        <v>0</v>
      </c>
      <c r="LI377" s="561">
        <v>0</v>
      </c>
      <c r="LJ377" s="561">
        <v>0</v>
      </c>
      <c r="LK377" s="561">
        <v>0</v>
      </c>
      <c r="LL377" s="561">
        <v>20463</v>
      </c>
      <c r="LM377" s="561">
        <v>4591</v>
      </c>
      <c r="LN377" s="561">
        <v>0</v>
      </c>
      <c r="LO377" s="561">
        <v>0</v>
      </c>
      <c r="LP377" s="561">
        <v>0</v>
      </c>
      <c r="LQ377" s="561">
        <v>0</v>
      </c>
      <c r="LR377" s="561">
        <v>20567</v>
      </c>
      <c r="LS377" s="561">
        <v>5985</v>
      </c>
      <c r="LT377" s="561">
        <v>0</v>
      </c>
      <c r="LU377" s="561">
        <v>2158</v>
      </c>
      <c r="LV377" s="561">
        <v>121</v>
      </c>
      <c r="LW377" s="561">
        <v>0</v>
      </c>
      <c r="LX377" s="561">
        <v>0</v>
      </c>
      <c r="LY377" s="561">
        <v>682</v>
      </c>
      <c r="LZ377" s="561">
        <v>2961</v>
      </c>
      <c r="MA377" s="561">
        <v>0</v>
      </c>
      <c r="MB377" s="561">
        <v>0</v>
      </c>
      <c r="MC377" s="561" t="s">
        <v>4680</v>
      </c>
      <c r="MD377" s="561" t="s">
        <v>4680</v>
      </c>
      <c r="ME377" s="561" t="s">
        <v>4680</v>
      </c>
      <c r="MF377" s="561" t="s">
        <v>4680</v>
      </c>
      <c r="MG377" s="561" t="s">
        <v>4680</v>
      </c>
      <c r="MH377" s="561">
        <v>2936</v>
      </c>
      <c r="MI377" s="561">
        <v>3550</v>
      </c>
      <c r="MJ377" s="561">
        <v>6486</v>
      </c>
      <c r="MK377" s="561">
        <v>0</v>
      </c>
      <c r="ML377" s="561">
        <v>64</v>
      </c>
      <c r="MM377" s="561">
        <v>16771</v>
      </c>
      <c r="MN377" s="561">
        <v>2651</v>
      </c>
      <c r="MO377" s="561">
        <v>0</v>
      </c>
      <c r="MP377" s="561">
        <v>1081</v>
      </c>
      <c r="MQ377" s="561">
        <v>0</v>
      </c>
      <c r="MR377" s="561">
        <v>-4239</v>
      </c>
      <c r="MS377" s="561">
        <v>0</v>
      </c>
      <c r="MT377" s="561">
        <v>49</v>
      </c>
      <c r="MU377" s="561">
        <v>0</v>
      </c>
      <c r="MV377" s="561">
        <v>2128</v>
      </c>
      <c r="MW377" s="561">
        <v>2378.06</v>
      </c>
      <c r="MX377" s="561">
        <v>7640.52</v>
      </c>
      <c r="MY377" s="561">
        <v>5902.08</v>
      </c>
      <c r="MZ377" s="561">
        <v>0</v>
      </c>
      <c r="NA377" s="561">
        <v>0</v>
      </c>
      <c r="NB377" s="561">
        <v>8446.7000000000007</v>
      </c>
      <c r="NC377" s="561">
        <v>-772</v>
      </c>
      <c r="ND377" s="561">
        <v>21533.360000000001</v>
      </c>
      <c r="NE377" s="561">
        <v>0</v>
      </c>
      <c r="NF377" s="561">
        <v>0</v>
      </c>
      <c r="NG377" s="561">
        <v>0</v>
      </c>
      <c r="NH377" s="561">
        <v>0</v>
      </c>
      <c r="NI377" s="561">
        <v>0</v>
      </c>
      <c r="NJ377" s="561">
        <v>0</v>
      </c>
      <c r="NK377" s="561">
        <v>0</v>
      </c>
      <c r="NL377" s="561">
        <v>-24</v>
      </c>
      <c r="NM377" s="561">
        <v>0</v>
      </c>
      <c r="NN377" s="561">
        <v>0</v>
      </c>
      <c r="NO377" s="561">
        <v>0</v>
      </c>
      <c r="NP377" s="561">
        <v>0</v>
      </c>
      <c r="NQ377" s="561">
        <v>0</v>
      </c>
      <c r="NR377" s="561">
        <v>0</v>
      </c>
      <c r="NS377" s="561">
        <v>0</v>
      </c>
      <c r="NT377" s="561">
        <v>-609</v>
      </c>
      <c r="NU377" s="561">
        <v>0</v>
      </c>
      <c r="NV377" s="561">
        <v>0</v>
      </c>
      <c r="NW377" s="561">
        <v>-633</v>
      </c>
      <c r="NX377" s="561">
        <v>0</v>
      </c>
      <c r="NY377" s="561">
        <v>-633</v>
      </c>
      <c r="NZ377" s="561">
        <v>0</v>
      </c>
      <c r="OA377" s="561">
        <v>0</v>
      </c>
      <c r="OB377" s="561">
        <v>0</v>
      </c>
      <c r="OC377" s="561">
        <v>0</v>
      </c>
      <c r="OD377" s="561">
        <v>0</v>
      </c>
      <c r="OE377" s="561">
        <v>0</v>
      </c>
      <c r="OF377" s="561">
        <v>0</v>
      </c>
      <c r="OG377" s="561">
        <v>0</v>
      </c>
      <c r="OH377" s="561">
        <v>0</v>
      </c>
      <c r="OI377" s="561">
        <v>0</v>
      </c>
      <c r="OJ377" s="561">
        <v>0</v>
      </c>
      <c r="OK377" s="561">
        <v>0</v>
      </c>
      <c r="OL377" s="561">
        <v>0</v>
      </c>
      <c r="OM377" s="561">
        <v>0</v>
      </c>
      <c r="ON377" s="561">
        <v>0</v>
      </c>
      <c r="OO377" s="561">
        <v>0</v>
      </c>
      <c r="OP377" s="561">
        <v>3</v>
      </c>
      <c r="OQ377" s="561">
        <v>0</v>
      </c>
      <c r="OR377" s="561">
        <v>0</v>
      </c>
      <c r="OS377" s="561">
        <v>0</v>
      </c>
      <c r="OT377" s="561">
        <v>0</v>
      </c>
      <c r="OU377" s="561">
        <v>0</v>
      </c>
      <c r="OV377" s="561">
        <v>3</v>
      </c>
      <c r="OW377" s="561">
        <v>0</v>
      </c>
      <c r="OX377" s="561">
        <v>3</v>
      </c>
      <c r="OY377" s="561">
        <v>0</v>
      </c>
      <c r="OZ377" s="561">
        <v>0</v>
      </c>
      <c r="PA377" s="561">
        <v>0</v>
      </c>
      <c r="PB377" s="561">
        <v>0</v>
      </c>
      <c r="PC377" s="561">
        <v>0</v>
      </c>
      <c r="PD377" s="561">
        <v>0</v>
      </c>
      <c r="PE377" s="561">
        <v>0</v>
      </c>
      <c r="PF377" s="561">
        <v>0</v>
      </c>
      <c r="PG377" s="561">
        <v>0</v>
      </c>
      <c r="PH377" s="561">
        <v>0</v>
      </c>
      <c r="PI377" s="561">
        <v>0</v>
      </c>
      <c r="PJ377" s="561">
        <v>0</v>
      </c>
    </row>
    <row r="378" spans="1:426" ht="14" x14ac:dyDescent="0.3">
      <c r="A378" t="s">
        <v>3575</v>
      </c>
      <c r="B378" t="s">
        <v>3576</v>
      </c>
      <c r="C378" t="s">
        <v>3577</v>
      </c>
      <c r="E378" t="s">
        <v>384</v>
      </c>
      <c r="F378" s="561">
        <v>0</v>
      </c>
      <c r="G378" s="561">
        <v>0</v>
      </c>
      <c r="H378" s="561">
        <v>0</v>
      </c>
      <c r="I378" s="561">
        <v>0</v>
      </c>
      <c r="J378" s="561">
        <v>0</v>
      </c>
      <c r="K378" s="561">
        <v>0</v>
      </c>
      <c r="L378" s="561">
        <v>0</v>
      </c>
      <c r="M378" s="561">
        <v>0</v>
      </c>
      <c r="N378" s="561">
        <v>0</v>
      </c>
      <c r="O378" s="561">
        <v>0</v>
      </c>
      <c r="P378" s="561">
        <v>0</v>
      </c>
      <c r="Q378" s="561">
        <v>0</v>
      </c>
      <c r="R378" s="561">
        <v>0</v>
      </c>
      <c r="S378" s="561">
        <v>0</v>
      </c>
      <c r="T378" s="561">
        <v>0</v>
      </c>
      <c r="U378" s="561">
        <v>0</v>
      </c>
      <c r="V378" s="561">
        <v>0</v>
      </c>
      <c r="W378" s="561">
        <v>0</v>
      </c>
      <c r="X378" s="561">
        <v>0</v>
      </c>
      <c r="Y378" s="561">
        <v>0</v>
      </c>
      <c r="Z378" s="561">
        <v>0</v>
      </c>
      <c r="AA378" s="561">
        <v>0</v>
      </c>
      <c r="AB378" s="561">
        <v>524</v>
      </c>
      <c r="AC378" s="561">
        <v>0</v>
      </c>
      <c r="AD378" s="561">
        <v>0</v>
      </c>
      <c r="AE378" s="561">
        <v>0</v>
      </c>
      <c r="AF378" s="561">
        <v>0</v>
      </c>
      <c r="AG378" s="561">
        <v>0</v>
      </c>
      <c r="AH378" s="561">
        <v>0</v>
      </c>
      <c r="AI378" s="561">
        <v>0</v>
      </c>
      <c r="AJ378" s="561">
        <v>524</v>
      </c>
      <c r="AK378" s="561">
        <v>0</v>
      </c>
      <c r="AL378" s="561">
        <v>0</v>
      </c>
      <c r="AM378" s="561">
        <v>0</v>
      </c>
      <c r="AN378" s="561">
        <v>0</v>
      </c>
      <c r="AO378" s="561">
        <v>0</v>
      </c>
      <c r="AP378" s="561">
        <v>0</v>
      </c>
      <c r="AQ378" s="561">
        <v>0</v>
      </c>
      <c r="AR378" s="561">
        <v>0</v>
      </c>
      <c r="AS378" s="561">
        <v>0</v>
      </c>
      <c r="AT378" s="561">
        <v>0</v>
      </c>
      <c r="AU378" s="561">
        <v>0</v>
      </c>
      <c r="AV378" s="561">
        <v>0</v>
      </c>
      <c r="AW378" s="561">
        <v>0</v>
      </c>
      <c r="AX378" s="561">
        <v>0</v>
      </c>
      <c r="AY378" s="561">
        <v>0</v>
      </c>
      <c r="AZ378" s="561">
        <v>0</v>
      </c>
      <c r="BA378" s="561">
        <v>0</v>
      </c>
      <c r="BB378" s="561">
        <v>0</v>
      </c>
      <c r="BC378" s="561">
        <v>0</v>
      </c>
      <c r="BD378" s="561">
        <v>280</v>
      </c>
      <c r="BE378" s="561">
        <v>0</v>
      </c>
      <c r="BF378" s="561">
        <v>280</v>
      </c>
      <c r="BG378" s="561">
        <v>0</v>
      </c>
      <c r="BH378" s="561">
        <v>0</v>
      </c>
      <c r="BI378" s="561">
        <v>0</v>
      </c>
      <c r="BJ378" s="561">
        <v>0</v>
      </c>
      <c r="BK378" s="561">
        <v>0</v>
      </c>
      <c r="BL378" s="561">
        <v>0</v>
      </c>
      <c r="BM378" s="561">
        <v>0</v>
      </c>
      <c r="BN378" s="561">
        <v>0</v>
      </c>
      <c r="BO378" s="561">
        <v>0</v>
      </c>
      <c r="BP378" s="561">
        <v>0</v>
      </c>
      <c r="BQ378" s="561">
        <v>0</v>
      </c>
      <c r="BR378" s="561">
        <v>0</v>
      </c>
      <c r="BS378" s="561">
        <v>0</v>
      </c>
      <c r="BT378" s="561">
        <v>0</v>
      </c>
      <c r="BU378" s="561">
        <v>0</v>
      </c>
      <c r="BV378" s="561">
        <v>0</v>
      </c>
      <c r="BW378" s="561">
        <v>0</v>
      </c>
      <c r="BX378" s="561">
        <v>0</v>
      </c>
      <c r="BY378" s="561">
        <v>0</v>
      </c>
      <c r="BZ378" s="561">
        <v>0</v>
      </c>
      <c r="CA378" s="561">
        <v>0</v>
      </c>
      <c r="CB378" s="561">
        <v>0</v>
      </c>
      <c r="CC378" s="561">
        <v>0</v>
      </c>
      <c r="CD378" s="561">
        <v>0</v>
      </c>
      <c r="CE378" s="561">
        <v>0</v>
      </c>
      <c r="CF378" s="561">
        <v>0</v>
      </c>
      <c r="CG378" s="561">
        <v>0</v>
      </c>
      <c r="CH378" s="561">
        <v>0</v>
      </c>
      <c r="CI378" s="561">
        <v>0</v>
      </c>
      <c r="CJ378" s="561">
        <v>0</v>
      </c>
      <c r="CK378" s="561">
        <v>0</v>
      </c>
      <c r="CL378" s="561">
        <v>0</v>
      </c>
      <c r="CM378" s="561">
        <v>0</v>
      </c>
      <c r="CN378" s="561">
        <v>0</v>
      </c>
      <c r="CO378" s="561">
        <v>0</v>
      </c>
      <c r="CP378" s="561">
        <v>0</v>
      </c>
      <c r="CQ378" s="561">
        <v>0</v>
      </c>
      <c r="CR378" s="561">
        <v>0</v>
      </c>
      <c r="CS378" s="561">
        <v>0</v>
      </c>
      <c r="CT378" s="561">
        <v>0</v>
      </c>
      <c r="CU378" s="561">
        <v>0</v>
      </c>
      <c r="CV378" s="561">
        <v>0</v>
      </c>
      <c r="CW378" s="561">
        <v>0</v>
      </c>
      <c r="CX378" s="561">
        <v>0</v>
      </c>
      <c r="CY378" s="561">
        <v>0</v>
      </c>
      <c r="CZ378" s="561">
        <v>0</v>
      </c>
      <c r="DA378" s="561">
        <v>0</v>
      </c>
      <c r="DB378" s="561">
        <v>0</v>
      </c>
      <c r="DC378" s="561">
        <v>0</v>
      </c>
      <c r="DD378" s="561">
        <v>0</v>
      </c>
      <c r="DE378" s="561">
        <v>0</v>
      </c>
      <c r="DF378" s="561">
        <v>0</v>
      </c>
      <c r="DG378" s="561">
        <v>0</v>
      </c>
      <c r="DH378" s="561">
        <v>307</v>
      </c>
      <c r="DI378" s="561">
        <v>0</v>
      </c>
      <c r="DJ378" s="561">
        <v>195</v>
      </c>
      <c r="DK378" s="561">
        <v>204</v>
      </c>
      <c r="DL378" s="561">
        <v>0</v>
      </c>
      <c r="DM378" s="561">
        <v>0</v>
      </c>
      <c r="DN378" s="561">
        <v>0</v>
      </c>
      <c r="DO378" s="561">
        <v>522</v>
      </c>
      <c r="DP378" s="561">
        <v>131</v>
      </c>
      <c r="DQ378" s="561">
        <v>0</v>
      </c>
      <c r="DR378" s="561">
        <v>954</v>
      </c>
      <c r="DS378" s="561">
        <v>604</v>
      </c>
      <c r="DT378" s="561">
        <v>0</v>
      </c>
      <c r="DU378" s="561">
        <v>2211</v>
      </c>
      <c r="DV378" s="561">
        <v>477</v>
      </c>
      <c r="DW378" s="561">
        <v>171</v>
      </c>
      <c r="DX378" s="561">
        <v>10</v>
      </c>
      <c r="DY378" s="561">
        <v>1883</v>
      </c>
      <c r="DZ378" s="561">
        <v>0</v>
      </c>
      <c r="EA378" s="561">
        <v>0</v>
      </c>
      <c r="EB378" s="561">
        <v>0</v>
      </c>
      <c r="EC378" s="561">
        <v>5458</v>
      </c>
      <c r="ED378" s="561">
        <v>77</v>
      </c>
      <c r="EE378" s="561">
        <v>17928</v>
      </c>
      <c r="EF378" s="561">
        <v>182</v>
      </c>
      <c r="EG378" s="561">
        <v>1549</v>
      </c>
      <c r="EH378" s="561">
        <v>505</v>
      </c>
      <c r="EI378" s="561">
        <v>0</v>
      </c>
      <c r="EJ378" s="561">
        <v>0</v>
      </c>
      <c r="EK378" s="561">
        <v>192</v>
      </c>
      <c r="EL378" s="561">
        <v>0</v>
      </c>
      <c r="EM378" s="561">
        <v>1</v>
      </c>
      <c r="EN378" s="561">
        <v>4899</v>
      </c>
      <c r="EO378" s="561">
        <v>3760</v>
      </c>
      <c r="EP378" s="561">
        <v>1374</v>
      </c>
      <c r="EQ378" s="561">
        <v>204</v>
      </c>
      <c r="ER378" s="561">
        <v>0</v>
      </c>
      <c r="ES378" s="561" t="s">
        <v>4565</v>
      </c>
      <c r="ET378" s="561">
        <v>6351</v>
      </c>
      <c r="EU378" s="561">
        <v>3160</v>
      </c>
      <c r="EV378" s="561">
        <v>58</v>
      </c>
      <c r="EW378" s="561">
        <v>3310</v>
      </c>
      <c r="EX378" s="561">
        <v>0</v>
      </c>
      <c r="EY378" s="561">
        <v>248</v>
      </c>
      <c r="EZ378" s="561">
        <v>-3007</v>
      </c>
      <c r="FA378" s="561">
        <v>5549</v>
      </c>
      <c r="FB378" s="561">
        <v>0</v>
      </c>
      <c r="FC378" s="561">
        <v>8</v>
      </c>
      <c r="FD378" s="561">
        <v>0</v>
      </c>
      <c r="FE378" s="561">
        <v>0</v>
      </c>
      <c r="FF378" s="561">
        <v>0</v>
      </c>
      <c r="FG378" s="561">
        <v>0</v>
      </c>
      <c r="FH378" s="561">
        <v>31</v>
      </c>
      <c r="FI378" s="561">
        <v>134</v>
      </c>
      <c r="FJ378" s="561">
        <v>-41</v>
      </c>
      <c r="FK378" s="561">
        <v>65</v>
      </c>
      <c r="FL378" s="561">
        <v>0</v>
      </c>
      <c r="FM378" s="561">
        <v>133</v>
      </c>
      <c r="FN378" s="561">
        <v>0</v>
      </c>
      <c r="FO378" s="561">
        <v>330</v>
      </c>
      <c r="FP378" s="561">
        <v>0</v>
      </c>
      <c r="FQ378" s="561">
        <v>-342</v>
      </c>
      <c r="FR378" s="561">
        <v>0</v>
      </c>
      <c r="FS378" s="561">
        <v>0</v>
      </c>
      <c r="FT378" s="561">
        <v>217</v>
      </c>
      <c r="FU378" s="561">
        <v>318</v>
      </c>
      <c r="FV378" s="561">
        <v>0</v>
      </c>
      <c r="FW378" s="561">
        <v>145</v>
      </c>
      <c r="FX378" s="561">
        <v>0</v>
      </c>
      <c r="FY378" s="561">
        <v>0</v>
      </c>
      <c r="FZ378" s="561">
        <v>31</v>
      </c>
      <c r="GA378" s="561">
        <v>156</v>
      </c>
      <c r="GB378" s="561">
        <v>155</v>
      </c>
      <c r="GC378" s="561">
        <v>176</v>
      </c>
      <c r="GD378" s="561">
        <v>-3</v>
      </c>
      <c r="GE378" s="561">
        <v>0</v>
      </c>
      <c r="GF378" s="561">
        <v>0</v>
      </c>
      <c r="GG378" s="561">
        <v>21</v>
      </c>
      <c r="GH378" s="561">
        <v>0</v>
      </c>
      <c r="GI378" s="561">
        <v>94</v>
      </c>
      <c r="GJ378" s="561">
        <v>0</v>
      </c>
      <c r="GK378" s="561">
        <v>0</v>
      </c>
      <c r="GL378" s="561">
        <v>1406</v>
      </c>
      <c r="GM378" s="561">
        <v>3566</v>
      </c>
      <c r="GN378" s="561">
        <v>0</v>
      </c>
      <c r="GO378" s="561">
        <v>0</v>
      </c>
      <c r="GP378" s="561">
        <v>1410</v>
      </c>
      <c r="GQ378" s="561">
        <v>0</v>
      </c>
      <c r="GR378" s="561">
        <v>265</v>
      </c>
      <c r="GS378" s="561">
        <v>7615</v>
      </c>
      <c r="GT378" s="561">
        <v>0</v>
      </c>
      <c r="GU378" s="561">
        <v>384</v>
      </c>
      <c r="GV378" s="561">
        <v>2261</v>
      </c>
      <c r="GW378" s="561">
        <v>0</v>
      </c>
      <c r="GX378" s="561">
        <v>1001</v>
      </c>
      <c r="GY378" s="561">
        <v>0</v>
      </c>
      <c r="GZ378" s="561">
        <v>623</v>
      </c>
      <c r="HA378" s="561">
        <v>0</v>
      </c>
      <c r="HB378" s="561">
        <v>-355</v>
      </c>
      <c r="HC378" s="561">
        <v>0</v>
      </c>
      <c r="HD378" s="561">
        <v>3914</v>
      </c>
      <c r="HE378" s="561">
        <v>0</v>
      </c>
      <c r="HF378" s="561">
        <v>11859</v>
      </c>
      <c r="HG378" s="561">
        <v>0</v>
      </c>
      <c r="HH378" s="561">
        <v>0</v>
      </c>
      <c r="HI378" s="561">
        <v>0</v>
      </c>
      <c r="HJ378" s="561">
        <v>0</v>
      </c>
      <c r="HK378" s="561">
        <v>0</v>
      </c>
      <c r="HL378" s="561">
        <v>0</v>
      </c>
      <c r="HM378" s="561">
        <v>0</v>
      </c>
      <c r="HN378" s="561">
        <v>0</v>
      </c>
      <c r="HO378" s="561">
        <v>4291</v>
      </c>
      <c r="HP378" s="561">
        <v>1221</v>
      </c>
      <c r="HQ378" s="561">
        <v>0</v>
      </c>
      <c r="HR378" s="561">
        <v>0</v>
      </c>
      <c r="HS378" s="561">
        <v>0</v>
      </c>
      <c r="HT378" s="561">
        <v>359</v>
      </c>
      <c r="HU378" s="561">
        <v>0</v>
      </c>
      <c r="HV378" s="561">
        <v>0</v>
      </c>
      <c r="HW378" s="561">
        <v>656</v>
      </c>
      <c r="HX378" s="561">
        <v>381</v>
      </c>
      <c r="HY378" s="561">
        <v>136</v>
      </c>
      <c r="HZ378" s="561">
        <v>22</v>
      </c>
      <c r="IA378" s="561">
        <v>0</v>
      </c>
      <c r="IB378" s="561">
        <v>326</v>
      </c>
      <c r="IC378" s="561">
        <v>0</v>
      </c>
      <c r="ID378" s="561">
        <v>0</v>
      </c>
      <c r="IE378" s="561">
        <v>208</v>
      </c>
      <c r="IF378" s="561">
        <v>0</v>
      </c>
      <c r="IG378" s="561">
        <v>0</v>
      </c>
      <c r="IH378" s="561">
        <v>0</v>
      </c>
      <c r="II378" s="561">
        <v>7600</v>
      </c>
      <c r="IJ378" s="561">
        <v>392</v>
      </c>
      <c r="IK378" s="561">
        <v>3335</v>
      </c>
      <c r="IL378" s="561">
        <v>3308</v>
      </c>
      <c r="IM378" s="561">
        <v>0</v>
      </c>
      <c r="IN378" s="561">
        <v>979</v>
      </c>
      <c r="IO378" s="561">
        <v>0</v>
      </c>
      <c r="IP378" s="561">
        <v>0</v>
      </c>
      <c r="IQ378" s="561">
        <v>0</v>
      </c>
      <c r="IR378" s="561">
        <v>0</v>
      </c>
      <c r="IS378" s="561">
        <v>524</v>
      </c>
      <c r="IT378" s="561">
        <v>280</v>
      </c>
      <c r="IU378" s="561">
        <v>0</v>
      </c>
      <c r="IV378" s="561">
        <v>0</v>
      </c>
      <c r="IW378" s="561">
        <v>5458</v>
      </c>
      <c r="IX378" s="561">
        <v>330</v>
      </c>
      <c r="IY378" s="561">
        <v>7615</v>
      </c>
      <c r="IZ378" s="561">
        <v>3914</v>
      </c>
      <c r="JA378" s="561">
        <v>0</v>
      </c>
      <c r="JB378" s="561">
        <v>0</v>
      </c>
      <c r="JC378" s="561">
        <v>7600</v>
      </c>
      <c r="JD378" s="561">
        <v>0</v>
      </c>
      <c r="JE378" s="561">
        <v>25721</v>
      </c>
      <c r="JF378" s="561">
        <v>12034</v>
      </c>
      <c r="JG378" s="561">
        <v>439</v>
      </c>
      <c r="JH378" s="561">
        <v>5931</v>
      </c>
      <c r="JI378" s="561">
        <v>0</v>
      </c>
      <c r="JJ378" s="561">
        <v>0</v>
      </c>
      <c r="JK378" s="561">
        <v>8943</v>
      </c>
      <c r="JL378" s="561">
        <v>0</v>
      </c>
      <c r="JM378" s="561">
        <v>0</v>
      </c>
      <c r="JN378" s="561">
        <v>0</v>
      </c>
      <c r="JO378" s="561">
        <v>0</v>
      </c>
      <c r="JP378" s="561">
        <v>0</v>
      </c>
      <c r="JQ378" s="561">
        <v>0</v>
      </c>
      <c r="JR378" s="561">
        <v>0</v>
      </c>
      <c r="JS378" s="561">
        <v>0</v>
      </c>
      <c r="JT378" s="561">
        <v>29</v>
      </c>
      <c r="JU378" s="561">
        <v>0</v>
      </c>
      <c r="JV378" s="561">
        <v>53097</v>
      </c>
      <c r="JW378" s="561">
        <v>0</v>
      </c>
      <c r="JX378" s="561">
        <v>2618</v>
      </c>
      <c r="JY378" s="561">
        <v>0</v>
      </c>
      <c r="JZ378" s="561">
        <v>0</v>
      </c>
      <c r="KA378" s="561">
        <v>0</v>
      </c>
      <c r="KB378" s="561">
        <v>-182</v>
      </c>
      <c r="KC378" s="561">
        <v>353</v>
      </c>
      <c r="KD378" s="561">
        <v>0</v>
      </c>
      <c r="KE378" s="561">
        <v>1486</v>
      </c>
      <c r="KF378" s="561">
        <v>-1584</v>
      </c>
      <c r="KG378" s="561">
        <v>55788</v>
      </c>
      <c r="KH378" s="561">
        <v>-7944</v>
      </c>
      <c r="KI378" s="561">
        <v>0</v>
      </c>
      <c r="KJ378" s="561">
        <v>-183</v>
      </c>
      <c r="KK378" s="561">
        <v>0</v>
      </c>
      <c r="KL378" s="561">
        <v>-18739</v>
      </c>
      <c r="KM378" s="561">
        <v>0</v>
      </c>
      <c r="KN378" s="561">
        <v>0</v>
      </c>
      <c r="KO378" s="561">
        <v>0</v>
      </c>
      <c r="KP378" s="561">
        <v>0</v>
      </c>
      <c r="KQ378" s="561">
        <v>0</v>
      </c>
      <c r="KR378" s="561">
        <v>28922</v>
      </c>
      <c r="KS378" s="561">
        <v>0</v>
      </c>
      <c r="KT378" s="561">
        <v>-6737</v>
      </c>
      <c r="KU378" s="561">
        <v>22185</v>
      </c>
      <c r="KV378" s="561">
        <v>0</v>
      </c>
      <c r="KW378" s="561">
        <v>0</v>
      </c>
      <c r="KX378" s="561">
        <v>0</v>
      </c>
      <c r="KY378" s="561">
        <v>0</v>
      </c>
      <c r="KZ378" s="561">
        <v>9313</v>
      </c>
      <c r="LA378" s="561">
        <v>791</v>
      </c>
      <c r="LB378" s="561">
        <v>-160</v>
      </c>
      <c r="LC378" s="561">
        <v>0</v>
      </c>
      <c r="LD378" s="561">
        <v>-8413</v>
      </c>
      <c r="LE378" s="561">
        <v>-71</v>
      </c>
      <c r="LF378" s="561">
        <v>0</v>
      </c>
      <c r="LG378" s="561">
        <v>23645</v>
      </c>
      <c r="LH378" s="561">
        <v>0</v>
      </c>
      <c r="LI378" s="561">
        <v>0</v>
      </c>
      <c r="LJ378" s="561">
        <v>0</v>
      </c>
      <c r="LK378" s="561">
        <v>0</v>
      </c>
      <c r="LL378" s="561">
        <v>53006</v>
      </c>
      <c r="LM378" s="561">
        <v>6500</v>
      </c>
      <c r="LN378" s="561">
        <v>0</v>
      </c>
      <c r="LO378" s="561">
        <v>0</v>
      </c>
      <c r="LP378" s="561">
        <v>0</v>
      </c>
      <c r="LQ378" s="561">
        <v>0</v>
      </c>
      <c r="LR378" s="561">
        <v>62319</v>
      </c>
      <c r="LS378" s="561">
        <v>7291</v>
      </c>
      <c r="LT378" s="561">
        <v>0</v>
      </c>
      <c r="LU378" s="561">
        <v>1297</v>
      </c>
      <c r="LV378" s="561">
        <v>0</v>
      </c>
      <c r="LW378" s="561">
        <v>3938</v>
      </c>
      <c r="LX378" s="561">
        <v>-8187</v>
      </c>
      <c r="LY378" s="561">
        <v>4074</v>
      </c>
      <c r="LZ378" s="561">
        <v>2210</v>
      </c>
      <c r="MA378" s="561">
        <v>0</v>
      </c>
      <c r="MB378" s="561">
        <v>0</v>
      </c>
      <c r="MC378" s="561">
        <v>20357</v>
      </c>
      <c r="MD378" s="561">
        <v>23364</v>
      </c>
      <c r="ME378" s="561">
        <v>-3007</v>
      </c>
      <c r="MF378" s="561">
        <v>5549</v>
      </c>
      <c r="MG378" s="561">
        <v>2542</v>
      </c>
      <c r="MH378" s="561">
        <v>4796</v>
      </c>
      <c r="MI378" s="561">
        <v>6251</v>
      </c>
      <c r="MJ378" s="561">
        <v>11047</v>
      </c>
      <c r="MK378" s="561">
        <v>0</v>
      </c>
      <c r="ML378" s="561">
        <v>0</v>
      </c>
      <c r="MM378" s="561">
        <v>52312</v>
      </c>
      <c r="MN378" s="561">
        <v>3875</v>
      </c>
      <c r="MO378" s="561">
        <v>6132</v>
      </c>
      <c r="MP378" s="561">
        <v>0</v>
      </c>
      <c r="MQ378" s="561">
        <v>0</v>
      </c>
      <c r="MR378" s="561">
        <v>524</v>
      </c>
      <c r="MS378" s="561">
        <v>280</v>
      </c>
      <c r="MT378" s="561">
        <v>0</v>
      </c>
      <c r="MU378" s="561">
        <v>0</v>
      </c>
      <c r="MV378" s="561">
        <v>5458</v>
      </c>
      <c r="MW378" s="561">
        <v>330</v>
      </c>
      <c r="MX378" s="561">
        <v>7615</v>
      </c>
      <c r="MY378" s="561">
        <v>3914</v>
      </c>
      <c r="MZ378" s="561">
        <v>0</v>
      </c>
      <c r="NA378" s="561">
        <v>0</v>
      </c>
      <c r="NB378" s="561">
        <v>7600</v>
      </c>
      <c r="NC378" s="561">
        <v>0</v>
      </c>
      <c r="ND378" s="561">
        <v>25721</v>
      </c>
      <c r="NE378" s="561">
        <v>0</v>
      </c>
      <c r="NF378" s="561">
        <v>0</v>
      </c>
      <c r="NG378" s="561">
        <v>0</v>
      </c>
      <c r="NH378" s="561">
        <v>0</v>
      </c>
      <c r="NI378" s="561">
        <v>0</v>
      </c>
      <c r="NJ378" s="561">
        <v>0</v>
      </c>
      <c r="NK378" s="561">
        <v>0</v>
      </c>
      <c r="NL378" s="561">
        <v>0</v>
      </c>
      <c r="NM378" s="561">
        <v>0</v>
      </c>
      <c r="NN378" s="561">
        <v>0</v>
      </c>
      <c r="NO378" s="561">
        <v>0</v>
      </c>
      <c r="NP378" s="561">
        <v>0</v>
      </c>
      <c r="NQ378" s="561">
        <v>0</v>
      </c>
      <c r="NR378" s="561">
        <v>0</v>
      </c>
      <c r="NS378" s="561">
        <v>0</v>
      </c>
      <c r="NT378" s="561">
        <v>0</v>
      </c>
      <c r="NU378" s="561">
        <v>0</v>
      </c>
      <c r="NV378" s="561">
        <v>0</v>
      </c>
      <c r="NW378" s="561">
        <v>0</v>
      </c>
      <c r="NX378" s="561">
        <v>0</v>
      </c>
      <c r="NY378" s="561">
        <v>0</v>
      </c>
      <c r="NZ378" s="561">
        <v>0</v>
      </c>
      <c r="OA378" s="561">
        <v>0</v>
      </c>
      <c r="OB378" s="561">
        <v>0</v>
      </c>
      <c r="OC378" s="561">
        <v>0</v>
      </c>
      <c r="OD378" s="561">
        <v>0</v>
      </c>
      <c r="OE378" s="561">
        <v>0</v>
      </c>
      <c r="OF378" s="561">
        <v>0</v>
      </c>
      <c r="OG378" s="561">
        <v>0</v>
      </c>
      <c r="OH378" s="561">
        <v>0</v>
      </c>
      <c r="OI378" s="561">
        <v>0</v>
      </c>
      <c r="OJ378" s="561">
        <v>0</v>
      </c>
      <c r="OK378" s="561">
        <v>0</v>
      </c>
      <c r="OL378" s="561">
        <v>0</v>
      </c>
      <c r="OM378" s="561">
        <v>0</v>
      </c>
      <c r="ON378" s="561">
        <v>0</v>
      </c>
      <c r="OO378" s="561">
        <v>0</v>
      </c>
      <c r="OP378" s="561">
        <v>0</v>
      </c>
      <c r="OQ378" s="561">
        <v>0</v>
      </c>
      <c r="OR378" s="561">
        <v>0</v>
      </c>
      <c r="OS378" s="561">
        <v>0</v>
      </c>
      <c r="OT378" s="561">
        <v>0</v>
      </c>
      <c r="OU378" s="561">
        <v>0</v>
      </c>
      <c r="OV378" s="561">
        <v>0</v>
      </c>
      <c r="OW378" s="561">
        <v>0</v>
      </c>
      <c r="OX378" s="561">
        <v>0</v>
      </c>
      <c r="OY378" s="561">
        <v>0</v>
      </c>
      <c r="OZ378" s="561">
        <v>0</v>
      </c>
      <c r="PA378" s="561">
        <v>0</v>
      </c>
      <c r="PB378" s="561">
        <v>0</v>
      </c>
      <c r="PC378" s="561">
        <v>0</v>
      </c>
      <c r="PD378" s="561">
        <v>0</v>
      </c>
      <c r="PE378" s="561">
        <v>0</v>
      </c>
      <c r="PF378" s="561">
        <v>0</v>
      </c>
      <c r="PG378" s="561">
        <v>0</v>
      </c>
      <c r="PH378" s="561">
        <v>0</v>
      </c>
      <c r="PI378" s="561">
        <v>0</v>
      </c>
      <c r="PJ378" s="561">
        <v>0</v>
      </c>
    </row>
    <row r="379" spans="1:426" ht="14" x14ac:dyDescent="0.3">
      <c r="A379" t="s">
        <v>3578</v>
      </c>
      <c r="B379" t="s">
        <v>3579</v>
      </c>
      <c r="C379" t="s">
        <v>3580</v>
      </c>
      <c r="E379" t="s">
        <v>384</v>
      </c>
      <c r="F379" s="561">
        <v>0</v>
      </c>
      <c r="G379" s="561">
        <v>0</v>
      </c>
      <c r="H379" s="561">
        <v>0</v>
      </c>
      <c r="I379" s="561">
        <v>0</v>
      </c>
      <c r="J379" s="561">
        <v>0</v>
      </c>
      <c r="K379" s="561">
        <v>0</v>
      </c>
      <c r="L379" s="561">
        <v>0</v>
      </c>
      <c r="M379" s="561">
        <v>0</v>
      </c>
      <c r="N379" s="561">
        <v>0</v>
      </c>
      <c r="O379" s="561">
        <v>0</v>
      </c>
      <c r="P379" s="561">
        <v>0</v>
      </c>
      <c r="Q379" s="561">
        <v>0</v>
      </c>
      <c r="R379" s="561">
        <v>0</v>
      </c>
      <c r="S379" s="561">
        <v>0</v>
      </c>
      <c r="T379" s="561">
        <v>0</v>
      </c>
      <c r="U379" s="561">
        <v>0</v>
      </c>
      <c r="V379" s="561">
        <v>79</v>
      </c>
      <c r="W379" s="561">
        <v>0</v>
      </c>
      <c r="X379" s="561">
        <v>0</v>
      </c>
      <c r="Y379" s="561">
        <v>0</v>
      </c>
      <c r="Z379" s="561">
        <v>0</v>
      </c>
      <c r="AA379" s="561">
        <v>-512</v>
      </c>
      <c r="AB379" s="561">
        <v>149</v>
      </c>
      <c r="AC379" s="561">
        <v>0</v>
      </c>
      <c r="AD379" s="561">
        <v>0</v>
      </c>
      <c r="AE379" s="561">
        <v>0</v>
      </c>
      <c r="AF379" s="561">
        <v>0</v>
      </c>
      <c r="AG379" s="561">
        <v>7</v>
      </c>
      <c r="AH379" s="561">
        <v>0</v>
      </c>
      <c r="AI379" s="561">
        <v>0</v>
      </c>
      <c r="AJ379" s="561">
        <v>-277</v>
      </c>
      <c r="AK379" s="561">
        <v>0</v>
      </c>
      <c r="AL379" s="561">
        <v>0</v>
      </c>
      <c r="AM379" s="561">
        <v>0</v>
      </c>
      <c r="AN379" s="561">
        <v>0</v>
      </c>
      <c r="AO379" s="561">
        <v>0</v>
      </c>
      <c r="AP379" s="561">
        <v>0</v>
      </c>
      <c r="AQ379" s="561">
        <v>0</v>
      </c>
      <c r="AR379" s="561">
        <v>0</v>
      </c>
      <c r="AS379" s="561">
        <v>800</v>
      </c>
      <c r="AT379" s="561">
        <v>617</v>
      </c>
      <c r="AU379" s="561">
        <v>0</v>
      </c>
      <c r="AV379" s="561">
        <v>0</v>
      </c>
      <c r="AW379" s="561">
        <v>0</v>
      </c>
      <c r="AX379" s="561">
        <v>0</v>
      </c>
      <c r="AY379" s="561">
        <v>0</v>
      </c>
      <c r="AZ379" s="561">
        <v>0</v>
      </c>
      <c r="BA379" s="561">
        <v>0</v>
      </c>
      <c r="BB379" s="561">
        <v>0</v>
      </c>
      <c r="BC379" s="561">
        <v>0</v>
      </c>
      <c r="BD379" s="561">
        <v>0</v>
      </c>
      <c r="BE379" s="561">
        <v>0</v>
      </c>
      <c r="BF379" s="561">
        <v>0</v>
      </c>
      <c r="BG379" s="561">
        <v>0</v>
      </c>
      <c r="BH379" s="561">
        <v>0</v>
      </c>
      <c r="BI379" s="561">
        <v>0</v>
      </c>
      <c r="BJ379" s="561">
        <v>0</v>
      </c>
      <c r="BK379" s="561">
        <v>0</v>
      </c>
      <c r="BL379" s="561">
        <v>0</v>
      </c>
      <c r="BM379" s="561">
        <v>0</v>
      </c>
      <c r="BN379" s="561">
        <v>0</v>
      </c>
      <c r="BO379" s="561">
        <v>0</v>
      </c>
      <c r="BP379" s="561">
        <v>0</v>
      </c>
      <c r="BQ379" s="561">
        <v>0</v>
      </c>
      <c r="BR379" s="561">
        <v>0</v>
      </c>
      <c r="BS379" s="561">
        <v>0</v>
      </c>
      <c r="BT379" s="561">
        <v>0</v>
      </c>
      <c r="BU379" s="561">
        <v>0</v>
      </c>
      <c r="BV379" s="561">
        <v>0</v>
      </c>
      <c r="BW379" s="561">
        <v>0</v>
      </c>
      <c r="BX379" s="561">
        <v>0</v>
      </c>
      <c r="BY379" s="561">
        <v>0</v>
      </c>
      <c r="BZ379" s="561">
        <v>0</v>
      </c>
      <c r="CA379" s="561">
        <v>0</v>
      </c>
      <c r="CB379" s="561">
        <v>0</v>
      </c>
      <c r="CC379" s="561">
        <v>0</v>
      </c>
      <c r="CD379" s="561">
        <v>0</v>
      </c>
      <c r="CE379" s="561">
        <v>0</v>
      </c>
      <c r="CF379" s="561">
        <v>0</v>
      </c>
      <c r="CG379" s="561">
        <v>0</v>
      </c>
      <c r="CH379" s="561">
        <v>0</v>
      </c>
      <c r="CI379" s="561">
        <v>0</v>
      </c>
      <c r="CJ379" s="561">
        <v>0</v>
      </c>
      <c r="CK379" s="561">
        <v>0</v>
      </c>
      <c r="CL379" s="561">
        <v>0</v>
      </c>
      <c r="CM379" s="561">
        <v>0</v>
      </c>
      <c r="CN379" s="561">
        <v>0</v>
      </c>
      <c r="CO379" s="561">
        <v>0</v>
      </c>
      <c r="CP379" s="561">
        <v>0</v>
      </c>
      <c r="CQ379" s="561">
        <v>0</v>
      </c>
      <c r="CR379" s="561">
        <v>0</v>
      </c>
      <c r="CS379" s="561">
        <v>0</v>
      </c>
      <c r="CT379" s="561">
        <v>0</v>
      </c>
      <c r="CU379" s="561">
        <v>0</v>
      </c>
      <c r="CV379" s="561">
        <v>0</v>
      </c>
      <c r="CW379" s="561">
        <v>0</v>
      </c>
      <c r="CX379" s="561">
        <v>0</v>
      </c>
      <c r="CY379" s="561">
        <v>0</v>
      </c>
      <c r="CZ379" s="561">
        <v>0</v>
      </c>
      <c r="DA379" s="561">
        <v>0</v>
      </c>
      <c r="DB379" s="561">
        <v>0</v>
      </c>
      <c r="DC379" s="561">
        <v>0</v>
      </c>
      <c r="DD379" s="561">
        <v>0</v>
      </c>
      <c r="DE379" s="561">
        <v>0</v>
      </c>
      <c r="DF379" s="561">
        <v>0</v>
      </c>
      <c r="DG379" s="561">
        <v>0</v>
      </c>
      <c r="DH379" s="561">
        <v>-31</v>
      </c>
      <c r="DI379" s="561">
        <v>0</v>
      </c>
      <c r="DJ379" s="561">
        <v>0</v>
      </c>
      <c r="DK379" s="561">
        <v>450</v>
      </c>
      <c r="DL379" s="561">
        <v>0</v>
      </c>
      <c r="DM379" s="561">
        <v>0</v>
      </c>
      <c r="DN379" s="561">
        <v>0</v>
      </c>
      <c r="DO379" s="561">
        <v>0</v>
      </c>
      <c r="DP379" s="561">
        <v>330</v>
      </c>
      <c r="DQ379" s="561">
        <v>0</v>
      </c>
      <c r="DR379" s="561">
        <v>0</v>
      </c>
      <c r="DS379" s="561">
        <v>1940</v>
      </c>
      <c r="DT379" s="561">
        <v>0</v>
      </c>
      <c r="DU379" s="561">
        <v>2270</v>
      </c>
      <c r="DV379" s="561">
        <v>0</v>
      </c>
      <c r="DW379" s="561">
        <v>231</v>
      </c>
      <c r="DX379" s="561">
        <v>0</v>
      </c>
      <c r="DY379" s="561">
        <v>1083</v>
      </c>
      <c r="DZ379" s="561">
        <v>0</v>
      </c>
      <c r="EA379" s="561">
        <v>0</v>
      </c>
      <c r="EB379" s="561">
        <v>0</v>
      </c>
      <c r="EC379" s="561">
        <v>4003</v>
      </c>
      <c r="ED379" s="561">
        <v>0</v>
      </c>
      <c r="EE379" s="561">
        <v>60110</v>
      </c>
      <c r="EF379" s="561">
        <v>548</v>
      </c>
      <c r="EG379" s="561">
        <v>3399</v>
      </c>
      <c r="EH379" s="561">
        <v>238</v>
      </c>
      <c r="EI379" s="561">
        <v>0</v>
      </c>
      <c r="EJ379" s="561">
        <v>173</v>
      </c>
      <c r="EK379" s="561">
        <v>0</v>
      </c>
      <c r="EL379" s="561">
        <v>0</v>
      </c>
      <c r="EM379" s="561">
        <v>0</v>
      </c>
      <c r="EN379" s="561">
        <v>16993</v>
      </c>
      <c r="EO379" s="561">
        <v>12756</v>
      </c>
      <c r="EP379" s="561">
        <v>3404</v>
      </c>
      <c r="EQ379" s="561">
        <v>1055</v>
      </c>
      <c r="ER379" s="561">
        <v>6405</v>
      </c>
      <c r="ES379" s="561" t="s">
        <v>4565</v>
      </c>
      <c r="ET379" s="561">
        <v>14773</v>
      </c>
      <c r="EU379" s="561">
        <v>9138</v>
      </c>
      <c r="EV379" s="561">
        <v>33</v>
      </c>
      <c r="EW379" s="561">
        <v>0</v>
      </c>
      <c r="EX379" s="561">
        <v>-541</v>
      </c>
      <c r="EY379" s="561">
        <v>24</v>
      </c>
      <c r="EZ379" s="561">
        <v>428</v>
      </c>
      <c r="FA379" s="561">
        <v>2954</v>
      </c>
      <c r="FB379" s="561">
        <v>0</v>
      </c>
      <c r="FC379" s="561">
        <v>0</v>
      </c>
      <c r="FD379" s="561">
        <v>43</v>
      </c>
      <c r="FE379" s="561">
        <v>305</v>
      </c>
      <c r="FF379" s="561">
        <v>709</v>
      </c>
      <c r="FG379" s="561">
        <v>-78</v>
      </c>
      <c r="FH379" s="561">
        <v>0</v>
      </c>
      <c r="FI379" s="561">
        <v>0</v>
      </c>
      <c r="FJ379" s="561">
        <v>238</v>
      </c>
      <c r="FK379" s="561">
        <v>2023</v>
      </c>
      <c r="FL379" s="561">
        <v>68</v>
      </c>
      <c r="FM379" s="561">
        <v>0</v>
      </c>
      <c r="FN379" s="561">
        <v>0</v>
      </c>
      <c r="FO379" s="561">
        <v>3308</v>
      </c>
      <c r="FP379" s="561">
        <v>52</v>
      </c>
      <c r="FQ379" s="561">
        <v>244</v>
      </c>
      <c r="FR379" s="561">
        <v>208</v>
      </c>
      <c r="FS379" s="561">
        <v>208</v>
      </c>
      <c r="FT379" s="561">
        <v>208</v>
      </c>
      <c r="FU379" s="561">
        <v>208</v>
      </c>
      <c r="FV379" s="561">
        <v>115</v>
      </c>
      <c r="FW379" s="561">
        <v>208</v>
      </c>
      <c r="FX379" s="561">
        <v>0</v>
      </c>
      <c r="FY379" s="561">
        <v>11.26</v>
      </c>
      <c r="FZ379" s="561">
        <v>26</v>
      </c>
      <c r="GA379" s="561">
        <v>0</v>
      </c>
      <c r="GB379" s="561">
        <v>0</v>
      </c>
      <c r="GC379" s="561">
        <v>195.4</v>
      </c>
      <c r="GD379" s="561">
        <v>0</v>
      </c>
      <c r="GE379" s="561">
        <v>500.4</v>
      </c>
      <c r="GF379" s="561">
        <v>127</v>
      </c>
      <c r="GG379" s="561">
        <v>0</v>
      </c>
      <c r="GH379" s="561">
        <v>0</v>
      </c>
      <c r="GI379" s="561">
        <v>0</v>
      </c>
      <c r="GJ379" s="561">
        <v>0</v>
      </c>
      <c r="GK379" s="561">
        <v>0</v>
      </c>
      <c r="GL379" s="561">
        <v>2373</v>
      </c>
      <c r="GM379" s="561">
        <v>2545.6</v>
      </c>
      <c r="GN379" s="561">
        <v>0</v>
      </c>
      <c r="GO379" s="561">
        <v>112</v>
      </c>
      <c r="GP379" s="561">
        <v>376</v>
      </c>
      <c r="GQ379" s="561">
        <v>0</v>
      </c>
      <c r="GR379" s="561">
        <v>0</v>
      </c>
      <c r="GS379" s="561">
        <v>7665.66</v>
      </c>
      <c r="GT379" s="561">
        <v>136</v>
      </c>
      <c r="GU379" s="561">
        <v>14</v>
      </c>
      <c r="GV379" s="561">
        <v>853</v>
      </c>
      <c r="GW379" s="561">
        <v>0</v>
      </c>
      <c r="GX379" s="561">
        <v>596</v>
      </c>
      <c r="GY379" s="561">
        <v>0</v>
      </c>
      <c r="GZ379" s="561">
        <v>564</v>
      </c>
      <c r="HA379" s="561">
        <v>0</v>
      </c>
      <c r="HB379" s="561">
        <v>-2350</v>
      </c>
      <c r="HC379" s="561">
        <v>171</v>
      </c>
      <c r="HD379" s="561">
        <v>-152</v>
      </c>
      <c r="HE379" s="561">
        <v>0</v>
      </c>
      <c r="HF379" s="561">
        <v>10821.66</v>
      </c>
      <c r="HG379" s="561">
        <v>188</v>
      </c>
      <c r="HH379" s="561">
        <v>0</v>
      </c>
      <c r="HI379" s="561">
        <v>0</v>
      </c>
      <c r="HJ379" s="561">
        <v>0</v>
      </c>
      <c r="HK379" s="561">
        <v>0</v>
      </c>
      <c r="HL379" s="561">
        <v>0</v>
      </c>
      <c r="HM379" s="561">
        <v>0</v>
      </c>
      <c r="HN379" s="561">
        <v>0</v>
      </c>
      <c r="HO379" s="561">
        <v>2647</v>
      </c>
      <c r="HP379" s="561">
        <v>1060</v>
      </c>
      <c r="HQ379" s="561">
        <v>0</v>
      </c>
      <c r="HR379" s="561">
        <v>0</v>
      </c>
      <c r="HS379" s="561">
        <v>154</v>
      </c>
      <c r="HT379" s="561">
        <v>329</v>
      </c>
      <c r="HU379" s="561">
        <v>0</v>
      </c>
      <c r="HV379" s="561">
        <v>0</v>
      </c>
      <c r="HW379" s="561">
        <v>368</v>
      </c>
      <c r="HX379" s="561">
        <v>68</v>
      </c>
      <c r="HY379" s="561">
        <v>162</v>
      </c>
      <c r="HZ379" s="561">
        <v>75</v>
      </c>
      <c r="IA379" s="561">
        <v>166</v>
      </c>
      <c r="IB379" s="561">
        <v>-5</v>
      </c>
      <c r="IC379" s="561">
        <v>0</v>
      </c>
      <c r="ID379" s="561">
        <v>0</v>
      </c>
      <c r="IE379" s="561">
        <v>0</v>
      </c>
      <c r="IF379" s="561">
        <v>0</v>
      </c>
      <c r="IG379" s="561">
        <v>0</v>
      </c>
      <c r="IH379" s="561">
        <v>-484</v>
      </c>
      <c r="II379" s="561">
        <v>4540</v>
      </c>
      <c r="IJ379" s="561">
        <v>271</v>
      </c>
      <c r="IK379" s="561">
        <v>0</v>
      </c>
      <c r="IL379" s="561">
        <v>10094</v>
      </c>
      <c r="IM379" s="561">
        <v>0</v>
      </c>
      <c r="IN379" s="561">
        <v>4543</v>
      </c>
      <c r="IO379" s="561">
        <v>0</v>
      </c>
      <c r="IP379" s="561">
        <v>0</v>
      </c>
      <c r="IQ379" s="561">
        <v>0</v>
      </c>
      <c r="IR379" s="561">
        <v>0</v>
      </c>
      <c r="IS379" s="561">
        <v>-277</v>
      </c>
      <c r="IT379" s="561">
        <v>0</v>
      </c>
      <c r="IU379" s="561">
        <v>0</v>
      </c>
      <c r="IV379" s="561">
        <v>0</v>
      </c>
      <c r="IW379" s="561">
        <v>4003</v>
      </c>
      <c r="IX379" s="561">
        <v>3308</v>
      </c>
      <c r="IY379" s="561">
        <v>7665.66</v>
      </c>
      <c r="IZ379" s="561">
        <v>-152</v>
      </c>
      <c r="JA379" s="561">
        <v>0</v>
      </c>
      <c r="JB379" s="561">
        <v>0</v>
      </c>
      <c r="JC379" s="561">
        <v>4540</v>
      </c>
      <c r="JD379" s="561">
        <v>0</v>
      </c>
      <c r="JE379" s="561">
        <v>19087.66</v>
      </c>
      <c r="JF379" s="561">
        <v>15157</v>
      </c>
      <c r="JG379" s="561">
        <v>0</v>
      </c>
      <c r="JH379" s="561">
        <v>14057</v>
      </c>
      <c r="JI379" s="561">
        <v>0</v>
      </c>
      <c r="JJ379" s="561">
        <v>0</v>
      </c>
      <c r="JK379" s="561">
        <v>2217</v>
      </c>
      <c r="JL379" s="561">
        <v>0</v>
      </c>
      <c r="JM379" s="561">
        <v>0</v>
      </c>
      <c r="JN379" s="561">
        <v>0</v>
      </c>
      <c r="JO379" s="561">
        <v>0</v>
      </c>
      <c r="JP379" s="561">
        <v>-2983</v>
      </c>
      <c r="JQ379" s="561">
        <v>0</v>
      </c>
      <c r="JR379" s="561">
        <v>0</v>
      </c>
      <c r="JS379" s="561">
        <v>0</v>
      </c>
      <c r="JT379" s="561">
        <v>0</v>
      </c>
      <c r="JU379" s="561">
        <v>0</v>
      </c>
      <c r="JV379" s="561">
        <v>47535.66</v>
      </c>
      <c r="JW379" s="561">
        <v>0</v>
      </c>
      <c r="JX379" s="561">
        <v>83</v>
      </c>
      <c r="JY379" s="561">
        <v>0</v>
      </c>
      <c r="JZ379" s="561">
        <v>0</v>
      </c>
      <c r="KA379" s="561">
        <v>0</v>
      </c>
      <c r="KB379" s="561">
        <v>81</v>
      </c>
      <c r="KC379" s="561">
        <v>1038</v>
      </c>
      <c r="KD379" s="561">
        <v>155</v>
      </c>
      <c r="KE379" s="561">
        <v>749</v>
      </c>
      <c r="KF379" s="561">
        <v>0</v>
      </c>
      <c r="KG379" s="561">
        <v>49641.66</v>
      </c>
      <c r="KH379" s="561">
        <v>-1757</v>
      </c>
      <c r="KI379" s="561">
        <v>0</v>
      </c>
      <c r="KJ379" s="561">
        <v>0</v>
      </c>
      <c r="KK379" s="561">
        <v>0</v>
      </c>
      <c r="KL379" s="561">
        <v>-27279.8</v>
      </c>
      <c r="KM379" s="561">
        <v>0</v>
      </c>
      <c r="KN379" s="561">
        <v>0</v>
      </c>
      <c r="KO379" s="561">
        <v>0</v>
      </c>
      <c r="KP379" s="561">
        <v>0</v>
      </c>
      <c r="KQ379" s="561">
        <v>0</v>
      </c>
      <c r="KR379" s="561">
        <v>20604.86</v>
      </c>
      <c r="KS379" s="561">
        <v>0</v>
      </c>
      <c r="KT379" s="561">
        <v>-4742.3999999999996</v>
      </c>
      <c r="KU379" s="561">
        <v>15862.46</v>
      </c>
      <c r="KV379" s="561">
        <v>0</v>
      </c>
      <c r="KW379" s="561">
        <v>0</v>
      </c>
      <c r="KX379" s="561">
        <v>0</v>
      </c>
      <c r="KY379" s="561">
        <v>0</v>
      </c>
      <c r="KZ379" s="561">
        <v>-1053</v>
      </c>
      <c r="LA379" s="561">
        <v>1294</v>
      </c>
      <c r="LB379" s="561">
        <v>-151</v>
      </c>
      <c r="LC379" s="561">
        <v>0</v>
      </c>
      <c r="LD379" s="561">
        <v>-3656</v>
      </c>
      <c r="LE379" s="561">
        <v>340</v>
      </c>
      <c r="LF379" s="561">
        <v>0</v>
      </c>
      <c r="LG379" s="561">
        <v>12642</v>
      </c>
      <c r="LH379" s="561">
        <v>0</v>
      </c>
      <c r="LI379" s="561">
        <v>0</v>
      </c>
      <c r="LJ379" s="561">
        <v>0</v>
      </c>
      <c r="LK379" s="561">
        <v>0</v>
      </c>
      <c r="LL379" s="561">
        <v>12619</v>
      </c>
      <c r="LM379" s="561">
        <v>6771</v>
      </c>
      <c r="LN379" s="561">
        <v>0</v>
      </c>
      <c r="LO379" s="561">
        <v>0</v>
      </c>
      <c r="LP379" s="561">
        <v>0</v>
      </c>
      <c r="LQ379" s="561">
        <v>0</v>
      </c>
      <c r="LR379" s="561">
        <v>11566</v>
      </c>
      <c r="LS379" s="561">
        <v>8065</v>
      </c>
      <c r="LT379" s="561">
        <v>0</v>
      </c>
      <c r="LU379" s="561">
        <v>5090</v>
      </c>
      <c r="LV379" s="561">
        <v>0</v>
      </c>
      <c r="LW379" s="561">
        <v>-1823</v>
      </c>
      <c r="LX379" s="561">
        <v>0</v>
      </c>
      <c r="LY379" s="561">
        <v>959</v>
      </c>
      <c r="LZ379" s="561">
        <v>3846</v>
      </c>
      <c r="MA379" s="561">
        <v>0</v>
      </c>
      <c r="MB379" s="561">
        <v>0</v>
      </c>
      <c r="MC379" s="561">
        <v>64468</v>
      </c>
      <c r="MD379" s="561">
        <v>64040</v>
      </c>
      <c r="ME379" s="561">
        <v>428</v>
      </c>
      <c r="MF379" s="561">
        <v>2954</v>
      </c>
      <c r="MG379" s="561">
        <v>3382</v>
      </c>
      <c r="MH379" s="561">
        <v>3260.4</v>
      </c>
      <c r="MI379" s="561">
        <v>5380.4</v>
      </c>
      <c r="MJ379" s="561">
        <v>8640.7999999999993</v>
      </c>
      <c r="MK379" s="561">
        <v>0</v>
      </c>
      <c r="ML379" s="561">
        <v>244</v>
      </c>
      <c r="MM379" s="561">
        <v>6619</v>
      </c>
      <c r="MN379" s="561">
        <v>4448</v>
      </c>
      <c r="MO379" s="561">
        <v>0</v>
      </c>
      <c r="MP379" s="561">
        <v>255</v>
      </c>
      <c r="MQ379" s="561">
        <v>0</v>
      </c>
      <c r="MR379" s="561">
        <v>-277</v>
      </c>
      <c r="MS379" s="561">
        <v>0</v>
      </c>
      <c r="MT379" s="561">
        <v>0</v>
      </c>
      <c r="MU379" s="561">
        <v>0</v>
      </c>
      <c r="MV379" s="561">
        <v>4003</v>
      </c>
      <c r="MW379" s="561">
        <v>3308</v>
      </c>
      <c r="MX379" s="561">
        <v>7665.66</v>
      </c>
      <c r="MY379" s="561">
        <v>-152</v>
      </c>
      <c r="MZ379" s="561">
        <v>0</v>
      </c>
      <c r="NA379" s="561">
        <v>0</v>
      </c>
      <c r="NB379" s="561">
        <v>4540</v>
      </c>
      <c r="NC379" s="561">
        <v>0</v>
      </c>
      <c r="ND379" s="561">
        <v>19087.66</v>
      </c>
      <c r="NE379" s="561">
        <v>0</v>
      </c>
      <c r="NF379" s="561">
        <v>0</v>
      </c>
      <c r="NG379" s="561">
        <v>0</v>
      </c>
      <c r="NH379" s="561">
        <v>0</v>
      </c>
      <c r="NI379" s="561">
        <v>0</v>
      </c>
      <c r="NJ379" s="561">
        <v>0</v>
      </c>
      <c r="NK379" s="561">
        <v>0</v>
      </c>
      <c r="NL379" s="561">
        <v>0</v>
      </c>
      <c r="NM379" s="561">
        <v>0</v>
      </c>
      <c r="NN379" s="561">
        <v>0</v>
      </c>
      <c r="NO379" s="561">
        <v>0</v>
      </c>
      <c r="NP379" s="561">
        <v>0</v>
      </c>
      <c r="NQ379" s="561">
        <v>0</v>
      </c>
      <c r="NR379" s="561">
        <v>0</v>
      </c>
      <c r="NS379" s="561">
        <v>0</v>
      </c>
      <c r="NT379" s="561">
        <v>0</v>
      </c>
      <c r="NU379" s="561">
        <v>0</v>
      </c>
      <c r="NV379" s="561">
        <v>0</v>
      </c>
      <c r="NW379" s="561">
        <v>-2983</v>
      </c>
      <c r="NX379" s="561">
        <v>0</v>
      </c>
      <c r="NY379" s="561">
        <v>-2983</v>
      </c>
      <c r="NZ379" s="561">
        <v>0</v>
      </c>
      <c r="OA379" s="561">
        <v>0</v>
      </c>
      <c r="OB379" s="561">
        <v>0</v>
      </c>
      <c r="OC379" s="561">
        <v>0</v>
      </c>
      <c r="OD379" s="561">
        <v>0</v>
      </c>
      <c r="OE379" s="561">
        <v>0</v>
      </c>
      <c r="OF379" s="561">
        <v>0</v>
      </c>
      <c r="OG379" s="561">
        <v>0</v>
      </c>
      <c r="OH379" s="561">
        <v>0</v>
      </c>
      <c r="OI379" s="561">
        <v>0</v>
      </c>
      <c r="OJ379" s="561">
        <v>0</v>
      </c>
      <c r="OK379" s="561">
        <v>0</v>
      </c>
      <c r="OL379" s="561">
        <v>0</v>
      </c>
      <c r="OM379" s="561">
        <v>0</v>
      </c>
      <c r="ON379" s="561">
        <v>0</v>
      </c>
      <c r="OO379" s="561">
        <v>0</v>
      </c>
      <c r="OP379" s="561">
        <v>0</v>
      </c>
      <c r="OQ379" s="561">
        <v>0</v>
      </c>
      <c r="OR379" s="561">
        <v>0</v>
      </c>
      <c r="OS379" s="561">
        <v>0</v>
      </c>
      <c r="OT379" s="561">
        <v>0</v>
      </c>
      <c r="OU379" s="561">
        <v>0</v>
      </c>
      <c r="OV379" s="561">
        <v>0</v>
      </c>
      <c r="OW379" s="561">
        <v>0</v>
      </c>
      <c r="OX379" s="561">
        <v>0</v>
      </c>
      <c r="OY379" s="561">
        <v>0</v>
      </c>
      <c r="OZ379" s="561">
        <v>0</v>
      </c>
      <c r="PA379" s="561">
        <v>0</v>
      </c>
      <c r="PB379" s="561">
        <v>0</v>
      </c>
      <c r="PC379" s="561">
        <v>0</v>
      </c>
      <c r="PD379" s="561">
        <v>0</v>
      </c>
      <c r="PE379" s="561">
        <v>0</v>
      </c>
      <c r="PF379" s="561">
        <v>0</v>
      </c>
      <c r="PG379" s="561">
        <v>0</v>
      </c>
      <c r="PH379" s="561">
        <v>0</v>
      </c>
      <c r="PI379" s="561">
        <v>0</v>
      </c>
      <c r="PJ379" s="561">
        <v>0</v>
      </c>
    </row>
    <row r="380" spans="1:426" ht="14" x14ac:dyDescent="0.3">
      <c r="A380" t="s">
        <v>3581</v>
      </c>
      <c r="B380" t="s">
        <v>3582</v>
      </c>
      <c r="C380" t="s">
        <v>4681</v>
      </c>
      <c r="E380" t="s">
        <v>385</v>
      </c>
      <c r="F380" s="561">
        <v>17262</v>
      </c>
      <c r="G380" s="561">
        <v>76104</v>
      </c>
      <c r="H380" s="561">
        <v>33523</v>
      </c>
      <c r="I380" s="561">
        <v>27915</v>
      </c>
      <c r="J380" s="561">
        <v>1470</v>
      </c>
      <c r="K380" s="561">
        <v>9220</v>
      </c>
      <c r="L380" s="561">
        <v>165494</v>
      </c>
      <c r="M380" s="561">
        <v>906.92</v>
      </c>
      <c r="N380" s="561">
        <v>383</v>
      </c>
      <c r="O380" s="561">
        <v>97</v>
      </c>
      <c r="P380" s="561">
        <v>38</v>
      </c>
      <c r="Q380" s="561">
        <v>279</v>
      </c>
      <c r="R380" s="561">
        <v>138</v>
      </c>
      <c r="S380" s="561">
        <v>-105</v>
      </c>
      <c r="T380" s="561">
        <v>388</v>
      </c>
      <c r="U380" s="561">
        <v>665</v>
      </c>
      <c r="V380" s="561">
        <v>986</v>
      </c>
      <c r="W380" s="561">
        <v>0</v>
      </c>
      <c r="X380" s="561">
        <v>0</v>
      </c>
      <c r="Y380" s="561">
        <v>120</v>
      </c>
      <c r="Z380" s="561">
        <v>642</v>
      </c>
      <c r="AA380" s="561">
        <v>36</v>
      </c>
      <c r="AB380" s="561">
        <v>-1038</v>
      </c>
      <c r="AC380" s="561">
        <v>641</v>
      </c>
      <c r="AD380" s="561">
        <v>0</v>
      </c>
      <c r="AE380" s="561">
        <v>2058</v>
      </c>
      <c r="AF380" s="561">
        <v>0</v>
      </c>
      <c r="AG380" s="561">
        <v>0</v>
      </c>
      <c r="AH380" s="561">
        <v>48</v>
      </c>
      <c r="AI380" s="561">
        <v>0</v>
      </c>
      <c r="AJ380" s="561">
        <v>5376</v>
      </c>
      <c r="AK380" s="561">
        <v>137.87</v>
      </c>
      <c r="AL380" s="561">
        <v>0</v>
      </c>
      <c r="AM380" s="561">
        <v>0</v>
      </c>
      <c r="AN380" s="561">
        <v>0</v>
      </c>
      <c r="AO380" s="561">
        <v>0</v>
      </c>
      <c r="AP380" s="561">
        <v>0</v>
      </c>
      <c r="AQ380" s="561">
        <v>0</v>
      </c>
      <c r="AR380" s="561">
        <v>0</v>
      </c>
      <c r="AS380" s="561">
        <v>0</v>
      </c>
      <c r="AT380" s="561">
        <v>32</v>
      </c>
      <c r="AU380" s="561">
        <v>0</v>
      </c>
      <c r="AV380" s="561">
        <v>0</v>
      </c>
      <c r="AW380" s="561">
        <v>0</v>
      </c>
      <c r="AX380" s="561">
        <v>66</v>
      </c>
      <c r="AY380" s="561">
        <v>17976</v>
      </c>
      <c r="AZ380" s="561">
        <v>0</v>
      </c>
      <c r="BA380" s="561">
        <v>6594</v>
      </c>
      <c r="BB380" s="561">
        <v>724</v>
      </c>
      <c r="BC380" s="561">
        <v>10346</v>
      </c>
      <c r="BD380" s="561">
        <v>1268</v>
      </c>
      <c r="BE380" s="561">
        <v>133</v>
      </c>
      <c r="BF380" s="561">
        <v>37107</v>
      </c>
      <c r="BG380" s="561">
        <v>1752</v>
      </c>
      <c r="BH380" s="561">
        <v>3008</v>
      </c>
      <c r="BI380" s="561">
        <v>12715</v>
      </c>
      <c r="BJ380" s="561">
        <v>356</v>
      </c>
      <c r="BK380" s="561">
        <v>193</v>
      </c>
      <c r="BL380" s="561">
        <v>376</v>
      </c>
      <c r="BM380" s="561">
        <v>10707</v>
      </c>
      <c r="BN380" s="561">
        <v>25189</v>
      </c>
      <c r="BO380" s="561">
        <v>3346</v>
      </c>
      <c r="BP380" s="561">
        <v>5104</v>
      </c>
      <c r="BQ380" s="561">
        <v>1582</v>
      </c>
      <c r="BR380" s="561">
        <v>123</v>
      </c>
      <c r="BS380" s="561">
        <v>603</v>
      </c>
      <c r="BT380" s="561">
        <v>149</v>
      </c>
      <c r="BU380" s="561">
        <v>469</v>
      </c>
      <c r="BV380" s="561">
        <v>4</v>
      </c>
      <c r="BW380" s="561">
        <v>6433</v>
      </c>
      <c r="BX380" s="561">
        <v>1370</v>
      </c>
      <c r="BY380" s="561">
        <v>1540</v>
      </c>
      <c r="BZ380" s="561">
        <v>73267</v>
      </c>
      <c r="CA380" s="561">
        <v>3532</v>
      </c>
      <c r="CB380" s="561">
        <v>589</v>
      </c>
      <c r="CC380" s="561">
        <v>354</v>
      </c>
      <c r="CD380" s="561">
        <v>198</v>
      </c>
      <c r="CE380" s="561">
        <v>144</v>
      </c>
      <c r="CF380" s="561">
        <v>170</v>
      </c>
      <c r="CG380" s="561">
        <v>97</v>
      </c>
      <c r="CH380" s="561">
        <v>120</v>
      </c>
      <c r="CI380" s="561">
        <v>148</v>
      </c>
      <c r="CJ380" s="561">
        <v>38</v>
      </c>
      <c r="CK380" s="561">
        <v>89</v>
      </c>
      <c r="CL380" s="561">
        <v>38</v>
      </c>
      <c r="CM380" s="561">
        <v>890</v>
      </c>
      <c r="CN380" s="561">
        <v>210</v>
      </c>
      <c r="CO380" s="561">
        <v>12</v>
      </c>
      <c r="CP380" s="561">
        <v>46</v>
      </c>
      <c r="CQ380" s="561">
        <v>175</v>
      </c>
      <c r="CR380" s="561">
        <v>333</v>
      </c>
      <c r="CS380" s="561">
        <v>91</v>
      </c>
      <c r="CT380" s="561">
        <v>635</v>
      </c>
      <c r="CU380" s="561">
        <v>1479</v>
      </c>
      <c r="CV380" s="561">
        <v>388</v>
      </c>
      <c r="CW380" s="561">
        <v>0</v>
      </c>
      <c r="CX380" s="561">
        <v>167</v>
      </c>
      <c r="CY380" s="561">
        <v>384</v>
      </c>
      <c r="CZ380" s="561">
        <v>6795</v>
      </c>
      <c r="DA380" s="561">
        <v>0</v>
      </c>
      <c r="DB380" s="561">
        <v>0</v>
      </c>
      <c r="DC380" s="561">
        <v>0</v>
      </c>
      <c r="DD380" s="561">
        <v>0</v>
      </c>
      <c r="DE380" s="561">
        <v>0</v>
      </c>
      <c r="DF380" s="561">
        <v>0</v>
      </c>
      <c r="DG380" s="561">
        <v>0</v>
      </c>
      <c r="DH380" s="561">
        <v>368</v>
      </c>
      <c r="DI380" s="561">
        <v>0</v>
      </c>
      <c r="DJ380" s="561">
        <v>0</v>
      </c>
      <c r="DK380" s="561">
        <v>-1</v>
      </c>
      <c r="DL380" s="561">
        <v>0</v>
      </c>
      <c r="DM380" s="561">
        <v>134</v>
      </c>
      <c r="DN380" s="561">
        <v>178</v>
      </c>
      <c r="DO380" s="561">
        <v>1426</v>
      </c>
      <c r="DP380" s="561">
        <v>164</v>
      </c>
      <c r="DQ380" s="561">
        <v>71</v>
      </c>
      <c r="DR380" s="561">
        <v>0</v>
      </c>
      <c r="DS380" s="561">
        <v>0</v>
      </c>
      <c r="DT380" s="561">
        <v>3220</v>
      </c>
      <c r="DU380" s="561">
        <v>5193</v>
      </c>
      <c r="DV380" s="561">
        <v>0</v>
      </c>
      <c r="DW380" s="561">
        <v>228</v>
      </c>
      <c r="DX380" s="561">
        <v>0</v>
      </c>
      <c r="DY380" s="561">
        <v>526</v>
      </c>
      <c r="DZ380" s="561">
        <v>-180</v>
      </c>
      <c r="EA380" s="561">
        <v>0</v>
      </c>
      <c r="EB380" s="561">
        <v>0</v>
      </c>
      <c r="EC380" s="561">
        <v>6134</v>
      </c>
      <c r="ED380" s="561">
        <v>146</v>
      </c>
      <c r="EE380" s="561">
        <v>0</v>
      </c>
      <c r="EF380" s="561">
        <v>0</v>
      </c>
      <c r="EG380" s="561">
        <v>0</v>
      </c>
      <c r="EH380" s="561">
        <v>0</v>
      </c>
      <c r="EI380" s="561">
        <v>0</v>
      </c>
      <c r="EJ380" s="561">
        <v>0</v>
      </c>
      <c r="EK380" s="561">
        <v>0</v>
      </c>
      <c r="EL380" s="561">
        <v>0</v>
      </c>
      <c r="EM380" s="561">
        <v>0</v>
      </c>
      <c r="EN380" s="561">
        <v>0</v>
      </c>
      <c r="EO380" s="561">
        <v>0</v>
      </c>
      <c r="EP380" s="561">
        <v>0</v>
      </c>
      <c r="EQ380" s="561">
        <v>0</v>
      </c>
      <c r="ER380" s="561">
        <v>0</v>
      </c>
      <c r="ES380" s="561" t="s">
        <v>4565</v>
      </c>
      <c r="ET380" s="561">
        <v>0</v>
      </c>
      <c r="EU380" s="561">
        <v>0</v>
      </c>
      <c r="EV380" s="561">
        <v>0</v>
      </c>
      <c r="EW380" s="561">
        <v>0</v>
      </c>
      <c r="EX380" s="561">
        <v>0</v>
      </c>
      <c r="EY380" s="561">
        <v>0</v>
      </c>
      <c r="EZ380" s="561">
        <v>0</v>
      </c>
      <c r="FA380" s="561">
        <v>0</v>
      </c>
      <c r="FB380" s="561">
        <v>224</v>
      </c>
      <c r="FC380" s="561">
        <v>0</v>
      </c>
      <c r="FD380" s="561">
        <v>551</v>
      </c>
      <c r="FE380" s="561">
        <v>308</v>
      </c>
      <c r="FF380" s="561">
        <v>4</v>
      </c>
      <c r="FG380" s="561">
        <v>42</v>
      </c>
      <c r="FH380" s="561">
        <v>0</v>
      </c>
      <c r="FI380" s="561">
        <v>0</v>
      </c>
      <c r="FJ380" s="561">
        <v>312</v>
      </c>
      <c r="FK380" s="561">
        <v>2562</v>
      </c>
      <c r="FL380" s="561">
        <v>0</v>
      </c>
      <c r="FM380" s="561">
        <v>158</v>
      </c>
      <c r="FN380" s="561">
        <v>1367</v>
      </c>
      <c r="FO380" s="561">
        <v>5528</v>
      </c>
      <c r="FP380" s="561">
        <v>0</v>
      </c>
      <c r="FQ380" s="561">
        <v>84</v>
      </c>
      <c r="FR380" s="561">
        <v>969</v>
      </c>
      <c r="FS380" s="561">
        <v>40</v>
      </c>
      <c r="FT380" s="561">
        <v>390</v>
      </c>
      <c r="FU380" s="561">
        <v>463</v>
      </c>
      <c r="FV380" s="561">
        <v>265</v>
      </c>
      <c r="FW380" s="561">
        <v>189</v>
      </c>
      <c r="FX380" s="561">
        <v>0</v>
      </c>
      <c r="FY380" s="561">
        <v>0</v>
      </c>
      <c r="FZ380" s="561">
        <v>74</v>
      </c>
      <c r="GA380" s="561">
        <v>0</v>
      </c>
      <c r="GB380" s="561">
        <v>44</v>
      </c>
      <c r="GC380" s="561">
        <v>209</v>
      </c>
      <c r="GD380" s="561">
        <v>3</v>
      </c>
      <c r="GE380" s="561">
        <v>490</v>
      </c>
      <c r="GF380" s="561">
        <v>0</v>
      </c>
      <c r="GG380" s="561">
        <v>233</v>
      </c>
      <c r="GH380" s="561">
        <v>0</v>
      </c>
      <c r="GI380" s="561">
        <v>0</v>
      </c>
      <c r="GJ380" s="561">
        <v>0</v>
      </c>
      <c r="GK380" s="561">
        <v>0</v>
      </c>
      <c r="GL380" s="561">
        <v>3468</v>
      </c>
      <c r="GM380" s="561">
        <v>3613</v>
      </c>
      <c r="GN380" s="561">
        <v>10794</v>
      </c>
      <c r="GO380" s="561">
        <v>0</v>
      </c>
      <c r="GP380" s="561">
        <v>4224</v>
      </c>
      <c r="GQ380" s="561">
        <v>44</v>
      </c>
      <c r="GR380" s="561">
        <v>76</v>
      </c>
      <c r="GS380" s="561">
        <v>25672</v>
      </c>
      <c r="GT380" s="561">
        <v>160</v>
      </c>
      <c r="GU380" s="561">
        <v>96</v>
      </c>
      <c r="GV380" s="561">
        <v>2123</v>
      </c>
      <c r="GW380" s="561">
        <v>208</v>
      </c>
      <c r="GX380" s="561">
        <v>-324</v>
      </c>
      <c r="GY380" s="561">
        <v>179</v>
      </c>
      <c r="GZ380" s="561">
        <v>493</v>
      </c>
      <c r="HA380" s="561">
        <v>0</v>
      </c>
      <c r="HB380" s="561">
        <v>23</v>
      </c>
      <c r="HC380" s="561">
        <v>199</v>
      </c>
      <c r="HD380" s="561">
        <v>2997</v>
      </c>
      <c r="HE380" s="561">
        <v>296</v>
      </c>
      <c r="HF380" s="561">
        <v>34197</v>
      </c>
      <c r="HG380" s="561">
        <v>0</v>
      </c>
      <c r="HH380" s="561">
        <v>0</v>
      </c>
      <c r="HI380" s="561">
        <v>0</v>
      </c>
      <c r="HJ380" s="561">
        <v>0</v>
      </c>
      <c r="HK380" s="561">
        <v>0</v>
      </c>
      <c r="HL380" s="561">
        <v>0</v>
      </c>
      <c r="HM380" s="561">
        <v>0</v>
      </c>
      <c r="HN380" s="561">
        <v>0</v>
      </c>
      <c r="HO380" s="561">
        <v>4059</v>
      </c>
      <c r="HP380" s="561">
        <v>467</v>
      </c>
      <c r="HQ380" s="561">
        <v>0</v>
      </c>
      <c r="HR380" s="561">
        <v>0</v>
      </c>
      <c r="HS380" s="561">
        <v>126</v>
      </c>
      <c r="HT380" s="561">
        <v>41</v>
      </c>
      <c r="HU380" s="561">
        <v>5</v>
      </c>
      <c r="HV380" s="561">
        <v>-135</v>
      </c>
      <c r="HW380" s="561">
        <v>307</v>
      </c>
      <c r="HX380" s="561">
        <v>48</v>
      </c>
      <c r="HY380" s="561">
        <v>293</v>
      </c>
      <c r="HZ380" s="561">
        <v>-209</v>
      </c>
      <c r="IA380" s="561">
        <v>0</v>
      </c>
      <c r="IB380" s="561">
        <v>4</v>
      </c>
      <c r="IC380" s="561">
        <v>526</v>
      </c>
      <c r="ID380" s="561">
        <v>5</v>
      </c>
      <c r="IE380" s="561">
        <v>-1533</v>
      </c>
      <c r="IF380" s="561">
        <v>0</v>
      </c>
      <c r="IG380" s="561">
        <v>0</v>
      </c>
      <c r="IH380" s="561">
        <v>0</v>
      </c>
      <c r="II380" s="561">
        <v>4004</v>
      </c>
      <c r="IJ380" s="561">
        <v>82</v>
      </c>
      <c r="IK380" s="561">
        <v>0</v>
      </c>
      <c r="IL380" s="561">
        <v>0</v>
      </c>
      <c r="IM380" s="561">
        <v>0</v>
      </c>
      <c r="IN380" s="561">
        <v>0</v>
      </c>
      <c r="IO380" s="561">
        <v>0</v>
      </c>
      <c r="IP380" s="561">
        <v>0</v>
      </c>
      <c r="IQ380" s="561">
        <v>0</v>
      </c>
      <c r="IR380" s="561">
        <v>165494</v>
      </c>
      <c r="IS380" s="561">
        <v>5376</v>
      </c>
      <c r="IT380" s="561">
        <v>37107</v>
      </c>
      <c r="IU380" s="561">
        <v>73267</v>
      </c>
      <c r="IV380" s="561">
        <v>6795</v>
      </c>
      <c r="IW380" s="561">
        <v>6134</v>
      </c>
      <c r="IX380" s="561">
        <v>5528</v>
      </c>
      <c r="IY380" s="561">
        <v>25672</v>
      </c>
      <c r="IZ380" s="561">
        <v>2997</v>
      </c>
      <c r="JA380" s="561">
        <v>0</v>
      </c>
      <c r="JB380" s="561">
        <v>0</v>
      </c>
      <c r="JC380" s="561">
        <v>4004</v>
      </c>
      <c r="JD380" s="561">
        <v>0</v>
      </c>
      <c r="JE380" s="561">
        <v>332374</v>
      </c>
      <c r="JF380" s="561">
        <v>23117.65</v>
      </c>
      <c r="JG380" s="561">
        <v>1280.42</v>
      </c>
      <c r="JH380" s="561">
        <v>0</v>
      </c>
      <c r="JI380" s="561">
        <v>0</v>
      </c>
      <c r="JJ380" s="561">
        <v>0</v>
      </c>
      <c r="JK380" s="561">
        <v>5629</v>
      </c>
      <c r="JL380" s="561">
        <v>0</v>
      </c>
      <c r="JM380" s="561">
        <v>0</v>
      </c>
      <c r="JN380" s="561">
        <v>0</v>
      </c>
      <c r="JO380" s="561">
        <v>0</v>
      </c>
      <c r="JP380" s="561">
        <v>71</v>
      </c>
      <c r="JQ380" s="561">
        <v>-476</v>
      </c>
      <c r="JR380" s="561">
        <v>0</v>
      </c>
      <c r="JS380" s="561">
        <v>0</v>
      </c>
      <c r="JT380" s="561">
        <v>662.25</v>
      </c>
      <c r="JU380" s="561">
        <v>0</v>
      </c>
      <c r="JV380" s="561">
        <v>362658.32</v>
      </c>
      <c r="JW380" s="561">
        <v>161.62</v>
      </c>
      <c r="JX380" s="561">
        <v>0</v>
      </c>
      <c r="JY380" s="561">
        <v>0</v>
      </c>
      <c r="JZ380" s="561">
        <v>-2867.77</v>
      </c>
      <c r="KA380" s="561">
        <v>0</v>
      </c>
      <c r="KB380" s="561">
        <v>182.29</v>
      </c>
      <c r="KC380" s="561">
        <v>4167.45</v>
      </c>
      <c r="KD380" s="561">
        <v>28.98</v>
      </c>
      <c r="KE380" s="561">
        <v>14514</v>
      </c>
      <c r="KF380" s="561">
        <v>0</v>
      </c>
      <c r="KG380" s="561">
        <v>378844.89</v>
      </c>
      <c r="KH380" s="561">
        <v>-2341.9</v>
      </c>
      <c r="KI380" s="561">
        <v>332.55</v>
      </c>
      <c r="KJ380" s="561">
        <v>0</v>
      </c>
      <c r="KK380" s="561">
        <v>0</v>
      </c>
      <c r="KL380" s="561">
        <v>-34663.949999999997</v>
      </c>
      <c r="KM380" s="561">
        <v>0</v>
      </c>
      <c r="KN380" s="561">
        <v>0</v>
      </c>
      <c r="KO380" s="561">
        <v>0</v>
      </c>
      <c r="KP380" s="561">
        <v>0</v>
      </c>
      <c r="KQ380" s="561">
        <v>-6682.64</v>
      </c>
      <c r="KR380" s="561">
        <v>335488.95</v>
      </c>
      <c r="KS380" s="561">
        <v>0</v>
      </c>
      <c r="KT380" s="561">
        <v>-173347.48</v>
      </c>
      <c r="KU380" s="561">
        <v>162141.47</v>
      </c>
      <c r="KV380" s="561">
        <v>0</v>
      </c>
      <c r="KW380" s="561">
        <v>-4300.07</v>
      </c>
      <c r="KX380" s="561">
        <v>0</v>
      </c>
      <c r="KY380" s="561">
        <v>180.75</v>
      </c>
      <c r="KZ380" s="561">
        <v>-288</v>
      </c>
      <c r="LA380" s="561">
        <v>6597.41</v>
      </c>
      <c r="LB380" s="561">
        <v>-218</v>
      </c>
      <c r="LC380" s="561">
        <v>0</v>
      </c>
      <c r="LD380" s="561">
        <v>-36983.67</v>
      </c>
      <c r="LE380" s="561">
        <v>1948</v>
      </c>
      <c r="LF380" s="561">
        <v>755</v>
      </c>
      <c r="LG380" s="561">
        <v>129833</v>
      </c>
      <c r="LH380" s="561">
        <v>12069</v>
      </c>
      <c r="LI380" s="561">
        <v>-9450</v>
      </c>
      <c r="LJ380" s="561">
        <v>0</v>
      </c>
      <c r="LK380" s="561">
        <v>1018</v>
      </c>
      <c r="LL380" s="561">
        <v>2461</v>
      </c>
      <c r="LM380" s="561">
        <v>4000</v>
      </c>
      <c r="LN380" s="561">
        <v>7768.93</v>
      </c>
      <c r="LO380" s="561">
        <v>-16132.64</v>
      </c>
      <c r="LP380" s="561">
        <v>0</v>
      </c>
      <c r="LQ380" s="561">
        <v>1198.75</v>
      </c>
      <c r="LR380" s="561">
        <v>2173</v>
      </c>
      <c r="LS380" s="561">
        <v>10597.41</v>
      </c>
      <c r="LT380" s="561">
        <v>0</v>
      </c>
      <c r="LU380" s="561">
        <v>15711.12</v>
      </c>
      <c r="LV380" s="561">
        <v>328.88</v>
      </c>
      <c r="LW380" s="561">
        <v>-11270</v>
      </c>
      <c r="LX380" s="561">
        <v>-23400</v>
      </c>
      <c r="LY380" s="561">
        <v>18959</v>
      </c>
      <c r="LZ380" s="561">
        <v>2308</v>
      </c>
      <c r="MA380" s="561">
        <v>0</v>
      </c>
      <c r="MB380" s="561">
        <v>0</v>
      </c>
      <c r="MC380" s="561">
        <v>0</v>
      </c>
      <c r="MD380" s="561">
        <v>0</v>
      </c>
      <c r="ME380" s="561">
        <v>0</v>
      </c>
      <c r="MF380" s="561">
        <v>0</v>
      </c>
      <c r="MG380" s="561">
        <v>0</v>
      </c>
      <c r="MH380" s="561">
        <v>3598.45</v>
      </c>
      <c r="MI380" s="561">
        <v>3607.17</v>
      </c>
      <c r="MJ380" s="561">
        <v>7205.62</v>
      </c>
      <c r="MK380" s="561">
        <v>0</v>
      </c>
      <c r="ML380" s="561">
        <v>0</v>
      </c>
      <c r="MM380" s="561">
        <v>2173</v>
      </c>
      <c r="MN380" s="561">
        <v>0</v>
      </c>
      <c r="MO380" s="561">
        <v>0</v>
      </c>
      <c r="MP380" s="561">
        <v>0</v>
      </c>
      <c r="MQ380" s="561">
        <v>165494</v>
      </c>
      <c r="MR380" s="561">
        <v>5376</v>
      </c>
      <c r="MS380" s="561">
        <v>37107</v>
      </c>
      <c r="MT380" s="561">
        <v>73267</v>
      </c>
      <c r="MU380" s="561">
        <v>6795</v>
      </c>
      <c r="MV380" s="561">
        <v>6134</v>
      </c>
      <c r="MW380" s="561">
        <v>5528</v>
      </c>
      <c r="MX380" s="561">
        <v>25672</v>
      </c>
      <c r="MY380" s="561">
        <v>2997</v>
      </c>
      <c r="MZ380" s="561">
        <v>0</v>
      </c>
      <c r="NA380" s="561">
        <v>0</v>
      </c>
      <c r="NB380" s="561">
        <v>4004</v>
      </c>
      <c r="NC380" s="561">
        <v>0</v>
      </c>
      <c r="ND380" s="561">
        <v>332374</v>
      </c>
      <c r="NE380" s="561">
        <v>0</v>
      </c>
      <c r="NF380" s="561">
        <v>0</v>
      </c>
      <c r="NG380" s="561">
        <v>0</v>
      </c>
      <c r="NH380" s="561">
        <v>0</v>
      </c>
      <c r="NI380" s="561">
        <v>0</v>
      </c>
      <c r="NJ380" s="561">
        <v>0</v>
      </c>
      <c r="NK380" s="561">
        <v>0</v>
      </c>
      <c r="NL380" s="561">
        <v>0</v>
      </c>
      <c r="NM380" s="561">
        <v>0</v>
      </c>
      <c r="NN380" s="561">
        <v>0</v>
      </c>
      <c r="NO380" s="561">
        <v>0</v>
      </c>
      <c r="NP380" s="561">
        <v>0</v>
      </c>
      <c r="NQ380" s="561">
        <v>0</v>
      </c>
      <c r="NR380" s="561">
        <v>0</v>
      </c>
      <c r="NS380" s="561">
        <v>0</v>
      </c>
      <c r="NT380" s="561">
        <v>19</v>
      </c>
      <c r="NU380" s="561">
        <v>220</v>
      </c>
      <c r="NV380" s="561">
        <v>0</v>
      </c>
      <c r="NW380" s="561">
        <v>71</v>
      </c>
      <c r="NX380" s="561">
        <v>0</v>
      </c>
      <c r="NY380" s="561">
        <v>71</v>
      </c>
      <c r="NZ380" s="561">
        <v>0</v>
      </c>
      <c r="OA380" s="561">
        <v>0</v>
      </c>
      <c r="OB380" s="561">
        <v>0</v>
      </c>
      <c r="OC380" s="561">
        <v>0</v>
      </c>
      <c r="OD380" s="561">
        <v>0</v>
      </c>
      <c r="OE380" s="561">
        <v>0</v>
      </c>
      <c r="OF380" s="561">
        <v>0</v>
      </c>
      <c r="OG380" s="561">
        <v>0</v>
      </c>
      <c r="OH380" s="561">
        <v>0</v>
      </c>
      <c r="OI380" s="561">
        <v>0</v>
      </c>
      <c r="OJ380" s="561">
        <v>0</v>
      </c>
      <c r="OK380" s="561">
        <v>0</v>
      </c>
      <c r="OL380" s="561">
        <v>3</v>
      </c>
      <c r="OM380" s="561">
        <v>0</v>
      </c>
      <c r="ON380" s="561">
        <v>-145</v>
      </c>
      <c r="OO380" s="561">
        <v>0</v>
      </c>
      <c r="OP380" s="561">
        <v>0</v>
      </c>
      <c r="OQ380" s="561">
        <v>0</v>
      </c>
      <c r="OR380" s="561">
        <v>0</v>
      </c>
      <c r="OS380" s="561">
        <v>0</v>
      </c>
      <c r="OT380" s="561">
        <v>0</v>
      </c>
      <c r="OU380" s="561">
        <v>0</v>
      </c>
      <c r="OV380" s="561">
        <v>0</v>
      </c>
      <c r="OW380" s="561">
        <v>0</v>
      </c>
      <c r="OX380" s="561">
        <v>-476</v>
      </c>
      <c r="OY380" s="561">
        <v>0</v>
      </c>
      <c r="OZ380" s="561">
        <v>0</v>
      </c>
      <c r="PA380" s="561">
        <v>0</v>
      </c>
      <c r="PB380" s="561">
        <v>0</v>
      </c>
      <c r="PC380" s="561">
        <v>0</v>
      </c>
      <c r="PD380" s="561">
        <v>0</v>
      </c>
      <c r="PE380" s="561">
        <v>0</v>
      </c>
      <c r="PF380" s="561">
        <v>0</v>
      </c>
      <c r="PG380" s="561">
        <v>0</v>
      </c>
      <c r="PH380" s="561">
        <v>0</v>
      </c>
      <c r="PI380" s="561">
        <v>0</v>
      </c>
      <c r="PJ380" s="561">
        <v>0</v>
      </c>
    </row>
    <row r="381" spans="1:426" ht="14" x14ac:dyDescent="0.3">
      <c r="A381" t="s">
        <v>3584</v>
      </c>
      <c r="B381" t="s">
        <v>3585</v>
      </c>
      <c r="C381" t="s">
        <v>3586</v>
      </c>
      <c r="E381" t="s">
        <v>384</v>
      </c>
      <c r="F381" s="561">
        <v>0</v>
      </c>
      <c r="G381" s="561">
        <v>0</v>
      </c>
      <c r="H381" s="561">
        <v>0</v>
      </c>
      <c r="I381" s="561">
        <v>0</v>
      </c>
      <c r="J381" s="561">
        <v>0</v>
      </c>
      <c r="K381" s="561">
        <v>0</v>
      </c>
      <c r="L381" s="561">
        <v>0</v>
      </c>
      <c r="M381" s="561">
        <v>0</v>
      </c>
      <c r="N381" s="561">
        <v>0</v>
      </c>
      <c r="O381" s="561">
        <v>0</v>
      </c>
      <c r="P381" s="561">
        <v>0</v>
      </c>
      <c r="Q381" s="561">
        <v>0</v>
      </c>
      <c r="R381" s="561">
        <v>0</v>
      </c>
      <c r="S381" s="561">
        <v>0</v>
      </c>
      <c r="T381" s="561">
        <v>0</v>
      </c>
      <c r="U381" s="561">
        <v>0</v>
      </c>
      <c r="V381" s="561">
        <v>0</v>
      </c>
      <c r="W381" s="561">
        <v>0</v>
      </c>
      <c r="X381" s="561">
        <v>0</v>
      </c>
      <c r="Y381" s="561">
        <v>0</v>
      </c>
      <c r="Z381" s="561">
        <v>0</v>
      </c>
      <c r="AA381" s="561">
        <v>0</v>
      </c>
      <c r="AB381" s="561">
        <v>-474</v>
      </c>
      <c r="AC381" s="561">
        <v>0</v>
      </c>
      <c r="AD381" s="561">
        <v>13</v>
      </c>
      <c r="AE381" s="561">
        <v>0</v>
      </c>
      <c r="AF381" s="561">
        <v>0</v>
      </c>
      <c r="AG381" s="561">
        <v>0</v>
      </c>
      <c r="AH381" s="561">
        <v>0</v>
      </c>
      <c r="AI381" s="561">
        <v>0</v>
      </c>
      <c r="AJ381" s="561">
        <v>-461</v>
      </c>
      <c r="AK381" s="561">
        <v>0</v>
      </c>
      <c r="AL381" s="561">
        <v>0</v>
      </c>
      <c r="AM381" s="561">
        <v>0</v>
      </c>
      <c r="AN381" s="561">
        <v>0</v>
      </c>
      <c r="AO381" s="561">
        <v>0</v>
      </c>
      <c r="AP381" s="561">
        <v>0</v>
      </c>
      <c r="AQ381" s="561">
        <v>0</v>
      </c>
      <c r="AR381" s="561">
        <v>0</v>
      </c>
      <c r="AS381" s="561">
        <v>0</v>
      </c>
      <c r="AT381" s="561">
        <v>0</v>
      </c>
      <c r="AU381" s="561">
        <v>0</v>
      </c>
      <c r="AV381" s="561">
        <v>0</v>
      </c>
      <c r="AW381" s="561">
        <v>0</v>
      </c>
      <c r="AX381" s="561">
        <v>0</v>
      </c>
      <c r="AY381" s="561">
        <v>0</v>
      </c>
      <c r="AZ381" s="561">
        <v>0</v>
      </c>
      <c r="BA381" s="561">
        <v>0</v>
      </c>
      <c r="BB381" s="561">
        <v>0</v>
      </c>
      <c r="BC381" s="561">
        <v>0</v>
      </c>
      <c r="BD381" s="561">
        <v>0</v>
      </c>
      <c r="BE381" s="561">
        <v>0</v>
      </c>
      <c r="BF381" s="561">
        <v>0</v>
      </c>
      <c r="BG381" s="561">
        <v>0</v>
      </c>
      <c r="BH381" s="561">
        <v>0</v>
      </c>
      <c r="BI381" s="561">
        <v>0</v>
      </c>
      <c r="BJ381" s="561">
        <v>0</v>
      </c>
      <c r="BK381" s="561">
        <v>0</v>
      </c>
      <c r="BL381" s="561">
        <v>0</v>
      </c>
      <c r="BM381" s="561">
        <v>0</v>
      </c>
      <c r="BN381" s="561">
        <v>0</v>
      </c>
      <c r="BO381" s="561">
        <v>0</v>
      </c>
      <c r="BP381" s="561">
        <v>0</v>
      </c>
      <c r="BQ381" s="561">
        <v>0</v>
      </c>
      <c r="BR381" s="561">
        <v>0</v>
      </c>
      <c r="BS381" s="561">
        <v>0</v>
      </c>
      <c r="BT381" s="561">
        <v>0</v>
      </c>
      <c r="BU381" s="561">
        <v>0</v>
      </c>
      <c r="BV381" s="561">
        <v>0</v>
      </c>
      <c r="BW381" s="561">
        <v>0</v>
      </c>
      <c r="BX381" s="561">
        <v>0</v>
      </c>
      <c r="BY381" s="561">
        <v>0</v>
      </c>
      <c r="BZ381" s="561">
        <v>0</v>
      </c>
      <c r="CA381" s="561">
        <v>0</v>
      </c>
      <c r="CB381" s="561">
        <v>0</v>
      </c>
      <c r="CC381" s="561">
        <v>0</v>
      </c>
      <c r="CD381" s="561">
        <v>0</v>
      </c>
      <c r="CE381" s="561">
        <v>0</v>
      </c>
      <c r="CF381" s="561">
        <v>0</v>
      </c>
      <c r="CG381" s="561">
        <v>0</v>
      </c>
      <c r="CH381" s="561">
        <v>0</v>
      </c>
      <c r="CI381" s="561">
        <v>0</v>
      </c>
      <c r="CJ381" s="561">
        <v>0</v>
      </c>
      <c r="CK381" s="561">
        <v>0</v>
      </c>
      <c r="CL381" s="561">
        <v>0</v>
      </c>
      <c r="CM381" s="561">
        <v>0</v>
      </c>
      <c r="CN381" s="561">
        <v>0</v>
      </c>
      <c r="CO381" s="561">
        <v>0</v>
      </c>
      <c r="CP381" s="561">
        <v>0</v>
      </c>
      <c r="CQ381" s="561">
        <v>0</v>
      </c>
      <c r="CR381" s="561">
        <v>0</v>
      </c>
      <c r="CS381" s="561">
        <v>0</v>
      </c>
      <c r="CT381" s="561">
        <v>0</v>
      </c>
      <c r="CU381" s="561">
        <v>0</v>
      </c>
      <c r="CV381" s="561">
        <v>0</v>
      </c>
      <c r="CW381" s="561">
        <v>0</v>
      </c>
      <c r="CX381" s="561">
        <v>0</v>
      </c>
      <c r="CY381" s="561">
        <v>0</v>
      </c>
      <c r="CZ381" s="561">
        <v>0</v>
      </c>
      <c r="DA381" s="561">
        <v>0</v>
      </c>
      <c r="DB381" s="561">
        <v>0</v>
      </c>
      <c r="DC381" s="561">
        <v>0</v>
      </c>
      <c r="DD381" s="561">
        <v>0</v>
      </c>
      <c r="DE381" s="561">
        <v>0</v>
      </c>
      <c r="DF381" s="561">
        <v>0</v>
      </c>
      <c r="DG381" s="561">
        <v>0</v>
      </c>
      <c r="DH381" s="561">
        <v>244</v>
      </c>
      <c r="DI381" s="561">
        <v>0</v>
      </c>
      <c r="DJ381" s="561">
        <v>129</v>
      </c>
      <c r="DK381" s="561">
        <v>0</v>
      </c>
      <c r="DL381" s="561">
        <v>0</v>
      </c>
      <c r="DM381" s="561">
        <v>52</v>
      </c>
      <c r="DN381" s="561">
        <v>0</v>
      </c>
      <c r="DO381" s="561">
        <v>328</v>
      </c>
      <c r="DP381" s="561">
        <v>-22</v>
      </c>
      <c r="DQ381" s="561">
        <v>0</v>
      </c>
      <c r="DR381" s="561">
        <v>530</v>
      </c>
      <c r="DS381" s="561">
        <v>-38</v>
      </c>
      <c r="DT381" s="561">
        <v>0</v>
      </c>
      <c r="DU381" s="561">
        <v>850</v>
      </c>
      <c r="DV381" s="561">
        <v>107</v>
      </c>
      <c r="DW381" s="561">
        <v>0</v>
      </c>
      <c r="DX381" s="561">
        <v>0</v>
      </c>
      <c r="DY381" s="561">
        <v>670</v>
      </c>
      <c r="DZ381" s="561">
        <v>0</v>
      </c>
      <c r="EA381" s="561">
        <v>0</v>
      </c>
      <c r="EB381" s="561">
        <v>0</v>
      </c>
      <c r="EC381" s="561">
        <v>2000</v>
      </c>
      <c r="ED381" s="561">
        <v>0</v>
      </c>
      <c r="EE381" s="561">
        <v>0</v>
      </c>
      <c r="EF381" s="561">
        <v>0</v>
      </c>
      <c r="EG381" s="561">
        <v>0</v>
      </c>
      <c r="EH381" s="561">
        <v>0</v>
      </c>
      <c r="EI381" s="561">
        <v>0</v>
      </c>
      <c r="EJ381" s="561">
        <v>0</v>
      </c>
      <c r="EK381" s="561">
        <v>0</v>
      </c>
      <c r="EL381" s="561">
        <v>0</v>
      </c>
      <c r="EM381" s="561">
        <v>0</v>
      </c>
      <c r="EN381" s="561">
        <v>0</v>
      </c>
      <c r="EO381" s="561">
        <v>0</v>
      </c>
      <c r="EP381" s="561">
        <v>0</v>
      </c>
      <c r="EQ381" s="561">
        <v>0</v>
      </c>
      <c r="ER381" s="561">
        <v>0</v>
      </c>
      <c r="ES381" s="561" t="s">
        <v>4565</v>
      </c>
      <c r="ET381" s="561">
        <v>0</v>
      </c>
      <c r="EU381" s="561">
        <v>0</v>
      </c>
      <c r="EV381" s="561">
        <v>0</v>
      </c>
      <c r="EW381" s="561">
        <v>0</v>
      </c>
      <c r="EX381" s="561">
        <v>0</v>
      </c>
      <c r="EY381" s="561">
        <v>0</v>
      </c>
      <c r="EZ381" s="561">
        <v>0</v>
      </c>
      <c r="FA381" s="561">
        <v>0</v>
      </c>
      <c r="FB381" s="561">
        <v>0</v>
      </c>
      <c r="FC381" s="561">
        <v>0</v>
      </c>
      <c r="FD381" s="561">
        <v>0</v>
      </c>
      <c r="FE381" s="561">
        <v>0</v>
      </c>
      <c r="FF381" s="561">
        <v>0</v>
      </c>
      <c r="FG381" s="561">
        <v>0</v>
      </c>
      <c r="FH381" s="561">
        <v>0</v>
      </c>
      <c r="FI381" s="561">
        <v>27</v>
      </c>
      <c r="FJ381" s="561">
        <v>-29</v>
      </c>
      <c r="FK381" s="561">
        <v>315</v>
      </c>
      <c r="FL381" s="561">
        <v>0</v>
      </c>
      <c r="FM381" s="561">
        <v>0</v>
      </c>
      <c r="FN381" s="561">
        <v>0</v>
      </c>
      <c r="FO381" s="561">
        <v>313</v>
      </c>
      <c r="FP381" s="561">
        <v>0</v>
      </c>
      <c r="FQ381" s="561">
        <v>0</v>
      </c>
      <c r="FR381" s="561">
        <v>0</v>
      </c>
      <c r="FS381" s="561">
        <v>0</v>
      </c>
      <c r="FT381" s="561">
        <v>122</v>
      </c>
      <c r="FU381" s="561">
        <v>207</v>
      </c>
      <c r="FV381" s="561">
        <v>52</v>
      </c>
      <c r="FW381" s="561">
        <v>17</v>
      </c>
      <c r="FX381" s="561">
        <v>0</v>
      </c>
      <c r="FY381" s="561">
        <v>0</v>
      </c>
      <c r="FZ381" s="561">
        <v>0</v>
      </c>
      <c r="GA381" s="561">
        <v>142</v>
      </c>
      <c r="GB381" s="561">
        <v>228</v>
      </c>
      <c r="GC381" s="561">
        <v>217</v>
      </c>
      <c r="GD381" s="561">
        <v>56</v>
      </c>
      <c r="GE381" s="561">
        <v>0</v>
      </c>
      <c r="GF381" s="561">
        <v>0</v>
      </c>
      <c r="GG381" s="561">
        <v>20</v>
      </c>
      <c r="GH381" s="561">
        <v>0</v>
      </c>
      <c r="GI381" s="561">
        <v>0</v>
      </c>
      <c r="GJ381" s="561">
        <v>0</v>
      </c>
      <c r="GK381" s="561">
        <v>0</v>
      </c>
      <c r="GL381" s="561">
        <v>632</v>
      </c>
      <c r="GM381" s="561">
        <v>2796</v>
      </c>
      <c r="GN381" s="561">
        <v>0</v>
      </c>
      <c r="GO381" s="561">
        <v>9</v>
      </c>
      <c r="GP381" s="561">
        <v>-9</v>
      </c>
      <c r="GQ381" s="561">
        <v>0</v>
      </c>
      <c r="GR381" s="561">
        <v>30</v>
      </c>
      <c r="GS381" s="561">
        <v>4519</v>
      </c>
      <c r="GT381" s="561">
        <v>0</v>
      </c>
      <c r="GU381" s="561">
        <v>136</v>
      </c>
      <c r="GV381" s="561">
        <v>485</v>
      </c>
      <c r="GW381" s="561">
        <v>0</v>
      </c>
      <c r="GX381" s="561">
        <v>149</v>
      </c>
      <c r="GY381" s="561">
        <v>15</v>
      </c>
      <c r="GZ381" s="561">
        <v>1265</v>
      </c>
      <c r="HA381" s="561">
        <v>0</v>
      </c>
      <c r="HB381" s="561">
        <v>0</v>
      </c>
      <c r="HC381" s="561">
        <v>82</v>
      </c>
      <c r="HD381" s="561">
        <v>2132</v>
      </c>
      <c r="HE381" s="561">
        <v>0</v>
      </c>
      <c r="HF381" s="561">
        <v>6964</v>
      </c>
      <c r="HG381" s="561">
        <v>0</v>
      </c>
      <c r="HH381" s="561">
        <v>0</v>
      </c>
      <c r="HI381" s="561">
        <v>0</v>
      </c>
      <c r="HJ381" s="561">
        <v>0</v>
      </c>
      <c r="HK381" s="561">
        <v>0</v>
      </c>
      <c r="HL381" s="561">
        <v>0</v>
      </c>
      <c r="HM381" s="561">
        <v>0</v>
      </c>
      <c r="HN381" s="561">
        <v>0</v>
      </c>
      <c r="HO381" s="561">
        <v>1314</v>
      </c>
      <c r="HP381" s="561">
        <v>206</v>
      </c>
      <c r="HQ381" s="561">
        <v>0</v>
      </c>
      <c r="HR381" s="561">
        <v>0</v>
      </c>
      <c r="HS381" s="561">
        <v>139</v>
      </c>
      <c r="HT381" s="561">
        <v>0</v>
      </c>
      <c r="HU381" s="561">
        <v>0</v>
      </c>
      <c r="HV381" s="561">
        <v>0</v>
      </c>
      <c r="HW381" s="561">
        <v>296</v>
      </c>
      <c r="HX381" s="561">
        <v>114</v>
      </c>
      <c r="HY381" s="561">
        <v>85</v>
      </c>
      <c r="HZ381" s="561">
        <v>97</v>
      </c>
      <c r="IA381" s="561">
        <v>0</v>
      </c>
      <c r="IB381" s="561">
        <v>0</v>
      </c>
      <c r="IC381" s="561">
        <v>0</v>
      </c>
      <c r="ID381" s="561">
        <v>0</v>
      </c>
      <c r="IE381" s="561">
        <v>346</v>
      </c>
      <c r="IF381" s="561">
        <v>0</v>
      </c>
      <c r="IG381" s="561">
        <v>0</v>
      </c>
      <c r="IH381" s="561">
        <v>0</v>
      </c>
      <c r="II381" s="561">
        <v>2597</v>
      </c>
      <c r="IJ381" s="561">
        <v>0</v>
      </c>
      <c r="IK381" s="561">
        <v>0</v>
      </c>
      <c r="IL381" s="561">
        <v>0</v>
      </c>
      <c r="IM381" s="561">
        <v>0</v>
      </c>
      <c r="IN381" s="561">
        <v>0</v>
      </c>
      <c r="IO381" s="561">
        <v>0</v>
      </c>
      <c r="IP381" s="561">
        <v>3</v>
      </c>
      <c r="IQ381" s="561">
        <v>0</v>
      </c>
      <c r="IR381" s="561">
        <v>0</v>
      </c>
      <c r="IS381" s="561">
        <v>-461</v>
      </c>
      <c r="IT381" s="561">
        <v>0</v>
      </c>
      <c r="IU381" s="561">
        <v>0</v>
      </c>
      <c r="IV381" s="561">
        <v>0</v>
      </c>
      <c r="IW381" s="561">
        <v>2000</v>
      </c>
      <c r="IX381" s="561">
        <v>313</v>
      </c>
      <c r="IY381" s="561">
        <v>4519</v>
      </c>
      <c r="IZ381" s="561">
        <v>2132</v>
      </c>
      <c r="JA381" s="561">
        <v>0</v>
      </c>
      <c r="JB381" s="561">
        <v>0</v>
      </c>
      <c r="JC381" s="561">
        <v>2597</v>
      </c>
      <c r="JD381" s="561">
        <v>3</v>
      </c>
      <c r="JE381" s="561">
        <v>11103</v>
      </c>
      <c r="JF381" s="561">
        <v>8153</v>
      </c>
      <c r="JG381" s="561">
        <v>178</v>
      </c>
      <c r="JH381" s="561">
        <v>0</v>
      </c>
      <c r="JI381" s="561">
        <v>0</v>
      </c>
      <c r="JJ381" s="561">
        <v>0</v>
      </c>
      <c r="JK381" s="561">
        <v>2272</v>
      </c>
      <c r="JL381" s="561">
        <v>0</v>
      </c>
      <c r="JM381" s="561">
        <v>0</v>
      </c>
      <c r="JN381" s="561">
        <v>0</v>
      </c>
      <c r="JO381" s="561">
        <v>0</v>
      </c>
      <c r="JP381" s="561">
        <v>0</v>
      </c>
      <c r="JQ381" s="561">
        <v>0</v>
      </c>
      <c r="JR381" s="561">
        <v>0</v>
      </c>
      <c r="JS381" s="561">
        <v>0</v>
      </c>
      <c r="JT381" s="561">
        <v>0</v>
      </c>
      <c r="JU381" s="561">
        <v>0</v>
      </c>
      <c r="JV381" s="561">
        <v>21706</v>
      </c>
      <c r="JW381" s="561">
        <v>0</v>
      </c>
      <c r="JX381" s="561">
        <v>530</v>
      </c>
      <c r="JY381" s="561">
        <v>0</v>
      </c>
      <c r="JZ381" s="561">
        <v>0</v>
      </c>
      <c r="KA381" s="561">
        <v>0</v>
      </c>
      <c r="KB381" s="561">
        <v>0</v>
      </c>
      <c r="KC381" s="561">
        <v>673</v>
      </c>
      <c r="KD381" s="561">
        <v>0</v>
      </c>
      <c r="KE381" s="561">
        <v>725</v>
      </c>
      <c r="KF381" s="561">
        <v>0</v>
      </c>
      <c r="KG381" s="561">
        <v>23634</v>
      </c>
      <c r="KH381" s="561">
        <v>-2722</v>
      </c>
      <c r="KI381" s="561">
        <v>0</v>
      </c>
      <c r="KJ381" s="561">
        <v>0</v>
      </c>
      <c r="KK381" s="561">
        <v>0</v>
      </c>
      <c r="KL381" s="561">
        <v>-8289</v>
      </c>
      <c r="KM381" s="561">
        <v>0</v>
      </c>
      <c r="KN381" s="561">
        <v>0</v>
      </c>
      <c r="KO381" s="561">
        <v>0</v>
      </c>
      <c r="KP381" s="561">
        <v>0</v>
      </c>
      <c r="KQ381" s="561">
        <v>0</v>
      </c>
      <c r="KR381" s="561">
        <v>12623</v>
      </c>
      <c r="KS381" s="561">
        <v>0</v>
      </c>
      <c r="KT381" s="561">
        <v>-3012</v>
      </c>
      <c r="KU381" s="561">
        <v>9611</v>
      </c>
      <c r="KV381" s="561">
        <v>0</v>
      </c>
      <c r="KW381" s="561">
        <v>0</v>
      </c>
      <c r="KX381" s="561">
        <v>0</v>
      </c>
      <c r="KY381" s="561">
        <v>0</v>
      </c>
      <c r="KZ381" s="561">
        <v>886</v>
      </c>
      <c r="LA381" s="561">
        <v>102</v>
      </c>
      <c r="LB381" s="561">
        <v>-94</v>
      </c>
      <c r="LC381" s="561">
        <v>0</v>
      </c>
      <c r="LD381" s="561">
        <v>-2407</v>
      </c>
      <c r="LE381" s="561">
        <v>-199</v>
      </c>
      <c r="LF381" s="561">
        <v>0</v>
      </c>
      <c r="LG381" s="561">
        <v>7899</v>
      </c>
      <c r="LH381" s="561">
        <v>0</v>
      </c>
      <c r="LI381" s="561">
        <v>0</v>
      </c>
      <c r="LJ381" s="561">
        <v>0</v>
      </c>
      <c r="LK381" s="561">
        <v>0</v>
      </c>
      <c r="LL381" s="561">
        <v>11154</v>
      </c>
      <c r="LM381" s="561">
        <v>1718</v>
      </c>
      <c r="LN381" s="561">
        <v>0</v>
      </c>
      <c r="LO381" s="561">
        <v>0</v>
      </c>
      <c r="LP381" s="561">
        <v>0</v>
      </c>
      <c r="LQ381" s="561">
        <v>0</v>
      </c>
      <c r="LR381" s="561">
        <v>12040</v>
      </c>
      <c r="LS381" s="561">
        <v>1820</v>
      </c>
      <c r="LT381" s="561">
        <v>0</v>
      </c>
      <c r="LU381" s="561">
        <v>857</v>
      </c>
      <c r="LV381" s="561">
        <v>0</v>
      </c>
      <c r="LW381" s="561">
        <v>124</v>
      </c>
      <c r="LX381" s="561">
        <v>0</v>
      </c>
      <c r="LY381" s="561">
        <v>5276</v>
      </c>
      <c r="LZ381" s="561">
        <v>6257</v>
      </c>
      <c r="MA381" s="561">
        <v>0</v>
      </c>
      <c r="MB381" s="561">
        <v>0</v>
      </c>
      <c r="MC381" s="561">
        <v>0</v>
      </c>
      <c r="MD381" s="561">
        <v>0</v>
      </c>
      <c r="ME381" s="561">
        <v>0</v>
      </c>
      <c r="MF381" s="561">
        <v>0</v>
      </c>
      <c r="MG381" s="561">
        <v>0</v>
      </c>
      <c r="MH381" s="561">
        <v>2009</v>
      </c>
      <c r="MI381" s="561">
        <v>2182</v>
      </c>
      <c r="MJ381" s="561">
        <v>4191</v>
      </c>
      <c r="MK381" s="561">
        <v>0</v>
      </c>
      <c r="ML381" s="561">
        <v>0</v>
      </c>
      <c r="MM381" s="561">
        <v>7725</v>
      </c>
      <c r="MN381" s="561">
        <v>4315</v>
      </c>
      <c r="MO381" s="561">
        <v>0</v>
      </c>
      <c r="MP381" s="561">
        <v>0</v>
      </c>
      <c r="MQ381" s="561">
        <v>0</v>
      </c>
      <c r="MR381" s="561">
        <v>-461</v>
      </c>
      <c r="MS381" s="561">
        <v>0</v>
      </c>
      <c r="MT381" s="561">
        <v>0</v>
      </c>
      <c r="MU381" s="561">
        <v>0</v>
      </c>
      <c r="MV381" s="561">
        <v>2000</v>
      </c>
      <c r="MW381" s="561">
        <v>313</v>
      </c>
      <c r="MX381" s="561">
        <v>4519</v>
      </c>
      <c r="MY381" s="561">
        <v>2132</v>
      </c>
      <c r="MZ381" s="561">
        <v>0</v>
      </c>
      <c r="NA381" s="561">
        <v>0</v>
      </c>
      <c r="NB381" s="561">
        <v>2597</v>
      </c>
      <c r="NC381" s="561">
        <v>3</v>
      </c>
      <c r="ND381" s="561">
        <v>11103</v>
      </c>
      <c r="NE381" s="561">
        <v>0</v>
      </c>
      <c r="NF381" s="561">
        <v>0</v>
      </c>
      <c r="NG381" s="561">
        <v>0</v>
      </c>
      <c r="NH381" s="561">
        <v>0</v>
      </c>
      <c r="NI381" s="561">
        <v>0</v>
      </c>
      <c r="NJ381" s="561">
        <v>0</v>
      </c>
      <c r="NK381" s="561">
        <v>0</v>
      </c>
      <c r="NL381" s="561">
        <v>0</v>
      </c>
      <c r="NM381" s="561">
        <v>0</v>
      </c>
      <c r="NN381" s="561">
        <v>0</v>
      </c>
      <c r="NO381" s="561">
        <v>0</v>
      </c>
      <c r="NP381" s="561">
        <v>0</v>
      </c>
      <c r="NQ381" s="561">
        <v>0</v>
      </c>
      <c r="NR381" s="561">
        <v>0</v>
      </c>
      <c r="NS381" s="561">
        <v>0</v>
      </c>
      <c r="NT381" s="561">
        <v>0</v>
      </c>
      <c r="NU381" s="561">
        <v>0</v>
      </c>
      <c r="NV381" s="561">
        <v>0</v>
      </c>
      <c r="NW381" s="561">
        <v>0</v>
      </c>
      <c r="NX381" s="561">
        <v>0</v>
      </c>
      <c r="NY381" s="561">
        <v>0</v>
      </c>
      <c r="NZ381" s="561">
        <v>0</v>
      </c>
      <c r="OA381" s="561">
        <v>0</v>
      </c>
      <c r="OB381" s="561">
        <v>0</v>
      </c>
      <c r="OC381" s="561">
        <v>0</v>
      </c>
      <c r="OD381" s="561">
        <v>0</v>
      </c>
      <c r="OE381" s="561">
        <v>0</v>
      </c>
      <c r="OF381" s="561">
        <v>0</v>
      </c>
      <c r="OG381" s="561">
        <v>0</v>
      </c>
      <c r="OH381" s="561">
        <v>0</v>
      </c>
      <c r="OI381" s="561">
        <v>0</v>
      </c>
      <c r="OJ381" s="561">
        <v>0</v>
      </c>
      <c r="OK381" s="561">
        <v>0</v>
      </c>
      <c r="OL381" s="561">
        <v>0</v>
      </c>
      <c r="OM381" s="561">
        <v>0</v>
      </c>
      <c r="ON381" s="561">
        <v>0</v>
      </c>
      <c r="OO381" s="561">
        <v>0</v>
      </c>
      <c r="OP381" s="561">
        <v>0</v>
      </c>
      <c r="OQ381" s="561">
        <v>0</v>
      </c>
      <c r="OR381" s="561">
        <v>0</v>
      </c>
      <c r="OS381" s="561">
        <v>0</v>
      </c>
      <c r="OT381" s="561">
        <v>0</v>
      </c>
      <c r="OU381" s="561">
        <v>0</v>
      </c>
      <c r="OV381" s="561">
        <v>0</v>
      </c>
      <c r="OW381" s="561">
        <v>0</v>
      </c>
      <c r="OX381" s="561">
        <v>0</v>
      </c>
      <c r="OY381" s="561">
        <v>0</v>
      </c>
      <c r="OZ381" s="561">
        <v>0</v>
      </c>
      <c r="PA381" s="561">
        <v>0</v>
      </c>
      <c r="PB381" s="561">
        <v>0</v>
      </c>
      <c r="PC381" s="561">
        <v>0</v>
      </c>
      <c r="PD381" s="561">
        <v>0</v>
      </c>
      <c r="PE381" s="561">
        <v>0</v>
      </c>
      <c r="PF381" s="561">
        <v>0</v>
      </c>
      <c r="PG381" s="561">
        <v>0</v>
      </c>
      <c r="PH381" s="561">
        <v>0</v>
      </c>
      <c r="PI381" s="561">
        <v>0</v>
      </c>
      <c r="PJ381" s="561">
        <v>0</v>
      </c>
    </row>
    <row r="382" spans="1:426" ht="14" x14ac:dyDescent="0.3">
      <c r="A382" t="s">
        <v>3587</v>
      </c>
      <c r="B382" t="s">
        <v>3588</v>
      </c>
      <c r="C382" t="s">
        <v>3589</v>
      </c>
      <c r="E382" t="s">
        <v>384</v>
      </c>
      <c r="F382" s="561">
        <v>0</v>
      </c>
      <c r="G382" s="561">
        <v>0</v>
      </c>
      <c r="H382" s="561">
        <v>0</v>
      </c>
      <c r="I382" s="561">
        <v>0</v>
      </c>
      <c r="J382" s="561">
        <v>0</v>
      </c>
      <c r="K382" s="561">
        <v>0</v>
      </c>
      <c r="L382" s="561">
        <v>0</v>
      </c>
      <c r="M382" s="561">
        <v>0</v>
      </c>
      <c r="N382" s="561">
        <v>0</v>
      </c>
      <c r="O382" s="561">
        <v>0</v>
      </c>
      <c r="P382" s="561">
        <v>0</v>
      </c>
      <c r="Q382" s="561">
        <v>0</v>
      </c>
      <c r="R382" s="561">
        <v>0</v>
      </c>
      <c r="S382" s="561">
        <v>-140</v>
      </c>
      <c r="T382" s="561">
        <v>0</v>
      </c>
      <c r="U382" s="561">
        <v>0</v>
      </c>
      <c r="V382" s="561">
        <v>18</v>
      </c>
      <c r="W382" s="561">
        <v>0</v>
      </c>
      <c r="X382" s="561">
        <v>0</v>
      </c>
      <c r="Y382" s="561">
        <v>0</v>
      </c>
      <c r="Z382" s="561">
        <v>19</v>
      </c>
      <c r="AA382" s="561">
        <v>0</v>
      </c>
      <c r="AB382" s="561">
        <v>-372</v>
      </c>
      <c r="AC382" s="561">
        <v>0</v>
      </c>
      <c r="AD382" s="561">
        <v>0</v>
      </c>
      <c r="AE382" s="561">
        <v>0</v>
      </c>
      <c r="AF382" s="561">
        <v>0</v>
      </c>
      <c r="AG382" s="561">
        <v>0</v>
      </c>
      <c r="AH382" s="561">
        <v>-8</v>
      </c>
      <c r="AI382" s="561">
        <v>0</v>
      </c>
      <c r="AJ382" s="561">
        <v>-483</v>
      </c>
      <c r="AK382" s="561">
        <v>5</v>
      </c>
      <c r="AL382" s="561">
        <v>0</v>
      </c>
      <c r="AM382" s="561">
        <v>0</v>
      </c>
      <c r="AN382" s="561">
        <v>0</v>
      </c>
      <c r="AO382" s="561">
        <v>0</v>
      </c>
      <c r="AP382" s="561">
        <v>0</v>
      </c>
      <c r="AQ382" s="561">
        <v>0</v>
      </c>
      <c r="AR382" s="561">
        <v>0</v>
      </c>
      <c r="AS382" s="561">
        <v>0</v>
      </c>
      <c r="AT382" s="561">
        <v>0</v>
      </c>
      <c r="AU382" s="561">
        <v>0</v>
      </c>
      <c r="AV382" s="561">
        <v>0</v>
      </c>
      <c r="AW382" s="561">
        <v>0</v>
      </c>
      <c r="AX382" s="561">
        <v>0</v>
      </c>
      <c r="AY382" s="561">
        <v>0</v>
      </c>
      <c r="AZ382" s="561">
        <v>0</v>
      </c>
      <c r="BA382" s="561">
        <v>0</v>
      </c>
      <c r="BB382" s="561">
        <v>0</v>
      </c>
      <c r="BC382" s="561">
        <v>0</v>
      </c>
      <c r="BD382" s="561">
        <v>0</v>
      </c>
      <c r="BE382" s="561">
        <v>0</v>
      </c>
      <c r="BF382" s="561">
        <v>0</v>
      </c>
      <c r="BG382" s="561">
        <v>0</v>
      </c>
      <c r="BH382" s="561">
        <v>0</v>
      </c>
      <c r="BI382" s="561">
        <v>0</v>
      </c>
      <c r="BJ382" s="561">
        <v>0</v>
      </c>
      <c r="BK382" s="561">
        <v>0</v>
      </c>
      <c r="BL382" s="561">
        <v>0</v>
      </c>
      <c r="BM382" s="561">
        <v>0</v>
      </c>
      <c r="BN382" s="561">
        <v>0</v>
      </c>
      <c r="BO382" s="561">
        <v>0</v>
      </c>
      <c r="BP382" s="561">
        <v>0</v>
      </c>
      <c r="BQ382" s="561">
        <v>0</v>
      </c>
      <c r="BR382" s="561">
        <v>0</v>
      </c>
      <c r="BS382" s="561">
        <v>0</v>
      </c>
      <c r="BT382" s="561">
        <v>0</v>
      </c>
      <c r="BU382" s="561">
        <v>0</v>
      </c>
      <c r="BV382" s="561">
        <v>0</v>
      </c>
      <c r="BW382" s="561">
        <v>0</v>
      </c>
      <c r="BX382" s="561">
        <v>0</v>
      </c>
      <c r="BY382" s="561">
        <v>0</v>
      </c>
      <c r="BZ382" s="561">
        <v>0</v>
      </c>
      <c r="CA382" s="561">
        <v>0</v>
      </c>
      <c r="CB382" s="561">
        <v>0</v>
      </c>
      <c r="CC382" s="561">
        <v>0</v>
      </c>
      <c r="CD382" s="561">
        <v>0</v>
      </c>
      <c r="CE382" s="561">
        <v>0</v>
      </c>
      <c r="CF382" s="561">
        <v>0</v>
      </c>
      <c r="CG382" s="561">
        <v>0</v>
      </c>
      <c r="CH382" s="561">
        <v>0</v>
      </c>
      <c r="CI382" s="561">
        <v>0</v>
      </c>
      <c r="CJ382" s="561">
        <v>0</v>
      </c>
      <c r="CK382" s="561">
        <v>0</v>
      </c>
      <c r="CL382" s="561">
        <v>0</v>
      </c>
      <c r="CM382" s="561">
        <v>0</v>
      </c>
      <c r="CN382" s="561">
        <v>0</v>
      </c>
      <c r="CO382" s="561">
        <v>0</v>
      </c>
      <c r="CP382" s="561">
        <v>0</v>
      </c>
      <c r="CQ382" s="561">
        <v>0</v>
      </c>
      <c r="CR382" s="561">
        <v>0</v>
      </c>
      <c r="CS382" s="561">
        <v>0</v>
      </c>
      <c r="CT382" s="561">
        <v>0</v>
      </c>
      <c r="CU382" s="561">
        <v>0</v>
      </c>
      <c r="CV382" s="561">
        <v>0</v>
      </c>
      <c r="CW382" s="561">
        <v>0</v>
      </c>
      <c r="CX382" s="561">
        <v>0</v>
      </c>
      <c r="CY382" s="561">
        <v>0</v>
      </c>
      <c r="CZ382" s="561">
        <v>0</v>
      </c>
      <c r="DA382" s="561">
        <v>0</v>
      </c>
      <c r="DB382" s="561">
        <v>0</v>
      </c>
      <c r="DC382" s="561">
        <v>0</v>
      </c>
      <c r="DD382" s="561">
        <v>0</v>
      </c>
      <c r="DE382" s="561">
        <v>0</v>
      </c>
      <c r="DF382" s="561">
        <v>0</v>
      </c>
      <c r="DG382" s="561">
        <v>0</v>
      </c>
      <c r="DH382" s="561">
        <v>-9</v>
      </c>
      <c r="DI382" s="561">
        <v>0</v>
      </c>
      <c r="DJ382" s="561">
        <v>-82</v>
      </c>
      <c r="DK382" s="561">
        <v>0</v>
      </c>
      <c r="DL382" s="561">
        <v>0</v>
      </c>
      <c r="DM382" s="561">
        <v>0</v>
      </c>
      <c r="DN382" s="561">
        <v>0</v>
      </c>
      <c r="DO382" s="561">
        <v>0</v>
      </c>
      <c r="DP382" s="561">
        <v>0</v>
      </c>
      <c r="DQ382" s="561">
        <v>0</v>
      </c>
      <c r="DR382" s="561">
        <v>0</v>
      </c>
      <c r="DS382" s="561">
        <v>0</v>
      </c>
      <c r="DT382" s="561">
        <v>0</v>
      </c>
      <c r="DU382" s="561">
        <v>0</v>
      </c>
      <c r="DV382" s="561">
        <v>372</v>
      </c>
      <c r="DW382" s="561">
        <v>0</v>
      </c>
      <c r="DX382" s="561">
        <v>0</v>
      </c>
      <c r="DY382" s="561">
        <v>606</v>
      </c>
      <c r="DZ382" s="561">
        <v>0</v>
      </c>
      <c r="EA382" s="561">
        <v>0</v>
      </c>
      <c r="EB382" s="561">
        <v>961</v>
      </c>
      <c r="EC382" s="561">
        <v>1848</v>
      </c>
      <c r="ED382" s="561">
        <v>50</v>
      </c>
      <c r="EE382" s="561">
        <v>27740</v>
      </c>
      <c r="EF382" s="561">
        <v>464</v>
      </c>
      <c r="EG382" s="561">
        <v>3376</v>
      </c>
      <c r="EH382" s="561">
        <v>0</v>
      </c>
      <c r="EI382" s="561">
        <v>0</v>
      </c>
      <c r="EJ382" s="561">
        <v>0</v>
      </c>
      <c r="EK382" s="561">
        <v>0</v>
      </c>
      <c r="EL382" s="561">
        <v>0</v>
      </c>
      <c r="EM382" s="561">
        <v>0</v>
      </c>
      <c r="EN382" s="561">
        <v>8307</v>
      </c>
      <c r="EO382" s="561">
        <v>12180</v>
      </c>
      <c r="EP382" s="561">
        <v>0</v>
      </c>
      <c r="EQ382" s="561">
        <v>636</v>
      </c>
      <c r="ER382" s="561">
        <v>3057</v>
      </c>
      <c r="ES382" s="561" t="s">
        <v>4565</v>
      </c>
      <c r="ET382" s="561">
        <v>-55</v>
      </c>
      <c r="EU382" s="561">
        <v>2615</v>
      </c>
      <c r="EV382" s="561">
        <v>0</v>
      </c>
      <c r="EW382" s="561">
        <v>0</v>
      </c>
      <c r="EX382" s="561">
        <v>4871</v>
      </c>
      <c r="EY382" s="561">
        <v>16</v>
      </c>
      <c r="EZ382" s="561">
        <v>-47</v>
      </c>
      <c r="FA382" s="561">
        <v>6739</v>
      </c>
      <c r="FB382" s="561">
        <v>0</v>
      </c>
      <c r="FC382" s="561">
        <v>19</v>
      </c>
      <c r="FD382" s="561">
        <v>10</v>
      </c>
      <c r="FE382" s="561">
        <v>-5</v>
      </c>
      <c r="FF382" s="561">
        <v>0</v>
      </c>
      <c r="FG382" s="561">
        <v>34</v>
      </c>
      <c r="FH382" s="561">
        <v>0</v>
      </c>
      <c r="FI382" s="561">
        <v>0</v>
      </c>
      <c r="FJ382" s="561">
        <v>1566</v>
      </c>
      <c r="FK382" s="561">
        <v>447</v>
      </c>
      <c r="FL382" s="561">
        <v>0</v>
      </c>
      <c r="FM382" s="561">
        <v>0</v>
      </c>
      <c r="FN382" s="561">
        <v>0</v>
      </c>
      <c r="FO382" s="561">
        <v>2071</v>
      </c>
      <c r="FP382" s="561">
        <v>0</v>
      </c>
      <c r="FQ382" s="561">
        <v>0</v>
      </c>
      <c r="FR382" s="561">
        <v>0</v>
      </c>
      <c r="FS382" s="561">
        <v>0</v>
      </c>
      <c r="FT382" s="561">
        <v>41</v>
      </c>
      <c r="FU382" s="561">
        <v>592</v>
      </c>
      <c r="FV382" s="561">
        <v>0</v>
      </c>
      <c r="FW382" s="561">
        <v>221</v>
      </c>
      <c r="FX382" s="561">
        <v>0</v>
      </c>
      <c r="FY382" s="561">
        <v>0</v>
      </c>
      <c r="FZ382" s="561">
        <v>51</v>
      </c>
      <c r="GA382" s="561">
        <v>52</v>
      </c>
      <c r="GB382" s="561">
        <v>509</v>
      </c>
      <c r="GC382" s="561">
        <v>-51</v>
      </c>
      <c r="GD382" s="561">
        <v>26</v>
      </c>
      <c r="GE382" s="561">
        <v>56</v>
      </c>
      <c r="GF382" s="561">
        <v>428</v>
      </c>
      <c r="GG382" s="561">
        <v>0</v>
      </c>
      <c r="GH382" s="561">
        <v>8</v>
      </c>
      <c r="GI382" s="561">
        <v>0</v>
      </c>
      <c r="GJ382" s="561">
        <v>1</v>
      </c>
      <c r="GK382" s="561">
        <v>0</v>
      </c>
      <c r="GL382" s="561">
        <v>-3</v>
      </c>
      <c r="GM382" s="561">
        <v>4090</v>
      </c>
      <c r="GN382" s="561">
        <v>0</v>
      </c>
      <c r="GO382" s="561">
        <v>-91</v>
      </c>
      <c r="GP382" s="561">
        <v>1273</v>
      </c>
      <c r="GQ382" s="561">
        <v>0</v>
      </c>
      <c r="GR382" s="561">
        <v>0</v>
      </c>
      <c r="GS382" s="561">
        <v>7203</v>
      </c>
      <c r="GT382" s="561">
        <v>540</v>
      </c>
      <c r="GU382" s="561">
        <v>388</v>
      </c>
      <c r="GV382" s="561">
        <v>1076</v>
      </c>
      <c r="GW382" s="561">
        <v>72</v>
      </c>
      <c r="GX382" s="561">
        <v>1989</v>
      </c>
      <c r="GY382" s="561">
        <v>-194</v>
      </c>
      <c r="GZ382" s="561">
        <v>3640</v>
      </c>
      <c r="HA382" s="561">
        <v>0</v>
      </c>
      <c r="HB382" s="561">
        <v>0</v>
      </c>
      <c r="HC382" s="561">
        <v>3</v>
      </c>
      <c r="HD382" s="561">
        <v>6974</v>
      </c>
      <c r="HE382" s="561">
        <v>557</v>
      </c>
      <c r="HF382" s="561">
        <v>16248</v>
      </c>
      <c r="HG382" s="561">
        <v>1097</v>
      </c>
      <c r="HH382" s="561">
        <v>0</v>
      </c>
      <c r="HI382" s="561">
        <v>0</v>
      </c>
      <c r="HJ382" s="561">
        <v>0</v>
      </c>
      <c r="HK382" s="561">
        <v>0</v>
      </c>
      <c r="HL382" s="561">
        <v>0</v>
      </c>
      <c r="HM382" s="561">
        <v>0</v>
      </c>
      <c r="HN382" s="561">
        <v>0</v>
      </c>
      <c r="HO382" s="561">
        <v>3190</v>
      </c>
      <c r="HP382" s="561">
        <v>779</v>
      </c>
      <c r="HQ382" s="561">
        <v>0</v>
      </c>
      <c r="HR382" s="561">
        <v>0</v>
      </c>
      <c r="HS382" s="561">
        <v>629</v>
      </c>
      <c r="HT382" s="561">
        <v>-96</v>
      </c>
      <c r="HU382" s="561">
        <v>0</v>
      </c>
      <c r="HV382" s="561">
        <v>0</v>
      </c>
      <c r="HW382" s="561">
        <v>73</v>
      </c>
      <c r="HX382" s="561">
        <v>185</v>
      </c>
      <c r="HY382" s="561">
        <v>78</v>
      </c>
      <c r="HZ382" s="561">
        <v>106</v>
      </c>
      <c r="IA382" s="561">
        <v>0</v>
      </c>
      <c r="IB382" s="561">
        <v>91</v>
      </c>
      <c r="IC382" s="561">
        <v>0</v>
      </c>
      <c r="ID382" s="561">
        <v>0</v>
      </c>
      <c r="IE382" s="561">
        <v>279</v>
      </c>
      <c r="IF382" s="561">
        <v>0</v>
      </c>
      <c r="IG382" s="561">
        <v>0</v>
      </c>
      <c r="IH382" s="561">
        <v>2694</v>
      </c>
      <c r="II382" s="561">
        <v>8008</v>
      </c>
      <c r="IJ382" s="561">
        <v>430</v>
      </c>
      <c r="IK382" s="561">
        <v>6048</v>
      </c>
      <c r="IL382" s="561">
        <v>4672</v>
      </c>
      <c r="IM382" s="561">
        <v>0</v>
      </c>
      <c r="IN382" s="561">
        <v>2677</v>
      </c>
      <c r="IO382" s="561">
        <v>0</v>
      </c>
      <c r="IP382" s="561">
        <v>0</v>
      </c>
      <c r="IQ382" s="561">
        <v>0</v>
      </c>
      <c r="IR382" s="561">
        <v>0</v>
      </c>
      <c r="IS382" s="561">
        <v>-483</v>
      </c>
      <c r="IT382" s="561">
        <v>0</v>
      </c>
      <c r="IU382" s="561">
        <v>0</v>
      </c>
      <c r="IV382" s="561">
        <v>0</v>
      </c>
      <c r="IW382" s="561">
        <v>1848</v>
      </c>
      <c r="IX382" s="561">
        <v>2071</v>
      </c>
      <c r="IY382" s="561">
        <v>7203</v>
      </c>
      <c r="IZ382" s="561">
        <v>6974</v>
      </c>
      <c r="JA382" s="561">
        <v>0</v>
      </c>
      <c r="JB382" s="561">
        <v>0</v>
      </c>
      <c r="JC382" s="561">
        <v>8008</v>
      </c>
      <c r="JD382" s="561">
        <v>0</v>
      </c>
      <c r="JE382" s="561">
        <v>25621</v>
      </c>
      <c r="JF382" s="561">
        <v>9269</v>
      </c>
      <c r="JG382" s="561">
        <v>0</v>
      </c>
      <c r="JH382" s="561">
        <v>9307</v>
      </c>
      <c r="JI382" s="561">
        <v>0</v>
      </c>
      <c r="JJ382" s="561">
        <v>0</v>
      </c>
      <c r="JK382" s="561">
        <v>765</v>
      </c>
      <c r="JL382" s="561">
        <v>0</v>
      </c>
      <c r="JM382" s="561">
        <v>0</v>
      </c>
      <c r="JN382" s="561">
        <v>0</v>
      </c>
      <c r="JO382" s="561">
        <v>0</v>
      </c>
      <c r="JP382" s="561">
        <v>-2066</v>
      </c>
      <c r="JQ382" s="561">
        <v>0</v>
      </c>
      <c r="JR382" s="561">
        <v>-107</v>
      </c>
      <c r="JS382" s="561">
        <v>0</v>
      </c>
      <c r="JT382" s="561">
        <v>-297</v>
      </c>
      <c r="JU382" s="561">
        <v>0</v>
      </c>
      <c r="JV382" s="561">
        <v>42492</v>
      </c>
      <c r="JW382" s="561">
        <v>0</v>
      </c>
      <c r="JX382" s="561">
        <v>65</v>
      </c>
      <c r="JY382" s="561">
        <v>0</v>
      </c>
      <c r="JZ382" s="561">
        <v>0</v>
      </c>
      <c r="KA382" s="561">
        <v>0</v>
      </c>
      <c r="KB382" s="561">
        <v>388</v>
      </c>
      <c r="KC382" s="561">
        <v>1754</v>
      </c>
      <c r="KD382" s="561">
        <v>32</v>
      </c>
      <c r="KE382" s="561">
        <v>3057</v>
      </c>
      <c r="KF382" s="561">
        <v>-3057</v>
      </c>
      <c r="KG382" s="561">
        <v>44731</v>
      </c>
      <c r="KH382" s="561">
        <v>-488</v>
      </c>
      <c r="KI382" s="561">
        <v>0</v>
      </c>
      <c r="KJ382" s="561">
        <v>0</v>
      </c>
      <c r="KK382" s="561">
        <v>0</v>
      </c>
      <c r="KL382" s="561">
        <v>-21901</v>
      </c>
      <c r="KM382" s="561">
        <v>0</v>
      </c>
      <c r="KN382" s="561">
        <v>-496</v>
      </c>
      <c r="KO382" s="561">
        <v>0</v>
      </c>
      <c r="KP382" s="561">
        <v>0</v>
      </c>
      <c r="KQ382" s="561">
        <v>0</v>
      </c>
      <c r="KR382" s="561">
        <v>21846</v>
      </c>
      <c r="KS382" s="561">
        <v>0</v>
      </c>
      <c r="KT382" s="561">
        <v>-1836</v>
      </c>
      <c r="KU382" s="561">
        <v>20010</v>
      </c>
      <c r="KV382" s="561">
        <v>0</v>
      </c>
      <c r="KW382" s="561">
        <v>0</v>
      </c>
      <c r="KX382" s="561">
        <v>0</v>
      </c>
      <c r="KY382" s="561">
        <v>0</v>
      </c>
      <c r="KZ382" s="561">
        <v>-1777</v>
      </c>
      <c r="LA382" s="561">
        <v>0</v>
      </c>
      <c r="LB382" s="561">
        <v>-167</v>
      </c>
      <c r="LC382" s="561">
        <v>0</v>
      </c>
      <c r="LD382" s="561">
        <v>-8229</v>
      </c>
      <c r="LE382" s="561">
        <v>-186</v>
      </c>
      <c r="LF382" s="561">
        <v>0</v>
      </c>
      <c r="LG382" s="561">
        <v>9651</v>
      </c>
      <c r="LH382" s="561">
        <v>0</v>
      </c>
      <c r="LI382" s="561">
        <v>0</v>
      </c>
      <c r="LJ382" s="561">
        <v>0</v>
      </c>
      <c r="LK382" s="561">
        <v>0</v>
      </c>
      <c r="LL382" s="561">
        <v>4338</v>
      </c>
      <c r="LM382" s="561">
        <v>960</v>
      </c>
      <c r="LN382" s="561">
        <v>0</v>
      </c>
      <c r="LO382" s="561">
        <v>0</v>
      </c>
      <c r="LP382" s="561">
        <v>0</v>
      </c>
      <c r="LQ382" s="561">
        <v>0</v>
      </c>
      <c r="LR382" s="561">
        <v>2561</v>
      </c>
      <c r="LS382" s="561">
        <v>960</v>
      </c>
      <c r="LT382" s="561">
        <v>0</v>
      </c>
      <c r="LU382" s="561">
        <v>1972</v>
      </c>
      <c r="LV382" s="561">
        <v>0</v>
      </c>
      <c r="LW382" s="561">
        <v>1355</v>
      </c>
      <c r="LX382" s="561">
        <v>0</v>
      </c>
      <c r="LY382" s="561">
        <v>2917</v>
      </c>
      <c r="LZ382" s="561">
        <v>7523</v>
      </c>
      <c r="MA382" s="561">
        <v>0</v>
      </c>
      <c r="MB382" s="561">
        <v>0</v>
      </c>
      <c r="MC382" s="561">
        <v>31580</v>
      </c>
      <c r="MD382" s="561">
        <v>31627</v>
      </c>
      <c r="ME382" s="561">
        <v>-47</v>
      </c>
      <c r="MF382" s="561">
        <v>6739</v>
      </c>
      <c r="MG382" s="561">
        <v>6692</v>
      </c>
      <c r="MH382" s="561">
        <v>3795</v>
      </c>
      <c r="MI382" s="561">
        <v>3945</v>
      </c>
      <c r="MJ382" s="561">
        <v>7740</v>
      </c>
      <c r="MK382" s="561">
        <v>32</v>
      </c>
      <c r="ML382" s="561">
        <v>0</v>
      </c>
      <c r="MM382" s="561">
        <v>0</v>
      </c>
      <c r="MN382" s="561">
        <v>0</v>
      </c>
      <c r="MO382" s="561">
        <v>2561</v>
      </c>
      <c r="MP382" s="561">
        <v>0</v>
      </c>
      <c r="MQ382" s="561">
        <v>0</v>
      </c>
      <c r="MR382" s="561">
        <v>-483</v>
      </c>
      <c r="MS382" s="561">
        <v>0</v>
      </c>
      <c r="MT382" s="561">
        <v>0</v>
      </c>
      <c r="MU382" s="561">
        <v>0</v>
      </c>
      <c r="MV382" s="561">
        <v>1848</v>
      </c>
      <c r="MW382" s="561">
        <v>2071</v>
      </c>
      <c r="MX382" s="561">
        <v>7203</v>
      </c>
      <c r="MY382" s="561">
        <v>6974</v>
      </c>
      <c r="MZ382" s="561">
        <v>0</v>
      </c>
      <c r="NA382" s="561">
        <v>0</v>
      </c>
      <c r="NB382" s="561">
        <v>8008</v>
      </c>
      <c r="NC382" s="561">
        <v>0</v>
      </c>
      <c r="ND382" s="561">
        <v>25621</v>
      </c>
      <c r="NE382" s="561">
        <v>0</v>
      </c>
      <c r="NF382" s="561">
        <v>0</v>
      </c>
      <c r="NG382" s="561">
        <v>0</v>
      </c>
      <c r="NH382" s="561">
        <v>0</v>
      </c>
      <c r="NI382" s="561">
        <v>0</v>
      </c>
      <c r="NJ382" s="561">
        <v>0</v>
      </c>
      <c r="NK382" s="561">
        <v>0</v>
      </c>
      <c r="NL382" s="561">
        <v>0</v>
      </c>
      <c r="NM382" s="561">
        <v>0</v>
      </c>
      <c r="NN382" s="561">
        <v>0</v>
      </c>
      <c r="NO382" s="561">
        <v>0</v>
      </c>
      <c r="NP382" s="561">
        <v>0</v>
      </c>
      <c r="NQ382" s="561">
        <v>0</v>
      </c>
      <c r="NR382" s="561">
        <v>0</v>
      </c>
      <c r="NS382" s="561">
        <v>0</v>
      </c>
      <c r="NT382" s="561">
        <v>-1127</v>
      </c>
      <c r="NU382" s="561">
        <v>868</v>
      </c>
      <c r="NV382" s="561">
        <v>-71</v>
      </c>
      <c r="NW382" s="561">
        <v>-2173</v>
      </c>
      <c r="NX382" s="561">
        <v>107</v>
      </c>
      <c r="NY382" s="561">
        <v>-2066</v>
      </c>
      <c r="NZ382" s="561">
        <v>0</v>
      </c>
      <c r="OA382" s="561">
        <v>0</v>
      </c>
      <c r="OB382" s="561">
        <v>0</v>
      </c>
      <c r="OC382" s="561">
        <v>0</v>
      </c>
      <c r="OD382" s="561">
        <v>0</v>
      </c>
      <c r="OE382" s="561">
        <v>0</v>
      </c>
      <c r="OF382" s="561">
        <v>0</v>
      </c>
      <c r="OG382" s="561">
        <v>0</v>
      </c>
      <c r="OH382" s="561">
        <v>0</v>
      </c>
      <c r="OI382" s="561">
        <v>0</v>
      </c>
      <c r="OJ382" s="561">
        <v>0</v>
      </c>
      <c r="OK382" s="561">
        <v>0</v>
      </c>
      <c r="OL382" s="561">
        <v>0</v>
      </c>
      <c r="OM382" s="561">
        <v>0</v>
      </c>
      <c r="ON382" s="561">
        <v>0</v>
      </c>
      <c r="OO382" s="561">
        <v>0</v>
      </c>
      <c r="OP382" s="561">
        <v>0</v>
      </c>
      <c r="OQ382" s="561">
        <v>0</v>
      </c>
      <c r="OR382" s="561">
        <v>0</v>
      </c>
      <c r="OS382" s="561">
        <v>0</v>
      </c>
      <c r="OT382" s="561">
        <v>0</v>
      </c>
      <c r="OU382" s="561">
        <v>0</v>
      </c>
      <c r="OV382" s="561">
        <v>59</v>
      </c>
      <c r="OW382" s="561">
        <v>0</v>
      </c>
      <c r="OX382" s="561">
        <v>0</v>
      </c>
      <c r="OY382" s="561">
        <v>87</v>
      </c>
      <c r="OZ382" s="561">
        <v>0</v>
      </c>
      <c r="PA382" s="561">
        <v>20</v>
      </c>
      <c r="PB382" s="561">
        <v>0</v>
      </c>
      <c r="PC382" s="561">
        <v>0</v>
      </c>
      <c r="PD382" s="561">
        <v>107</v>
      </c>
      <c r="PE382" s="561">
        <v>0</v>
      </c>
      <c r="PF382" s="561">
        <v>0</v>
      </c>
      <c r="PG382" s="561">
        <v>0</v>
      </c>
      <c r="PH382" s="561">
        <v>0</v>
      </c>
      <c r="PI382" s="561">
        <v>0</v>
      </c>
      <c r="PJ382" s="561">
        <v>0</v>
      </c>
    </row>
    <row r="383" spans="1:426" ht="14" x14ac:dyDescent="0.3">
      <c r="A383" t="s">
        <v>3590</v>
      </c>
      <c r="B383" t="s">
        <v>3591</v>
      </c>
      <c r="C383" t="s">
        <v>3592</v>
      </c>
      <c r="E383" t="s">
        <v>384</v>
      </c>
      <c r="F383" s="561">
        <v>0</v>
      </c>
      <c r="G383" s="561">
        <v>0</v>
      </c>
      <c r="H383" s="561">
        <v>0</v>
      </c>
      <c r="I383" s="561">
        <v>0</v>
      </c>
      <c r="J383" s="561">
        <v>0</v>
      </c>
      <c r="K383" s="561">
        <v>0</v>
      </c>
      <c r="L383" s="561">
        <v>0</v>
      </c>
      <c r="M383" s="561">
        <v>0</v>
      </c>
      <c r="N383" s="561">
        <v>0</v>
      </c>
      <c r="O383" s="561">
        <v>0</v>
      </c>
      <c r="P383" s="561">
        <v>0</v>
      </c>
      <c r="Q383" s="561">
        <v>0</v>
      </c>
      <c r="R383" s="561">
        <v>0</v>
      </c>
      <c r="S383" s="561">
        <v>0</v>
      </c>
      <c r="T383" s="561">
        <v>0</v>
      </c>
      <c r="U383" s="561">
        <v>0</v>
      </c>
      <c r="V383" s="561">
        <v>139</v>
      </c>
      <c r="W383" s="561">
        <v>0</v>
      </c>
      <c r="X383" s="561">
        <v>0</v>
      </c>
      <c r="Y383" s="561">
        <v>0</v>
      </c>
      <c r="Z383" s="561">
        <v>0</v>
      </c>
      <c r="AA383" s="561">
        <v>0</v>
      </c>
      <c r="AB383" s="561">
        <v>20</v>
      </c>
      <c r="AC383" s="561">
        <v>0</v>
      </c>
      <c r="AD383" s="561">
        <v>0</v>
      </c>
      <c r="AE383" s="561">
        <v>43</v>
      </c>
      <c r="AF383" s="561">
        <v>0</v>
      </c>
      <c r="AG383" s="561">
        <v>0</v>
      </c>
      <c r="AH383" s="561">
        <v>9</v>
      </c>
      <c r="AI383" s="561">
        <v>0</v>
      </c>
      <c r="AJ383" s="561">
        <v>211</v>
      </c>
      <c r="AK383" s="561">
        <v>0</v>
      </c>
      <c r="AL383" s="561">
        <v>0</v>
      </c>
      <c r="AM383" s="561">
        <v>0</v>
      </c>
      <c r="AN383" s="561">
        <v>0</v>
      </c>
      <c r="AO383" s="561">
        <v>0</v>
      </c>
      <c r="AP383" s="561">
        <v>0</v>
      </c>
      <c r="AQ383" s="561">
        <v>0</v>
      </c>
      <c r="AR383" s="561">
        <v>0</v>
      </c>
      <c r="AS383" s="561">
        <v>0</v>
      </c>
      <c r="AT383" s="561">
        <v>0</v>
      </c>
      <c r="AU383" s="561">
        <v>0</v>
      </c>
      <c r="AV383" s="561">
        <v>0</v>
      </c>
      <c r="AW383" s="561">
        <v>0</v>
      </c>
      <c r="AX383" s="561">
        <v>0</v>
      </c>
      <c r="AY383" s="561">
        <v>0</v>
      </c>
      <c r="AZ383" s="561">
        <v>0</v>
      </c>
      <c r="BA383" s="561">
        <v>0</v>
      </c>
      <c r="BB383" s="561">
        <v>0</v>
      </c>
      <c r="BC383" s="561">
        <v>0</v>
      </c>
      <c r="BD383" s="561">
        <v>0</v>
      </c>
      <c r="BE383" s="561">
        <v>0</v>
      </c>
      <c r="BF383" s="561">
        <v>0</v>
      </c>
      <c r="BG383" s="561">
        <v>0</v>
      </c>
      <c r="BH383" s="561">
        <v>0</v>
      </c>
      <c r="BI383" s="561">
        <v>0</v>
      </c>
      <c r="BJ383" s="561">
        <v>0</v>
      </c>
      <c r="BK383" s="561">
        <v>0</v>
      </c>
      <c r="BL383" s="561">
        <v>0</v>
      </c>
      <c r="BM383" s="561">
        <v>0</v>
      </c>
      <c r="BN383" s="561">
        <v>0</v>
      </c>
      <c r="BO383" s="561">
        <v>0</v>
      </c>
      <c r="BP383" s="561">
        <v>0</v>
      </c>
      <c r="BQ383" s="561">
        <v>0</v>
      </c>
      <c r="BR383" s="561">
        <v>0</v>
      </c>
      <c r="BS383" s="561">
        <v>0</v>
      </c>
      <c r="BT383" s="561">
        <v>0</v>
      </c>
      <c r="BU383" s="561">
        <v>0</v>
      </c>
      <c r="BV383" s="561">
        <v>0</v>
      </c>
      <c r="BW383" s="561">
        <v>0</v>
      </c>
      <c r="BX383" s="561">
        <v>0</v>
      </c>
      <c r="BY383" s="561">
        <v>0</v>
      </c>
      <c r="BZ383" s="561">
        <v>0</v>
      </c>
      <c r="CA383" s="561">
        <v>0</v>
      </c>
      <c r="CB383" s="561">
        <v>0</v>
      </c>
      <c r="CC383" s="561">
        <v>0</v>
      </c>
      <c r="CD383" s="561">
        <v>0</v>
      </c>
      <c r="CE383" s="561">
        <v>0</v>
      </c>
      <c r="CF383" s="561">
        <v>0</v>
      </c>
      <c r="CG383" s="561">
        <v>0</v>
      </c>
      <c r="CH383" s="561">
        <v>0</v>
      </c>
      <c r="CI383" s="561">
        <v>0</v>
      </c>
      <c r="CJ383" s="561">
        <v>0</v>
      </c>
      <c r="CK383" s="561">
        <v>0</v>
      </c>
      <c r="CL383" s="561">
        <v>0</v>
      </c>
      <c r="CM383" s="561">
        <v>0</v>
      </c>
      <c r="CN383" s="561">
        <v>0</v>
      </c>
      <c r="CO383" s="561">
        <v>0</v>
      </c>
      <c r="CP383" s="561">
        <v>0</v>
      </c>
      <c r="CQ383" s="561">
        <v>0</v>
      </c>
      <c r="CR383" s="561">
        <v>0</v>
      </c>
      <c r="CS383" s="561">
        <v>0</v>
      </c>
      <c r="CT383" s="561">
        <v>0</v>
      </c>
      <c r="CU383" s="561">
        <v>0</v>
      </c>
      <c r="CV383" s="561">
        <v>0</v>
      </c>
      <c r="CW383" s="561">
        <v>0</v>
      </c>
      <c r="CX383" s="561">
        <v>0</v>
      </c>
      <c r="CY383" s="561">
        <v>0</v>
      </c>
      <c r="CZ383" s="561">
        <v>0</v>
      </c>
      <c r="DA383" s="561">
        <v>0</v>
      </c>
      <c r="DB383" s="561">
        <v>0</v>
      </c>
      <c r="DC383" s="561">
        <v>0</v>
      </c>
      <c r="DD383" s="561">
        <v>0</v>
      </c>
      <c r="DE383" s="561">
        <v>0</v>
      </c>
      <c r="DF383" s="561">
        <v>0</v>
      </c>
      <c r="DG383" s="561">
        <v>0</v>
      </c>
      <c r="DH383" s="561">
        <v>162</v>
      </c>
      <c r="DI383" s="561">
        <v>0</v>
      </c>
      <c r="DJ383" s="561">
        <v>97</v>
      </c>
      <c r="DK383" s="561">
        <v>51</v>
      </c>
      <c r="DL383" s="561">
        <v>0</v>
      </c>
      <c r="DM383" s="561">
        <v>25</v>
      </c>
      <c r="DN383" s="561">
        <v>0</v>
      </c>
      <c r="DO383" s="561">
        <v>188</v>
      </c>
      <c r="DP383" s="561">
        <v>0</v>
      </c>
      <c r="DQ383" s="561">
        <v>0</v>
      </c>
      <c r="DR383" s="561">
        <v>101</v>
      </c>
      <c r="DS383" s="561">
        <v>491</v>
      </c>
      <c r="DT383" s="561">
        <v>0</v>
      </c>
      <c r="DU383" s="561">
        <v>805</v>
      </c>
      <c r="DV383" s="561">
        <v>100</v>
      </c>
      <c r="DW383" s="561">
        <v>0</v>
      </c>
      <c r="DX383" s="561">
        <v>0</v>
      </c>
      <c r="DY383" s="561">
        <v>815</v>
      </c>
      <c r="DZ383" s="561">
        <v>10</v>
      </c>
      <c r="EA383" s="561">
        <v>11</v>
      </c>
      <c r="EB383" s="561">
        <v>0</v>
      </c>
      <c r="EC383" s="561">
        <v>2051</v>
      </c>
      <c r="ED383" s="561">
        <v>0</v>
      </c>
      <c r="EE383" s="561">
        <v>0</v>
      </c>
      <c r="EF383" s="561">
        <v>0</v>
      </c>
      <c r="EG383" s="561">
        <v>0</v>
      </c>
      <c r="EH383" s="561">
        <v>0</v>
      </c>
      <c r="EI383" s="561">
        <v>0</v>
      </c>
      <c r="EJ383" s="561">
        <v>0</v>
      </c>
      <c r="EK383" s="561">
        <v>0</v>
      </c>
      <c r="EL383" s="561">
        <v>0</v>
      </c>
      <c r="EM383" s="561">
        <v>0</v>
      </c>
      <c r="EN383" s="561">
        <v>0</v>
      </c>
      <c r="EO383" s="561">
        <v>0</v>
      </c>
      <c r="EP383" s="561">
        <v>0</v>
      </c>
      <c r="EQ383" s="561">
        <v>0</v>
      </c>
      <c r="ER383" s="561">
        <v>0</v>
      </c>
      <c r="ES383" s="561" t="s">
        <v>4565</v>
      </c>
      <c r="ET383" s="561">
        <v>0</v>
      </c>
      <c r="EU383" s="561">
        <v>0</v>
      </c>
      <c r="EV383" s="561">
        <v>0</v>
      </c>
      <c r="EW383" s="561">
        <v>0</v>
      </c>
      <c r="EX383" s="561">
        <v>0</v>
      </c>
      <c r="EY383" s="561">
        <v>0</v>
      </c>
      <c r="EZ383" s="561">
        <v>0</v>
      </c>
      <c r="FA383" s="561">
        <v>0</v>
      </c>
      <c r="FB383" s="561">
        <v>0</v>
      </c>
      <c r="FC383" s="561">
        <v>0</v>
      </c>
      <c r="FD383" s="561">
        <v>144</v>
      </c>
      <c r="FE383" s="561">
        <v>0</v>
      </c>
      <c r="FF383" s="561">
        <v>335</v>
      </c>
      <c r="FG383" s="561">
        <v>0</v>
      </c>
      <c r="FH383" s="561">
        <v>0</v>
      </c>
      <c r="FI383" s="561">
        <v>0</v>
      </c>
      <c r="FJ383" s="561">
        <v>10</v>
      </c>
      <c r="FK383" s="561">
        <v>235</v>
      </c>
      <c r="FL383" s="561">
        <v>0</v>
      </c>
      <c r="FM383" s="561">
        <v>193</v>
      </c>
      <c r="FN383" s="561">
        <v>0</v>
      </c>
      <c r="FO383" s="561">
        <v>917</v>
      </c>
      <c r="FP383" s="561">
        <v>4</v>
      </c>
      <c r="FQ383" s="561">
        <v>114</v>
      </c>
      <c r="FR383" s="561">
        <v>0</v>
      </c>
      <c r="FS383" s="561">
        <v>0</v>
      </c>
      <c r="FT383" s="561">
        <v>349</v>
      </c>
      <c r="FU383" s="561">
        <v>237</v>
      </c>
      <c r="FV383" s="561">
        <v>396</v>
      </c>
      <c r="FW383" s="561">
        <v>0</v>
      </c>
      <c r="FX383" s="561">
        <v>0</v>
      </c>
      <c r="FY383" s="561">
        <v>0</v>
      </c>
      <c r="FZ383" s="561">
        <v>0</v>
      </c>
      <c r="GA383" s="561">
        <v>92</v>
      </c>
      <c r="GB383" s="561">
        <v>31</v>
      </c>
      <c r="GC383" s="561">
        <v>72</v>
      </c>
      <c r="GD383" s="561">
        <v>0</v>
      </c>
      <c r="GE383" s="561">
        <v>193</v>
      </c>
      <c r="GF383" s="561">
        <v>183</v>
      </c>
      <c r="GG383" s="561">
        <v>0</v>
      </c>
      <c r="GH383" s="561">
        <v>0</v>
      </c>
      <c r="GI383" s="561">
        <v>532</v>
      </c>
      <c r="GJ383" s="561">
        <v>0</v>
      </c>
      <c r="GK383" s="561">
        <v>0</v>
      </c>
      <c r="GL383" s="561">
        <v>874</v>
      </c>
      <c r="GM383" s="561">
        <v>1956</v>
      </c>
      <c r="GN383" s="561">
        <v>0</v>
      </c>
      <c r="GO383" s="561">
        <v>89</v>
      </c>
      <c r="GP383" s="561">
        <v>0</v>
      </c>
      <c r="GQ383" s="561">
        <v>0</v>
      </c>
      <c r="GR383" s="561">
        <v>4</v>
      </c>
      <c r="GS383" s="561">
        <v>5122</v>
      </c>
      <c r="GT383" s="561">
        <v>793</v>
      </c>
      <c r="GU383" s="561">
        <v>319</v>
      </c>
      <c r="GV383" s="561">
        <v>456</v>
      </c>
      <c r="GW383" s="561">
        <v>0</v>
      </c>
      <c r="GX383" s="561">
        <v>606</v>
      </c>
      <c r="GY383" s="561">
        <v>0</v>
      </c>
      <c r="GZ383" s="561">
        <v>1538</v>
      </c>
      <c r="HA383" s="561">
        <v>0</v>
      </c>
      <c r="HB383" s="561">
        <v>59</v>
      </c>
      <c r="HC383" s="561">
        <v>806</v>
      </c>
      <c r="HD383" s="561">
        <v>3784</v>
      </c>
      <c r="HE383" s="561">
        <v>50</v>
      </c>
      <c r="HF383" s="561">
        <v>9823</v>
      </c>
      <c r="HG383" s="561">
        <v>0</v>
      </c>
      <c r="HH383" s="561">
        <v>0</v>
      </c>
      <c r="HI383" s="561">
        <v>0</v>
      </c>
      <c r="HJ383" s="561">
        <v>0</v>
      </c>
      <c r="HK383" s="561">
        <v>0</v>
      </c>
      <c r="HL383" s="561">
        <v>0</v>
      </c>
      <c r="HM383" s="561">
        <v>0</v>
      </c>
      <c r="HN383" s="561">
        <v>0</v>
      </c>
      <c r="HO383" s="561">
        <v>3042</v>
      </c>
      <c r="HP383" s="561">
        <v>754</v>
      </c>
      <c r="HQ383" s="561">
        <v>0</v>
      </c>
      <c r="HR383" s="561">
        <v>0</v>
      </c>
      <c r="HS383" s="561">
        <v>0</v>
      </c>
      <c r="HT383" s="561">
        <v>103</v>
      </c>
      <c r="HU383" s="561">
        <v>0</v>
      </c>
      <c r="HV383" s="561">
        <v>0</v>
      </c>
      <c r="HW383" s="561">
        <v>225</v>
      </c>
      <c r="HX383" s="561">
        <v>0</v>
      </c>
      <c r="HY383" s="561">
        <v>119</v>
      </c>
      <c r="HZ383" s="561">
        <v>137</v>
      </c>
      <c r="IA383" s="561">
        <v>0</v>
      </c>
      <c r="IB383" s="561">
        <v>150</v>
      </c>
      <c r="IC383" s="561">
        <v>0</v>
      </c>
      <c r="ID383" s="561">
        <v>0</v>
      </c>
      <c r="IE383" s="561">
        <v>1</v>
      </c>
      <c r="IF383" s="561">
        <v>0</v>
      </c>
      <c r="IG383" s="561">
        <v>22</v>
      </c>
      <c r="IH383" s="561">
        <v>403</v>
      </c>
      <c r="II383" s="561">
        <v>4956</v>
      </c>
      <c r="IJ383" s="561">
        <v>0</v>
      </c>
      <c r="IK383" s="561">
        <v>1506</v>
      </c>
      <c r="IL383" s="561">
        <v>4902</v>
      </c>
      <c r="IM383" s="561">
        <v>0</v>
      </c>
      <c r="IN383" s="561">
        <v>3</v>
      </c>
      <c r="IO383" s="561">
        <v>154</v>
      </c>
      <c r="IP383" s="561">
        <v>8</v>
      </c>
      <c r="IQ383" s="561">
        <v>0</v>
      </c>
      <c r="IR383" s="561">
        <v>0</v>
      </c>
      <c r="IS383" s="561">
        <v>211</v>
      </c>
      <c r="IT383" s="561">
        <v>0</v>
      </c>
      <c r="IU383" s="561">
        <v>0</v>
      </c>
      <c r="IV383" s="561">
        <v>0</v>
      </c>
      <c r="IW383" s="561">
        <v>2051</v>
      </c>
      <c r="IX383" s="561">
        <v>917</v>
      </c>
      <c r="IY383" s="561">
        <v>5122</v>
      </c>
      <c r="IZ383" s="561">
        <v>3784</v>
      </c>
      <c r="JA383" s="561">
        <v>0</v>
      </c>
      <c r="JB383" s="561">
        <v>0</v>
      </c>
      <c r="JC383" s="561">
        <v>4956</v>
      </c>
      <c r="JD383" s="561">
        <v>8</v>
      </c>
      <c r="JE383" s="561">
        <v>17049</v>
      </c>
      <c r="JF383" s="561">
        <v>13298</v>
      </c>
      <c r="JG383" s="561">
        <v>0</v>
      </c>
      <c r="JH383" s="561">
        <v>0</v>
      </c>
      <c r="JI383" s="561">
        <v>0</v>
      </c>
      <c r="JJ383" s="561">
        <v>0</v>
      </c>
      <c r="JK383" s="561">
        <v>2701</v>
      </c>
      <c r="JL383" s="561">
        <v>0</v>
      </c>
      <c r="JM383" s="561">
        <v>0</v>
      </c>
      <c r="JN383" s="561">
        <v>0</v>
      </c>
      <c r="JO383" s="561">
        <v>35</v>
      </c>
      <c r="JP383" s="561">
        <v>0</v>
      </c>
      <c r="JQ383" s="561">
        <v>0</v>
      </c>
      <c r="JR383" s="561">
        <v>0</v>
      </c>
      <c r="JS383" s="561">
        <v>0</v>
      </c>
      <c r="JT383" s="561">
        <v>-47</v>
      </c>
      <c r="JU383" s="561">
        <v>0</v>
      </c>
      <c r="JV383" s="561">
        <v>33036</v>
      </c>
      <c r="JW383" s="561">
        <v>0</v>
      </c>
      <c r="JX383" s="561">
        <v>2005</v>
      </c>
      <c r="JY383" s="561">
        <v>0</v>
      </c>
      <c r="JZ383" s="561">
        <v>0</v>
      </c>
      <c r="KA383" s="561">
        <v>0</v>
      </c>
      <c r="KB383" s="561">
        <v>-57</v>
      </c>
      <c r="KC383" s="561">
        <v>954</v>
      </c>
      <c r="KD383" s="561">
        <v>0</v>
      </c>
      <c r="KE383" s="561">
        <v>760</v>
      </c>
      <c r="KF383" s="561">
        <v>0</v>
      </c>
      <c r="KG383" s="561">
        <v>36698</v>
      </c>
      <c r="KH383" s="561">
        <v>-2842</v>
      </c>
      <c r="KI383" s="561">
        <v>0</v>
      </c>
      <c r="KJ383" s="561">
        <v>0</v>
      </c>
      <c r="KK383" s="561">
        <v>0</v>
      </c>
      <c r="KL383" s="561">
        <v>-13269</v>
      </c>
      <c r="KM383" s="561">
        <v>0</v>
      </c>
      <c r="KN383" s="561">
        <v>-28</v>
      </c>
      <c r="KO383" s="561">
        <v>0</v>
      </c>
      <c r="KP383" s="561">
        <v>0</v>
      </c>
      <c r="KQ383" s="561">
        <v>0</v>
      </c>
      <c r="KR383" s="561">
        <v>20559</v>
      </c>
      <c r="KS383" s="561">
        <v>0</v>
      </c>
      <c r="KT383" s="561">
        <v>-4358</v>
      </c>
      <c r="KU383" s="561">
        <v>16201</v>
      </c>
      <c r="KV383" s="561">
        <v>0</v>
      </c>
      <c r="KW383" s="561">
        <v>0</v>
      </c>
      <c r="KX383" s="561">
        <v>0</v>
      </c>
      <c r="KY383" s="561">
        <v>0</v>
      </c>
      <c r="KZ383" s="561">
        <v>-489</v>
      </c>
      <c r="LA383" s="561">
        <v>1075</v>
      </c>
      <c r="LB383" s="561">
        <v>-124</v>
      </c>
      <c r="LC383" s="561">
        <v>0</v>
      </c>
      <c r="LD383" s="561">
        <v>-5920</v>
      </c>
      <c r="LE383" s="561">
        <v>-290</v>
      </c>
      <c r="LF383" s="561">
        <v>0</v>
      </c>
      <c r="LG383" s="561">
        <v>10453</v>
      </c>
      <c r="LH383" s="561">
        <v>0</v>
      </c>
      <c r="LI383" s="561">
        <v>0</v>
      </c>
      <c r="LJ383" s="561">
        <v>0</v>
      </c>
      <c r="LK383" s="561">
        <v>0</v>
      </c>
      <c r="LL383" s="561">
        <v>20047</v>
      </c>
      <c r="LM383" s="561">
        <v>3403</v>
      </c>
      <c r="LN383" s="561">
        <v>0</v>
      </c>
      <c r="LO383" s="561">
        <v>0</v>
      </c>
      <c r="LP383" s="561">
        <v>0</v>
      </c>
      <c r="LQ383" s="561">
        <v>0</v>
      </c>
      <c r="LR383" s="561">
        <v>19558</v>
      </c>
      <c r="LS383" s="561">
        <v>4478</v>
      </c>
      <c r="LT383" s="561">
        <v>0</v>
      </c>
      <c r="LU383" s="561">
        <v>1465</v>
      </c>
      <c r="LV383" s="561">
        <v>0</v>
      </c>
      <c r="LW383" s="561">
        <v>-2355</v>
      </c>
      <c r="LX383" s="561">
        <v>-2072</v>
      </c>
      <c r="LY383" s="561">
        <v>2202</v>
      </c>
      <c r="LZ383" s="561">
        <v>-760</v>
      </c>
      <c r="MA383" s="561">
        <v>0</v>
      </c>
      <c r="MB383" s="561">
        <v>0</v>
      </c>
      <c r="MC383" s="561">
        <v>0</v>
      </c>
      <c r="MD383" s="561">
        <v>0</v>
      </c>
      <c r="ME383" s="561">
        <v>0</v>
      </c>
      <c r="MF383" s="561">
        <v>0</v>
      </c>
      <c r="MG383" s="561">
        <v>0</v>
      </c>
      <c r="MH383" s="561">
        <v>2887</v>
      </c>
      <c r="MI383" s="561">
        <v>4091</v>
      </c>
      <c r="MJ383" s="561">
        <v>6978</v>
      </c>
      <c r="MK383" s="561">
        <v>0</v>
      </c>
      <c r="ML383" s="561">
        <v>0</v>
      </c>
      <c r="MM383" s="561">
        <v>13753</v>
      </c>
      <c r="MN383" s="561">
        <v>1189</v>
      </c>
      <c r="MO383" s="561">
        <v>4616</v>
      </c>
      <c r="MP383" s="561">
        <v>0</v>
      </c>
      <c r="MQ383" s="561">
        <v>0</v>
      </c>
      <c r="MR383" s="561">
        <v>211</v>
      </c>
      <c r="MS383" s="561">
        <v>0</v>
      </c>
      <c r="MT383" s="561">
        <v>0</v>
      </c>
      <c r="MU383" s="561">
        <v>0</v>
      </c>
      <c r="MV383" s="561">
        <v>2051</v>
      </c>
      <c r="MW383" s="561">
        <v>917</v>
      </c>
      <c r="MX383" s="561">
        <v>5122</v>
      </c>
      <c r="MY383" s="561">
        <v>3784</v>
      </c>
      <c r="MZ383" s="561">
        <v>0</v>
      </c>
      <c r="NA383" s="561">
        <v>0</v>
      </c>
      <c r="NB383" s="561">
        <v>4956</v>
      </c>
      <c r="NC383" s="561">
        <v>8</v>
      </c>
      <c r="ND383" s="561">
        <v>17049</v>
      </c>
      <c r="NE383" s="561">
        <v>0</v>
      </c>
      <c r="NF383" s="561">
        <v>0</v>
      </c>
      <c r="NG383" s="561">
        <v>0</v>
      </c>
      <c r="NH383" s="561">
        <v>0</v>
      </c>
      <c r="NI383" s="561">
        <v>0</v>
      </c>
      <c r="NJ383" s="561">
        <v>0</v>
      </c>
      <c r="NK383" s="561">
        <v>0</v>
      </c>
      <c r="NL383" s="561">
        <v>0</v>
      </c>
      <c r="NM383" s="561">
        <v>0</v>
      </c>
      <c r="NN383" s="561">
        <v>0</v>
      </c>
      <c r="NO383" s="561">
        <v>0</v>
      </c>
      <c r="NP383" s="561">
        <v>0</v>
      </c>
      <c r="NQ383" s="561">
        <v>0</v>
      </c>
      <c r="NR383" s="561">
        <v>0</v>
      </c>
      <c r="NS383" s="561">
        <v>0</v>
      </c>
      <c r="NT383" s="561">
        <v>0</v>
      </c>
      <c r="NU383" s="561">
        <v>0</v>
      </c>
      <c r="NV383" s="561">
        <v>0</v>
      </c>
      <c r="NW383" s="561">
        <v>0</v>
      </c>
      <c r="NX383" s="561">
        <v>0</v>
      </c>
      <c r="NY383" s="561">
        <v>0</v>
      </c>
      <c r="NZ383" s="561">
        <v>0</v>
      </c>
      <c r="OA383" s="561">
        <v>0</v>
      </c>
      <c r="OB383" s="561">
        <v>0</v>
      </c>
      <c r="OC383" s="561">
        <v>0</v>
      </c>
      <c r="OD383" s="561">
        <v>0</v>
      </c>
      <c r="OE383" s="561">
        <v>0</v>
      </c>
      <c r="OF383" s="561">
        <v>0</v>
      </c>
      <c r="OG383" s="561">
        <v>0</v>
      </c>
      <c r="OH383" s="561">
        <v>0</v>
      </c>
      <c r="OI383" s="561">
        <v>0</v>
      </c>
      <c r="OJ383" s="561">
        <v>0</v>
      </c>
      <c r="OK383" s="561">
        <v>0</v>
      </c>
      <c r="OL383" s="561">
        <v>0</v>
      </c>
      <c r="OM383" s="561">
        <v>0</v>
      </c>
      <c r="ON383" s="561">
        <v>0</v>
      </c>
      <c r="OO383" s="561">
        <v>0</v>
      </c>
      <c r="OP383" s="561">
        <v>0</v>
      </c>
      <c r="OQ383" s="561">
        <v>0</v>
      </c>
      <c r="OR383" s="561">
        <v>0</v>
      </c>
      <c r="OS383" s="561">
        <v>0</v>
      </c>
      <c r="OT383" s="561">
        <v>0</v>
      </c>
      <c r="OU383" s="561">
        <v>0</v>
      </c>
      <c r="OV383" s="561">
        <v>0</v>
      </c>
      <c r="OW383" s="561">
        <v>0</v>
      </c>
      <c r="OX383" s="561">
        <v>0</v>
      </c>
      <c r="OY383" s="561">
        <v>0</v>
      </c>
      <c r="OZ383" s="561">
        <v>0</v>
      </c>
      <c r="PA383" s="561">
        <v>0</v>
      </c>
      <c r="PB383" s="561">
        <v>0</v>
      </c>
      <c r="PC383" s="561">
        <v>0</v>
      </c>
      <c r="PD383" s="561">
        <v>0</v>
      </c>
      <c r="PE383" s="561">
        <v>0</v>
      </c>
      <c r="PF383" s="561">
        <v>0</v>
      </c>
      <c r="PG383" s="561">
        <v>0</v>
      </c>
      <c r="PH383" s="561">
        <v>0</v>
      </c>
      <c r="PI383" s="561">
        <v>0</v>
      </c>
      <c r="PJ383" s="561">
        <v>0</v>
      </c>
    </row>
    <row r="384" spans="1:426" ht="14" x14ac:dyDescent="0.3">
      <c r="A384" t="s">
        <v>3593</v>
      </c>
      <c r="B384" t="s">
        <v>3594</v>
      </c>
      <c r="C384" t="s">
        <v>3595</v>
      </c>
      <c r="E384" t="s">
        <v>2466</v>
      </c>
      <c r="F384" s="561">
        <v>0</v>
      </c>
      <c r="G384" s="561">
        <v>0</v>
      </c>
      <c r="H384" s="561">
        <v>0</v>
      </c>
      <c r="I384" s="561">
        <v>0</v>
      </c>
      <c r="J384" s="561">
        <v>0</v>
      </c>
      <c r="K384" s="561">
        <v>0</v>
      </c>
      <c r="L384" s="561">
        <v>0</v>
      </c>
      <c r="M384" s="561">
        <v>0</v>
      </c>
      <c r="N384" s="561">
        <v>0</v>
      </c>
      <c r="O384" s="561">
        <v>0</v>
      </c>
      <c r="P384" s="561">
        <v>0</v>
      </c>
      <c r="Q384" s="561">
        <v>0</v>
      </c>
      <c r="R384" s="561">
        <v>0</v>
      </c>
      <c r="S384" s="561">
        <v>0</v>
      </c>
      <c r="T384" s="561">
        <v>0</v>
      </c>
      <c r="U384" s="561">
        <v>0</v>
      </c>
      <c r="V384" s="561">
        <v>0</v>
      </c>
      <c r="W384" s="561">
        <v>0</v>
      </c>
      <c r="X384" s="561">
        <v>0</v>
      </c>
      <c r="Y384" s="561">
        <v>0</v>
      </c>
      <c r="Z384" s="561">
        <v>0</v>
      </c>
      <c r="AA384" s="561">
        <v>0</v>
      </c>
      <c r="AB384" s="561">
        <v>0</v>
      </c>
      <c r="AC384" s="561">
        <v>0</v>
      </c>
      <c r="AD384" s="561">
        <v>0</v>
      </c>
      <c r="AE384" s="561">
        <v>0</v>
      </c>
      <c r="AF384" s="561">
        <v>0</v>
      </c>
      <c r="AG384" s="561">
        <v>0</v>
      </c>
      <c r="AH384" s="561">
        <v>0</v>
      </c>
      <c r="AI384" s="561">
        <v>0</v>
      </c>
      <c r="AJ384" s="561">
        <v>0</v>
      </c>
      <c r="AK384" s="561">
        <v>0</v>
      </c>
      <c r="AL384" s="561">
        <v>0</v>
      </c>
      <c r="AM384" s="561">
        <v>0</v>
      </c>
      <c r="AN384" s="561">
        <v>0</v>
      </c>
      <c r="AO384" s="561">
        <v>0</v>
      </c>
      <c r="AP384" s="561">
        <v>0</v>
      </c>
      <c r="AQ384" s="561">
        <v>0</v>
      </c>
      <c r="AR384" s="561">
        <v>0</v>
      </c>
      <c r="AS384" s="561">
        <v>0</v>
      </c>
      <c r="AT384" s="561">
        <v>0</v>
      </c>
      <c r="AU384" s="561">
        <v>0</v>
      </c>
      <c r="AV384" s="561">
        <v>0</v>
      </c>
      <c r="AW384" s="561">
        <v>0</v>
      </c>
      <c r="AX384" s="561">
        <v>0</v>
      </c>
      <c r="AY384" s="561">
        <v>0</v>
      </c>
      <c r="AZ384" s="561">
        <v>0</v>
      </c>
      <c r="BA384" s="561">
        <v>0</v>
      </c>
      <c r="BB384" s="561">
        <v>0</v>
      </c>
      <c r="BC384" s="561">
        <v>0</v>
      </c>
      <c r="BD384" s="561">
        <v>0</v>
      </c>
      <c r="BE384" s="561">
        <v>0</v>
      </c>
      <c r="BF384" s="561">
        <v>0</v>
      </c>
      <c r="BG384" s="561">
        <v>0</v>
      </c>
      <c r="BH384" s="561">
        <v>0</v>
      </c>
      <c r="BI384" s="561">
        <v>0</v>
      </c>
      <c r="BJ384" s="561">
        <v>0</v>
      </c>
      <c r="BK384" s="561">
        <v>0</v>
      </c>
      <c r="BL384" s="561">
        <v>0</v>
      </c>
      <c r="BM384" s="561">
        <v>0</v>
      </c>
      <c r="BN384" s="561">
        <v>0</v>
      </c>
      <c r="BO384" s="561">
        <v>0</v>
      </c>
      <c r="BP384" s="561">
        <v>0</v>
      </c>
      <c r="BQ384" s="561">
        <v>0</v>
      </c>
      <c r="BR384" s="561">
        <v>0</v>
      </c>
      <c r="BS384" s="561">
        <v>0</v>
      </c>
      <c r="BT384" s="561">
        <v>0</v>
      </c>
      <c r="BU384" s="561">
        <v>0</v>
      </c>
      <c r="BV384" s="561">
        <v>0</v>
      </c>
      <c r="BW384" s="561">
        <v>0</v>
      </c>
      <c r="BX384" s="561">
        <v>0</v>
      </c>
      <c r="BY384" s="561">
        <v>0</v>
      </c>
      <c r="BZ384" s="561">
        <v>0</v>
      </c>
      <c r="CA384" s="561">
        <v>0</v>
      </c>
      <c r="CB384" s="561">
        <v>0</v>
      </c>
      <c r="CC384" s="561">
        <v>0</v>
      </c>
      <c r="CD384" s="561">
        <v>0</v>
      </c>
      <c r="CE384" s="561">
        <v>0</v>
      </c>
      <c r="CF384" s="561">
        <v>0</v>
      </c>
      <c r="CG384" s="561">
        <v>0</v>
      </c>
      <c r="CH384" s="561">
        <v>0</v>
      </c>
      <c r="CI384" s="561">
        <v>0</v>
      </c>
      <c r="CJ384" s="561">
        <v>0</v>
      </c>
      <c r="CK384" s="561">
        <v>0</v>
      </c>
      <c r="CL384" s="561">
        <v>0</v>
      </c>
      <c r="CM384" s="561">
        <v>0</v>
      </c>
      <c r="CN384" s="561">
        <v>0</v>
      </c>
      <c r="CO384" s="561">
        <v>0</v>
      </c>
      <c r="CP384" s="561">
        <v>0</v>
      </c>
      <c r="CQ384" s="561">
        <v>0</v>
      </c>
      <c r="CR384" s="561">
        <v>0</v>
      </c>
      <c r="CS384" s="561">
        <v>0</v>
      </c>
      <c r="CT384" s="561">
        <v>0</v>
      </c>
      <c r="CU384" s="561">
        <v>0</v>
      </c>
      <c r="CV384" s="561">
        <v>0</v>
      </c>
      <c r="CW384" s="561">
        <v>0</v>
      </c>
      <c r="CX384" s="561">
        <v>0</v>
      </c>
      <c r="CY384" s="561">
        <v>0</v>
      </c>
      <c r="CZ384" s="561">
        <v>0</v>
      </c>
      <c r="DA384" s="561">
        <v>0</v>
      </c>
      <c r="DB384" s="561">
        <v>0</v>
      </c>
      <c r="DC384" s="561">
        <v>0</v>
      </c>
      <c r="DD384" s="561">
        <v>0</v>
      </c>
      <c r="DE384" s="561">
        <v>0</v>
      </c>
      <c r="DF384" s="561">
        <v>0</v>
      </c>
      <c r="DG384" s="561">
        <v>0</v>
      </c>
      <c r="DH384" s="561">
        <v>0</v>
      </c>
      <c r="DI384" s="561">
        <v>0</v>
      </c>
      <c r="DJ384" s="561">
        <v>0</v>
      </c>
      <c r="DK384" s="561">
        <v>0</v>
      </c>
      <c r="DL384" s="561">
        <v>0</v>
      </c>
      <c r="DM384" s="561">
        <v>0</v>
      </c>
      <c r="DN384" s="561">
        <v>0</v>
      </c>
      <c r="DO384" s="561">
        <v>0</v>
      </c>
      <c r="DP384" s="561">
        <v>0</v>
      </c>
      <c r="DQ384" s="561">
        <v>0</v>
      </c>
      <c r="DR384" s="561">
        <v>0</v>
      </c>
      <c r="DS384" s="561">
        <v>0</v>
      </c>
      <c r="DT384" s="561">
        <v>0</v>
      </c>
      <c r="DU384" s="561">
        <v>0</v>
      </c>
      <c r="DV384" s="561">
        <v>0</v>
      </c>
      <c r="DW384" s="561">
        <v>0</v>
      </c>
      <c r="DX384" s="561">
        <v>0</v>
      </c>
      <c r="DY384" s="561">
        <v>0</v>
      </c>
      <c r="DZ384" s="561">
        <v>0</v>
      </c>
      <c r="EA384" s="561">
        <v>0</v>
      </c>
      <c r="EB384" s="561">
        <v>0</v>
      </c>
      <c r="EC384" s="561">
        <v>0</v>
      </c>
      <c r="ED384" s="561">
        <v>0</v>
      </c>
      <c r="EE384" s="561">
        <v>0</v>
      </c>
      <c r="EF384" s="561">
        <v>0</v>
      </c>
      <c r="EG384" s="561">
        <v>0</v>
      </c>
      <c r="EH384" s="561">
        <v>0</v>
      </c>
      <c r="EI384" s="561">
        <v>0</v>
      </c>
      <c r="EJ384" s="561">
        <v>0</v>
      </c>
      <c r="EK384" s="561">
        <v>0</v>
      </c>
      <c r="EL384" s="561">
        <v>0</v>
      </c>
      <c r="EM384" s="561">
        <v>0</v>
      </c>
      <c r="EN384" s="561">
        <v>0</v>
      </c>
      <c r="EO384" s="561">
        <v>0</v>
      </c>
      <c r="EP384" s="561">
        <v>0</v>
      </c>
      <c r="EQ384" s="561">
        <v>0</v>
      </c>
      <c r="ER384" s="561">
        <v>0</v>
      </c>
      <c r="ES384" s="561" t="s">
        <v>4565</v>
      </c>
      <c r="ET384" s="561">
        <v>0</v>
      </c>
      <c r="EU384" s="561">
        <v>0</v>
      </c>
      <c r="EV384" s="561">
        <v>0</v>
      </c>
      <c r="EW384" s="561">
        <v>0</v>
      </c>
      <c r="EX384" s="561">
        <v>0</v>
      </c>
      <c r="EY384" s="561">
        <v>0</v>
      </c>
      <c r="EZ384" s="561">
        <v>0</v>
      </c>
      <c r="FA384" s="561">
        <v>0</v>
      </c>
      <c r="FB384" s="561">
        <v>0</v>
      </c>
      <c r="FC384" s="561">
        <v>0</v>
      </c>
      <c r="FD384" s="561">
        <v>0</v>
      </c>
      <c r="FE384" s="561">
        <v>0</v>
      </c>
      <c r="FF384" s="561">
        <v>0</v>
      </c>
      <c r="FG384" s="561">
        <v>0</v>
      </c>
      <c r="FH384" s="561">
        <v>0</v>
      </c>
      <c r="FI384" s="561">
        <v>0</v>
      </c>
      <c r="FJ384" s="561">
        <v>0</v>
      </c>
      <c r="FK384" s="561">
        <v>0</v>
      </c>
      <c r="FL384" s="561">
        <v>0</v>
      </c>
      <c r="FM384" s="561">
        <v>0</v>
      </c>
      <c r="FN384" s="561">
        <v>0</v>
      </c>
      <c r="FO384" s="561">
        <v>0</v>
      </c>
      <c r="FP384" s="561">
        <v>0</v>
      </c>
      <c r="FQ384" s="561">
        <v>0</v>
      </c>
      <c r="FR384" s="561">
        <v>0</v>
      </c>
      <c r="FS384" s="561">
        <v>0</v>
      </c>
      <c r="FT384" s="561">
        <v>0</v>
      </c>
      <c r="FU384" s="561">
        <v>0</v>
      </c>
      <c r="FV384" s="561">
        <v>0</v>
      </c>
      <c r="FW384" s="561">
        <v>0</v>
      </c>
      <c r="FX384" s="561">
        <v>0</v>
      </c>
      <c r="FY384" s="561">
        <v>0</v>
      </c>
      <c r="FZ384" s="561">
        <v>0</v>
      </c>
      <c r="GA384" s="561">
        <v>0</v>
      </c>
      <c r="GB384" s="561">
        <v>0</v>
      </c>
      <c r="GC384" s="561">
        <v>0</v>
      </c>
      <c r="GD384" s="561">
        <v>0</v>
      </c>
      <c r="GE384" s="561">
        <v>0</v>
      </c>
      <c r="GF384" s="561">
        <v>0</v>
      </c>
      <c r="GG384" s="561">
        <v>0</v>
      </c>
      <c r="GH384" s="561">
        <v>0</v>
      </c>
      <c r="GI384" s="561">
        <v>0</v>
      </c>
      <c r="GJ384" s="561">
        <v>0</v>
      </c>
      <c r="GK384" s="561">
        <v>0</v>
      </c>
      <c r="GL384" s="561">
        <v>0</v>
      </c>
      <c r="GM384" s="561">
        <v>0</v>
      </c>
      <c r="GN384" s="561">
        <v>49694</v>
      </c>
      <c r="GO384" s="561">
        <v>0</v>
      </c>
      <c r="GP384" s="561">
        <v>0</v>
      </c>
      <c r="GQ384" s="561">
        <v>0</v>
      </c>
      <c r="GR384" s="561">
        <v>0</v>
      </c>
      <c r="GS384" s="561">
        <v>49694</v>
      </c>
      <c r="GT384" s="561">
        <v>0</v>
      </c>
      <c r="GU384" s="561">
        <v>0</v>
      </c>
      <c r="GV384" s="561">
        <v>0</v>
      </c>
      <c r="GW384" s="561">
        <v>0</v>
      </c>
      <c r="GX384" s="561">
        <v>0</v>
      </c>
      <c r="GY384" s="561">
        <v>0</v>
      </c>
      <c r="GZ384" s="561">
        <v>0</v>
      </c>
      <c r="HA384" s="561">
        <v>0</v>
      </c>
      <c r="HB384" s="561">
        <v>0</v>
      </c>
      <c r="HC384" s="561">
        <v>0</v>
      </c>
      <c r="HD384" s="561">
        <v>0</v>
      </c>
      <c r="HE384" s="561">
        <v>0</v>
      </c>
      <c r="HF384" s="561">
        <v>49694</v>
      </c>
      <c r="HG384" s="561">
        <v>0</v>
      </c>
      <c r="HH384" s="561">
        <v>0</v>
      </c>
      <c r="HI384" s="561">
        <v>0</v>
      </c>
      <c r="HJ384" s="561">
        <v>0</v>
      </c>
      <c r="HK384" s="561">
        <v>0</v>
      </c>
      <c r="HL384" s="561">
        <v>0</v>
      </c>
      <c r="HM384" s="561">
        <v>0</v>
      </c>
      <c r="HN384" s="561">
        <v>0</v>
      </c>
      <c r="HO384" s="561">
        <v>0</v>
      </c>
      <c r="HP384" s="561">
        <v>0</v>
      </c>
      <c r="HQ384" s="561">
        <v>0</v>
      </c>
      <c r="HR384" s="561">
        <v>0</v>
      </c>
      <c r="HS384" s="561">
        <v>0</v>
      </c>
      <c r="HT384" s="561">
        <v>0</v>
      </c>
      <c r="HU384" s="561">
        <v>0</v>
      </c>
      <c r="HV384" s="561">
        <v>0</v>
      </c>
      <c r="HW384" s="561">
        <v>0</v>
      </c>
      <c r="HX384" s="561">
        <v>0</v>
      </c>
      <c r="HY384" s="561">
        <v>0</v>
      </c>
      <c r="HZ384" s="561">
        <v>0</v>
      </c>
      <c r="IA384" s="561">
        <v>0</v>
      </c>
      <c r="IB384" s="561">
        <v>0</v>
      </c>
      <c r="IC384" s="561">
        <v>0</v>
      </c>
      <c r="ID384" s="561">
        <v>0</v>
      </c>
      <c r="IE384" s="561">
        <v>0</v>
      </c>
      <c r="IF384" s="561">
        <v>0</v>
      </c>
      <c r="IG384" s="561">
        <v>0</v>
      </c>
      <c r="IH384" s="561">
        <v>0</v>
      </c>
      <c r="II384" s="561">
        <v>0</v>
      </c>
      <c r="IJ384" s="561">
        <v>0</v>
      </c>
      <c r="IK384" s="561">
        <v>0</v>
      </c>
      <c r="IL384" s="561">
        <v>0</v>
      </c>
      <c r="IM384" s="561">
        <v>0</v>
      </c>
      <c r="IN384" s="561">
        <v>0</v>
      </c>
      <c r="IO384" s="561">
        <v>0</v>
      </c>
      <c r="IP384" s="561">
        <v>0</v>
      </c>
      <c r="IQ384" s="561">
        <v>0</v>
      </c>
      <c r="IR384" s="561">
        <v>0</v>
      </c>
      <c r="IS384" s="561">
        <v>0</v>
      </c>
      <c r="IT384" s="561">
        <v>0</v>
      </c>
      <c r="IU384" s="561">
        <v>0</v>
      </c>
      <c r="IV384" s="561">
        <v>0</v>
      </c>
      <c r="IW384" s="561">
        <v>0</v>
      </c>
      <c r="IX384" s="561">
        <v>0</v>
      </c>
      <c r="IY384" s="561">
        <v>49694</v>
      </c>
      <c r="IZ384" s="561">
        <v>0</v>
      </c>
      <c r="JA384" s="561">
        <v>0</v>
      </c>
      <c r="JB384" s="561">
        <v>0</v>
      </c>
      <c r="JC384" s="561">
        <v>0</v>
      </c>
      <c r="JD384" s="561">
        <v>0</v>
      </c>
      <c r="JE384" s="561">
        <v>49694</v>
      </c>
      <c r="JF384" s="561">
        <v>0</v>
      </c>
      <c r="JG384" s="561">
        <v>0</v>
      </c>
      <c r="JH384" s="561">
        <v>0</v>
      </c>
      <c r="JI384" s="561">
        <v>0</v>
      </c>
      <c r="JJ384" s="561">
        <v>0</v>
      </c>
      <c r="JK384" s="561">
        <v>0</v>
      </c>
      <c r="JL384" s="561">
        <v>0</v>
      </c>
      <c r="JM384" s="561">
        <v>-72560</v>
      </c>
      <c r="JN384" s="561">
        <v>0</v>
      </c>
      <c r="JO384" s="561">
        <v>0</v>
      </c>
      <c r="JP384" s="561">
        <v>0</v>
      </c>
      <c r="JQ384" s="561">
        <v>0</v>
      </c>
      <c r="JR384" s="561">
        <v>0</v>
      </c>
      <c r="JS384" s="561">
        <v>0</v>
      </c>
      <c r="JT384" s="561">
        <v>0</v>
      </c>
      <c r="JU384" s="561">
        <v>0</v>
      </c>
      <c r="JV384" s="561">
        <v>-22866</v>
      </c>
      <c r="JW384" s="561">
        <v>0</v>
      </c>
      <c r="JX384" s="561">
        <v>17</v>
      </c>
      <c r="JY384" s="561">
        <v>0</v>
      </c>
      <c r="JZ384" s="561">
        <v>0</v>
      </c>
      <c r="KA384" s="561">
        <v>0</v>
      </c>
      <c r="KB384" s="561">
        <v>0</v>
      </c>
      <c r="KC384" s="561">
        <v>6296</v>
      </c>
      <c r="KD384" s="561">
        <v>0</v>
      </c>
      <c r="KE384" s="561">
        <v>2861</v>
      </c>
      <c r="KF384" s="561">
        <v>0</v>
      </c>
      <c r="KG384" s="561">
        <v>-13692</v>
      </c>
      <c r="KH384" s="561">
        <v>0</v>
      </c>
      <c r="KI384" s="561">
        <v>0</v>
      </c>
      <c r="KJ384" s="561">
        <v>0</v>
      </c>
      <c r="KK384" s="561">
        <v>0</v>
      </c>
      <c r="KL384" s="561">
        <v>0</v>
      </c>
      <c r="KM384" s="561">
        <v>0</v>
      </c>
      <c r="KN384" s="561">
        <v>0</v>
      </c>
      <c r="KO384" s="561">
        <v>0</v>
      </c>
      <c r="KP384" s="561">
        <v>0</v>
      </c>
      <c r="KQ384" s="561">
        <v>0</v>
      </c>
      <c r="KR384" s="561">
        <v>-13692</v>
      </c>
      <c r="KS384" s="561">
        <v>0</v>
      </c>
      <c r="KT384" s="561">
        <v>0</v>
      </c>
      <c r="KU384" s="561">
        <v>-13692</v>
      </c>
      <c r="KV384" s="561">
        <v>0</v>
      </c>
      <c r="KW384" s="561">
        <v>0</v>
      </c>
      <c r="KX384" s="561">
        <v>0</v>
      </c>
      <c r="KY384" s="561">
        <v>0</v>
      </c>
      <c r="KZ384" s="561">
        <v>0</v>
      </c>
      <c r="LA384" s="561">
        <v>13692</v>
      </c>
      <c r="LB384" s="561">
        <v>0</v>
      </c>
      <c r="LC384" s="561">
        <v>0</v>
      </c>
      <c r="LD384" s="561">
        <v>0</v>
      </c>
      <c r="LE384" s="561">
        <v>0</v>
      </c>
      <c r="LF384" s="561">
        <v>0</v>
      </c>
      <c r="LG384" s="561">
        <v>0</v>
      </c>
      <c r="LH384" s="561">
        <v>0</v>
      </c>
      <c r="LI384" s="561">
        <v>0</v>
      </c>
      <c r="LJ384" s="561">
        <v>0</v>
      </c>
      <c r="LK384" s="561">
        <v>0</v>
      </c>
      <c r="LL384" s="561">
        <v>10188</v>
      </c>
      <c r="LM384" s="561">
        <v>26230</v>
      </c>
      <c r="LN384" s="561">
        <v>0</v>
      </c>
      <c r="LO384" s="561">
        <v>0</v>
      </c>
      <c r="LP384" s="561">
        <v>0</v>
      </c>
      <c r="LQ384" s="561">
        <v>0</v>
      </c>
      <c r="LR384" s="561">
        <v>10188</v>
      </c>
      <c r="LS384" s="561">
        <v>39922</v>
      </c>
      <c r="LT384" s="561">
        <v>0</v>
      </c>
      <c r="LU384" s="561">
        <v>0</v>
      </c>
      <c r="LV384" s="561">
        <v>0</v>
      </c>
      <c r="LW384" s="561">
        <v>0</v>
      </c>
      <c r="LX384" s="561">
        <v>0</v>
      </c>
      <c r="LY384" s="561">
        <v>0</v>
      </c>
      <c r="LZ384" s="561">
        <v>0</v>
      </c>
      <c r="MA384" s="561">
        <v>0</v>
      </c>
      <c r="MB384" s="561">
        <v>0</v>
      </c>
      <c r="MC384" s="561">
        <v>0</v>
      </c>
      <c r="MD384" s="561">
        <v>0</v>
      </c>
      <c r="ME384" s="561">
        <v>0</v>
      </c>
      <c r="MF384" s="561">
        <v>0</v>
      </c>
      <c r="MG384" s="561">
        <v>0</v>
      </c>
      <c r="MH384" s="561">
        <v>0</v>
      </c>
      <c r="MI384" s="561">
        <v>0</v>
      </c>
      <c r="MJ384" s="561">
        <v>0</v>
      </c>
      <c r="MK384" s="561">
        <v>0</v>
      </c>
      <c r="ML384" s="561">
        <v>5094</v>
      </c>
      <c r="MM384" s="561">
        <v>0</v>
      </c>
      <c r="MN384" s="561">
        <v>0</v>
      </c>
      <c r="MO384" s="561">
        <v>5094</v>
      </c>
      <c r="MP384" s="561">
        <v>0</v>
      </c>
      <c r="MQ384" s="561">
        <v>0</v>
      </c>
      <c r="MR384" s="561">
        <v>0</v>
      </c>
      <c r="MS384" s="561">
        <v>0</v>
      </c>
      <c r="MT384" s="561">
        <v>0</v>
      </c>
      <c r="MU384" s="561">
        <v>0</v>
      </c>
      <c r="MV384" s="561">
        <v>0</v>
      </c>
      <c r="MW384" s="561">
        <v>0</v>
      </c>
      <c r="MX384" s="561">
        <v>49694</v>
      </c>
      <c r="MY384" s="561">
        <v>0</v>
      </c>
      <c r="MZ384" s="561">
        <v>0</v>
      </c>
      <c r="NA384" s="561">
        <v>0</v>
      </c>
      <c r="NB384" s="561">
        <v>0</v>
      </c>
      <c r="NC384" s="561">
        <v>0</v>
      </c>
      <c r="ND384" s="561">
        <v>49694</v>
      </c>
      <c r="NE384" s="561">
        <v>0</v>
      </c>
      <c r="NF384" s="561">
        <v>0</v>
      </c>
      <c r="NG384" s="561">
        <v>0</v>
      </c>
      <c r="NH384" s="561">
        <v>0</v>
      </c>
      <c r="NI384" s="561">
        <v>0</v>
      </c>
      <c r="NJ384" s="561">
        <v>0</v>
      </c>
      <c r="NK384" s="561">
        <v>0</v>
      </c>
      <c r="NL384" s="561">
        <v>0</v>
      </c>
      <c r="NM384" s="561">
        <v>0</v>
      </c>
      <c r="NN384" s="561">
        <v>0</v>
      </c>
      <c r="NO384" s="561">
        <v>0</v>
      </c>
      <c r="NP384" s="561">
        <v>0</v>
      </c>
      <c r="NQ384" s="561">
        <v>0</v>
      </c>
      <c r="NR384" s="561">
        <v>0</v>
      </c>
      <c r="NS384" s="561">
        <v>0</v>
      </c>
      <c r="NT384" s="561">
        <v>0</v>
      </c>
      <c r="NU384" s="561">
        <v>0</v>
      </c>
      <c r="NV384" s="561">
        <v>0</v>
      </c>
      <c r="NW384" s="561">
        <v>0</v>
      </c>
      <c r="NX384" s="561">
        <v>0</v>
      </c>
      <c r="NY384" s="561">
        <v>0</v>
      </c>
      <c r="NZ384" s="561">
        <v>0</v>
      </c>
      <c r="OA384" s="561">
        <v>0</v>
      </c>
      <c r="OB384" s="561">
        <v>0</v>
      </c>
      <c r="OC384" s="561">
        <v>0</v>
      </c>
      <c r="OD384" s="561">
        <v>0</v>
      </c>
      <c r="OE384" s="561">
        <v>0</v>
      </c>
      <c r="OF384" s="561">
        <v>0</v>
      </c>
      <c r="OG384" s="561">
        <v>0</v>
      </c>
      <c r="OH384" s="561">
        <v>0</v>
      </c>
      <c r="OI384" s="561">
        <v>0</v>
      </c>
      <c r="OJ384" s="561">
        <v>0</v>
      </c>
      <c r="OK384" s="561">
        <v>0</v>
      </c>
      <c r="OL384" s="561">
        <v>0</v>
      </c>
      <c r="OM384" s="561">
        <v>0</v>
      </c>
      <c r="ON384" s="561">
        <v>0</v>
      </c>
      <c r="OO384" s="561">
        <v>0</v>
      </c>
      <c r="OP384" s="561">
        <v>0</v>
      </c>
      <c r="OQ384" s="561">
        <v>0</v>
      </c>
      <c r="OR384" s="561">
        <v>0</v>
      </c>
      <c r="OS384" s="561">
        <v>0</v>
      </c>
      <c r="OT384" s="561">
        <v>0</v>
      </c>
      <c r="OU384" s="561">
        <v>0</v>
      </c>
      <c r="OV384" s="561">
        <v>0</v>
      </c>
      <c r="OW384" s="561">
        <v>0</v>
      </c>
      <c r="OX384" s="561">
        <v>0</v>
      </c>
      <c r="OY384" s="561">
        <v>0</v>
      </c>
      <c r="OZ384" s="561">
        <v>0</v>
      </c>
      <c r="PA384" s="561">
        <v>0</v>
      </c>
      <c r="PB384" s="561">
        <v>0</v>
      </c>
      <c r="PC384" s="561">
        <v>0</v>
      </c>
      <c r="PD384" s="561">
        <v>0</v>
      </c>
      <c r="PE384" s="561">
        <v>0</v>
      </c>
      <c r="PF384" s="561">
        <v>0</v>
      </c>
      <c r="PG384" s="561">
        <v>0</v>
      </c>
      <c r="PH384" s="561">
        <v>0</v>
      </c>
      <c r="PI384" s="561">
        <v>0</v>
      </c>
      <c r="PJ384" s="561">
        <v>0</v>
      </c>
    </row>
    <row r="385" spans="1:426" ht="14" x14ac:dyDescent="0.3">
      <c r="A385" t="s">
        <v>3596</v>
      </c>
      <c r="B385" t="s">
        <v>3597</v>
      </c>
      <c r="C385" t="s">
        <v>3598</v>
      </c>
      <c r="E385" t="s">
        <v>2466</v>
      </c>
      <c r="F385" s="561">
        <v>0</v>
      </c>
      <c r="G385" s="561">
        <v>0</v>
      </c>
      <c r="H385" s="561">
        <v>0</v>
      </c>
      <c r="I385" s="561">
        <v>0</v>
      </c>
      <c r="J385" s="561">
        <v>0</v>
      </c>
      <c r="K385" s="561">
        <v>0</v>
      </c>
      <c r="L385" s="561">
        <v>0</v>
      </c>
      <c r="M385" s="561">
        <v>0</v>
      </c>
      <c r="N385" s="561">
        <v>0</v>
      </c>
      <c r="O385" s="561">
        <v>0</v>
      </c>
      <c r="P385" s="561">
        <v>0</v>
      </c>
      <c r="Q385" s="561">
        <v>0</v>
      </c>
      <c r="R385" s="561">
        <v>0</v>
      </c>
      <c r="S385" s="561">
        <v>0</v>
      </c>
      <c r="T385" s="561">
        <v>0</v>
      </c>
      <c r="U385" s="561">
        <v>0</v>
      </c>
      <c r="V385" s="561">
        <v>0</v>
      </c>
      <c r="W385" s="561">
        <v>0</v>
      </c>
      <c r="X385" s="561">
        <v>0</v>
      </c>
      <c r="Y385" s="561">
        <v>0</v>
      </c>
      <c r="Z385" s="561">
        <v>0</v>
      </c>
      <c r="AA385" s="561">
        <v>0</v>
      </c>
      <c r="AB385" s="561">
        <v>0</v>
      </c>
      <c r="AC385" s="561">
        <v>0</v>
      </c>
      <c r="AD385" s="561">
        <v>0</v>
      </c>
      <c r="AE385" s="561">
        <v>0</v>
      </c>
      <c r="AF385" s="561">
        <v>0</v>
      </c>
      <c r="AG385" s="561">
        <v>0</v>
      </c>
      <c r="AH385" s="561">
        <v>0</v>
      </c>
      <c r="AI385" s="561">
        <v>0</v>
      </c>
      <c r="AJ385" s="561">
        <v>0</v>
      </c>
      <c r="AK385" s="561">
        <v>0</v>
      </c>
      <c r="AL385" s="561">
        <v>0</v>
      </c>
      <c r="AM385" s="561">
        <v>0</v>
      </c>
      <c r="AN385" s="561">
        <v>0</v>
      </c>
      <c r="AO385" s="561">
        <v>0</v>
      </c>
      <c r="AP385" s="561">
        <v>0</v>
      </c>
      <c r="AQ385" s="561">
        <v>0</v>
      </c>
      <c r="AR385" s="561">
        <v>0</v>
      </c>
      <c r="AS385" s="561">
        <v>0</v>
      </c>
      <c r="AT385" s="561">
        <v>0</v>
      </c>
      <c r="AU385" s="561">
        <v>0</v>
      </c>
      <c r="AV385" s="561">
        <v>0</v>
      </c>
      <c r="AW385" s="561">
        <v>0</v>
      </c>
      <c r="AX385" s="561">
        <v>0</v>
      </c>
      <c r="AY385" s="561">
        <v>0</v>
      </c>
      <c r="AZ385" s="561">
        <v>0</v>
      </c>
      <c r="BA385" s="561">
        <v>0</v>
      </c>
      <c r="BB385" s="561">
        <v>0</v>
      </c>
      <c r="BC385" s="561">
        <v>0</v>
      </c>
      <c r="BD385" s="561">
        <v>0</v>
      </c>
      <c r="BE385" s="561">
        <v>0</v>
      </c>
      <c r="BF385" s="561">
        <v>0</v>
      </c>
      <c r="BG385" s="561">
        <v>0</v>
      </c>
      <c r="BH385" s="561">
        <v>0</v>
      </c>
      <c r="BI385" s="561">
        <v>0</v>
      </c>
      <c r="BJ385" s="561">
        <v>0</v>
      </c>
      <c r="BK385" s="561">
        <v>0</v>
      </c>
      <c r="BL385" s="561">
        <v>0</v>
      </c>
      <c r="BM385" s="561">
        <v>0</v>
      </c>
      <c r="BN385" s="561">
        <v>0</v>
      </c>
      <c r="BO385" s="561">
        <v>0</v>
      </c>
      <c r="BP385" s="561">
        <v>0</v>
      </c>
      <c r="BQ385" s="561">
        <v>0</v>
      </c>
      <c r="BR385" s="561">
        <v>0</v>
      </c>
      <c r="BS385" s="561">
        <v>0</v>
      </c>
      <c r="BT385" s="561">
        <v>0</v>
      </c>
      <c r="BU385" s="561">
        <v>0</v>
      </c>
      <c r="BV385" s="561">
        <v>0</v>
      </c>
      <c r="BW385" s="561">
        <v>0</v>
      </c>
      <c r="BX385" s="561">
        <v>0</v>
      </c>
      <c r="BY385" s="561">
        <v>0</v>
      </c>
      <c r="BZ385" s="561">
        <v>0</v>
      </c>
      <c r="CA385" s="561">
        <v>0</v>
      </c>
      <c r="CB385" s="561">
        <v>0</v>
      </c>
      <c r="CC385" s="561">
        <v>0</v>
      </c>
      <c r="CD385" s="561">
        <v>0</v>
      </c>
      <c r="CE385" s="561">
        <v>0</v>
      </c>
      <c r="CF385" s="561">
        <v>0</v>
      </c>
      <c r="CG385" s="561">
        <v>0</v>
      </c>
      <c r="CH385" s="561">
        <v>0</v>
      </c>
      <c r="CI385" s="561">
        <v>0</v>
      </c>
      <c r="CJ385" s="561">
        <v>0</v>
      </c>
      <c r="CK385" s="561">
        <v>0</v>
      </c>
      <c r="CL385" s="561">
        <v>0</v>
      </c>
      <c r="CM385" s="561">
        <v>0</v>
      </c>
      <c r="CN385" s="561">
        <v>0</v>
      </c>
      <c r="CO385" s="561">
        <v>0</v>
      </c>
      <c r="CP385" s="561">
        <v>0</v>
      </c>
      <c r="CQ385" s="561">
        <v>0</v>
      </c>
      <c r="CR385" s="561">
        <v>0</v>
      </c>
      <c r="CS385" s="561">
        <v>0</v>
      </c>
      <c r="CT385" s="561">
        <v>0</v>
      </c>
      <c r="CU385" s="561">
        <v>0</v>
      </c>
      <c r="CV385" s="561">
        <v>0</v>
      </c>
      <c r="CW385" s="561">
        <v>0</v>
      </c>
      <c r="CX385" s="561">
        <v>0</v>
      </c>
      <c r="CY385" s="561">
        <v>0</v>
      </c>
      <c r="CZ385" s="561">
        <v>0</v>
      </c>
      <c r="DA385" s="561">
        <v>0</v>
      </c>
      <c r="DB385" s="561">
        <v>0</v>
      </c>
      <c r="DC385" s="561">
        <v>0</v>
      </c>
      <c r="DD385" s="561">
        <v>0</v>
      </c>
      <c r="DE385" s="561">
        <v>0</v>
      </c>
      <c r="DF385" s="561">
        <v>0</v>
      </c>
      <c r="DG385" s="561">
        <v>0</v>
      </c>
      <c r="DH385" s="561">
        <v>0</v>
      </c>
      <c r="DI385" s="561">
        <v>0</v>
      </c>
      <c r="DJ385" s="561">
        <v>0</v>
      </c>
      <c r="DK385" s="561">
        <v>0</v>
      </c>
      <c r="DL385" s="561">
        <v>0</v>
      </c>
      <c r="DM385" s="561">
        <v>0</v>
      </c>
      <c r="DN385" s="561">
        <v>0</v>
      </c>
      <c r="DO385" s="561">
        <v>0</v>
      </c>
      <c r="DP385" s="561">
        <v>0</v>
      </c>
      <c r="DQ385" s="561">
        <v>0</v>
      </c>
      <c r="DR385" s="561">
        <v>0</v>
      </c>
      <c r="DS385" s="561">
        <v>0</v>
      </c>
      <c r="DT385" s="561">
        <v>0</v>
      </c>
      <c r="DU385" s="561">
        <v>0</v>
      </c>
      <c r="DV385" s="561">
        <v>0</v>
      </c>
      <c r="DW385" s="561">
        <v>0</v>
      </c>
      <c r="DX385" s="561">
        <v>0</v>
      </c>
      <c r="DY385" s="561">
        <v>0</v>
      </c>
      <c r="DZ385" s="561">
        <v>0</v>
      </c>
      <c r="EA385" s="561">
        <v>0</v>
      </c>
      <c r="EB385" s="561">
        <v>0</v>
      </c>
      <c r="EC385" s="561">
        <v>0</v>
      </c>
      <c r="ED385" s="561">
        <v>0</v>
      </c>
      <c r="EE385" s="561">
        <v>0</v>
      </c>
      <c r="EF385" s="561">
        <v>0</v>
      </c>
      <c r="EG385" s="561">
        <v>0</v>
      </c>
      <c r="EH385" s="561">
        <v>0</v>
      </c>
      <c r="EI385" s="561">
        <v>0</v>
      </c>
      <c r="EJ385" s="561">
        <v>0</v>
      </c>
      <c r="EK385" s="561">
        <v>0</v>
      </c>
      <c r="EL385" s="561">
        <v>0</v>
      </c>
      <c r="EM385" s="561">
        <v>0</v>
      </c>
      <c r="EN385" s="561">
        <v>0</v>
      </c>
      <c r="EO385" s="561">
        <v>0</v>
      </c>
      <c r="EP385" s="561">
        <v>0</v>
      </c>
      <c r="EQ385" s="561">
        <v>0</v>
      </c>
      <c r="ER385" s="561">
        <v>0</v>
      </c>
      <c r="ES385" s="561" t="s">
        <v>4565</v>
      </c>
      <c r="ET385" s="561">
        <v>0</v>
      </c>
      <c r="EU385" s="561">
        <v>0</v>
      </c>
      <c r="EV385" s="561">
        <v>0</v>
      </c>
      <c r="EW385" s="561">
        <v>0</v>
      </c>
      <c r="EX385" s="561">
        <v>0</v>
      </c>
      <c r="EY385" s="561">
        <v>0</v>
      </c>
      <c r="EZ385" s="561">
        <v>0</v>
      </c>
      <c r="FA385" s="561">
        <v>0</v>
      </c>
      <c r="FB385" s="561">
        <v>0</v>
      </c>
      <c r="FC385" s="561">
        <v>0</v>
      </c>
      <c r="FD385" s="561">
        <v>0</v>
      </c>
      <c r="FE385" s="561">
        <v>0</v>
      </c>
      <c r="FF385" s="561">
        <v>0</v>
      </c>
      <c r="FG385" s="561">
        <v>0</v>
      </c>
      <c r="FH385" s="561">
        <v>0</v>
      </c>
      <c r="FI385" s="561">
        <v>0</v>
      </c>
      <c r="FJ385" s="561">
        <v>0</v>
      </c>
      <c r="FK385" s="561">
        <v>0</v>
      </c>
      <c r="FL385" s="561">
        <v>0</v>
      </c>
      <c r="FM385" s="561">
        <v>0</v>
      </c>
      <c r="FN385" s="561">
        <v>0</v>
      </c>
      <c r="FO385" s="561">
        <v>0</v>
      </c>
      <c r="FP385" s="561">
        <v>0</v>
      </c>
      <c r="FQ385" s="561">
        <v>0</v>
      </c>
      <c r="FR385" s="561">
        <v>0</v>
      </c>
      <c r="FS385" s="561">
        <v>0</v>
      </c>
      <c r="FT385" s="561">
        <v>0</v>
      </c>
      <c r="FU385" s="561">
        <v>0</v>
      </c>
      <c r="FV385" s="561">
        <v>0</v>
      </c>
      <c r="FW385" s="561">
        <v>0</v>
      </c>
      <c r="FX385" s="561">
        <v>0</v>
      </c>
      <c r="FY385" s="561">
        <v>0</v>
      </c>
      <c r="FZ385" s="561">
        <v>0</v>
      </c>
      <c r="GA385" s="561">
        <v>0</v>
      </c>
      <c r="GB385" s="561">
        <v>0</v>
      </c>
      <c r="GC385" s="561">
        <v>0</v>
      </c>
      <c r="GD385" s="561">
        <v>0</v>
      </c>
      <c r="GE385" s="561">
        <v>0</v>
      </c>
      <c r="GF385" s="561">
        <v>0</v>
      </c>
      <c r="GG385" s="561">
        <v>0</v>
      </c>
      <c r="GH385" s="561">
        <v>0</v>
      </c>
      <c r="GI385" s="561">
        <v>0</v>
      </c>
      <c r="GJ385" s="561">
        <v>0</v>
      </c>
      <c r="GK385" s="561">
        <v>0</v>
      </c>
      <c r="GL385" s="561">
        <v>0</v>
      </c>
      <c r="GM385" s="561">
        <v>0</v>
      </c>
      <c r="GN385" s="561">
        <v>0</v>
      </c>
      <c r="GO385" s="561">
        <v>0</v>
      </c>
      <c r="GP385" s="561">
        <v>0</v>
      </c>
      <c r="GQ385" s="561">
        <v>0</v>
      </c>
      <c r="GR385" s="561">
        <v>0</v>
      </c>
      <c r="GS385" s="561">
        <v>0</v>
      </c>
      <c r="GT385" s="561">
        <v>0</v>
      </c>
      <c r="GU385" s="561">
        <v>0</v>
      </c>
      <c r="GV385" s="561">
        <v>0</v>
      </c>
      <c r="GW385" s="561">
        <v>0</v>
      </c>
      <c r="GX385" s="561">
        <v>0</v>
      </c>
      <c r="GY385" s="561">
        <v>0</v>
      </c>
      <c r="GZ385" s="561">
        <v>0</v>
      </c>
      <c r="HA385" s="561">
        <v>0</v>
      </c>
      <c r="HB385" s="561">
        <v>0</v>
      </c>
      <c r="HC385" s="561">
        <v>0</v>
      </c>
      <c r="HD385" s="561">
        <v>0</v>
      </c>
      <c r="HE385" s="561">
        <v>0</v>
      </c>
      <c r="HF385" s="561">
        <v>0</v>
      </c>
      <c r="HG385" s="561">
        <v>0</v>
      </c>
      <c r="HH385" s="561">
        <v>219753</v>
      </c>
      <c r="HI385" s="561">
        <v>273</v>
      </c>
      <c r="HJ385" s="561">
        <v>0</v>
      </c>
      <c r="HK385" s="561">
        <v>0</v>
      </c>
      <c r="HL385" s="561">
        <v>0</v>
      </c>
      <c r="HM385" s="561">
        <v>0</v>
      </c>
      <c r="HN385" s="561">
        <v>0</v>
      </c>
      <c r="HO385" s="561">
        <v>2246</v>
      </c>
      <c r="HP385" s="561">
        <v>0</v>
      </c>
      <c r="HQ385" s="561">
        <v>0</v>
      </c>
      <c r="HR385" s="561">
        <v>0</v>
      </c>
      <c r="HS385" s="561">
        <v>0</v>
      </c>
      <c r="HT385" s="561">
        <v>0</v>
      </c>
      <c r="HU385" s="561">
        <v>0</v>
      </c>
      <c r="HV385" s="561">
        <v>0</v>
      </c>
      <c r="HW385" s="561">
        <v>0</v>
      </c>
      <c r="HX385" s="561">
        <v>0</v>
      </c>
      <c r="HY385" s="561">
        <v>0</v>
      </c>
      <c r="HZ385" s="561">
        <v>0</v>
      </c>
      <c r="IA385" s="561">
        <v>0</v>
      </c>
      <c r="IB385" s="561">
        <v>0</v>
      </c>
      <c r="IC385" s="561">
        <v>0</v>
      </c>
      <c r="ID385" s="561">
        <v>0</v>
      </c>
      <c r="IE385" s="561">
        <v>0</v>
      </c>
      <c r="IF385" s="561">
        <v>0</v>
      </c>
      <c r="IG385" s="561">
        <v>0</v>
      </c>
      <c r="IH385" s="561">
        <v>85572</v>
      </c>
      <c r="II385" s="561">
        <v>87818</v>
      </c>
      <c r="IJ385" s="561">
        <v>44</v>
      </c>
      <c r="IK385" s="561">
        <v>0</v>
      </c>
      <c r="IL385" s="561">
        <v>0</v>
      </c>
      <c r="IM385" s="561">
        <v>0</v>
      </c>
      <c r="IN385" s="561">
        <v>0</v>
      </c>
      <c r="IO385" s="561">
        <v>4060</v>
      </c>
      <c r="IP385" s="561">
        <v>0</v>
      </c>
      <c r="IQ385" s="561">
        <v>0</v>
      </c>
      <c r="IR385" s="561">
        <v>0</v>
      </c>
      <c r="IS385" s="561">
        <v>0</v>
      </c>
      <c r="IT385" s="561">
        <v>0</v>
      </c>
      <c r="IU385" s="561">
        <v>0</v>
      </c>
      <c r="IV385" s="561">
        <v>0</v>
      </c>
      <c r="IW385" s="561">
        <v>0</v>
      </c>
      <c r="IX385" s="561">
        <v>0</v>
      </c>
      <c r="IY385" s="561">
        <v>0</v>
      </c>
      <c r="IZ385" s="561">
        <v>0</v>
      </c>
      <c r="JA385" s="561">
        <v>219753</v>
      </c>
      <c r="JB385" s="561">
        <v>0</v>
      </c>
      <c r="JC385" s="561">
        <v>87818</v>
      </c>
      <c r="JD385" s="561">
        <v>0</v>
      </c>
      <c r="JE385" s="561">
        <v>307571</v>
      </c>
      <c r="JF385" s="561">
        <v>0</v>
      </c>
      <c r="JG385" s="561">
        <v>0</v>
      </c>
      <c r="JH385" s="561">
        <v>0</v>
      </c>
      <c r="JI385" s="561">
        <v>0</v>
      </c>
      <c r="JJ385" s="561">
        <v>0</v>
      </c>
      <c r="JK385" s="561">
        <v>0</v>
      </c>
      <c r="JL385" s="561">
        <v>0</v>
      </c>
      <c r="JM385" s="561">
        <v>0</v>
      </c>
      <c r="JN385" s="561">
        <v>0</v>
      </c>
      <c r="JO385" s="561">
        <v>0</v>
      </c>
      <c r="JP385" s="561">
        <v>0</v>
      </c>
      <c r="JQ385" s="561">
        <v>0</v>
      </c>
      <c r="JR385" s="561">
        <v>0</v>
      </c>
      <c r="JS385" s="561">
        <v>0</v>
      </c>
      <c r="JT385" s="561">
        <v>0</v>
      </c>
      <c r="JU385" s="561">
        <v>0</v>
      </c>
      <c r="JV385" s="561">
        <v>307571</v>
      </c>
      <c r="JW385" s="561">
        <v>0</v>
      </c>
      <c r="JX385" s="561">
        <v>1532</v>
      </c>
      <c r="JY385" s="561">
        <v>0</v>
      </c>
      <c r="JZ385" s="561">
        <v>-451</v>
      </c>
      <c r="KA385" s="561">
        <v>0</v>
      </c>
      <c r="KB385" s="561">
        <v>0</v>
      </c>
      <c r="KC385" s="561">
        <v>6730</v>
      </c>
      <c r="KD385" s="561">
        <v>0</v>
      </c>
      <c r="KE385" s="561">
        <v>2820</v>
      </c>
      <c r="KF385" s="561">
        <v>0</v>
      </c>
      <c r="KG385" s="561">
        <v>318202</v>
      </c>
      <c r="KH385" s="561">
        <v>-815</v>
      </c>
      <c r="KI385" s="561">
        <v>0</v>
      </c>
      <c r="KJ385" s="561">
        <v>0</v>
      </c>
      <c r="KK385" s="561">
        <v>0</v>
      </c>
      <c r="KL385" s="561">
        <v>-936</v>
      </c>
      <c r="KM385" s="561">
        <v>0</v>
      </c>
      <c r="KN385" s="561">
        <v>0</v>
      </c>
      <c r="KO385" s="561">
        <v>0</v>
      </c>
      <c r="KP385" s="561">
        <v>0</v>
      </c>
      <c r="KQ385" s="561">
        <v>0</v>
      </c>
      <c r="KR385" s="561">
        <v>316451</v>
      </c>
      <c r="KS385" s="561">
        <v>0</v>
      </c>
      <c r="KT385" s="561">
        <v>-21467</v>
      </c>
      <c r="KU385" s="561">
        <v>294984</v>
      </c>
      <c r="KV385" s="561">
        <v>0</v>
      </c>
      <c r="KW385" s="561">
        <v>0</v>
      </c>
      <c r="KX385" s="561">
        <v>0</v>
      </c>
      <c r="KY385" s="561">
        <v>0</v>
      </c>
      <c r="KZ385" s="561">
        <v>-4654</v>
      </c>
      <c r="LA385" s="561">
        <v>-6720</v>
      </c>
      <c r="LB385" s="561">
        <v>0</v>
      </c>
      <c r="LC385" s="561">
        <v>-153837</v>
      </c>
      <c r="LD385" s="561">
        <v>0</v>
      </c>
      <c r="LE385" s="561">
        <v>-475</v>
      </c>
      <c r="LF385" s="561">
        <v>0</v>
      </c>
      <c r="LG385" s="561">
        <v>129300</v>
      </c>
      <c r="LH385" s="561">
        <v>0</v>
      </c>
      <c r="LI385" s="561">
        <v>0</v>
      </c>
      <c r="LJ385" s="561">
        <v>0</v>
      </c>
      <c r="LK385" s="561">
        <v>0</v>
      </c>
      <c r="LL385" s="561">
        <v>11936</v>
      </c>
      <c r="LM385" s="561">
        <v>7750</v>
      </c>
      <c r="LN385" s="561">
        <v>0</v>
      </c>
      <c r="LO385" s="561">
        <v>0</v>
      </c>
      <c r="LP385" s="561">
        <v>0</v>
      </c>
      <c r="LQ385" s="561">
        <v>0</v>
      </c>
      <c r="LR385" s="561">
        <v>7282</v>
      </c>
      <c r="LS385" s="561">
        <v>1030</v>
      </c>
      <c r="LT385" s="561">
        <v>0</v>
      </c>
      <c r="LU385" s="561">
        <v>13104</v>
      </c>
      <c r="LV385" s="561">
        <v>0</v>
      </c>
      <c r="LW385" s="561">
        <v>6965</v>
      </c>
      <c r="LX385" s="561">
        <v>0</v>
      </c>
      <c r="LY385" s="561">
        <v>432</v>
      </c>
      <c r="LZ385" s="561">
        <v>20508</v>
      </c>
      <c r="MA385" s="561">
        <v>0</v>
      </c>
      <c r="MB385" s="561">
        <v>0</v>
      </c>
      <c r="MC385" s="561">
        <v>0</v>
      </c>
      <c r="MD385" s="561">
        <v>0</v>
      </c>
      <c r="ME385" s="561">
        <v>0</v>
      </c>
      <c r="MF385" s="561">
        <v>0</v>
      </c>
      <c r="MG385" s="561">
        <v>0</v>
      </c>
      <c r="MH385" s="561">
        <v>0</v>
      </c>
      <c r="MI385" s="561">
        <v>0</v>
      </c>
      <c r="MJ385" s="561">
        <v>0</v>
      </c>
      <c r="MK385" s="561">
        <v>0</v>
      </c>
      <c r="ML385" s="561">
        <v>0</v>
      </c>
      <c r="MM385" s="561">
        <v>5981</v>
      </c>
      <c r="MN385" s="561">
        <v>280</v>
      </c>
      <c r="MO385" s="561">
        <v>1021</v>
      </c>
      <c r="MP385" s="561">
        <v>0</v>
      </c>
      <c r="MQ385" s="561">
        <v>0</v>
      </c>
      <c r="MR385" s="561">
        <v>0</v>
      </c>
      <c r="MS385" s="561">
        <v>0</v>
      </c>
      <c r="MT385" s="561">
        <v>0</v>
      </c>
      <c r="MU385" s="561">
        <v>0</v>
      </c>
      <c r="MV385" s="561">
        <v>0</v>
      </c>
      <c r="MW385" s="561">
        <v>0</v>
      </c>
      <c r="MX385" s="561">
        <v>0</v>
      </c>
      <c r="MY385" s="561">
        <v>0</v>
      </c>
      <c r="MZ385" s="561">
        <v>219753</v>
      </c>
      <c r="NA385" s="561">
        <v>0</v>
      </c>
      <c r="NB385" s="561">
        <v>87818</v>
      </c>
      <c r="NC385" s="561">
        <v>0</v>
      </c>
      <c r="ND385" s="561">
        <v>307571</v>
      </c>
      <c r="NE385" s="561">
        <v>0</v>
      </c>
      <c r="NF385" s="561">
        <v>0</v>
      </c>
      <c r="NG385" s="561">
        <v>0</v>
      </c>
      <c r="NH385" s="561">
        <v>0</v>
      </c>
      <c r="NI385" s="561">
        <v>0</v>
      </c>
      <c r="NJ385" s="561">
        <v>0</v>
      </c>
      <c r="NK385" s="561">
        <v>0</v>
      </c>
      <c r="NL385" s="561">
        <v>0</v>
      </c>
      <c r="NM385" s="561">
        <v>0</v>
      </c>
      <c r="NN385" s="561">
        <v>0</v>
      </c>
      <c r="NO385" s="561">
        <v>0</v>
      </c>
      <c r="NP385" s="561">
        <v>0</v>
      </c>
      <c r="NQ385" s="561">
        <v>0</v>
      </c>
      <c r="NR385" s="561">
        <v>0</v>
      </c>
      <c r="NS385" s="561">
        <v>0</v>
      </c>
      <c r="NT385" s="561">
        <v>0</v>
      </c>
      <c r="NU385" s="561">
        <v>0</v>
      </c>
      <c r="NV385" s="561">
        <v>0</v>
      </c>
      <c r="NW385" s="561">
        <v>0</v>
      </c>
      <c r="NX385" s="561">
        <v>0</v>
      </c>
      <c r="NY385" s="561">
        <v>0</v>
      </c>
      <c r="NZ385" s="561">
        <v>0</v>
      </c>
      <c r="OA385" s="561">
        <v>0</v>
      </c>
      <c r="OB385" s="561">
        <v>0</v>
      </c>
      <c r="OC385" s="561">
        <v>0</v>
      </c>
      <c r="OD385" s="561">
        <v>0</v>
      </c>
      <c r="OE385" s="561">
        <v>0</v>
      </c>
      <c r="OF385" s="561">
        <v>0</v>
      </c>
      <c r="OG385" s="561">
        <v>0</v>
      </c>
      <c r="OH385" s="561">
        <v>0</v>
      </c>
      <c r="OI385" s="561">
        <v>0</v>
      </c>
      <c r="OJ385" s="561">
        <v>0</v>
      </c>
      <c r="OK385" s="561">
        <v>0</v>
      </c>
      <c r="OL385" s="561">
        <v>0</v>
      </c>
      <c r="OM385" s="561">
        <v>0</v>
      </c>
      <c r="ON385" s="561">
        <v>0</v>
      </c>
      <c r="OO385" s="561">
        <v>0</v>
      </c>
      <c r="OP385" s="561">
        <v>0</v>
      </c>
      <c r="OQ385" s="561">
        <v>0</v>
      </c>
      <c r="OR385" s="561">
        <v>0</v>
      </c>
      <c r="OS385" s="561">
        <v>0</v>
      </c>
      <c r="OT385" s="561">
        <v>0</v>
      </c>
      <c r="OU385" s="561">
        <v>0</v>
      </c>
      <c r="OV385" s="561">
        <v>0</v>
      </c>
      <c r="OW385" s="561">
        <v>0</v>
      </c>
      <c r="OX385" s="561">
        <v>0</v>
      </c>
      <c r="OY385" s="561">
        <v>0</v>
      </c>
      <c r="OZ385" s="561">
        <v>0</v>
      </c>
      <c r="PA385" s="561">
        <v>0</v>
      </c>
      <c r="PB385" s="561">
        <v>0</v>
      </c>
      <c r="PC385" s="561">
        <v>0</v>
      </c>
      <c r="PD385" s="561">
        <v>0</v>
      </c>
      <c r="PE385" s="561">
        <v>0</v>
      </c>
      <c r="PF385" s="561">
        <v>0</v>
      </c>
      <c r="PG385" s="561">
        <v>0</v>
      </c>
      <c r="PH385" s="561">
        <v>0</v>
      </c>
      <c r="PI385" s="561">
        <v>0</v>
      </c>
      <c r="PJ385" s="561">
        <v>0</v>
      </c>
    </row>
    <row r="386" spans="1:426" ht="14" x14ac:dyDescent="0.3">
      <c r="A386" t="s">
        <v>3599</v>
      </c>
      <c r="B386" t="s">
        <v>3600</v>
      </c>
      <c r="C386" t="s">
        <v>3601</v>
      </c>
      <c r="E386" t="s">
        <v>2466</v>
      </c>
      <c r="F386" s="561">
        <v>0</v>
      </c>
      <c r="G386" s="561">
        <v>0</v>
      </c>
      <c r="H386" s="561">
        <v>0</v>
      </c>
      <c r="I386" s="561">
        <v>0</v>
      </c>
      <c r="J386" s="561">
        <v>0</v>
      </c>
      <c r="K386" s="561">
        <v>148629.76000000001</v>
      </c>
      <c r="L386" s="561">
        <v>148629.76000000001</v>
      </c>
      <c r="M386" s="561">
        <v>0</v>
      </c>
      <c r="N386" s="561">
        <v>35005.870000000003</v>
      </c>
      <c r="O386" s="561">
        <v>3187.2</v>
      </c>
      <c r="P386" s="561">
        <v>0</v>
      </c>
      <c r="Q386" s="561">
        <v>0</v>
      </c>
      <c r="R386" s="561">
        <v>0</v>
      </c>
      <c r="S386" s="561">
        <v>0</v>
      </c>
      <c r="T386" s="561">
        <v>0</v>
      </c>
      <c r="U386" s="561">
        <v>0</v>
      </c>
      <c r="V386" s="561">
        <v>0</v>
      </c>
      <c r="W386" s="561">
        <v>0</v>
      </c>
      <c r="X386" s="561">
        <v>0</v>
      </c>
      <c r="Y386" s="561">
        <v>0</v>
      </c>
      <c r="Z386" s="561">
        <v>2424.04</v>
      </c>
      <c r="AA386" s="561">
        <v>0</v>
      </c>
      <c r="AB386" s="561">
        <v>766.39</v>
      </c>
      <c r="AC386" s="561">
        <v>50307.24</v>
      </c>
      <c r="AD386" s="561">
        <v>0</v>
      </c>
      <c r="AE386" s="561">
        <v>29126.44</v>
      </c>
      <c r="AF386" s="561">
        <v>0</v>
      </c>
      <c r="AG386" s="561">
        <v>6939.01</v>
      </c>
      <c r="AH386" s="561">
        <v>57053.84</v>
      </c>
      <c r="AI386" s="561">
        <v>0</v>
      </c>
      <c r="AJ386" s="561">
        <v>184810.03</v>
      </c>
      <c r="AK386" s="561">
        <v>1669.41</v>
      </c>
      <c r="AL386" s="561">
        <v>0</v>
      </c>
      <c r="AM386" s="561">
        <v>0</v>
      </c>
      <c r="AN386" s="561">
        <v>0</v>
      </c>
      <c r="AO386" s="561">
        <v>0</v>
      </c>
      <c r="AP386" s="561">
        <v>0</v>
      </c>
      <c r="AQ386" s="561">
        <v>0</v>
      </c>
      <c r="AR386" s="561">
        <v>0</v>
      </c>
      <c r="AS386" s="561">
        <v>0</v>
      </c>
      <c r="AT386" s="561">
        <v>0</v>
      </c>
      <c r="AU386" s="561">
        <v>0</v>
      </c>
      <c r="AV386" s="561">
        <v>0</v>
      </c>
      <c r="AW386" s="561">
        <v>0</v>
      </c>
      <c r="AX386" s="561">
        <v>0</v>
      </c>
      <c r="AY386" s="561">
        <v>0</v>
      </c>
      <c r="AZ386" s="561">
        <v>0</v>
      </c>
      <c r="BA386" s="561">
        <v>0</v>
      </c>
      <c r="BB386" s="561">
        <v>0</v>
      </c>
      <c r="BC386" s="561">
        <v>0</v>
      </c>
      <c r="BD386" s="561">
        <v>0</v>
      </c>
      <c r="BE386" s="561">
        <v>0</v>
      </c>
      <c r="BF386" s="561">
        <v>0</v>
      </c>
      <c r="BG386" s="561">
        <v>0</v>
      </c>
      <c r="BH386" s="561">
        <v>0</v>
      </c>
      <c r="BI386" s="561">
        <v>0</v>
      </c>
      <c r="BJ386" s="561">
        <v>0</v>
      </c>
      <c r="BK386" s="561">
        <v>0</v>
      </c>
      <c r="BL386" s="561">
        <v>0</v>
      </c>
      <c r="BM386" s="561">
        <v>0</v>
      </c>
      <c r="BN386" s="561">
        <v>0</v>
      </c>
      <c r="BO386" s="561">
        <v>0</v>
      </c>
      <c r="BP386" s="561">
        <v>0</v>
      </c>
      <c r="BQ386" s="561">
        <v>0</v>
      </c>
      <c r="BR386" s="561">
        <v>0</v>
      </c>
      <c r="BS386" s="561">
        <v>0</v>
      </c>
      <c r="BT386" s="561">
        <v>0</v>
      </c>
      <c r="BU386" s="561">
        <v>0</v>
      </c>
      <c r="BV386" s="561">
        <v>0</v>
      </c>
      <c r="BW386" s="561">
        <v>0</v>
      </c>
      <c r="BX386" s="561">
        <v>0</v>
      </c>
      <c r="BY386" s="561">
        <v>0</v>
      </c>
      <c r="BZ386" s="561">
        <v>0</v>
      </c>
      <c r="CA386" s="561">
        <v>0</v>
      </c>
      <c r="CB386" s="561">
        <v>0</v>
      </c>
      <c r="CC386" s="561">
        <v>0</v>
      </c>
      <c r="CD386" s="561">
        <v>0</v>
      </c>
      <c r="CE386" s="561">
        <v>0</v>
      </c>
      <c r="CF386" s="561">
        <v>0</v>
      </c>
      <c r="CG386" s="561">
        <v>0</v>
      </c>
      <c r="CH386" s="561">
        <v>0</v>
      </c>
      <c r="CI386" s="561">
        <v>0</v>
      </c>
      <c r="CJ386" s="561">
        <v>0</v>
      </c>
      <c r="CK386" s="561">
        <v>0</v>
      </c>
      <c r="CL386" s="561">
        <v>0</v>
      </c>
      <c r="CM386" s="561">
        <v>0</v>
      </c>
      <c r="CN386" s="561">
        <v>0</v>
      </c>
      <c r="CO386" s="561">
        <v>0</v>
      </c>
      <c r="CP386" s="561">
        <v>0</v>
      </c>
      <c r="CQ386" s="561">
        <v>0</v>
      </c>
      <c r="CR386" s="561">
        <v>0</v>
      </c>
      <c r="CS386" s="561">
        <v>0</v>
      </c>
      <c r="CT386" s="561">
        <v>0</v>
      </c>
      <c r="CU386" s="561">
        <v>0</v>
      </c>
      <c r="CV386" s="561">
        <v>0</v>
      </c>
      <c r="CW386" s="561">
        <v>5570.39</v>
      </c>
      <c r="CX386" s="561">
        <v>0</v>
      </c>
      <c r="CY386" s="561">
        <v>0</v>
      </c>
      <c r="CZ386" s="561">
        <v>5570.39</v>
      </c>
      <c r="DA386" s="561">
        <v>0</v>
      </c>
      <c r="DB386" s="561">
        <v>0</v>
      </c>
      <c r="DC386" s="561">
        <v>0</v>
      </c>
      <c r="DD386" s="561">
        <v>0</v>
      </c>
      <c r="DE386" s="561">
        <v>0</v>
      </c>
      <c r="DF386" s="561">
        <v>0</v>
      </c>
      <c r="DG386" s="561">
        <v>0</v>
      </c>
      <c r="DH386" s="561">
        <v>4288.87</v>
      </c>
      <c r="DI386" s="561">
        <v>0</v>
      </c>
      <c r="DJ386" s="561">
        <v>0</v>
      </c>
      <c r="DK386" s="561">
        <v>0</v>
      </c>
      <c r="DL386" s="561">
        <v>0</v>
      </c>
      <c r="DM386" s="561">
        <v>0</v>
      </c>
      <c r="DN386" s="561">
        <v>0</v>
      </c>
      <c r="DO386" s="561">
        <v>0</v>
      </c>
      <c r="DP386" s="561">
        <v>0</v>
      </c>
      <c r="DQ386" s="561">
        <v>0</v>
      </c>
      <c r="DR386" s="561">
        <v>0</v>
      </c>
      <c r="DS386" s="561">
        <v>0</v>
      </c>
      <c r="DT386" s="561">
        <v>0</v>
      </c>
      <c r="DU386" s="561">
        <v>0</v>
      </c>
      <c r="DV386" s="561">
        <v>0</v>
      </c>
      <c r="DW386" s="561">
        <v>0</v>
      </c>
      <c r="DX386" s="561">
        <v>0</v>
      </c>
      <c r="DY386" s="561">
        <v>0</v>
      </c>
      <c r="DZ386" s="561">
        <v>0</v>
      </c>
      <c r="EA386" s="561">
        <v>0</v>
      </c>
      <c r="EB386" s="561">
        <v>0</v>
      </c>
      <c r="EC386" s="561">
        <v>4288.87</v>
      </c>
      <c r="ED386" s="561">
        <v>37.71</v>
      </c>
      <c r="EE386" s="561">
        <v>0</v>
      </c>
      <c r="EF386" s="561">
        <v>0</v>
      </c>
      <c r="EG386" s="561">
        <v>0</v>
      </c>
      <c r="EH386" s="561">
        <v>0</v>
      </c>
      <c r="EI386" s="561">
        <v>0</v>
      </c>
      <c r="EJ386" s="561">
        <v>0</v>
      </c>
      <c r="EK386" s="561">
        <v>0</v>
      </c>
      <c r="EL386" s="561">
        <v>0</v>
      </c>
      <c r="EM386" s="561">
        <v>0</v>
      </c>
      <c r="EN386" s="561">
        <v>0</v>
      </c>
      <c r="EO386" s="561">
        <v>0</v>
      </c>
      <c r="EP386" s="561">
        <v>0</v>
      </c>
      <c r="EQ386" s="561">
        <v>0</v>
      </c>
      <c r="ER386" s="561">
        <v>0</v>
      </c>
      <c r="ES386" s="561" t="s">
        <v>4565</v>
      </c>
      <c r="ET386" s="561">
        <v>0</v>
      </c>
      <c r="EU386" s="561">
        <v>0</v>
      </c>
      <c r="EV386" s="561">
        <v>0</v>
      </c>
      <c r="EW386" s="561">
        <v>0</v>
      </c>
      <c r="EX386" s="561">
        <v>0</v>
      </c>
      <c r="EY386" s="561">
        <v>0</v>
      </c>
      <c r="EZ386" s="561">
        <v>0</v>
      </c>
      <c r="FA386" s="561">
        <v>0</v>
      </c>
      <c r="FB386" s="561">
        <v>0</v>
      </c>
      <c r="FC386" s="561">
        <v>925.67</v>
      </c>
      <c r="FD386" s="561">
        <v>0</v>
      </c>
      <c r="FE386" s="561">
        <v>0</v>
      </c>
      <c r="FF386" s="561">
        <v>0</v>
      </c>
      <c r="FG386" s="561">
        <v>0</v>
      </c>
      <c r="FH386" s="561">
        <v>0</v>
      </c>
      <c r="FI386" s="561">
        <v>0</v>
      </c>
      <c r="FJ386" s="561">
        <v>0</v>
      </c>
      <c r="FK386" s="561">
        <v>0</v>
      </c>
      <c r="FL386" s="561">
        <v>0</v>
      </c>
      <c r="FM386" s="561">
        <v>0</v>
      </c>
      <c r="FN386" s="561">
        <v>0</v>
      </c>
      <c r="FO386" s="561">
        <v>925.67</v>
      </c>
      <c r="FP386" s="561">
        <v>0</v>
      </c>
      <c r="FQ386" s="561">
        <v>0</v>
      </c>
      <c r="FR386" s="561">
        <v>0</v>
      </c>
      <c r="FS386" s="561">
        <v>0</v>
      </c>
      <c r="FT386" s="561">
        <v>0</v>
      </c>
      <c r="FU386" s="561">
        <v>0</v>
      </c>
      <c r="FV386" s="561">
        <v>0</v>
      </c>
      <c r="FW386" s="561">
        <v>0</v>
      </c>
      <c r="FX386" s="561">
        <v>0</v>
      </c>
      <c r="FY386" s="561">
        <v>0</v>
      </c>
      <c r="FZ386" s="561">
        <v>0</v>
      </c>
      <c r="GA386" s="561">
        <v>0</v>
      </c>
      <c r="GB386" s="561">
        <v>0</v>
      </c>
      <c r="GC386" s="561">
        <v>0</v>
      </c>
      <c r="GD386" s="561">
        <v>0</v>
      </c>
      <c r="GE386" s="561">
        <v>1007.07</v>
      </c>
      <c r="GF386" s="561">
        <v>1773</v>
      </c>
      <c r="GG386" s="561">
        <v>0</v>
      </c>
      <c r="GH386" s="561">
        <v>0</v>
      </c>
      <c r="GI386" s="561">
        <v>0</v>
      </c>
      <c r="GJ386" s="561">
        <v>0</v>
      </c>
      <c r="GK386" s="561">
        <v>0</v>
      </c>
      <c r="GL386" s="561">
        <v>0</v>
      </c>
      <c r="GM386" s="561">
        <v>0</v>
      </c>
      <c r="GN386" s="561">
        <v>0</v>
      </c>
      <c r="GO386" s="561">
        <v>0</v>
      </c>
      <c r="GP386" s="561">
        <v>0</v>
      </c>
      <c r="GQ386" s="561">
        <v>0</v>
      </c>
      <c r="GR386" s="561">
        <v>0</v>
      </c>
      <c r="GS386" s="561">
        <v>2780.07</v>
      </c>
      <c r="GT386" s="561">
        <v>-6.11</v>
      </c>
      <c r="GU386" s="561">
        <v>0</v>
      </c>
      <c r="GV386" s="561">
        <v>0</v>
      </c>
      <c r="GW386" s="561">
        <v>0</v>
      </c>
      <c r="GX386" s="561">
        <v>0</v>
      </c>
      <c r="GY386" s="561">
        <v>6109.75</v>
      </c>
      <c r="GZ386" s="561">
        <v>97575.07</v>
      </c>
      <c r="HA386" s="561">
        <v>0</v>
      </c>
      <c r="HB386" s="561">
        <v>0</v>
      </c>
      <c r="HC386" s="561">
        <v>0</v>
      </c>
      <c r="HD386" s="561">
        <v>103684.82</v>
      </c>
      <c r="HE386" s="561">
        <v>1959.35</v>
      </c>
      <c r="HF386" s="561">
        <v>107390.56</v>
      </c>
      <c r="HG386" s="561">
        <v>0</v>
      </c>
      <c r="HH386" s="561">
        <v>0</v>
      </c>
      <c r="HI386" s="561">
        <v>0</v>
      </c>
      <c r="HJ386" s="561">
        <v>0</v>
      </c>
      <c r="HK386" s="561">
        <v>0</v>
      </c>
      <c r="HL386" s="561">
        <v>0</v>
      </c>
      <c r="HM386" s="561">
        <v>0</v>
      </c>
      <c r="HN386" s="561">
        <v>0</v>
      </c>
      <c r="HO386" s="561">
        <v>2036.1</v>
      </c>
      <c r="HP386" s="561">
        <v>0</v>
      </c>
      <c r="HQ386" s="561">
        <v>0</v>
      </c>
      <c r="HR386" s="561">
        <v>0</v>
      </c>
      <c r="HS386" s="561">
        <v>0</v>
      </c>
      <c r="HT386" s="561">
        <v>0</v>
      </c>
      <c r="HU386" s="561">
        <v>0</v>
      </c>
      <c r="HV386" s="561">
        <v>0</v>
      </c>
      <c r="HW386" s="561">
        <v>0</v>
      </c>
      <c r="HX386" s="561">
        <v>0</v>
      </c>
      <c r="HY386" s="561">
        <v>0</v>
      </c>
      <c r="HZ386" s="561">
        <v>0</v>
      </c>
      <c r="IA386" s="561">
        <v>0</v>
      </c>
      <c r="IB386" s="561">
        <v>0</v>
      </c>
      <c r="IC386" s="561">
        <v>0</v>
      </c>
      <c r="ID386" s="561">
        <v>0</v>
      </c>
      <c r="IE386" s="561">
        <v>375.28</v>
      </c>
      <c r="IF386" s="561">
        <v>0</v>
      </c>
      <c r="IG386" s="561">
        <v>0</v>
      </c>
      <c r="IH386" s="561">
        <v>0</v>
      </c>
      <c r="II386" s="561">
        <v>2411.38</v>
      </c>
      <c r="IJ386" s="561">
        <v>92.59</v>
      </c>
      <c r="IK386" s="561">
        <v>0</v>
      </c>
      <c r="IL386" s="561">
        <v>0</v>
      </c>
      <c r="IM386" s="561">
        <v>0</v>
      </c>
      <c r="IN386" s="561">
        <v>0</v>
      </c>
      <c r="IO386" s="561">
        <v>0</v>
      </c>
      <c r="IP386" s="561">
        <v>0</v>
      </c>
      <c r="IQ386" s="561">
        <v>0</v>
      </c>
      <c r="IR386" s="561">
        <v>148629.76000000001</v>
      </c>
      <c r="IS386" s="561">
        <v>184810.03</v>
      </c>
      <c r="IT386" s="561">
        <v>0</v>
      </c>
      <c r="IU386" s="561">
        <v>0</v>
      </c>
      <c r="IV386" s="561">
        <v>5570.39</v>
      </c>
      <c r="IW386" s="561">
        <v>4288.87</v>
      </c>
      <c r="IX386" s="561">
        <v>925.67</v>
      </c>
      <c r="IY386" s="561">
        <v>2780.07</v>
      </c>
      <c r="IZ386" s="561">
        <v>103684.82</v>
      </c>
      <c r="JA386" s="561">
        <v>0</v>
      </c>
      <c r="JB386" s="561">
        <v>0</v>
      </c>
      <c r="JC386" s="561">
        <v>2411.38</v>
      </c>
      <c r="JD386" s="561">
        <v>0</v>
      </c>
      <c r="JE386" s="561">
        <v>453100.99</v>
      </c>
      <c r="JF386" s="561">
        <v>0</v>
      </c>
      <c r="JG386" s="561">
        <v>0</v>
      </c>
      <c r="JH386" s="561">
        <v>0</v>
      </c>
      <c r="JI386" s="561">
        <v>0</v>
      </c>
      <c r="JJ386" s="561">
        <v>0</v>
      </c>
      <c r="JK386" s="561">
        <v>0</v>
      </c>
      <c r="JL386" s="561">
        <v>-119354.95</v>
      </c>
      <c r="JM386" s="561">
        <v>0</v>
      </c>
      <c r="JN386" s="561">
        <v>0</v>
      </c>
      <c r="JO386" s="561">
        <v>-17292.93</v>
      </c>
      <c r="JP386" s="561">
        <v>0</v>
      </c>
      <c r="JQ386" s="561">
        <v>0</v>
      </c>
      <c r="JR386" s="561">
        <v>0</v>
      </c>
      <c r="JS386" s="561">
        <v>0</v>
      </c>
      <c r="JT386" s="561">
        <v>0</v>
      </c>
      <c r="JU386" s="561">
        <v>82965.42</v>
      </c>
      <c r="JV386" s="561">
        <v>399418.53</v>
      </c>
      <c r="JW386" s="561">
        <v>0</v>
      </c>
      <c r="JX386" s="561">
        <v>0</v>
      </c>
      <c r="JY386" s="561">
        <v>0</v>
      </c>
      <c r="JZ386" s="561">
        <v>0</v>
      </c>
      <c r="KA386" s="561">
        <v>0</v>
      </c>
      <c r="KB386" s="561">
        <v>0</v>
      </c>
      <c r="KC386" s="561">
        <v>0</v>
      </c>
      <c r="KD386" s="561">
        <v>0</v>
      </c>
      <c r="KE386" s="561">
        <v>23083</v>
      </c>
      <c r="KF386" s="561">
        <v>0</v>
      </c>
      <c r="KG386" s="561">
        <v>422501.53</v>
      </c>
      <c r="KH386" s="561">
        <v>-42776.42</v>
      </c>
      <c r="KI386" s="561">
        <v>0</v>
      </c>
      <c r="KJ386" s="561">
        <v>0</v>
      </c>
      <c r="KK386" s="561">
        <v>0</v>
      </c>
      <c r="KL386" s="561">
        <v>0</v>
      </c>
      <c r="KM386" s="561">
        <v>0</v>
      </c>
      <c r="KN386" s="561">
        <v>0</v>
      </c>
      <c r="KO386" s="561">
        <v>0</v>
      </c>
      <c r="KP386" s="561">
        <v>0</v>
      </c>
      <c r="KQ386" s="561">
        <v>0</v>
      </c>
      <c r="KR386" s="561">
        <v>379725.11</v>
      </c>
      <c r="KS386" s="561">
        <v>0</v>
      </c>
      <c r="KT386" s="561">
        <v>-416470.62</v>
      </c>
      <c r="KU386" s="561">
        <v>-36745.51</v>
      </c>
      <c r="KV386" s="561">
        <v>0</v>
      </c>
      <c r="KW386" s="561">
        <v>0</v>
      </c>
      <c r="KX386" s="561">
        <v>0</v>
      </c>
      <c r="KY386" s="561">
        <v>0</v>
      </c>
      <c r="KZ386" s="561">
        <v>33825.879999999997</v>
      </c>
      <c r="LA386" s="561">
        <v>2920</v>
      </c>
      <c r="LB386" s="561">
        <v>0</v>
      </c>
      <c r="LC386" s="561">
        <v>0</v>
      </c>
      <c r="LD386" s="561">
        <v>0</v>
      </c>
      <c r="LE386" s="561">
        <v>0</v>
      </c>
      <c r="LF386" s="561">
        <v>0</v>
      </c>
      <c r="LG386" s="561">
        <v>0</v>
      </c>
      <c r="LH386" s="561">
        <v>0</v>
      </c>
      <c r="LI386" s="561">
        <v>0</v>
      </c>
      <c r="LJ386" s="561">
        <v>0</v>
      </c>
      <c r="LK386" s="561">
        <v>0</v>
      </c>
      <c r="LL386" s="561">
        <v>266303</v>
      </c>
      <c r="LM386" s="561">
        <v>6437</v>
      </c>
      <c r="LN386" s="561">
        <v>0</v>
      </c>
      <c r="LO386" s="561">
        <v>0</v>
      </c>
      <c r="LP386" s="561">
        <v>0</v>
      </c>
      <c r="LQ386" s="561">
        <v>0</v>
      </c>
      <c r="LR386" s="561">
        <v>300128.88</v>
      </c>
      <c r="LS386" s="561">
        <v>9357</v>
      </c>
      <c r="LT386" s="561">
        <v>0</v>
      </c>
      <c r="LU386" s="561">
        <v>0</v>
      </c>
      <c r="LV386" s="561">
        <v>0</v>
      </c>
      <c r="LW386" s="561">
        <v>0</v>
      </c>
      <c r="LX386" s="561">
        <v>0</v>
      </c>
      <c r="LY386" s="561">
        <v>0</v>
      </c>
      <c r="LZ386" s="561">
        <v>0</v>
      </c>
      <c r="MA386" s="561">
        <v>0</v>
      </c>
      <c r="MB386" s="561">
        <v>0</v>
      </c>
      <c r="MC386" s="561">
        <v>0</v>
      </c>
      <c r="MD386" s="561">
        <v>0</v>
      </c>
      <c r="ME386" s="561">
        <v>0</v>
      </c>
      <c r="MF386" s="561">
        <v>0</v>
      </c>
      <c r="MG386" s="561">
        <v>0</v>
      </c>
      <c r="MH386" s="561">
        <v>0</v>
      </c>
      <c r="MI386" s="561">
        <v>0</v>
      </c>
      <c r="MJ386" s="561">
        <v>0</v>
      </c>
      <c r="MK386" s="561">
        <v>0</v>
      </c>
      <c r="ML386" s="561">
        <v>0</v>
      </c>
      <c r="MM386" s="561">
        <v>268615.81</v>
      </c>
      <c r="MN386" s="561">
        <v>27961.56</v>
      </c>
      <c r="MO386" s="561">
        <v>3551.51</v>
      </c>
      <c r="MP386" s="561">
        <v>0</v>
      </c>
      <c r="MQ386" s="561">
        <v>148629.76000000001</v>
      </c>
      <c r="MR386" s="561">
        <v>184810.03</v>
      </c>
      <c r="MS386" s="561">
        <v>0</v>
      </c>
      <c r="MT386" s="561">
        <v>0</v>
      </c>
      <c r="MU386" s="561">
        <v>5570.39</v>
      </c>
      <c r="MV386" s="561">
        <v>4288.87</v>
      </c>
      <c r="MW386" s="561">
        <v>925.67</v>
      </c>
      <c r="MX386" s="561">
        <v>2780.07</v>
      </c>
      <c r="MY386" s="561">
        <v>103684.82</v>
      </c>
      <c r="MZ386" s="561">
        <v>0</v>
      </c>
      <c r="NA386" s="561">
        <v>0</v>
      </c>
      <c r="NB386" s="561">
        <v>2411.38</v>
      </c>
      <c r="NC386" s="561">
        <v>0</v>
      </c>
      <c r="ND386" s="561">
        <v>453100.99</v>
      </c>
      <c r="NE386" s="561">
        <v>0</v>
      </c>
      <c r="NF386" s="561">
        <v>0</v>
      </c>
      <c r="NG386" s="561">
        <v>0</v>
      </c>
      <c r="NH386" s="561">
        <v>0</v>
      </c>
      <c r="NI386" s="561">
        <v>0</v>
      </c>
      <c r="NJ386" s="561">
        <v>0</v>
      </c>
      <c r="NK386" s="561">
        <v>0</v>
      </c>
      <c r="NL386" s="561">
        <v>0</v>
      </c>
      <c r="NM386" s="561">
        <v>0</v>
      </c>
      <c r="NN386" s="561">
        <v>0</v>
      </c>
      <c r="NO386" s="561">
        <v>0</v>
      </c>
      <c r="NP386" s="561">
        <v>0</v>
      </c>
      <c r="NQ386" s="561">
        <v>0</v>
      </c>
      <c r="NR386" s="561">
        <v>0</v>
      </c>
      <c r="NS386" s="561">
        <v>0</v>
      </c>
      <c r="NT386" s="561">
        <v>0</v>
      </c>
      <c r="NU386" s="561">
        <v>0</v>
      </c>
      <c r="NV386" s="561">
        <v>0</v>
      </c>
      <c r="NW386" s="561">
        <v>0</v>
      </c>
      <c r="NX386" s="561">
        <v>0</v>
      </c>
      <c r="NY386" s="561">
        <v>0</v>
      </c>
      <c r="NZ386" s="561">
        <v>0</v>
      </c>
      <c r="OA386" s="561">
        <v>0</v>
      </c>
      <c r="OB386" s="561">
        <v>0</v>
      </c>
      <c r="OC386" s="561">
        <v>0</v>
      </c>
      <c r="OD386" s="561">
        <v>0</v>
      </c>
      <c r="OE386" s="561">
        <v>0</v>
      </c>
      <c r="OF386" s="561">
        <v>0</v>
      </c>
      <c r="OG386" s="561">
        <v>0</v>
      </c>
      <c r="OH386" s="561">
        <v>0</v>
      </c>
      <c r="OI386" s="561">
        <v>0</v>
      </c>
      <c r="OJ386" s="561">
        <v>0</v>
      </c>
      <c r="OK386" s="561">
        <v>0</v>
      </c>
      <c r="OL386" s="561">
        <v>0</v>
      </c>
      <c r="OM386" s="561">
        <v>0</v>
      </c>
      <c r="ON386" s="561">
        <v>0</v>
      </c>
      <c r="OO386" s="561">
        <v>0</v>
      </c>
      <c r="OP386" s="561">
        <v>0</v>
      </c>
      <c r="OQ386" s="561">
        <v>0</v>
      </c>
      <c r="OR386" s="561">
        <v>0</v>
      </c>
      <c r="OS386" s="561">
        <v>0</v>
      </c>
      <c r="OT386" s="561">
        <v>0</v>
      </c>
      <c r="OU386" s="561">
        <v>0</v>
      </c>
      <c r="OV386" s="561">
        <v>0</v>
      </c>
      <c r="OW386" s="561">
        <v>0</v>
      </c>
      <c r="OX386" s="561">
        <v>0</v>
      </c>
      <c r="OY386" s="561">
        <v>0</v>
      </c>
      <c r="OZ386" s="561">
        <v>0</v>
      </c>
      <c r="PA386" s="561">
        <v>0</v>
      </c>
      <c r="PB386" s="561">
        <v>0</v>
      </c>
      <c r="PC386" s="561">
        <v>0</v>
      </c>
      <c r="PD386" s="561">
        <v>0</v>
      </c>
      <c r="PE386" s="561">
        <v>0</v>
      </c>
      <c r="PF386" s="561">
        <v>0</v>
      </c>
      <c r="PG386" s="561">
        <v>0</v>
      </c>
      <c r="PH386" s="561">
        <v>0</v>
      </c>
      <c r="PI386" s="561">
        <v>0</v>
      </c>
      <c r="PJ386" s="561">
        <v>0</v>
      </c>
    </row>
    <row r="387" spans="1:426" ht="14" x14ac:dyDescent="0.3">
      <c r="A387" t="s">
        <v>3602</v>
      </c>
      <c r="B387" t="s">
        <v>3603</v>
      </c>
      <c r="C387" t="s">
        <v>3604</v>
      </c>
      <c r="E387" t="s">
        <v>2466</v>
      </c>
      <c r="F387" s="561">
        <v>0</v>
      </c>
      <c r="G387" s="561">
        <v>0</v>
      </c>
      <c r="H387" s="561">
        <v>0</v>
      </c>
      <c r="I387" s="561">
        <v>0</v>
      </c>
      <c r="J387" s="561">
        <v>0</v>
      </c>
      <c r="K387" s="561">
        <v>0</v>
      </c>
      <c r="L387" s="561">
        <v>0</v>
      </c>
      <c r="M387" s="561">
        <v>0</v>
      </c>
      <c r="N387" s="561">
        <v>0</v>
      </c>
      <c r="O387" s="561">
        <v>0</v>
      </c>
      <c r="P387" s="561">
        <v>0</v>
      </c>
      <c r="Q387" s="561">
        <v>0</v>
      </c>
      <c r="R387" s="561">
        <v>0</v>
      </c>
      <c r="S387" s="561">
        <v>0</v>
      </c>
      <c r="T387" s="561">
        <v>0</v>
      </c>
      <c r="U387" s="561">
        <v>0</v>
      </c>
      <c r="V387" s="561">
        <v>0</v>
      </c>
      <c r="W387" s="561">
        <v>0</v>
      </c>
      <c r="X387" s="561">
        <v>0</v>
      </c>
      <c r="Y387" s="561">
        <v>0</v>
      </c>
      <c r="Z387" s="561">
        <v>0</v>
      </c>
      <c r="AA387" s="561">
        <v>0</v>
      </c>
      <c r="AB387" s="561">
        <v>0</v>
      </c>
      <c r="AC387" s="561">
        <v>0</v>
      </c>
      <c r="AD387" s="561">
        <v>0</v>
      </c>
      <c r="AE387" s="561">
        <v>0</v>
      </c>
      <c r="AF387" s="561">
        <v>0</v>
      </c>
      <c r="AG387" s="561">
        <v>0</v>
      </c>
      <c r="AH387" s="561">
        <v>0</v>
      </c>
      <c r="AI387" s="561">
        <v>0</v>
      </c>
      <c r="AJ387" s="561">
        <v>0</v>
      </c>
      <c r="AK387" s="561">
        <v>0</v>
      </c>
      <c r="AL387" s="561">
        <v>0</v>
      </c>
      <c r="AM387" s="561">
        <v>0</v>
      </c>
      <c r="AN387" s="561">
        <v>0</v>
      </c>
      <c r="AO387" s="561">
        <v>0</v>
      </c>
      <c r="AP387" s="561">
        <v>0</v>
      </c>
      <c r="AQ387" s="561">
        <v>0</v>
      </c>
      <c r="AR387" s="561">
        <v>0</v>
      </c>
      <c r="AS387" s="561">
        <v>0</v>
      </c>
      <c r="AT387" s="561">
        <v>0</v>
      </c>
      <c r="AU387" s="561">
        <v>0</v>
      </c>
      <c r="AV387" s="561">
        <v>0</v>
      </c>
      <c r="AW387" s="561">
        <v>0</v>
      </c>
      <c r="AX387" s="561">
        <v>0</v>
      </c>
      <c r="AY387" s="561">
        <v>0</v>
      </c>
      <c r="AZ387" s="561">
        <v>0</v>
      </c>
      <c r="BA387" s="561">
        <v>0</v>
      </c>
      <c r="BB387" s="561">
        <v>0</v>
      </c>
      <c r="BC387" s="561">
        <v>0</v>
      </c>
      <c r="BD387" s="561">
        <v>0</v>
      </c>
      <c r="BE387" s="561">
        <v>0</v>
      </c>
      <c r="BF387" s="561">
        <v>0</v>
      </c>
      <c r="BG387" s="561">
        <v>0</v>
      </c>
      <c r="BH387" s="561">
        <v>0</v>
      </c>
      <c r="BI387" s="561">
        <v>0</v>
      </c>
      <c r="BJ387" s="561">
        <v>0</v>
      </c>
      <c r="BK387" s="561">
        <v>0</v>
      </c>
      <c r="BL387" s="561">
        <v>0</v>
      </c>
      <c r="BM387" s="561">
        <v>0</v>
      </c>
      <c r="BN387" s="561">
        <v>0</v>
      </c>
      <c r="BO387" s="561">
        <v>0</v>
      </c>
      <c r="BP387" s="561">
        <v>0</v>
      </c>
      <c r="BQ387" s="561">
        <v>0</v>
      </c>
      <c r="BR387" s="561">
        <v>0</v>
      </c>
      <c r="BS387" s="561">
        <v>0</v>
      </c>
      <c r="BT387" s="561">
        <v>0</v>
      </c>
      <c r="BU387" s="561">
        <v>0</v>
      </c>
      <c r="BV387" s="561">
        <v>0</v>
      </c>
      <c r="BW387" s="561">
        <v>0</v>
      </c>
      <c r="BX387" s="561">
        <v>0</v>
      </c>
      <c r="BY387" s="561">
        <v>0</v>
      </c>
      <c r="BZ387" s="561">
        <v>0</v>
      </c>
      <c r="CA387" s="561">
        <v>0</v>
      </c>
      <c r="CB387" s="561">
        <v>0</v>
      </c>
      <c r="CC387" s="561">
        <v>0</v>
      </c>
      <c r="CD387" s="561">
        <v>0</v>
      </c>
      <c r="CE387" s="561">
        <v>0</v>
      </c>
      <c r="CF387" s="561">
        <v>0</v>
      </c>
      <c r="CG387" s="561">
        <v>0</v>
      </c>
      <c r="CH387" s="561">
        <v>0</v>
      </c>
      <c r="CI387" s="561">
        <v>0</v>
      </c>
      <c r="CJ387" s="561">
        <v>0</v>
      </c>
      <c r="CK387" s="561">
        <v>0</v>
      </c>
      <c r="CL387" s="561">
        <v>0</v>
      </c>
      <c r="CM387" s="561">
        <v>0</v>
      </c>
      <c r="CN387" s="561">
        <v>0</v>
      </c>
      <c r="CO387" s="561">
        <v>0</v>
      </c>
      <c r="CP387" s="561">
        <v>0</v>
      </c>
      <c r="CQ387" s="561">
        <v>0</v>
      </c>
      <c r="CR387" s="561">
        <v>0</v>
      </c>
      <c r="CS387" s="561">
        <v>0</v>
      </c>
      <c r="CT387" s="561">
        <v>0</v>
      </c>
      <c r="CU387" s="561">
        <v>0</v>
      </c>
      <c r="CV387" s="561">
        <v>0</v>
      </c>
      <c r="CW387" s="561">
        <v>0</v>
      </c>
      <c r="CX387" s="561">
        <v>0</v>
      </c>
      <c r="CY387" s="561">
        <v>0</v>
      </c>
      <c r="CZ387" s="561">
        <v>0</v>
      </c>
      <c r="DA387" s="561">
        <v>0</v>
      </c>
      <c r="DB387" s="561">
        <v>0</v>
      </c>
      <c r="DC387" s="561">
        <v>0</v>
      </c>
      <c r="DD387" s="561">
        <v>0</v>
      </c>
      <c r="DE387" s="561">
        <v>0</v>
      </c>
      <c r="DF387" s="561">
        <v>0</v>
      </c>
      <c r="DG387" s="561">
        <v>0</v>
      </c>
      <c r="DH387" s="561">
        <v>0</v>
      </c>
      <c r="DI387" s="561">
        <v>0</v>
      </c>
      <c r="DJ387" s="561">
        <v>0</v>
      </c>
      <c r="DK387" s="561">
        <v>0</v>
      </c>
      <c r="DL387" s="561">
        <v>0</v>
      </c>
      <c r="DM387" s="561">
        <v>0</v>
      </c>
      <c r="DN387" s="561">
        <v>0</v>
      </c>
      <c r="DO387" s="561">
        <v>0</v>
      </c>
      <c r="DP387" s="561">
        <v>0</v>
      </c>
      <c r="DQ387" s="561">
        <v>0</v>
      </c>
      <c r="DR387" s="561">
        <v>0</v>
      </c>
      <c r="DS387" s="561">
        <v>0</v>
      </c>
      <c r="DT387" s="561">
        <v>0</v>
      </c>
      <c r="DU387" s="561">
        <v>0</v>
      </c>
      <c r="DV387" s="561">
        <v>0</v>
      </c>
      <c r="DW387" s="561">
        <v>0</v>
      </c>
      <c r="DX387" s="561">
        <v>0</v>
      </c>
      <c r="DY387" s="561">
        <v>0</v>
      </c>
      <c r="DZ387" s="561">
        <v>0</v>
      </c>
      <c r="EA387" s="561">
        <v>0</v>
      </c>
      <c r="EB387" s="561">
        <v>0</v>
      </c>
      <c r="EC387" s="561">
        <v>0</v>
      </c>
      <c r="ED387" s="561">
        <v>0</v>
      </c>
      <c r="EE387" s="561">
        <v>0</v>
      </c>
      <c r="EF387" s="561">
        <v>0</v>
      </c>
      <c r="EG387" s="561">
        <v>0</v>
      </c>
      <c r="EH387" s="561">
        <v>0</v>
      </c>
      <c r="EI387" s="561">
        <v>0</v>
      </c>
      <c r="EJ387" s="561">
        <v>0</v>
      </c>
      <c r="EK387" s="561">
        <v>0</v>
      </c>
      <c r="EL387" s="561">
        <v>0</v>
      </c>
      <c r="EM387" s="561">
        <v>0</v>
      </c>
      <c r="EN387" s="561">
        <v>0</v>
      </c>
      <c r="EO387" s="561">
        <v>0</v>
      </c>
      <c r="EP387" s="561">
        <v>0</v>
      </c>
      <c r="EQ387" s="561">
        <v>0</v>
      </c>
      <c r="ER387" s="561">
        <v>0</v>
      </c>
      <c r="ES387" s="561" t="s">
        <v>4565</v>
      </c>
      <c r="ET387" s="561">
        <v>0</v>
      </c>
      <c r="EU387" s="561">
        <v>0</v>
      </c>
      <c r="EV387" s="561">
        <v>0</v>
      </c>
      <c r="EW387" s="561">
        <v>0</v>
      </c>
      <c r="EX387" s="561">
        <v>0</v>
      </c>
      <c r="EY387" s="561">
        <v>0</v>
      </c>
      <c r="EZ387" s="561">
        <v>0</v>
      </c>
      <c r="FA387" s="561">
        <v>0</v>
      </c>
      <c r="FB387" s="561">
        <v>0</v>
      </c>
      <c r="FC387" s="561">
        <v>0</v>
      </c>
      <c r="FD387" s="561">
        <v>0</v>
      </c>
      <c r="FE387" s="561">
        <v>0</v>
      </c>
      <c r="FF387" s="561">
        <v>0</v>
      </c>
      <c r="FG387" s="561">
        <v>0</v>
      </c>
      <c r="FH387" s="561">
        <v>0</v>
      </c>
      <c r="FI387" s="561">
        <v>0</v>
      </c>
      <c r="FJ387" s="561">
        <v>0</v>
      </c>
      <c r="FK387" s="561">
        <v>0</v>
      </c>
      <c r="FL387" s="561">
        <v>0</v>
      </c>
      <c r="FM387" s="561">
        <v>0</v>
      </c>
      <c r="FN387" s="561">
        <v>0</v>
      </c>
      <c r="FO387" s="561">
        <v>0</v>
      </c>
      <c r="FP387" s="561">
        <v>0</v>
      </c>
      <c r="FQ387" s="561">
        <v>0</v>
      </c>
      <c r="FR387" s="561">
        <v>0</v>
      </c>
      <c r="FS387" s="561">
        <v>0</v>
      </c>
      <c r="FT387" s="561">
        <v>0</v>
      </c>
      <c r="FU387" s="561">
        <v>0</v>
      </c>
      <c r="FV387" s="561">
        <v>0</v>
      </c>
      <c r="FW387" s="561">
        <v>0</v>
      </c>
      <c r="FX387" s="561">
        <v>0</v>
      </c>
      <c r="FY387" s="561">
        <v>0</v>
      </c>
      <c r="FZ387" s="561">
        <v>0</v>
      </c>
      <c r="GA387" s="561">
        <v>0</v>
      </c>
      <c r="GB387" s="561">
        <v>0</v>
      </c>
      <c r="GC387" s="561">
        <v>0</v>
      </c>
      <c r="GD387" s="561">
        <v>0</v>
      </c>
      <c r="GE387" s="561">
        <v>0</v>
      </c>
      <c r="GF387" s="561">
        <v>0</v>
      </c>
      <c r="GG387" s="561">
        <v>0</v>
      </c>
      <c r="GH387" s="561">
        <v>0</v>
      </c>
      <c r="GI387" s="561">
        <v>0</v>
      </c>
      <c r="GJ387" s="561">
        <v>0</v>
      </c>
      <c r="GK387" s="561">
        <v>0</v>
      </c>
      <c r="GL387" s="561">
        <v>0</v>
      </c>
      <c r="GM387" s="561">
        <v>0</v>
      </c>
      <c r="GN387" s="561">
        <v>0</v>
      </c>
      <c r="GO387" s="561">
        <v>0</v>
      </c>
      <c r="GP387" s="561">
        <v>0</v>
      </c>
      <c r="GQ387" s="561">
        <v>0</v>
      </c>
      <c r="GR387" s="561">
        <v>0</v>
      </c>
      <c r="GS387" s="561">
        <v>0</v>
      </c>
      <c r="GT387" s="561">
        <v>0</v>
      </c>
      <c r="GU387" s="561">
        <v>0</v>
      </c>
      <c r="GV387" s="561">
        <v>0</v>
      </c>
      <c r="GW387" s="561">
        <v>0</v>
      </c>
      <c r="GX387" s="561">
        <v>0</v>
      </c>
      <c r="GY387" s="561">
        <v>0</v>
      </c>
      <c r="GZ387" s="561">
        <v>0</v>
      </c>
      <c r="HA387" s="561">
        <v>0</v>
      </c>
      <c r="HB387" s="561">
        <v>0</v>
      </c>
      <c r="HC387" s="561">
        <v>0</v>
      </c>
      <c r="HD387" s="561">
        <v>0</v>
      </c>
      <c r="HE387" s="561">
        <v>0</v>
      </c>
      <c r="HF387" s="561">
        <v>0</v>
      </c>
      <c r="HG387" s="561">
        <v>0</v>
      </c>
      <c r="HH387" s="561">
        <v>0</v>
      </c>
      <c r="HI387" s="561">
        <v>0</v>
      </c>
      <c r="HJ387" s="561">
        <v>16617</v>
      </c>
      <c r="HK387" s="561">
        <v>113419</v>
      </c>
      <c r="HL387" s="561">
        <v>199</v>
      </c>
      <c r="HM387" s="561">
        <v>130235</v>
      </c>
      <c r="HN387" s="561">
        <v>13</v>
      </c>
      <c r="HO387" s="561">
        <v>2672</v>
      </c>
      <c r="HP387" s="561">
        <v>0</v>
      </c>
      <c r="HQ387" s="561">
        <v>0</v>
      </c>
      <c r="HR387" s="561">
        <v>0</v>
      </c>
      <c r="HS387" s="561">
        <v>0</v>
      </c>
      <c r="HT387" s="561">
        <v>0</v>
      </c>
      <c r="HU387" s="561">
        <v>0</v>
      </c>
      <c r="HV387" s="561">
        <v>0</v>
      </c>
      <c r="HW387" s="561">
        <v>0</v>
      </c>
      <c r="HX387" s="561">
        <v>0</v>
      </c>
      <c r="HY387" s="561">
        <v>0</v>
      </c>
      <c r="HZ387" s="561">
        <v>0</v>
      </c>
      <c r="IA387" s="561">
        <v>0</v>
      </c>
      <c r="IB387" s="561">
        <v>0</v>
      </c>
      <c r="IC387" s="561">
        <v>0</v>
      </c>
      <c r="ID387" s="561">
        <v>0</v>
      </c>
      <c r="IE387" s="561">
        <v>0</v>
      </c>
      <c r="IF387" s="561">
        <v>0</v>
      </c>
      <c r="IG387" s="561">
        <v>0</v>
      </c>
      <c r="IH387" s="561">
        <v>0</v>
      </c>
      <c r="II387" s="561">
        <v>2672</v>
      </c>
      <c r="IJ387" s="561">
        <v>0</v>
      </c>
      <c r="IK387" s="561">
        <v>0</v>
      </c>
      <c r="IL387" s="561">
        <v>0</v>
      </c>
      <c r="IM387" s="561">
        <v>0</v>
      </c>
      <c r="IN387" s="561">
        <v>0</v>
      </c>
      <c r="IO387" s="561">
        <v>0</v>
      </c>
      <c r="IP387" s="561">
        <v>0</v>
      </c>
      <c r="IQ387" s="561">
        <v>0</v>
      </c>
      <c r="IR387" s="561">
        <v>0</v>
      </c>
      <c r="IS387" s="561">
        <v>0</v>
      </c>
      <c r="IT387" s="561">
        <v>0</v>
      </c>
      <c r="IU387" s="561">
        <v>0</v>
      </c>
      <c r="IV387" s="561">
        <v>0</v>
      </c>
      <c r="IW387" s="561">
        <v>0</v>
      </c>
      <c r="IX387" s="561">
        <v>0</v>
      </c>
      <c r="IY387" s="561">
        <v>0</v>
      </c>
      <c r="IZ387" s="561">
        <v>0</v>
      </c>
      <c r="JA387" s="561">
        <v>0</v>
      </c>
      <c r="JB387" s="561">
        <v>130235</v>
      </c>
      <c r="JC387" s="561">
        <v>2672</v>
      </c>
      <c r="JD387" s="561">
        <v>0</v>
      </c>
      <c r="JE387" s="561">
        <v>132907</v>
      </c>
      <c r="JF387" s="561">
        <v>0</v>
      </c>
      <c r="JG387" s="561">
        <v>0</v>
      </c>
      <c r="JH387" s="561">
        <v>0</v>
      </c>
      <c r="JI387" s="561">
        <v>0</v>
      </c>
      <c r="JJ387" s="561">
        <v>0</v>
      </c>
      <c r="JK387" s="561">
        <v>0</v>
      </c>
      <c r="JL387" s="561">
        <v>0</v>
      </c>
      <c r="JM387" s="561">
        <v>0</v>
      </c>
      <c r="JN387" s="561">
        <v>0</v>
      </c>
      <c r="JO387" s="561">
        <v>405</v>
      </c>
      <c r="JP387" s="561">
        <v>0</v>
      </c>
      <c r="JQ387" s="561">
        <v>0</v>
      </c>
      <c r="JR387" s="561">
        <v>0</v>
      </c>
      <c r="JS387" s="561">
        <v>0</v>
      </c>
      <c r="JT387" s="561">
        <v>-55</v>
      </c>
      <c r="JU387" s="561">
        <v>0</v>
      </c>
      <c r="JV387" s="561">
        <v>133257</v>
      </c>
      <c r="JW387" s="561">
        <v>0</v>
      </c>
      <c r="JX387" s="561">
        <v>5512</v>
      </c>
      <c r="JY387" s="561">
        <v>0</v>
      </c>
      <c r="JZ387" s="561">
        <v>0</v>
      </c>
      <c r="KA387" s="561">
        <v>0</v>
      </c>
      <c r="KB387" s="561">
        <v>10</v>
      </c>
      <c r="KC387" s="561">
        <v>1225</v>
      </c>
      <c r="KD387" s="561">
        <v>31</v>
      </c>
      <c r="KE387" s="561">
        <v>1725</v>
      </c>
      <c r="KF387" s="561">
        <v>0</v>
      </c>
      <c r="KG387" s="561">
        <v>141760</v>
      </c>
      <c r="KH387" s="561">
        <v>-2078</v>
      </c>
      <c r="KI387" s="561">
        <v>0</v>
      </c>
      <c r="KJ387" s="561">
        <v>0</v>
      </c>
      <c r="KK387" s="561">
        <v>0</v>
      </c>
      <c r="KL387" s="561">
        <v>0</v>
      </c>
      <c r="KM387" s="561">
        <v>0</v>
      </c>
      <c r="KN387" s="561">
        <v>0</v>
      </c>
      <c r="KO387" s="561">
        <v>0</v>
      </c>
      <c r="KP387" s="561">
        <v>0</v>
      </c>
      <c r="KQ387" s="561">
        <v>0</v>
      </c>
      <c r="KR387" s="561">
        <v>139682</v>
      </c>
      <c r="KS387" s="561">
        <v>0</v>
      </c>
      <c r="KT387" s="561">
        <v>-7826</v>
      </c>
      <c r="KU387" s="561">
        <v>131856</v>
      </c>
      <c r="KV387" s="561">
        <v>0</v>
      </c>
      <c r="KW387" s="561">
        <v>0</v>
      </c>
      <c r="KX387" s="561">
        <v>0</v>
      </c>
      <c r="KY387" s="561">
        <v>0</v>
      </c>
      <c r="KZ387" s="561">
        <v>-3975</v>
      </c>
      <c r="LA387" s="561">
        <v>2190</v>
      </c>
      <c r="LB387" s="561">
        <v>-29034</v>
      </c>
      <c r="LC387" s="561">
        <v>0</v>
      </c>
      <c r="LD387" s="561">
        <v>-44786</v>
      </c>
      <c r="LE387" s="561">
        <v>-32</v>
      </c>
      <c r="LF387" s="561">
        <v>0</v>
      </c>
      <c r="LG387" s="561">
        <v>56219</v>
      </c>
      <c r="LH387" s="561">
        <v>0</v>
      </c>
      <c r="LI387" s="561">
        <v>0</v>
      </c>
      <c r="LJ387" s="561">
        <v>0</v>
      </c>
      <c r="LK387" s="561">
        <v>0</v>
      </c>
      <c r="LL387" s="561">
        <v>24036</v>
      </c>
      <c r="LM387" s="561">
        <v>4002</v>
      </c>
      <c r="LN387" s="561">
        <v>0</v>
      </c>
      <c r="LO387" s="561">
        <v>0</v>
      </c>
      <c r="LP387" s="561">
        <v>0</v>
      </c>
      <c r="LQ387" s="561">
        <v>0</v>
      </c>
      <c r="LR387" s="561">
        <v>20061</v>
      </c>
      <c r="LS387" s="561">
        <v>6192</v>
      </c>
      <c r="LT387" s="561">
        <v>0</v>
      </c>
      <c r="LU387" s="561">
        <v>4439</v>
      </c>
      <c r="LV387" s="561">
        <v>0</v>
      </c>
      <c r="LW387" s="561">
        <v>432</v>
      </c>
      <c r="LX387" s="561">
        <v>-117</v>
      </c>
      <c r="LY387" s="561">
        <v>0</v>
      </c>
      <c r="LZ387" s="561">
        <v>4754</v>
      </c>
      <c r="MA387" s="561">
        <v>0</v>
      </c>
      <c r="MB387" s="561">
        <v>0</v>
      </c>
      <c r="MC387" s="561">
        <v>0</v>
      </c>
      <c r="MD387" s="561">
        <v>0</v>
      </c>
      <c r="ME387" s="561">
        <v>0</v>
      </c>
      <c r="MF387" s="561">
        <v>0</v>
      </c>
      <c r="MG387" s="561">
        <v>0</v>
      </c>
      <c r="MH387" s="561">
        <v>0</v>
      </c>
      <c r="MI387" s="561">
        <v>0</v>
      </c>
      <c r="MJ387" s="561">
        <v>0</v>
      </c>
      <c r="MK387" s="561">
        <v>0</v>
      </c>
      <c r="ML387" s="561">
        <v>0</v>
      </c>
      <c r="MM387" s="561">
        <v>16651</v>
      </c>
      <c r="MN387" s="561">
        <v>3410</v>
      </c>
      <c r="MO387" s="561">
        <v>0</v>
      </c>
      <c r="MP387" s="561">
        <v>0</v>
      </c>
      <c r="MQ387" s="561">
        <v>0</v>
      </c>
      <c r="MR387" s="561">
        <v>0</v>
      </c>
      <c r="MS387" s="561">
        <v>0</v>
      </c>
      <c r="MT387" s="561">
        <v>0</v>
      </c>
      <c r="MU387" s="561">
        <v>0</v>
      </c>
      <c r="MV387" s="561">
        <v>0</v>
      </c>
      <c r="MW387" s="561">
        <v>0</v>
      </c>
      <c r="MX387" s="561">
        <v>0</v>
      </c>
      <c r="MY387" s="561">
        <v>0</v>
      </c>
      <c r="MZ387" s="561">
        <v>0</v>
      </c>
      <c r="NA387" s="561">
        <v>130235</v>
      </c>
      <c r="NB387" s="561">
        <v>2672</v>
      </c>
      <c r="NC387" s="561">
        <v>0</v>
      </c>
      <c r="ND387" s="561">
        <v>132907</v>
      </c>
      <c r="NE387" s="561">
        <v>0</v>
      </c>
      <c r="NF387" s="561">
        <v>0</v>
      </c>
      <c r="NG387" s="561">
        <v>0</v>
      </c>
      <c r="NH387" s="561">
        <v>0</v>
      </c>
      <c r="NI387" s="561">
        <v>0</v>
      </c>
      <c r="NJ387" s="561">
        <v>0</v>
      </c>
      <c r="NK387" s="561">
        <v>0</v>
      </c>
      <c r="NL387" s="561">
        <v>0</v>
      </c>
      <c r="NM387" s="561">
        <v>0</v>
      </c>
      <c r="NN387" s="561">
        <v>0</v>
      </c>
      <c r="NO387" s="561">
        <v>0</v>
      </c>
      <c r="NP387" s="561">
        <v>0</v>
      </c>
      <c r="NQ387" s="561">
        <v>0</v>
      </c>
      <c r="NR387" s="561">
        <v>0</v>
      </c>
      <c r="NS387" s="561">
        <v>0</v>
      </c>
      <c r="NT387" s="561">
        <v>0</v>
      </c>
      <c r="NU387" s="561">
        <v>0</v>
      </c>
      <c r="NV387" s="561">
        <v>0</v>
      </c>
      <c r="NW387" s="561">
        <v>0</v>
      </c>
      <c r="NX387" s="561">
        <v>0</v>
      </c>
      <c r="NY387" s="561">
        <v>0</v>
      </c>
      <c r="NZ387" s="561">
        <v>0</v>
      </c>
      <c r="OA387" s="561">
        <v>0</v>
      </c>
      <c r="OB387" s="561">
        <v>0</v>
      </c>
      <c r="OC387" s="561">
        <v>0</v>
      </c>
      <c r="OD387" s="561">
        <v>0</v>
      </c>
      <c r="OE387" s="561">
        <v>0</v>
      </c>
      <c r="OF387" s="561">
        <v>0</v>
      </c>
      <c r="OG387" s="561">
        <v>0</v>
      </c>
      <c r="OH387" s="561">
        <v>0</v>
      </c>
      <c r="OI387" s="561">
        <v>0</v>
      </c>
      <c r="OJ387" s="561">
        <v>0</v>
      </c>
      <c r="OK387" s="561">
        <v>0</v>
      </c>
      <c r="OL387" s="561">
        <v>0</v>
      </c>
      <c r="OM387" s="561">
        <v>0</v>
      </c>
      <c r="ON387" s="561">
        <v>0</v>
      </c>
      <c r="OO387" s="561">
        <v>0</v>
      </c>
      <c r="OP387" s="561">
        <v>0</v>
      </c>
      <c r="OQ387" s="561">
        <v>0</v>
      </c>
      <c r="OR387" s="561">
        <v>0</v>
      </c>
      <c r="OS387" s="561">
        <v>0</v>
      </c>
      <c r="OT387" s="561">
        <v>0</v>
      </c>
      <c r="OU387" s="561">
        <v>0</v>
      </c>
      <c r="OV387" s="561">
        <v>0</v>
      </c>
      <c r="OW387" s="561">
        <v>0</v>
      </c>
      <c r="OX387" s="561">
        <v>0</v>
      </c>
      <c r="OY387" s="561">
        <v>0</v>
      </c>
      <c r="OZ387" s="561">
        <v>0</v>
      </c>
      <c r="PA387" s="561">
        <v>0</v>
      </c>
      <c r="PB387" s="561">
        <v>0</v>
      </c>
      <c r="PC387" s="561">
        <v>0</v>
      </c>
      <c r="PD387" s="561">
        <v>0</v>
      </c>
      <c r="PE387" s="561">
        <v>0</v>
      </c>
      <c r="PF387" s="561">
        <v>0</v>
      </c>
      <c r="PG387" s="561">
        <v>0</v>
      </c>
      <c r="PH387" s="561">
        <v>0</v>
      </c>
      <c r="PI387" s="561">
        <v>0</v>
      </c>
      <c r="PJ387" s="561">
        <v>0</v>
      </c>
    </row>
    <row r="388" spans="1:426" ht="14" x14ac:dyDescent="0.3">
      <c r="A388" t="s">
        <v>3605</v>
      </c>
      <c r="B388" t="s">
        <v>3606</v>
      </c>
      <c r="C388" t="s">
        <v>3607</v>
      </c>
      <c r="E388" t="s">
        <v>2466</v>
      </c>
      <c r="F388" s="561">
        <v>0</v>
      </c>
      <c r="G388" s="561">
        <v>0</v>
      </c>
      <c r="H388" s="561">
        <v>0</v>
      </c>
      <c r="I388" s="561">
        <v>0</v>
      </c>
      <c r="J388" s="561">
        <v>0</v>
      </c>
      <c r="K388" s="561">
        <v>0</v>
      </c>
      <c r="L388" s="561">
        <v>0</v>
      </c>
      <c r="M388" s="561">
        <v>0</v>
      </c>
      <c r="N388" s="561">
        <v>0</v>
      </c>
      <c r="O388" s="561">
        <v>0</v>
      </c>
      <c r="P388" s="561">
        <v>0</v>
      </c>
      <c r="Q388" s="561">
        <v>0</v>
      </c>
      <c r="R388" s="561">
        <v>0</v>
      </c>
      <c r="S388" s="561">
        <v>0</v>
      </c>
      <c r="T388" s="561">
        <v>0</v>
      </c>
      <c r="U388" s="561">
        <v>0</v>
      </c>
      <c r="V388" s="561">
        <v>0</v>
      </c>
      <c r="W388" s="561">
        <v>0</v>
      </c>
      <c r="X388" s="561">
        <v>0</v>
      </c>
      <c r="Y388" s="561">
        <v>0</v>
      </c>
      <c r="Z388" s="561">
        <v>0</v>
      </c>
      <c r="AA388" s="561">
        <v>0</v>
      </c>
      <c r="AB388" s="561">
        <v>0</v>
      </c>
      <c r="AC388" s="561">
        <v>0</v>
      </c>
      <c r="AD388" s="561">
        <v>0</v>
      </c>
      <c r="AE388" s="561">
        <v>0</v>
      </c>
      <c r="AF388" s="561">
        <v>0</v>
      </c>
      <c r="AG388" s="561">
        <v>0</v>
      </c>
      <c r="AH388" s="561">
        <v>0</v>
      </c>
      <c r="AI388" s="561">
        <v>0</v>
      </c>
      <c r="AJ388" s="561">
        <v>0</v>
      </c>
      <c r="AK388" s="561">
        <v>0</v>
      </c>
      <c r="AL388" s="561">
        <v>0</v>
      </c>
      <c r="AM388" s="561">
        <v>0</v>
      </c>
      <c r="AN388" s="561">
        <v>0</v>
      </c>
      <c r="AO388" s="561">
        <v>0</v>
      </c>
      <c r="AP388" s="561">
        <v>0</v>
      </c>
      <c r="AQ388" s="561">
        <v>0</v>
      </c>
      <c r="AR388" s="561">
        <v>0</v>
      </c>
      <c r="AS388" s="561">
        <v>0</v>
      </c>
      <c r="AT388" s="561">
        <v>0</v>
      </c>
      <c r="AU388" s="561">
        <v>0</v>
      </c>
      <c r="AV388" s="561">
        <v>0</v>
      </c>
      <c r="AW388" s="561">
        <v>0</v>
      </c>
      <c r="AX388" s="561">
        <v>0</v>
      </c>
      <c r="AY388" s="561">
        <v>0</v>
      </c>
      <c r="AZ388" s="561">
        <v>0</v>
      </c>
      <c r="BA388" s="561">
        <v>0</v>
      </c>
      <c r="BB388" s="561">
        <v>0</v>
      </c>
      <c r="BC388" s="561">
        <v>0</v>
      </c>
      <c r="BD388" s="561">
        <v>0</v>
      </c>
      <c r="BE388" s="561">
        <v>0</v>
      </c>
      <c r="BF388" s="561">
        <v>0</v>
      </c>
      <c r="BG388" s="561">
        <v>0</v>
      </c>
      <c r="BH388" s="561">
        <v>0</v>
      </c>
      <c r="BI388" s="561">
        <v>0</v>
      </c>
      <c r="BJ388" s="561">
        <v>0</v>
      </c>
      <c r="BK388" s="561">
        <v>0</v>
      </c>
      <c r="BL388" s="561">
        <v>0</v>
      </c>
      <c r="BM388" s="561">
        <v>0</v>
      </c>
      <c r="BN388" s="561">
        <v>0</v>
      </c>
      <c r="BO388" s="561">
        <v>0</v>
      </c>
      <c r="BP388" s="561">
        <v>0</v>
      </c>
      <c r="BQ388" s="561">
        <v>0</v>
      </c>
      <c r="BR388" s="561">
        <v>0</v>
      </c>
      <c r="BS388" s="561">
        <v>0</v>
      </c>
      <c r="BT388" s="561">
        <v>0</v>
      </c>
      <c r="BU388" s="561">
        <v>0</v>
      </c>
      <c r="BV388" s="561">
        <v>0</v>
      </c>
      <c r="BW388" s="561">
        <v>0</v>
      </c>
      <c r="BX388" s="561">
        <v>0</v>
      </c>
      <c r="BY388" s="561">
        <v>0</v>
      </c>
      <c r="BZ388" s="561">
        <v>0</v>
      </c>
      <c r="CA388" s="561">
        <v>0</v>
      </c>
      <c r="CB388" s="561">
        <v>0</v>
      </c>
      <c r="CC388" s="561">
        <v>0</v>
      </c>
      <c r="CD388" s="561">
        <v>0</v>
      </c>
      <c r="CE388" s="561">
        <v>0</v>
      </c>
      <c r="CF388" s="561">
        <v>0</v>
      </c>
      <c r="CG388" s="561">
        <v>0</v>
      </c>
      <c r="CH388" s="561">
        <v>0</v>
      </c>
      <c r="CI388" s="561">
        <v>0</v>
      </c>
      <c r="CJ388" s="561">
        <v>0</v>
      </c>
      <c r="CK388" s="561">
        <v>0</v>
      </c>
      <c r="CL388" s="561">
        <v>0</v>
      </c>
      <c r="CM388" s="561">
        <v>0</v>
      </c>
      <c r="CN388" s="561">
        <v>0</v>
      </c>
      <c r="CO388" s="561">
        <v>0</v>
      </c>
      <c r="CP388" s="561">
        <v>0</v>
      </c>
      <c r="CQ388" s="561">
        <v>0</v>
      </c>
      <c r="CR388" s="561">
        <v>0</v>
      </c>
      <c r="CS388" s="561">
        <v>0</v>
      </c>
      <c r="CT388" s="561">
        <v>0</v>
      </c>
      <c r="CU388" s="561">
        <v>0</v>
      </c>
      <c r="CV388" s="561">
        <v>0</v>
      </c>
      <c r="CW388" s="561">
        <v>0</v>
      </c>
      <c r="CX388" s="561">
        <v>0</v>
      </c>
      <c r="CY388" s="561">
        <v>0</v>
      </c>
      <c r="CZ388" s="561">
        <v>0</v>
      </c>
      <c r="DA388" s="561">
        <v>0</v>
      </c>
      <c r="DB388" s="561">
        <v>0</v>
      </c>
      <c r="DC388" s="561">
        <v>0</v>
      </c>
      <c r="DD388" s="561">
        <v>0</v>
      </c>
      <c r="DE388" s="561">
        <v>0</v>
      </c>
      <c r="DF388" s="561">
        <v>0</v>
      </c>
      <c r="DG388" s="561">
        <v>0</v>
      </c>
      <c r="DH388" s="561">
        <v>0</v>
      </c>
      <c r="DI388" s="561">
        <v>0</v>
      </c>
      <c r="DJ388" s="561">
        <v>0</v>
      </c>
      <c r="DK388" s="561">
        <v>0</v>
      </c>
      <c r="DL388" s="561">
        <v>0</v>
      </c>
      <c r="DM388" s="561">
        <v>0</v>
      </c>
      <c r="DN388" s="561">
        <v>0</v>
      </c>
      <c r="DO388" s="561">
        <v>0</v>
      </c>
      <c r="DP388" s="561">
        <v>0</v>
      </c>
      <c r="DQ388" s="561">
        <v>0</v>
      </c>
      <c r="DR388" s="561">
        <v>0</v>
      </c>
      <c r="DS388" s="561">
        <v>0</v>
      </c>
      <c r="DT388" s="561">
        <v>0</v>
      </c>
      <c r="DU388" s="561">
        <v>0</v>
      </c>
      <c r="DV388" s="561">
        <v>0</v>
      </c>
      <c r="DW388" s="561">
        <v>0</v>
      </c>
      <c r="DX388" s="561">
        <v>0</v>
      </c>
      <c r="DY388" s="561">
        <v>0</v>
      </c>
      <c r="DZ388" s="561">
        <v>0</v>
      </c>
      <c r="EA388" s="561">
        <v>0</v>
      </c>
      <c r="EB388" s="561">
        <v>0</v>
      </c>
      <c r="EC388" s="561">
        <v>0</v>
      </c>
      <c r="ED388" s="561">
        <v>0</v>
      </c>
      <c r="EE388" s="561">
        <v>0</v>
      </c>
      <c r="EF388" s="561">
        <v>0</v>
      </c>
      <c r="EG388" s="561">
        <v>0</v>
      </c>
      <c r="EH388" s="561">
        <v>0</v>
      </c>
      <c r="EI388" s="561">
        <v>0</v>
      </c>
      <c r="EJ388" s="561">
        <v>0</v>
      </c>
      <c r="EK388" s="561">
        <v>0</v>
      </c>
      <c r="EL388" s="561">
        <v>0</v>
      </c>
      <c r="EM388" s="561">
        <v>0</v>
      </c>
      <c r="EN388" s="561">
        <v>0</v>
      </c>
      <c r="EO388" s="561">
        <v>0</v>
      </c>
      <c r="EP388" s="561">
        <v>0</v>
      </c>
      <c r="EQ388" s="561">
        <v>0</v>
      </c>
      <c r="ER388" s="561">
        <v>0</v>
      </c>
      <c r="ES388" s="561" t="s">
        <v>4565</v>
      </c>
      <c r="ET388" s="561">
        <v>0</v>
      </c>
      <c r="EU388" s="561">
        <v>0</v>
      </c>
      <c r="EV388" s="561">
        <v>0</v>
      </c>
      <c r="EW388" s="561">
        <v>0</v>
      </c>
      <c r="EX388" s="561">
        <v>0</v>
      </c>
      <c r="EY388" s="561">
        <v>0</v>
      </c>
      <c r="EZ388" s="561">
        <v>0</v>
      </c>
      <c r="FA388" s="561">
        <v>0</v>
      </c>
      <c r="FB388" s="561">
        <v>0</v>
      </c>
      <c r="FC388" s="561">
        <v>0</v>
      </c>
      <c r="FD388" s="561">
        <v>0</v>
      </c>
      <c r="FE388" s="561">
        <v>0</v>
      </c>
      <c r="FF388" s="561">
        <v>0</v>
      </c>
      <c r="FG388" s="561">
        <v>0</v>
      </c>
      <c r="FH388" s="561">
        <v>0</v>
      </c>
      <c r="FI388" s="561">
        <v>0</v>
      </c>
      <c r="FJ388" s="561">
        <v>0</v>
      </c>
      <c r="FK388" s="561">
        <v>0</v>
      </c>
      <c r="FL388" s="561">
        <v>0</v>
      </c>
      <c r="FM388" s="561">
        <v>0</v>
      </c>
      <c r="FN388" s="561">
        <v>0</v>
      </c>
      <c r="FO388" s="561">
        <v>0</v>
      </c>
      <c r="FP388" s="561">
        <v>0</v>
      </c>
      <c r="FQ388" s="561">
        <v>0</v>
      </c>
      <c r="FR388" s="561">
        <v>0</v>
      </c>
      <c r="FS388" s="561">
        <v>0</v>
      </c>
      <c r="FT388" s="561">
        <v>0</v>
      </c>
      <c r="FU388" s="561">
        <v>0</v>
      </c>
      <c r="FV388" s="561">
        <v>0</v>
      </c>
      <c r="FW388" s="561">
        <v>0</v>
      </c>
      <c r="FX388" s="561">
        <v>0</v>
      </c>
      <c r="FY388" s="561">
        <v>0</v>
      </c>
      <c r="FZ388" s="561">
        <v>0</v>
      </c>
      <c r="GA388" s="561">
        <v>0</v>
      </c>
      <c r="GB388" s="561">
        <v>0</v>
      </c>
      <c r="GC388" s="561">
        <v>0</v>
      </c>
      <c r="GD388" s="561">
        <v>0</v>
      </c>
      <c r="GE388" s="561">
        <v>0</v>
      </c>
      <c r="GF388" s="561">
        <v>0</v>
      </c>
      <c r="GG388" s="561">
        <v>0</v>
      </c>
      <c r="GH388" s="561">
        <v>0</v>
      </c>
      <c r="GI388" s="561">
        <v>0</v>
      </c>
      <c r="GJ388" s="561">
        <v>0</v>
      </c>
      <c r="GK388" s="561">
        <v>0</v>
      </c>
      <c r="GL388" s="561">
        <v>0</v>
      </c>
      <c r="GM388" s="561">
        <v>0</v>
      </c>
      <c r="GN388" s="561">
        <v>0</v>
      </c>
      <c r="GO388" s="561">
        <v>0</v>
      </c>
      <c r="GP388" s="561">
        <v>0</v>
      </c>
      <c r="GQ388" s="561">
        <v>0</v>
      </c>
      <c r="GR388" s="561">
        <v>0</v>
      </c>
      <c r="GS388" s="561">
        <v>0</v>
      </c>
      <c r="GT388" s="561">
        <v>0</v>
      </c>
      <c r="GU388" s="561">
        <v>0</v>
      </c>
      <c r="GV388" s="561">
        <v>0</v>
      </c>
      <c r="GW388" s="561">
        <v>0</v>
      </c>
      <c r="GX388" s="561">
        <v>0</v>
      </c>
      <c r="GY388" s="561">
        <v>0</v>
      </c>
      <c r="GZ388" s="561">
        <v>0</v>
      </c>
      <c r="HA388" s="561">
        <v>0</v>
      </c>
      <c r="HB388" s="561">
        <v>0</v>
      </c>
      <c r="HC388" s="561">
        <v>0</v>
      </c>
      <c r="HD388" s="561">
        <v>0</v>
      </c>
      <c r="HE388" s="561">
        <v>0</v>
      </c>
      <c r="HF388" s="561">
        <v>0</v>
      </c>
      <c r="HG388" s="561">
        <v>0</v>
      </c>
      <c r="HH388" s="561">
        <v>887667</v>
      </c>
      <c r="HI388" s="561">
        <v>2014</v>
      </c>
      <c r="HJ388" s="561">
        <v>0</v>
      </c>
      <c r="HK388" s="561">
        <v>0</v>
      </c>
      <c r="HL388" s="561">
        <v>0</v>
      </c>
      <c r="HM388" s="561">
        <v>0</v>
      </c>
      <c r="HN388" s="561">
        <v>0</v>
      </c>
      <c r="HO388" s="561">
        <v>3923</v>
      </c>
      <c r="HP388" s="561">
        <v>0</v>
      </c>
      <c r="HQ388" s="561">
        <v>0</v>
      </c>
      <c r="HR388" s="561">
        <v>0</v>
      </c>
      <c r="HS388" s="561">
        <v>0</v>
      </c>
      <c r="HT388" s="561">
        <v>0</v>
      </c>
      <c r="HU388" s="561">
        <v>0</v>
      </c>
      <c r="HV388" s="561">
        <v>0</v>
      </c>
      <c r="HW388" s="561">
        <v>0</v>
      </c>
      <c r="HX388" s="561">
        <v>0</v>
      </c>
      <c r="HY388" s="561">
        <v>0</v>
      </c>
      <c r="HZ388" s="561">
        <v>0</v>
      </c>
      <c r="IA388" s="561">
        <v>0</v>
      </c>
      <c r="IB388" s="561">
        <v>0</v>
      </c>
      <c r="IC388" s="561">
        <v>0</v>
      </c>
      <c r="ID388" s="561">
        <v>0</v>
      </c>
      <c r="IE388" s="561">
        <v>0</v>
      </c>
      <c r="IF388" s="561">
        <v>0</v>
      </c>
      <c r="IG388" s="561">
        <v>0</v>
      </c>
      <c r="IH388" s="561">
        <v>0</v>
      </c>
      <c r="II388" s="561">
        <v>3923</v>
      </c>
      <c r="IJ388" s="561">
        <v>0</v>
      </c>
      <c r="IK388" s="561">
        <v>0</v>
      </c>
      <c r="IL388" s="561">
        <v>0</v>
      </c>
      <c r="IM388" s="561">
        <v>0</v>
      </c>
      <c r="IN388" s="561">
        <v>0</v>
      </c>
      <c r="IO388" s="561">
        <v>0</v>
      </c>
      <c r="IP388" s="561">
        <v>0</v>
      </c>
      <c r="IQ388" s="561">
        <v>0</v>
      </c>
      <c r="IR388" s="561">
        <v>0</v>
      </c>
      <c r="IS388" s="561">
        <v>0</v>
      </c>
      <c r="IT388" s="561">
        <v>0</v>
      </c>
      <c r="IU388" s="561">
        <v>0</v>
      </c>
      <c r="IV388" s="561">
        <v>0</v>
      </c>
      <c r="IW388" s="561">
        <v>0</v>
      </c>
      <c r="IX388" s="561">
        <v>0</v>
      </c>
      <c r="IY388" s="561">
        <v>0</v>
      </c>
      <c r="IZ388" s="561">
        <v>0</v>
      </c>
      <c r="JA388" s="561">
        <v>887667</v>
      </c>
      <c r="JB388" s="561">
        <v>0</v>
      </c>
      <c r="JC388" s="561">
        <v>3923</v>
      </c>
      <c r="JD388" s="561">
        <v>0</v>
      </c>
      <c r="JE388" s="561">
        <v>891590</v>
      </c>
      <c r="JF388" s="561">
        <v>0</v>
      </c>
      <c r="JG388" s="561">
        <v>0</v>
      </c>
      <c r="JH388" s="561">
        <v>0</v>
      </c>
      <c r="JI388" s="561">
        <v>0</v>
      </c>
      <c r="JJ388" s="561">
        <v>0</v>
      </c>
      <c r="JK388" s="561">
        <v>0</v>
      </c>
      <c r="JL388" s="561">
        <v>0</v>
      </c>
      <c r="JM388" s="561">
        <v>0</v>
      </c>
      <c r="JN388" s="561">
        <v>0</v>
      </c>
      <c r="JO388" s="561">
        <v>0</v>
      </c>
      <c r="JP388" s="561">
        <v>0</v>
      </c>
      <c r="JQ388" s="561">
        <v>0</v>
      </c>
      <c r="JR388" s="561">
        <v>0</v>
      </c>
      <c r="JS388" s="561">
        <v>0</v>
      </c>
      <c r="JT388" s="561">
        <v>1263</v>
      </c>
      <c r="JU388" s="561">
        <v>0</v>
      </c>
      <c r="JV388" s="561">
        <v>892853</v>
      </c>
      <c r="JW388" s="561">
        <v>0</v>
      </c>
      <c r="JX388" s="561">
        <v>10359</v>
      </c>
      <c r="JY388" s="561">
        <v>0</v>
      </c>
      <c r="JZ388" s="561">
        <v>0</v>
      </c>
      <c r="KA388" s="561">
        <v>0</v>
      </c>
      <c r="KB388" s="561">
        <v>0</v>
      </c>
      <c r="KC388" s="561">
        <v>6579</v>
      </c>
      <c r="KD388" s="561">
        <v>0</v>
      </c>
      <c r="KE388" s="561">
        <v>2972</v>
      </c>
      <c r="KF388" s="561">
        <v>0</v>
      </c>
      <c r="KG388" s="561">
        <v>912763</v>
      </c>
      <c r="KH388" s="561">
        <v>-8126</v>
      </c>
      <c r="KI388" s="561">
        <v>0</v>
      </c>
      <c r="KJ388" s="561">
        <v>-145</v>
      </c>
      <c r="KK388" s="561">
        <v>0</v>
      </c>
      <c r="KL388" s="561">
        <v>-6829</v>
      </c>
      <c r="KM388" s="561">
        <v>0</v>
      </c>
      <c r="KN388" s="561">
        <v>0</v>
      </c>
      <c r="KO388" s="561">
        <v>0</v>
      </c>
      <c r="KP388" s="561">
        <v>0</v>
      </c>
      <c r="KQ388" s="561">
        <v>0</v>
      </c>
      <c r="KR388" s="561">
        <v>897663</v>
      </c>
      <c r="KS388" s="561">
        <v>0</v>
      </c>
      <c r="KT388" s="561">
        <v>-161116</v>
      </c>
      <c r="KU388" s="561">
        <v>736547</v>
      </c>
      <c r="KV388" s="561">
        <v>0</v>
      </c>
      <c r="KW388" s="561">
        <v>0</v>
      </c>
      <c r="KX388" s="561">
        <v>0</v>
      </c>
      <c r="KY388" s="561">
        <v>0</v>
      </c>
      <c r="KZ388" s="561">
        <v>16832</v>
      </c>
      <c r="LA388" s="561">
        <v>0</v>
      </c>
      <c r="LB388" s="561">
        <v>0</v>
      </c>
      <c r="LC388" s="561">
        <v>-592178</v>
      </c>
      <c r="LD388" s="561">
        <v>0</v>
      </c>
      <c r="LE388" s="561">
        <v>-59</v>
      </c>
      <c r="LF388" s="561">
        <v>0</v>
      </c>
      <c r="LG388" s="561">
        <v>161143</v>
      </c>
      <c r="LH388" s="561">
        <v>0</v>
      </c>
      <c r="LI388" s="561">
        <v>0</v>
      </c>
      <c r="LJ388" s="561">
        <v>0</v>
      </c>
      <c r="LK388" s="561">
        <v>0</v>
      </c>
      <c r="LL388" s="561">
        <v>76838</v>
      </c>
      <c r="LM388" s="561">
        <v>16726</v>
      </c>
      <c r="LN388" s="561">
        <v>0</v>
      </c>
      <c r="LO388" s="561">
        <v>0</v>
      </c>
      <c r="LP388" s="561">
        <v>0</v>
      </c>
      <c r="LQ388" s="561">
        <v>0</v>
      </c>
      <c r="LR388" s="561">
        <v>93670</v>
      </c>
      <c r="LS388" s="561">
        <v>16726</v>
      </c>
      <c r="LT388" s="561">
        <v>0</v>
      </c>
      <c r="LU388" s="561">
        <v>23665</v>
      </c>
      <c r="LV388" s="561">
        <v>0</v>
      </c>
      <c r="LW388" s="561">
        <v>-9828</v>
      </c>
      <c r="LX388" s="561">
        <v>-8424</v>
      </c>
      <c r="LY388" s="561">
        <v>0</v>
      </c>
      <c r="LZ388" s="561">
        <v>5413</v>
      </c>
      <c r="MA388" s="561">
        <v>0</v>
      </c>
      <c r="MB388" s="561">
        <v>0</v>
      </c>
      <c r="MC388" s="561">
        <v>0</v>
      </c>
      <c r="MD388" s="561">
        <v>0</v>
      </c>
      <c r="ME388" s="561">
        <v>0</v>
      </c>
      <c r="MF388" s="561">
        <v>0</v>
      </c>
      <c r="MG388" s="561">
        <v>0</v>
      </c>
      <c r="MH388" s="561">
        <v>0</v>
      </c>
      <c r="MI388" s="561">
        <v>0</v>
      </c>
      <c r="MJ388" s="561">
        <v>0</v>
      </c>
      <c r="MK388" s="561">
        <v>0</v>
      </c>
      <c r="ML388" s="561">
        <v>0</v>
      </c>
      <c r="MM388" s="561">
        <v>64696</v>
      </c>
      <c r="MN388" s="561">
        <v>0</v>
      </c>
      <c r="MO388" s="561">
        <v>28974</v>
      </c>
      <c r="MP388" s="561">
        <v>0</v>
      </c>
      <c r="MQ388" s="561">
        <v>0</v>
      </c>
      <c r="MR388" s="561">
        <v>0</v>
      </c>
      <c r="MS388" s="561">
        <v>0</v>
      </c>
      <c r="MT388" s="561">
        <v>0</v>
      </c>
      <c r="MU388" s="561">
        <v>0</v>
      </c>
      <c r="MV388" s="561">
        <v>0</v>
      </c>
      <c r="MW388" s="561">
        <v>0</v>
      </c>
      <c r="MX388" s="561">
        <v>0</v>
      </c>
      <c r="MY388" s="561">
        <v>0</v>
      </c>
      <c r="MZ388" s="561">
        <v>887667</v>
      </c>
      <c r="NA388" s="561">
        <v>0</v>
      </c>
      <c r="NB388" s="561">
        <v>3923</v>
      </c>
      <c r="NC388" s="561">
        <v>0</v>
      </c>
      <c r="ND388" s="561">
        <v>891590</v>
      </c>
      <c r="NE388" s="561">
        <v>0</v>
      </c>
      <c r="NF388" s="561">
        <v>0</v>
      </c>
      <c r="NG388" s="561">
        <v>0</v>
      </c>
      <c r="NH388" s="561">
        <v>0</v>
      </c>
      <c r="NI388" s="561">
        <v>0</v>
      </c>
      <c r="NJ388" s="561">
        <v>0</v>
      </c>
      <c r="NK388" s="561">
        <v>0</v>
      </c>
      <c r="NL388" s="561">
        <v>0</v>
      </c>
      <c r="NM388" s="561">
        <v>0</v>
      </c>
      <c r="NN388" s="561">
        <v>0</v>
      </c>
      <c r="NO388" s="561">
        <v>0</v>
      </c>
      <c r="NP388" s="561">
        <v>0</v>
      </c>
      <c r="NQ388" s="561">
        <v>0</v>
      </c>
      <c r="NR388" s="561">
        <v>0</v>
      </c>
      <c r="NS388" s="561">
        <v>0</v>
      </c>
      <c r="NT388" s="561">
        <v>0</v>
      </c>
      <c r="NU388" s="561">
        <v>0</v>
      </c>
      <c r="NV388" s="561">
        <v>0</v>
      </c>
      <c r="NW388" s="561">
        <v>0</v>
      </c>
      <c r="NX388" s="561">
        <v>0</v>
      </c>
      <c r="NY388" s="561">
        <v>0</v>
      </c>
      <c r="NZ388" s="561">
        <v>0</v>
      </c>
      <c r="OA388" s="561">
        <v>0</v>
      </c>
      <c r="OB388" s="561">
        <v>0</v>
      </c>
      <c r="OC388" s="561">
        <v>0</v>
      </c>
      <c r="OD388" s="561">
        <v>0</v>
      </c>
      <c r="OE388" s="561">
        <v>0</v>
      </c>
      <c r="OF388" s="561">
        <v>0</v>
      </c>
      <c r="OG388" s="561">
        <v>0</v>
      </c>
      <c r="OH388" s="561">
        <v>0</v>
      </c>
      <c r="OI388" s="561">
        <v>0</v>
      </c>
      <c r="OJ388" s="561">
        <v>0</v>
      </c>
      <c r="OK388" s="561">
        <v>0</v>
      </c>
      <c r="OL388" s="561">
        <v>0</v>
      </c>
      <c r="OM388" s="561">
        <v>0</v>
      </c>
      <c r="ON388" s="561">
        <v>0</v>
      </c>
      <c r="OO388" s="561">
        <v>0</v>
      </c>
      <c r="OP388" s="561">
        <v>0</v>
      </c>
      <c r="OQ388" s="561">
        <v>0</v>
      </c>
      <c r="OR388" s="561">
        <v>0</v>
      </c>
      <c r="OS388" s="561">
        <v>0</v>
      </c>
      <c r="OT388" s="561">
        <v>0</v>
      </c>
      <c r="OU388" s="561">
        <v>0</v>
      </c>
      <c r="OV388" s="561">
        <v>0</v>
      </c>
      <c r="OW388" s="561">
        <v>0</v>
      </c>
      <c r="OX388" s="561">
        <v>0</v>
      </c>
      <c r="OY388" s="561">
        <v>0</v>
      </c>
      <c r="OZ388" s="561">
        <v>0</v>
      </c>
      <c r="PA388" s="561">
        <v>0</v>
      </c>
      <c r="PB388" s="561">
        <v>0</v>
      </c>
      <c r="PC388" s="561">
        <v>0</v>
      </c>
      <c r="PD388" s="561">
        <v>0</v>
      </c>
      <c r="PE388" s="561">
        <v>0</v>
      </c>
      <c r="PF388" s="561">
        <v>0</v>
      </c>
      <c r="PG388" s="561">
        <v>0</v>
      </c>
      <c r="PH388" s="561">
        <v>0</v>
      </c>
      <c r="PI388" s="561">
        <v>0</v>
      </c>
      <c r="PJ388" s="561">
        <v>0</v>
      </c>
    </row>
    <row r="389" spans="1:426" ht="14" x14ac:dyDescent="0.3">
      <c r="A389" t="s">
        <v>3611</v>
      </c>
      <c r="B389" t="s">
        <v>3612</v>
      </c>
      <c r="C389" t="s">
        <v>3613</v>
      </c>
      <c r="E389" t="s">
        <v>385</v>
      </c>
      <c r="F389" s="561">
        <v>45786.32</v>
      </c>
      <c r="G389" s="561">
        <v>100080.22</v>
      </c>
      <c r="H389" s="561">
        <v>18386.84</v>
      </c>
      <c r="I389" s="561">
        <v>51924.35</v>
      </c>
      <c r="J389" s="561">
        <v>3247.25</v>
      </c>
      <c r="K389" s="561">
        <v>33412.160000000003</v>
      </c>
      <c r="L389" s="561">
        <v>252837.14</v>
      </c>
      <c r="M389" s="561">
        <v>2542</v>
      </c>
      <c r="N389" s="561">
        <v>1128.48</v>
      </c>
      <c r="O389" s="561">
        <v>371.22</v>
      </c>
      <c r="P389" s="561">
        <v>4292.3599999999997</v>
      </c>
      <c r="Q389" s="561">
        <v>0</v>
      </c>
      <c r="R389" s="561">
        <v>0</v>
      </c>
      <c r="S389" s="561">
        <v>0</v>
      </c>
      <c r="T389" s="561">
        <v>129.04</v>
      </c>
      <c r="U389" s="561">
        <v>1255.83</v>
      </c>
      <c r="V389" s="561">
        <v>9216.23</v>
      </c>
      <c r="W389" s="561">
        <v>0</v>
      </c>
      <c r="X389" s="561">
        <v>-371.59</v>
      </c>
      <c r="Y389" s="561">
        <v>251.64</v>
      </c>
      <c r="Z389" s="561">
        <v>905.85</v>
      </c>
      <c r="AA389" s="561">
        <v>-990.12</v>
      </c>
      <c r="AB389" s="561">
        <v>-2133.5100000000002</v>
      </c>
      <c r="AC389" s="561">
        <v>3977.32</v>
      </c>
      <c r="AD389" s="561">
        <v>0</v>
      </c>
      <c r="AE389" s="561">
        <v>303.01</v>
      </c>
      <c r="AF389" s="561">
        <v>0</v>
      </c>
      <c r="AG389" s="561">
        <v>0</v>
      </c>
      <c r="AH389" s="561">
        <v>306.57</v>
      </c>
      <c r="AI389" s="561">
        <v>0</v>
      </c>
      <c r="AJ389" s="561">
        <v>18642.330000000002</v>
      </c>
      <c r="AK389" s="561">
        <v>417</v>
      </c>
      <c r="AL389" s="561">
        <v>0</v>
      </c>
      <c r="AM389" s="561">
        <v>0</v>
      </c>
      <c r="AN389" s="561">
        <v>0</v>
      </c>
      <c r="AO389" s="561">
        <v>0</v>
      </c>
      <c r="AP389" s="561">
        <v>0</v>
      </c>
      <c r="AQ389" s="561">
        <v>0</v>
      </c>
      <c r="AR389" s="561">
        <v>0</v>
      </c>
      <c r="AS389" s="561">
        <v>1759.9</v>
      </c>
      <c r="AT389" s="561">
        <v>1248.2</v>
      </c>
      <c r="AU389" s="561">
        <v>0</v>
      </c>
      <c r="AV389" s="561">
        <v>0</v>
      </c>
      <c r="AW389" s="561">
        <v>0</v>
      </c>
      <c r="AX389" s="561">
        <v>330.73</v>
      </c>
      <c r="AY389" s="561">
        <v>72936.38</v>
      </c>
      <c r="AZ389" s="561">
        <v>6249.03</v>
      </c>
      <c r="BA389" s="561">
        <v>6807.73</v>
      </c>
      <c r="BB389" s="561">
        <v>847.71</v>
      </c>
      <c r="BC389" s="561">
        <v>28200.17</v>
      </c>
      <c r="BD389" s="561">
        <v>542.83000000000004</v>
      </c>
      <c r="BE389" s="561">
        <v>851.53</v>
      </c>
      <c r="BF389" s="561">
        <v>116766.11</v>
      </c>
      <c r="BG389" s="561">
        <v>334</v>
      </c>
      <c r="BH389" s="561">
        <v>12263.44</v>
      </c>
      <c r="BI389" s="561">
        <v>42282.81</v>
      </c>
      <c r="BJ389" s="561">
        <v>0.75</v>
      </c>
      <c r="BK389" s="561">
        <v>31.7</v>
      </c>
      <c r="BL389" s="561">
        <v>1165.8699999999999</v>
      </c>
      <c r="BM389" s="561">
        <v>14648.05</v>
      </c>
      <c r="BN389" s="561">
        <v>55143.61</v>
      </c>
      <c r="BO389" s="561">
        <v>7940.97</v>
      </c>
      <c r="BP389" s="561">
        <v>10298.15</v>
      </c>
      <c r="BQ389" s="561">
        <v>2241.23</v>
      </c>
      <c r="BR389" s="561">
        <v>0</v>
      </c>
      <c r="BS389" s="561">
        <v>0</v>
      </c>
      <c r="BT389" s="561">
        <v>-152.18</v>
      </c>
      <c r="BU389" s="561">
        <v>-83.17</v>
      </c>
      <c r="BV389" s="561">
        <v>356.7</v>
      </c>
      <c r="BW389" s="561">
        <v>15160.5</v>
      </c>
      <c r="BX389" s="561">
        <v>365.38</v>
      </c>
      <c r="BY389" s="561">
        <v>7618.54</v>
      </c>
      <c r="BZ389" s="561">
        <v>169282.35</v>
      </c>
      <c r="CA389" s="561">
        <v>3910</v>
      </c>
      <c r="CB389" s="561">
        <v>2125.3000000000002</v>
      </c>
      <c r="CC389" s="561">
        <v>325.91000000000003</v>
      </c>
      <c r="CD389" s="561">
        <v>236.87</v>
      </c>
      <c r="CE389" s="561">
        <v>510.45</v>
      </c>
      <c r="CF389" s="561">
        <v>268.60000000000002</v>
      </c>
      <c r="CG389" s="561">
        <v>304.94</v>
      </c>
      <c r="CH389" s="561">
        <v>10.35</v>
      </c>
      <c r="CI389" s="561">
        <v>625.37</v>
      </c>
      <c r="CJ389" s="561">
        <v>88.99</v>
      </c>
      <c r="CK389" s="561">
        <v>1074.56</v>
      </c>
      <c r="CL389" s="561">
        <v>85.74</v>
      </c>
      <c r="CM389" s="561">
        <v>3284.68</v>
      </c>
      <c r="CN389" s="561">
        <v>2166.1999999999998</v>
      </c>
      <c r="CO389" s="561">
        <v>1050.97</v>
      </c>
      <c r="CP389" s="561">
        <v>699.23</v>
      </c>
      <c r="CQ389" s="561">
        <v>741.09</v>
      </c>
      <c r="CR389" s="561">
        <v>674.31</v>
      </c>
      <c r="CS389" s="561">
        <v>72.209999999999994</v>
      </c>
      <c r="CT389" s="561">
        <v>2748.35</v>
      </c>
      <c r="CU389" s="561">
        <v>2768.04</v>
      </c>
      <c r="CV389" s="561">
        <v>3501.06</v>
      </c>
      <c r="CW389" s="561">
        <v>7.94</v>
      </c>
      <c r="CX389" s="561">
        <v>544.08000000000004</v>
      </c>
      <c r="CY389" s="561">
        <v>2733.15</v>
      </c>
      <c r="CZ389" s="561">
        <v>26648.39</v>
      </c>
      <c r="DA389" s="561">
        <v>224</v>
      </c>
      <c r="DB389" s="561">
        <v>0</v>
      </c>
      <c r="DC389" s="561">
        <v>0</v>
      </c>
      <c r="DD389" s="561">
        <v>0</v>
      </c>
      <c r="DE389" s="561">
        <v>0</v>
      </c>
      <c r="DF389" s="561">
        <v>0</v>
      </c>
      <c r="DG389" s="561">
        <v>0</v>
      </c>
      <c r="DH389" s="561">
        <v>1788.09</v>
      </c>
      <c r="DI389" s="561">
        <v>0</v>
      </c>
      <c r="DJ389" s="561">
        <v>270.52</v>
      </c>
      <c r="DK389" s="561">
        <v>0</v>
      </c>
      <c r="DL389" s="561">
        <v>4191.1099999999997</v>
      </c>
      <c r="DM389" s="561">
        <v>97.58</v>
      </c>
      <c r="DN389" s="561">
        <v>0</v>
      </c>
      <c r="DO389" s="561">
        <v>1186.54</v>
      </c>
      <c r="DP389" s="561">
        <v>928.03</v>
      </c>
      <c r="DQ389" s="561">
        <v>0</v>
      </c>
      <c r="DR389" s="561">
        <v>4964.93</v>
      </c>
      <c r="DS389" s="561">
        <v>1529.07</v>
      </c>
      <c r="DT389" s="561">
        <v>0</v>
      </c>
      <c r="DU389" s="561">
        <v>12897.26</v>
      </c>
      <c r="DV389" s="561">
        <v>438.27</v>
      </c>
      <c r="DW389" s="561">
        <v>0</v>
      </c>
      <c r="DX389" s="561">
        <v>0</v>
      </c>
      <c r="DY389" s="561">
        <v>2091.96</v>
      </c>
      <c r="DZ389" s="561">
        <v>7.14</v>
      </c>
      <c r="EA389" s="561">
        <v>0</v>
      </c>
      <c r="EB389" s="561">
        <v>3400.54</v>
      </c>
      <c r="EC389" s="561">
        <v>20893.78</v>
      </c>
      <c r="ED389" s="561">
        <v>918</v>
      </c>
      <c r="EE389" s="561">
        <v>61216.74</v>
      </c>
      <c r="EF389" s="561">
        <v>546.48</v>
      </c>
      <c r="EG389" s="561">
        <v>4159.82</v>
      </c>
      <c r="EH389" s="561">
        <v>15.58</v>
      </c>
      <c r="EI389" s="561">
        <v>197.14</v>
      </c>
      <c r="EJ389" s="561">
        <v>0</v>
      </c>
      <c r="EK389" s="561">
        <v>0</v>
      </c>
      <c r="EL389" s="561">
        <v>0</v>
      </c>
      <c r="EM389" s="561">
        <v>0</v>
      </c>
      <c r="EN389" s="561">
        <v>18490.38</v>
      </c>
      <c r="EO389" s="561">
        <v>13731.63</v>
      </c>
      <c r="EP389" s="561">
        <v>6581</v>
      </c>
      <c r="EQ389" s="561">
        <v>0</v>
      </c>
      <c r="ER389" s="561">
        <v>8837.19</v>
      </c>
      <c r="ES389" s="561" t="s">
        <v>4565</v>
      </c>
      <c r="ET389" s="561">
        <v>14130.05</v>
      </c>
      <c r="EU389" s="561">
        <v>1364.48</v>
      </c>
      <c r="EV389" s="561">
        <v>0</v>
      </c>
      <c r="EW389" s="561">
        <v>0</v>
      </c>
      <c r="EX389" s="561">
        <v>0</v>
      </c>
      <c r="EY389" s="561">
        <v>474.6</v>
      </c>
      <c r="EZ389" s="561">
        <v>2526.4299999999998</v>
      </c>
      <c r="FA389" s="561">
        <v>11989</v>
      </c>
      <c r="FB389" s="561">
        <v>664.64</v>
      </c>
      <c r="FC389" s="561">
        <v>406.77</v>
      </c>
      <c r="FD389" s="561">
        <v>53.42</v>
      </c>
      <c r="FE389" s="561">
        <v>786.31</v>
      </c>
      <c r="FF389" s="561">
        <v>0</v>
      </c>
      <c r="FG389" s="561">
        <v>-4.57</v>
      </c>
      <c r="FH389" s="561">
        <v>0</v>
      </c>
      <c r="FI389" s="561">
        <v>792.01</v>
      </c>
      <c r="FJ389" s="561">
        <v>160</v>
      </c>
      <c r="FK389" s="561">
        <v>3141</v>
      </c>
      <c r="FL389" s="561">
        <v>37.03</v>
      </c>
      <c r="FM389" s="561">
        <v>0</v>
      </c>
      <c r="FN389" s="561">
        <v>4471.68</v>
      </c>
      <c r="FO389" s="561">
        <v>10508.29</v>
      </c>
      <c r="FP389" s="561">
        <v>105</v>
      </c>
      <c r="FQ389" s="561">
        <v>-194.88</v>
      </c>
      <c r="FR389" s="561">
        <v>772.65</v>
      </c>
      <c r="FS389" s="561">
        <v>0</v>
      </c>
      <c r="FT389" s="561">
        <v>1025.04</v>
      </c>
      <c r="FU389" s="561">
        <v>1293.1300000000001</v>
      </c>
      <c r="FV389" s="561">
        <v>0</v>
      </c>
      <c r="FW389" s="561">
        <v>231.65</v>
      </c>
      <c r="FX389" s="561">
        <v>0</v>
      </c>
      <c r="FY389" s="561">
        <v>0</v>
      </c>
      <c r="FZ389" s="561">
        <v>0</v>
      </c>
      <c r="GA389" s="561">
        <v>44.57</v>
      </c>
      <c r="GB389" s="561">
        <v>0</v>
      </c>
      <c r="GC389" s="561">
        <v>-39.659999999999997</v>
      </c>
      <c r="GD389" s="561">
        <v>10.61</v>
      </c>
      <c r="GE389" s="561">
        <v>1767.32</v>
      </c>
      <c r="GF389" s="561">
        <v>45.71</v>
      </c>
      <c r="GG389" s="561">
        <v>1030.27</v>
      </c>
      <c r="GH389" s="561">
        <v>0</v>
      </c>
      <c r="GI389" s="561">
        <v>0</v>
      </c>
      <c r="GJ389" s="561">
        <v>0</v>
      </c>
      <c r="GK389" s="561">
        <v>0</v>
      </c>
      <c r="GL389" s="561">
        <v>3387.92</v>
      </c>
      <c r="GM389" s="561">
        <v>13842.89</v>
      </c>
      <c r="GN389" s="561">
        <v>17617.97</v>
      </c>
      <c r="GO389" s="561">
        <v>-742.77</v>
      </c>
      <c r="GP389" s="561">
        <v>761.04</v>
      </c>
      <c r="GQ389" s="561">
        <v>0</v>
      </c>
      <c r="GR389" s="561">
        <v>0</v>
      </c>
      <c r="GS389" s="561">
        <v>40853.46</v>
      </c>
      <c r="GT389" s="561">
        <v>471</v>
      </c>
      <c r="GU389" s="561">
        <v>208.23</v>
      </c>
      <c r="GV389" s="561">
        <v>1324.39</v>
      </c>
      <c r="GW389" s="561">
        <v>483.3</v>
      </c>
      <c r="GX389" s="561">
        <v>2041.39</v>
      </c>
      <c r="GY389" s="561">
        <v>402.53</v>
      </c>
      <c r="GZ389" s="561">
        <v>666.07</v>
      </c>
      <c r="HA389" s="561">
        <v>0</v>
      </c>
      <c r="HB389" s="561">
        <v>646.34</v>
      </c>
      <c r="HC389" s="561">
        <v>1665.77</v>
      </c>
      <c r="HD389" s="561">
        <v>7438.02</v>
      </c>
      <c r="HE389" s="561">
        <v>404</v>
      </c>
      <c r="HF389" s="561">
        <v>58799.77</v>
      </c>
      <c r="HG389" s="561">
        <v>980</v>
      </c>
      <c r="HH389" s="561">
        <v>0</v>
      </c>
      <c r="HI389" s="561">
        <v>0</v>
      </c>
      <c r="HJ389" s="561">
        <v>0</v>
      </c>
      <c r="HK389" s="561">
        <v>0</v>
      </c>
      <c r="HL389" s="561">
        <v>0</v>
      </c>
      <c r="HM389" s="561">
        <v>0</v>
      </c>
      <c r="HN389" s="561">
        <v>0</v>
      </c>
      <c r="HO389" s="561">
        <v>11053.8</v>
      </c>
      <c r="HP389" s="561">
        <v>655.47</v>
      </c>
      <c r="HQ389" s="561">
        <v>0</v>
      </c>
      <c r="HR389" s="561">
        <v>0</v>
      </c>
      <c r="HS389" s="561">
        <v>0</v>
      </c>
      <c r="HT389" s="561">
        <v>417.49</v>
      </c>
      <c r="HU389" s="561">
        <v>0</v>
      </c>
      <c r="HV389" s="561">
        <v>65.930000000000007</v>
      </c>
      <c r="HW389" s="561">
        <v>734.12</v>
      </c>
      <c r="HX389" s="561">
        <v>1838.47</v>
      </c>
      <c r="HY389" s="561">
        <v>536.25</v>
      </c>
      <c r="HZ389" s="561">
        <v>82.02</v>
      </c>
      <c r="IA389" s="561">
        <v>0</v>
      </c>
      <c r="IB389" s="561">
        <v>0</v>
      </c>
      <c r="IC389" s="561">
        <v>1260.3800000000001</v>
      </c>
      <c r="ID389" s="561">
        <v>0</v>
      </c>
      <c r="IE389" s="561">
        <v>7529.83</v>
      </c>
      <c r="IF389" s="561">
        <v>0</v>
      </c>
      <c r="IG389" s="561">
        <v>0</v>
      </c>
      <c r="IH389" s="561">
        <v>292.69</v>
      </c>
      <c r="II389" s="561">
        <v>24466.45</v>
      </c>
      <c r="IJ389" s="561">
        <v>413</v>
      </c>
      <c r="IK389" s="561">
        <v>0</v>
      </c>
      <c r="IL389" s="561">
        <v>63218.59</v>
      </c>
      <c r="IM389" s="561">
        <v>0</v>
      </c>
      <c r="IN389" s="561">
        <v>0</v>
      </c>
      <c r="IO389" s="561">
        <v>8.9</v>
      </c>
      <c r="IP389" s="561">
        <v>4934.01</v>
      </c>
      <c r="IQ389" s="561">
        <v>33</v>
      </c>
      <c r="IR389" s="561">
        <v>252837.14</v>
      </c>
      <c r="IS389" s="561">
        <v>18642.330000000002</v>
      </c>
      <c r="IT389" s="561">
        <v>116766.11</v>
      </c>
      <c r="IU389" s="561">
        <v>169282.35</v>
      </c>
      <c r="IV389" s="561">
        <v>26648.39</v>
      </c>
      <c r="IW389" s="561">
        <v>20893.78</v>
      </c>
      <c r="IX389" s="561">
        <v>10508.29</v>
      </c>
      <c r="IY389" s="561">
        <v>40853.46</v>
      </c>
      <c r="IZ389" s="561">
        <v>7438.02</v>
      </c>
      <c r="JA389" s="561">
        <v>0</v>
      </c>
      <c r="JB389" s="561">
        <v>0</v>
      </c>
      <c r="JC389" s="561">
        <v>24466.45</v>
      </c>
      <c r="JD389" s="561">
        <v>4934.01</v>
      </c>
      <c r="JE389" s="561">
        <v>693270.33</v>
      </c>
      <c r="JF389" s="561">
        <v>40413.199999999997</v>
      </c>
      <c r="JG389" s="561">
        <v>5154.1000000000004</v>
      </c>
      <c r="JH389" s="561">
        <v>16472.63</v>
      </c>
      <c r="JI389" s="561">
        <v>0</v>
      </c>
      <c r="JJ389" s="561">
        <v>0</v>
      </c>
      <c r="JK389" s="561">
        <v>12930</v>
      </c>
      <c r="JL389" s="561">
        <v>0</v>
      </c>
      <c r="JM389" s="561">
        <v>0</v>
      </c>
      <c r="JN389" s="561">
        <v>0</v>
      </c>
      <c r="JO389" s="561">
        <v>0</v>
      </c>
      <c r="JP389" s="561">
        <v>0</v>
      </c>
      <c r="JQ389" s="561">
        <v>0</v>
      </c>
      <c r="JR389" s="561">
        <v>0</v>
      </c>
      <c r="JS389" s="561">
        <v>0</v>
      </c>
      <c r="JT389" s="561">
        <v>0</v>
      </c>
      <c r="JU389" s="561">
        <v>0</v>
      </c>
      <c r="JV389" s="561">
        <v>768240.26</v>
      </c>
      <c r="JW389" s="561">
        <v>377.33</v>
      </c>
      <c r="JX389" s="561">
        <v>0</v>
      </c>
      <c r="JY389" s="561">
        <v>0</v>
      </c>
      <c r="JZ389" s="561">
        <v>-4915.0200000000004</v>
      </c>
      <c r="KA389" s="561">
        <v>-6517.09</v>
      </c>
      <c r="KB389" s="561">
        <v>1463.38</v>
      </c>
      <c r="KC389" s="561">
        <v>3937.92</v>
      </c>
      <c r="KD389" s="561">
        <v>0</v>
      </c>
      <c r="KE389" s="561">
        <v>21425.97</v>
      </c>
      <c r="KF389" s="561">
        <v>0</v>
      </c>
      <c r="KG389" s="561">
        <v>784012.75</v>
      </c>
      <c r="KH389" s="561">
        <v>-23566.799999999999</v>
      </c>
      <c r="KI389" s="561">
        <v>0</v>
      </c>
      <c r="KJ389" s="561">
        <v>0</v>
      </c>
      <c r="KK389" s="561">
        <v>0</v>
      </c>
      <c r="KL389" s="561">
        <v>-59890.54</v>
      </c>
      <c r="KM389" s="561">
        <v>0</v>
      </c>
      <c r="KN389" s="561">
        <v>0</v>
      </c>
      <c r="KO389" s="561">
        <v>0</v>
      </c>
      <c r="KP389" s="561">
        <v>0</v>
      </c>
      <c r="KQ389" s="561">
        <v>-20461.2</v>
      </c>
      <c r="KR389" s="561">
        <v>680094.21</v>
      </c>
      <c r="KS389" s="561">
        <v>-471.8</v>
      </c>
      <c r="KT389" s="561">
        <v>-295438.88</v>
      </c>
      <c r="KU389" s="561">
        <v>384183.53</v>
      </c>
      <c r="KV389" s="561">
        <v>0</v>
      </c>
      <c r="KW389" s="561">
        <v>711.11</v>
      </c>
      <c r="KX389" s="561">
        <v>0</v>
      </c>
      <c r="KY389" s="561">
        <v>-2159</v>
      </c>
      <c r="KZ389" s="561">
        <v>-2653.99</v>
      </c>
      <c r="LA389" s="561">
        <v>389.69</v>
      </c>
      <c r="LB389" s="561">
        <v>-4824</v>
      </c>
      <c r="LC389" s="561">
        <v>0</v>
      </c>
      <c r="LD389" s="561">
        <v>-103427.5</v>
      </c>
      <c r="LE389" s="561">
        <v>-5595.66</v>
      </c>
      <c r="LF389" s="561">
        <v>0</v>
      </c>
      <c r="LG389" s="561">
        <v>266624</v>
      </c>
      <c r="LH389" s="561">
        <v>8567.9</v>
      </c>
      <c r="LI389" s="561">
        <v>-993</v>
      </c>
      <c r="LJ389" s="561">
        <v>0</v>
      </c>
      <c r="LK389" s="561">
        <v>6410</v>
      </c>
      <c r="LL389" s="561">
        <v>61602</v>
      </c>
      <c r="LM389" s="561">
        <v>35906.49</v>
      </c>
      <c r="LN389" s="561">
        <v>9279.01</v>
      </c>
      <c r="LO389" s="561">
        <v>-21454.2</v>
      </c>
      <c r="LP389" s="561">
        <v>0</v>
      </c>
      <c r="LQ389" s="561">
        <v>4251</v>
      </c>
      <c r="LR389" s="561">
        <v>58948.01</v>
      </c>
      <c r="LS389" s="561">
        <v>36296.18</v>
      </c>
      <c r="LT389" s="561">
        <v>0</v>
      </c>
      <c r="LU389" s="561">
        <v>48388.32</v>
      </c>
      <c r="LV389" s="561">
        <v>0</v>
      </c>
      <c r="LW389" s="561">
        <v>129973.86</v>
      </c>
      <c r="LX389" s="561">
        <v>-43747</v>
      </c>
      <c r="LY389" s="561">
        <v>34394.300000000003</v>
      </c>
      <c r="LZ389" s="561">
        <v>164754.03</v>
      </c>
      <c r="MA389" s="561">
        <v>0</v>
      </c>
      <c r="MB389" s="561">
        <v>0</v>
      </c>
      <c r="MC389" s="561">
        <v>66135.759999999995</v>
      </c>
      <c r="MD389" s="561">
        <v>63609.33</v>
      </c>
      <c r="ME389" s="561">
        <v>2526.4299999999998</v>
      </c>
      <c r="MF389" s="561">
        <v>11989</v>
      </c>
      <c r="MG389" s="561">
        <v>14515.43</v>
      </c>
      <c r="MH389" s="561">
        <v>9464</v>
      </c>
      <c r="MI389" s="561">
        <v>10233</v>
      </c>
      <c r="MJ389" s="561">
        <v>19697</v>
      </c>
      <c r="MK389" s="561">
        <v>0</v>
      </c>
      <c r="ML389" s="561">
        <v>3700</v>
      </c>
      <c r="MM389" s="561">
        <v>30509.63</v>
      </c>
      <c r="MN389" s="561">
        <v>10330</v>
      </c>
      <c r="MO389" s="561">
        <v>14408.38</v>
      </c>
      <c r="MP389" s="561">
        <v>0</v>
      </c>
      <c r="MQ389" s="561">
        <v>252837.14</v>
      </c>
      <c r="MR389" s="561">
        <v>18642.330000000002</v>
      </c>
      <c r="MS389" s="561">
        <v>116766.11</v>
      </c>
      <c r="MT389" s="561">
        <v>169282.35</v>
      </c>
      <c r="MU389" s="561">
        <v>26648.39</v>
      </c>
      <c r="MV389" s="561">
        <v>20893.78</v>
      </c>
      <c r="MW389" s="561">
        <v>10508.29</v>
      </c>
      <c r="MX389" s="561">
        <v>40853.46</v>
      </c>
      <c r="MY389" s="561">
        <v>7438.02</v>
      </c>
      <c r="MZ389" s="561">
        <v>0</v>
      </c>
      <c r="NA389" s="561">
        <v>0</v>
      </c>
      <c r="NB389" s="561">
        <v>24466.45</v>
      </c>
      <c r="NC389" s="561">
        <v>4934.01</v>
      </c>
      <c r="ND389" s="561">
        <v>693270.33</v>
      </c>
      <c r="NE389" s="561">
        <v>0</v>
      </c>
      <c r="NF389" s="561">
        <v>0</v>
      </c>
      <c r="NG389" s="561">
        <v>0</v>
      </c>
      <c r="NH389" s="561">
        <v>0</v>
      </c>
      <c r="NI389" s="561">
        <v>0</v>
      </c>
      <c r="NJ389" s="561">
        <v>0</v>
      </c>
      <c r="NK389" s="561">
        <v>0</v>
      </c>
      <c r="NL389" s="561">
        <v>0</v>
      </c>
      <c r="NM389" s="561">
        <v>0</v>
      </c>
      <c r="NN389" s="561">
        <v>0</v>
      </c>
      <c r="NO389" s="561">
        <v>0</v>
      </c>
      <c r="NP389" s="561">
        <v>0</v>
      </c>
      <c r="NQ389" s="561">
        <v>0</v>
      </c>
      <c r="NR389" s="561">
        <v>0</v>
      </c>
      <c r="NS389" s="561">
        <v>0</v>
      </c>
      <c r="NT389" s="561">
        <v>0</v>
      </c>
      <c r="NU389" s="561">
        <v>0</v>
      </c>
      <c r="NV389" s="561">
        <v>0</v>
      </c>
      <c r="NW389" s="561">
        <v>0</v>
      </c>
      <c r="NX389" s="561">
        <v>0</v>
      </c>
      <c r="NY389" s="561">
        <v>0</v>
      </c>
      <c r="NZ389" s="561">
        <v>0</v>
      </c>
      <c r="OA389" s="561">
        <v>0</v>
      </c>
      <c r="OB389" s="561">
        <v>0</v>
      </c>
      <c r="OC389" s="561">
        <v>0</v>
      </c>
      <c r="OD389" s="561">
        <v>0</v>
      </c>
      <c r="OE389" s="561">
        <v>0</v>
      </c>
      <c r="OF389" s="561">
        <v>0</v>
      </c>
      <c r="OG389" s="561">
        <v>0</v>
      </c>
      <c r="OH389" s="561">
        <v>0</v>
      </c>
      <c r="OI389" s="561">
        <v>0</v>
      </c>
      <c r="OJ389" s="561">
        <v>0</v>
      </c>
      <c r="OK389" s="561">
        <v>0</v>
      </c>
      <c r="OL389" s="561">
        <v>0</v>
      </c>
      <c r="OM389" s="561">
        <v>0</v>
      </c>
      <c r="ON389" s="561">
        <v>0</v>
      </c>
      <c r="OO389" s="561">
        <v>0</v>
      </c>
      <c r="OP389" s="561">
        <v>0</v>
      </c>
      <c r="OQ389" s="561">
        <v>0</v>
      </c>
      <c r="OR389" s="561">
        <v>0</v>
      </c>
      <c r="OS389" s="561">
        <v>0</v>
      </c>
      <c r="OT389" s="561">
        <v>0</v>
      </c>
      <c r="OU389" s="561">
        <v>0</v>
      </c>
      <c r="OV389" s="561">
        <v>0</v>
      </c>
      <c r="OW389" s="561">
        <v>0</v>
      </c>
      <c r="OX389" s="561">
        <v>0</v>
      </c>
      <c r="OY389" s="561">
        <v>0</v>
      </c>
      <c r="OZ389" s="561">
        <v>0</v>
      </c>
      <c r="PA389" s="561">
        <v>0</v>
      </c>
      <c r="PB389" s="561">
        <v>0</v>
      </c>
      <c r="PC389" s="561">
        <v>0</v>
      </c>
      <c r="PD389" s="561">
        <v>0</v>
      </c>
      <c r="PE389" s="561">
        <v>0</v>
      </c>
      <c r="PF389" s="561">
        <v>0</v>
      </c>
      <c r="PG389" s="561">
        <v>0</v>
      </c>
      <c r="PH389" s="561">
        <v>0</v>
      </c>
      <c r="PI389" s="561">
        <v>0</v>
      </c>
      <c r="PJ389" s="561">
        <v>0</v>
      </c>
    </row>
    <row r="390" spans="1:426" ht="14" x14ac:dyDescent="0.3">
      <c r="A390" t="s">
        <v>3614</v>
      </c>
      <c r="B390" t="s">
        <v>3615</v>
      </c>
      <c r="C390" t="s">
        <v>3616</v>
      </c>
      <c r="E390" t="s">
        <v>2466</v>
      </c>
      <c r="F390" s="561">
        <v>0</v>
      </c>
      <c r="G390" s="561">
        <v>0</v>
      </c>
      <c r="H390" s="561">
        <v>0</v>
      </c>
      <c r="I390" s="561">
        <v>0</v>
      </c>
      <c r="J390" s="561">
        <v>15304</v>
      </c>
      <c r="K390" s="561">
        <v>12372</v>
      </c>
      <c r="L390" s="561">
        <v>27676</v>
      </c>
      <c r="M390" s="561">
        <v>24</v>
      </c>
      <c r="N390" s="561">
        <v>4361</v>
      </c>
      <c r="O390" s="561">
        <v>9005</v>
      </c>
      <c r="P390" s="561">
        <v>0</v>
      </c>
      <c r="Q390" s="561">
        <v>0</v>
      </c>
      <c r="R390" s="561">
        <v>0</v>
      </c>
      <c r="S390" s="561">
        <v>0</v>
      </c>
      <c r="T390" s="561">
        <v>0</v>
      </c>
      <c r="U390" s="561">
        <v>0</v>
      </c>
      <c r="V390" s="561">
        <v>0</v>
      </c>
      <c r="W390" s="561">
        <v>0</v>
      </c>
      <c r="X390" s="561">
        <v>0</v>
      </c>
      <c r="Y390" s="561">
        <v>0</v>
      </c>
      <c r="Z390" s="561">
        <v>0</v>
      </c>
      <c r="AA390" s="561">
        <v>0</v>
      </c>
      <c r="AB390" s="561">
        <v>0</v>
      </c>
      <c r="AC390" s="561">
        <v>12199</v>
      </c>
      <c r="AD390" s="561">
        <v>6924</v>
      </c>
      <c r="AE390" s="561">
        <v>7303</v>
      </c>
      <c r="AF390" s="561">
        <v>0</v>
      </c>
      <c r="AG390" s="561">
        <v>0</v>
      </c>
      <c r="AH390" s="561">
        <v>18937</v>
      </c>
      <c r="AI390" s="561">
        <v>0</v>
      </c>
      <c r="AJ390" s="561">
        <v>58729</v>
      </c>
      <c r="AK390" s="561">
        <v>514</v>
      </c>
      <c r="AL390" s="561">
        <v>0</v>
      </c>
      <c r="AM390" s="561">
        <v>0</v>
      </c>
      <c r="AN390" s="561">
        <v>0</v>
      </c>
      <c r="AO390" s="561">
        <v>0</v>
      </c>
      <c r="AP390" s="561">
        <v>0</v>
      </c>
      <c r="AQ390" s="561">
        <v>0</v>
      </c>
      <c r="AR390" s="561">
        <v>0</v>
      </c>
      <c r="AS390" s="561">
        <v>0</v>
      </c>
      <c r="AT390" s="561">
        <v>0</v>
      </c>
      <c r="AU390" s="561">
        <v>0</v>
      </c>
      <c r="AV390" s="561">
        <v>0</v>
      </c>
      <c r="AW390" s="561">
        <v>0</v>
      </c>
      <c r="AX390" s="561">
        <v>0</v>
      </c>
      <c r="AY390" s="561">
        <v>0</v>
      </c>
      <c r="AZ390" s="561">
        <v>0</v>
      </c>
      <c r="BA390" s="561">
        <v>0</v>
      </c>
      <c r="BB390" s="561">
        <v>0</v>
      </c>
      <c r="BC390" s="561">
        <v>0</v>
      </c>
      <c r="BD390" s="561">
        <v>0</v>
      </c>
      <c r="BE390" s="561">
        <v>0</v>
      </c>
      <c r="BF390" s="561">
        <v>0</v>
      </c>
      <c r="BG390" s="561">
        <v>0</v>
      </c>
      <c r="BH390" s="561">
        <v>0</v>
      </c>
      <c r="BI390" s="561">
        <v>0</v>
      </c>
      <c r="BJ390" s="561">
        <v>0</v>
      </c>
      <c r="BK390" s="561">
        <v>0</v>
      </c>
      <c r="BL390" s="561">
        <v>0</v>
      </c>
      <c r="BM390" s="561">
        <v>0</v>
      </c>
      <c r="BN390" s="561">
        <v>0</v>
      </c>
      <c r="BO390" s="561">
        <v>0</v>
      </c>
      <c r="BP390" s="561">
        <v>0</v>
      </c>
      <c r="BQ390" s="561">
        <v>0</v>
      </c>
      <c r="BR390" s="561">
        <v>0</v>
      </c>
      <c r="BS390" s="561">
        <v>0</v>
      </c>
      <c r="BT390" s="561">
        <v>0</v>
      </c>
      <c r="BU390" s="561">
        <v>0</v>
      </c>
      <c r="BV390" s="561">
        <v>0</v>
      </c>
      <c r="BW390" s="561">
        <v>0</v>
      </c>
      <c r="BX390" s="561">
        <v>0</v>
      </c>
      <c r="BY390" s="561">
        <v>0</v>
      </c>
      <c r="BZ390" s="561">
        <v>0</v>
      </c>
      <c r="CA390" s="561">
        <v>0</v>
      </c>
      <c r="CB390" s="561">
        <v>0</v>
      </c>
      <c r="CC390" s="561">
        <v>0</v>
      </c>
      <c r="CD390" s="561">
        <v>0</v>
      </c>
      <c r="CE390" s="561">
        <v>0</v>
      </c>
      <c r="CF390" s="561">
        <v>0</v>
      </c>
      <c r="CG390" s="561">
        <v>0</v>
      </c>
      <c r="CH390" s="561">
        <v>0</v>
      </c>
      <c r="CI390" s="561">
        <v>0</v>
      </c>
      <c r="CJ390" s="561">
        <v>0</v>
      </c>
      <c r="CK390" s="561">
        <v>0</v>
      </c>
      <c r="CL390" s="561">
        <v>0</v>
      </c>
      <c r="CM390" s="561">
        <v>0</v>
      </c>
      <c r="CN390" s="561">
        <v>0</v>
      </c>
      <c r="CO390" s="561">
        <v>0</v>
      </c>
      <c r="CP390" s="561">
        <v>0</v>
      </c>
      <c r="CQ390" s="561">
        <v>0</v>
      </c>
      <c r="CR390" s="561">
        <v>0</v>
      </c>
      <c r="CS390" s="561">
        <v>0</v>
      </c>
      <c r="CT390" s="561">
        <v>0</v>
      </c>
      <c r="CU390" s="561">
        <v>0</v>
      </c>
      <c r="CV390" s="561">
        <v>0</v>
      </c>
      <c r="CW390" s="561">
        <v>0</v>
      </c>
      <c r="CX390" s="561">
        <v>0</v>
      </c>
      <c r="CY390" s="561">
        <v>0</v>
      </c>
      <c r="CZ390" s="561">
        <v>0</v>
      </c>
      <c r="DA390" s="561">
        <v>0</v>
      </c>
      <c r="DB390" s="561">
        <v>0</v>
      </c>
      <c r="DC390" s="561">
        <v>0</v>
      </c>
      <c r="DD390" s="561">
        <v>0</v>
      </c>
      <c r="DE390" s="561">
        <v>0</v>
      </c>
      <c r="DF390" s="561">
        <v>0</v>
      </c>
      <c r="DG390" s="561">
        <v>0</v>
      </c>
      <c r="DH390" s="561">
        <v>0</v>
      </c>
      <c r="DI390" s="561">
        <v>0</v>
      </c>
      <c r="DJ390" s="561">
        <v>0</v>
      </c>
      <c r="DK390" s="561">
        <v>0</v>
      </c>
      <c r="DL390" s="561">
        <v>0</v>
      </c>
      <c r="DM390" s="561">
        <v>0</v>
      </c>
      <c r="DN390" s="561">
        <v>0</v>
      </c>
      <c r="DO390" s="561">
        <v>0</v>
      </c>
      <c r="DP390" s="561">
        <v>0</v>
      </c>
      <c r="DQ390" s="561">
        <v>0</v>
      </c>
      <c r="DR390" s="561">
        <v>0</v>
      </c>
      <c r="DS390" s="561">
        <v>0</v>
      </c>
      <c r="DT390" s="561">
        <v>0</v>
      </c>
      <c r="DU390" s="561">
        <v>0</v>
      </c>
      <c r="DV390" s="561">
        <v>0</v>
      </c>
      <c r="DW390" s="561">
        <v>0</v>
      </c>
      <c r="DX390" s="561">
        <v>0</v>
      </c>
      <c r="DY390" s="561">
        <v>0</v>
      </c>
      <c r="DZ390" s="561">
        <v>0</v>
      </c>
      <c r="EA390" s="561">
        <v>0</v>
      </c>
      <c r="EB390" s="561">
        <v>0</v>
      </c>
      <c r="EC390" s="561">
        <v>0</v>
      </c>
      <c r="ED390" s="561">
        <v>0</v>
      </c>
      <c r="EE390" s="561">
        <v>0</v>
      </c>
      <c r="EF390" s="561">
        <v>0</v>
      </c>
      <c r="EG390" s="561">
        <v>0</v>
      </c>
      <c r="EH390" s="561">
        <v>0</v>
      </c>
      <c r="EI390" s="561">
        <v>0</v>
      </c>
      <c r="EJ390" s="561">
        <v>0</v>
      </c>
      <c r="EK390" s="561">
        <v>0</v>
      </c>
      <c r="EL390" s="561">
        <v>0</v>
      </c>
      <c r="EM390" s="561">
        <v>0</v>
      </c>
      <c r="EN390" s="561">
        <v>0</v>
      </c>
      <c r="EO390" s="561">
        <v>0</v>
      </c>
      <c r="EP390" s="561">
        <v>0</v>
      </c>
      <c r="EQ390" s="561">
        <v>0</v>
      </c>
      <c r="ER390" s="561">
        <v>0</v>
      </c>
      <c r="ES390" s="561" t="s">
        <v>4565</v>
      </c>
      <c r="ET390" s="561">
        <v>0</v>
      </c>
      <c r="EU390" s="561">
        <v>0</v>
      </c>
      <c r="EV390" s="561">
        <v>0</v>
      </c>
      <c r="EW390" s="561">
        <v>0</v>
      </c>
      <c r="EX390" s="561">
        <v>0</v>
      </c>
      <c r="EY390" s="561">
        <v>0</v>
      </c>
      <c r="EZ390" s="561">
        <v>0</v>
      </c>
      <c r="FA390" s="561">
        <v>0</v>
      </c>
      <c r="FB390" s="561">
        <v>0</v>
      </c>
      <c r="FC390" s="561">
        <v>72</v>
      </c>
      <c r="FD390" s="561">
        <v>791</v>
      </c>
      <c r="FE390" s="561">
        <v>0</v>
      </c>
      <c r="FF390" s="561">
        <v>0</v>
      </c>
      <c r="FG390" s="561">
        <v>0</v>
      </c>
      <c r="FH390" s="561">
        <v>0</v>
      </c>
      <c r="FI390" s="561">
        <v>0</v>
      </c>
      <c r="FJ390" s="561">
        <v>0</v>
      </c>
      <c r="FK390" s="561">
        <v>0</v>
      </c>
      <c r="FL390" s="561">
        <v>0</v>
      </c>
      <c r="FM390" s="561">
        <v>0</v>
      </c>
      <c r="FN390" s="561">
        <v>0</v>
      </c>
      <c r="FO390" s="561">
        <v>863</v>
      </c>
      <c r="FP390" s="561">
        <v>0</v>
      </c>
      <c r="FQ390" s="561">
        <v>0</v>
      </c>
      <c r="FR390" s="561">
        <v>0</v>
      </c>
      <c r="FS390" s="561">
        <v>0</v>
      </c>
      <c r="FT390" s="561">
        <v>0</v>
      </c>
      <c r="FU390" s="561">
        <v>0</v>
      </c>
      <c r="FV390" s="561">
        <v>0</v>
      </c>
      <c r="FW390" s="561">
        <v>0</v>
      </c>
      <c r="FX390" s="561">
        <v>0</v>
      </c>
      <c r="FY390" s="561">
        <v>0</v>
      </c>
      <c r="FZ390" s="561">
        <v>0</v>
      </c>
      <c r="GA390" s="561">
        <v>0</v>
      </c>
      <c r="GB390" s="561">
        <v>0</v>
      </c>
      <c r="GC390" s="561">
        <v>0</v>
      </c>
      <c r="GD390" s="561">
        <v>0</v>
      </c>
      <c r="GE390" s="561">
        <v>0</v>
      </c>
      <c r="GF390" s="561">
        <v>0</v>
      </c>
      <c r="GG390" s="561">
        <v>0</v>
      </c>
      <c r="GH390" s="561">
        <v>0</v>
      </c>
      <c r="GI390" s="561">
        <v>0</v>
      </c>
      <c r="GJ390" s="561">
        <v>0</v>
      </c>
      <c r="GK390" s="561">
        <v>0</v>
      </c>
      <c r="GL390" s="561">
        <v>0</v>
      </c>
      <c r="GM390" s="561">
        <v>0</v>
      </c>
      <c r="GN390" s="561">
        <v>0</v>
      </c>
      <c r="GO390" s="561">
        <v>0</v>
      </c>
      <c r="GP390" s="561">
        <v>0</v>
      </c>
      <c r="GQ390" s="561">
        <v>0</v>
      </c>
      <c r="GR390" s="561">
        <v>2471</v>
      </c>
      <c r="GS390" s="561">
        <v>2471</v>
      </c>
      <c r="GT390" s="561">
        <v>0</v>
      </c>
      <c r="GU390" s="561">
        <v>0</v>
      </c>
      <c r="GV390" s="561">
        <v>0</v>
      </c>
      <c r="GW390" s="561">
        <v>0</v>
      </c>
      <c r="GX390" s="561">
        <v>4020</v>
      </c>
      <c r="GY390" s="561">
        <v>5209</v>
      </c>
      <c r="GZ390" s="561">
        <v>4359</v>
      </c>
      <c r="HA390" s="561">
        <v>0</v>
      </c>
      <c r="HB390" s="561">
        <v>8882</v>
      </c>
      <c r="HC390" s="561">
        <v>0</v>
      </c>
      <c r="HD390" s="561">
        <v>22470</v>
      </c>
      <c r="HE390" s="561">
        <v>490</v>
      </c>
      <c r="HF390" s="561">
        <v>25804</v>
      </c>
      <c r="HG390" s="561">
        <v>0</v>
      </c>
      <c r="HH390" s="561">
        <v>0</v>
      </c>
      <c r="HI390" s="561">
        <v>0</v>
      </c>
      <c r="HJ390" s="561">
        <v>0</v>
      </c>
      <c r="HK390" s="561">
        <v>0</v>
      </c>
      <c r="HL390" s="561">
        <v>0</v>
      </c>
      <c r="HM390" s="561">
        <v>0</v>
      </c>
      <c r="HN390" s="561">
        <v>0</v>
      </c>
      <c r="HO390" s="561">
        <v>6218</v>
      </c>
      <c r="HP390" s="561">
        <v>0</v>
      </c>
      <c r="HQ390" s="561">
        <v>0</v>
      </c>
      <c r="HR390" s="561">
        <v>0</v>
      </c>
      <c r="HS390" s="561">
        <v>0</v>
      </c>
      <c r="HT390" s="561">
        <v>0</v>
      </c>
      <c r="HU390" s="561">
        <v>0</v>
      </c>
      <c r="HV390" s="561">
        <v>0</v>
      </c>
      <c r="HW390" s="561">
        <v>0</v>
      </c>
      <c r="HX390" s="561">
        <v>0</v>
      </c>
      <c r="HY390" s="561">
        <v>0</v>
      </c>
      <c r="HZ390" s="561">
        <v>0</v>
      </c>
      <c r="IA390" s="561">
        <v>0</v>
      </c>
      <c r="IB390" s="561">
        <v>0</v>
      </c>
      <c r="IC390" s="561">
        <v>0</v>
      </c>
      <c r="ID390" s="561">
        <v>0</v>
      </c>
      <c r="IE390" s="561">
        <v>0</v>
      </c>
      <c r="IF390" s="561">
        <v>0</v>
      </c>
      <c r="IG390" s="561">
        <v>0</v>
      </c>
      <c r="IH390" s="561">
        <v>3382</v>
      </c>
      <c r="II390" s="561">
        <v>9600</v>
      </c>
      <c r="IJ390" s="561">
        <v>1724</v>
      </c>
      <c r="IK390" s="561">
        <v>0</v>
      </c>
      <c r="IL390" s="561">
        <v>0</v>
      </c>
      <c r="IM390" s="561">
        <v>0</v>
      </c>
      <c r="IN390" s="561">
        <v>0</v>
      </c>
      <c r="IO390" s="561">
        <v>0</v>
      </c>
      <c r="IP390" s="561">
        <v>0</v>
      </c>
      <c r="IQ390" s="561">
        <v>0</v>
      </c>
      <c r="IR390" s="561">
        <v>27676</v>
      </c>
      <c r="IS390" s="561">
        <v>58729</v>
      </c>
      <c r="IT390" s="561">
        <v>0</v>
      </c>
      <c r="IU390" s="561">
        <v>0</v>
      </c>
      <c r="IV390" s="561">
        <v>0</v>
      </c>
      <c r="IW390" s="561">
        <v>0</v>
      </c>
      <c r="IX390" s="561">
        <v>863</v>
      </c>
      <c r="IY390" s="561">
        <v>2471</v>
      </c>
      <c r="IZ390" s="561">
        <v>22470</v>
      </c>
      <c r="JA390" s="561">
        <v>0</v>
      </c>
      <c r="JB390" s="561">
        <v>0</v>
      </c>
      <c r="JC390" s="561">
        <v>9600</v>
      </c>
      <c r="JD390" s="561">
        <v>0</v>
      </c>
      <c r="JE390" s="561">
        <v>121809</v>
      </c>
      <c r="JF390" s="561">
        <v>0</v>
      </c>
      <c r="JG390" s="561">
        <v>0</v>
      </c>
      <c r="JH390" s="561">
        <v>0</v>
      </c>
      <c r="JI390" s="561">
        <v>0</v>
      </c>
      <c r="JJ390" s="561">
        <v>0</v>
      </c>
      <c r="JK390" s="561">
        <v>0</v>
      </c>
      <c r="JL390" s="561">
        <v>-19443</v>
      </c>
      <c r="JM390" s="561">
        <v>0</v>
      </c>
      <c r="JN390" s="561">
        <v>0</v>
      </c>
      <c r="JO390" s="561">
        <v>0</v>
      </c>
      <c r="JP390" s="561">
        <v>0</v>
      </c>
      <c r="JQ390" s="561">
        <v>0</v>
      </c>
      <c r="JR390" s="561">
        <v>0</v>
      </c>
      <c r="JS390" s="561">
        <v>0</v>
      </c>
      <c r="JT390" s="561">
        <v>0</v>
      </c>
      <c r="JU390" s="561">
        <v>0</v>
      </c>
      <c r="JV390" s="561">
        <v>102366</v>
      </c>
      <c r="JW390" s="561">
        <v>0</v>
      </c>
      <c r="JX390" s="561">
        <v>14064</v>
      </c>
      <c r="JY390" s="561">
        <v>0</v>
      </c>
      <c r="JZ390" s="561">
        <v>0</v>
      </c>
      <c r="KA390" s="561">
        <v>0</v>
      </c>
      <c r="KB390" s="561">
        <v>0</v>
      </c>
      <c r="KC390" s="561">
        <v>0</v>
      </c>
      <c r="KD390" s="561">
        <v>0</v>
      </c>
      <c r="KE390" s="561">
        <v>0</v>
      </c>
      <c r="KF390" s="561">
        <v>0</v>
      </c>
      <c r="KG390" s="561">
        <v>116430</v>
      </c>
      <c r="KH390" s="561">
        <v>-22090</v>
      </c>
      <c r="KI390" s="561">
        <v>0</v>
      </c>
      <c r="KJ390" s="561">
        <v>0</v>
      </c>
      <c r="KK390" s="561">
        <v>0</v>
      </c>
      <c r="KL390" s="561">
        <v>-68078.100000000006</v>
      </c>
      <c r="KM390" s="561">
        <v>0</v>
      </c>
      <c r="KN390" s="561">
        <v>0</v>
      </c>
      <c r="KO390" s="561">
        <v>0</v>
      </c>
      <c r="KP390" s="561">
        <v>0</v>
      </c>
      <c r="KQ390" s="561">
        <v>0</v>
      </c>
      <c r="KR390" s="561">
        <v>26261.9</v>
      </c>
      <c r="KS390" s="561">
        <v>0</v>
      </c>
      <c r="KT390" s="561">
        <v>-24259.27</v>
      </c>
      <c r="KU390" s="561">
        <v>2002.63</v>
      </c>
      <c r="KV390" s="561">
        <v>0</v>
      </c>
      <c r="KW390" s="561">
        <v>0</v>
      </c>
      <c r="KX390" s="561">
        <v>0</v>
      </c>
      <c r="KY390" s="561">
        <v>0</v>
      </c>
      <c r="KZ390" s="561">
        <v>9333</v>
      </c>
      <c r="LA390" s="561">
        <v>2878</v>
      </c>
      <c r="LB390" s="561">
        <v>0</v>
      </c>
      <c r="LC390" s="561">
        <v>0</v>
      </c>
      <c r="LD390" s="561">
        <v>-14215</v>
      </c>
      <c r="LE390" s="561">
        <v>0</v>
      </c>
      <c r="LF390" s="561">
        <v>0</v>
      </c>
      <c r="LG390" s="561">
        <v>0</v>
      </c>
      <c r="LH390" s="561">
        <v>0</v>
      </c>
      <c r="LI390" s="561">
        <v>0</v>
      </c>
      <c r="LJ390" s="561">
        <v>0</v>
      </c>
      <c r="LK390" s="561">
        <v>0</v>
      </c>
      <c r="LL390" s="561">
        <v>13575</v>
      </c>
      <c r="LM390" s="561">
        <v>4776</v>
      </c>
      <c r="LN390" s="561">
        <v>0</v>
      </c>
      <c r="LO390" s="561">
        <v>0</v>
      </c>
      <c r="LP390" s="561">
        <v>0</v>
      </c>
      <c r="LQ390" s="561">
        <v>0</v>
      </c>
      <c r="LR390" s="561">
        <v>22908</v>
      </c>
      <c r="LS390" s="561">
        <v>7654</v>
      </c>
      <c r="LT390" s="561">
        <v>-476</v>
      </c>
      <c r="LU390" s="561">
        <v>0</v>
      </c>
      <c r="LV390" s="561">
        <v>0</v>
      </c>
      <c r="LW390" s="561">
        <v>0</v>
      </c>
      <c r="LX390" s="561">
        <v>0</v>
      </c>
      <c r="LY390" s="561">
        <v>0</v>
      </c>
      <c r="LZ390" s="561">
        <v>0</v>
      </c>
      <c r="MA390" s="561">
        <v>0</v>
      </c>
      <c r="MB390" s="561">
        <v>0</v>
      </c>
      <c r="MC390" s="561">
        <v>0</v>
      </c>
      <c r="MD390" s="561">
        <v>0</v>
      </c>
      <c r="ME390" s="561">
        <v>0</v>
      </c>
      <c r="MF390" s="561">
        <v>0</v>
      </c>
      <c r="MG390" s="561">
        <v>0</v>
      </c>
      <c r="MH390" s="561">
        <v>0</v>
      </c>
      <c r="MI390" s="561">
        <v>0</v>
      </c>
      <c r="MJ390" s="561">
        <v>0</v>
      </c>
      <c r="MK390" s="561">
        <v>0</v>
      </c>
      <c r="ML390" s="561">
        <v>3054</v>
      </c>
      <c r="MM390" s="561">
        <v>4553</v>
      </c>
      <c r="MN390" s="561">
        <v>8186</v>
      </c>
      <c r="MO390" s="561">
        <v>7115</v>
      </c>
      <c r="MP390" s="561">
        <v>0</v>
      </c>
      <c r="MQ390" s="561">
        <v>27676</v>
      </c>
      <c r="MR390" s="561">
        <v>58729</v>
      </c>
      <c r="MS390" s="561">
        <v>0</v>
      </c>
      <c r="MT390" s="561">
        <v>0</v>
      </c>
      <c r="MU390" s="561">
        <v>0</v>
      </c>
      <c r="MV390" s="561">
        <v>0</v>
      </c>
      <c r="MW390" s="561">
        <v>863</v>
      </c>
      <c r="MX390" s="561">
        <v>2471</v>
      </c>
      <c r="MY390" s="561">
        <v>22470</v>
      </c>
      <c r="MZ390" s="561">
        <v>0</v>
      </c>
      <c r="NA390" s="561">
        <v>0</v>
      </c>
      <c r="NB390" s="561">
        <v>9600</v>
      </c>
      <c r="NC390" s="561">
        <v>0</v>
      </c>
      <c r="ND390" s="561">
        <v>121809</v>
      </c>
      <c r="NE390" s="561">
        <v>0</v>
      </c>
      <c r="NF390" s="561">
        <v>0</v>
      </c>
      <c r="NG390" s="561">
        <v>0</v>
      </c>
      <c r="NH390" s="561">
        <v>0</v>
      </c>
      <c r="NI390" s="561">
        <v>0</v>
      </c>
      <c r="NJ390" s="561">
        <v>0</v>
      </c>
      <c r="NK390" s="561">
        <v>0</v>
      </c>
      <c r="NL390" s="561">
        <v>0</v>
      </c>
      <c r="NM390" s="561">
        <v>0</v>
      </c>
      <c r="NN390" s="561">
        <v>0</v>
      </c>
      <c r="NO390" s="561">
        <v>0</v>
      </c>
      <c r="NP390" s="561">
        <v>0</v>
      </c>
      <c r="NQ390" s="561">
        <v>0</v>
      </c>
      <c r="NR390" s="561">
        <v>0</v>
      </c>
      <c r="NS390" s="561">
        <v>0</v>
      </c>
      <c r="NT390" s="561">
        <v>0</v>
      </c>
      <c r="NU390" s="561">
        <v>0</v>
      </c>
      <c r="NV390" s="561">
        <v>0</v>
      </c>
      <c r="NW390" s="561">
        <v>0</v>
      </c>
      <c r="NX390" s="561">
        <v>0</v>
      </c>
      <c r="NY390" s="561">
        <v>0</v>
      </c>
      <c r="NZ390" s="561">
        <v>0</v>
      </c>
      <c r="OA390" s="561">
        <v>0</v>
      </c>
      <c r="OB390" s="561">
        <v>0</v>
      </c>
      <c r="OC390" s="561">
        <v>0</v>
      </c>
      <c r="OD390" s="561">
        <v>0</v>
      </c>
      <c r="OE390" s="561">
        <v>0</v>
      </c>
      <c r="OF390" s="561">
        <v>0</v>
      </c>
      <c r="OG390" s="561">
        <v>0</v>
      </c>
      <c r="OH390" s="561">
        <v>0</v>
      </c>
      <c r="OI390" s="561">
        <v>0</v>
      </c>
      <c r="OJ390" s="561">
        <v>0</v>
      </c>
      <c r="OK390" s="561">
        <v>0</v>
      </c>
      <c r="OL390" s="561">
        <v>0</v>
      </c>
      <c r="OM390" s="561">
        <v>0</v>
      </c>
      <c r="ON390" s="561">
        <v>0</v>
      </c>
      <c r="OO390" s="561">
        <v>0</v>
      </c>
      <c r="OP390" s="561">
        <v>0</v>
      </c>
      <c r="OQ390" s="561">
        <v>0</v>
      </c>
      <c r="OR390" s="561">
        <v>0</v>
      </c>
      <c r="OS390" s="561">
        <v>0</v>
      </c>
      <c r="OT390" s="561">
        <v>0</v>
      </c>
      <c r="OU390" s="561">
        <v>0</v>
      </c>
      <c r="OV390" s="561">
        <v>0</v>
      </c>
      <c r="OW390" s="561">
        <v>0</v>
      </c>
      <c r="OX390" s="561">
        <v>0</v>
      </c>
      <c r="OY390" s="561">
        <v>0</v>
      </c>
      <c r="OZ390" s="561">
        <v>0</v>
      </c>
      <c r="PA390" s="561">
        <v>0</v>
      </c>
      <c r="PB390" s="561">
        <v>0</v>
      </c>
      <c r="PC390" s="561">
        <v>0</v>
      </c>
      <c r="PD390" s="561">
        <v>0</v>
      </c>
      <c r="PE390" s="561">
        <v>0</v>
      </c>
      <c r="PF390" s="561">
        <v>0</v>
      </c>
      <c r="PG390" s="561">
        <v>0</v>
      </c>
      <c r="PH390" s="561">
        <v>0</v>
      </c>
      <c r="PI390" s="561">
        <v>0</v>
      </c>
      <c r="PJ390" s="561">
        <v>0</v>
      </c>
    </row>
    <row r="391" spans="1:426" ht="14" x14ac:dyDescent="0.3">
      <c r="A391" t="s">
        <v>3617</v>
      </c>
      <c r="B391" t="s">
        <v>3618</v>
      </c>
      <c r="C391" t="s">
        <v>3619</v>
      </c>
      <c r="E391" t="s">
        <v>384</v>
      </c>
      <c r="F391" s="561">
        <v>0</v>
      </c>
      <c r="G391" s="561">
        <v>0</v>
      </c>
      <c r="H391" s="561">
        <v>0</v>
      </c>
      <c r="I391" s="561">
        <v>0</v>
      </c>
      <c r="J391" s="561">
        <v>0</v>
      </c>
      <c r="K391" s="561">
        <v>0</v>
      </c>
      <c r="L391" s="561">
        <v>0</v>
      </c>
      <c r="M391" s="561">
        <v>0</v>
      </c>
      <c r="N391" s="561">
        <v>0</v>
      </c>
      <c r="O391" s="561">
        <v>0</v>
      </c>
      <c r="P391" s="561">
        <v>0</v>
      </c>
      <c r="Q391" s="561">
        <v>0</v>
      </c>
      <c r="R391" s="561">
        <v>0</v>
      </c>
      <c r="S391" s="561">
        <v>0</v>
      </c>
      <c r="T391" s="561">
        <v>0</v>
      </c>
      <c r="U391" s="561">
        <v>0</v>
      </c>
      <c r="V391" s="561">
        <v>0</v>
      </c>
      <c r="W391" s="561">
        <v>0</v>
      </c>
      <c r="X391" s="561">
        <v>0</v>
      </c>
      <c r="Y391" s="561">
        <v>0</v>
      </c>
      <c r="Z391" s="561">
        <v>0</v>
      </c>
      <c r="AA391" s="561">
        <v>0</v>
      </c>
      <c r="AB391" s="561">
        <v>246</v>
      </c>
      <c r="AC391" s="561">
        <v>0</v>
      </c>
      <c r="AD391" s="561">
        <v>0</v>
      </c>
      <c r="AE391" s="561">
        <v>0</v>
      </c>
      <c r="AF391" s="561">
        <v>0</v>
      </c>
      <c r="AG391" s="561">
        <v>0</v>
      </c>
      <c r="AH391" s="561">
        <v>0</v>
      </c>
      <c r="AI391" s="561">
        <v>0</v>
      </c>
      <c r="AJ391" s="561">
        <v>246</v>
      </c>
      <c r="AK391" s="561">
        <v>0</v>
      </c>
      <c r="AL391" s="561">
        <v>0</v>
      </c>
      <c r="AM391" s="561">
        <v>0</v>
      </c>
      <c r="AN391" s="561">
        <v>0</v>
      </c>
      <c r="AO391" s="561">
        <v>0</v>
      </c>
      <c r="AP391" s="561">
        <v>0</v>
      </c>
      <c r="AQ391" s="561">
        <v>0</v>
      </c>
      <c r="AR391" s="561">
        <v>0</v>
      </c>
      <c r="AS391" s="561">
        <v>0</v>
      </c>
      <c r="AT391" s="561">
        <v>0</v>
      </c>
      <c r="AU391" s="561">
        <v>0</v>
      </c>
      <c r="AV391" s="561">
        <v>0</v>
      </c>
      <c r="AW391" s="561">
        <v>0</v>
      </c>
      <c r="AX391" s="561">
        <v>0</v>
      </c>
      <c r="AY391" s="561">
        <v>0</v>
      </c>
      <c r="AZ391" s="561">
        <v>0</v>
      </c>
      <c r="BA391" s="561">
        <v>0</v>
      </c>
      <c r="BB391" s="561">
        <v>0</v>
      </c>
      <c r="BC391" s="561">
        <v>0</v>
      </c>
      <c r="BD391" s="561">
        <v>0</v>
      </c>
      <c r="BE391" s="561">
        <v>0</v>
      </c>
      <c r="BF391" s="561">
        <v>0</v>
      </c>
      <c r="BG391" s="561">
        <v>0</v>
      </c>
      <c r="BH391" s="561">
        <v>0</v>
      </c>
      <c r="BI391" s="561">
        <v>0</v>
      </c>
      <c r="BJ391" s="561">
        <v>0</v>
      </c>
      <c r="BK391" s="561">
        <v>0</v>
      </c>
      <c r="BL391" s="561">
        <v>0</v>
      </c>
      <c r="BM391" s="561">
        <v>0</v>
      </c>
      <c r="BN391" s="561">
        <v>0</v>
      </c>
      <c r="BO391" s="561">
        <v>0</v>
      </c>
      <c r="BP391" s="561">
        <v>0</v>
      </c>
      <c r="BQ391" s="561">
        <v>0</v>
      </c>
      <c r="BR391" s="561">
        <v>0</v>
      </c>
      <c r="BS391" s="561">
        <v>0</v>
      </c>
      <c r="BT391" s="561">
        <v>0</v>
      </c>
      <c r="BU391" s="561">
        <v>0</v>
      </c>
      <c r="BV391" s="561">
        <v>0</v>
      </c>
      <c r="BW391" s="561">
        <v>0</v>
      </c>
      <c r="BX391" s="561">
        <v>0</v>
      </c>
      <c r="BY391" s="561">
        <v>0</v>
      </c>
      <c r="BZ391" s="561">
        <v>0</v>
      </c>
      <c r="CA391" s="561">
        <v>0</v>
      </c>
      <c r="CB391" s="561">
        <v>0</v>
      </c>
      <c r="CC391" s="561">
        <v>0</v>
      </c>
      <c r="CD391" s="561">
        <v>0</v>
      </c>
      <c r="CE391" s="561">
        <v>0</v>
      </c>
      <c r="CF391" s="561">
        <v>0</v>
      </c>
      <c r="CG391" s="561">
        <v>0</v>
      </c>
      <c r="CH391" s="561">
        <v>0</v>
      </c>
      <c r="CI391" s="561">
        <v>0</v>
      </c>
      <c r="CJ391" s="561">
        <v>0</v>
      </c>
      <c r="CK391" s="561">
        <v>0</v>
      </c>
      <c r="CL391" s="561">
        <v>0</v>
      </c>
      <c r="CM391" s="561">
        <v>0</v>
      </c>
      <c r="CN391" s="561">
        <v>0</v>
      </c>
      <c r="CO391" s="561">
        <v>0</v>
      </c>
      <c r="CP391" s="561">
        <v>0</v>
      </c>
      <c r="CQ391" s="561">
        <v>0</v>
      </c>
      <c r="CR391" s="561">
        <v>0</v>
      </c>
      <c r="CS391" s="561">
        <v>0</v>
      </c>
      <c r="CT391" s="561">
        <v>0</v>
      </c>
      <c r="CU391" s="561">
        <v>0</v>
      </c>
      <c r="CV391" s="561">
        <v>0</v>
      </c>
      <c r="CW391" s="561">
        <v>0</v>
      </c>
      <c r="CX391" s="561">
        <v>0</v>
      </c>
      <c r="CY391" s="561">
        <v>0</v>
      </c>
      <c r="CZ391" s="561">
        <v>0</v>
      </c>
      <c r="DA391" s="561">
        <v>0</v>
      </c>
      <c r="DB391" s="561">
        <v>0</v>
      </c>
      <c r="DC391" s="561">
        <v>0</v>
      </c>
      <c r="DD391" s="561">
        <v>0</v>
      </c>
      <c r="DE391" s="561">
        <v>0</v>
      </c>
      <c r="DF391" s="561">
        <v>0</v>
      </c>
      <c r="DG391" s="561">
        <v>0</v>
      </c>
      <c r="DH391" s="561">
        <v>176</v>
      </c>
      <c r="DI391" s="561">
        <v>10</v>
      </c>
      <c r="DJ391" s="561">
        <v>-34</v>
      </c>
      <c r="DK391" s="561">
        <v>0</v>
      </c>
      <c r="DL391" s="561">
        <v>0</v>
      </c>
      <c r="DM391" s="561">
        <v>0</v>
      </c>
      <c r="DN391" s="561">
        <v>0</v>
      </c>
      <c r="DO391" s="561">
        <v>0</v>
      </c>
      <c r="DP391" s="561">
        <v>0</v>
      </c>
      <c r="DQ391" s="561">
        <v>0</v>
      </c>
      <c r="DR391" s="561">
        <v>0</v>
      </c>
      <c r="DS391" s="561">
        <v>107</v>
      </c>
      <c r="DT391" s="561">
        <v>0</v>
      </c>
      <c r="DU391" s="561">
        <v>107</v>
      </c>
      <c r="DV391" s="561">
        <v>0</v>
      </c>
      <c r="DW391" s="561">
        <v>0</v>
      </c>
      <c r="DX391" s="561">
        <v>0</v>
      </c>
      <c r="DY391" s="561">
        <v>293</v>
      </c>
      <c r="DZ391" s="561">
        <v>0</v>
      </c>
      <c r="EA391" s="561">
        <v>0</v>
      </c>
      <c r="EB391" s="561">
        <v>0</v>
      </c>
      <c r="EC391" s="561">
        <v>552</v>
      </c>
      <c r="ED391" s="561">
        <v>35</v>
      </c>
      <c r="EE391" s="561">
        <v>0</v>
      </c>
      <c r="EF391" s="561">
        <v>0</v>
      </c>
      <c r="EG391" s="561">
        <v>0</v>
      </c>
      <c r="EH391" s="561">
        <v>0</v>
      </c>
      <c r="EI391" s="561">
        <v>0</v>
      </c>
      <c r="EJ391" s="561">
        <v>0</v>
      </c>
      <c r="EK391" s="561">
        <v>0</v>
      </c>
      <c r="EL391" s="561">
        <v>0</v>
      </c>
      <c r="EM391" s="561">
        <v>0</v>
      </c>
      <c r="EN391" s="561">
        <v>0</v>
      </c>
      <c r="EO391" s="561">
        <v>0</v>
      </c>
      <c r="EP391" s="561">
        <v>0</v>
      </c>
      <c r="EQ391" s="561">
        <v>0</v>
      </c>
      <c r="ER391" s="561">
        <v>0</v>
      </c>
      <c r="ES391" s="561" t="s">
        <v>4565</v>
      </c>
      <c r="ET391" s="561">
        <v>0</v>
      </c>
      <c r="EU391" s="561">
        <v>0</v>
      </c>
      <c r="EV391" s="561">
        <v>0</v>
      </c>
      <c r="EW391" s="561">
        <v>0</v>
      </c>
      <c r="EX391" s="561">
        <v>0</v>
      </c>
      <c r="EY391" s="561">
        <v>0</v>
      </c>
      <c r="EZ391" s="561">
        <v>0</v>
      </c>
      <c r="FA391" s="561">
        <v>0</v>
      </c>
      <c r="FB391" s="561">
        <v>0</v>
      </c>
      <c r="FC391" s="561">
        <v>113</v>
      </c>
      <c r="FD391" s="561">
        <v>0</v>
      </c>
      <c r="FE391" s="561">
        <v>0</v>
      </c>
      <c r="FF391" s="561">
        <v>0</v>
      </c>
      <c r="FG391" s="561">
        <v>13</v>
      </c>
      <c r="FH391" s="561">
        <v>0</v>
      </c>
      <c r="FI391" s="561">
        <v>59</v>
      </c>
      <c r="FJ391" s="561">
        <v>-1971</v>
      </c>
      <c r="FK391" s="561">
        <v>714</v>
      </c>
      <c r="FL391" s="561">
        <v>0</v>
      </c>
      <c r="FM391" s="561">
        <v>204</v>
      </c>
      <c r="FN391" s="561">
        <v>0</v>
      </c>
      <c r="FO391" s="561">
        <v>-868</v>
      </c>
      <c r="FP391" s="561">
        <v>0</v>
      </c>
      <c r="FQ391" s="561">
        <v>0</v>
      </c>
      <c r="FR391" s="561">
        <v>0</v>
      </c>
      <c r="FS391" s="561">
        <v>0</v>
      </c>
      <c r="FT391" s="561">
        <v>130</v>
      </c>
      <c r="FU391" s="561">
        <v>379</v>
      </c>
      <c r="FV391" s="561">
        <v>0</v>
      </c>
      <c r="FW391" s="561">
        <v>0</v>
      </c>
      <c r="FX391" s="561">
        <v>0</v>
      </c>
      <c r="FY391" s="561">
        <v>0</v>
      </c>
      <c r="FZ391" s="561">
        <v>0</v>
      </c>
      <c r="GA391" s="561">
        <v>190</v>
      </c>
      <c r="GB391" s="561">
        <v>86</v>
      </c>
      <c r="GC391" s="561">
        <v>-6</v>
      </c>
      <c r="GD391" s="561">
        <v>195</v>
      </c>
      <c r="GE391" s="561">
        <v>0</v>
      </c>
      <c r="GF391" s="561">
        <v>86</v>
      </c>
      <c r="GG391" s="561">
        <v>191</v>
      </c>
      <c r="GH391" s="561">
        <v>0</v>
      </c>
      <c r="GI391" s="561">
        <v>0</v>
      </c>
      <c r="GJ391" s="561">
        <v>0</v>
      </c>
      <c r="GK391" s="561">
        <v>0</v>
      </c>
      <c r="GL391" s="561">
        <v>1270</v>
      </c>
      <c r="GM391" s="561">
        <v>1968</v>
      </c>
      <c r="GN391" s="561">
        <v>0</v>
      </c>
      <c r="GO391" s="561">
        <v>-23</v>
      </c>
      <c r="GP391" s="561">
        <v>3315</v>
      </c>
      <c r="GQ391" s="561">
        <v>0</v>
      </c>
      <c r="GR391" s="561">
        <v>286</v>
      </c>
      <c r="GS391" s="561">
        <v>8067</v>
      </c>
      <c r="GT391" s="561">
        <v>0</v>
      </c>
      <c r="GU391" s="561">
        <v>155</v>
      </c>
      <c r="GV391" s="561">
        <v>401</v>
      </c>
      <c r="GW391" s="561">
        <v>0</v>
      </c>
      <c r="GX391" s="561">
        <v>652</v>
      </c>
      <c r="GY391" s="561">
        <v>0</v>
      </c>
      <c r="GZ391" s="561">
        <v>69</v>
      </c>
      <c r="HA391" s="561">
        <v>0</v>
      </c>
      <c r="HB391" s="561">
        <v>44</v>
      </c>
      <c r="HC391" s="561">
        <v>287</v>
      </c>
      <c r="HD391" s="561">
        <v>1608</v>
      </c>
      <c r="HE391" s="561">
        <v>0</v>
      </c>
      <c r="HF391" s="561">
        <v>8807</v>
      </c>
      <c r="HG391" s="561">
        <v>0</v>
      </c>
      <c r="HH391" s="561">
        <v>0</v>
      </c>
      <c r="HI391" s="561">
        <v>0</v>
      </c>
      <c r="HJ391" s="561">
        <v>0</v>
      </c>
      <c r="HK391" s="561">
        <v>0</v>
      </c>
      <c r="HL391" s="561">
        <v>0</v>
      </c>
      <c r="HM391" s="561">
        <v>0</v>
      </c>
      <c r="HN391" s="561">
        <v>0</v>
      </c>
      <c r="HO391" s="561">
        <v>1960</v>
      </c>
      <c r="HP391" s="561">
        <v>68</v>
      </c>
      <c r="HQ391" s="561">
        <v>0</v>
      </c>
      <c r="HR391" s="561">
        <v>0</v>
      </c>
      <c r="HS391" s="561">
        <v>0</v>
      </c>
      <c r="HT391" s="561">
        <v>-85</v>
      </c>
      <c r="HU391" s="561">
        <v>0</v>
      </c>
      <c r="HV391" s="561">
        <v>0</v>
      </c>
      <c r="HW391" s="561">
        <v>188</v>
      </c>
      <c r="HX391" s="561">
        <v>0</v>
      </c>
      <c r="HY391" s="561">
        <v>10</v>
      </c>
      <c r="HZ391" s="561">
        <v>-59</v>
      </c>
      <c r="IA391" s="561">
        <v>0</v>
      </c>
      <c r="IB391" s="561">
        <v>0</v>
      </c>
      <c r="IC391" s="561">
        <v>0</v>
      </c>
      <c r="ID391" s="561">
        <v>0</v>
      </c>
      <c r="IE391" s="561">
        <v>813</v>
      </c>
      <c r="IF391" s="561">
        <v>0</v>
      </c>
      <c r="IG391" s="561">
        <v>0</v>
      </c>
      <c r="IH391" s="561">
        <v>3434</v>
      </c>
      <c r="II391" s="561">
        <v>6329</v>
      </c>
      <c r="IJ391" s="561">
        <v>0</v>
      </c>
      <c r="IK391" s="561">
        <v>0</v>
      </c>
      <c r="IL391" s="561">
        <v>0</v>
      </c>
      <c r="IM391" s="561">
        <v>0</v>
      </c>
      <c r="IN391" s="561">
        <v>1541</v>
      </c>
      <c r="IO391" s="561">
        <v>0</v>
      </c>
      <c r="IP391" s="561">
        <v>0</v>
      </c>
      <c r="IQ391" s="561">
        <v>0</v>
      </c>
      <c r="IR391" s="561">
        <v>0</v>
      </c>
      <c r="IS391" s="561">
        <v>246</v>
      </c>
      <c r="IT391" s="561">
        <v>0</v>
      </c>
      <c r="IU391" s="561">
        <v>0</v>
      </c>
      <c r="IV391" s="561">
        <v>0</v>
      </c>
      <c r="IW391" s="561">
        <v>552</v>
      </c>
      <c r="IX391" s="561">
        <v>-868</v>
      </c>
      <c r="IY391" s="561">
        <v>8067</v>
      </c>
      <c r="IZ391" s="561">
        <v>1608</v>
      </c>
      <c r="JA391" s="561">
        <v>0</v>
      </c>
      <c r="JB391" s="561">
        <v>0</v>
      </c>
      <c r="JC391" s="561">
        <v>6329</v>
      </c>
      <c r="JD391" s="561">
        <v>0</v>
      </c>
      <c r="JE391" s="561">
        <v>15934</v>
      </c>
      <c r="JF391" s="561">
        <v>15367</v>
      </c>
      <c r="JG391" s="561">
        <v>0</v>
      </c>
      <c r="JH391" s="561">
        <v>0</v>
      </c>
      <c r="JI391" s="561">
        <v>0</v>
      </c>
      <c r="JJ391" s="561">
        <v>0</v>
      </c>
      <c r="JK391" s="561">
        <v>5078</v>
      </c>
      <c r="JL391" s="561">
        <v>0</v>
      </c>
      <c r="JM391" s="561">
        <v>0</v>
      </c>
      <c r="JN391" s="561">
        <v>0</v>
      </c>
      <c r="JO391" s="561">
        <v>0</v>
      </c>
      <c r="JP391" s="561">
        <v>-215</v>
      </c>
      <c r="JQ391" s="561">
        <v>0</v>
      </c>
      <c r="JR391" s="561">
        <v>0</v>
      </c>
      <c r="JS391" s="561">
        <v>0</v>
      </c>
      <c r="JT391" s="561">
        <v>0</v>
      </c>
      <c r="JU391" s="561">
        <v>0</v>
      </c>
      <c r="JV391" s="561">
        <v>36164</v>
      </c>
      <c r="JW391" s="561">
        <v>0</v>
      </c>
      <c r="JX391" s="561">
        <v>547</v>
      </c>
      <c r="JY391" s="561">
        <v>0</v>
      </c>
      <c r="JZ391" s="561">
        <v>0</v>
      </c>
      <c r="KA391" s="561">
        <v>0</v>
      </c>
      <c r="KB391" s="561">
        <v>76</v>
      </c>
      <c r="KC391" s="561">
        <v>519</v>
      </c>
      <c r="KD391" s="561">
        <v>0</v>
      </c>
      <c r="KE391" s="561">
        <v>0</v>
      </c>
      <c r="KF391" s="561">
        <v>0</v>
      </c>
      <c r="KG391" s="561">
        <v>37306</v>
      </c>
      <c r="KH391" s="561">
        <v>-4468</v>
      </c>
      <c r="KI391" s="561">
        <v>0</v>
      </c>
      <c r="KJ391" s="561">
        <v>0</v>
      </c>
      <c r="KK391" s="561">
        <v>0</v>
      </c>
      <c r="KL391" s="561">
        <v>-14287</v>
      </c>
      <c r="KM391" s="561">
        <v>0</v>
      </c>
      <c r="KN391" s="561">
        <v>0</v>
      </c>
      <c r="KO391" s="561">
        <v>0</v>
      </c>
      <c r="KP391" s="561">
        <v>0</v>
      </c>
      <c r="KQ391" s="561">
        <v>0</v>
      </c>
      <c r="KR391" s="561">
        <v>18551</v>
      </c>
      <c r="KS391" s="561">
        <v>0</v>
      </c>
      <c r="KT391" s="561">
        <v>-3341</v>
      </c>
      <c r="KU391" s="561">
        <v>15210</v>
      </c>
      <c r="KV391" s="561">
        <v>0</v>
      </c>
      <c r="KW391" s="561">
        <v>0</v>
      </c>
      <c r="KX391" s="561">
        <v>0</v>
      </c>
      <c r="KY391" s="561">
        <v>0</v>
      </c>
      <c r="KZ391" s="561">
        <v>1538</v>
      </c>
      <c r="LA391" s="561">
        <v>6</v>
      </c>
      <c r="LB391" s="561">
        <v>-230</v>
      </c>
      <c r="LC391" s="561">
        <v>0</v>
      </c>
      <c r="LD391" s="561">
        <v>-5339</v>
      </c>
      <c r="LE391" s="561">
        <v>-156</v>
      </c>
      <c r="LF391" s="561">
        <v>0</v>
      </c>
      <c r="LG391" s="561">
        <v>11029</v>
      </c>
      <c r="LH391" s="561">
        <v>0</v>
      </c>
      <c r="LI391" s="561">
        <v>0</v>
      </c>
      <c r="LJ391" s="561">
        <v>0</v>
      </c>
      <c r="LK391" s="561">
        <v>0</v>
      </c>
      <c r="LL391" s="561">
        <v>17589</v>
      </c>
      <c r="LM391" s="561">
        <v>12251</v>
      </c>
      <c r="LN391" s="561">
        <v>0</v>
      </c>
      <c r="LO391" s="561">
        <v>0</v>
      </c>
      <c r="LP391" s="561">
        <v>0</v>
      </c>
      <c r="LQ391" s="561">
        <v>0</v>
      </c>
      <c r="LR391" s="561">
        <v>19127</v>
      </c>
      <c r="LS391" s="561">
        <v>12257</v>
      </c>
      <c r="LT391" s="561">
        <v>0</v>
      </c>
      <c r="LU391" s="561">
        <v>1804</v>
      </c>
      <c r="LV391" s="561">
        <v>0</v>
      </c>
      <c r="LW391" s="561">
        <v>-3025</v>
      </c>
      <c r="LX391" s="561">
        <v>0</v>
      </c>
      <c r="LY391" s="561">
        <v>3233</v>
      </c>
      <c r="LZ391" s="561">
        <v>4900</v>
      </c>
      <c r="MA391" s="561">
        <v>0</v>
      </c>
      <c r="MB391" s="561">
        <v>0</v>
      </c>
      <c r="MC391" s="561">
        <v>0</v>
      </c>
      <c r="MD391" s="561">
        <v>0</v>
      </c>
      <c r="ME391" s="561">
        <v>0</v>
      </c>
      <c r="MF391" s="561">
        <v>0</v>
      </c>
      <c r="MG391" s="561">
        <v>0</v>
      </c>
      <c r="MH391" s="561">
        <v>2482</v>
      </c>
      <c r="MI391" s="561">
        <v>3528</v>
      </c>
      <c r="MJ391" s="561">
        <v>6010</v>
      </c>
      <c r="MK391" s="561">
        <v>0</v>
      </c>
      <c r="ML391" s="561">
        <v>0</v>
      </c>
      <c r="MM391" s="561">
        <v>19127</v>
      </c>
      <c r="MN391" s="561">
        <v>0</v>
      </c>
      <c r="MO391" s="561">
        <v>0</v>
      </c>
      <c r="MP391" s="561">
        <v>0</v>
      </c>
      <c r="MQ391" s="561">
        <v>0</v>
      </c>
      <c r="MR391" s="561">
        <v>246</v>
      </c>
      <c r="MS391" s="561">
        <v>0</v>
      </c>
      <c r="MT391" s="561">
        <v>0</v>
      </c>
      <c r="MU391" s="561">
        <v>0</v>
      </c>
      <c r="MV391" s="561">
        <v>552</v>
      </c>
      <c r="MW391" s="561">
        <v>-868</v>
      </c>
      <c r="MX391" s="561">
        <v>8067</v>
      </c>
      <c r="MY391" s="561">
        <v>1608</v>
      </c>
      <c r="MZ391" s="561">
        <v>0</v>
      </c>
      <c r="NA391" s="561">
        <v>0</v>
      </c>
      <c r="NB391" s="561">
        <v>6329</v>
      </c>
      <c r="NC391" s="561">
        <v>0</v>
      </c>
      <c r="ND391" s="561">
        <v>15934</v>
      </c>
      <c r="NE391" s="561">
        <v>0</v>
      </c>
      <c r="NF391" s="561">
        <v>0</v>
      </c>
      <c r="NG391" s="561">
        <v>0</v>
      </c>
      <c r="NH391" s="561">
        <v>0</v>
      </c>
      <c r="NI391" s="561">
        <v>0</v>
      </c>
      <c r="NJ391" s="561">
        <v>0</v>
      </c>
      <c r="NK391" s="561">
        <v>0</v>
      </c>
      <c r="NL391" s="561">
        <v>0</v>
      </c>
      <c r="NM391" s="561">
        <v>0</v>
      </c>
      <c r="NN391" s="561">
        <v>0</v>
      </c>
      <c r="NO391" s="561">
        <v>0</v>
      </c>
      <c r="NP391" s="561">
        <v>0</v>
      </c>
      <c r="NQ391" s="561">
        <v>0</v>
      </c>
      <c r="NR391" s="561">
        <v>0</v>
      </c>
      <c r="NS391" s="561">
        <v>0</v>
      </c>
      <c r="NT391" s="561">
        <v>-242</v>
      </c>
      <c r="NU391" s="561">
        <v>0</v>
      </c>
      <c r="NV391" s="561">
        <v>27</v>
      </c>
      <c r="NW391" s="561">
        <v>-215</v>
      </c>
      <c r="NX391" s="561">
        <v>0</v>
      </c>
      <c r="NY391" s="561">
        <v>-215</v>
      </c>
      <c r="NZ391" s="561">
        <v>0</v>
      </c>
      <c r="OA391" s="561">
        <v>0</v>
      </c>
      <c r="OB391" s="561">
        <v>0</v>
      </c>
      <c r="OC391" s="561">
        <v>0</v>
      </c>
      <c r="OD391" s="561">
        <v>0</v>
      </c>
      <c r="OE391" s="561">
        <v>0</v>
      </c>
      <c r="OF391" s="561">
        <v>0</v>
      </c>
      <c r="OG391" s="561">
        <v>0</v>
      </c>
      <c r="OH391" s="561">
        <v>0</v>
      </c>
      <c r="OI391" s="561">
        <v>0</v>
      </c>
      <c r="OJ391" s="561">
        <v>0</v>
      </c>
      <c r="OK391" s="561">
        <v>0</v>
      </c>
      <c r="OL391" s="561">
        <v>0</v>
      </c>
      <c r="OM391" s="561">
        <v>0</v>
      </c>
      <c r="ON391" s="561">
        <v>0</v>
      </c>
      <c r="OO391" s="561">
        <v>0</v>
      </c>
      <c r="OP391" s="561">
        <v>0</v>
      </c>
      <c r="OQ391" s="561">
        <v>0</v>
      </c>
      <c r="OR391" s="561">
        <v>0</v>
      </c>
      <c r="OS391" s="561">
        <v>0</v>
      </c>
      <c r="OT391" s="561">
        <v>0</v>
      </c>
      <c r="OU391" s="561">
        <v>0</v>
      </c>
      <c r="OV391" s="561">
        <v>0</v>
      </c>
      <c r="OW391" s="561">
        <v>0</v>
      </c>
      <c r="OX391" s="561">
        <v>0</v>
      </c>
      <c r="OY391" s="561">
        <v>0</v>
      </c>
      <c r="OZ391" s="561">
        <v>0</v>
      </c>
      <c r="PA391" s="561">
        <v>0</v>
      </c>
      <c r="PB391" s="561">
        <v>0</v>
      </c>
      <c r="PC391" s="561">
        <v>0</v>
      </c>
      <c r="PD391" s="561">
        <v>0</v>
      </c>
      <c r="PE391" s="561">
        <v>0</v>
      </c>
      <c r="PF391" s="561">
        <v>0</v>
      </c>
      <c r="PG391" s="561">
        <v>0</v>
      </c>
      <c r="PH391" s="561">
        <v>0</v>
      </c>
      <c r="PI391" s="561">
        <v>0</v>
      </c>
      <c r="PJ391" s="561">
        <v>0</v>
      </c>
    </row>
    <row r="392" spans="1:426" ht="14" x14ac:dyDescent="0.3">
      <c r="A392" t="s">
        <v>3620</v>
      </c>
      <c r="B392" t="s">
        <v>3621</v>
      </c>
      <c r="C392" t="s">
        <v>3622</v>
      </c>
      <c r="E392" t="s">
        <v>384</v>
      </c>
      <c r="F392" s="561">
        <v>0</v>
      </c>
      <c r="G392" s="561">
        <v>0</v>
      </c>
      <c r="H392" s="561">
        <v>0</v>
      </c>
      <c r="I392" s="561">
        <v>0</v>
      </c>
      <c r="J392" s="561">
        <v>0</v>
      </c>
      <c r="K392" s="561">
        <v>0</v>
      </c>
      <c r="L392" s="561">
        <v>0</v>
      </c>
      <c r="M392" s="561">
        <v>0</v>
      </c>
      <c r="N392" s="561">
        <v>0</v>
      </c>
      <c r="O392" s="561">
        <v>0</v>
      </c>
      <c r="P392" s="561">
        <v>0</v>
      </c>
      <c r="Q392" s="561">
        <v>0</v>
      </c>
      <c r="R392" s="561">
        <v>0</v>
      </c>
      <c r="S392" s="561">
        <v>0</v>
      </c>
      <c r="T392" s="561">
        <v>1059</v>
      </c>
      <c r="U392" s="561">
        <v>0</v>
      </c>
      <c r="V392" s="561">
        <v>0</v>
      </c>
      <c r="W392" s="561">
        <v>0</v>
      </c>
      <c r="X392" s="561">
        <v>0</v>
      </c>
      <c r="Y392" s="561">
        <v>0</v>
      </c>
      <c r="Z392" s="561">
        <v>132</v>
      </c>
      <c r="AA392" s="561">
        <v>-581</v>
      </c>
      <c r="AB392" s="561">
        <v>-3904</v>
      </c>
      <c r="AC392" s="561">
        <v>0</v>
      </c>
      <c r="AD392" s="561">
        <v>0</v>
      </c>
      <c r="AE392" s="561">
        <v>0</v>
      </c>
      <c r="AF392" s="561">
        <v>0</v>
      </c>
      <c r="AG392" s="561">
        <v>0</v>
      </c>
      <c r="AH392" s="561">
        <v>278</v>
      </c>
      <c r="AI392" s="561">
        <v>0</v>
      </c>
      <c r="AJ392" s="561">
        <v>-3016</v>
      </c>
      <c r="AK392" s="561">
        <v>0</v>
      </c>
      <c r="AL392" s="561">
        <v>0</v>
      </c>
      <c r="AM392" s="561">
        <v>0</v>
      </c>
      <c r="AN392" s="561">
        <v>0</v>
      </c>
      <c r="AO392" s="561">
        <v>0</v>
      </c>
      <c r="AP392" s="561">
        <v>0</v>
      </c>
      <c r="AQ392" s="561">
        <v>0</v>
      </c>
      <c r="AR392" s="561">
        <v>0</v>
      </c>
      <c r="AS392" s="561">
        <v>0</v>
      </c>
      <c r="AT392" s="561">
        <v>680</v>
      </c>
      <c r="AU392" s="561">
        <v>0</v>
      </c>
      <c r="AV392" s="561">
        <v>0</v>
      </c>
      <c r="AW392" s="561">
        <v>0</v>
      </c>
      <c r="AX392" s="561">
        <v>0</v>
      </c>
      <c r="AY392" s="561">
        <v>0</v>
      </c>
      <c r="AZ392" s="561">
        <v>0</v>
      </c>
      <c r="BA392" s="561">
        <v>0</v>
      </c>
      <c r="BB392" s="561">
        <v>0</v>
      </c>
      <c r="BC392" s="561">
        <v>0</v>
      </c>
      <c r="BD392" s="561">
        <v>0</v>
      </c>
      <c r="BE392" s="561">
        <v>0</v>
      </c>
      <c r="BF392" s="561">
        <v>0</v>
      </c>
      <c r="BG392" s="561">
        <v>0</v>
      </c>
      <c r="BH392" s="561">
        <v>0</v>
      </c>
      <c r="BI392" s="561">
        <v>0</v>
      </c>
      <c r="BJ392" s="561">
        <v>0</v>
      </c>
      <c r="BK392" s="561">
        <v>0</v>
      </c>
      <c r="BL392" s="561">
        <v>0</v>
      </c>
      <c r="BM392" s="561">
        <v>0</v>
      </c>
      <c r="BN392" s="561">
        <v>0</v>
      </c>
      <c r="BO392" s="561">
        <v>0</v>
      </c>
      <c r="BP392" s="561">
        <v>0</v>
      </c>
      <c r="BQ392" s="561">
        <v>0</v>
      </c>
      <c r="BR392" s="561">
        <v>0</v>
      </c>
      <c r="BS392" s="561">
        <v>0</v>
      </c>
      <c r="BT392" s="561">
        <v>0</v>
      </c>
      <c r="BU392" s="561">
        <v>0</v>
      </c>
      <c r="BV392" s="561">
        <v>0</v>
      </c>
      <c r="BW392" s="561">
        <v>0</v>
      </c>
      <c r="BX392" s="561">
        <v>0</v>
      </c>
      <c r="BY392" s="561">
        <v>0</v>
      </c>
      <c r="BZ392" s="561">
        <v>0</v>
      </c>
      <c r="CA392" s="561">
        <v>0</v>
      </c>
      <c r="CB392" s="561">
        <v>0</v>
      </c>
      <c r="CC392" s="561">
        <v>0</v>
      </c>
      <c r="CD392" s="561">
        <v>0</v>
      </c>
      <c r="CE392" s="561">
        <v>0</v>
      </c>
      <c r="CF392" s="561">
        <v>0</v>
      </c>
      <c r="CG392" s="561">
        <v>0</v>
      </c>
      <c r="CH392" s="561">
        <v>0</v>
      </c>
      <c r="CI392" s="561">
        <v>0</v>
      </c>
      <c r="CJ392" s="561">
        <v>0</v>
      </c>
      <c r="CK392" s="561">
        <v>0</v>
      </c>
      <c r="CL392" s="561">
        <v>0</v>
      </c>
      <c r="CM392" s="561">
        <v>0</v>
      </c>
      <c r="CN392" s="561">
        <v>0</v>
      </c>
      <c r="CO392" s="561">
        <v>0</v>
      </c>
      <c r="CP392" s="561">
        <v>0</v>
      </c>
      <c r="CQ392" s="561">
        <v>0</v>
      </c>
      <c r="CR392" s="561">
        <v>0</v>
      </c>
      <c r="CS392" s="561">
        <v>0</v>
      </c>
      <c r="CT392" s="561">
        <v>0</v>
      </c>
      <c r="CU392" s="561">
        <v>0</v>
      </c>
      <c r="CV392" s="561">
        <v>0</v>
      </c>
      <c r="CW392" s="561">
        <v>0</v>
      </c>
      <c r="CX392" s="561">
        <v>0</v>
      </c>
      <c r="CY392" s="561">
        <v>0</v>
      </c>
      <c r="CZ392" s="561">
        <v>0</v>
      </c>
      <c r="DA392" s="561">
        <v>0</v>
      </c>
      <c r="DB392" s="561">
        <v>0</v>
      </c>
      <c r="DC392" s="561">
        <v>0</v>
      </c>
      <c r="DD392" s="561">
        <v>0</v>
      </c>
      <c r="DE392" s="561">
        <v>0</v>
      </c>
      <c r="DF392" s="561">
        <v>0</v>
      </c>
      <c r="DG392" s="561">
        <v>0</v>
      </c>
      <c r="DH392" s="561">
        <v>401</v>
      </c>
      <c r="DI392" s="561">
        <v>0</v>
      </c>
      <c r="DJ392" s="561">
        <v>0</v>
      </c>
      <c r="DK392" s="561">
        <v>0</v>
      </c>
      <c r="DL392" s="561">
        <v>0</v>
      </c>
      <c r="DM392" s="561">
        <v>0</v>
      </c>
      <c r="DN392" s="561">
        <v>0</v>
      </c>
      <c r="DO392" s="561">
        <v>1187</v>
      </c>
      <c r="DP392" s="561">
        <v>0</v>
      </c>
      <c r="DQ392" s="561">
        <v>275</v>
      </c>
      <c r="DR392" s="561">
        <v>480</v>
      </c>
      <c r="DS392" s="561">
        <v>411</v>
      </c>
      <c r="DT392" s="561">
        <v>0</v>
      </c>
      <c r="DU392" s="561">
        <v>2353</v>
      </c>
      <c r="DV392" s="561">
        <v>159</v>
      </c>
      <c r="DW392" s="561">
        <v>0</v>
      </c>
      <c r="DX392" s="561">
        <v>0</v>
      </c>
      <c r="DY392" s="561">
        <v>1298</v>
      </c>
      <c r="DZ392" s="561">
        <v>45</v>
      </c>
      <c r="EA392" s="561">
        <v>0</v>
      </c>
      <c r="EB392" s="561">
        <v>0</v>
      </c>
      <c r="EC392" s="561">
        <v>4256</v>
      </c>
      <c r="ED392" s="561">
        <v>0</v>
      </c>
      <c r="EE392" s="561">
        <v>0</v>
      </c>
      <c r="EF392" s="561">
        <v>0</v>
      </c>
      <c r="EG392" s="561">
        <v>0</v>
      </c>
      <c r="EH392" s="561">
        <v>0</v>
      </c>
      <c r="EI392" s="561">
        <v>0</v>
      </c>
      <c r="EJ392" s="561">
        <v>0</v>
      </c>
      <c r="EK392" s="561">
        <v>0</v>
      </c>
      <c r="EL392" s="561">
        <v>0</v>
      </c>
      <c r="EM392" s="561">
        <v>0</v>
      </c>
      <c r="EN392" s="561">
        <v>0</v>
      </c>
      <c r="EO392" s="561">
        <v>0</v>
      </c>
      <c r="EP392" s="561">
        <v>0</v>
      </c>
      <c r="EQ392" s="561">
        <v>0</v>
      </c>
      <c r="ER392" s="561">
        <v>0</v>
      </c>
      <c r="ES392" s="561" t="s">
        <v>4565</v>
      </c>
      <c r="ET392" s="561">
        <v>0</v>
      </c>
      <c r="EU392" s="561">
        <v>0</v>
      </c>
      <c r="EV392" s="561">
        <v>0</v>
      </c>
      <c r="EW392" s="561">
        <v>0</v>
      </c>
      <c r="EX392" s="561">
        <v>0</v>
      </c>
      <c r="EY392" s="561">
        <v>0</v>
      </c>
      <c r="EZ392" s="561">
        <v>0</v>
      </c>
      <c r="FA392" s="561">
        <v>0</v>
      </c>
      <c r="FB392" s="561">
        <v>0</v>
      </c>
      <c r="FC392" s="561">
        <v>240</v>
      </c>
      <c r="FD392" s="561">
        <v>464</v>
      </c>
      <c r="FE392" s="561">
        <v>373</v>
      </c>
      <c r="FF392" s="561">
        <v>1004</v>
      </c>
      <c r="FG392" s="561">
        <v>36</v>
      </c>
      <c r="FH392" s="561">
        <v>0</v>
      </c>
      <c r="FI392" s="561">
        <v>0</v>
      </c>
      <c r="FJ392" s="561">
        <v>402</v>
      </c>
      <c r="FK392" s="561">
        <v>2167</v>
      </c>
      <c r="FL392" s="561">
        <v>0</v>
      </c>
      <c r="FM392" s="561">
        <v>156</v>
      </c>
      <c r="FN392" s="561">
        <v>0</v>
      </c>
      <c r="FO392" s="561">
        <v>4842</v>
      </c>
      <c r="FP392" s="561">
        <v>0</v>
      </c>
      <c r="FQ392" s="561">
        <v>459</v>
      </c>
      <c r="FR392" s="561">
        <v>0</v>
      </c>
      <c r="FS392" s="561">
        <v>20</v>
      </c>
      <c r="FT392" s="561">
        <v>289</v>
      </c>
      <c r="FU392" s="561">
        <v>-534</v>
      </c>
      <c r="FV392" s="561">
        <v>0</v>
      </c>
      <c r="FW392" s="561">
        <v>251</v>
      </c>
      <c r="FX392" s="561">
        <v>0</v>
      </c>
      <c r="FY392" s="561">
        <v>0</v>
      </c>
      <c r="FZ392" s="561">
        <v>0</v>
      </c>
      <c r="GA392" s="561">
        <v>319</v>
      </c>
      <c r="GB392" s="561">
        <v>852</v>
      </c>
      <c r="GC392" s="561">
        <v>273</v>
      </c>
      <c r="GD392" s="561">
        <v>0</v>
      </c>
      <c r="GE392" s="561">
        <v>0</v>
      </c>
      <c r="GF392" s="561">
        <v>364</v>
      </c>
      <c r="GG392" s="561">
        <v>0</v>
      </c>
      <c r="GH392" s="561">
        <v>7</v>
      </c>
      <c r="GI392" s="561">
        <v>195</v>
      </c>
      <c r="GJ392" s="561">
        <v>0</v>
      </c>
      <c r="GK392" s="561">
        <v>0</v>
      </c>
      <c r="GL392" s="561">
        <v>2552</v>
      </c>
      <c r="GM392" s="561">
        <v>4269</v>
      </c>
      <c r="GN392" s="561">
        <v>0</v>
      </c>
      <c r="GO392" s="561">
        <v>-399</v>
      </c>
      <c r="GP392" s="561">
        <v>-663</v>
      </c>
      <c r="GQ392" s="561">
        <v>0</v>
      </c>
      <c r="GR392" s="561">
        <v>121</v>
      </c>
      <c r="GS392" s="561">
        <v>8375</v>
      </c>
      <c r="GT392" s="561">
        <v>365</v>
      </c>
      <c r="GU392" s="561">
        <v>409</v>
      </c>
      <c r="GV392" s="561">
        <v>1358</v>
      </c>
      <c r="GW392" s="561">
        <v>0</v>
      </c>
      <c r="GX392" s="561">
        <v>1476</v>
      </c>
      <c r="GY392" s="561">
        <v>-2767</v>
      </c>
      <c r="GZ392" s="561">
        <v>169</v>
      </c>
      <c r="HA392" s="561">
        <v>0</v>
      </c>
      <c r="HB392" s="561">
        <v>788</v>
      </c>
      <c r="HC392" s="561">
        <v>1342</v>
      </c>
      <c r="HD392" s="561">
        <v>2775</v>
      </c>
      <c r="HE392" s="561">
        <v>14</v>
      </c>
      <c r="HF392" s="561">
        <v>15992</v>
      </c>
      <c r="HG392" s="561">
        <v>379</v>
      </c>
      <c r="HH392" s="561">
        <v>0</v>
      </c>
      <c r="HI392" s="561">
        <v>0</v>
      </c>
      <c r="HJ392" s="561">
        <v>0</v>
      </c>
      <c r="HK392" s="561">
        <v>0</v>
      </c>
      <c r="HL392" s="561">
        <v>0</v>
      </c>
      <c r="HM392" s="561">
        <v>0</v>
      </c>
      <c r="HN392" s="561">
        <v>0</v>
      </c>
      <c r="HO392" s="561">
        <v>5547</v>
      </c>
      <c r="HP392" s="561">
        <v>871</v>
      </c>
      <c r="HQ392" s="561">
        <v>0</v>
      </c>
      <c r="HR392" s="561">
        <v>0</v>
      </c>
      <c r="HS392" s="561">
        <v>0</v>
      </c>
      <c r="HT392" s="561">
        <v>52</v>
      </c>
      <c r="HU392" s="561">
        <v>0</v>
      </c>
      <c r="HV392" s="561">
        <v>0</v>
      </c>
      <c r="HW392" s="561">
        <v>457</v>
      </c>
      <c r="HX392" s="561">
        <v>69</v>
      </c>
      <c r="HY392" s="561">
        <v>0</v>
      </c>
      <c r="HZ392" s="561">
        <v>-70</v>
      </c>
      <c r="IA392" s="561">
        <v>0</v>
      </c>
      <c r="IB392" s="561">
        <v>0</v>
      </c>
      <c r="IC392" s="561">
        <v>0</v>
      </c>
      <c r="ID392" s="561">
        <v>0</v>
      </c>
      <c r="IE392" s="561">
        <v>600</v>
      </c>
      <c r="IF392" s="561">
        <v>0</v>
      </c>
      <c r="IG392" s="561">
        <v>0</v>
      </c>
      <c r="IH392" s="561">
        <v>-234</v>
      </c>
      <c r="II392" s="561">
        <v>7292</v>
      </c>
      <c r="IJ392" s="561">
        <v>49</v>
      </c>
      <c r="IK392" s="561">
        <v>12684</v>
      </c>
      <c r="IL392" s="561">
        <v>6327</v>
      </c>
      <c r="IM392" s="561">
        <v>0</v>
      </c>
      <c r="IN392" s="561">
        <v>0</v>
      </c>
      <c r="IO392" s="561">
        <v>4230</v>
      </c>
      <c r="IP392" s="561">
        <v>0</v>
      </c>
      <c r="IQ392" s="561">
        <v>0</v>
      </c>
      <c r="IR392" s="561">
        <v>0</v>
      </c>
      <c r="IS392" s="561">
        <v>-3016</v>
      </c>
      <c r="IT392" s="561">
        <v>0</v>
      </c>
      <c r="IU392" s="561">
        <v>0</v>
      </c>
      <c r="IV392" s="561">
        <v>0</v>
      </c>
      <c r="IW392" s="561">
        <v>4256</v>
      </c>
      <c r="IX392" s="561">
        <v>4842</v>
      </c>
      <c r="IY392" s="561">
        <v>8375</v>
      </c>
      <c r="IZ392" s="561">
        <v>2775</v>
      </c>
      <c r="JA392" s="561">
        <v>0</v>
      </c>
      <c r="JB392" s="561">
        <v>0</v>
      </c>
      <c r="JC392" s="561">
        <v>7292</v>
      </c>
      <c r="JD392" s="561">
        <v>0</v>
      </c>
      <c r="JE392" s="561">
        <v>24524</v>
      </c>
      <c r="JF392" s="561">
        <v>26796</v>
      </c>
      <c r="JG392" s="561">
        <v>931</v>
      </c>
      <c r="JH392" s="561">
        <v>0</v>
      </c>
      <c r="JI392" s="561">
        <v>0</v>
      </c>
      <c r="JJ392" s="561">
        <v>0</v>
      </c>
      <c r="JK392" s="561">
        <v>5585</v>
      </c>
      <c r="JL392" s="561">
        <v>0</v>
      </c>
      <c r="JM392" s="561">
        <v>0</v>
      </c>
      <c r="JN392" s="561">
        <v>0</v>
      </c>
      <c r="JO392" s="561">
        <v>0</v>
      </c>
      <c r="JP392" s="561">
        <v>-1405</v>
      </c>
      <c r="JQ392" s="561">
        <v>0</v>
      </c>
      <c r="JR392" s="561">
        <v>-1695</v>
      </c>
      <c r="JS392" s="561">
        <v>0</v>
      </c>
      <c r="JT392" s="561">
        <v>110</v>
      </c>
      <c r="JU392" s="561">
        <v>0</v>
      </c>
      <c r="JV392" s="561">
        <v>54846</v>
      </c>
      <c r="JW392" s="561">
        <v>0</v>
      </c>
      <c r="JX392" s="561">
        <v>5393</v>
      </c>
      <c r="JY392" s="561">
        <v>0</v>
      </c>
      <c r="JZ392" s="561">
        <v>0</v>
      </c>
      <c r="KA392" s="561">
        <v>0</v>
      </c>
      <c r="KB392" s="561">
        <v>180</v>
      </c>
      <c r="KC392" s="561">
        <v>1128</v>
      </c>
      <c r="KD392" s="561">
        <v>51</v>
      </c>
      <c r="KE392" s="561">
        <v>191</v>
      </c>
      <c r="KF392" s="561">
        <v>0</v>
      </c>
      <c r="KG392" s="561">
        <v>61789</v>
      </c>
      <c r="KH392" s="561">
        <v>-2736</v>
      </c>
      <c r="KI392" s="561">
        <v>0</v>
      </c>
      <c r="KJ392" s="561">
        <v>0</v>
      </c>
      <c r="KK392" s="561">
        <v>0</v>
      </c>
      <c r="KL392" s="561">
        <v>-27307</v>
      </c>
      <c r="KM392" s="561">
        <v>0</v>
      </c>
      <c r="KN392" s="561">
        <v>0</v>
      </c>
      <c r="KO392" s="561">
        <v>0</v>
      </c>
      <c r="KP392" s="561">
        <v>0</v>
      </c>
      <c r="KQ392" s="561">
        <v>0</v>
      </c>
      <c r="KR392" s="561">
        <v>31746</v>
      </c>
      <c r="KS392" s="561">
        <v>0</v>
      </c>
      <c r="KT392" s="561">
        <v>-4708</v>
      </c>
      <c r="KU392" s="561">
        <v>27038</v>
      </c>
      <c r="KV392" s="561">
        <v>0</v>
      </c>
      <c r="KW392" s="561">
        <v>0</v>
      </c>
      <c r="KX392" s="561">
        <v>0</v>
      </c>
      <c r="KY392" s="561">
        <v>0</v>
      </c>
      <c r="KZ392" s="561">
        <v>7367</v>
      </c>
      <c r="LA392" s="561">
        <v>109</v>
      </c>
      <c r="LB392" s="561">
        <v>-448</v>
      </c>
      <c r="LC392" s="561">
        <v>0</v>
      </c>
      <c r="LD392" s="561">
        <v>-16730</v>
      </c>
      <c r="LE392" s="561">
        <v>-142</v>
      </c>
      <c r="LF392" s="561">
        <v>0</v>
      </c>
      <c r="LG392" s="561">
        <v>17194</v>
      </c>
      <c r="LH392" s="561">
        <v>0</v>
      </c>
      <c r="LI392" s="561">
        <v>0</v>
      </c>
      <c r="LJ392" s="561">
        <v>0</v>
      </c>
      <c r="LK392" s="561">
        <v>0</v>
      </c>
      <c r="LL392" s="561">
        <v>44442</v>
      </c>
      <c r="LM392" s="561">
        <v>5516</v>
      </c>
      <c r="LN392" s="561">
        <v>0</v>
      </c>
      <c r="LO392" s="561">
        <v>0</v>
      </c>
      <c r="LP392" s="561">
        <v>0</v>
      </c>
      <c r="LQ392" s="561">
        <v>0</v>
      </c>
      <c r="LR392" s="561">
        <v>51809</v>
      </c>
      <c r="LS392" s="561">
        <v>5625</v>
      </c>
      <c r="LT392" s="561">
        <v>0</v>
      </c>
      <c r="LU392" s="561">
        <v>6519</v>
      </c>
      <c r="LV392" s="561">
        <v>0</v>
      </c>
      <c r="LW392" s="561">
        <v>370</v>
      </c>
      <c r="LX392" s="561">
        <v>-2172</v>
      </c>
      <c r="LY392" s="561">
        <v>521</v>
      </c>
      <c r="LZ392" s="561">
        <v>5238</v>
      </c>
      <c r="MA392" s="561">
        <v>0</v>
      </c>
      <c r="MB392" s="561">
        <v>0</v>
      </c>
      <c r="MC392" s="561">
        <v>0</v>
      </c>
      <c r="MD392" s="561">
        <v>0</v>
      </c>
      <c r="ME392" s="561">
        <v>0</v>
      </c>
      <c r="MF392" s="561">
        <v>0</v>
      </c>
      <c r="MG392" s="561">
        <v>0</v>
      </c>
      <c r="MH392" s="561">
        <v>4160</v>
      </c>
      <c r="MI392" s="561">
        <v>4756</v>
      </c>
      <c r="MJ392" s="561">
        <v>8916</v>
      </c>
      <c r="MK392" s="561">
        <v>0</v>
      </c>
      <c r="ML392" s="561">
        <v>0</v>
      </c>
      <c r="MM392" s="561">
        <v>42170</v>
      </c>
      <c r="MN392" s="561">
        <v>337</v>
      </c>
      <c r="MO392" s="561">
        <v>9302</v>
      </c>
      <c r="MP392" s="561">
        <v>0</v>
      </c>
      <c r="MQ392" s="561">
        <v>0</v>
      </c>
      <c r="MR392" s="561">
        <v>-3016</v>
      </c>
      <c r="MS392" s="561">
        <v>0</v>
      </c>
      <c r="MT392" s="561">
        <v>0</v>
      </c>
      <c r="MU392" s="561">
        <v>0</v>
      </c>
      <c r="MV392" s="561">
        <v>4256</v>
      </c>
      <c r="MW392" s="561">
        <v>4842</v>
      </c>
      <c r="MX392" s="561">
        <v>8375</v>
      </c>
      <c r="MY392" s="561">
        <v>2775</v>
      </c>
      <c r="MZ392" s="561">
        <v>0</v>
      </c>
      <c r="NA392" s="561">
        <v>0</v>
      </c>
      <c r="NB392" s="561">
        <v>7292</v>
      </c>
      <c r="NC392" s="561">
        <v>0</v>
      </c>
      <c r="ND392" s="561">
        <v>24524</v>
      </c>
      <c r="NE392" s="561">
        <v>0</v>
      </c>
      <c r="NF392" s="561">
        <v>0</v>
      </c>
      <c r="NG392" s="561">
        <v>0</v>
      </c>
      <c r="NH392" s="561">
        <v>0</v>
      </c>
      <c r="NI392" s="561">
        <v>0</v>
      </c>
      <c r="NJ392" s="561">
        <v>0</v>
      </c>
      <c r="NK392" s="561">
        <v>0</v>
      </c>
      <c r="NL392" s="561">
        <v>0</v>
      </c>
      <c r="NM392" s="561">
        <v>0</v>
      </c>
      <c r="NN392" s="561">
        <v>0</v>
      </c>
      <c r="NO392" s="561">
        <v>0</v>
      </c>
      <c r="NP392" s="561">
        <v>0</v>
      </c>
      <c r="NQ392" s="561">
        <v>0</v>
      </c>
      <c r="NR392" s="561">
        <v>0</v>
      </c>
      <c r="NS392" s="561">
        <v>0</v>
      </c>
      <c r="NT392" s="561">
        <v>-2029</v>
      </c>
      <c r="NU392" s="561">
        <v>-1986</v>
      </c>
      <c r="NV392" s="561">
        <v>91</v>
      </c>
      <c r="NW392" s="561">
        <v>-3100</v>
      </c>
      <c r="NX392" s="561">
        <v>1695</v>
      </c>
      <c r="NY392" s="561">
        <v>-1405</v>
      </c>
      <c r="NZ392" s="561">
        <v>0</v>
      </c>
      <c r="OA392" s="561">
        <v>0</v>
      </c>
      <c r="OB392" s="561">
        <v>0</v>
      </c>
      <c r="OC392" s="561">
        <v>0</v>
      </c>
      <c r="OD392" s="561">
        <v>0</v>
      </c>
      <c r="OE392" s="561">
        <v>0</v>
      </c>
      <c r="OF392" s="561">
        <v>0</v>
      </c>
      <c r="OG392" s="561">
        <v>0</v>
      </c>
      <c r="OH392" s="561">
        <v>0</v>
      </c>
      <c r="OI392" s="561">
        <v>0</v>
      </c>
      <c r="OJ392" s="561">
        <v>0</v>
      </c>
      <c r="OK392" s="561">
        <v>0</v>
      </c>
      <c r="OL392" s="561">
        <v>0</v>
      </c>
      <c r="OM392" s="561">
        <v>0</v>
      </c>
      <c r="ON392" s="561">
        <v>0</v>
      </c>
      <c r="OO392" s="561">
        <v>0</v>
      </c>
      <c r="OP392" s="561">
        <v>0</v>
      </c>
      <c r="OQ392" s="561">
        <v>0</v>
      </c>
      <c r="OR392" s="561">
        <v>0</v>
      </c>
      <c r="OS392" s="561">
        <v>0</v>
      </c>
      <c r="OT392" s="561">
        <v>0</v>
      </c>
      <c r="OU392" s="561">
        <v>0</v>
      </c>
      <c r="OV392" s="561">
        <v>0</v>
      </c>
      <c r="OW392" s="561">
        <v>0</v>
      </c>
      <c r="OX392" s="561">
        <v>0</v>
      </c>
      <c r="OY392" s="561">
        <v>1431</v>
      </c>
      <c r="OZ392" s="561">
        <v>0</v>
      </c>
      <c r="PA392" s="561">
        <v>264</v>
      </c>
      <c r="PB392" s="561">
        <v>0</v>
      </c>
      <c r="PC392" s="561">
        <v>0</v>
      </c>
      <c r="PD392" s="561">
        <v>1695</v>
      </c>
      <c r="PE392" s="561">
        <v>0</v>
      </c>
      <c r="PF392" s="561">
        <v>0</v>
      </c>
      <c r="PG392" s="561">
        <v>0</v>
      </c>
      <c r="PH392" s="561">
        <v>0</v>
      </c>
      <c r="PI392" s="561">
        <v>0</v>
      </c>
      <c r="PJ392" s="561">
        <v>0</v>
      </c>
    </row>
    <row r="393" spans="1:426" ht="14" x14ac:dyDescent="0.3">
      <c r="A393" t="s">
        <v>3623</v>
      </c>
      <c r="B393" t="s">
        <v>3624</v>
      </c>
      <c r="C393" t="s">
        <v>4682</v>
      </c>
      <c r="E393" t="s">
        <v>2595</v>
      </c>
      <c r="F393" s="561">
        <v>96564</v>
      </c>
      <c r="G393" s="561">
        <v>218322</v>
      </c>
      <c r="H393" s="561">
        <v>190423</v>
      </c>
      <c r="I393" s="561">
        <v>143600</v>
      </c>
      <c r="J393" s="561">
        <v>18419</v>
      </c>
      <c r="K393" s="561">
        <v>74120</v>
      </c>
      <c r="L393" s="561">
        <v>741448</v>
      </c>
      <c r="M393" s="561">
        <v>12994</v>
      </c>
      <c r="N393" s="561">
        <v>-4510</v>
      </c>
      <c r="O393" s="561">
        <v>142</v>
      </c>
      <c r="P393" s="561">
        <v>78</v>
      </c>
      <c r="Q393" s="561">
        <v>456</v>
      </c>
      <c r="R393" s="561">
        <v>1509</v>
      </c>
      <c r="S393" s="561">
        <v>3890</v>
      </c>
      <c r="T393" s="561">
        <v>23339</v>
      </c>
      <c r="U393" s="561">
        <v>1927</v>
      </c>
      <c r="V393" s="561">
        <v>19652</v>
      </c>
      <c r="W393" s="561">
        <v>0</v>
      </c>
      <c r="X393" s="561">
        <v>0</v>
      </c>
      <c r="Y393" s="561">
        <v>767</v>
      </c>
      <c r="Z393" s="561">
        <v>70</v>
      </c>
      <c r="AA393" s="561">
        <v>-540</v>
      </c>
      <c r="AB393" s="561">
        <v>0</v>
      </c>
      <c r="AC393" s="561">
        <v>12199</v>
      </c>
      <c r="AD393" s="561">
        <v>406</v>
      </c>
      <c r="AE393" s="561">
        <v>5411</v>
      </c>
      <c r="AF393" s="561">
        <v>0</v>
      </c>
      <c r="AG393" s="561">
        <v>0</v>
      </c>
      <c r="AH393" s="561">
        <v>2463</v>
      </c>
      <c r="AI393" s="561">
        <v>0</v>
      </c>
      <c r="AJ393" s="561">
        <v>67259</v>
      </c>
      <c r="AK393" s="561">
        <v>1640</v>
      </c>
      <c r="AL393" s="561">
        <v>0</v>
      </c>
      <c r="AM393" s="561">
        <v>0</v>
      </c>
      <c r="AN393" s="561">
        <v>0</v>
      </c>
      <c r="AO393" s="561">
        <v>0</v>
      </c>
      <c r="AP393" s="561">
        <v>0</v>
      </c>
      <c r="AQ393" s="561">
        <v>0</v>
      </c>
      <c r="AR393" s="561">
        <v>0</v>
      </c>
      <c r="AS393" s="561">
        <v>1295</v>
      </c>
      <c r="AT393" s="561">
        <v>3942</v>
      </c>
      <c r="AU393" s="561">
        <v>0</v>
      </c>
      <c r="AV393" s="561">
        <v>0</v>
      </c>
      <c r="AW393" s="561">
        <v>0</v>
      </c>
      <c r="AX393" s="561">
        <v>2704</v>
      </c>
      <c r="AY393" s="561">
        <v>124354</v>
      </c>
      <c r="AZ393" s="561">
        <v>0</v>
      </c>
      <c r="BA393" s="561">
        <v>23344</v>
      </c>
      <c r="BB393" s="561">
        <v>2096</v>
      </c>
      <c r="BC393" s="561">
        <v>60174</v>
      </c>
      <c r="BD393" s="561">
        <v>5403</v>
      </c>
      <c r="BE393" s="561">
        <v>1441</v>
      </c>
      <c r="BF393" s="561">
        <v>219516</v>
      </c>
      <c r="BG393" s="561">
        <v>3485</v>
      </c>
      <c r="BH393" s="561">
        <v>30234</v>
      </c>
      <c r="BI393" s="561">
        <v>95993</v>
      </c>
      <c r="BJ393" s="561">
        <v>1024</v>
      </c>
      <c r="BK393" s="561">
        <v>2769</v>
      </c>
      <c r="BL393" s="561">
        <v>-4638</v>
      </c>
      <c r="BM393" s="561">
        <v>29810</v>
      </c>
      <c r="BN393" s="561">
        <v>110496</v>
      </c>
      <c r="BO393" s="561">
        <v>12755</v>
      </c>
      <c r="BP393" s="561">
        <v>19507</v>
      </c>
      <c r="BQ393" s="561">
        <v>7549</v>
      </c>
      <c r="BR393" s="561">
        <v>0</v>
      </c>
      <c r="BS393" s="561">
        <v>0</v>
      </c>
      <c r="BT393" s="561">
        <v>2664</v>
      </c>
      <c r="BU393" s="561">
        <v>0</v>
      </c>
      <c r="BV393" s="561">
        <v>688</v>
      </c>
      <c r="BW393" s="561">
        <v>42078</v>
      </c>
      <c r="BX393" s="561">
        <v>2494</v>
      </c>
      <c r="BY393" s="561">
        <v>9527</v>
      </c>
      <c r="BZ393" s="561">
        <v>362950</v>
      </c>
      <c r="CA393" s="561">
        <v>5572</v>
      </c>
      <c r="CB393" s="561">
        <v>5474</v>
      </c>
      <c r="CC393" s="561">
        <v>653</v>
      </c>
      <c r="CD393" s="561">
        <v>49</v>
      </c>
      <c r="CE393" s="561">
        <v>1016</v>
      </c>
      <c r="CF393" s="561">
        <v>447</v>
      </c>
      <c r="CG393" s="561">
        <v>118</v>
      </c>
      <c r="CH393" s="561">
        <v>2071</v>
      </c>
      <c r="CI393" s="561">
        <v>901</v>
      </c>
      <c r="CJ393" s="561">
        <v>178</v>
      </c>
      <c r="CK393" s="561">
        <v>549</v>
      </c>
      <c r="CL393" s="561">
        <v>101</v>
      </c>
      <c r="CM393" s="561">
        <v>848</v>
      </c>
      <c r="CN393" s="561">
        <v>913</v>
      </c>
      <c r="CO393" s="561">
        <v>2575</v>
      </c>
      <c r="CP393" s="561">
        <v>3979</v>
      </c>
      <c r="CQ393" s="561">
        <v>1914</v>
      </c>
      <c r="CR393" s="561">
        <v>1780</v>
      </c>
      <c r="CS393" s="561">
        <v>89</v>
      </c>
      <c r="CT393" s="561">
        <v>2389</v>
      </c>
      <c r="CU393" s="561">
        <v>8519</v>
      </c>
      <c r="CV393" s="561">
        <v>4169</v>
      </c>
      <c r="CW393" s="561">
        <v>108</v>
      </c>
      <c r="CX393" s="561">
        <v>390</v>
      </c>
      <c r="CY393" s="561">
        <v>6978</v>
      </c>
      <c r="CZ393" s="561">
        <v>46208</v>
      </c>
      <c r="DA393" s="561">
        <v>92</v>
      </c>
      <c r="DB393" s="561">
        <v>0</v>
      </c>
      <c r="DC393" s="561">
        <v>0</v>
      </c>
      <c r="DD393" s="561">
        <v>0</v>
      </c>
      <c r="DE393" s="561">
        <v>0</v>
      </c>
      <c r="DF393" s="561">
        <v>0</v>
      </c>
      <c r="DG393" s="561">
        <v>0</v>
      </c>
      <c r="DH393" s="561">
        <v>0</v>
      </c>
      <c r="DI393" s="561">
        <v>0</v>
      </c>
      <c r="DJ393" s="561">
        <v>0</v>
      </c>
      <c r="DK393" s="561">
        <v>0</v>
      </c>
      <c r="DL393" s="561">
        <v>0</v>
      </c>
      <c r="DM393" s="561">
        <v>0</v>
      </c>
      <c r="DN393" s="561">
        <v>0</v>
      </c>
      <c r="DO393" s="561">
        <v>843</v>
      </c>
      <c r="DP393" s="561">
        <v>0</v>
      </c>
      <c r="DQ393" s="561">
        <v>4212</v>
      </c>
      <c r="DR393" s="561">
        <v>0</v>
      </c>
      <c r="DS393" s="561">
        <v>0</v>
      </c>
      <c r="DT393" s="561">
        <v>0</v>
      </c>
      <c r="DU393" s="561">
        <v>5055</v>
      </c>
      <c r="DV393" s="561">
        <v>0</v>
      </c>
      <c r="DW393" s="561">
        <v>0</v>
      </c>
      <c r="DX393" s="561">
        <v>0</v>
      </c>
      <c r="DY393" s="561">
        <v>0</v>
      </c>
      <c r="DZ393" s="561">
        <v>227</v>
      </c>
      <c r="EA393" s="561">
        <v>748</v>
      </c>
      <c r="EB393" s="561">
        <v>0</v>
      </c>
      <c r="EC393" s="561">
        <v>6030</v>
      </c>
      <c r="ED393" s="561">
        <v>6</v>
      </c>
      <c r="EE393" s="561">
        <v>0</v>
      </c>
      <c r="EF393" s="561">
        <v>0</v>
      </c>
      <c r="EG393" s="561">
        <v>0</v>
      </c>
      <c r="EH393" s="561">
        <v>0</v>
      </c>
      <c r="EI393" s="561">
        <v>0</v>
      </c>
      <c r="EJ393" s="561">
        <v>0</v>
      </c>
      <c r="EK393" s="561">
        <v>0</v>
      </c>
      <c r="EL393" s="561">
        <v>0</v>
      </c>
      <c r="EM393" s="561">
        <v>0</v>
      </c>
      <c r="EN393" s="561">
        <v>0</v>
      </c>
      <c r="EO393" s="561">
        <v>0</v>
      </c>
      <c r="EP393" s="561">
        <v>0</v>
      </c>
      <c r="EQ393" s="561">
        <v>0</v>
      </c>
      <c r="ER393" s="561">
        <v>0</v>
      </c>
      <c r="ES393" s="561" t="s">
        <v>4565</v>
      </c>
      <c r="ET393" s="561">
        <v>0</v>
      </c>
      <c r="EU393" s="561">
        <v>0</v>
      </c>
      <c r="EV393" s="561">
        <v>0</v>
      </c>
      <c r="EW393" s="561">
        <v>0</v>
      </c>
      <c r="EX393" s="561">
        <v>0</v>
      </c>
      <c r="EY393" s="561">
        <v>0</v>
      </c>
      <c r="EZ393" s="561">
        <v>0</v>
      </c>
      <c r="FA393" s="561">
        <v>0</v>
      </c>
      <c r="FB393" s="561">
        <v>863</v>
      </c>
      <c r="FC393" s="561">
        <v>0</v>
      </c>
      <c r="FD393" s="561">
        <v>0</v>
      </c>
      <c r="FE393" s="561">
        <v>0</v>
      </c>
      <c r="FF393" s="561">
        <v>0</v>
      </c>
      <c r="FG393" s="561">
        <v>0</v>
      </c>
      <c r="FH393" s="561">
        <v>0</v>
      </c>
      <c r="FI393" s="561">
        <v>0</v>
      </c>
      <c r="FJ393" s="561">
        <v>230</v>
      </c>
      <c r="FK393" s="561">
        <v>1853</v>
      </c>
      <c r="FL393" s="561">
        <v>0</v>
      </c>
      <c r="FM393" s="561">
        <v>0</v>
      </c>
      <c r="FN393" s="561">
        <v>9627</v>
      </c>
      <c r="FO393" s="561">
        <v>12573</v>
      </c>
      <c r="FP393" s="561">
        <v>36</v>
      </c>
      <c r="FQ393" s="561">
        <v>711</v>
      </c>
      <c r="FR393" s="561">
        <v>1525</v>
      </c>
      <c r="FS393" s="561">
        <v>0</v>
      </c>
      <c r="FT393" s="561">
        <v>0</v>
      </c>
      <c r="FU393" s="561">
        <v>0</v>
      </c>
      <c r="FV393" s="561">
        <v>0</v>
      </c>
      <c r="FW393" s="561">
        <v>0</v>
      </c>
      <c r="FX393" s="561">
        <v>0</v>
      </c>
      <c r="FY393" s="561">
        <v>0</v>
      </c>
      <c r="FZ393" s="561">
        <v>0</v>
      </c>
      <c r="GA393" s="561">
        <v>0</v>
      </c>
      <c r="GB393" s="561">
        <v>0</v>
      </c>
      <c r="GC393" s="561">
        <v>-640</v>
      </c>
      <c r="GD393" s="561">
        <v>732</v>
      </c>
      <c r="GE393" s="561">
        <v>183</v>
      </c>
      <c r="GF393" s="561">
        <v>0</v>
      </c>
      <c r="GG393" s="561">
        <v>432</v>
      </c>
      <c r="GH393" s="561">
        <v>0</v>
      </c>
      <c r="GI393" s="561">
        <v>0</v>
      </c>
      <c r="GJ393" s="561">
        <v>0</v>
      </c>
      <c r="GK393" s="561">
        <v>-11</v>
      </c>
      <c r="GL393" s="561">
        <v>256</v>
      </c>
      <c r="GM393" s="561">
        <v>0</v>
      </c>
      <c r="GN393" s="561">
        <v>51617</v>
      </c>
      <c r="GO393" s="561">
        <v>0</v>
      </c>
      <c r="GP393" s="561">
        <v>27152</v>
      </c>
      <c r="GQ393" s="561">
        <v>613</v>
      </c>
      <c r="GR393" s="561">
        <v>549</v>
      </c>
      <c r="GS393" s="561">
        <v>83119</v>
      </c>
      <c r="GT393" s="561">
        <v>48</v>
      </c>
      <c r="GU393" s="561">
        <v>0</v>
      </c>
      <c r="GV393" s="561">
        <v>128</v>
      </c>
      <c r="GW393" s="561">
        <v>0</v>
      </c>
      <c r="GX393" s="561">
        <v>937</v>
      </c>
      <c r="GY393" s="561">
        <v>518</v>
      </c>
      <c r="GZ393" s="561">
        <v>6380</v>
      </c>
      <c r="HA393" s="561">
        <v>0</v>
      </c>
      <c r="HB393" s="561">
        <v>0</v>
      </c>
      <c r="HC393" s="561">
        <v>2036</v>
      </c>
      <c r="HD393" s="561">
        <v>9999</v>
      </c>
      <c r="HE393" s="561">
        <v>0</v>
      </c>
      <c r="HF393" s="561">
        <v>105691</v>
      </c>
      <c r="HG393" s="561">
        <v>0</v>
      </c>
      <c r="HH393" s="561">
        <v>0</v>
      </c>
      <c r="HI393" s="561">
        <v>0</v>
      </c>
      <c r="HJ393" s="561">
        <v>8630</v>
      </c>
      <c r="HK393" s="561">
        <v>32473</v>
      </c>
      <c r="HL393" s="561">
        <v>471</v>
      </c>
      <c r="HM393" s="561">
        <v>41574</v>
      </c>
      <c r="HN393" s="561">
        <v>30</v>
      </c>
      <c r="HO393" s="561">
        <v>4946</v>
      </c>
      <c r="HP393" s="561">
        <v>0</v>
      </c>
      <c r="HQ393" s="561">
        <v>0</v>
      </c>
      <c r="HR393" s="561">
        <v>-13</v>
      </c>
      <c r="HS393" s="561">
        <v>0</v>
      </c>
      <c r="HT393" s="561">
        <v>0</v>
      </c>
      <c r="HU393" s="561">
        <v>0</v>
      </c>
      <c r="HV393" s="561">
        <v>-988</v>
      </c>
      <c r="HW393" s="561">
        <v>0</v>
      </c>
      <c r="HX393" s="561">
        <v>-2</v>
      </c>
      <c r="HY393" s="561">
        <v>0</v>
      </c>
      <c r="HZ393" s="561">
        <v>0</v>
      </c>
      <c r="IA393" s="561">
        <v>10650</v>
      </c>
      <c r="IB393" s="561">
        <v>0</v>
      </c>
      <c r="IC393" s="561">
        <v>2027</v>
      </c>
      <c r="ID393" s="561">
        <v>3</v>
      </c>
      <c r="IE393" s="561">
        <v>321</v>
      </c>
      <c r="IF393" s="561">
        <v>0</v>
      </c>
      <c r="IG393" s="561">
        <v>1118</v>
      </c>
      <c r="IH393" s="561">
        <v>0</v>
      </c>
      <c r="II393" s="561">
        <v>18062</v>
      </c>
      <c r="IJ393" s="561">
        <v>3906</v>
      </c>
      <c r="IK393" s="561">
        <v>0</v>
      </c>
      <c r="IL393" s="561">
        <v>77805</v>
      </c>
      <c r="IM393" s="561">
        <v>0</v>
      </c>
      <c r="IN393" s="561">
        <v>0</v>
      </c>
      <c r="IO393" s="561">
        <v>0</v>
      </c>
      <c r="IP393" s="561">
        <v>9179</v>
      </c>
      <c r="IQ393" s="561">
        <v>4</v>
      </c>
      <c r="IR393" s="561">
        <v>741448</v>
      </c>
      <c r="IS393" s="561">
        <v>67259</v>
      </c>
      <c r="IT393" s="561">
        <v>219516</v>
      </c>
      <c r="IU393" s="561">
        <v>362950</v>
      </c>
      <c r="IV393" s="561">
        <v>46208</v>
      </c>
      <c r="IW393" s="561">
        <v>6030</v>
      </c>
      <c r="IX393" s="561">
        <v>12573</v>
      </c>
      <c r="IY393" s="561">
        <v>83119</v>
      </c>
      <c r="IZ393" s="561">
        <v>9999</v>
      </c>
      <c r="JA393" s="561">
        <v>0</v>
      </c>
      <c r="JB393" s="561">
        <v>41574</v>
      </c>
      <c r="JC393" s="561">
        <v>18062</v>
      </c>
      <c r="JD393" s="561">
        <v>9179</v>
      </c>
      <c r="JE393" s="561">
        <v>1617917</v>
      </c>
      <c r="JF393" s="561">
        <v>0</v>
      </c>
      <c r="JG393" s="561">
        <v>0</v>
      </c>
      <c r="JH393" s="561">
        <v>0</v>
      </c>
      <c r="JI393" s="561">
        <v>0</v>
      </c>
      <c r="JJ393" s="561">
        <v>0</v>
      </c>
      <c r="JK393" s="561">
        <v>0</v>
      </c>
      <c r="JL393" s="561">
        <v>0</v>
      </c>
      <c r="JM393" s="561">
        <v>0</v>
      </c>
      <c r="JN393" s="561">
        <v>0</v>
      </c>
      <c r="JO393" s="561">
        <v>1063</v>
      </c>
      <c r="JP393" s="561">
        <v>0</v>
      </c>
      <c r="JQ393" s="561">
        <v>0</v>
      </c>
      <c r="JR393" s="561">
        <v>0</v>
      </c>
      <c r="JS393" s="561">
        <v>0</v>
      </c>
      <c r="JT393" s="561">
        <v>0</v>
      </c>
      <c r="JU393" s="561">
        <v>0</v>
      </c>
      <c r="JV393" s="561">
        <v>1618980</v>
      </c>
      <c r="JW393" s="561">
        <v>364</v>
      </c>
      <c r="JX393" s="561">
        <v>1068</v>
      </c>
      <c r="JY393" s="561">
        <v>0</v>
      </c>
      <c r="JZ393" s="561">
        <v>0</v>
      </c>
      <c r="KA393" s="561">
        <v>0</v>
      </c>
      <c r="KB393" s="561">
        <v>4875</v>
      </c>
      <c r="KC393" s="561">
        <v>15170</v>
      </c>
      <c r="KD393" s="561">
        <v>0</v>
      </c>
      <c r="KE393" s="561">
        <v>18767</v>
      </c>
      <c r="KF393" s="561">
        <v>0</v>
      </c>
      <c r="KG393" s="561">
        <v>1659224</v>
      </c>
      <c r="KH393" s="561">
        <v>-18072</v>
      </c>
      <c r="KI393" s="561">
        <v>0</v>
      </c>
      <c r="KJ393" s="561">
        <v>0</v>
      </c>
      <c r="KK393" s="561">
        <v>0</v>
      </c>
      <c r="KL393" s="561">
        <v>-16665</v>
      </c>
      <c r="KM393" s="561">
        <v>0</v>
      </c>
      <c r="KN393" s="561">
        <v>0</v>
      </c>
      <c r="KO393" s="561">
        <v>0</v>
      </c>
      <c r="KP393" s="561">
        <v>0</v>
      </c>
      <c r="KQ393" s="561">
        <v>-52672</v>
      </c>
      <c r="KR393" s="561">
        <v>1571815</v>
      </c>
      <c r="KS393" s="561">
        <v>0</v>
      </c>
      <c r="KT393" s="561">
        <v>-829982</v>
      </c>
      <c r="KU393" s="561">
        <v>741833</v>
      </c>
      <c r="KV393" s="561">
        <v>0</v>
      </c>
      <c r="KW393" s="561">
        <v>-6219</v>
      </c>
      <c r="KX393" s="561">
        <v>0</v>
      </c>
      <c r="KY393" s="561">
        <v>0</v>
      </c>
      <c r="KZ393" s="561">
        <v>-24012</v>
      </c>
      <c r="LA393" s="561">
        <v>0</v>
      </c>
      <c r="LB393" s="561">
        <v>-1762</v>
      </c>
      <c r="LC393" s="561">
        <v>0</v>
      </c>
      <c r="LD393" s="561">
        <v>-109749</v>
      </c>
      <c r="LE393" s="561">
        <v>87</v>
      </c>
      <c r="LF393" s="561">
        <v>0</v>
      </c>
      <c r="LG393" s="561">
        <v>600178</v>
      </c>
      <c r="LH393" s="561">
        <v>21216</v>
      </c>
      <c r="LI393" s="561">
        <v>-70534</v>
      </c>
      <c r="LJ393" s="561">
        <v>0</v>
      </c>
      <c r="LK393" s="561">
        <v>0</v>
      </c>
      <c r="LL393" s="561">
        <v>161843</v>
      </c>
      <c r="LM393" s="561">
        <v>36286</v>
      </c>
      <c r="LN393" s="561">
        <v>14997</v>
      </c>
      <c r="LO393" s="561">
        <v>-123206</v>
      </c>
      <c r="LP393" s="561">
        <v>0</v>
      </c>
      <c r="LQ393" s="561">
        <v>0</v>
      </c>
      <c r="LR393" s="561">
        <v>137831</v>
      </c>
      <c r="LS393" s="561">
        <v>36286</v>
      </c>
      <c r="LT393" s="561">
        <v>0</v>
      </c>
      <c r="LU393" s="561">
        <v>77205</v>
      </c>
      <c r="LV393" s="561">
        <v>0</v>
      </c>
      <c r="LW393" s="561">
        <v>95450</v>
      </c>
      <c r="LX393" s="561">
        <v>-47178</v>
      </c>
      <c r="LY393" s="561">
        <v>18950</v>
      </c>
      <c r="LZ393" s="561">
        <v>140875</v>
      </c>
      <c r="MA393" s="561">
        <v>0</v>
      </c>
      <c r="MB393" s="561">
        <v>0</v>
      </c>
      <c r="MC393" s="561">
        <v>0</v>
      </c>
      <c r="MD393" s="561">
        <v>0</v>
      </c>
      <c r="ME393" s="561">
        <v>0</v>
      </c>
      <c r="MF393" s="561">
        <v>0</v>
      </c>
      <c r="MG393" s="561">
        <v>0</v>
      </c>
      <c r="MH393" s="561">
        <v>0</v>
      </c>
      <c r="MI393" s="561">
        <v>0</v>
      </c>
      <c r="MJ393" s="561">
        <v>0</v>
      </c>
      <c r="MK393" s="561">
        <v>0</v>
      </c>
      <c r="ML393" s="561">
        <v>50519</v>
      </c>
      <c r="MM393" s="561">
        <v>34384</v>
      </c>
      <c r="MN393" s="561">
        <v>10087</v>
      </c>
      <c r="MO393" s="561">
        <v>24592</v>
      </c>
      <c r="MP393" s="561">
        <v>18249</v>
      </c>
      <c r="MQ393" s="561">
        <v>741448</v>
      </c>
      <c r="MR393" s="561">
        <v>67259</v>
      </c>
      <c r="MS393" s="561">
        <v>219516</v>
      </c>
      <c r="MT393" s="561">
        <v>362950</v>
      </c>
      <c r="MU393" s="561">
        <v>46208</v>
      </c>
      <c r="MV393" s="561">
        <v>6030</v>
      </c>
      <c r="MW393" s="561">
        <v>12573</v>
      </c>
      <c r="MX393" s="561">
        <v>83119</v>
      </c>
      <c r="MY393" s="561">
        <v>9999</v>
      </c>
      <c r="MZ393" s="561">
        <v>0</v>
      </c>
      <c r="NA393" s="561">
        <v>41574</v>
      </c>
      <c r="NB393" s="561">
        <v>18062</v>
      </c>
      <c r="NC393" s="561">
        <v>9179</v>
      </c>
      <c r="ND393" s="561">
        <v>1617917</v>
      </c>
      <c r="NE393" s="561">
        <v>0</v>
      </c>
      <c r="NF393" s="561">
        <v>0</v>
      </c>
      <c r="NG393" s="561">
        <v>0</v>
      </c>
      <c r="NH393" s="561">
        <v>0</v>
      </c>
      <c r="NI393" s="561">
        <v>0</v>
      </c>
      <c r="NJ393" s="561">
        <v>0</v>
      </c>
      <c r="NK393" s="561">
        <v>0</v>
      </c>
      <c r="NL393" s="561">
        <v>0</v>
      </c>
      <c r="NM393" s="561">
        <v>0</v>
      </c>
      <c r="NN393" s="561">
        <v>0</v>
      </c>
      <c r="NO393" s="561">
        <v>0</v>
      </c>
      <c r="NP393" s="561">
        <v>0</v>
      </c>
      <c r="NQ393" s="561">
        <v>0</v>
      </c>
      <c r="NR393" s="561">
        <v>0</v>
      </c>
      <c r="NS393" s="561">
        <v>0</v>
      </c>
      <c r="NT393" s="561">
        <v>0</v>
      </c>
      <c r="NU393" s="561">
        <v>0</v>
      </c>
      <c r="NV393" s="561">
        <v>0</v>
      </c>
      <c r="NW393" s="561">
        <v>0</v>
      </c>
      <c r="NX393" s="561">
        <v>0</v>
      </c>
      <c r="NY393" s="561">
        <v>0</v>
      </c>
      <c r="NZ393" s="561">
        <v>0</v>
      </c>
      <c r="OA393" s="561">
        <v>0</v>
      </c>
      <c r="OB393" s="561">
        <v>0</v>
      </c>
      <c r="OC393" s="561">
        <v>0</v>
      </c>
      <c r="OD393" s="561">
        <v>0</v>
      </c>
      <c r="OE393" s="561">
        <v>0</v>
      </c>
      <c r="OF393" s="561">
        <v>0</v>
      </c>
      <c r="OG393" s="561">
        <v>0</v>
      </c>
      <c r="OH393" s="561">
        <v>0</v>
      </c>
      <c r="OI393" s="561">
        <v>0</v>
      </c>
      <c r="OJ393" s="561">
        <v>0</v>
      </c>
      <c r="OK393" s="561">
        <v>0</v>
      </c>
      <c r="OL393" s="561">
        <v>0</v>
      </c>
      <c r="OM393" s="561">
        <v>0</v>
      </c>
      <c r="ON393" s="561">
        <v>0</v>
      </c>
      <c r="OO393" s="561">
        <v>0</v>
      </c>
      <c r="OP393" s="561">
        <v>0</v>
      </c>
      <c r="OQ393" s="561">
        <v>0</v>
      </c>
      <c r="OR393" s="561">
        <v>0</v>
      </c>
      <c r="OS393" s="561">
        <v>0</v>
      </c>
      <c r="OT393" s="561">
        <v>0</v>
      </c>
      <c r="OU393" s="561">
        <v>0</v>
      </c>
      <c r="OV393" s="561">
        <v>0</v>
      </c>
      <c r="OW393" s="561">
        <v>0</v>
      </c>
      <c r="OX393" s="561">
        <v>0</v>
      </c>
      <c r="OY393" s="561">
        <v>0</v>
      </c>
      <c r="OZ393" s="561">
        <v>0</v>
      </c>
      <c r="PA393" s="561">
        <v>0</v>
      </c>
      <c r="PB393" s="561">
        <v>0</v>
      </c>
      <c r="PC393" s="561">
        <v>0</v>
      </c>
      <c r="PD393" s="561">
        <v>0</v>
      </c>
      <c r="PE393" s="561">
        <v>0</v>
      </c>
      <c r="PF393" s="561">
        <v>0</v>
      </c>
      <c r="PG393" s="561">
        <v>0</v>
      </c>
      <c r="PH393" s="561">
        <v>0</v>
      </c>
      <c r="PI393" s="561">
        <v>0</v>
      </c>
      <c r="PJ393" s="561">
        <v>0</v>
      </c>
    </row>
    <row r="394" spans="1:426" ht="14" x14ac:dyDescent="0.3">
      <c r="A394" t="s">
        <v>3626</v>
      </c>
      <c r="B394" t="s">
        <v>3627</v>
      </c>
      <c r="C394" t="s">
        <v>3628</v>
      </c>
      <c r="E394" t="s">
        <v>2466</v>
      </c>
      <c r="F394" s="561">
        <v>0</v>
      </c>
      <c r="G394" s="561">
        <v>0</v>
      </c>
      <c r="H394" s="561">
        <v>0</v>
      </c>
      <c r="I394" s="561">
        <v>0</v>
      </c>
      <c r="J394" s="561">
        <v>0</v>
      </c>
      <c r="K394" s="561">
        <v>85090.1</v>
      </c>
      <c r="L394" s="561">
        <v>85090.1</v>
      </c>
      <c r="M394" s="561">
        <v>12</v>
      </c>
      <c r="N394" s="561">
        <v>0</v>
      </c>
      <c r="O394" s="561">
        <v>10947.5</v>
      </c>
      <c r="P394" s="561">
        <v>0</v>
      </c>
      <c r="Q394" s="561">
        <v>0</v>
      </c>
      <c r="R394" s="561">
        <v>0</v>
      </c>
      <c r="S394" s="561">
        <v>0</v>
      </c>
      <c r="T394" s="561">
        <v>0</v>
      </c>
      <c r="U394" s="561">
        <v>0</v>
      </c>
      <c r="V394" s="561">
        <v>0</v>
      </c>
      <c r="W394" s="561">
        <v>0</v>
      </c>
      <c r="X394" s="561">
        <v>0</v>
      </c>
      <c r="Y394" s="561">
        <v>0</v>
      </c>
      <c r="Z394" s="561">
        <v>0</v>
      </c>
      <c r="AA394" s="561">
        <v>0</v>
      </c>
      <c r="AB394" s="561">
        <v>0</v>
      </c>
      <c r="AC394" s="561">
        <v>50200.92</v>
      </c>
      <c r="AD394" s="561">
        <v>0</v>
      </c>
      <c r="AE394" s="561">
        <v>29280.31</v>
      </c>
      <c r="AF394" s="561">
        <v>0</v>
      </c>
      <c r="AG394" s="561">
        <v>0</v>
      </c>
      <c r="AH394" s="561">
        <v>56148.14</v>
      </c>
      <c r="AI394" s="561">
        <v>0</v>
      </c>
      <c r="AJ394" s="561">
        <v>146576.87</v>
      </c>
      <c r="AK394" s="561">
        <v>39</v>
      </c>
      <c r="AL394" s="561">
        <v>0</v>
      </c>
      <c r="AM394" s="561">
        <v>0</v>
      </c>
      <c r="AN394" s="561">
        <v>0</v>
      </c>
      <c r="AO394" s="561">
        <v>0</v>
      </c>
      <c r="AP394" s="561">
        <v>0</v>
      </c>
      <c r="AQ394" s="561">
        <v>0</v>
      </c>
      <c r="AR394" s="561">
        <v>0</v>
      </c>
      <c r="AS394" s="561">
        <v>0</v>
      </c>
      <c r="AT394" s="561">
        <v>0</v>
      </c>
      <c r="AU394" s="561">
        <v>0</v>
      </c>
      <c r="AV394" s="561">
        <v>0</v>
      </c>
      <c r="AW394" s="561">
        <v>0</v>
      </c>
      <c r="AX394" s="561">
        <v>0</v>
      </c>
      <c r="AY394" s="561">
        <v>0</v>
      </c>
      <c r="AZ394" s="561">
        <v>0</v>
      </c>
      <c r="BA394" s="561">
        <v>0</v>
      </c>
      <c r="BB394" s="561">
        <v>0</v>
      </c>
      <c r="BC394" s="561">
        <v>0</v>
      </c>
      <c r="BD394" s="561">
        <v>0</v>
      </c>
      <c r="BE394" s="561">
        <v>0</v>
      </c>
      <c r="BF394" s="561">
        <v>0</v>
      </c>
      <c r="BG394" s="561">
        <v>0</v>
      </c>
      <c r="BH394" s="561">
        <v>0</v>
      </c>
      <c r="BI394" s="561">
        <v>0</v>
      </c>
      <c r="BJ394" s="561">
        <v>0</v>
      </c>
      <c r="BK394" s="561">
        <v>0</v>
      </c>
      <c r="BL394" s="561">
        <v>0</v>
      </c>
      <c r="BM394" s="561">
        <v>0</v>
      </c>
      <c r="BN394" s="561">
        <v>0</v>
      </c>
      <c r="BO394" s="561">
        <v>0</v>
      </c>
      <c r="BP394" s="561">
        <v>0</v>
      </c>
      <c r="BQ394" s="561">
        <v>0</v>
      </c>
      <c r="BR394" s="561">
        <v>0</v>
      </c>
      <c r="BS394" s="561">
        <v>0</v>
      </c>
      <c r="BT394" s="561">
        <v>0</v>
      </c>
      <c r="BU394" s="561">
        <v>0</v>
      </c>
      <c r="BV394" s="561">
        <v>0</v>
      </c>
      <c r="BW394" s="561">
        <v>0</v>
      </c>
      <c r="BX394" s="561">
        <v>0</v>
      </c>
      <c r="BY394" s="561">
        <v>0</v>
      </c>
      <c r="BZ394" s="561">
        <v>0</v>
      </c>
      <c r="CA394" s="561">
        <v>0</v>
      </c>
      <c r="CB394" s="561">
        <v>0</v>
      </c>
      <c r="CC394" s="561">
        <v>0</v>
      </c>
      <c r="CD394" s="561">
        <v>0</v>
      </c>
      <c r="CE394" s="561">
        <v>0</v>
      </c>
      <c r="CF394" s="561">
        <v>0</v>
      </c>
      <c r="CG394" s="561">
        <v>0</v>
      </c>
      <c r="CH394" s="561">
        <v>0</v>
      </c>
      <c r="CI394" s="561">
        <v>0</v>
      </c>
      <c r="CJ394" s="561">
        <v>0</v>
      </c>
      <c r="CK394" s="561">
        <v>0</v>
      </c>
      <c r="CL394" s="561">
        <v>0</v>
      </c>
      <c r="CM394" s="561">
        <v>0</v>
      </c>
      <c r="CN394" s="561">
        <v>0</v>
      </c>
      <c r="CO394" s="561">
        <v>0</v>
      </c>
      <c r="CP394" s="561">
        <v>0</v>
      </c>
      <c r="CQ394" s="561">
        <v>0</v>
      </c>
      <c r="CR394" s="561">
        <v>0</v>
      </c>
      <c r="CS394" s="561">
        <v>0</v>
      </c>
      <c r="CT394" s="561">
        <v>0</v>
      </c>
      <c r="CU394" s="561">
        <v>0</v>
      </c>
      <c r="CV394" s="561">
        <v>0</v>
      </c>
      <c r="CW394" s="561">
        <v>0</v>
      </c>
      <c r="CX394" s="561">
        <v>0</v>
      </c>
      <c r="CY394" s="561">
        <v>0</v>
      </c>
      <c r="CZ394" s="561">
        <v>0</v>
      </c>
      <c r="DA394" s="561">
        <v>0</v>
      </c>
      <c r="DB394" s="561">
        <v>0</v>
      </c>
      <c r="DC394" s="561">
        <v>0</v>
      </c>
      <c r="DD394" s="561">
        <v>0</v>
      </c>
      <c r="DE394" s="561">
        <v>0</v>
      </c>
      <c r="DF394" s="561">
        <v>0</v>
      </c>
      <c r="DG394" s="561">
        <v>0</v>
      </c>
      <c r="DH394" s="561">
        <v>0</v>
      </c>
      <c r="DI394" s="561">
        <v>0</v>
      </c>
      <c r="DJ394" s="561">
        <v>0</v>
      </c>
      <c r="DK394" s="561">
        <v>0</v>
      </c>
      <c r="DL394" s="561">
        <v>0</v>
      </c>
      <c r="DM394" s="561">
        <v>0</v>
      </c>
      <c r="DN394" s="561">
        <v>0</v>
      </c>
      <c r="DO394" s="561">
        <v>0</v>
      </c>
      <c r="DP394" s="561">
        <v>0</v>
      </c>
      <c r="DQ394" s="561">
        <v>0</v>
      </c>
      <c r="DR394" s="561">
        <v>0</v>
      </c>
      <c r="DS394" s="561">
        <v>0</v>
      </c>
      <c r="DT394" s="561">
        <v>0</v>
      </c>
      <c r="DU394" s="561">
        <v>0</v>
      </c>
      <c r="DV394" s="561">
        <v>0</v>
      </c>
      <c r="DW394" s="561">
        <v>0</v>
      </c>
      <c r="DX394" s="561">
        <v>0</v>
      </c>
      <c r="DY394" s="561">
        <v>0</v>
      </c>
      <c r="DZ394" s="561">
        <v>0</v>
      </c>
      <c r="EA394" s="561">
        <v>0</v>
      </c>
      <c r="EB394" s="561">
        <v>0</v>
      </c>
      <c r="EC394" s="561">
        <v>0</v>
      </c>
      <c r="ED394" s="561">
        <v>0</v>
      </c>
      <c r="EE394" s="561">
        <v>0</v>
      </c>
      <c r="EF394" s="561">
        <v>0</v>
      </c>
      <c r="EG394" s="561">
        <v>0</v>
      </c>
      <c r="EH394" s="561">
        <v>0</v>
      </c>
      <c r="EI394" s="561">
        <v>0</v>
      </c>
      <c r="EJ394" s="561">
        <v>0</v>
      </c>
      <c r="EK394" s="561">
        <v>0</v>
      </c>
      <c r="EL394" s="561">
        <v>0</v>
      </c>
      <c r="EM394" s="561">
        <v>0</v>
      </c>
      <c r="EN394" s="561">
        <v>0</v>
      </c>
      <c r="EO394" s="561">
        <v>0</v>
      </c>
      <c r="EP394" s="561">
        <v>0</v>
      </c>
      <c r="EQ394" s="561">
        <v>0</v>
      </c>
      <c r="ER394" s="561">
        <v>0</v>
      </c>
      <c r="ES394" s="561" t="s">
        <v>4565</v>
      </c>
      <c r="ET394" s="561">
        <v>0</v>
      </c>
      <c r="EU394" s="561">
        <v>0</v>
      </c>
      <c r="EV394" s="561">
        <v>0</v>
      </c>
      <c r="EW394" s="561">
        <v>0</v>
      </c>
      <c r="EX394" s="561">
        <v>0</v>
      </c>
      <c r="EY394" s="561">
        <v>0</v>
      </c>
      <c r="EZ394" s="561">
        <v>0</v>
      </c>
      <c r="FA394" s="561">
        <v>0</v>
      </c>
      <c r="FB394" s="561">
        <v>0</v>
      </c>
      <c r="FC394" s="561">
        <v>6848.15</v>
      </c>
      <c r="FD394" s="561">
        <v>0</v>
      </c>
      <c r="FE394" s="561">
        <v>0</v>
      </c>
      <c r="FF394" s="561">
        <v>0</v>
      </c>
      <c r="FG394" s="561">
        <v>0</v>
      </c>
      <c r="FH394" s="561">
        <v>0</v>
      </c>
      <c r="FI394" s="561">
        <v>0</v>
      </c>
      <c r="FJ394" s="561">
        <v>0</v>
      </c>
      <c r="FK394" s="561">
        <v>0</v>
      </c>
      <c r="FL394" s="561">
        <v>0</v>
      </c>
      <c r="FM394" s="561">
        <v>0</v>
      </c>
      <c r="FN394" s="561">
        <v>0</v>
      </c>
      <c r="FO394" s="561">
        <v>6848.15</v>
      </c>
      <c r="FP394" s="561">
        <v>0</v>
      </c>
      <c r="FQ394" s="561">
        <v>0</v>
      </c>
      <c r="FR394" s="561">
        <v>0</v>
      </c>
      <c r="FS394" s="561">
        <v>0</v>
      </c>
      <c r="FT394" s="561">
        <v>0</v>
      </c>
      <c r="FU394" s="561">
        <v>0</v>
      </c>
      <c r="FV394" s="561">
        <v>0</v>
      </c>
      <c r="FW394" s="561">
        <v>0</v>
      </c>
      <c r="FX394" s="561">
        <v>0</v>
      </c>
      <c r="FY394" s="561">
        <v>0</v>
      </c>
      <c r="FZ394" s="561">
        <v>0</v>
      </c>
      <c r="GA394" s="561">
        <v>0</v>
      </c>
      <c r="GB394" s="561">
        <v>0</v>
      </c>
      <c r="GC394" s="561">
        <v>0</v>
      </c>
      <c r="GD394" s="561">
        <v>18661.810000000001</v>
      </c>
      <c r="GE394" s="561">
        <v>0</v>
      </c>
      <c r="GF394" s="561">
        <v>0</v>
      </c>
      <c r="GG394" s="561">
        <v>0</v>
      </c>
      <c r="GH394" s="561">
        <v>0</v>
      </c>
      <c r="GI394" s="561">
        <v>0</v>
      </c>
      <c r="GJ394" s="561">
        <v>0</v>
      </c>
      <c r="GK394" s="561">
        <v>0</v>
      </c>
      <c r="GL394" s="561">
        <v>0</v>
      </c>
      <c r="GM394" s="561">
        <v>0</v>
      </c>
      <c r="GN394" s="561">
        <v>0</v>
      </c>
      <c r="GO394" s="561">
        <v>0</v>
      </c>
      <c r="GP394" s="561">
        <v>0</v>
      </c>
      <c r="GQ394" s="561">
        <v>0</v>
      </c>
      <c r="GR394" s="561">
        <v>0</v>
      </c>
      <c r="GS394" s="561">
        <v>18661.810000000001</v>
      </c>
      <c r="GT394" s="561">
        <v>0</v>
      </c>
      <c r="GU394" s="561">
        <v>0</v>
      </c>
      <c r="GV394" s="561">
        <v>0</v>
      </c>
      <c r="GW394" s="561">
        <v>0</v>
      </c>
      <c r="GX394" s="561">
        <v>0</v>
      </c>
      <c r="GY394" s="561">
        <v>5321.73</v>
      </c>
      <c r="GZ394" s="561">
        <v>45623.49</v>
      </c>
      <c r="HA394" s="561">
        <v>2092.5700000000002</v>
      </c>
      <c r="HB394" s="561">
        <v>9871.81</v>
      </c>
      <c r="HC394" s="561">
        <v>0</v>
      </c>
      <c r="HD394" s="561">
        <v>62909.599999999999</v>
      </c>
      <c r="HE394" s="561">
        <v>0</v>
      </c>
      <c r="HF394" s="561">
        <v>88419.56</v>
      </c>
      <c r="HG394" s="561">
        <v>0</v>
      </c>
      <c r="HH394" s="561">
        <v>0</v>
      </c>
      <c r="HI394" s="561">
        <v>0</v>
      </c>
      <c r="HJ394" s="561">
        <v>0</v>
      </c>
      <c r="HK394" s="561">
        <v>0</v>
      </c>
      <c r="HL394" s="561">
        <v>0</v>
      </c>
      <c r="HM394" s="561">
        <v>0</v>
      </c>
      <c r="HN394" s="561">
        <v>0</v>
      </c>
      <c r="HO394" s="561">
        <v>12248.07</v>
      </c>
      <c r="HP394" s="561">
        <v>0</v>
      </c>
      <c r="HQ394" s="561">
        <v>0</v>
      </c>
      <c r="HR394" s="561">
        <v>0</v>
      </c>
      <c r="HS394" s="561">
        <v>0</v>
      </c>
      <c r="HT394" s="561">
        <v>0</v>
      </c>
      <c r="HU394" s="561">
        <v>0</v>
      </c>
      <c r="HV394" s="561">
        <v>0</v>
      </c>
      <c r="HW394" s="561">
        <v>0</v>
      </c>
      <c r="HX394" s="561">
        <v>0</v>
      </c>
      <c r="HY394" s="561">
        <v>0</v>
      </c>
      <c r="HZ394" s="561">
        <v>0</v>
      </c>
      <c r="IA394" s="561">
        <v>0</v>
      </c>
      <c r="IB394" s="561">
        <v>0</v>
      </c>
      <c r="IC394" s="561">
        <v>0</v>
      </c>
      <c r="ID394" s="561">
        <v>0</v>
      </c>
      <c r="IE394" s="561">
        <v>911</v>
      </c>
      <c r="IF394" s="561">
        <v>0</v>
      </c>
      <c r="IG394" s="561">
        <v>0</v>
      </c>
      <c r="IH394" s="561">
        <v>0</v>
      </c>
      <c r="II394" s="561">
        <v>13159.07</v>
      </c>
      <c r="IJ394" s="561">
        <v>0</v>
      </c>
      <c r="IK394" s="561">
        <v>0</v>
      </c>
      <c r="IL394" s="561">
        <v>0</v>
      </c>
      <c r="IM394" s="561">
        <v>0</v>
      </c>
      <c r="IN394" s="561">
        <v>0</v>
      </c>
      <c r="IO394" s="561">
        <v>0</v>
      </c>
      <c r="IP394" s="561">
        <v>10892.82</v>
      </c>
      <c r="IQ394" s="561">
        <v>216.7</v>
      </c>
      <c r="IR394" s="561">
        <v>85090.1</v>
      </c>
      <c r="IS394" s="561">
        <v>146576.87</v>
      </c>
      <c r="IT394" s="561">
        <v>0</v>
      </c>
      <c r="IU394" s="561">
        <v>0</v>
      </c>
      <c r="IV394" s="561">
        <v>0</v>
      </c>
      <c r="IW394" s="561">
        <v>0</v>
      </c>
      <c r="IX394" s="561">
        <v>6848.15</v>
      </c>
      <c r="IY394" s="561">
        <v>18661.810000000001</v>
      </c>
      <c r="IZ394" s="561">
        <v>62909.599999999999</v>
      </c>
      <c r="JA394" s="561">
        <v>0</v>
      </c>
      <c r="JB394" s="561">
        <v>0</v>
      </c>
      <c r="JC394" s="561">
        <v>13159.07</v>
      </c>
      <c r="JD394" s="561">
        <v>10892.82</v>
      </c>
      <c r="JE394" s="561">
        <v>344138.42</v>
      </c>
      <c r="JF394" s="561">
        <v>0</v>
      </c>
      <c r="JG394" s="561">
        <v>0</v>
      </c>
      <c r="JH394" s="561">
        <v>0</v>
      </c>
      <c r="JI394" s="561">
        <v>0</v>
      </c>
      <c r="JJ394" s="561">
        <v>0</v>
      </c>
      <c r="JK394" s="561">
        <v>0</v>
      </c>
      <c r="JL394" s="561">
        <v>-97901</v>
      </c>
      <c r="JM394" s="561">
        <v>0</v>
      </c>
      <c r="JN394" s="561">
        <v>0</v>
      </c>
      <c r="JO394" s="561">
        <v>0</v>
      </c>
      <c r="JP394" s="561">
        <v>0</v>
      </c>
      <c r="JQ394" s="561">
        <v>0</v>
      </c>
      <c r="JR394" s="561">
        <v>0</v>
      </c>
      <c r="JS394" s="561">
        <v>0</v>
      </c>
      <c r="JT394" s="561">
        <v>0</v>
      </c>
      <c r="JU394" s="561">
        <v>0</v>
      </c>
      <c r="JV394" s="561">
        <v>246237.42</v>
      </c>
      <c r="JW394" s="561">
        <v>0</v>
      </c>
      <c r="JX394" s="561">
        <v>806</v>
      </c>
      <c r="JY394" s="561">
        <v>0</v>
      </c>
      <c r="JZ394" s="561">
        <v>0</v>
      </c>
      <c r="KA394" s="561">
        <v>0</v>
      </c>
      <c r="KB394" s="561">
        <v>-71</v>
      </c>
      <c r="KC394" s="561">
        <v>3820</v>
      </c>
      <c r="KD394" s="561">
        <v>0</v>
      </c>
      <c r="KE394" s="561">
        <v>3214</v>
      </c>
      <c r="KF394" s="561">
        <v>0</v>
      </c>
      <c r="KG394" s="561">
        <v>254006.42</v>
      </c>
      <c r="KH394" s="561">
        <v>-40715</v>
      </c>
      <c r="KI394" s="561">
        <v>0</v>
      </c>
      <c r="KJ394" s="561">
        <v>0</v>
      </c>
      <c r="KK394" s="561">
        <v>0</v>
      </c>
      <c r="KL394" s="561">
        <v>-78994.91</v>
      </c>
      <c r="KM394" s="561">
        <v>0</v>
      </c>
      <c r="KN394" s="561">
        <v>0</v>
      </c>
      <c r="KO394" s="561">
        <v>0</v>
      </c>
      <c r="KP394" s="561">
        <v>0</v>
      </c>
      <c r="KQ394" s="561">
        <v>0</v>
      </c>
      <c r="KR394" s="561">
        <v>134296.51</v>
      </c>
      <c r="KS394" s="561">
        <v>0</v>
      </c>
      <c r="KT394" s="561">
        <v>-150080.03</v>
      </c>
      <c r="KU394" s="561">
        <v>-15783.52</v>
      </c>
      <c r="KV394" s="561">
        <v>0</v>
      </c>
      <c r="KW394" s="561">
        <v>0</v>
      </c>
      <c r="KX394" s="561">
        <v>0</v>
      </c>
      <c r="KY394" s="561">
        <v>0</v>
      </c>
      <c r="KZ394" s="561">
        <v>12908</v>
      </c>
      <c r="LA394" s="561">
        <v>2876</v>
      </c>
      <c r="LB394" s="561">
        <v>0</v>
      </c>
      <c r="LC394" s="561">
        <v>0</v>
      </c>
      <c r="LD394" s="561">
        <v>0</v>
      </c>
      <c r="LE394" s="561">
        <v>0</v>
      </c>
      <c r="LF394" s="561">
        <v>0</v>
      </c>
      <c r="LG394" s="561">
        <v>0</v>
      </c>
      <c r="LH394" s="561">
        <v>0</v>
      </c>
      <c r="LI394" s="561">
        <v>0</v>
      </c>
      <c r="LJ394" s="561">
        <v>0</v>
      </c>
      <c r="LK394" s="561">
        <v>0</v>
      </c>
      <c r="LL394" s="561">
        <v>112139</v>
      </c>
      <c r="LM394" s="561">
        <v>12361</v>
      </c>
      <c r="LN394" s="561">
        <v>0</v>
      </c>
      <c r="LO394" s="561">
        <v>0</v>
      </c>
      <c r="LP394" s="561">
        <v>0</v>
      </c>
      <c r="LQ394" s="561">
        <v>0</v>
      </c>
      <c r="LR394" s="561">
        <v>125047</v>
      </c>
      <c r="LS394" s="561">
        <v>15237</v>
      </c>
      <c r="LT394" s="561">
        <v>0</v>
      </c>
      <c r="LU394" s="561">
        <v>10176.42</v>
      </c>
      <c r="LV394" s="561">
        <v>0</v>
      </c>
      <c r="LW394" s="561">
        <v>0</v>
      </c>
      <c r="LX394" s="561">
        <v>-279937</v>
      </c>
      <c r="LY394" s="561">
        <v>293296</v>
      </c>
      <c r="LZ394" s="561">
        <v>23535.42</v>
      </c>
      <c r="MA394" s="561">
        <v>0</v>
      </c>
      <c r="MB394" s="561">
        <v>0</v>
      </c>
      <c r="MC394" s="561">
        <v>0</v>
      </c>
      <c r="MD394" s="561">
        <v>0</v>
      </c>
      <c r="ME394" s="561">
        <v>0</v>
      </c>
      <c r="MF394" s="561">
        <v>0</v>
      </c>
      <c r="MG394" s="561">
        <v>0</v>
      </c>
      <c r="MH394" s="561">
        <v>0</v>
      </c>
      <c r="MI394" s="561">
        <v>0</v>
      </c>
      <c r="MJ394" s="561">
        <v>0</v>
      </c>
      <c r="MK394" s="561">
        <v>0</v>
      </c>
      <c r="ML394" s="561">
        <v>0</v>
      </c>
      <c r="MM394" s="561">
        <v>59203</v>
      </c>
      <c r="MN394" s="561">
        <v>52484</v>
      </c>
      <c r="MO394" s="561">
        <v>0</v>
      </c>
      <c r="MP394" s="561">
        <v>13360</v>
      </c>
      <c r="MQ394" s="561">
        <v>85090.1</v>
      </c>
      <c r="MR394" s="561">
        <v>146576.87</v>
      </c>
      <c r="MS394" s="561">
        <v>0</v>
      </c>
      <c r="MT394" s="561">
        <v>0</v>
      </c>
      <c r="MU394" s="561">
        <v>0</v>
      </c>
      <c r="MV394" s="561">
        <v>0</v>
      </c>
      <c r="MW394" s="561">
        <v>6848.15</v>
      </c>
      <c r="MX394" s="561">
        <v>18661.810000000001</v>
      </c>
      <c r="MY394" s="561">
        <v>62909.599999999999</v>
      </c>
      <c r="MZ394" s="561">
        <v>0</v>
      </c>
      <c r="NA394" s="561">
        <v>0</v>
      </c>
      <c r="NB394" s="561">
        <v>13159.07</v>
      </c>
      <c r="NC394" s="561">
        <v>10892.82</v>
      </c>
      <c r="ND394" s="561">
        <v>344138.42</v>
      </c>
      <c r="NE394" s="561">
        <v>0</v>
      </c>
      <c r="NF394" s="561">
        <v>0</v>
      </c>
      <c r="NG394" s="561">
        <v>0</v>
      </c>
      <c r="NH394" s="561">
        <v>0</v>
      </c>
      <c r="NI394" s="561">
        <v>0</v>
      </c>
      <c r="NJ394" s="561">
        <v>0</v>
      </c>
      <c r="NK394" s="561">
        <v>0</v>
      </c>
      <c r="NL394" s="561">
        <v>0</v>
      </c>
      <c r="NM394" s="561">
        <v>0</v>
      </c>
      <c r="NN394" s="561">
        <v>0</v>
      </c>
      <c r="NO394" s="561">
        <v>0</v>
      </c>
      <c r="NP394" s="561">
        <v>0</v>
      </c>
      <c r="NQ394" s="561">
        <v>0</v>
      </c>
      <c r="NR394" s="561">
        <v>0</v>
      </c>
      <c r="NS394" s="561">
        <v>0</v>
      </c>
      <c r="NT394" s="561">
        <v>0</v>
      </c>
      <c r="NU394" s="561">
        <v>0</v>
      </c>
      <c r="NV394" s="561">
        <v>0</v>
      </c>
      <c r="NW394" s="561">
        <v>0</v>
      </c>
      <c r="NX394" s="561">
        <v>0</v>
      </c>
      <c r="NY394" s="561">
        <v>0</v>
      </c>
      <c r="NZ394" s="561">
        <v>0</v>
      </c>
      <c r="OA394" s="561">
        <v>0</v>
      </c>
      <c r="OB394" s="561">
        <v>0</v>
      </c>
      <c r="OC394" s="561">
        <v>0</v>
      </c>
      <c r="OD394" s="561">
        <v>0</v>
      </c>
      <c r="OE394" s="561">
        <v>0</v>
      </c>
      <c r="OF394" s="561">
        <v>0</v>
      </c>
      <c r="OG394" s="561">
        <v>0</v>
      </c>
      <c r="OH394" s="561">
        <v>0</v>
      </c>
      <c r="OI394" s="561">
        <v>0</v>
      </c>
      <c r="OJ394" s="561">
        <v>0</v>
      </c>
      <c r="OK394" s="561">
        <v>0</v>
      </c>
      <c r="OL394" s="561">
        <v>0</v>
      </c>
      <c r="OM394" s="561">
        <v>0</v>
      </c>
      <c r="ON394" s="561">
        <v>0</v>
      </c>
      <c r="OO394" s="561">
        <v>0</v>
      </c>
      <c r="OP394" s="561">
        <v>0</v>
      </c>
      <c r="OQ394" s="561">
        <v>0</v>
      </c>
      <c r="OR394" s="561">
        <v>0</v>
      </c>
      <c r="OS394" s="561">
        <v>0</v>
      </c>
      <c r="OT394" s="561">
        <v>0</v>
      </c>
      <c r="OU394" s="561">
        <v>0</v>
      </c>
      <c r="OV394" s="561">
        <v>0</v>
      </c>
      <c r="OW394" s="561">
        <v>0</v>
      </c>
      <c r="OX394" s="561">
        <v>0</v>
      </c>
      <c r="OY394" s="561">
        <v>0</v>
      </c>
      <c r="OZ394" s="561">
        <v>0</v>
      </c>
      <c r="PA394" s="561">
        <v>0</v>
      </c>
      <c r="PB394" s="561">
        <v>0</v>
      </c>
      <c r="PC394" s="561">
        <v>0</v>
      </c>
      <c r="PD394" s="561">
        <v>0</v>
      </c>
      <c r="PE394" s="561">
        <v>0</v>
      </c>
      <c r="PF394" s="561">
        <v>0</v>
      </c>
      <c r="PG394" s="561">
        <v>0</v>
      </c>
      <c r="PH394" s="561">
        <v>0</v>
      </c>
      <c r="PI394" s="561">
        <v>0</v>
      </c>
      <c r="PJ394" s="561">
        <v>0</v>
      </c>
    </row>
    <row r="395" spans="1:426" ht="14" x14ac:dyDescent="0.3">
      <c r="A395" t="s">
        <v>3629</v>
      </c>
      <c r="B395" t="s">
        <v>3630</v>
      </c>
      <c r="C395" t="s">
        <v>4683</v>
      </c>
      <c r="E395" t="s">
        <v>2466</v>
      </c>
      <c r="F395" s="561">
        <v>0</v>
      </c>
      <c r="G395" s="561">
        <v>0</v>
      </c>
      <c r="H395" s="561">
        <v>0</v>
      </c>
      <c r="I395" s="561">
        <v>0</v>
      </c>
      <c r="J395" s="561">
        <v>0</v>
      </c>
      <c r="K395" s="561">
        <v>0</v>
      </c>
      <c r="L395" s="561">
        <v>0</v>
      </c>
      <c r="M395" s="561">
        <v>0</v>
      </c>
      <c r="N395" s="561">
        <v>0</v>
      </c>
      <c r="O395" s="561">
        <v>0</v>
      </c>
      <c r="P395" s="561">
        <v>0</v>
      </c>
      <c r="Q395" s="561">
        <v>0</v>
      </c>
      <c r="R395" s="561">
        <v>0</v>
      </c>
      <c r="S395" s="561">
        <v>0</v>
      </c>
      <c r="T395" s="561">
        <v>0</v>
      </c>
      <c r="U395" s="561">
        <v>0</v>
      </c>
      <c r="V395" s="561">
        <v>0</v>
      </c>
      <c r="W395" s="561">
        <v>0</v>
      </c>
      <c r="X395" s="561">
        <v>0</v>
      </c>
      <c r="Y395" s="561">
        <v>0</v>
      </c>
      <c r="Z395" s="561">
        <v>0</v>
      </c>
      <c r="AA395" s="561">
        <v>0</v>
      </c>
      <c r="AB395" s="561">
        <v>0</v>
      </c>
      <c r="AC395" s="561">
        <v>0</v>
      </c>
      <c r="AD395" s="561">
        <v>0</v>
      </c>
      <c r="AE395" s="561">
        <v>0</v>
      </c>
      <c r="AF395" s="561">
        <v>0</v>
      </c>
      <c r="AG395" s="561">
        <v>0</v>
      </c>
      <c r="AH395" s="561">
        <v>0</v>
      </c>
      <c r="AI395" s="561">
        <v>0</v>
      </c>
      <c r="AJ395" s="561">
        <v>0</v>
      </c>
      <c r="AK395" s="561">
        <v>0</v>
      </c>
      <c r="AL395" s="561">
        <v>0</v>
      </c>
      <c r="AM395" s="561">
        <v>0</v>
      </c>
      <c r="AN395" s="561">
        <v>0</v>
      </c>
      <c r="AO395" s="561">
        <v>0</v>
      </c>
      <c r="AP395" s="561">
        <v>0</v>
      </c>
      <c r="AQ395" s="561">
        <v>0</v>
      </c>
      <c r="AR395" s="561">
        <v>0</v>
      </c>
      <c r="AS395" s="561">
        <v>0</v>
      </c>
      <c r="AT395" s="561">
        <v>0</v>
      </c>
      <c r="AU395" s="561">
        <v>0</v>
      </c>
      <c r="AV395" s="561">
        <v>0</v>
      </c>
      <c r="AW395" s="561">
        <v>0</v>
      </c>
      <c r="AX395" s="561">
        <v>0</v>
      </c>
      <c r="AY395" s="561">
        <v>0</v>
      </c>
      <c r="AZ395" s="561">
        <v>0</v>
      </c>
      <c r="BA395" s="561">
        <v>0</v>
      </c>
      <c r="BB395" s="561">
        <v>0</v>
      </c>
      <c r="BC395" s="561">
        <v>0</v>
      </c>
      <c r="BD395" s="561">
        <v>0</v>
      </c>
      <c r="BE395" s="561">
        <v>0</v>
      </c>
      <c r="BF395" s="561">
        <v>0</v>
      </c>
      <c r="BG395" s="561">
        <v>0</v>
      </c>
      <c r="BH395" s="561">
        <v>0</v>
      </c>
      <c r="BI395" s="561">
        <v>0</v>
      </c>
      <c r="BJ395" s="561">
        <v>0</v>
      </c>
      <c r="BK395" s="561">
        <v>0</v>
      </c>
      <c r="BL395" s="561">
        <v>0</v>
      </c>
      <c r="BM395" s="561">
        <v>0</v>
      </c>
      <c r="BN395" s="561">
        <v>0</v>
      </c>
      <c r="BO395" s="561">
        <v>0</v>
      </c>
      <c r="BP395" s="561">
        <v>0</v>
      </c>
      <c r="BQ395" s="561">
        <v>0</v>
      </c>
      <c r="BR395" s="561">
        <v>0</v>
      </c>
      <c r="BS395" s="561">
        <v>0</v>
      </c>
      <c r="BT395" s="561">
        <v>0</v>
      </c>
      <c r="BU395" s="561">
        <v>0</v>
      </c>
      <c r="BV395" s="561">
        <v>0</v>
      </c>
      <c r="BW395" s="561">
        <v>0</v>
      </c>
      <c r="BX395" s="561">
        <v>0</v>
      </c>
      <c r="BY395" s="561">
        <v>0</v>
      </c>
      <c r="BZ395" s="561">
        <v>0</v>
      </c>
      <c r="CA395" s="561">
        <v>0</v>
      </c>
      <c r="CB395" s="561">
        <v>0</v>
      </c>
      <c r="CC395" s="561">
        <v>0</v>
      </c>
      <c r="CD395" s="561">
        <v>0</v>
      </c>
      <c r="CE395" s="561">
        <v>0</v>
      </c>
      <c r="CF395" s="561">
        <v>0</v>
      </c>
      <c r="CG395" s="561">
        <v>0</v>
      </c>
      <c r="CH395" s="561">
        <v>0</v>
      </c>
      <c r="CI395" s="561">
        <v>0</v>
      </c>
      <c r="CJ395" s="561">
        <v>0</v>
      </c>
      <c r="CK395" s="561">
        <v>0</v>
      </c>
      <c r="CL395" s="561">
        <v>0</v>
      </c>
      <c r="CM395" s="561">
        <v>0</v>
      </c>
      <c r="CN395" s="561">
        <v>0</v>
      </c>
      <c r="CO395" s="561">
        <v>0</v>
      </c>
      <c r="CP395" s="561">
        <v>0</v>
      </c>
      <c r="CQ395" s="561">
        <v>0</v>
      </c>
      <c r="CR395" s="561">
        <v>0</v>
      </c>
      <c r="CS395" s="561">
        <v>0</v>
      </c>
      <c r="CT395" s="561">
        <v>0</v>
      </c>
      <c r="CU395" s="561">
        <v>0</v>
      </c>
      <c r="CV395" s="561">
        <v>0</v>
      </c>
      <c r="CW395" s="561">
        <v>0</v>
      </c>
      <c r="CX395" s="561">
        <v>0</v>
      </c>
      <c r="CY395" s="561">
        <v>0</v>
      </c>
      <c r="CZ395" s="561">
        <v>0</v>
      </c>
      <c r="DA395" s="561">
        <v>0</v>
      </c>
      <c r="DB395" s="561">
        <v>0</v>
      </c>
      <c r="DC395" s="561">
        <v>0</v>
      </c>
      <c r="DD395" s="561">
        <v>0</v>
      </c>
      <c r="DE395" s="561">
        <v>0</v>
      </c>
      <c r="DF395" s="561">
        <v>0</v>
      </c>
      <c r="DG395" s="561">
        <v>0</v>
      </c>
      <c r="DH395" s="561">
        <v>0</v>
      </c>
      <c r="DI395" s="561">
        <v>0</v>
      </c>
      <c r="DJ395" s="561">
        <v>0</v>
      </c>
      <c r="DK395" s="561">
        <v>0</v>
      </c>
      <c r="DL395" s="561">
        <v>0</v>
      </c>
      <c r="DM395" s="561">
        <v>0</v>
      </c>
      <c r="DN395" s="561">
        <v>0</v>
      </c>
      <c r="DO395" s="561">
        <v>0</v>
      </c>
      <c r="DP395" s="561">
        <v>0</v>
      </c>
      <c r="DQ395" s="561">
        <v>0</v>
      </c>
      <c r="DR395" s="561">
        <v>0</v>
      </c>
      <c r="DS395" s="561">
        <v>0</v>
      </c>
      <c r="DT395" s="561">
        <v>0</v>
      </c>
      <c r="DU395" s="561">
        <v>0</v>
      </c>
      <c r="DV395" s="561">
        <v>0</v>
      </c>
      <c r="DW395" s="561">
        <v>0</v>
      </c>
      <c r="DX395" s="561">
        <v>0</v>
      </c>
      <c r="DY395" s="561">
        <v>0</v>
      </c>
      <c r="DZ395" s="561">
        <v>0</v>
      </c>
      <c r="EA395" s="561">
        <v>0</v>
      </c>
      <c r="EB395" s="561">
        <v>0</v>
      </c>
      <c r="EC395" s="561">
        <v>0</v>
      </c>
      <c r="ED395" s="561">
        <v>0</v>
      </c>
      <c r="EE395" s="561">
        <v>0</v>
      </c>
      <c r="EF395" s="561">
        <v>0</v>
      </c>
      <c r="EG395" s="561">
        <v>0</v>
      </c>
      <c r="EH395" s="561">
        <v>0</v>
      </c>
      <c r="EI395" s="561">
        <v>0</v>
      </c>
      <c r="EJ395" s="561">
        <v>0</v>
      </c>
      <c r="EK395" s="561">
        <v>0</v>
      </c>
      <c r="EL395" s="561">
        <v>0</v>
      </c>
      <c r="EM395" s="561">
        <v>0</v>
      </c>
      <c r="EN395" s="561">
        <v>0</v>
      </c>
      <c r="EO395" s="561">
        <v>0</v>
      </c>
      <c r="EP395" s="561">
        <v>0</v>
      </c>
      <c r="EQ395" s="561">
        <v>0</v>
      </c>
      <c r="ER395" s="561">
        <v>0</v>
      </c>
      <c r="ES395" s="561" t="s">
        <v>4565</v>
      </c>
      <c r="ET395" s="561">
        <v>0</v>
      </c>
      <c r="EU395" s="561">
        <v>0</v>
      </c>
      <c r="EV395" s="561">
        <v>0</v>
      </c>
      <c r="EW395" s="561">
        <v>0</v>
      </c>
      <c r="EX395" s="561">
        <v>0</v>
      </c>
      <c r="EY395" s="561">
        <v>0</v>
      </c>
      <c r="EZ395" s="561">
        <v>0</v>
      </c>
      <c r="FA395" s="561">
        <v>0</v>
      </c>
      <c r="FB395" s="561">
        <v>0</v>
      </c>
      <c r="FC395" s="561">
        <v>0</v>
      </c>
      <c r="FD395" s="561">
        <v>0</v>
      </c>
      <c r="FE395" s="561">
        <v>0</v>
      </c>
      <c r="FF395" s="561">
        <v>0</v>
      </c>
      <c r="FG395" s="561">
        <v>0</v>
      </c>
      <c r="FH395" s="561">
        <v>0</v>
      </c>
      <c r="FI395" s="561">
        <v>0</v>
      </c>
      <c r="FJ395" s="561">
        <v>0</v>
      </c>
      <c r="FK395" s="561">
        <v>0</v>
      </c>
      <c r="FL395" s="561">
        <v>0</v>
      </c>
      <c r="FM395" s="561">
        <v>0</v>
      </c>
      <c r="FN395" s="561">
        <v>0</v>
      </c>
      <c r="FO395" s="561">
        <v>0</v>
      </c>
      <c r="FP395" s="561">
        <v>0</v>
      </c>
      <c r="FQ395" s="561">
        <v>0</v>
      </c>
      <c r="FR395" s="561">
        <v>0</v>
      </c>
      <c r="FS395" s="561">
        <v>0</v>
      </c>
      <c r="FT395" s="561">
        <v>0</v>
      </c>
      <c r="FU395" s="561">
        <v>0</v>
      </c>
      <c r="FV395" s="561">
        <v>0</v>
      </c>
      <c r="FW395" s="561">
        <v>0</v>
      </c>
      <c r="FX395" s="561">
        <v>0</v>
      </c>
      <c r="FY395" s="561">
        <v>0</v>
      </c>
      <c r="FZ395" s="561">
        <v>0</v>
      </c>
      <c r="GA395" s="561">
        <v>0</v>
      </c>
      <c r="GB395" s="561">
        <v>0</v>
      </c>
      <c r="GC395" s="561">
        <v>0</v>
      </c>
      <c r="GD395" s="561">
        <v>0</v>
      </c>
      <c r="GE395" s="561">
        <v>0</v>
      </c>
      <c r="GF395" s="561">
        <v>0</v>
      </c>
      <c r="GG395" s="561">
        <v>0</v>
      </c>
      <c r="GH395" s="561">
        <v>0</v>
      </c>
      <c r="GI395" s="561">
        <v>0</v>
      </c>
      <c r="GJ395" s="561">
        <v>0</v>
      </c>
      <c r="GK395" s="561">
        <v>0</v>
      </c>
      <c r="GL395" s="561">
        <v>0</v>
      </c>
      <c r="GM395" s="561">
        <v>0</v>
      </c>
      <c r="GN395" s="561">
        <v>0</v>
      </c>
      <c r="GO395" s="561">
        <v>0</v>
      </c>
      <c r="GP395" s="561">
        <v>0</v>
      </c>
      <c r="GQ395" s="561">
        <v>0</v>
      </c>
      <c r="GR395" s="561">
        <v>0</v>
      </c>
      <c r="GS395" s="561">
        <v>0</v>
      </c>
      <c r="GT395" s="561">
        <v>0</v>
      </c>
      <c r="GU395" s="561">
        <v>0</v>
      </c>
      <c r="GV395" s="561">
        <v>0</v>
      </c>
      <c r="GW395" s="561">
        <v>0</v>
      </c>
      <c r="GX395" s="561">
        <v>0</v>
      </c>
      <c r="GY395" s="561">
        <v>0</v>
      </c>
      <c r="GZ395" s="561">
        <v>0</v>
      </c>
      <c r="HA395" s="561">
        <v>0</v>
      </c>
      <c r="HB395" s="561">
        <v>0</v>
      </c>
      <c r="HC395" s="561">
        <v>0</v>
      </c>
      <c r="HD395" s="561">
        <v>0</v>
      </c>
      <c r="HE395" s="561">
        <v>0</v>
      </c>
      <c r="HF395" s="561">
        <v>0</v>
      </c>
      <c r="HG395" s="561">
        <v>0</v>
      </c>
      <c r="HH395" s="561">
        <v>0</v>
      </c>
      <c r="HI395" s="561">
        <v>0</v>
      </c>
      <c r="HJ395" s="561">
        <v>5153</v>
      </c>
      <c r="HK395" s="561">
        <v>98163</v>
      </c>
      <c r="HL395" s="561">
        <v>0</v>
      </c>
      <c r="HM395" s="561">
        <v>103316</v>
      </c>
      <c r="HN395" s="561">
        <v>181</v>
      </c>
      <c r="HO395" s="561">
        <v>1709</v>
      </c>
      <c r="HP395" s="561">
        <v>0</v>
      </c>
      <c r="HQ395" s="561">
        <v>0</v>
      </c>
      <c r="HR395" s="561">
        <v>0</v>
      </c>
      <c r="HS395" s="561">
        <v>0</v>
      </c>
      <c r="HT395" s="561">
        <v>0</v>
      </c>
      <c r="HU395" s="561">
        <v>0</v>
      </c>
      <c r="HV395" s="561">
        <v>0</v>
      </c>
      <c r="HW395" s="561">
        <v>0</v>
      </c>
      <c r="HX395" s="561">
        <v>0</v>
      </c>
      <c r="HY395" s="561">
        <v>0</v>
      </c>
      <c r="HZ395" s="561">
        <v>0</v>
      </c>
      <c r="IA395" s="561">
        <v>0</v>
      </c>
      <c r="IB395" s="561">
        <v>0</v>
      </c>
      <c r="IC395" s="561">
        <v>0</v>
      </c>
      <c r="ID395" s="561">
        <v>0</v>
      </c>
      <c r="IE395" s="561">
        <v>0</v>
      </c>
      <c r="IF395" s="561">
        <v>0</v>
      </c>
      <c r="IG395" s="561">
        <v>0</v>
      </c>
      <c r="IH395" s="561">
        <v>0</v>
      </c>
      <c r="II395" s="561">
        <v>1709</v>
      </c>
      <c r="IJ395" s="561">
        <v>0</v>
      </c>
      <c r="IK395" s="561">
        <v>0</v>
      </c>
      <c r="IL395" s="561">
        <v>0</v>
      </c>
      <c r="IM395" s="561">
        <v>0</v>
      </c>
      <c r="IN395" s="561">
        <v>0</v>
      </c>
      <c r="IO395" s="561">
        <v>0</v>
      </c>
      <c r="IP395" s="561">
        <v>0</v>
      </c>
      <c r="IQ395" s="561">
        <v>0</v>
      </c>
      <c r="IR395" s="561">
        <v>0</v>
      </c>
      <c r="IS395" s="561">
        <v>0</v>
      </c>
      <c r="IT395" s="561">
        <v>0</v>
      </c>
      <c r="IU395" s="561">
        <v>0</v>
      </c>
      <c r="IV395" s="561">
        <v>0</v>
      </c>
      <c r="IW395" s="561">
        <v>0</v>
      </c>
      <c r="IX395" s="561">
        <v>0</v>
      </c>
      <c r="IY395" s="561">
        <v>0</v>
      </c>
      <c r="IZ395" s="561">
        <v>0</v>
      </c>
      <c r="JA395" s="561">
        <v>0</v>
      </c>
      <c r="JB395" s="561">
        <v>103316</v>
      </c>
      <c r="JC395" s="561">
        <v>1709</v>
      </c>
      <c r="JD395" s="561">
        <v>0</v>
      </c>
      <c r="JE395" s="561">
        <v>105025</v>
      </c>
      <c r="JF395" s="561">
        <v>0</v>
      </c>
      <c r="JG395" s="561">
        <v>0</v>
      </c>
      <c r="JH395" s="561">
        <v>0</v>
      </c>
      <c r="JI395" s="561">
        <v>0</v>
      </c>
      <c r="JJ395" s="561">
        <v>0</v>
      </c>
      <c r="JK395" s="561">
        <v>0</v>
      </c>
      <c r="JL395" s="561">
        <v>0</v>
      </c>
      <c r="JM395" s="561">
        <v>0</v>
      </c>
      <c r="JN395" s="561">
        <v>0</v>
      </c>
      <c r="JO395" s="561">
        <v>0</v>
      </c>
      <c r="JP395" s="561">
        <v>0</v>
      </c>
      <c r="JQ395" s="561">
        <v>0</v>
      </c>
      <c r="JR395" s="561">
        <v>0</v>
      </c>
      <c r="JS395" s="561">
        <v>0</v>
      </c>
      <c r="JT395" s="561">
        <v>-54</v>
      </c>
      <c r="JU395" s="561">
        <v>0</v>
      </c>
      <c r="JV395" s="561">
        <v>104971</v>
      </c>
      <c r="JW395" s="561">
        <v>0</v>
      </c>
      <c r="JX395" s="561">
        <v>13850</v>
      </c>
      <c r="JY395" s="561">
        <v>0</v>
      </c>
      <c r="JZ395" s="561">
        <v>-169</v>
      </c>
      <c r="KA395" s="561">
        <v>0</v>
      </c>
      <c r="KB395" s="561">
        <v>-4794</v>
      </c>
      <c r="KC395" s="561">
        <v>3587</v>
      </c>
      <c r="KD395" s="561">
        <v>631</v>
      </c>
      <c r="KE395" s="561">
        <v>1821</v>
      </c>
      <c r="KF395" s="561">
        <v>0</v>
      </c>
      <c r="KG395" s="561">
        <v>119897</v>
      </c>
      <c r="KH395" s="561">
        <v>-1509</v>
      </c>
      <c r="KI395" s="561">
        <v>0</v>
      </c>
      <c r="KJ395" s="561">
        <v>-62</v>
      </c>
      <c r="KK395" s="561">
        <v>0</v>
      </c>
      <c r="KL395" s="561">
        <v>0</v>
      </c>
      <c r="KM395" s="561">
        <v>0</v>
      </c>
      <c r="KN395" s="561">
        <v>0</v>
      </c>
      <c r="KO395" s="561">
        <v>0</v>
      </c>
      <c r="KP395" s="561">
        <v>0</v>
      </c>
      <c r="KQ395" s="561">
        <v>0</v>
      </c>
      <c r="KR395" s="561">
        <v>118326</v>
      </c>
      <c r="KS395" s="561">
        <v>0</v>
      </c>
      <c r="KT395" s="561">
        <v>-6842</v>
      </c>
      <c r="KU395" s="561">
        <v>111484</v>
      </c>
      <c r="KV395" s="561">
        <v>0</v>
      </c>
      <c r="KW395" s="561">
        <v>0</v>
      </c>
      <c r="KX395" s="561">
        <v>0</v>
      </c>
      <c r="KY395" s="561">
        <v>0</v>
      </c>
      <c r="KZ395" s="561">
        <v>-1990</v>
      </c>
      <c r="LA395" s="561">
        <v>0</v>
      </c>
      <c r="LB395" s="561">
        <v>-20783</v>
      </c>
      <c r="LC395" s="561">
        <v>0</v>
      </c>
      <c r="LD395" s="561">
        <v>-34972</v>
      </c>
      <c r="LE395" s="561">
        <v>650</v>
      </c>
      <c r="LF395" s="561">
        <v>0</v>
      </c>
      <c r="LG395" s="561">
        <v>54389</v>
      </c>
      <c r="LH395" s="561">
        <v>0</v>
      </c>
      <c r="LI395" s="561">
        <v>0</v>
      </c>
      <c r="LJ395" s="561">
        <v>0</v>
      </c>
      <c r="LK395" s="561">
        <v>0</v>
      </c>
      <c r="LL395" s="561">
        <v>26110</v>
      </c>
      <c r="LM395" s="561">
        <v>5700</v>
      </c>
      <c r="LN395" s="561">
        <v>0</v>
      </c>
      <c r="LO395" s="561">
        <v>0</v>
      </c>
      <c r="LP395" s="561">
        <v>0</v>
      </c>
      <c r="LQ395" s="561">
        <v>0</v>
      </c>
      <c r="LR395" s="561">
        <v>24120</v>
      </c>
      <c r="LS395" s="561">
        <v>5700</v>
      </c>
      <c r="LT395" s="561">
        <v>-34</v>
      </c>
      <c r="LU395" s="561">
        <v>5944</v>
      </c>
      <c r="LV395" s="561">
        <v>6681</v>
      </c>
      <c r="LW395" s="561">
        <v>-640</v>
      </c>
      <c r="LX395" s="561">
        <v>-3</v>
      </c>
      <c r="LY395" s="561">
        <v>933</v>
      </c>
      <c r="LZ395" s="561">
        <v>12915</v>
      </c>
      <c r="MA395" s="561">
        <v>0</v>
      </c>
      <c r="MB395" s="561">
        <v>0</v>
      </c>
      <c r="MC395" s="561">
        <v>0</v>
      </c>
      <c r="MD395" s="561">
        <v>0</v>
      </c>
      <c r="ME395" s="561">
        <v>0</v>
      </c>
      <c r="MF395" s="561">
        <v>0</v>
      </c>
      <c r="MG395" s="561">
        <v>0</v>
      </c>
      <c r="MH395" s="561">
        <v>0</v>
      </c>
      <c r="MI395" s="561">
        <v>0</v>
      </c>
      <c r="MJ395" s="561">
        <v>0</v>
      </c>
      <c r="MK395" s="561">
        <v>0</v>
      </c>
      <c r="ML395" s="561">
        <v>0</v>
      </c>
      <c r="MM395" s="561">
        <v>15603</v>
      </c>
      <c r="MN395" s="561">
        <v>4147</v>
      </c>
      <c r="MO395" s="561">
        <v>3069</v>
      </c>
      <c r="MP395" s="561">
        <v>1301</v>
      </c>
      <c r="MQ395" s="561">
        <v>0</v>
      </c>
      <c r="MR395" s="561">
        <v>0</v>
      </c>
      <c r="MS395" s="561">
        <v>0</v>
      </c>
      <c r="MT395" s="561">
        <v>0</v>
      </c>
      <c r="MU395" s="561">
        <v>0</v>
      </c>
      <c r="MV395" s="561">
        <v>0</v>
      </c>
      <c r="MW395" s="561">
        <v>0</v>
      </c>
      <c r="MX395" s="561">
        <v>0</v>
      </c>
      <c r="MY395" s="561">
        <v>0</v>
      </c>
      <c r="MZ395" s="561">
        <v>0</v>
      </c>
      <c r="NA395" s="561">
        <v>103316</v>
      </c>
      <c r="NB395" s="561">
        <v>1709</v>
      </c>
      <c r="NC395" s="561">
        <v>0</v>
      </c>
      <c r="ND395" s="561">
        <v>105025</v>
      </c>
      <c r="NE395" s="561">
        <v>0</v>
      </c>
      <c r="NF395" s="561">
        <v>0</v>
      </c>
      <c r="NG395" s="561">
        <v>0</v>
      </c>
      <c r="NH395" s="561">
        <v>0</v>
      </c>
      <c r="NI395" s="561">
        <v>0</v>
      </c>
      <c r="NJ395" s="561">
        <v>0</v>
      </c>
      <c r="NK395" s="561">
        <v>0</v>
      </c>
      <c r="NL395" s="561">
        <v>0</v>
      </c>
      <c r="NM395" s="561">
        <v>0</v>
      </c>
      <c r="NN395" s="561">
        <v>0</v>
      </c>
      <c r="NO395" s="561">
        <v>0</v>
      </c>
      <c r="NP395" s="561">
        <v>0</v>
      </c>
      <c r="NQ395" s="561">
        <v>0</v>
      </c>
      <c r="NR395" s="561">
        <v>0</v>
      </c>
      <c r="NS395" s="561">
        <v>0</v>
      </c>
      <c r="NT395" s="561">
        <v>0</v>
      </c>
      <c r="NU395" s="561">
        <v>0</v>
      </c>
      <c r="NV395" s="561">
        <v>0</v>
      </c>
      <c r="NW395" s="561">
        <v>0</v>
      </c>
      <c r="NX395" s="561">
        <v>0</v>
      </c>
      <c r="NY395" s="561">
        <v>0</v>
      </c>
      <c r="NZ395" s="561">
        <v>0</v>
      </c>
      <c r="OA395" s="561">
        <v>0</v>
      </c>
      <c r="OB395" s="561">
        <v>0</v>
      </c>
      <c r="OC395" s="561">
        <v>0</v>
      </c>
      <c r="OD395" s="561">
        <v>0</v>
      </c>
      <c r="OE395" s="561">
        <v>0</v>
      </c>
      <c r="OF395" s="561">
        <v>0</v>
      </c>
      <c r="OG395" s="561">
        <v>0</v>
      </c>
      <c r="OH395" s="561">
        <v>0</v>
      </c>
      <c r="OI395" s="561">
        <v>0</v>
      </c>
      <c r="OJ395" s="561">
        <v>0</v>
      </c>
      <c r="OK395" s="561">
        <v>0</v>
      </c>
      <c r="OL395" s="561">
        <v>0</v>
      </c>
      <c r="OM395" s="561">
        <v>0</v>
      </c>
      <c r="ON395" s="561">
        <v>0</v>
      </c>
      <c r="OO395" s="561">
        <v>0</v>
      </c>
      <c r="OP395" s="561">
        <v>0</v>
      </c>
      <c r="OQ395" s="561">
        <v>0</v>
      </c>
      <c r="OR395" s="561">
        <v>0</v>
      </c>
      <c r="OS395" s="561">
        <v>0</v>
      </c>
      <c r="OT395" s="561">
        <v>0</v>
      </c>
      <c r="OU395" s="561">
        <v>0</v>
      </c>
      <c r="OV395" s="561">
        <v>0</v>
      </c>
      <c r="OW395" s="561">
        <v>0</v>
      </c>
      <c r="OX395" s="561">
        <v>0</v>
      </c>
      <c r="OY395" s="561">
        <v>0</v>
      </c>
      <c r="OZ395" s="561">
        <v>0</v>
      </c>
      <c r="PA395" s="561">
        <v>0</v>
      </c>
      <c r="PB395" s="561">
        <v>0</v>
      </c>
      <c r="PC395" s="561">
        <v>0</v>
      </c>
      <c r="PD395" s="561">
        <v>0</v>
      </c>
      <c r="PE395" s="561">
        <v>0</v>
      </c>
      <c r="PF395" s="561">
        <v>0</v>
      </c>
      <c r="PG395" s="561">
        <v>0</v>
      </c>
      <c r="PH395" s="561">
        <v>0</v>
      </c>
      <c r="PI395" s="561">
        <v>0</v>
      </c>
      <c r="PJ395" s="561">
        <v>0</v>
      </c>
    </row>
    <row r="396" spans="1:426" ht="14" x14ac:dyDescent="0.3">
      <c r="A396" t="s">
        <v>3632</v>
      </c>
      <c r="B396" t="s">
        <v>3633</v>
      </c>
      <c r="C396" t="s">
        <v>3634</v>
      </c>
      <c r="E396" t="s">
        <v>2466</v>
      </c>
      <c r="F396" s="561">
        <v>0</v>
      </c>
      <c r="G396" s="561">
        <v>0</v>
      </c>
      <c r="H396" s="561">
        <v>0</v>
      </c>
      <c r="I396" s="561">
        <v>0</v>
      </c>
      <c r="J396" s="561">
        <v>0</v>
      </c>
      <c r="K396" s="561">
        <v>0</v>
      </c>
      <c r="L396" s="561">
        <v>0</v>
      </c>
      <c r="M396" s="561">
        <v>0</v>
      </c>
      <c r="N396" s="561">
        <v>0</v>
      </c>
      <c r="O396" s="561">
        <v>0</v>
      </c>
      <c r="P396" s="561">
        <v>0</v>
      </c>
      <c r="Q396" s="561">
        <v>0</v>
      </c>
      <c r="R396" s="561">
        <v>0</v>
      </c>
      <c r="S396" s="561">
        <v>0</v>
      </c>
      <c r="T396" s="561">
        <v>0</v>
      </c>
      <c r="U396" s="561">
        <v>0</v>
      </c>
      <c r="V396" s="561">
        <v>0</v>
      </c>
      <c r="W396" s="561">
        <v>0</v>
      </c>
      <c r="X396" s="561">
        <v>0</v>
      </c>
      <c r="Y396" s="561">
        <v>0</v>
      </c>
      <c r="Z396" s="561">
        <v>0</v>
      </c>
      <c r="AA396" s="561">
        <v>0</v>
      </c>
      <c r="AB396" s="561">
        <v>0</v>
      </c>
      <c r="AC396" s="561">
        <v>0</v>
      </c>
      <c r="AD396" s="561">
        <v>0</v>
      </c>
      <c r="AE396" s="561">
        <v>0</v>
      </c>
      <c r="AF396" s="561">
        <v>0</v>
      </c>
      <c r="AG396" s="561">
        <v>0</v>
      </c>
      <c r="AH396" s="561">
        <v>0</v>
      </c>
      <c r="AI396" s="561">
        <v>0</v>
      </c>
      <c r="AJ396" s="561">
        <v>0</v>
      </c>
      <c r="AK396" s="561">
        <v>0</v>
      </c>
      <c r="AL396" s="561">
        <v>0</v>
      </c>
      <c r="AM396" s="561">
        <v>0</v>
      </c>
      <c r="AN396" s="561">
        <v>0</v>
      </c>
      <c r="AO396" s="561">
        <v>0</v>
      </c>
      <c r="AP396" s="561">
        <v>0</v>
      </c>
      <c r="AQ396" s="561">
        <v>0</v>
      </c>
      <c r="AR396" s="561">
        <v>0</v>
      </c>
      <c r="AS396" s="561">
        <v>0</v>
      </c>
      <c r="AT396" s="561">
        <v>0</v>
      </c>
      <c r="AU396" s="561">
        <v>0</v>
      </c>
      <c r="AV396" s="561">
        <v>0</v>
      </c>
      <c r="AW396" s="561">
        <v>0</v>
      </c>
      <c r="AX396" s="561">
        <v>0</v>
      </c>
      <c r="AY396" s="561">
        <v>0</v>
      </c>
      <c r="AZ396" s="561">
        <v>0</v>
      </c>
      <c r="BA396" s="561">
        <v>0</v>
      </c>
      <c r="BB396" s="561">
        <v>0</v>
      </c>
      <c r="BC396" s="561">
        <v>0</v>
      </c>
      <c r="BD396" s="561">
        <v>0</v>
      </c>
      <c r="BE396" s="561">
        <v>0</v>
      </c>
      <c r="BF396" s="561">
        <v>0</v>
      </c>
      <c r="BG396" s="561">
        <v>0</v>
      </c>
      <c r="BH396" s="561">
        <v>0</v>
      </c>
      <c r="BI396" s="561">
        <v>0</v>
      </c>
      <c r="BJ396" s="561">
        <v>0</v>
      </c>
      <c r="BK396" s="561">
        <v>0</v>
      </c>
      <c r="BL396" s="561">
        <v>0</v>
      </c>
      <c r="BM396" s="561">
        <v>0</v>
      </c>
      <c r="BN396" s="561">
        <v>0</v>
      </c>
      <c r="BO396" s="561">
        <v>0</v>
      </c>
      <c r="BP396" s="561">
        <v>0</v>
      </c>
      <c r="BQ396" s="561">
        <v>0</v>
      </c>
      <c r="BR396" s="561">
        <v>0</v>
      </c>
      <c r="BS396" s="561">
        <v>0</v>
      </c>
      <c r="BT396" s="561">
        <v>0</v>
      </c>
      <c r="BU396" s="561">
        <v>0</v>
      </c>
      <c r="BV396" s="561">
        <v>0</v>
      </c>
      <c r="BW396" s="561">
        <v>0</v>
      </c>
      <c r="BX396" s="561">
        <v>0</v>
      </c>
      <c r="BY396" s="561">
        <v>0</v>
      </c>
      <c r="BZ396" s="561">
        <v>0</v>
      </c>
      <c r="CA396" s="561">
        <v>0</v>
      </c>
      <c r="CB396" s="561">
        <v>0</v>
      </c>
      <c r="CC396" s="561">
        <v>0</v>
      </c>
      <c r="CD396" s="561">
        <v>0</v>
      </c>
      <c r="CE396" s="561">
        <v>0</v>
      </c>
      <c r="CF396" s="561">
        <v>0</v>
      </c>
      <c r="CG396" s="561">
        <v>0</v>
      </c>
      <c r="CH396" s="561">
        <v>0</v>
      </c>
      <c r="CI396" s="561">
        <v>0</v>
      </c>
      <c r="CJ396" s="561">
        <v>0</v>
      </c>
      <c r="CK396" s="561">
        <v>0</v>
      </c>
      <c r="CL396" s="561">
        <v>0</v>
      </c>
      <c r="CM396" s="561">
        <v>0</v>
      </c>
      <c r="CN396" s="561">
        <v>0</v>
      </c>
      <c r="CO396" s="561">
        <v>0</v>
      </c>
      <c r="CP396" s="561">
        <v>0</v>
      </c>
      <c r="CQ396" s="561">
        <v>0</v>
      </c>
      <c r="CR396" s="561">
        <v>0</v>
      </c>
      <c r="CS396" s="561">
        <v>0</v>
      </c>
      <c r="CT396" s="561">
        <v>0</v>
      </c>
      <c r="CU396" s="561">
        <v>0</v>
      </c>
      <c r="CV396" s="561">
        <v>0</v>
      </c>
      <c r="CW396" s="561">
        <v>0</v>
      </c>
      <c r="CX396" s="561">
        <v>0</v>
      </c>
      <c r="CY396" s="561">
        <v>0</v>
      </c>
      <c r="CZ396" s="561">
        <v>0</v>
      </c>
      <c r="DA396" s="561">
        <v>0</v>
      </c>
      <c r="DB396" s="561">
        <v>0</v>
      </c>
      <c r="DC396" s="561">
        <v>0</v>
      </c>
      <c r="DD396" s="561">
        <v>0</v>
      </c>
      <c r="DE396" s="561">
        <v>0</v>
      </c>
      <c r="DF396" s="561">
        <v>0</v>
      </c>
      <c r="DG396" s="561">
        <v>0</v>
      </c>
      <c r="DH396" s="561">
        <v>0</v>
      </c>
      <c r="DI396" s="561">
        <v>0</v>
      </c>
      <c r="DJ396" s="561">
        <v>0</v>
      </c>
      <c r="DK396" s="561">
        <v>0</v>
      </c>
      <c r="DL396" s="561">
        <v>0</v>
      </c>
      <c r="DM396" s="561">
        <v>0</v>
      </c>
      <c r="DN396" s="561">
        <v>0</v>
      </c>
      <c r="DO396" s="561">
        <v>0</v>
      </c>
      <c r="DP396" s="561">
        <v>0</v>
      </c>
      <c r="DQ396" s="561">
        <v>0</v>
      </c>
      <c r="DR396" s="561">
        <v>0</v>
      </c>
      <c r="DS396" s="561">
        <v>0</v>
      </c>
      <c r="DT396" s="561">
        <v>0</v>
      </c>
      <c r="DU396" s="561">
        <v>0</v>
      </c>
      <c r="DV396" s="561">
        <v>0</v>
      </c>
      <c r="DW396" s="561">
        <v>0</v>
      </c>
      <c r="DX396" s="561">
        <v>0</v>
      </c>
      <c r="DY396" s="561">
        <v>0</v>
      </c>
      <c r="DZ396" s="561">
        <v>0</v>
      </c>
      <c r="EA396" s="561">
        <v>0</v>
      </c>
      <c r="EB396" s="561">
        <v>0</v>
      </c>
      <c r="EC396" s="561">
        <v>0</v>
      </c>
      <c r="ED396" s="561">
        <v>0</v>
      </c>
      <c r="EE396" s="561">
        <v>0</v>
      </c>
      <c r="EF396" s="561">
        <v>0</v>
      </c>
      <c r="EG396" s="561">
        <v>0</v>
      </c>
      <c r="EH396" s="561">
        <v>0</v>
      </c>
      <c r="EI396" s="561">
        <v>0</v>
      </c>
      <c r="EJ396" s="561">
        <v>0</v>
      </c>
      <c r="EK396" s="561">
        <v>0</v>
      </c>
      <c r="EL396" s="561">
        <v>0</v>
      </c>
      <c r="EM396" s="561">
        <v>0</v>
      </c>
      <c r="EN396" s="561">
        <v>0</v>
      </c>
      <c r="EO396" s="561">
        <v>0</v>
      </c>
      <c r="EP396" s="561">
        <v>0</v>
      </c>
      <c r="EQ396" s="561">
        <v>0</v>
      </c>
      <c r="ER396" s="561">
        <v>0</v>
      </c>
      <c r="ES396" s="561" t="s">
        <v>4565</v>
      </c>
      <c r="ET396" s="561">
        <v>0</v>
      </c>
      <c r="EU396" s="561">
        <v>0</v>
      </c>
      <c r="EV396" s="561">
        <v>0</v>
      </c>
      <c r="EW396" s="561">
        <v>0</v>
      </c>
      <c r="EX396" s="561">
        <v>0</v>
      </c>
      <c r="EY396" s="561">
        <v>0</v>
      </c>
      <c r="EZ396" s="561">
        <v>0</v>
      </c>
      <c r="FA396" s="561">
        <v>0</v>
      </c>
      <c r="FB396" s="561">
        <v>0</v>
      </c>
      <c r="FC396" s="561">
        <v>0</v>
      </c>
      <c r="FD396" s="561">
        <v>0</v>
      </c>
      <c r="FE396" s="561">
        <v>0</v>
      </c>
      <c r="FF396" s="561">
        <v>0</v>
      </c>
      <c r="FG396" s="561">
        <v>0</v>
      </c>
      <c r="FH396" s="561">
        <v>0</v>
      </c>
      <c r="FI396" s="561">
        <v>0</v>
      </c>
      <c r="FJ396" s="561">
        <v>0</v>
      </c>
      <c r="FK396" s="561">
        <v>0</v>
      </c>
      <c r="FL396" s="561">
        <v>0</v>
      </c>
      <c r="FM396" s="561">
        <v>0</v>
      </c>
      <c r="FN396" s="561">
        <v>0</v>
      </c>
      <c r="FO396" s="561">
        <v>0</v>
      </c>
      <c r="FP396" s="561">
        <v>0</v>
      </c>
      <c r="FQ396" s="561">
        <v>0</v>
      </c>
      <c r="FR396" s="561">
        <v>0</v>
      </c>
      <c r="FS396" s="561">
        <v>0</v>
      </c>
      <c r="FT396" s="561">
        <v>0</v>
      </c>
      <c r="FU396" s="561">
        <v>0</v>
      </c>
      <c r="FV396" s="561">
        <v>0</v>
      </c>
      <c r="FW396" s="561">
        <v>0</v>
      </c>
      <c r="FX396" s="561">
        <v>0</v>
      </c>
      <c r="FY396" s="561">
        <v>0</v>
      </c>
      <c r="FZ396" s="561">
        <v>0</v>
      </c>
      <c r="GA396" s="561">
        <v>0</v>
      </c>
      <c r="GB396" s="561">
        <v>0</v>
      </c>
      <c r="GC396" s="561">
        <v>0</v>
      </c>
      <c r="GD396" s="561">
        <v>0</v>
      </c>
      <c r="GE396" s="561">
        <v>0</v>
      </c>
      <c r="GF396" s="561">
        <v>0</v>
      </c>
      <c r="GG396" s="561">
        <v>0</v>
      </c>
      <c r="GH396" s="561">
        <v>0</v>
      </c>
      <c r="GI396" s="561">
        <v>0</v>
      </c>
      <c r="GJ396" s="561">
        <v>0</v>
      </c>
      <c r="GK396" s="561">
        <v>0</v>
      </c>
      <c r="GL396" s="561">
        <v>0</v>
      </c>
      <c r="GM396" s="561">
        <v>0</v>
      </c>
      <c r="GN396" s="561">
        <v>0</v>
      </c>
      <c r="GO396" s="561">
        <v>0</v>
      </c>
      <c r="GP396" s="561">
        <v>0</v>
      </c>
      <c r="GQ396" s="561">
        <v>0</v>
      </c>
      <c r="GR396" s="561">
        <v>0</v>
      </c>
      <c r="GS396" s="561">
        <v>0</v>
      </c>
      <c r="GT396" s="561">
        <v>0</v>
      </c>
      <c r="GU396" s="561">
        <v>0</v>
      </c>
      <c r="GV396" s="561">
        <v>0</v>
      </c>
      <c r="GW396" s="561">
        <v>0</v>
      </c>
      <c r="GX396" s="561">
        <v>0</v>
      </c>
      <c r="GY396" s="561">
        <v>0</v>
      </c>
      <c r="GZ396" s="561">
        <v>0</v>
      </c>
      <c r="HA396" s="561">
        <v>0</v>
      </c>
      <c r="HB396" s="561">
        <v>0</v>
      </c>
      <c r="HC396" s="561">
        <v>0</v>
      </c>
      <c r="HD396" s="561">
        <v>0</v>
      </c>
      <c r="HE396" s="561">
        <v>0</v>
      </c>
      <c r="HF396" s="561">
        <v>0</v>
      </c>
      <c r="HG396" s="561">
        <v>0</v>
      </c>
      <c r="HH396" s="561">
        <v>653171</v>
      </c>
      <c r="HI396" s="561">
        <v>0</v>
      </c>
      <c r="HJ396" s="561">
        <v>0</v>
      </c>
      <c r="HK396" s="561">
        <v>0</v>
      </c>
      <c r="HL396" s="561">
        <v>0</v>
      </c>
      <c r="HM396" s="561">
        <v>0</v>
      </c>
      <c r="HN396" s="561">
        <v>0</v>
      </c>
      <c r="HO396" s="561">
        <v>2001</v>
      </c>
      <c r="HP396" s="561">
        <v>0</v>
      </c>
      <c r="HQ396" s="561">
        <v>0</v>
      </c>
      <c r="HR396" s="561">
        <v>0</v>
      </c>
      <c r="HS396" s="561">
        <v>0</v>
      </c>
      <c r="HT396" s="561">
        <v>0</v>
      </c>
      <c r="HU396" s="561">
        <v>0</v>
      </c>
      <c r="HV396" s="561">
        <v>0</v>
      </c>
      <c r="HW396" s="561">
        <v>0</v>
      </c>
      <c r="HX396" s="561">
        <v>0</v>
      </c>
      <c r="HY396" s="561">
        <v>0</v>
      </c>
      <c r="HZ396" s="561">
        <v>0</v>
      </c>
      <c r="IA396" s="561">
        <v>0</v>
      </c>
      <c r="IB396" s="561">
        <v>0</v>
      </c>
      <c r="IC396" s="561">
        <v>0</v>
      </c>
      <c r="ID396" s="561">
        <v>0</v>
      </c>
      <c r="IE396" s="561">
        <v>16935</v>
      </c>
      <c r="IF396" s="561">
        <v>0</v>
      </c>
      <c r="IG396" s="561">
        <v>0</v>
      </c>
      <c r="IH396" s="561">
        <v>0</v>
      </c>
      <c r="II396" s="561">
        <v>18936</v>
      </c>
      <c r="IJ396" s="561">
        <v>0</v>
      </c>
      <c r="IK396" s="561">
        <v>0</v>
      </c>
      <c r="IL396" s="561">
        <v>0</v>
      </c>
      <c r="IM396" s="561">
        <v>0</v>
      </c>
      <c r="IN396" s="561">
        <v>0</v>
      </c>
      <c r="IO396" s="561">
        <v>0</v>
      </c>
      <c r="IP396" s="561">
        <v>0</v>
      </c>
      <c r="IQ396" s="561">
        <v>0</v>
      </c>
      <c r="IR396" s="561">
        <v>0</v>
      </c>
      <c r="IS396" s="561">
        <v>0</v>
      </c>
      <c r="IT396" s="561">
        <v>0</v>
      </c>
      <c r="IU396" s="561">
        <v>0</v>
      </c>
      <c r="IV396" s="561">
        <v>0</v>
      </c>
      <c r="IW396" s="561">
        <v>0</v>
      </c>
      <c r="IX396" s="561">
        <v>0</v>
      </c>
      <c r="IY396" s="561">
        <v>0</v>
      </c>
      <c r="IZ396" s="561">
        <v>0</v>
      </c>
      <c r="JA396" s="561">
        <v>653171</v>
      </c>
      <c r="JB396" s="561">
        <v>0</v>
      </c>
      <c r="JC396" s="561">
        <v>18936</v>
      </c>
      <c r="JD396" s="561">
        <v>0</v>
      </c>
      <c r="JE396" s="561">
        <v>672107</v>
      </c>
      <c r="JF396" s="561">
        <v>0</v>
      </c>
      <c r="JG396" s="561">
        <v>0</v>
      </c>
      <c r="JH396" s="561">
        <v>0</v>
      </c>
      <c r="JI396" s="561">
        <v>0</v>
      </c>
      <c r="JJ396" s="561">
        <v>0</v>
      </c>
      <c r="JK396" s="561">
        <v>0</v>
      </c>
      <c r="JL396" s="561">
        <v>0</v>
      </c>
      <c r="JM396" s="561">
        <v>0</v>
      </c>
      <c r="JN396" s="561">
        <v>0</v>
      </c>
      <c r="JO396" s="561">
        <v>0</v>
      </c>
      <c r="JP396" s="561">
        <v>0</v>
      </c>
      <c r="JQ396" s="561">
        <v>0</v>
      </c>
      <c r="JR396" s="561">
        <v>0</v>
      </c>
      <c r="JS396" s="561">
        <v>0</v>
      </c>
      <c r="JT396" s="561">
        <v>3226</v>
      </c>
      <c r="JU396" s="561">
        <v>0</v>
      </c>
      <c r="JV396" s="561">
        <v>675333</v>
      </c>
      <c r="JW396" s="561">
        <v>0</v>
      </c>
      <c r="JX396" s="561">
        <v>11723</v>
      </c>
      <c r="JY396" s="561">
        <v>0</v>
      </c>
      <c r="JZ396" s="561">
        <v>0</v>
      </c>
      <c r="KA396" s="561">
        <v>0</v>
      </c>
      <c r="KB396" s="561">
        <v>94</v>
      </c>
      <c r="KC396" s="561">
        <v>6490</v>
      </c>
      <c r="KD396" s="561">
        <v>0</v>
      </c>
      <c r="KE396" s="561">
        <v>10968</v>
      </c>
      <c r="KF396" s="561">
        <v>0</v>
      </c>
      <c r="KG396" s="561">
        <v>704608</v>
      </c>
      <c r="KH396" s="561">
        <v>-5581</v>
      </c>
      <c r="KI396" s="561">
        <v>0</v>
      </c>
      <c r="KJ396" s="561">
        <v>0</v>
      </c>
      <c r="KK396" s="561">
        <v>0</v>
      </c>
      <c r="KL396" s="561">
        <v>-79</v>
      </c>
      <c r="KM396" s="561">
        <v>0</v>
      </c>
      <c r="KN396" s="561">
        <v>0</v>
      </c>
      <c r="KO396" s="561">
        <v>0</v>
      </c>
      <c r="KP396" s="561">
        <v>0</v>
      </c>
      <c r="KQ396" s="561">
        <v>0</v>
      </c>
      <c r="KR396" s="561">
        <v>698948</v>
      </c>
      <c r="KS396" s="561">
        <v>0</v>
      </c>
      <c r="KT396" s="561">
        <v>-127215</v>
      </c>
      <c r="KU396" s="561">
        <v>571733</v>
      </c>
      <c r="KV396" s="561">
        <v>0</v>
      </c>
      <c r="KW396" s="561">
        <v>0</v>
      </c>
      <c r="KX396" s="561">
        <v>0</v>
      </c>
      <c r="KY396" s="561">
        <v>0</v>
      </c>
      <c r="KZ396" s="561">
        <v>4019</v>
      </c>
      <c r="LA396" s="561">
        <v>800</v>
      </c>
      <c r="LB396" s="561">
        <v>0</v>
      </c>
      <c r="LC396" s="561">
        <v>-406322</v>
      </c>
      <c r="LD396" s="561">
        <v>0</v>
      </c>
      <c r="LE396" s="561">
        <v>316</v>
      </c>
      <c r="LF396" s="561">
        <v>22</v>
      </c>
      <c r="LG396" s="561">
        <v>170568</v>
      </c>
      <c r="LH396" s="561">
        <v>0</v>
      </c>
      <c r="LI396" s="561">
        <v>0</v>
      </c>
      <c r="LJ396" s="561">
        <v>0</v>
      </c>
      <c r="LK396" s="561">
        <v>0</v>
      </c>
      <c r="LL396" s="561">
        <v>99235</v>
      </c>
      <c r="LM396" s="561">
        <v>14550</v>
      </c>
      <c r="LN396" s="561">
        <v>0</v>
      </c>
      <c r="LO396" s="561">
        <v>0</v>
      </c>
      <c r="LP396" s="561">
        <v>0</v>
      </c>
      <c r="LQ396" s="561">
        <v>0</v>
      </c>
      <c r="LR396" s="561">
        <v>103254</v>
      </c>
      <c r="LS396" s="561">
        <v>15350</v>
      </c>
      <c r="LT396" s="561">
        <v>0</v>
      </c>
      <c r="LU396" s="561">
        <v>30936</v>
      </c>
      <c r="LV396" s="561">
        <v>1369</v>
      </c>
      <c r="LW396" s="561">
        <v>0</v>
      </c>
      <c r="LX396" s="561">
        <v>-1323</v>
      </c>
      <c r="LY396" s="561">
        <v>0</v>
      </c>
      <c r="LZ396" s="561">
        <v>30982</v>
      </c>
      <c r="MA396" s="561">
        <v>0</v>
      </c>
      <c r="MB396" s="561">
        <v>0</v>
      </c>
      <c r="MC396" s="561">
        <v>0</v>
      </c>
      <c r="MD396" s="561">
        <v>0</v>
      </c>
      <c r="ME396" s="561">
        <v>0</v>
      </c>
      <c r="MF396" s="561">
        <v>0</v>
      </c>
      <c r="MG396" s="561">
        <v>0</v>
      </c>
      <c r="MH396" s="561">
        <v>0</v>
      </c>
      <c r="MI396" s="561">
        <v>0</v>
      </c>
      <c r="MJ396" s="561">
        <v>0</v>
      </c>
      <c r="MK396" s="561">
        <v>0</v>
      </c>
      <c r="ML396" s="561">
        <v>13382</v>
      </c>
      <c r="MM396" s="561">
        <v>12268</v>
      </c>
      <c r="MN396" s="561">
        <v>854</v>
      </c>
      <c r="MO396" s="561">
        <v>28657</v>
      </c>
      <c r="MP396" s="561">
        <v>48093</v>
      </c>
      <c r="MQ396" s="561">
        <v>0</v>
      </c>
      <c r="MR396" s="561">
        <v>0</v>
      </c>
      <c r="MS396" s="561">
        <v>0</v>
      </c>
      <c r="MT396" s="561">
        <v>0</v>
      </c>
      <c r="MU396" s="561">
        <v>0</v>
      </c>
      <c r="MV396" s="561">
        <v>0</v>
      </c>
      <c r="MW396" s="561">
        <v>0</v>
      </c>
      <c r="MX396" s="561">
        <v>0</v>
      </c>
      <c r="MY396" s="561">
        <v>0</v>
      </c>
      <c r="MZ396" s="561">
        <v>653171</v>
      </c>
      <c r="NA396" s="561">
        <v>0</v>
      </c>
      <c r="NB396" s="561">
        <v>18936</v>
      </c>
      <c r="NC396" s="561">
        <v>0</v>
      </c>
      <c r="ND396" s="561">
        <v>672107</v>
      </c>
      <c r="NE396" s="561">
        <v>0</v>
      </c>
      <c r="NF396" s="561">
        <v>0</v>
      </c>
      <c r="NG396" s="561">
        <v>0</v>
      </c>
      <c r="NH396" s="561">
        <v>0</v>
      </c>
      <c r="NI396" s="561">
        <v>0</v>
      </c>
      <c r="NJ396" s="561">
        <v>0</v>
      </c>
      <c r="NK396" s="561">
        <v>0</v>
      </c>
      <c r="NL396" s="561">
        <v>0</v>
      </c>
      <c r="NM396" s="561">
        <v>0</v>
      </c>
      <c r="NN396" s="561">
        <v>0</v>
      </c>
      <c r="NO396" s="561">
        <v>0</v>
      </c>
      <c r="NP396" s="561">
        <v>0</v>
      </c>
      <c r="NQ396" s="561">
        <v>0</v>
      </c>
      <c r="NR396" s="561">
        <v>0</v>
      </c>
      <c r="NS396" s="561">
        <v>0</v>
      </c>
      <c r="NT396" s="561">
        <v>0</v>
      </c>
      <c r="NU396" s="561">
        <v>0</v>
      </c>
      <c r="NV396" s="561">
        <v>0</v>
      </c>
      <c r="NW396" s="561">
        <v>0</v>
      </c>
      <c r="NX396" s="561">
        <v>0</v>
      </c>
      <c r="NY396" s="561">
        <v>0</v>
      </c>
      <c r="NZ396" s="561">
        <v>0</v>
      </c>
      <c r="OA396" s="561">
        <v>0</v>
      </c>
      <c r="OB396" s="561">
        <v>0</v>
      </c>
      <c r="OC396" s="561">
        <v>0</v>
      </c>
      <c r="OD396" s="561">
        <v>0</v>
      </c>
      <c r="OE396" s="561">
        <v>0</v>
      </c>
      <c r="OF396" s="561">
        <v>0</v>
      </c>
      <c r="OG396" s="561">
        <v>0</v>
      </c>
      <c r="OH396" s="561">
        <v>0</v>
      </c>
      <c r="OI396" s="561">
        <v>0</v>
      </c>
      <c r="OJ396" s="561">
        <v>0</v>
      </c>
      <c r="OK396" s="561">
        <v>0</v>
      </c>
      <c r="OL396" s="561">
        <v>0</v>
      </c>
      <c r="OM396" s="561">
        <v>0</v>
      </c>
      <c r="ON396" s="561">
        <v>0</v>
      </c>
      <c r="OO396" s="561">
        <v>0</v>
      </c>
      <c r="OP396" s="561">
        <v>0</v>
      </c>
      <c r="OQ396" s="561">
        <v>0</v>
      </c>
      <c r="OR396" s="561">
        <v>0</v>
      </c>
      <c r="OS396" s="561">
        <v>0</v>
      </c>
      <c r="OT396" s="561">
        <v>0</v>
      </c>
      <c r="OU396" s="561">
        <v>0</v>
      </c>
      <c r="OV396" s="561">
        <v>0</v>
      </c>
      <c r="OW396" s="561">
        <v>0</v>
      </c>
      <c r="OX396" s="561">
        <v>0</v>
      </c>
      <c r="OY396" s="561">
        <v>0</v>
      </c>
      <c r="OZ396" s="561">
        <v>0</v>
      </c>
      <c r="PA396" s="561">
        <v>0</v>
      </c>
      <c r="PB396" s="561">
        <v>0</v>
      </c>
      <c r="PC396" s="561">
        <v>0</v>
      </c>
      <c r="PD396" s="561">
        <v>0</v>
      </c>
      <c r="PE396" s="561">
        <v>0</v>
      </c>
      <c r="PF396" s="561">
        <v>0</v>
      </c>
      <c r="PG396" s="561">
        <v>0</v>
      </c>
      <c r="PH396" s="561">
        <v>0</v>
      </c>
      <c r="PI396" s="561">
        <v>0</v>
      </c>
      <c r="PJ396" s="561">
        <v>0</v>
      </c>
    </row>
    <row r="397" spans="1:426" ht="14" x14ac:dyDescent="0.3">
      <c r="A397" t="s">
        <v>3635</v>
      </c>
      <c r="B397" t="s">
        <v>3636</v>
      </c>
      <c r="C397" t="s">
        <v>3637</v>
      </c>
      <c r="E397" t="s">
        <v>2466</v>
      </c>
      <c r="F397" s="561">
        <v>0</v>
      </c>
      <c r="G397" s="561">
        <v>0</v>
      </c>
      <c r="H397" s="561">
        <v>0</v>
      </c>
      <c r="I397" s="561">
        <v>0</v>
      </c>
      <c r="J397" s="561">
        <v>0</v>
      </c>
      <c r="K397" s="561">
        <v>0</v>
      </c>
      <c r="L397" s="561">
        <v>0</v>
      </c>
      <c r="M397" s="561">
        <v>0</v>
      </c>
      <c r="N397" s="561">
        <v>0</v>
      </c>
      <c r="O397" s="561">
        <v>0</v>
      </c>
      <c r="P397" s="561">
        <v>0</v>
      </c>
      <c r="Q397" s="561">
        <v>0</v>
      </c>
      <c r="R397" s="561">
        <v>0</v>
      </c>
      <c r="S397" s="561">
        <v>0</v>
      </c>
      <c r="T397" s="561">
        <v>0</v>
      </c>
      <c r="U397" s="561">
        <v>0</v>
      </c>
      <c r="V397" s="561">
        <v>0</v>
      </c>
      <c r="W397" s="561">
        <v>0</v>
      </c>
      <c r="X397" s="561">
        <v>0</v>
      </c>
      <c r="Y397" s="561">
        <v>0</v>
      </c>
      <c r="Z397" s="561">
        <v>0</v>
      </c>
      <c r="AA397" s="561">
        <v>0</v>
      </c>
      <c r="AB397" s="561">
        <v>0</v>
      </c>
      <c r="AC397" s="561">
        <v>0</v>
      </c>
      <c r="AD397" s="561">
        <v>0</v>
      </c>
      <c r="AE397" s="561">
        <v>0</v>
      </c>
      <c r="AF397" s="561">
        <v>0</v>
      </c>
      <c r="AG397" s="561">
        <v>0</v>
      </c>
      <c r="AH397" s="561">
        <v>0</v>
      </c>
      <c r="AI397" s="561">
        <v>0</v>
      </c>
      <c r="AJ397" s="561">
        <v>0</v>
      </c>
      <c r="AK397" s="561">
        <v>0</v>
      </c>
      <c r="AL397" s="561">
        <v>0</v>
      </c>
      <c r="AM397" s="561">
        <v>0</v>
      </c>
      <c r="AN397" s="561">
        <v>0</v>
      </c>
      <c r="AO397" s="561">
        <v>0</v>
      </c>
      <c r="AP397" s="561">
        <v>0</v>
      </c>
      <c r="AQ397" s="561">
        <v>0</v>
      </c>
      <c r="AR397" s="561">
        <v>0</v>
      </c>
      <c r="AS397" s="561">
        <v>0</v>
      </c>
      <c r="AT397" s="561">
        <v>0</v>
      </c>
      <c r="AU397" s="561">
        <v>0</v>
      </c>
      <c r="AV397" s="561">
        <v>0</v>
      </c>
      <c r="AW397" s="561">
        <v>0</v>
      </c>
      <c r="AX397" s="561">
        <v>0</v>
      </c>
      <c r="AY397" s="561">
        <v>0</v>
      </c>
      <c r="AZ397" s="561">
        <v>0</v>
      </c>
      <c r="BA397" s="561">
        <v>0</v>
      </c>
      <c r="BB397" s="561">
        <v>0</v>
      </c>
      <c r="BC397" s="561">
        <v>0</v>
      </c>
      <c r="BD397" s="561">
        <v>0</v>
      </c>
      <c r="BE397" s="561">
        <v>0</v>
      </c>
      <c r="BF397" s="561">
        <v>0</v>
      </c>
      <c r="BG397" s="561">
        <v>0</v>
      </c>
      <c r="BH397" s="561">
        <v>0</v>
      </c>
      <c r="BI397" s="561">
        <v>0</v>
      </c>
      <c r="BJ397" s="561">
        <v>0</v>
      </c>
      <c r="BK397" s="561">
        <v>0</v>
      </c>
      <c r="BL397" s="561">
        <v>0</v>
      </c>
      <c r="BM397" s="561">
        <v>0</v>
      </c>
      <c r="BN397" s="561">
        <v>0</v>
      </c>
      <c r="BO397" s="561">
        <v>0</v>
      </c>
      <c r="BP397" s="561">
        <v>0</v>
      </c>
      <c r="BQ397" s="561">
        <v>0</v>
      </c>
      <c r="BR397" s="561">
        <v>0</v>
      </c>
      <c r="BS397" s="561">
        <v>0</v>
      </c>
      <c r="BT397" s="561">
        <v>0</v>
      </c>
      <c r="BU397" s="561">
        <v>0</v>
      </c>
      <c r="BV397" s="561">
        <v>0</v>
      </c>
      <c r="BW397" s="561">
        <v>0</v>
      </c>
      <c r="BX397" s="561">
        <v>0</v>
      </c>
      <c r="BY397" s="561">
        <v>0</v>
      </c>
      <c r="BZ397" s="561">
        <v>0</v>
      </c>
      <c r="CA397" s="561">
        <v>0</v>
      </c>
      <c r="CB397" s="561">
        <v>0</v>
      </c>
      <c r="CC397" s="561">
        <v>0</v>
      </c>
      <c r="CD397" s="561">
        <v>0</v>
      </c>
      <c r="CE397" s="561">
        <v>0</v>
      </c>
      <c r="CF397" s="561">
        <v>0</v>
      </c>
      <c r="CG397" s="561">
        <v>0</v>
      </c>
      <c r="CH397" s="561">
        <v>0</v>
      </c>
      <c r="CI397" s="561">
        <v>0</v>
      </c>
      <c r="CJ397" s="561">
        <v>0</v>
      </c>
      <c r="CK397" s="561">
        <v>0</v>
      </c>
      <c r="CL397" s="561">
        <v>0</v>
      </c>
      <c r="CM397" s="561">
        <v>0</v>
      </c>
      <c r="CN397" s="561">
        <v>0</v>
      </c>
      <c r="CO397" s="561">
        <v>0</v>
      </c>
      <c r="CP397" s="561">
        <v>0</v>
      </c>
      <c r="CQ397" s="561">
        <v>0</v>
      </c>
      <c r="CR397" s="561">
        <v>0</v>
      </c>
      <c r="CS397" s="561">
        <v>0</v>
      </c>
      <c r="CT397" s="561">
        <v>0</v>
      </c>
      <c r="CU397" s="561">
        <v>0</v>
      </c>
      <c r="CV397" s="561">
        <v>0</v>
      </c>
      <c r="CW397" s="561">
        <v>0</v>
      </c>
      <c r="CX397" s="561">
        <v>0</v>
      </c>
      <c r="CY397" s="561">
        <v>0</v>
      </c>
      <c r="CZ397" s="561">
        <v>0</v>
      </c>
      <c r="DA397" s="561">
        <v>0</v>
      </c>
      <c r="DB397" s="561">
        <v>0</v>
      </c>
      <c r="DC397" s="561">
        <v>0</v>
      </c>
      <c r="DD397" s="561">
        <v>0</v>
      </c>
      <c r="DE397" s="561">
        <v>0</v>
      </c>
      <c r="DF397" s="561">
        <v>0</v>
      </c>
      <c r="DG397" s="561">
        <v>0</v>
      </c>
      <c r="DH397" s="561">
        <v>0</v>
      </c>
      <c r="DI397" s="561">
        <v>0</v>
      </c>
      <c r="DJ397" s="561">
        <v>0</v>
      </c>
      <c r="DK397" s="561">
        <v>0</v>
      </c>
      <c r="DL397" s="561">
        <v>0</v>
      </c>
      <c r="DM397" s="561">
        <v>0</v>
      </c>
      <c r="DN397" s="561">
        <v>0</v>
      </c>
      <c r="DO397" s="561">
        <v>0</v>
      </c>
      <c r="DP397" s="561">
        <v>0</v>
      </c>
      <c r="DQ397" s="561">
        <v>0</v>
      </c>
      <c r="DR397" s="561">
        <v>0</v>
      </c>
      <c r="DS397" s="561">
        <v>0</v>
      </c>
      <c r="DT397" s="561">
        <v>0</v>
      </c>
      <c r="DU397" s="561">
        <v>0</v>
      </c>
      <c r="DV397" s="561">
        <v>0</v>
      </c>
      <c r="DW397" s="561">
        <v>0</v>
      </c>
      <c r="DX397" s="561">
        <v>0</v>
      </c>
      <c r="DY397" s="561">
        <v>0</v>
      </c>
      <c r="DZ397" s="561">
        <v>0</v>
      </c>
      <c r="EA397" s="561">
        <v>0</v>
      </c>
      <c r="EB397" s="561">
        <v>0</v>
      </c>
      <c r="EC397" s="561">
        <v>0</v>
      </c>
      <c r="ED397" s="561">
        <v>0</v>
      </c>
      <c r="EE397" s="561">
        <v>0</v>
      </c>
      <c r="EF397" s="561">
        <v>0</v>
      </c>
      <c r="EG397" s="561">
        <v>0</v>
      </c>
      <c r="EH397" s="561">
        <v>0</v>
      </c>
      <c r="EI397" s="561">
        <v>0</v>
      </c>
      <c r="EJ397" s="561">
        <v>0</v>
      </c>
      <c r="EK397" s="561">
        <v>0</v>
      </c>
      <c r="EL397" s="561">
        <v>0</v>
      </c>
      <c r="EM397" s="561">
        <v>0</v>
      </c>
      <c r="EN397" s="561">
        <v>0</v>
      </c>
      <c r="EO397" s="561">
        <v>0</v>
      </c>
      <c r="EP397" s="561">
        <v>0</v>
      </c>
      <c r="EQ397" s="561">
        <v>0</v>
      </c>
      <c r="ER397" s="561">
        <v>0</v>
      </c>
      <c r="ES397" s="561" t="s">
        <v>4565</v>
      </c>
      <c r="ET397" s="561">
        <v>0</v>
      </c>
      <c r="EU397" s="561">
        <v>0</v>
      </c>
      <c r="EV397" s="561">
        <v>0</v>
      </c>
      <c r="EW397" s="561">
        <v>0</v>
      </c>
      <c r="EX397" s="561">
        <v>0</v>
      </c>
      <c r="EY397" s="561">
        <v>0</v>
      </c>
      <c r="EZ397" s="561">
        <v>0</v>
      </c>
      <c r="FA397" s="561">
        <v>0</v>
      </c>
      <c r="FB397" s="561">
        <v>0</v>
      </c>
      <c r="FC397" s="561">
        <v>0</v>
      </c>
      <c r="FD397" s="561">
        <v>0</v>
      </c>
      <c r="FE397" s="561">
        <v>0</v>
      </c>
      <c r="FF397" s="561">
        <v>0</v>
      </c>
      <c r="FG397" s="561">
        <v>0</v>
      </c>
      <c r="FH397" s="561">
        <v>0</v>
      </c>
      <c r="FI397" s="561">
        <v>0</v>
      </c>
      <c r="FJ397" s="561">
        <v>0</v>
      </c>
      <c r="FK397" s="561">
        <v>0</v>
      </c>
      <c r="FL397" s="561">
        <v>0</v>
      </c>
      <c r="FM397" s="561">
        <v>0</v>
      </c>
      <c r="FN397" s="561">
        <v>0</v>
      </c>
      <c r="FO397" s="561">
        <v>0</v>
      </c>
      <c r="FP397" s="561">
        <v>0</v>
      </c>
      <c r="FQ397" s="561">
        <v>0</v>
      </c>
      <c r="FR397" s="561">
        <v>0</v>
      </c>
      <c r="FS397" s="561">
        <v>0</v>
      </c>
      <c r="FT397" s="561">
        <v>0</v>
      </c>
      <c r="FU397" s="561">
        <v>0</v>
      </c>
      <c r="FV397" s="561">
        <v>0</v>
      </c>
      <c r="FW397" s="561">
        <v>0</v>
      </c>
      <c r="FX397" s="561">
        <v>0</v>
      </c>
      <c r="FY397" s="561">
        <v>0</v>
      </c>
      <c r="FZ397" s="561">
        <v>0</v>
      </c>
      <c r="GA397" s="561">
        <v>0</v>
      </c>
      <c r="GB397" s="561">
        <v>0</v>
      </c>
      <c r="GC397" s="561">
        <v>0</v>
      </c>
      <c r="GD397" s="561">
        <v>0</v>
      </c>
      <c r="GE397" s="561">
        <v>0</v>
      </c>
      <c r="GF397" s="561">
        <v>0</v>
      </c>
      <c r="GG397" s="561">
        <v>0</v>
      </c>
      <c r="GH397" s="561">
        <v>0</v>
      </c>
      <c r="GI397" s="561">
        <v>0</v>
      </c>
      <c r="GJ397" s="561">
        <v>0</v>
      </c>
      <c r="GK397" s="561">
        <v>0</v>
      </c>
      <c r="GL397" s="561">
        <v>0</v>
      </c>
      <c r="GM397" s="561">
        <v>0</v>
      </c>
      <c r="GN397" s="561">
        <v>56925</v>
      </c>
      <c r="GO397" s="561">
        <v>0</v>
      </c>
      <c r="GP397" s="561">
        <v>0</v>
      </c>
      <c r="GQ397" s="561">
        <v>0</v>
      </c>
      <c r="GR397" s="561">
        <v>0</v>
      </c>
      <c r="GS397" s="561">
        <v>56925</v>
      </c>
      <c r="GT397" s="561">
        <v>0</v>
      </c>
      <c r="GU397" s="561">
        <v>0</v>
      </c>
      <c r="GV397" s="561">
        <v>0</v>
      </c>
      <c r="GW397" s="561">
        <v>0</v>
      </c>
      <c r="GX397" s="561">
        <v>0</v>
      </c>
      <c r="GY397" s="561">
        <v>0</v>
      </c>
      <c r="GZ397" s="561">
        <v>0</v>
      </c>
      <c r="HA397" s="561">
        <v>0</v>
      </c>
      <c r="HB397" s="561">
        <v>0</v>
      </c>
      <c r="HC397" s="561">
        <v>0</v>
      </c>
      <c r="HD397" s="561">
        <v>0</v>
      </c>
      <c r="HE397" s="561">
        <v>0</v>
      </c>
      <c r="HF397" s="561">
        <v>56925</v>
      </c>
      <c r="HG397" s="561">
        <v>0</v>
      </c>
      <c r="HH397" s="561">
        <v>0</v>
      </c>
      <c r="HI397" s="561">
        <v>0</v>
      </c>
      <c r="HJ397" s="561">
        <v>0</v>
      </c>
      <c r="HK397" s="561">
        <v>0</v>
      </c>
      <c r="HL397" s="561">
        <v>0</v>
      </c>
      <c r="HM397" s="561">
        <v>0</v>
      </c>
      <c r="HN397" s="561">
        <v>0</v>
      </c>
      <c r="HO397" s="561">
        <v>0</v>
      </c>
      <c r="HP397" s="561">
        <v>0</v>
      </c>
      <c r="HQ397" s="561">
        <v>0</v>
      </c>
      <c r="HR397" s="561">
        <v>0</v>
      </c>
      <c r="HS397" s="561">
        <v>0</v>
      </c>
      <c r="HT397" s="561">
        <v>0</v>
      </c>
      <c r="HU397" s="561">
        <v>0</v>
      </c>
      <c r="HV397" s="561">
        <v>0</v>
      </c>
      <c r="HW397" s="561">
        <v>0</v>
      </c>
      <c r="HX397" s="561">
        <v>0</v>
      </c>
      <c r="HY397" s="561">
        <v>0</v>
      </c>
      <c r="HZ397" s="561">
        <v>0</v>
      </c>
      <c r="IA397" s="561">
        <v>0</v>
      </c>
      <c r="IB397" s="561">
        <v>0</v>
      </c>
      <c r="IC397" s="561">
        <v>0</v>
      </c>
      <c r="ID397" s="561">
        <v>0</v>
      </c>
      <c r="IE397" s="561">
        <v>0</v>
      </c>
      <c r="IF397" s="561">
        <v>0</v>
      </c>
      <c r="IG397" s="561">
        <v>0</v>
      </c>
      <c r="IH397" s="561">
        <v>0</v>
      </c>
      <c r="II397" s="561">
        <v>0</v>
      </c>
      <c r="IJ397" s="561">
        <v>0</v>
      </c>
      <c r="IK397" s="561">
        <v>0</v>
      </c>
      <c r="IL397" s="561">
        <v>0</v>
      </c>
      <c r="IM397" s="561">
        <v>0</v>
      </c>
      <c r="IN397" s="561">
        <v>0</v>
      </c>
      <c r="IO397" s="561">
        <v>0</v>
      </c>
      <c r="IP397" s="561">
        <v>0</v>
      </c>
      <c r="IQ397" s="561">
        <v>0</v>
      </c>
      <c r="IR397" s="561">
        <v>0</v>
      </c>
      <c r="IS397" s="561">
        <v>0</v>
      </c>
      <c r="IT397" s="561">
        <v>0</v>
      </c>
      <c r="IU397" s="561">
        <v>0</v>
      </c>
      <c r="IV397" s="561">
        <v>0</v>
      </c>
      <c r="IW397" s="561">
        <v>0</v>
      </c>
      <c r="IX397" s="561">
        <v>0</v>
      </c>
      <c r="IY397" s="561">
        <v>56925</v>
      </c>
      <c r="IZ397" s="561">
        <v>0</v>
      </c>
      <c r="JA397" s="561">
        <v>0</v>
      </c>
      <c r="JB397" s="561">
        <v>0</v>
      </c>
      <c r="JC397" s="561">
        <v>0</v>
      </c>
      <c r="JD397" s="561">
        <v>0</v>
      </c>
      <c r="JE397" s="561">
        <v>56925</v>
      </c>
      <c r="JF397" s="561">
        <v>0</v>
      </c>
      <c r="JG397" s="561">
        <v>0</v>
      </c>
      <c r="JH397" s="561">
        <v>0</v>
      </c>
      <c r="JI397" s="561">
        <v>0</v>
      </c>
      <c r="JJ397" s="561">
        <v>0</v>
      </c>
      <c r="JK397" s="561">
        <v>0</v>
      </c>
      <c r="JL397" s="561">
        <v>0</v>
      </c>
      <c r="JM397" s="561">
        <v>-52576</v>
      </c>
      <c r="JN397" s="561">
        <v>0</v>
      </c>
      <c r="JO397" s="561">
        <v>0</v>
      </c>
      <c r="JP397" s="561">
        <v>0</v>
      </c>
      <c r="JQ397" s="561">
        <v>0</v>
      </c>
      <c r="JR397" s="561">
        <v>0</v>
      </c>
      <c r="JS397" s="561">
        <v>0</v>
      </c>
      <c r="JT397" s="561">
        <v>0</v>
      </c>
      <c r="JU397" s="561">
        <v>0</v>
      </c>
      <c r="JV397" s="561">
        <v>4349</v>
      </c>
      <c r="JW397" s="561">
        <v>0</v>
      </c>
      <c r="JX397" s="561">
        <v>0</v>
      </c>
      <c r="JY397" s="561">
        <v>0</v>
      </c>
      <c r="JZ397" s="561">
        <v>0</v>
      </c>
      <c r="KA397" s="561">
        <v>0</v>
      </c>
      <c r="KB397" s="561">
        <v>0</v>
      </c>
      <c r="KC397" s="561">
        <v>0</v>
      </c>
      <c r="KD397" s="561">
        <v>0</v>
      </c>
      <c r="KE397" s="561">
        <v>37</v>
      </c>
      <c r="KF397" s="561">
        <v>0</v>
      </c>
      <c r="KG397" s="561">
        <v>4386</v>
      </c>
      <c r="KH397" s="561">
        <v>-1414</v>
      </c>
      <c r="KI397" s="561">
        <v>0</v>
      </c>
      <c r="KJ397" s="561">
        <v>0</v>
      </c>
      <c r="KK397" s="561">
        <v>0</v>
      </c>
      <c r="KL397" s="561">
        <v>0</v>
      </c>
      <c r="KM397" s="561">
        <v>0</v>
      </c>
      <c r="KN397" s="561">
        <v>0</v>
      </c>
      <c r="KO397" s="561">
        <v>0</v>
      </c>
      <c r="KP397" s="561">
        <v>0</v>
      </c>
      <c r="KQ397" s="561">
        <v>0</v>
      </c>
      <c r="KR397" s="561">
        <v>2972</v>
      </c>
      <c r="KS397" s="561">
        <v>0</v>
      </c>
      <c r="KT397" s="561">
        <v>-8</v>
      </c>
      <c r="KU397" s="561">
        <v>2964</v>
      </c>
      <c r="KV397" s="561">
        <v>0</v>
      </c>
      <c r="KW397" s="561">
        <v>0</v>
      </c>
      <c r="KX397" s="561">
        <v>0</v>
      </c>
      <c r="KY397" s="561">
        <v>0</v>
      </c>
      <c r="KZ397" s="561">
        <v>-2964</v>
      </c>
      <c r="LA397" s="561">
        <v>0</v>
      </c>
      <c r="LB397" s="561">
        <v>0</v>
      </c>
      <c r="LC397" s="561">
        <v>0</v>
      </c>
      <c r="LD397" s="561">
        <v>0</v>
      </c>
      <c r="LE397" s="561">
        <v>0</v>
      </c>
      <c r="LF397" s="561">
        <v>0</v>
      </c>
      <c r="LG397" s="561">
        <v>0</v>
      </c>
      <c r="LH397" s="561">
        <v>0</v>
      </c>
      <c r="LI397" s="561">
        <v>0</v>
      </c>
      <c r="LJ397" s="561">
        <v>0</v>
      </c>
      <c r="LK397" s="561">
        <v>0</v>
      </c>
      <c r="LL397" s="561">
        <v>37150</v>
      </c>
      <c r="LM397" s="561">
        <v>0</v>
      </c>
      <c r="LN397" s="561">
        <v>0</v>
      </c>
      <c r="LO397" s="561">
        <v>0</v>
      </c>
      <c r="LP397" s="561">
        <v>0</v>
      </c>
      <c r="LQ397" s="561">
        <v>0</v>
      </c>
      <c r="LR397" s="561">
        <v>34186</v>
      </c>
      <c r="LS397" s="561">
        <v>0</v>
      </c>
      <c r="LT397" s="561">
        <v>0</v>
      </c>
      <c r="LU397" s="561">
        <v>0</v>
      </c>
      <c r="LV397" s="561">
        <v>0</v>
      </c>
      <c r="LW397" s="561">
        <v>0</v>
      </c>
      <c r="LX397" s="561">
        <v>0</v>
      </c>
      <c r="LY397" s="561">
        <v>0</v>
      </c>
      <c r="LZ397" s="561">
        <v>0</v>
      </c>
      <c r="MA397" s="561">
        <v>0</v>
      </c>
      <c r="MB397" s="561">
        <v>0</v>
      </c>
      <c r="MC397" s="561">
        <v>0</v>
      </c>
      <c r="MD397" s="561">
        <v>0</v>
      </c>
      <c r="ME397" s="561">
        <v>0</v>
      </c>
      <c r="MF397" s="561">
        <v>0</v>
      </c>
      <c r="MG397" s="561">
        <v>0</v>
      </c>
      <c r="MH397" s="561">
        <v>0</v>
      </c>
      <c r="MI397" s="561">
        <v>0</v>
      </c>
      <c r="MJ397" s="561">
        <v>0</v>
      </c>
      <c r="MK397" s="561">
        <v>0</v>
      </c>
      <c r="ML397" s="561">
        <v>0</v>
      </c>
      <c r="MM397" s="561">
        <v>0</v>
      </c>
      <c r="MN397" s="561">
        <v>13052</v>
      </c>
      <c r="MO397" s="561">
        <v>16653</v>
      </c>
      <c r="MP397" s="561">
        <v>4481</v>
      </c>
      <c r="MQ397" s="561">
        <v>0</v>
      </c>
      <c r="MR397" s="561">
        <v>0</v>
      </c>
      <c r="MS397" s="561">
        <v>0</v>
      </c>
      <c r="MT397" s="561">
        <v>0</v>
      </c>
      <c r="MU397" s="561">
        <v>0</v>
      </c>
      <c r="MV397" s="561">
        <v>0</v>
      </c>
      <c r="MW397" s="561">
        <v>0</v>
      </c>
      <c r="MX397" s="561">
        <v>56925</v>
      </c>
      <c r="MY397" s="561">
        <v>0</v>
      </c>
      <c r="MZ397" s="561">
        <v>0</v>
      </c>
      <c r="NA397" s="561">
        <v>0</v>
      </c>
      <c r="NB397" s="561">
        <v>0</v>
      </c>
      <c r="NC397" s="561">
        <v>0</v>
      </c>
      <c r="ND397" s="561">
        <v>56925</v>
      </c>
      <c r="NE397" s="561">
        <v>0</v>
      </c>
      <c r="NF397" s="561">
        <v>0</v>
      </c>
      <c r="NG397" s="561">
        <v>0</v>
      </c>
      <c r="NH397" s="561">
        <v>0</v>
      </c>
      <c r="NI397" s="561">
        <v>0</v>
      </c>
      <c r="NJ397" s="561">
        <v>0</v>
      </c>
      <c r="NK397" s="561">
        <v>0</v>
      </c>
      <c r="NL397" s="561">
        <v>0</v>
      </c>
      <c r="NM397" s="561">
        <v>0</v>
      </c>
      <c r="NN397" s="561">
        <v>0</v>
      </c>
      <c r="NO397" s="561">
        <v>0</v>
      </c>
      <c r="NP397" s="561">
        <v>0</v>
      </c>
      <c r="NQ397" s="561">
        <v>0</v>
      </c>
      <c r="NR397" s="561">
        <v>0</v>
      </c>
      <c r="NS397" s="561">
        <v>0</v>
      </c>
      <c r="NT397" s="561">
        <v>0</v>
      </c>
      <c r="NU397" s="561">
        <v>0</v>
      </c>
      <c r="NV397" s="561">
        <v>0</v>
      </c>
      <c r="NW397" s="561">
        <v>0</v>
      </c>
      <c r="NX397" s="561">
        <v>0</v>
      </c>
      <c r="NY397" s="561">
        <v>0</v>
      </c>
      <c r="NZ397" s="561">
        <v>0</v>
      </c>
      <c r="OA397" s="561">
        <v>0</v>
      </c>
      <c r="OB397" s="561">
        <v>0</v>
      </c>
      <c r="OC397" s="561">
        <v>0</v>
      </c>
      <c r="OD397" s="561">
        <v>0</v>
      </c>
      <c r="OE397" s="561">
        <v>0</v>
      </c>
      <c r="OF397" s="561">
        <v>0</v>
      </c>
      <c r="OG397" s="561">
        <v>0</v>
      </c>
      <c r="OH397" s="561">
        <v>0</v>
      </c>
      <c r="OI397" s="561">
        <v>0</v>
      </c>
      <c r="OJ397" s="561">
        <v>0</v>
      </c>
      <c r="OK397" s="561">
        <v>0</v>
      </c>
      <c r="OL397" s="561">
        <v>0</v>
      </c>
      <c r="OM397" s="561">
        <v>0</v>
      </c>
      <c r="ON397" s="561">
        <v>0</v>
      </c>
      <c r="OO397" s="561">
        <v>0</v>
      </c>
      <c r="OP397" s="561">
        <v>0</v>
      </c>
      <c r="OQ397" s="561">
        <v>0</v>
      </c>
      <c r="OR397" s="561">
        <v>0</v>
      </c>
      <c r="OS397" s="561">
        <v>0</v>
      </c>
      <c r="OT397" s="561">
        <v>0</v>
      </c>
      <c r="OU397" s="561">
        <v>0</v>
      </c>
      <c r="OV397" s="561">
        <v>0</v>
      </c>
      <c r="OW397" s="561">
        <v>0</v>
      </c>
      <c r="OX397" s="561">
        <v>0</v>
      </c>
      <c r="OY397" s="561">
        <v>0</v>
      </c>
      <c r="OZ397" s="561">
        <v>0</v>
      </c>
      <c r="PA397" s="561">
        <v>0</v>
      </c>
      <c r="PB397" s="561">
        <v>0</v>
      </c>
      <c r="PC397" s="561">
        <v>0</v>
      </c>
      <c r="PD397" s="561">
        <v>0</v>
      </c>
      <c r="PE397" s="561">
        <v>0</v>
      </c>
      <c r="PF397" s="561">
        <v>0</v>
      </c>
      <c r="PG397" s="561">
        <v>0</v>
      </c>
      <c r="PH397" s="561">
        <v>0</v>
      </c>
      <c r="PI397" s="561">
        <v>0</v>
      </c>
      <c r="PJ397" s="561">
        <v>0</v>
      </c>
    </row>
    <row r="398" spans="1:426" ht="14" x14ac:dyDescent="0.3">
      <c r="A398" t="s">
        <v>3638</v>
      </c>
      <c r="B398" t="s">
        <v>3639</v>
      </c>
      <c r="C398" t="s">
        <v>3640</v>
      </c>
      <c r="E398" t="s">
        <v>2476</v>
      </c>
      <c r="F398" s="561">
        <v>13481.15</v>
      </c>
      <c r="G398" s="561">
        <v>52011.11</v>
      </c>
      <c r="H398" s="561">
        <v>10337.27</v>
      </c>
      <c r="I398" s="561">
        <v>18997.55</v>
      </c>
      <c r="J398" s="561">
        <v>0</v>
      </c>
      <c r="K398" s="561">
        <v>37000.46</v>
      </c>
      <c r="L398" s="561">
        <v>131827.54</v>
      </c>
      <c r="M398" s="561">
        <v>595.42999999999995</v>
      </c>
      <c r="N398" s="561">
        <v>1833.97</v>
      </c>
      <c r="O398" s="561">
        <v>-301.75</v>
      </c>
      <c r="P398" s="561">
        <v>1005.9</v>
      </c>
      <c r="Q398" s="561">
        <v>337.57</v>
      </c>
      <c r="R398" s="561">
        <v>1541.66</v>
      </c>
      <c r="S398" s="561">
        <v>3765.03</v>
      </c>
      <c r="T398" s="561">
        <v>0</v>
      </c>
      <c r="U398" s="561">
        <v>354.3</v>
      </c>
      <c r="V398" s="561">
        <v>2646.75</v>
      </c>
      <c r="W398" s="561">
        <v>0</v>
      </c>
      <c r="X398" s="561">
        <v>0</v>
      </c>
      <c r="Y398" s="561">
        <v>2499.5500000000002</v>
      </c>
      <c r="Z398" s="561">
        <v>0</v>
      </c>
      <c r="AA398" s="561">
        <v>-90569.46</v>
      </c>
      <c r="AB398" s="561">
        <v>-53.81</v>
      </c>
      <c r="AC398" s="561">
        <v>10619.54</v>
      </c>
      <c r="AD398" s="561">
        <v>0</v>
      </c>
      <c r="AE398" s="561">
        <v>0</v>
      </c>
      <c r="AF398" s="561">
        <v>0</v>
      </c>
      <c r="AG398" s="561">
        <v>0</v>
      </c>
      <c r="AH398" s="561">
        <v>0</v>
      </c>
      <c r="AI398" s="561">
        <v>0</v>
      </c>
      <c r="AJ398" s="561">
        <v>-66320.75</v>
      </c>
      <c r="AK398" s="561">
        <v>392.74</v>
      </c>
      <c r="AL398" s="561">
        <v>0</v>
      </c>
      <c r="AM398" s="561">
        <v>0</v>
      </c>
      <c r="AN398" s="561">
        <v>0</v>
      </c>
      <c r="AO398" s="561">
        <v>0</v>
      </c>
      <c r="AP398" s="561">
        <v>0</v>
      </c>
      <c r="AQ398" s="561">
        <v>0</v>
      </c>
      <c r="AR398" s="561">
        <v>0</v>
      </c>
      <c r="AS398" s="561">
        <v>48778.89</v>
      </c>
      <c r="AT398" s="561">
        <v>80581.429999999993</v>
      </c>
      <c r="AU398" s="561">
        <v>0</v>
      </c>
      <c r="AV398" s="561">
        <v>0</v>
      </c>
      <c r="AW398" s="561">
        <v>0</v>
      </c>
      <c r="AX398" s="561">
        <v>1647.01</v>
      </c>
      <c r="AY398" s="561">
        <v>20232.79</v>
      </c>
      <c r="AZ398" s="561">
        <v>1005.1</v>
      </c>
      <c r="BA398" s="561">
        <v>3861.95</v>
      </c>
      <c r="BB398" s="561">
        <v>974.66</v>
      </c>
      <c r="BC398" s="561">
        <v>22242.45</v>
      </c>
      <c r="BD398" s="561">
        <v>2463.2800000000002</v>
      </c>
      <c r="BE398" s="561">
        <v>2992.82</v>
      </c>
      <c r="BF398" s="561">
        <v>55420.06</v>
      </c>
      <c r="BG398" s="561">
        <v>334.57</v>
      </c>
      <c r="BH398" s="561">
        <v>10118.56</v>
      </c>
      <c r="BI398" s="561">
        <v>34055.26</v>
      </c>
      <c r="BJ398" s="561">
        <v>68.650000000000006</v>
      </c>
      <c r="BK398" s="561">
        <v>-16.559999999999999</v>
      </c>
      <c r="BL398" s="561">
        <v>217.86</v>
      </c>
      <c r="BM398" s="561">
        <v>3431.85</v>
      </c>
      <c r="BN398" s="561">
        <v>14837.21</v>
      </c>
      <c r="BO398" s="561">
        <v>8559.66</v>
      </c>
      <c r="BP398" s="561">
        <v>4759.7700000000004</v>
      </c>
      <c r="BQ398" s="561">
        <v>4230.6400000000003</v>
      </c>
      <c r="BR398" s="561">
        <v>0</v>
      </c>
      <c r="BS398" s="561">
        <v>-291.52999999999997</v>
      </c>
      <c r="BT398" s="561">
        <v>0</v>
      </c>
      <c r="BU398" s="561">
        <v>-141.07</v>
      </c>
      <c r="BV398" s="561">
        <v>585.97</v>
      </c>
      <c r="BW398" s="561">
        <v>17847.05</v>
      </c>
      <c r="BX398" s="561">
        <v>57.02</v>
      </c>
      <c r="BY398" s="561">
        <v>7100.9</v>
      </c>
      <c r="BZ398" s="561">
        <v>105421.24</v>
      </c>
      <c r="CA398" s="561">
        <v>1041.55</v>
      </c>
      <c r="CB398" s="561">
        <v>4832.55</v>
      </c>
      <c r="CC398" s="561">
        <v>383.33</v>
      </c>
      <c r="CD398" s="561">
        <v>319.56</v>
      </c>
      <c r="CE398" s="561">
        <v>406.98</v>
      </c>
      <c r="CF398" s="561">
        <v>53.2</v>
      </c>
      <c r="CG398" s="561">
        <v>287.27</v>
      </c>
      <c r="CH398" s="561">
        <v>232.97</v>
      </c>
      <c r="CI398" s="561">
        <v>2174.6</v>
      </c>
      <c r="CJ398" s="561">
        <v>182.09</v>
      </c>
      <c r="CK398" s="561">
        <v>1490.76</v>
      </c>
      <c r="CL398" s="561">
        <v>758.59</v>
      </c>
      <c r="CM398" s="561">
        <v>2980.5</v>
      </c>
      <c r="CN398" s="561">
        <v>1824.89</v>
      </c>
      <c r="CO398" s="561">
        <v>2452.94</v>
      </c>
      <c r="CP398" s="561">
        <v>1583.34</v>
      </c>
      <c r="CQ398" s="561">
        <v>244.56</v>
      </c>
      <c r="CR398" s="561">
        <v>1049.29</v>
      </c>
      <c r="CS398" s="561">
        <v>8.5500000000000007</v>
      </c>
      <c r="CT398" s="561">
        <v>4327.53</v>
      </c>
      <c r="CU398" s="561">
        <v>3112.34</v>
      </c>
      <c r="CV398" s="561">
        <v>1276.5</v>
      </c>
      <c r="CW398" s="561">
        <v>0</v>
      </c>
      <c r="CX398" s="561">
        <v>1526.62</v>
      </c>
      <c r="CY398" s="561">
        <v>10284.56</v>
      </c>
      <c r="CZ398" s="561">
        <v>41793.519999999997</v>
      </c>
      <c r="DA398" s="561">
        <v>1313.17</v>
      </c>
      <c r="DB398" s="561">
        <v>0</v>
      </c>
      <c r="DC398" s="561">
        <v>0</v>
      </c>
      <c r="DD398" s="561">
        <v>0</v>
      </c>
      <c r="DE398" s="561">
        <v>0</v>
      </c>
      <c r="DF398" s="561">
        <v>0</v>
      </c>
      <c r="DG398" s="561">
        <v>0</v>
      </c>
      <c r="DH398" s="561">
        <v>5300.15</v>
      </c>
      <c r="DI398" s="561">
        <v>0</v>
      </c>
      <c r="DJ398" s="561">
        <v>0</v>
      </c>
      <c r="DK398" s="561">
        <v>0</v>
      </c>
      <c r="DL398" s="561">
        <v>47995.57</v>
      </c>
      <c r="DM398" s="561">
        <v>17378.96</v>
      </c>
      <c r="DN398" s="561">
        <v>0</v>
      </c>
      <c r="DO398" s="561">
        <v>13581.97</v>
      </c>
      <c r="DP398" s="561">
        <v>-6465.1</v>
      </c>
      <c r="DQ398" s="561">
        <v>0</v>
      </c>
      <c r="DR398" s="561">
        <v>0</v>
      </c>
      <c r="DS398" s="561">
        <v>14557.39</v>
      </c>
      <c r="DT398" s="561">
        <v>14987.83</v>
      </c>
      <c r="DU398" s="561">
        <v>102036.62</v>
      </c>
      <c r="DV398" s="561">
        <v>0</v>
      </c>
      <c r="DW398" s="561">
        <v>0</v>
      </c>
      <c r="DX398" s="561">
        <v>1234.03</v>
      </c>
      <c r="DY398" s="561">
        <v>7261.89</v>
      </c>
      <c r="DZ398" s="561">
        <v>0</v>
      </c>
      <c r="EA398" s="561">
        <v>4568.75</v>
      </c>
      <c r="EB398" s="561">
        <v>0</v>
      </c>
      <c r="EC398" s="561">
        <v>120401.44</v>
      </c>
      <c r="ED398" s="561">
        <v>1556.82</v>
      </c>
      <c r="EE398" s="561">
        <v>93313.24</v>
      </c>
      <c r="EF398" s="561">
        <v>10119.99</v>
      </c>
      <c r="EG398" s="561">
        <v>31431.599999999999</v>
      </c>
      <c r="EH398" s="561">
        <v>9340.69</v>
      </c>
      <c r="EI398" s="561">
        <v>0</v>
      </c>
      <c r="EJ398" s="561">
        <v>0.77</v>
      </c>
      <c r="EK398" s="561">
        <v>0</v>
      </c>
      <c r="EL398" s="561">
        <v>4915.03</v>
      </c>
      <c r="EM398" s="561">
        <v>0</v>
      </c>
      <c r="EN398" s="561">
        <v>35988.35</v>
      </c>
      <c r="EO398" s="561">
        <v>65957.58</v>
      </c>
      <c r="EP398" s="561">
        <v>20293.03</v>
      </c>
      <c r="EQ398" s="561">
        <v>1325.73</v>
      </c>
      <c r="ER398" s="561">
        <v>8320.26</v>
      </c>
      <c r="ES398" s="561" t="s">
        <v>4565</v>
      </c>
      <c r="ET398" s="561">
        <v>0</v>
      </c>
      <c r="EU398" s="561">
        <v>90</v>
      </c>
      <c r="EV398" s="561">
        <v>172.71</v>
      </c>
      <c r="EW398" s="561">
        <v>0</v>
      </c>
      <c r="EX398" s="561">
        <v>20400.18</v>
      </c>
      <c r="EY398" s="561">
        <v>696.23</v>
      </c>
      <c r="EZ398" s="561">
        <v>-4122.75</v>
      </c>
      <c r="FA398" s="561">
        <v>17872</v>
      </c>
      <c r="FB398" s="561">
        <v>312.58999999999997</v>
      </c>
      <c r="FC398" s="561">
        <v>0</v>
      </c>
      <c r="FD398" s="561">
        <v>-94.09</v>
      </c>
      <c r="FE398" s="561">
        <v>0</v>
      </c>
      <c r="FF398" s="561">
        <v>-248.89</v>
      </c>
      <c r="FG398" s="561">
        <v>0</v>
      </c>
      <c r="FH398" s="561">
        <v>0</v>
      </c>
      <c r="FI398" s="561">
        <v>921.87</v>
      </c>
      <c r="FJ398" s="561">
        <v>581.15</v>
      </c>
      <c r="FK398" s="561">
        <v>4013.79</v>
      </c>
      <c r="FL398" s="561">
        <v>0</v>
      </c>
      <c r="FM398" s="561">
        <v>0</v>
      </c>
      <c r="FN398" s="561">
        <v>7798.78</v>
      </c>
      <c r="FO398" s="561">
        <v>13285.2</v>
      </c>
      <c r="FP398" s="561">
        <v>117.48</v>
      </c>
      <c r="FQ398" s="561">
        <v>553.95000000000005</v>
      </c>
      <c r="FR398" s="561">
        <v>2178.23</v>
      </c>
      <c r="FS398" s="561">
        <v>0</v>
      </c>
      <c r="FT398" s="561">
        <v>1813.86</v>
      </c>
      <c r="FU398" s="561">
        <v>5419.54</v>
      </c>
      <c r="FV398" s="561">
        <v>2603.6</v>
      </c>
      <c r="FW398" s="561">
        <v>67.08</v>
      </c>
      <c r="FX398" s="561">
        <v>0</v>
      </c>
      <c r="FY398" s="561">
        <v>0</v>
      </c>
      <c r="FZ398" s="561">
        <v>206.37</v>
      </c>
      <c r="GA398" s="561">
        <v>1828.01</v>
      </c>
      <c r="GB398" s="561">
        <v>82.5</v>
      </c>
      <c r="GC398" s="561">
        <v>-7952.42</v>
      </c>
      <c r="GD398" s="561">
        <v>1952.31</v>
      </c>
      <c r="GE398" s="561">
        <v>4141.6000000000004</v>
      </c>
      <c r="GF398" s="561">
        <v>463.71</v>
      </c>
      <c r="GG398" s="561">
        <v>322.33</v>
      </c>
      <c r="GH398" s="561">
        <v>0</v>
      </c>
      <c r="GI398" s="561">
        <v>0</v>
      </c>
      <c r="GJ398" s="561">
        <v>0</v>
      </c>
      <c r="GK398" s="561">
        <v>0</v>
      </c>
      <c r="GL398" s="561">
        <v>31673.67</v>
      </c>
      <c r="GM398" s="561">
        <v>6857.93</v>
      </c>
      <c r="GN398" s="561">
        <v>5103.47</v>
      </c>
      <c r="GO398" s="561">
        <v>-144</v>
      </c>
      <c r="GP398" s="561">
        <v>11974.77</v>
      </c>
      <c r="GQ398" s="561">
        <v>0</v>
      </c>
      <c r="GR398" s="561">
        <v>2069.2800000000002</v>
      </c>
      <c r="GS398" s="561">
        <v>71215.789999999994</v>
      </c>
      <c r="GT398" s="561">
        <v>1401.29</v>
      </c>
      <c r="GU398" s="561">
        <v>1058.51</v>
      </c>
      <c r="GV398" s="561">
        <v>6074.59</v>
      </c>
      <c r="GW398" s="561">
        <v>0</v>
      </c>
      <c r="GX398" s="561">
        <v>0</v>
      </c>
      <c r="GY398" s="561">
        <v>48.59</v>
      </c>
      <c r="GZ398" s="561">
        <v>2537.0700000000002</v>
      </c>
      <c r="HA398" s="561">
        <v>0</v>
      </c>
      <c r="HB398" s="561">
        <v>544.58000000000004</v>
      </c>
      <c r="HC398" s="561">
        <v>9150.58</v>
      </c>
      <c r="HD398" s="561">
        <v>19413.919999999998</v>
      </c>
      <c r="HE398" s="561">
        <v>943.22</v>
      </c>
      <c r="HF398" s="561">
        <v>103914.91</v>
      </c>
      <c r="HG398" s="561">
        <v>0</v>
      </c>
      <c r="HH398" s="561">
        <v>0</v>
      </c>
      <c r="HI398" s="561">
        <v>0</v>
      </c>
      <c r="HJ398" s="561">
        <v>0</v>
      </c>
      <c r="HK398" s="561">
        <v>0</v>
      </c>
      <c r="HL398" s="561">
        <v>0</v>
      </c>
      <c r="HM398" s="561">
        <v>0</v>
      </c>
      <c r="HN398" s="561">
        <v>0</v>
      </c>
      <c r="HO398" s="561">
        <v>863.07</v>
      </c>
      <c r="HP398" s="561">
        <v>1448.08</v>
      </c>
      <c r="HQ398" s="561">
        <v>0</v>
      </c>
      <c r="HR398" s="561">
        <v>21.75</v>
      </c>
      <c r="HS398" s="561">
        <v>2416.58</v>
      </c>
      <c r="HT398" s="561">
        <v>-4769.8900000000003</v>
      </c>
      <c r="HU398" s="561">
        <v>0</v>
      </c>
      <c r="HV398" s="561">
        <v>-1262.3399999999999</v>
      </c>
      <c r="HW398" s="561">
        <v>705.1</v>
      </c>
      <c r="HX398" s="561">
        <v>811.39</v>
      </c>
      <c r="HY398" s="561">
        <v>81.77</v>
      </c>
      <c r="HZ398" s="561">
        <v>-1323.03</v>
      </c>
      <c r="IA398" s="561">
        <v>0</v>
      </c>
      <c r="IB398" s="561">
        <v>0</v>
      </c>
      <c r="IC398" s="561">
        <v>4308.32</v>
      </c>
      <c r="ID398" s="561">
        <v>0</v>
      </c>
      <c r="IE398" s="561">
        <v>0</v>
      </c>
      <c r="IF398" s="561">
        <v>0</v>
      </c>
      <c r="IG398" s="561">
        <v>0</v>
      </c>
      <c r="IH398" s="561">
        <v>65274.15</v>
      </c>
      <c r="II398" s="561">
        <v>68574.95</v>
      </c>
      <c r="IJ398" s="561">
        <v>8134.61</v>
      </c>
      <c r="IK398" s="561">
        <v>3751.97</v>
      </c>
      <c r="IL398" s="561">
        <v>45661.69</v>
      </c>
      <c r="IM398" s="561">
        <v>0</v>
      </c>
      <c r="IN398" s="561">
        <v>-3144.31</v>
      </c>
      <c r="IO398" s="561">
        <v>2567.9699999999998</v>
      </c>
      <c r="IP398" s="561">
        <v>779.13</v>
      </c>
      <c r="IQ398" s="561">
        <v>0</v>
      </c>
      <c r="IR398" s="561">
        <v>131827.54</v>
      </c>
      <c r="IS398" s="561">
        <v>-66320.75</v>
      </c>
      <c r="IT398" s="561">
        <v>55420.06</v>
      </c>
      <c r="IU398" s="561">
        <v>105421.24</v>
      </c>
      <c r="IV398" s="561">
        <v>41793.519999999997</v>
      </c>
      <c r="IW398" s="561">
        <v>120401.44</v>
      </c>
      <c r="IX398" s="561">
        <v>13285.2</v>
      </c>
      <c r="IY398" s="561">
        <v>71215.789999999994</v>
      </c>
      <c r="IZ398" s="561">
        <v>19413.919999999998</v>
      </c>
      <c r="JA398" s="561">
        <v>0</v>
      </c>
      <c r="JB398" s="561">
        <v>0</v>
      </c>
      <c r="JC398" s="561">
        <v>68574.95</v>
      </c>
      <c r="JD398" s="561">
        <v>779.13</v>
      </c>
      <c r="JE398" s="561">
        <v>561812.04</v>
      </c>
      <c r="JF398" s="561">
        <v>86078.31</v>
      </c>
      <c r="JG398" s="561">
        <v>55037.97</v>
      </c>
      <c r="JH398" s="561">
        <v>36139.58</v>
      </c>
      <c r="JI398" s="561">
        <v>0</v>
      </c>
      <c r="JJ398" s="561">
        <v>0</v>
      </c>
      <c r="JK398" s="561">
        <v>194</v>
      </c>
      <c r="JL398" s="561">
        <v>0</v>
      </c>
      <c r="JM398" s="561">
        <v>0</v>
      </c>
      <c r="JN398" s="561">
        <v>1918.25</v>
      </c>
      <c r="JO398" s="561">
        <v>417.12</v>
      </c>
      <c r="JP398" s="561">
        <v>0</v>
      </c>
      <c r="JQ398" s="561">
        <v>0</v>
      </c>
      <c r="JR398" s="561">
        <v>0</v>
      </c>
      <c r="JS398" s="561">
        <v>0</v>
      </c>
      <c r="JT398" s="561">
        <v>-146.47</v>
      </c>
      <c r="JU398" s="561">
        <v>0</v>
      </c>
      <c r="JV398" s="561">
        <v>741450.8</v>
      </c>
      <c r="JW398" s="561">
        <v>326.95</v>
      </c>
      <c r="JX398" s="561">
        <v>0</v>
      </c>
      <c r="JY398" s="561">
        <v>0</v>
      </c>
      <c r="JZ398" s="561">
        <v>0</v>
      </c>
      <c r="KA398" s="561">
        <v>0</v>
      </c>
      <c r="KB398" s="561">
        <v>8165.03</v>
      </c>
      <c r="KC398" s="561">
        <v>24319.759999999998</v>
      </c>
      <c r="KD398" s="561">
        <v>0</v>
      </c>
      <c r="KE398" s="561">
        <v>11096.9</v>
      </c>
      <c r="KF398" s="561">
        <v>-2661.28</v>
      </c>
      <c r="KG398" s="561">
        <v>782698.16</v>
      </c>
      <c r="KH398" s="561">
        <v>-83830.03</v>
      </c>
      <c r="KI398" s="561">
        <v>0</v>
      </c>
      <c r="KJ398" s="561">
        <v>4254.04</v>
      </c>
      <c r="KK398" s="561">
        <v>0</v>
      </c>
      <c r="KL398" s="561">
        <v>-183626.43</v>
      </c>
      <c r="KM398" s="561">
        <v>0</v>
      </c>
      <c r="KN398" s="561">
        <v>-1138.25</v>
      </c>
      <c r="KO398" s="561">
        <v>0</v>
      </c>
      <c r="KP398" s="561">
        <v>0</v>
      </c>
      <c r="KQ398" s="561">
        <v>0</v>
      </c>
      <c r="KR398" s="561">
        <v>518357.49</v>
      </c>
      <c r="KS398" s="561">
        <v>0</v>
      </c>
      <c r="KT398" s="561">
        <v>-269338.78000000003</v>
      </c>
      <c r="KU398" s="561">
        <v>249018.71</v>
      </c>
      <c r="KV398" s="561">
        <v>0</v>
      </c>
      <c r="KW398" s="561">
        <v>-462.2</v>
      </c>
      <c r="KX398" s="561">
        <v>-775</v>
      </c>
      <c r="KY398" s="561">
        <v>3676</v>
      </c>
      <c r="KZ398" s="561">
        <v>898</v>
      </c>
      <c r="LA398" s="561">
        <v>0</v>
      </c>
      <c r="LB398" s="561">
        <v>-37183</v>
      </c>
      <c r="LC398" s="561">
        <v>0</v>
      </c>
      <c r="LD398" s="561">
        <v>-147598.96</v>
      </c>
      <c r="LE398" s="561">
        <v>1571.98</v>
      </c>
      <c r="LF398" s="561">
        <v>0</v>
      </c>
      <c r="LG398" s="561">
        <v>69145</v>
      </c>
      <c r="LH398" s="561">
        <v>3849</v>
      </c>
      <c r="LI398" s="561">
        <v>-1167</v>
      </c>
      <c r="LJ398" s="561">
        <v>5405</v>
      </c>
      <c r="LK398" s="561">
        <v>3073</v>
      </c>
      <c r="LL398" s="561">
        <v>278628</v>
      </c>
      <c r="LM398" s="561">
        <v>59671</v>
      </c>
      <c r="LN398" s="561">
        <v>3386.8</v>
      </c>
      <c r="LO398" s="561">
        <v>-1167</v>
      </c>
      <c r="LP398" s="561">
        <v>4630</v>
      </c>
      <c r="LQ398" s="561">
        <v>6749</v>
      </c>
      <c r="LR398" s="561">
        <v>279526</v>
      </c>
      <c r="LS398" s="561">
        <v>59671</v>
      </c>
      <c r="LT398" s="561">
        <v>0</v>
      </c>
      <c r="LU398" s="561">
        <v>63444.95</v>
      </c>
      <c r="LV398" s="561">
        <v>2652</v>
      </c>
      <c r="LW398" s="561">
        <v>11254</v>
      </c>
      <c r="LX398" s="561">
        <v>-51337</v>
      </c>
      <c r="LY398" s="561">
        <v>5315.14</v>
      </c>
      <c r="LZ398" s="561">
        <v>1086.0899999999999</v>
      </c>
      <c r="MA398" s="561">
        <v>0</v>
      </c>
      <c r="MB398" s="561">
        <v>0</v>
      </c>
      <c r="MC398" s="561">
        <v>149121.32</v>
      </c>
      <c r="MD398" s="561">
        <v>153244.07</v>
      </c>
      <c r="ME398" s="561">
        <v>-4122.75</v>
      </c>
      <c r="MF398" s="561">
        <v>17872</v>
      </c>
      <c r="MG398" s="561">
        <v>13749.25</v>
      </c>
      <c r="MH398" s="561">
        <v>4760.29</v>
      </c>
      <c r="MI398" s="561">
        <v>7864.18</v>
      </c>
      <c r="MJ398" s="561">
        <v>12624.47</v>
      </c>
      <c r="MK398" s="561">
        <v>0</v>
      </c>
      <c r="ML398" s="561">
        <v>0</v>
      </c>
      <c r="MM398" s="561">
        <v>168374</v>
      </c>
      <c r="MN398" s="561">
        <v>111152</v>
      </c>
      <c r="MO398" s="561">
        <v>0</v>
      </c>
      <c r="MP398" s="561">
        <v>0</v>
      </c>
      <c r="MQ398" s="561">
        <v>131827.54</v>
      </c>
      <c r="MR398" s="561">
        <v>-66320.75</v>
      </c>
      <c r="MS398" s="561">
        <v>55420.06</v>
      </c>
      <c r="MT398" s="561">
        <v>105421.24</v>
      </c>
      <c r="MU398" s="561">
        <v>41793.519999999997</v>
      </c>
      <c r="MV398" s="561">
        <v>120401.44</v>
      </c>
      <c r="MW398" s="561">
        <v>13285.2</v>
      </c>
      <c r="MX398" s="561">
        <v>71215.789999999994</v>
      </c>
      <c r="MY398" s="561">
        <v>19413.919999999998</v>
      </c>
      <c r="MZ398" s="561">
        <v>0</v>
      </c>
      <c r="NA398" s="561">
        <v>0</v>
      </c>
      <c r="NB398" s="561">
        <v>68574.95</v>
      </c>
      <c r="NC398" s="561">
        <v>779.13</v>
      </c>
      <c r="ND398" s="561">
        <v>561812.04</v>
      </c>
      <c r="NE398" s="561">
        <v>0</v>
      </c>
      <c r="NF398" s="561">
        <v>0</v>
      </c>
      <c r="NG398" s="561">
        <v>0</v>
      </c>
      <c r="NH398" s="561">
        <v>0</v>
      </c>
      <c r="NI398" s="561">
        <v>0</v>
      </c>
      <c r="NJ398" s="561">
        <v>0</v>
      </c>
      <c r="NK398" s="561">
        <v>0</v>
      </c>
      <c r="NL398" s="561">
        <v>0</v>
      </c>
      <c r="NM398" s="561">
        <v>0</v>
      </c>
      <c r="NN398" s="561">
        <v>0</v>
      </c>
      <c r="NO398" s="561">
        <v>0</v>
      </c>
      <c r="NP398" s="561">
        <v>0</v>
      </c>
      <c r="NQ398" s="561">
        <v>0</v>
      </c>
      <c r="NR398" s="561">
        <v>0</v>
      </c>
      <c r="NS398" s="561">
        <v>0</v>
      </c>
      <c r="NT398" s="561">
        <v>0</v>
      </c>
      <c r="NU398" s="561">
        <v>0</v>
      </c>
      <c r="NV398" s="561">
        <v>0</v>
      </c>
      <c r="NW398" s="561">
        <v>0</v>
      </c>
      <c r="NX398" s="561">
        <v>0</v>
      </c>
      <c r="NY398" s="561">
        <v>0</v>
      </c>
      <c r="NZ398" s="561">
        <v>0</v>
      </c>
      <c r="OA398" s="561">
        <v>0</v>
      </c>
      <c r="OB398" s="561">
        <v>0</v>
      </c>
      <c r="OC398" s="561">
        <v>0</v>
      </c>
      <c r="OD398" s="561">
        <v>0</v>
      </c>
      <c r="OE398" s="561">
        <v>0</v>
      </c>
      <c r="OF398" s="561">
        <v>0</v>
      </c>
      <c r="OG398" s="561">
        <v>0</v>
      </c>
      <c r="OH398" s="561">
        <v>0</v>
      </c>
      <c r="OI398" s="561">
        <v>0</v>
      </c>
      <c r="OJ398" s="561">
        <v>0</v>
      </c>
      <c r="OK398" s="561">
        <v>0</v>
      </c>
      <c r="OL398" s="561">
        <v>0</v>
      </c>
      <c r="OM398" s="561">
        <v>0</v>
      </c>
      <c r="ON398" s="561">
        <v>0</v>
      </c>
      <c r="OO398" s="561">
        <v>0</v>
      </c>
      <c r="OP398" s="561">
        <v>0</v>
      </c>
      <c r="OQ398" s="561">
        <v>0</v>
      </c>
      <c r="OR398" s="561">
        <v>0</v>
      </c>
      <c r="OS398" s="561">
        <v>0</v>
      </c>
      <c r="OT398" s="561">
        <v>0</v>
      </c>
      <c r="OU398" s="561">
        <v>0</v>
      </c>
      <c r="OV398" s="561">
        <v>0</v>
      </c>
      <c r="OW398" s="561">
        <v>0</v>
      </c>
      <c r="OX398" s="561">
        <v>0</v>
      </c>
      <c r="OY398" s="561">
        <v>0</v>
      </c>
      <c r="OZ398" s="561">
        <v>0</v>
      </c>
      <c r="PA398" s="561">
        <v>0</v>
      </c>
      <c r="PB398" s="561">
        <v>0</v>
      </c>
      <c r="PC398" s="561">
        <v>0</v>
      </c>
      <c r="PD398" s="561">
        <v>0</v>
      </c>
      <c r="PE398" s="561">
        <v>0</v>
      </c>
      <c r="PF398" s="561">
        <v>0</v>
      </c>
      <c r="PG398" s="561">
        <v>0</v>
      </c>
      <c r="PH398" s="561">
        <v>0</v>
      </c>
      <c r="PI398" s="561">
        <v>0</v>
      </c>
      <c r="PJ398" s="561">
        <v>0</v>
      </c>
    </row>
    <row r="399" spans="1:426" ht="14" x14ac:dyDescent="0.3">
      <c r="A399" t="s">
        <v>3608</v>
      </c>
      <c r="B399" t="s">
        <v>3609</v>
      </c>
      <c r="C399" t="s">
        <v>4684</v>
      </c>
      <c r="E399" t="s">
        <v>385</v>
      </c>
      <c r="F399" s="561">
        <v>16413</v>
      </c>
      <c r="G399" s="561">
        <v>81831</v>
      </c>
      <c r="H399" s="561">
        <v>36255</v>
      </c>
      <c r="I399" s="561">
        <v>21334</v>
      </c>
      <c r="J399" s="561">
        <v>3413</v>
      </c>
      <c r="K399" s="561">
        <v>34398</v>
      </c>
      <c r="L399" s="561">
        <v>193644</v>
      </c>
      <c r="M399" s="561">
        <v>825</v>
      </c>
      <c r="N399" s="561">
        <v>2835</v>
      </c>
      <c r="O399" s="561">
        <v>0</v>
      </c>
      <c r="P399" s="561">
        <v>433</v>
      </c>
      <c r="Q399" s="561">
        <v>6439</v>
      </c>
      <c r="R399" s="561">
        <v>278</v>
      </c>
      <c r="S399" s="561">
        <v>44</v>
      </c>
      <c r="T399" s="561">
        <v>338</v>
      </c>
      <c r="U399" s="561">
        <v>3566</v>
      </c>
      <c r="V399" s="561">
        <v>1950</v>
      </c>
      <c r="W399" s="561">
        <v>0</v>
      </c>
      <c r="X399" s="561">
        <v>0</v>
      </c>
      <c r="Y399" s="561">
        <v>142</v>
      </c>
      <c r="Z399" s="561">
        <v>0</v>
      </c>
      <c r="AA399" s="561">
        <v>896</v>
      </c>
      <c r="AB399" s="561">
        <v>-6020</v>
      </c>
      <c r="AC399" s="561">
        <v>4903</v>
      </c>
      <c r="AD399" s="561">
        <v>21</v>
      </c>
      <c r="AE399" s="561">
        <v>2804</v>
      </c>
      <c r="AF399" s="561">
        <v>143</v>
      </c>
      <c r="AG399" s="561">
        <v>58</v>
      </c>
      <c r="AH399" s="561">
        <v>15</v>
      </c>
      <c r="AI399" s="561">
        <v>167</v>
      </c>
      <c r="AJ399" s="561">
        <v>19012</v>
      </c>
      <c r="AK399" s="561">
        <v>0</v>
      </c>
      <c r="AL399" s="561">
        <v>0</v>
      </c>
      <c r="AM399" s="561">
        <v>0</v>
      </c>
      <c r="AN399" s="561">
        <v>0</v>
      </c>
      <c r="AO399" s="561">
        <v>0</v>
      </c>
      <c r="AP399" s="561">
        <v>0</v>
      </c>
      <c r="AQ399" s="561">
        <v>0</v>
      </c>
      <c r="AR399" s="561">
        <v>0</v>
      </c>
      <c r="AS399" s="561">
        <v>1267</v>
      </c>
      <c r="AT399" s="561">
        <v>0</v>
      </c>
      <c r="AU399" s="561">
        <v>0</v>
      </c>
      <c r="AV399" s="561">
        <v>0</v>
      </c>
      <c r="AW399" s="561">
        <v>0</v>
      </c>
      <c r="AX399" s="561">
        <v>1793</v>
      </c>
      <c r="AY399" s="561">
        <v>31583</v>
      </c>
      <c r="AZ399" s="561">
        <v>3601</v>
      </c>
      <c r="BA399" s="561">
        <v>6156</v>
      </c>
      <c r="BB399" s="561">
        <v>1285</v>
      </c>
      <c r="BC399" s="561">
        <v>7517</v>
      </c>
      <c r="BD399" s="561">
        <v>0</v>
      </c>
      <c r="BE399" s="561">
        <v>656</v>
      </c>
      <c r="BF399" s="561">
        <v>52591</v>
      </c>
      <c r="BG399" s="561">
        <v>0</v>
      </c>
      <c r="BH399" s="561">
        <v>7437</v>
      </c>
      <c r="BI399" s="561">
        <v>38990</v>
      </c>
      <c r="BJ399" s="561">
        <v>265</v>
      </c>
      <c r="BK399" s="561">
        <v>85</v>
      </c>
      <c r="BL399" s="561">
        <v>247</v>
      </c>
      <c r="BM399" s="561">
        <v>5018</v>
      </c>
      <c r="BN399" s="561">
        <v>27704</v>
      </c>
      <c r="BO399" s="561">
        <v>1871</v>
      </c>
      <c r="BP399" s="561">
        <v>4439</v>
      </c>
      <c r="BQ399" s="561">
        <v>3646</v>
      </c>
      <c r="BR399" s="561">
        <v>31</v>
      </c>
      <c r="BS399" s="561">
        <v>0</v>
      </c>
      <c r="BT399" s="561">
        <v>-497</v>
      </c>
      <c r="BU399" s="561">
        <v>1331</v>
      </c>
      <c r="BV399" s="561">
        <v>1094</v>
      </c>
      <c r="BW399" s="561">
        <v>11672</v>
      </c>
      <c r="BX399" s="561">
        <v>568</v>
      </c>
      <c r="BY399" s="561">
        <v>12266</v>
      </c>
      <c r="BZ399" s="561">
        <v>116167</v>
      </c>
      <c r="CA399" s="561">
        <v>0</v>
      </c>
      <c r="CB399" s="561">
        <v>165</v>
      </c>
      <c r="CC399" s="561">
        <v>887</v>
      </c>
      <c r="CD399" s="561">
        <v>35</v>
      </c>
      <c r="CE399" s="561">
        <v>137</v>
      </c>
      <c r="CF399" s="561">
        <v>39</v>
      </c>
      <c r="CG399" s="561">
        <v>35</v>
      </c>
      <c r="CH399" s="561">
        <v>35</v>
      </c>
      <c r="CI399" s="561">
        <v>40</v>
      </c>
      <c r="CJ399" s="561">
        <v>58</v>
      </c>
      <c r="CK399" s="561">
        <v>35</v>
      </c>
      <c r="CL399" s="561">
        <v>78</v>
      </c>
      <c r="CM399" s="561">
        <v>2373</v>
      </c>
      <c r="CN399" s="561">
        <v>35</v>
      </c>
      <c r="CO399" s="561">
        <v>35</v>
      </c>
      <c r="CP399" s="561">
        <v>103</v>
      </c>
      <c r="CQ399" s="561">
        <v>78</v>
      </c>
      <c r="CR399" s="561">
        <v>387</v>
      </c>
      <c r="CS399" s="561">
        <v>35</v>
      </c>
      <c r="CT399" s="561">
        <v>2269</v>
      </c>
      <c r="CU399" s="561">
        <v>35</v>
      </c>
      <c r="CV399" s="561">
        <v>35</v>
      </c>
      <c r="CW399" s="561">
        <v>37</v>
      </c>
      <c r="CX399" s="561">
        <v>325</v>
      </c>
      <c r="CY399" s="561">
        <v>1214</v>
      </c>
      <c r="CZ399" s="561">
        <v>8505</v>
      </c>
      <c r="DA399" s="561">
        <v>27</v>
      </c>
      <c r="DB399" s="561">
        <v>0</v>
      </c>
      <c r="DC399" s="561">
        <v>0</v>
      </c>
      <c r="DD399" s="561">
        <v>0</v>
      </c>
      <c r="DE399" s="561">
        <v>0</v>
      </c>
      <c r="DF399" s="561">
        <v>0</v>
      </c>
      <c r="DG399" s="561">
        <v>0</v>
      </c>
      <c r="DH399" s="561">
        <v>389</v>
      </c>
      <c r="DI399" s="561">
        <v>14</v>
      </c>
      <c r="DJ399" s="561">
        <v>1230</v>
      </c>
      <c r="DK399" s="561">
        <v>158</v>
      </c>
      <c r="DL399" s="561">
        <v>0</v>
      </c>
      <c r="DM399" s="561">
        <v>0</v>
      </c>
      <c r="DN399" s="561">
        <v>139</v>
      </c>
      <c r="DO399" s="561">
        <v>0</v>
      </c>
      <c r="DP399" s="561">
        <v>22</v>
      </c>
      <c r="DQ399" s="561">
        <v>1</v>
      </c>
      <c r="DR399" s="561">
        <v>-26</v>
      </c>
      <c r="DS399" s="561">
        <v>1579</v>
      </c>
      <c r="DT399" s="561">
        <v>62</v>
      </c>
      <c r="DU399" s="561">
        <v>1777</v>
      </c>
      <c r="DV399" s="561">
        <v>0</v>
      </c>
      <c r="DW399" s="561">
        <v>0</v>
      </c>
      <c r="DX399" s="561">
        <v>0</v>
      </c>
      <c r="DY399" s="561">
        <v>0</v>
      </c>
      <c r="DZ399" s="561">
        <v>0</v>
      </c>
      <c r="EA399" s="561">
        <v>0</v>
      </c>
      <c r="EB399" s="561">
        <v>0</v>
      </c>
      <c r="EC399" s="561">
        <v>3568</v>
      </c>
      <c r="ED399" s="561">
        <v>0</v>
      </c>
      <c r="EE399" s="561">
        <v>11027</v>
      </c>
      <c r="EF399" s="561">
        <v>723</v>
      </c>
      <c r="EG399" s="561">
        <v>1106</v>
      </c>
      <c r="EH399" s="561">
        <v>176</v>
      </c>
      <c r="EI399" s="561">
        <v>0</v>
      </c>
      <c r="EJ399" s="561">
        <v>0</v>
      </c>
      <c r="EK399" s="561">
        <v>0</v>
      </c>
      <c r="EL399" s="561">
        <v>0</v>
      </c>
      <c r="EM399" s="561">
        <v>0</v>
      </c>
      <c r="EN399" s="561">
        <v>4987</v>
      </c>
      <c r="EO399" s="561">
        <v>4526</v>
      </c>
      <c r="EP399" s="561">
        <v>51</v>
      </c>
      <c r="EQ399" s="561">
        <v>146</v>
      </c>
      <c r="ER399" s="561">
        <v>777</v>
      </c>
      <c r="ES399" s="561" t="s">
        <v>4565</v>
      </c>
      <c r="ET399" s="561">
        <v>2275</v>
      </c>
      <c r="EU399" s="561">
        <v>0</v>
      </c>
      <c r="EV399" s="561">
        <v>212</v>
      </c>
      <c r="EW399" s="561">
        <v>0</v>
      </c>
      <c r="EX399" s="561">
        <v>0</v>
      </c>
      <c r="EY399" s="561">
        <v>110</v>
      </c>
      <c r="EZ399" s="561">
        <v>-52</v>
      </c>
      <c r="FA399" s="561">
        <v>4982</v>
      </c>
      <c r="FB399" s="561">
        <v>444</v>
      </c>
      <c r="FC399" s="561">
        <v>896</v>
      </c>
      <c r="FD399" s="561">
        <v>1</v>
      </c>
      <c r="FE399" s="561">
        <v>425</v>
      </c>
      <c r="FF399" s="561">
        <v>1299</v>
      </c>
      <c r="FG399" s="561">
        <v>148</v>
      </c>
      <c r="FH399" s="561">
        <v>0</v>
      </c>
      <c r="FI399" s="561">
        <v>394</v>
      </c>
      <c r="FJ399" s="561">
        <v>904</v>
      </c>
      <c r="FK399" s="561">
        <v>4537</v>
      </c>
      <c r="FL399" s="561">
        <v>-8</v>
      </c>
      <c r="FM399" s="561">
        <v>77</v>
      </c>
      <c r="FN399" s="561">
        <v>2649</v>
      </c>
      <c r="FO399" s="561">
        <v>11766</v>
      </c>
      <c r="FP399" s="561">
        <v>0</v>
      </c>
      <c r="FQ399" s="561">
        <v>6</v>
      </c>
      <c r="FR399" s="561">
        <v>442</v>
      </c>
      <c r="FS399" s="561">
        <v>230</v>
      </c>
      <c r="FT399" s="561">
        <v>304</v>
      </c>
      <c r="FU399" s="561">
        <v>694</v>
      </c>
      <c r="FV399" s="561">
        <v>460</v>
      </c>
      <c r="FW399" s="561">
        <v>221</v>
      </c>
      <c r="FX399" s="561">
        <v>1</v>
      </c>
      <c r="FY399" s="561">
        <v>0</v>
      </c>
      <c r="FZ399" s="561">
        <v>127</v>
      </c>
      <c r="GA399" s="561">
        <v>206</v>
      </c>
      <c r="GB399" s="561">
        <v>628</v>
      </c>
      <c r="GC399" s="561">
        <v>146</v>
      </c>
      <c r="GD399" s="561">
        <v>0</v>
      </c>
      <c r="GE399" s="561">
        <v>409</v>
      </c>
      <c r="GF399" s="561">
        <v>0</v>
      </c>
      <c r="GG399" s="561">
        <v>0</v>
      </c>
      <c r="GH399" s="561">
        <v>0</v>
      </c>
      <c r="GI399" s="561">
        <v>0</v>
      </c>
      <c r="GJ399" s="561">
        <v>46</v>
      </c>
      <c r="GK399" s="561">
        <v>0</v>
      </c>
      <c r="GL399" s="561">
        <v>2359</v>
      </c>
      <c r="GM399" s="561">
        <v>10496</v>
      </c>
      <c r="GN399" s="561">
        <v>21822</v>
      </c>
      <c r="GO399" s="561">
        <v>0</v>
      </c>
      <c r="GP399" s="561">
        <v>2610</v>
      </c>
      <c r="GQ399" s="561">
        <v>52</v>
      </c>
      <c r="GR399" s="561">
        <v>1030</v>
      </c>
      <c r="GS399" s="561">
        <v>42289</v>
      </c>
      <c r="GT399" s="561">
        <v>0</v>
      </c>
      <c r="GU399" s="561">
        <v>467</v>
      </c>
      <c r="GV399" s="561">
        <v>1967</v>
      </c>
      <c r="GW399" s="561">
        <v>0</v>
      </c>
      <c r="GX399" s="561">
        <v>2511</v>
      </c>
      <c r="GY399" s="561">
        <v>59</v>
      </c>
      <c r="GZ399" s="561">
        <v>10924</v>
      </c>
      <c r="HA399" s="561">
        <v>0</v>
      </c>
      <c r="HB399" s="561">
        <v>0</v>
      </c>
      <c r="HC399" s="561">
        <v>0</v>
      </c>
      <c r="HD399" s="561">
        <v>15928</v>
      </c>
      <c r="HE399" s="561">
        <v>0</v>
      </c>
      <c r="HF399" s="561">
        <v>69983</v>
      </c>
      <c r="HG399" s="561">
        <v>0</v>
      </c>
      <c r="HH399" s="561">
        <v>0</v>
      </c>
      <c r="HI399" s="561">
        <v>0</v>
      </c>
      <c r="HJ399" s="561">
        <v>0</v>
      </c>
      <c r="HK399" s="561">
        <v>0</v>
      </c>
      <c r="HL399" s="561">
        <v>0</v>
      </c>
      <c r="HM399" s="561">
        <v>0</v>
      </c>
      <c r="HN399" s="561">
        <v>0</v>
      </c>
      <c r="HO399" s="561">
        <v>0</v>
      </c>
      <c r="HP399" s="561">
        <v>146</v>
      </c>
      <c r="HQ399" s="561">
        <v>0</v>
      </c>
      <c r="HR399" s="561">
        <v>0</v>
      </c>
      <c r="HS399" s="561">
        <v>116</v>
      </c>
      <c r="HT399" s="561">
        <v>0</v>
      </c>
      <c r="HU399" s="561">
        <v>0</v>
      </c>
      <c r="HV399" s="561">
        <v>-88</v>
      </c>
      <c r="HW399" s="561">
        <v>0</v>
      </c>
      <c r="HX399" s="561">
        <v>-149</v>
      </c>
      <c r="HY399" s="561">
        <v>6</v>
      </c>
      <c r="HZ399" s="561">
        <v>0</v>
      </c>
      <c r="IA399" s="561">
        <v>0</v>
      </c>
      <c r="IB399" s="561">
        <v>1115</v>
      </c>
      <c r="IC399" s="561">
        <v>140</v>
      </c>
      <c r="ID399" s="561">
        <v>0</v>
      </c>
      <c r="IE399" s="561">
        <v>0</v>
      </c>
      <c r="IF399" s="561">
        <v>0</v>
      </c>
      <c r="IG399" s="561">
        <v>0</v>
      </c>
      <c r="IH399" s="561">
        <v>562</v>
      </c>
      <c r="II399" s="561">
        <v>1848</v>
      </c>
      <c r="IJ399" s="561">
        <v>0</v>
      </c>
      <c r="IK399" s="561">
        <v>0</v>
      </c>
      <c r="IL399" s="561">
        <v>0</v>
      </c>
      <c r="IM399" s="561">
        <v>0</v>
      </c>
      <c r="IN399" s="561">
        <v>0</v>
      </c>
      <c r="IO399" s="561">
        <v>0</v>
      </c>
      <c r="IP399" s="561">
        <v>2331</v>
      </c>
      <c r="IQ399" s="561">
        <v>0</v>
      </c>
      <c r="IR399" s="561">
        <v>193644</v>
      </c>
      <c r="IS399" s="561">
        <v>19012</v>
      </c>
      <c r="IT399" s="561">
        <v>52591</v>
      </c>
      <c r="IU399" s="561">
        <v>116167</v>
      </c>
      <c r="IV399" s="561">
        <v>8505</v>
      </c>
      <c r="IW399" s="561">
        <v>3568</v>
      </c>
      <c r="IX399" s="561">
        <v>11766</v>
      </c>
      <c r="IY399" s="561">
        <v>42289</v>
      </c>
      <c r="IZ399" s="561">
        <v>15928</v>
      </c>
      <c r="JA399" s="561">
        <v>0</v>
      </c>
      <c r="JB399" s="561">
        <v>0</v>
      </c>
      <c r="JC399" s="561">
        <v>1848</v>
      </c>
      <c r="JD399" s="561">
        <v>2331</v>
      </c>
      <c r="JE399" s="561">
        <v>467649</v>
      </c>
      <c r="JF399" s="561">
        <v>30475</v>
      </c>
      <c r="JG399" s="561">
        <v>670</v>
      </c>
      <c r="JH399" s="561">
        <v>3728</v>
      </c>
      <c r="JI399" s="561">
        <v>0</v>
      </c>
      <c r="JJ399" s="561">
        <v>0</v>
      </c>
      <c r="JK399" s="561">
        <v>4156</v>
      </c>
      <c r="JL399" s="561">
        <v>0</v>
      </c>
      <c r="JM399" s="561">
        <v>0</v>
      </c>
      <c r="JN399" s="561">
        <v>0</v>
      </c>
      <c r="JO399" s="561">
        <v>358</v>
      </c>
      <c r="JP399" s="561">
        <v>0</v>
      </c>
      <c r="JQ399" s="561">
        <v>0</v>
      </c>
      <c r="JR399" s="561">
        <v>0</v>
      </c>
      <c r="JS399" s="561">
        <v>0</v>
      </c>
      <c r="JT399" s="561">
        <v>0</v>
      </c>
      <c r="JU399" s="561">
        <v>0</v>
      </c>
      <c r="JV399" s="561">
        <v>507036</v>
      </c>
      <c r="JW399" s="561">
        <v>180</v>
      </c>
      <c r="JX399" s="561">
        <v>335</v>
      </c>
      <c r="JY399" s="561">
        <v>0</v>
      </c>
      <c r="JZ399" s="561">
        <v>0</v>
      </c>
      <c r="KA399" s="561">
        <v>0</v>
      </c>
      <c r="KB399" s="561">
        <v>1061</v>
      </c>
      <c r="KC399" s="561">
        <v>10014</v>
      </c>
      <c r="KD399" s="561">
        <v>0</v>
      </c>
      <c r="KE399" s="561">
        <v>6605</v>
      </c>
      <c r="KF399" s="561">
        <v>0</v>
      </c>
      <c r="KG399" s="561">
        <v>525231</v>
      </c>
      <c r="KH399" s="561">
        <v>-9177</v>
      </c>
      <c r="KI399" s="561">
        <v>0</v>
      </c>
      <c r="KJ399" s="561">
        <v>-27</v>
      </c>
      <c r="KK399" s="561">
        <v>0</v>
      </c>
      <c r="KL399" s="561">
        <v>-37809</v>
      </c>
      <c r="KM399" s="561">
        <v>0</v>
      </c>
      <c r="KN399" s="561">
        <v>-1377</v>
      </c>
      <c r="KO399" s="561">
        <v>0</v>
      </c>
      <c r="KP399" s="561">
        <v>0</v>
      </c>
      <c r="KQ399" s="561">
        <v>-8209</v>
      </c>
      <c r="KR399" s="561">
        <v>468632</v>
      </c>
      <c r="KS399" s="561">
        <v>0</v>
      </c>
      <c r="KT399" s="561">
        <v>-213472</v>
      </c>
      <c r="KU399" s="561">
        <v>255160</v>
      </c>
      <c r="KV399" s="561">
        <v>0</v>
      </c>
      <c r="KW399" s="561">
        <v>-2586</v>
      </c>
      <c r="KX399" s="561">
        <v>0</v>
      </c>
      <c r="KY399" s="561">
        <v>1678</v>
      </c>
      <c r="KZ399" s="561">
        <v>-12366</v>
      </c>
      <c r="LA399" s="561">
        <v>-2501</v>
      </c>
      <c r="LB399" s="561">
        <v>-9010</v>
      </c>
      <c r="LC399" s="561">
        <v>0</v>
      </c>
      <c r="LD399" s="561">
        <v>-61879</v>
      </c>
      <c r="LE399" s="561">
        <v>-677</v>
      </c>
      <c r="LF399" s="561">
        <v>0</v>
      </c>
      <c r="LG399" s="561">
        <v>167819</v>
      </c>
      <c r="LH399" s="561">
        <v>450</v>
      </c>
      <c r="LI399" s="561">
        <v>-13926</v>
      </c>
      <c r="LJ399" s="561">
        <v>0</v>
      </c>
      <c r="LK399" s="561">
        <v>1622</v>
      </c>
      <c r="LL399" s="561">
        <v>55897</v>
      </c>
      <c r="LM399" s="561">
        <v>22470</v>
      </c>
      <c r="LN399" s="561">
        <v>-2136</v>
      </c>
      <c r="LO399" s="561">
        <v>-22135</v>
      </c>
      <c r="LP399" s="561">
        <v>0</v>
      </c>
      <c r="LQ399" s="561">
        <v>3300</v>
      </c>
      <c r="LR399" s="561">
        <v>43531</v>
      </c>
      <c r="LS399" s="561">
        <v>19969</v>
      </c>
      <c r="LT399" s="561">
        <v>0</v>
      </c>
      <c r="LU399" s="561">
        <v>40227</v>
      </c>
      <c r="LV399" s="561">
        <v>743</v>
      </c>
      <c r="LW399" s="561">
        <v>9671</v>
      </c>
      <c r="LX399" s="561">
        <v>-46780</v>
      </c>
      <c r="LY399" s="561">
        <v>12444</v>
      </c>
      <c r="LZ399" s="561">
        <v>17490</v>
      </c>
      <c r="MA399" s="561">
        <v>0</v>
      </c>
      <c r="MB399" s="561">
        <v>0</v>
      </c>
      <c r="MC399" s="561">
        <v>13032</v>
      </c>
      <c r="MD399" s="561">
        <v>13084</v>
      </c>
      <c r="ME399" s="561">
        <v>-52</v>
      </c>
      <c r="MF399" s="561">
        <v>4982</v>
      </c>
      <c r="MG399" s="561">
        <v>4930</v>
      </c>
      <c r="MH399" s="561">
        <v>6223</v>
      </c>
      <c r="MI399" s="561">
        <v>8531</v>
      </c>
      <c r="MJ399" s="561">
        <v>14754</v>
      </c>
      <c r="MK399" s="561">
        <v>109</v>
      </c>
      <c r="ML399" s="561">
        <v>0</v>
      </c>
      <c r="MM399" s="561">
        <v>43531</v>
      </c>
      <c r="MN399" s="561">
        <v>0</v>
      </c>
      <c r="MO399" s="561">
        <v>0</v>
      </c>
      <c r="MP399" s="561">
        <v>0</v>
      </c>
      <c r="MQ399" s="561">
        <v>193644</v>
      </c>
      <c r="MR399" s="561">
        <v>19012</v>
      </c>
      <c r="MS399" s="561">
        <v>52591</v>
      </c>
      <c r="MT399" s="561">
        <v>116167</v>
      </c>
      <c r="MU399" s="561">
        <v>8505</v>
      </c>
      <c r="MV399" s="561">
        <v>3568</v>
      </c>
      <c r="MW399" s="561">
        <v>11766</v>
      </c>
      <c r="MX399" s="561">
        <v>42289</v>
      </c>
      <c r="MY399" s="561">
        <v>15928</v>
      </c>
      <c r="MZ399" s="561">
        <v>0</v>
      </c>
      <c r="NA399" s="561">
        <v>0</v>
      </c>
      <c r="NB399" s="561">
        <v>1848</v>
      </c>
      <c r="NC399" s="561">
        <v>2331</v>
      </c>
      <c r="ND399" s="561">
        <v>467649</v>
      </c>
      <c r="NE399" s="561">
        <v>0</v>
      </c>
      <c r="NF399" s="561">
        <v>0</v>
      </c>
      <c r="NG399" s="561">
        <v>0</v>
      </c>
      <c r="NH399" s="561">
        <v>0</v>
      </c>
      <c r="NI399" s="561">
        <v>0</v>
      </c>
      <c r="NJ399" s="561">
        <v>0</v>
      </c>
      <c r="NK399" s="561">
        <v>0</v>
      </c>
      <c r="NL399" s="561">
        <v>0</v>
      </c>
      <c r="NM399" s="561">
        <v>0</v>
      </c>
      <c r="NN399" s="561">
        <v>0</v>
      </c>
      <c r="NO399" s="561">
        <v>0</v>
      </c>
      <c r="NP399" s="561">
        <v>0</v>
      </c>
      <c r="NQ399" s="561">
        <v>0</v>
      </c>
      <c r="NR399" s="561">
        <v>0</v>
      </c>
      <c r="NS399" s="561">
        <v>0</v>
      </c>
      <c r="NT399" s="561">
        <v>0</v>
      </c>
      <c r="NU399" s="561">
        <v>0</v>
      </c>
      <c r="NV399" s="561">
        <v>0</v>
      </c>
      <c r="NW399" s="561">
        <v>0</v>
      </c>
      <c r="NX399" s="561">
        <v>0</v>
      </c>
      <c r="NY399" s="561">
        <v>0</v>
      </c>
      <c r="NZ399" s="561">
        <v>0</v>
      </c>
      <c r="OA399" s="561">
        <v>0</v>
      </c>
      <c r="OB399" s="561">
        <v>0</v>
      </c>
      <c r="OC399" s="561">
        <v>0</v>
      </c>
      <c r="OD399" s="561">
        <v>0</v>
      </c>
      <c r="OE399" s="561">
        <v>0</v>
      </c>
      <c r="OF399" s="561">
        <v>0</v>
      </c>
      <c r="OG399" s="561">
        <v>0</v>
      </c>
      <c r="OH399" s="561">
        <v>0</v>
      </c>
      <c r="OI399" s="561">
        <v>0</v>
      </c>
      <c r="OJ399" s="561">
        <v>0</v>
      </c>
      <c r="OK399" s="561">
        <v>0</v>
      </c>
      <c r="OL399" s="561">
        <v>0</v>
      </c>
      <c r="OM399" s="561">
        <v>0</v>
      </c>
      <c r="ON399" s="561">
        <v>0</v>
      </c>
      <c r="OO399" s="561">
        <v>0</v>
      </c>
      <c r="OP399" s="561">
        <v>0</v>
      </c>
      <c r="OQ399" s="561">
        <v>0</v>
      </c>
      <c r="OR399" s="561">
        <v>0</v>
      </c>
      <c r="OS399" s="561">
        <v>0</v>
      </c>
      <c r="OT399" s="561">
        <v>0</v>
      </c>
      <c r="OU399" s="561">
        <v>0</v>
      </c>
      <c r="OV399" s="561">
        <v>0</v>
      </c>
      <c r="OW399" s="561">
        <v>0</v>
      </c>
      <c r="OX399" s="561">
        <v>0</v>
      </c>
      <c r="OY399" s="561">
        <v>0</v>
      </c>
      <c r="OZ399" s="561">
        <v>0</v>
      </c>
      <c r="PA399" s="561">
        <v>0</v>
      </c>
      <c r="PB399" s="561">
        <v>0</v>
      </c>
      <c r="PC399" s="561">
        <v>0</v>
      </c>
      <c r="PD399" s="561">
        <v>0</v>
      </c>
      <c r="PE399" s="561">
        <v>0</v>
      </c>
      <c r="PF399" s="561">
        <v>0</v>
      </c>
      <c r="PG399" s="561">
        <v>0</v>
      </c>
      <c r="PH399" s="561">
        <v>0</v>
      </c>
      <c r="PI399" s="561">
        <v>0</v>
      </c>
      <c r="PJ399" s="561">
        <v>0</v>
      </c>
    </row>
    <row r="400" spans="1:426" ht="14" x14ac:dyDescent="0.3">
      <c r="A400" t="s">
        <v>3641</v>
      </c>
      <c r="B400" t="s">
        <v>3642</v>
      </c>
      <c r="C400" t="s">
        <v>4685</v>
      </c>
      <c r="E400" t="s">
        <v>379</v>
      </c>
      <c r="F400" s="561">
        <v>37677</v>
      </c>
      <c r="G400" s="561">
        <v>130379</v>
      </c>
      <c r="H400" s="561">
        <v>81741</v>
      </c>
      <c r="I400" s="561">
        <v>46201</v>
      </c>
      <c r="J400" s="561">
        <v>7682</v>
      </c>
      <c r="K400" s="561">
        <v>24000</v>
      </c>
      <c r="L400" s="561">
        <v>327680</v>
      </c>
      <c r="M400" s="561">
        <v>223</v>
      </c>
      <c r="N400" s="561">
        <v>-960</v>
      </c>
      <c r="O400" s="561">
        <v>0</v>
      </c>
      <c r="P400" s="561">
        <v>1445</v>
      </c>
      <c r="Q400" s="561">
        <v>374</v>
      </c>
      <c r="R400" s="561">
        <v>131</v>
      </c>
      <c r="S400" s="561">
        <v>442</v>
      </c>
      <c r="T400" s="561">
        <v>1478</v>
      </c>
      <c r="U400" s="561">
        <v>546</v>
      </c>
      <c r="V400" s="561">
        <v>2544</v>
      </c>
      <c r="W400" s="561">
        <v>0</v>
      </c>
      <c r="X400" s="561">
        <v>0</v>
      </c>
      <c r="Y400" s="561">
        <v>675</v>
      </c>
      <c r="Z400" s="561">
        <v>661</v>
      </c>
      <c r="AA400" s="561">
        <v>-462</v>
      </c>
      <c r="AB400" s="561">
        <v>36</v>
      </c>
      <c r="AC400" s="561">
        <v>0</v>
      </c>
      <c r="AD400" s="561">
        <v>0</v>
      </c>
      <c r="AE400" s="561">
        <v>0</v>
      </c>
      <c r="AF400" s="561">
        <v>0</v>
      </c>
      <c r="AG400" s="561">
        <v>0</v>
      </c>
      <c r="AH400" s="561">
        <v>0</v>
      </c>
      <c r="AI400" s="561">
        <v>0</v>
      </c>
      <c r="AJ400" s="561">
        <v>6910</v>
      </c>
      <c r="AK400" s="561">
        <v>0</v>
      </c>
      <c r="AL400" s="561">
        <v>0</v>
      </c>
      <c r="AM400" s="561">
        <v>0</v>
      </c>
      <c r="AN400" s="561">
        <v>0</v>
      </c>
      <c r="AO400" s="561">
        <v>0</v>
      </c>
      <c r="AP400" s="561">
        <v>0</v>
      </c>
      <c r="AQ400" s="561">
        <v>0</v>
      </c>
      <c r="AR400" s="561">
        <v>0</v>
      </c>
      <c r="AS400" s="561">
        <v>0</v>
      </c>
      <c r="AT400" s="561">
        <v>529</v>
      </c>
      <c r="AU400" s="561">
        <v>0</v>
      </c>
      <c r="AV400" s="561">
        <v>0</v>
      </c>
      <c r="AW400" s="561">
        <v>0</v>
      </c>
      <c r="AX400" s="561">
        <v>3621</v>
      </c>
      <c r="AY400" s="561">
        <v>61913</v>
      </c>
      <c r="AZ400" s="561">
        <v>5150</v>
      </c>
      <c r="BA400" s="561">
        <v>5465</v>
      </c>
      <c r="BB400" s="561">
        <v>1997</v>
      </c>
      <c r="BC400" s="561">
        <v>18161</v>
      </c>
      <c r="BD400" s="561">
        <v>389</v>
      </c>
      <c r="BE400" s="561">
        <v>677</v>
      </c>
      <c r="BF400" s="561">
        <v>97373</v>
      </c>
      <c r="BG400" s="561">
        <v>755</v>
      </c>
      <c r="BH400" s="561">
        <v>10981</v>
      </c>
      <c r="BI400" s="561">
        <v>24553</v>
      </c>
      <c r="BJ400" s="561">
        <v>782</v>
      </c>
      <c r="BK400" s="561">
        <v>722</v>
      </c>
      <c r="BL400" s="561">
        <v>1704</v>
      </c>
      <c r="BM400" s="561">
        <v>6493</v>
      </c>
      <c r="BN400" s="561">
        <v>46515</v>
      </c>
      <c r="BO400" s="561">
        <v>4595</v>
      </c>
      <c r="BP400" s="561">
        <v>8339</v>
      </c>
      <c r="BQ400" s="561">
        <v>7397</v>
      </c>
      <c r="BR400" s="561">
        <v>660</v>
      </c>
      <c r="BS400" s="561">
        <v>1332</v>
      </c>
      <c r="BT400" s="561">
        <v>207</v>
      </c>
      <c r="BU400" s="561">
        <v>344</v>
      </c>
      <c r="BV400" s="561">
        <v>309</v>
      </c>
      <c r="BW400" s="561">
        <v>9800</v>
      </c>
      <c r="BX400" s="561">
        <v>2856</v>
      </c>
      <c r="BY400" s="561">
        <v>10609</v>
      </c>
      <c r="BZ400" s="561">
        <v>138198</v>
      </c>
      <c r="CA400" s="561">
        <v>140</v>
      </c>
      <c r="CB400" s="561">
        <v>1059</v>
      </c>
      <c r="CC400" s="561">
        <v>1721</v>
      </c>
      <c r="CD400" s="561">
        <v>741</v>
      </c>
      <c r="CE400" s="561">
        <v>563</v>
      </c>
      <c r="CF400" s="561">
        <v>592</v>
      </c>
      <c r="CG400" s="561">
        <v>55</v>
      </c>
      <c r="CH400" s="561">
        <v>177</v>
      </c>
      <c r="CI400" s="561">
        <v>2046</v>
      </c>
      <c r="CJ400" s="561">
        <v>798</v>
      </c>
      <c r="CK400" s="561">
        <v>1926</v>
      </c>
      <c r="CL400" s="561">
        <v>275</v>
      </c>
      <c r="CM400" s="561">
        <v>2942</v>
      </c>
      <c r="CN400" s="561">
        <v>2872</v>
      </c>
      <c r="CO400" s="561">
        <v>1123</v>
      </c>
      <c r="CP400" s="561">
        <v>1128</v>
      </c>
      <c r="CQ400" s="561">
        <v>1466</v>
      </c>
      <c r="CR400" s="561">
        <v>845</v>
      </c>
      <c r="CS400" s="561">
        <v>118</v>
      </c>
      <c r="CT400" s="561">
        <v>1095</v>
      </c>
      <c r="CU400" s="561">
        <v>2703</v>
      </c>
      <c r="CV400" s="561">
        <v>3694</v>
      </c>
      <c r="CW400" s="561">
        <v>186</v>
      </c>
      <c r="CX400" s="561">
        <v>637</v>
      </c>
      <c r="CY400" s="561">
        <v>4731</v>
      </c>
      <c r="CZ400" s="561">
        <v>33493</v>
      </c>
      <c r="DA400" s="561">
        <v>0</v>
      </c>
      <c r="DB400" s="561">
        <v>0</v>
      </c>
      <c r="DC400" s="561">
        <v>0</v>
      </c>
      <c r="DD400" s="561">
        <v>0</v>
      </c>
      <c r="DE400" s="561">
        <v>0</v>
      </c>
      <c r="DF400" s="561">
        <v>0</v>
      </c>
      <c r="DG400" s="561">
        <v>0</v>
      </c>
      <c r="DH400" s="561">
        <v>664</v>
      </c>
      <c r="DI400" s="561">
        <v>0</v>
      </c>
      <c r="DJ400" s="561">
        <v>0</v>
      </c>
      <c r="DK400" s="561">
        <v>299</v>
      </c>
      <c r="DL400" s="561">
        <v>1864</v>
      </c>
      <c r="DM400" s="561">
        <v>-174</v>
      </c>
      <c r="DN400" s="561">
        <v>0</v>
      </c>
      <c r="DO400" s="561">
        <v>1197</v>
      </c>
      <c r="DP400" s="561">
        <v>0</v>
      </c>
      <c r="DQ400" s="561">
        <v>331</v>
      </c>
      <c r="DR400" s="561">
        <v>0</v>
      </c>
      <c r="DS400" s="561">
        <v>2175</v>
      </c>
      <c r="DT400" s="561">
        <v>1753</v>
      </c>
      <c r="DU400" s="561">
        <v>7146</v>
      </c>
      <c r="DV400" s="561">
        <v>174</v>
      </c>
      <c r="DW400" s="561">
        <v>0</v>
      </c>
      <c r="DX400" s="561">
        <v>262</v>
      </c>
      <c r="DY400" s="561">
        <v>5025</v>
      </c>
      <c r="DZ400" s="561">
        <v>83</v>
      </c>
      <c r="EA400" s="561">
        <v>0</v>
      </c>
      <c r="EB400" s="561">
        <v>0</v>
      </c>
      <c r="EC400" s="561">
        <v>13653</v>
      </c>
      <c r="ED400" s="561">
        <v>30</v>
      </c>
      <c r="EE400" s="561">
        <v>104758</v>
      </c>
      <c r="EF400" s="561">
        <v>407</v>
      </c>
      <c r="EG400" s="561">
        <v>1857</v>
      </c>
      <c r="EH400" s="561">
        <v>1382</v>
      </c>
      <c r="EI400" s="561">
        <v>0</v>
      </c>
      <c r="EJ400" s="561">
        <v>600</v>
      </c>
      <c r="EK400" s="561">
        <v>0</v>
      </c>
      <c r="EL400" s="561">
        <v>0</v>
      </c>
      <c r="EM400" s="561">
        <v>0</v>
      </c>
      <c r="EN400" s="561">
        <v>35190</v>
      </c>
      <c r="EO400" s="561">
        <v>23560</v>
      </c>
      <c r="EP400" s="561">
        <v>4062</v>
      </c>
      <c r="EQ400" s="561">
        <v>2361</v>
      </c>
      <c r="ER400" s="561">
        <v>12614</v>
      </c>
      <c r="ES400" s="561" t="s">
        <v>4565</v>
      </c>
      <c r="ET400" s="561">
        <v>22384</v>
      </c>
      <c r="EU400" s="561">
        <v>5000</v>
      </c>
      <c r="EV400" s="561">
        <v>0</v>
      </c>
      <c r="EW400" s="561">
        <v>0</v>
      </c>
      <c r="EX400" s="561">
        <v>0</v>
      </c>
      <c r="EY400" s="561">
        <v>592</v>
      </c>
      <c r="EZ400" s="561">
        <v>3241</v>
      </c>
      <c r="FA400" s="561">
        <v>16404</v>
      </c>
      <c r="FB400" s="561">
        <v>843</v>
      </c>
      <c r="FC400" s="561">
        <v>1289</v>
      </c>
      <c r="FD400" s="561">
        <v>916</v>
      </c>
      <c r="FE400" s="561">
        <v>551</v>
      </c>
      <c r="FF400" s="561">
        <v>540</v>
      </c>
      <c r="FG400" s="561">
        <v>0</v>
      </c>
      <c r="FH400" s="561">
        <v>0</v>
      </c>
      <c r="FI400" s="561">
        <v>1680</v>
      </c>
      <c r="FJ400" s="561">
        <v>3658</v>
      </c>
      <c r="FK400" s="561">
        <v>5924</v>
      </c>
      <c r="FL400" s="561">
        <v>0</v>
      </c>
      <c r="FM400" s="561">
        <v>209</v>
      </c>
      <c r="FN400" s="561">
        <v>2872</v>
      </c>
      <c r="FO400" s="561">
        <v>18482</v>
      </c>
      <c r="FP400" s="561">
        <v>179</v>
      </c>
      <c r="FQ400" s="561">
        <v>-377</v>
      </c>
      <c r="FR400" s="561">
        <v>253</v>
      </c>
      <c r="FS400" s="561">
        <v>0</v>
      </c>
      <c r="FT400" s="561">
        <v>275</v>
      </c>
      <c r="FU400" s="561">
        <v>1057</v>
      </c>
      <c r="FV400" s="561">
        <v>46</v>
      </c>
      <c r="FW400" s="561">
        <v>67</v>
      </c>
      <c r="FX400" s="561">
        <v>0</v>
      </c>
      <c r="FY400" s="561">
        <v>0</v>
      </c>
      <c r="FZ400" s="561">
        <v>55</v>
      </c>
      <c r="GA400" s="561">
        <v>14</v>
      </c>
      <c r="GB400" s="561">
        <v>89</v>
      </c>
      <c r="GC400" s="561">
        <v>73</v>
      </c>
      <c r="GD400" s="561">
        <v>1029</v>
      </c>
      <c r="GE400" s="561">
        <v>29</v>
      </c>
      <c r="GF400" s="561">
        <v>677</v>
      </c>
      <c r="GG400" s="561">
        <v>0</v>
      </c>
      <c r="GH400" s="561">
        <v>110</v>
      </c>
      <c r="GI400" s="561">
        <v>0</v>
      </c>
      <c r="GJ400" s="561">
        <v>0</v>
      </c>
      <c r="GK400" s="561">
        <v>0</v>
      </c>
      <c r="GL400" s="561">
        <v>2576</v>
      </c>
      <c r="GM400" s="561">
        <v>5680</v>
      </c>
      <c r="GN400" s="561">
        <v>12129</v>
      </c>
      <c r="GO400" s="561">
        <v>0</v>
      </c>
      <c r="GP400" s="561">
        <v>5631</v>
      </c>
      <c r="GQ400" s="561">
        <v>0</v>
      </c>
      <c r="GR400" s="561">
        <v>230</v>
      </c>
      <c r="GS400" s="561">
        <v>29643</v>
      </c>
      <c r="GT400" s="561">
        <v>179</v>
      </c>
      <c r="GU400" s="561">
        <v>426</v>
      </c>
      <c r="GV400" s="561">
        <v>936</v>
      </c>
      <c r="GW400" s="561">
        <v>0</v>
      </c>
      <c r="GX400" s="561">
        <v>2545</v>
      </c>
      <c r="GY400" s="561">
        <v>601</v>
      </c>
      <c r="GZ400" s="561">
        <v>2492</v>
      </c>
      <c r="HA400" s="561">
        <v>0</v>
      </c>
      <c r="HB400" s="561">
        <v>3974</v>
      </c>
      <c r="HC400" s="561">
        <v>433</v>
      </c>
      <c r="HD400" s="561">
        <v>11407</v>
      </c>
      <c r="HE400" s="561">
        <v>80</v>
      </c>
      <c r="HF400" s="561">
        <v>59532</v>
      </c>
      <c r="HG400" s="561">
        <v>436</v>
      </c>
      <c r="HH400" s="561">
        <v>0</v>
      </c>
      <c r="HI400" s="561">
        <v>0</v>
      </c>
      <c r="HJ400" s="561">
        <v>0</v>
      </c>
      <c r="HK400" s="561">
        <v>0</v>
      </c>
      <c r="HL400" s="561">
        <v>0</v>
      </c>
      <c r="HM400" s="561">
        <v>0</v>
      </c>
      <c r="HN400" s="561">
        <v>0</v>
      </c>
      <c r="HO400" s="561">
        <v>7062</v>
      </c>
      <c r="HP400" s="561">
        <v>865</v>
      </c>
      <c r="HQ400" s="561">
        <v>0</v>
      </c>
      <c r="HR400" s="561">
        <v>0</v>
      </c>
      <c r="HS400" s="561">
        <v>939</v>
      </c>
      <c r="HT400" s="561">
        <v>-138</v>
      </c>
      <c r="HU400" s="561">
        <v>0</v>
      </c>
      <c r="HV400" s="561">
        <v>223</v>
      </c>
      <c r="HW400" s="561">
        <v>444</v>
      </c>
      <c r="HX400" s="561">
        <v>931</v>
      </c>
      <c r="HY400" s="561">
        <v>188</v>
      </c>
      <c r="HZ400" s="561">
        <v>-31</v>
      </c>
      <c r="IA400" s="561">
        <v>5699</v>
      </c>
      <c r="IB400" s="561">
        <v>254</v>
      </c>
      <c r="IC400" s="561">
        <v>1420</v>
      </c>
      <c r="ID400" s="561">
        <v>0</v>
      </c>
      <c r="IE400" s="561">
        <v>5461</v>
      </c>
      <c r="IF400" s="561">
        <v>0</v>
      </c>
      <c r="IG400" s="561">
        <v>327</v>
      </c>
      <c r="IH400" s="561">
        <v>9622</v>
      </c>
      <c r="II400" s="561">
        <v>33266</v>
      </c>
      <c r="IJ400" s="561">
        <v>834</v>
      </c>
      <c r="IK400" s="561">
        <v>19265</v>
      </c>
      <c r="IL400" s="561">
        <v>35976</v>
      </c>
      <c r="IM400" s="561">
        <v>0</v>
      </c>
      <c r="IN400" s="561">
        <v>6149</v>
      </c>
      <c r="IO400" s="561">
        <v>184</v>
      </c>
      <c r="IP400" s="561">
        <v>321</v>
      </c>
      <c r="IQ400" s="561">
        <v>25</v>
      </c>
      <c r="IR400" s="561">
        <v>327680</v>
      </c>
      <c r="IS400" s="561">
        <v>6910</v>
      </c>
      <c r="IT400" s="561">
        <v>97373</v>
      </c>
      <c r="IU400" s="561">
        <v>138198</v>
      </c>
      <c r="IV400" s="561">
        <v>33493</v>
      </c>
      <c r="IW400" s="561">
        <v>13653</v>
      </c>
      <c r="IX400" s="561">
        <v>18482</v>
      </c>
      <c r="IY400" s="561">
        <v>29643</v>
      </c>
      <c r="IZ400" s="561">
        <v>11407</v>
      </c>
      <c r="JA400" s="561">
        <v>0</v>
      </c>
      <c r="JB400" s="561">
        <v>0</v>
      </c>
      <c r="JC400" s="561">
        <v>33266</v>
      </c>
      <c r="JD400" s="561">
        <v>321</v>
      </c>
      <c r="JE400" s="561">
        <v>710426</v>
      </c>
      <c r="JF400" s="561">
        <v>35735</v>
      </c>
      <c r="JG400" s="561">
        <v>699</v>
      </c>
      <c r="JH400" s="561">
        <v>29263</v>
      </c>
      <c r="JI400" s="561">
        <v>0</v>
      </c>
      <c r="JJ400" s="561">
        <v>0</v>
      </c>
      <c r="JK400" s="561">
        <v>97</v>
      </c>
      <c r="JL400" s="561">
        <v>23657</v>
      </c>
      <c r="JM400" s="561">
        <v>0</v>
      </c>
      <c r="JN400" s="561">
        <v>0</v>
      </c>
      <c r="JO400" s="561">
        <v>3008</v>
      </c>
      <c r="JP400" s="561">
        <v>-663</v>
      </c>
      <c r="JQ400" s="561">
        <v>-1156</v>
      </c>
      <c r="JR400" s="561">
        <v>0</v>
      </c>
      <c r="JS400" s="561">
        <v>0</v>
      </c>
      <c r="JT400" s="561">
        <v>0</v>
      </c>
      <c r="JU400" s="561">
        <v>0</v>
      </c>
      <c r="JV400" s="561">
        <v>801066</v>
      </c>
      <c r="JW400" s="561">
        <v>195</v>
      </c>
      <c r="JX400" s="561">
        <v>1214</v>
      </c>
      <c r="JY400" s="561">
        <v>0</v>
      </c>
      <c r="JZ400" s="561">
        <v>0</v>
      </c>
      <c r="KA400" s="561">
        <v>0</v>
      </c>
      <c r="KB400" s="561">
        <v>0</v>
      </c>
      <c r="KC400" s="561">
        <v>6730</v>
      </c>
      <c r="KD400" s="561">
        <v>242</v>
      </c>
      <c r="KE400" s="561">
        <v>5133</v>
      </c>
      <c r="KF400" s="561">
        <v>0</v>
      </c>
      <c r="KG400" s="561">
        <v>814580</v>
      </c>
      <c r="KH400" s="561">
        <v>-11766</v>
      </c>
      <c r="KI400" s="561">
        <v>4946</v>
      </c>
      <c r="KJ400" s="561">
        <v>0</v>
      </c>
      <c r="KK400" s="561">
        <v>0</v>
      </c>
      <c r="KL400" s="561">
        <v>-87672</v>
      </c>
      <c r="KM400" s="561">
        <v>0</v>
      </c>
      <c r="KN400" s="561">
        <v>0</v>
      </c>
      <c r="KO400" s="561">
        <v>0</v>
      </c>
      <c r="KP400" s="561">
        <v>0</v>
      </c>
      <c r="KQ400" s="561">
        <v>-9040</v>
      </c>
      <c r="KR400" s="561">
        <v>711048</v>
      </c>
      <c r="KS400" s="561">
        <v>0</v>
      </c>
      <c r="KT400" s="561">
        <v>-385043</v>
      </c>
      <c r="KU400" s="561">
        <v>326005</v>
      </c>
      <c r="KV400" s="561">
        <v>0</v>
      </c>
      <c r="KW400" s="561">
        <v>2559</v>
      </c>
      <c r="KX400" s="561">
        <v>0</v>
      </c>
      <c r="KY400" s="561">
        <v>-372</v>
      </c>
      <c r="KZ400" s="561">
        <v>-17706</v>
      </c>
      <c r="LA400" s="561">
        <v>0</v>
      </c>
      <c r="LB400" s="561">
        <v>0</v>
      </c>
      <c r="LC400" s="561">
        <v>0</v>
      </c>
      <c r="LD400" s="561">
        <v>-159402</v>
      </c>
      <c r="LE400" s="561">
        <v>1090</v>
      </c>
      <c r="LF400" s="561">
        <v>0</v>
      </c>
      <c r="LG400" s="561">
        <v>152174</v>
      </c>
      <c r="LH400" s="561">
        <v>20594</v>
      </c>
      <c r="LI400" s="561">
        <v>-700</v>
      </c>
      <c r="LJ400" s="561">
        <v>0</v>
      </c>
      <c r="LK400" s="561">
        <v>1643</v>
      </c>
      <c r="LL400" s="561">
        <v>78646</v>
      </c>
      <c r="LM400" s="561">
        <v>13555</v>
      </c>
      <c r="LN400" s="561">
        <v>23153</v>
      </c>
      <c r="LO400" s="561">
        <v>-9740</v>
      </c>
      <c r="LP400" s="561">
        <v>0</v>
      </c>
      <c r="LQ400" s="561">
        <v>1271</v>
      </c>
      <c r="LR400" s="561">
        <v>60940</v>
      </c>
      <c r="LS400" s="561">
        <v>13555</v>
      </c>
      <c r="LT400" s="561">
        <v>0</v>
      </c>
      <c r="LU400" s="561">
        <v>27309</v>
      </c>
      <c r="LV400" s="561">
        <v>431</v>
      </c>
      <c r="LW400" s="561">
        <v>11030</v>
      </c>
      <c r="LX400" s="561">
        <v>-41944</v>
      </c>
      <c r="LY400" s="561">
        <v>8687</v>
      </c>
      <c r="LZ400" s="561">
        <v>5053</v>
      </c>
      <c r="MA400" s="561">
        <v>0</v>
      </c>
      <c r="MB400" s="561">
        <v>0</v>
      </c>
      <c r="MC400" s="561">
        <v>109004</v>
      </c>
      <c r="MD400" s="561">
        <v>105763</v>
      </c>
      <c r="ME400" s="561">
        <v>3241</v>
      </c>
      <c r="MF400" s="561">
        <v>16404</v>
      </c>
      <c r="MG400" s="561">
        <v>19645</v>
      </c>
      <c r="MH400" s="561">
        <v>12653</v>
      </c>
      <c r="MI400" s="561">
        <v>10358</v>
      </c>
      <c r="MJ400" s="561">
        <v>23011</v>
      </c>
      <c r="MK400" s="561">
        <v>10</v>
      </c>
      <c r="ML400" s="561">
        <v>2156</v>
      </c>
      <c r="MM400" s="561">
        <v>53040</v>
      </c>
      <c r="MN400" s="561">
        <v>5744</v>
      </c>
      <c r="MO400" s="561">
        <v>0</v>
      </c>
      <c r="MP400" s="561">
        <v>0</v>
      </c>
      <c r="MQ400" s="561">
        <v>327680</v>
      </c>
      <c r="MR400" s="561">
        <v>6910</v>
      </c>
      <c r="MS400" s="561">
        <v>97373</v>
      </c>
      <c r="MT400" s="561">
        <v>138198</v>
      </c>
      <c r="MU400" s="561">
        <v>33493</v>
      </c>
      <c r="MV400" s="561">
        <v>13653</v>
      </c>
      <c r="MW400" s="561">
        <v>18482</v>
      </c>
      <c r="MX400" s="561">
        <v>29643</v>
      </c>
      <c r="MY400" s="561">
        <v>11407</v>
      </c>
      <c r="MZ400" s="561">
        <v>0</v>
      </c>
      <c r="NA400" s="561">
        <v>0</v>
      </c>
      <c r="NB400" s="561">
        <v>33266</v>
      </c>
      <c r="NC400" s="561">
        <v>321</v>
      </c>
      <c r="ND400" s="561">
        <v>710426</v>
      </c>
      <c r="NE400" s="561">
        <v>0</v>
      </c>
      <c r="NF400" s="561">
        <v>0</v>
      </c>
      <c r="NG400" s="561">
        <v>0</v>
      </c>
      <c r="NH400" s="561">
        <v>0</v>
      </c>
      <c r="NI400" s="561">
        <v>0</v>
      </c>
      <c r="NJ400" s="561">
        <v>0</v>
      </c>
      <c r="NK400" s="561">
        <v>0</v>
      </c>
      <c r="NL400" s="561">
        <v>0</v>
      </c>
      <c r="NM400" s="561">
        <v>0</v>
      </c>
      <c r="NN400" s="561">
        <v>0</v>
      </c>
      <c r="NO400" s="561">
        <v>0</v>
      </c>
      <c r="NP400" s="561">
        <v>0</v>
      </c>
      <c r="NQ400" s="561">
        <v>0</v>
      </c>
      <c r="NR400" s="561">
        <v>0</v>
      </c>
      <c r="NS400" s="561">
        <v>0</v>
      </c>
      <c r="NT400" s="561">
        <v>-663</v>
      </c>
      <c r="NU400" s="561">
        <v>0</v>
      </c>
      <c r="NV400" s="561">
        <v>0</v>
      </c>
      <c r="NW400" s="561">
        <v>-663</v>
      </c>
      <c r="NX400" s="561">
        <v>0</v>
      </c>
      <c r="NY400" s="561">
        <v>-663</v>
      </c>
      <c r="NZ400" s="561">
        <v>0</v>
      </c>
      <c r="OA400" s="561">
        <v>0</v>
      </c>
      <c r="OB400" s="561">
        <v>0</v>
      </c>
      <c r="OC400" s="561">
        <v>0</v>
      </c>
      <c r="OD400" s="561">
        <v>0</v>
      </c>
      <c r="OE400" s="561">
        <v>0</v>
      </c>
      <c r="OF400" s="561">
        <v>0</v>
      </c>
      <c r="OG400" s="561">
        <v>0</v>
      </c>
      <c r="OH400" s="561">
        <v>0</v>
      </c>
      <c r="OI400" s="561">
        <v>0</v>
      </c>
      <c r="OJ400" s="561">
        <v>18</v>
      </c>
      <c r="OK400" s="561">
        <v>0</v>
      </c>
      <c r="OL400" s="561">
        <v>0</v>
      </c>
      <c r="OM400" s="561">
        <v>1032</v>
      </c>
      <c r="ON400" s="561">
        <v>-3157</v>
      </c>
      <c r="OO400" s="561">
        <v>0</v>
      </c>
      <c r="OP400" s="561">
        <v>819</v>
      </c>
      <c r="OQ400" s="561">
        <v>0</v>
      </c>
      <c r="OR400" s="561">
        <v>0</v>
      </c>
      <c r="OS400" s="561">
        <v>0</v>
      </c>
      <c r="OT400" s="561">
        <v>0</v>
      </c>
      <c r="OU400" s="561">
        <v>0</v>
      </c>
      <c r="OV400" s="561">
        <v>-50</v>
      </c>
      <c r="OW400" s="561">
        <v>0</v>
      </c>
      <c r="OX400" s="561">
        <v>-1156</v>
      </c>
      <c r="OY400" s="561">
        <v>0</v>
      </c>
      <c r="OZ400" s="561">
        <v>0</v>
      </c>
      <c r="PA400" s="561">
        <v>0</v>
      </c>
      <c r="PB400" s="561">
        <v>0</v>
      </c>
      <c r="PC400" s="561">
        <v>0</v>
      </c>
      <c r="PD400" s="561">
        <v>0</v>
      </c>
      <c r="PE400" s="561">
        <v>0</v>
      </c>
      <c r="PF400" s="561">
        <v>0</v>
      </c>
      <c r="PG400" s="561">
        <v>0</v>
      </c>
      <c r="PH400" s="561">
        <v>0</v>
      </c>
      <c r="PI400" s="561">
        <v>0</v>
      </c>
      <c r="PJ400" s="561">
        <v>0</v>
      </c>
    </row>
    <row r="401" spans="1:426" ht="14" x14ac:dyDescent="0.3">
      <c r="A401" t="s">
        <v>3647</v>
      </c>
      <c r="B401" t="s">
        <v>3648</v>
      </c>
      <c r="C401" t="s">
        <v>3649</v>
      </c>
      <c r="E401" t="s">
        <v>2466</v>
      </c>
      <c r="F401" s="561">
        <v>0</v>
      </c>
      <c r="G401" s="561">
        <v>0</v>
      </c>
      <c r="H401" s="561">
        <v>0</v>
      </c>
      <c r="I401" s="561">
        <v>0</v>
      </c>
      <c r="J401" s="561">
        <v>0</v>
      </c>
      <c r="K401" s="561">
        <v>0</v>
      </c>
      <c r="L401" s="561">
        <v>0</v>
      </c>
      <c r="M401" s="561">
        <v>0</v>
      </c>
      <c r="N401" s="561">
        <v>0</v>
      </c>
      <c r="O401" s="561">
        <v>0</v>
      </c>
      <c r="P401" s="561">
        <v>0</v>
      </c>
      <c r="Q401" s="561">
        <v>0</v>
      </c>
      <c r="R401" s="561">
        <v>0</v>
      </c>
      <c r="S401" s="561">
        <v>0</v>
      </c>
      <c r="T401" s="561">
        <v>0</v>
      </c>
      <c r="U401" s="561">
        <v>0</v>
      </c>
      <c r="V401" s="561">
        <v>0</v>
      </c>
      <c r="W401" s="561">
        <v>0</v>
      </c>
      <c r="X401" s="561">
        <v>0</v>
      </c>
      <c r="Y401" s="561">
        <v>0</v>
      </c>
      <c r="Z401" s="561">
        <v>0</v>
      </c>
      <c r="AA401" s="561">
        <v>0</v>
      </c>
      <c r="AB401" s="561">
        <v>0</v>
      </c>
      <c r="AC401" s="561">
        <v>0</v>
      </c>
      <c r="AD401" s="561">
        <v>0</v>
      </c>
      <c r="AE401" s="561">
        <v>0</v>
      </c>
      <c r="AF401" s="561">
        <v>0</v>
      </c>
      <c r="AG401" s="561">
        <v>0</v>
      </c>
      <c r="AH401" s="561">
        <v>0</v>
      </c>
      <c r="AI401" s="561">
        <v>0</v>
      </c>
      <c r="AJ401" s="561">
        <v>0</v>
      </c>
      <c r="AK401" s="561">
        <v>0</v>
      </c>
      <c r="AL401" s="561">
        <v>0</v>
      </c>
      <c r="AM401" s="561">
        <v>0</v>
      </c>
      <c r="AN401" s="561">
        <v>0</v>
      </c>
      <c r="AO401" s="561">
        <v>0</v>
      </c>
      <c r="AP401" s="561">
        <v>0</v>
      </c>
      <c r="AQ401" s="561">
        <v>0</v>
      </c>
      <c r="AR401" s="561">
        <v>0</v>
      </c>
      <c r="AS401" s="561">
        <v>0</v>
      </c>
      <c r="AT401" s="561">
        <v>0</v>
      </c>
      <c r="AU401" s="561">
        <v>0</v>
      </c>
      <c r="AV401" s="561">
        <v>0</v>
      </c>
      <c r="AW401" s="561">
        <v>0</v>
      </c>
      <c r="AX401" s="561">
        <v>0</v>
      </c>
      <c r="AY401" s="561">
        <v>0</v>
      </c>
      <c r="AZ401" s="561">
        <v>0</v>
      </c>
      <c r="BA401" s="561">
        <v>0</v>
      </c>
      <c r="BB401" s="561">
        <v>0</v>
      </c>
      <c r="BC401" s="561">
        <v>0</v>
      </c>
      <c r="BD401" s="561">
        <v>0</v>
      </c>
      <c r="BE401" s="561">
        <v>0</v>
      </c>
      <c r="BF401" s="561">
        <v>0</v>
      </c>
      <c r="BG401" s="561">
        <v>0</v>
      </c>
      <c r="BH401" s="561">
        <v>0</v>
      </c>
      <c r="BI401" s="561">
        <v>0</v>
      </c>
      <c r="BJ401" s="561">
        <v>0</v>
      </c>
      <c r="BK401" s="561">
        <v>0</v>
      </c>
      <c r="BL401" s="561">
        <v>0</v>
      </c>
      <c r="BM401" s="561">
        <v>0</v>
      </c>
      <c r="BN401" s="561">
        <v>0</v>
      </c>
      <c r="BO401" s="561">
        <v>0</v>
      </c>
      <c r="BP401" s="561">
        <v>0</v>
      </c>
      <c r="BQ401" s="561">
        <v>0</v>
      </c>
      <c r="BR401" s="561">
        <v>0</v>
      </c>
      <c r="BS401" s="561">
        <v>0</v>
      </c>
      <c r="BT401" s="561">
        <v>0</v>
      </c>
      <c r="BU401" s="561">
        <v>0</v>
      </c>
      <c r="BV401" s="561">
        <v>0</v>
      </c>
      <c r="BW401" s="561">
        <v>0</v>
      </c>
      <c r="BX401" s="561">
        <v>0</v>
      </c>
      <c r="BY401" s="561">
        <v>0</v>
      </c>
      <c r="BZ401" s="561">
        <v>0</v>
      </c>
      <c r="CA401" s="561">
        <v>0</v>
      </c>
      <c r="CB401" s="561">
        <v>0</v>
      </c>
      <c r="CC401" s="561">
        <v>0</v>
      </c>
      <c r="CD401" s="561">
        <v>0</v>
      </c>
      <c r="CE401" s="561">
        <v>0</v>
      </c>
      <c r="CF401" s="561">
        <v>0</v>
      </c>
      <c r="CG401" s="561">
        <v>0</v>
      </c>
      <c r="CH401" s="561">
        <v>0</v>
      </c>
      <c r="CI401" s="561">
        <v>0</v>
      </c>
      <c r="CJ401" s="561">
        <v>0</v>
      </c>
      <c r="CK401" s="561">
        <v>0</v>
      </c>
      <c r="CL401" s="561">
        <v>0</v>
      </c>
      <c r="CM401" s="561">
        <v>0</v>
      </c>
      <c r="CN401" s="561">
        <v>0</v>
      </c>
      <c r="CO401" s="561">
        <v>0</v>
      </c>
      <c r="CP401" s="561">
        <v>0</v>
      </c>
      <c r="CQ401" s="561">
        <v>0</v>
      </c>
      <c r="CR401" s="561">
        <v>0</v>
      </c>
      <c r="CS401" s="561">
        <v>0</v>
      </c>
      <c r="CT401" s="561">
        <v>0</v>
      </c>
      <c r="CU401" s="561">
        <v>0</v>
      </c>
      <c r="CV401" s="561">
        <v>0</v>
      </c>
      <c r="CW401" s="561">
        <v>0</v>
      </c>
      <c r="CX401" s="561">
        <v>0</v>
      </c>
      <c r="CY401" s="561">
        <v>0</v>
      </c>
      <c r="CZ401" s="561">
        <v>0</v>
      </c>
      <c r="DA401" s="561">
        <v>0</v>
      </c>
      <c r="DB401" s="561">
        <v>0</v>
      </c>
      <c r="DC401" s="561">
        <v>0</v>
      </c>
      <c r="DD401" s="561">
        <v>0</v>
      </c>
      <c r="DE401" s="561">
        <v>0</v>
      </c>
      <c r="DF401" s="561">
        <v>0</v>
      </c>
      <c r="DG401" s="561">
        <v>0</v>
      </c>
      <c r="DH401" s="561">
        <v>0</v>
      </c>
      <c r="DI401" s="561">
        <v>0</v>
      </c>
      <c r="DJ401" s="561">
        <v>0</v>
      </c>
      <c r="DK401" s="561">
        <v>0</v>
      </c>
      <c r="DL401" s="561">
        <v>0</v>
      </c>
      <c r="DM401" s="561">
        <v>0</v>
      </c>
      <c r="DN401" s="561">
        <v>0</v>
      </c>
      <c r="DO401" s="561">
        <v>0</v>
      </c>
      <c r="DP401" s="561">
        <v>0</v>
      </c>
      <c r="DQ401" s="561">
        <v>0</v>
      </c>
      <c r="DR401" s="561">
        <v>0</v>
      </c>
      <c r="DS401" s="561">
        <v>0</v>
      </c>
      <c r="DT401" s="561">
        <v>0</v>
      </c>
      <c r="DU401" s="561">
        <v>0</v>
      </c>
      <c r="DV401" s="561">
        <v>0</v>
      </c>
      <c r="DW401" s="561">
        <v>0</v>
      </c>
      <c r="DX401" s="561">
        <v>0</v>
      </c>
      <c r="DY401" s="561">
        <v>0</v>
      </c>
      <c r="DZ401" s="561">
        <v>0</v>
      </c>
      <c r="EA401" s="561">
        <v>0</v>
      </c>
      <c r="EB401" s="561">
        <v>0</v>
      </c>
      <c r="EC401" s="561">
        <v>0</v>
      </c>
      <c r="ED401" s="561">
        <v>0</v>
      </c>
      <c r="EE401" s="561">
        <v>0</v>
      </c>
      <c r="EF401" s="561">
        <v>0</v>
      </c>
      <c r="EG401" s="561">
        <v>0</v>
      </c>
      <c r="EH401" s="561">
        <v>0</v>
      </c>
      <c r="EI401" s="561">
        <v>0</v>
      </c>
      <c r="EJ401" s="561">
        <v>0</v>
      </c>
      <c r="EK401" s="561">
        <v>0</v>
      </c>
      <c r="EL401" s="561">
        <v>0</v>
      </c>
      <c r="EM401" s="561">
        <v>0</v>
      </c>
      <c r="EN401" s="561">
        <v>0</v>
      </c>
      <c r="EO401" s="561">
        <v>0</v>
      </c>
      <c r="EP401" s="561">
        <v>0</v>
      </c>
      <c r="EQ401" s="561">
        <v>0</v>
      </c>
      <c r="ER401" s="561">
        <v>0</v>
      </c>
      <c r="ES401" s="561" t="s">
        <v>4565</v>
      </c>
      <c r="ET401" s="561">
        <v>0</v>
      </c>
      <c r="EU401" s="561">
        <v>0</v>
      </c>
      <c r="EV401" s="561">
        <v>0</v>
      </c>
      <c r="EW401" s="561">
        <v>0</v>
      </c>
      <c r="EX401" s="561">
        <v>0</v>
      </c>
      <c r="EY401" s="561">
        <v>0</v>
      </c>
      <c r="EZ401" s="561">
        <v>0</v>
      </c>
      <c r="FA401" s="561">
        <v>0</v>
      </c>
      <c r="FB401" s="561">
        <v>0</v>
      </c>
      <c r="FC401" s="561">
        <v>0</v>
      </c>
      <c r="FD401" s="561">
        <v>0</v>
      </c>
      <c r="FE401" s="561">
        <v>0</v>
      </c>
      <c r="FF401" s="561">
        <v>0</v>
      </c>
      <c r="FG401" s="561">
        <v>0</v>
      </c>
      <c r="FH401" s="561">
        <v>0</v>
      </c>
      <c r="FI401" s="561">
        <v>0</v>
      </c>
      <c r="FJ401" s="561">
        <v>0</v>
      </c>
      <c r="FK401" s="561">
        <v>0</v>
      </c>
      <c r="FL401" s="561">
        <v>0</v>
      </c>
      <c r="FM401" s="561">
        <v>0</v>
      </c>
      <c r="FN401" s="561">
        <v>0</v>
      </c>
      <c r="FO401" s="561">
        <v>0</v>
      </c>
      <c r="FP401" s="561">
        <v>0</v>
      </c>
      <c r="FQ401" s="561">
        <v>0</v>
      </c>
      <c r="FR401" s="561">
        <v>0</v>
      </c>
      <c r="FS401" s="561">
        <v>0</v>
      </c>
      <c r="FT401" s="561">
        <v>0</v>
      </c>
      <c r="FU401" s="561">
        <v>0</v>
      </c>
      <c r="FV401" s="561">
        <v>0</v>
      </c>
      <c r="FW401" s="561">
        <v>0</v>
      </c>
      <c r="FX401" s="561">
        <v>0</v>
      </c>
      <c r="FY401" s="561">
        <v>0</v>
      </c>
      <c r="FZ401" s="561">
        <v>0</v>
      </c>
      <c r="GA401" s="561">
        <v>0</v>
      </c>
      <c r="GB401" s="561">
        <v>0</v>
      </c>
      <c r="GC401" s="561">
        <v>0</v>
      </c>
      <c r="GD401" s="561">
        <v>0</v>
      </c>
      <c r="GE401" s="561">
        <v>0</v>
      </c>
      <c r="GF401" s="561">
        <v>0</v>
      </c>
      <c r="GG401" s="561">
        <v>0</v>
      </c>
      <c r="GH401" s="561">
        <v>0</v>
      </c>
      <c r="GI401" s="561">
        <v>0</v>
      </c>
      <c r="GJ401" s="561">
        <v>0</v>
      </c>
      <c r="GK401" s="561">
        <v>0</v>
      </c>
      <c r="GL401" s="561">
        <v>0</v>
      </c>
      <c r="GM401" s="561">
        <v>0</v>
      </c>
      <c r="GN401" s="561">
        <v>0</v>
      </c>
      <c r="GO401" s="561">
        <v>0</v>
      </c>
      <c r="GP401" s="561">
        <v>0</v>
      </c>
      <c r="GQ401" s="561">
        <v>0</v>
      </c>
      <c r="GR401" s="561">
        <v>0</v>
      </c>
      <c r="GS401" s="561">
        <v>0</v>
      </c>
      <c r="GT401" s="561">
        <v>0</v>
      </c>
      <c r="GU401" s="561">
        <v>0</v>
      </c>
      <c r="GV401" s="561">
        <v>0</v>
      </c>
      <c r="GW401" s="561">
        <v>0</v>
      </c>
      <c r="GX401" s="561">
        <v>0</v>
      </c>
      <c r="GY401" s="561">
        <v>0</v>
      </c>
      <c r="GZ401" s="561">
        <v>0</v>
      </c>
      <c r="HA401" s="561">
        <v>0</v>
      </c>
      <c r="HB401" s="561">
        <v>0</v>
      </c>
      <c r="HC401" s="561">
        <v>0</v>
      </c>
      <c r="HD401" s="561">
        <v>0</v>
      </c>
      <c r="HE401" s="561">
        <v>0</v>
      </c>
      <c r="HF401" s="561">
        <v>0</v>
      </c>
      <c r="HG401" s="561">
        <v>0</v>
      </c>
      <c r="HH401" s="561">
        <v>182255</v>
      </c>
      <c r="HI401" s="561">
        <v>0</v>
      </c>
      <c r="HJ401" s="561">
        <v>0</v>
      </c>
      <c r="HK401" s="561">
        <v>0</v>
      </c>
      <c r="HL401" s="561">
        <v>0</v>
      </c>
      <c r="HM401" s="561">
        <v>0</v>
      </c>
      <c r="HN401" s="561">
        <v>0</v>
      </c>
      <c r="HO401" s="561">
        <v>0</v>
      </c>
      <c r="HP401" s="561">
        <v>0</v>
      </c>
      <c r="HQ401" s="561">
        <v>0</v>
      </c>
      <c r="HR401" s="561">
        <v>0</v>
      </c>
      <c r="HS401" s="561">
        <v>0</v>
      </c>
      <c r="HT401" s="561">
        <v>0</v>
      </c>
      <c r="HU401" s="561">
        <v>0</v>
      </c>
      <c r="HV401" s="561">
        <v>0</v>
      </c>
      <c r="HW401" s="561">
        <v>0</v>
      </c>
      <c r="HX401" s="561">
        <v>0</v>
      </c>
      <c r="HY401" s="561">
        <v>0</v>
      </c>
      <c r="HZ401" s="561">
        <v>0</v>
      </c>
      <c r="IA401" s="561">
        <v>0</v>
      </c>
      <c r="IB401" s="561">
        <v>0</v>
      </c>
      <c r="IC401" s="561">
        <v>0</v>
      </c>
      <c r="ID401" s="561">
        <v>0</v>
      </c>
      <c r="IE401" s="561">
        <v>0</v>
      </c>
      <c r="IF401" s="561">
        <v>0</v>
      </c>
      <c r="IG401" s="561">
        <v>0</v>
      </c>
      <c r="IH401" s="561">
        <v>0</v>
      </c>
      <c r="II401" s="561">
        <v>0</v>
      </c>
      <c r="IJ401" s="561">
        <v>0</v>
      </c>
      <c r="IK401" s="561">
        <v>0</v>
      </c>
      <c r="IL401" s="561">
        <v>0</v>
      </c>
      <c r="IM401" s="561">
        <v>0</v>
      </c>
      <c r="IN401" s="561">
        <v>0</v>
      </c>
      <c r="IO401" s="561">
        <v>0</v>
      </c>
      <c r="IP401" s="561">
        <v>0</v>
      </c>
      <c r="IQ401" s="561">
        <v>0</v>
      </c>
      <c r="IR401" s="561">
        <v>0</v>
      </c>
      <c r="IS401" s="561">
        <v>0</v>
      </c>
      <c r="IT401" s="561">
        <v>0</v>
      </c>
      <c r="IU401" s="561">
        <v>0</v>
      </c>
      <c r="IV401" s="561">
        <v>0</v>
      </c>
      <c r="IW401" s="561">
        <v>0</v>
      </c>
      <c r="IX401" s="561">
        <v>0</v>
      </c>
      <c r="IY401" s="561">
        <v>0</v>
      </c>
      <c r="IZ401" s="561">
        <v>0</v>
      </c>
      <c r="JA401" s="561">
        <v>182255</v>
      </c>
      <c r="JB401" s="561">
        <v>0</v>
      </c>
      <c r="JC401" s="561">
        <v>0</v>
      </c>
      <c r="JD401" s="561">
        <v>0</v>
      </c>
      <c r="JE401" s="561">
        <v>182255</v>
      </c>
      <c r="JF401" s="561">
        <v>0</v>
      </c>
      <c r="JG401" s="561">
        <v>0</v>
      </c>
      <c r="JH401" s="561">
        <v>0</v>
      </c>
      <c r="JI401" s="561">
        <v>0</v>
      </c>
      <c r="JJ401" s="561">
        <v>0</v>
      </c>
      <c r="JK401" s="561">
        <v>0</v>
      </c>
      <c r="JL401" s="561">
        <v>0</v>
      </c>
      <c r="JM401" s="561">
        <v>0</v>
      </c>
      <c r="JN401" s="561">
        <v>0</v>
      </c>
      <c r="JO401" s="561">
        <v>0</v>
      </c>
      <c r="JP401" s="561">
        <v>0</v>
      </c>
      <c r="JQ401" s="561">
        <v>0</v>
      </c>
      <c r="JR401" s="561">
        <v>0</v>
      </c>
      <c r="JS401" s="561">
        <v>0</v>
      </c>
      <c r="JT401" s="561">
        <v>0</v>
      </c>
      <c r="JU401" s="561">
        <v>0</v>
      </c>
      <c r="JV401" s="561">
        <v>182255</v>
      </c>
      <c r="JW401" s="561">
        <v>0</v>
      </c>
      <c r="JX401" s="561">
        <v>0</v>
      </c>
      <c r="JY401" s="561">
        <v>0</v>
      </c>
      <c r="JZ401" s="561">
        <v>0</v>
      </c>
      <c r="KA401" s="561">
        <v>0</v>
      </c>
      <c r="KB401" s="561">
        <v>0</v>
      </c>
      <c r="KC401" s="561">
        <v>0</v>
      </c>
      <c r="KD401" s="561">
        <v>0</v>
      </c>
      <c r="KE401" s="561">
        <v>1569</v>
      </c>
      <c r="KF401" s="561">
        <v>0</v>
      </c>
      <c r="KG401" s="561">
        <v>183824</v>
      </c>
      <c r="KH401" s="561">
        <v>-949</v>
      </c>
      <c r="KI401" s="561">
        <v>0</v>
      </c>
      <c r="KJ401" s="561">
        <v>0</v>
      </c>
      <c r="KK401" s="561">
        <v>0</v>
      </c>
      <c r="KL401" s="561">
        <v>-2872</v>
      </c>
      <c r="KM401" s="561">
        <v>0</v>
      </c>
      <c r="KN401" s="561">
        <v>0</v>
      </c>
      <c r="KO401" s="561">
        <v>0</v>
      </c>
      <c r="KP401" s="561">
        <v>0</v>
      </c>
      <c r="KQ401" s="561">
        <v>0</v>
      </c>
      <c r="KR401" s="561">
        <v>180003</v>
      </c>
      <c r="KS401" s="561">
        <v>0</v>
      </c>
      <c r="KT401" s="561">
        <v>-21478</v>
      </c>
      <c r="KU401" s="561">
        <v>158525</v>
      </c>
      <c r="KV401" s="561">
        <v>0</v>
      </c>
      <c r="KW401" s="561">
        <v>0</v>
      </c>
      <c r="KX401" s="561">
        <v>0</v>
      </c>
      <c r="KY401" s="561">
        <v>0</v>
      </c>
      <c r="KZ401" s="561">
        <v>-3163</v>
      </c>
      <c r="LA401" s="561">
        <v>-1690</v>
      </c>
      <c r="LB401" s="561">
        <v>0</v>
      </c>
      <c r="LC401" s="561">
        <v>-80145</v>
      </c>
      <c r="LD401" s="561">
        <v>0</v>
      </c>
      <c r="LE401" s="561">
        <v>-78</v>
      </c>
      <c r="LF401" s="561">
        <v>0</v>
      </c>
      <c r="LG401" s="561">
        <v>73448</v>
      </c>
      <c r="LH401" s="561">
        <v>0</v>
      </c>
      <c r="LI401" s="561">
        <v>0</v>
      </c>
      <c r="LJ401" s="561">
        <v>0</v>
      </c>
      <c r="LK401" s="561">
        <v>0</v>
      </c>
      <c r="LL401" s="561">
        <v>8399</v>
      </c>
      <c r="LM401" s="561">
        <v>3875</v>
      </c>
      <c r="LN401" s="561">
        <v>0</v>
      </c>
      <c r="LO401" s="561">
        <v>0</v>
      </c>
      <c r="LP401" s="561">
        <v>0</v>
      </c>
      <c r="LQ401" s="561">
        <v>0</v>
      </c>
      <c r="LR401" s="561">
        <v>5236</v>
      </c>
      <c r="LS401" s="561">
        <v>2185</v>
      </c>
      <c r="LT401" s="561">
        <v>0</v>
      </c>
      <c r="LU401" s="561">
        <v>-5132</v>
      </c>
      <c r="LV401" s="561">
        <v>0</v>
      </c>
      <c r="LW401" s="561">
        <v>-1601</v>
      </c>
      <c r="LX401" s="561">
        <v>0</v>
      </c>
      <c r="LY401" s="561">
        <v>0</v>
      </c>
      <c r="LZ401" s="561">
        <v>-7713</v>
      </c>
      <c r="MA401" s="561">
        <v>0</v>
      </c>
      <c r="MB401" s="561">
        <v>0</v>
      </c>
      <c r="MC401" s="561">
        <v>0</v>
      </c>
      <c r="MD401" s="561">
        <v>0</v>
      </c>
      <c r="ME401" s="561">
        <v>0</v>
      </c>
      <c r="MF401" s="561">
        <v>0</v>
      </c>
      <c r="MG401" s="561">
        <v>0</v>
      </c>
      <c r="MH401" s="561">
        <v>0</v>
      </c>
      <c r="MI401" s="561">
        <v>0</v>
      </c>
      <c r="MJ401" s="561">
        <v>0</v>
      </c>
      <c r="MK401" s="561">
        <v>0</v>
      </c>
      <c r="ML401" s="561">
        <v>0</v>
      </c>
      <c r="MM401" s="561">
        <v>4419</v>
      </c>
      <c r="MN401" s="561">
        <v>817</v>
      </c>
      <c r="MO401" s="561">
        <v>0</v>
      </c>
      <c r="MP401" s="561">
        <v>0</v>
      </c>
      <c r="MQ401" s="561">
        <v>0</v>
      </c>
      <c r="MR401" s="561">
        <v>0</v>
      </c>
      <c r="MS401" s="561">
        <v>0</v>
      </c>
      <c r="MT401" s="561">
        <v>0</v>
      </c>
      <c r="MU401" s="561">
        <v>0</v>
      </c>
      <c r="MV401" s="561">
        <v>0</v>
      </c>
      <c r="MW401" s="561">
        <v>0</v>
      </c>
      <c r="MX401" s="561">
        <v>0</v>
      </c>
      <c r="MY401" s="561">
        <v>0</v>
      </c>
      <c r="MZ401" s="561">
        <v>182255</v>
      </c>
      <c r="NA401" s="561">
        <v>0</v>
      </c>
      <c r="NB401" s="561">
        <v>0</v>
      </c>
      <c r="NC401" s="561">
        <v>0</v>
      </c>
      <c r="ND401" s="561">
        <v>182255</v>
      </c>
      <c r="NE401" s="561">
        <v>0</v>
      </c>
      <c r="NF401" s="561">
        <v>0</v>
      </c>
      <c r="NG401" s="561">
        <v>0</v>
      </c>
      <c r="NH401" s="561">
        <v>0</v>
      </c>
      <c r="NI401" s="561">
        <v>0</v>
      </c>
      <c r="NJ401" s="561">
        <v>0</v>
      </c>
      <c r="NK401" s="561">
        <v>0</v>
      </c>
      <c r="NL401" s="561">
        <v>0</v>
      </c>
      <c r="NM401" s="561">
        <v>0</v>
      </c>
      <c r="NN401" s="561">
        <v>0</v>
      </c>
      <c r="NO401" s="561">
        <v>0</v>
      </c>
      <c r="NP401" s="561">
        <v>0</v>
      </c>
      <c r="NQ401" s="561">
        <v>0</v>
      </c>
      <c r="NR401" s="561">
        <v>0</v>
      </c>
      <c r="NS401" s="561">
        <v>0</v>
      </c>
      <c r="NT401" s="561">
        <v>0</v>
      </c>
      <c r="NU401" s="561">
        <v>0</v>
      </c>
      <c r="NV401" s="561">
        <v>0</v>
      </c>
      <c r="NW401" s="561">
        <v>0</v>
      </c>
      <c r="NX401" s="561">
        <v>0</v>
      </c>
      <c r="NY401" s="561">
        <v>0</v>
      </c>
      <c r="NZ401" s="561">
        <v>0</v>
      </c>
      <c r="OA401" s="561">
        <v>0</v>
      </c>
      <c r="OB401" s="561">
        <v>0</v>
      </c>
      <c r="OC401" s="561">
        <v>0</v>
      </c>
      <c r="OD401" s="561">
        <v>0</v>
      </c>
      <c r="OE401" s="561">
        <v>0</v>
      </c>
      <c r="OF401" s="561">
        <v>0</v>
      </c>
      <c r="OG401" s="561">
        <v>0</v>
      </c>
      <c r="OH401" s="561">
        <v>0</v>
      </c>
      <c r="OI401" s="561">
        <v>0</v>
      </c>
      <c r="OJ401" s="561">
        <v>0</v>
      </c>
      <c r="OK401" s="561">
        <v>0</v>
      </c>
      <c r="OL401" s="561">
        <v>0</v>
      </c>
      <c r="OM401" s="561">
        <v>0</v>
      </c>
      <c r="ON401" s="561">
        <v>0</v>
      </c>
      <c r="OO401" s="561">
        <v>0</v>
      </c>
      <c r="OP401" s="561">
        <v>0</v>
      </c>
      <c r="OQ401" s="561">
        <v>0</v>
      </c>
      <c r="OR401" s="561">
        <v>0</v>
      </c>
      <c r="OS401" s="561">
        <v>0</v>
      </c>
      <c r="OT401" s="561">
        <v>0</v>
      </c>
      <c r="OU401" s="561">
        <v>0</v>
      </c>
      <c r="OV401" s="561">
        <v>0</v>
      </c>
      <c r="OW401" s="561">
        <v>0</v>
      </c>
      <c r="OX401" s="561">
        <v>0</v>
      </c>
      <c r="OY401" s="561">
        <v>0</v>
      </c>
      <c r="OZ401" s="561">
        <v>0</v>
      </c>
      <c r="PA401" s="561">
        <v>0</v>
      </c>
      <c r="PB401" s="561">
        <v>0</v>
      </c>
      <c r="PC401" s="561">
        <v>0</v>
      </c>
      <c r="PD401" s="561">
        <v>0</v>
      </c>
      <c r="PE401" s="561">
        <v>0</v>
      </c>
      <c r="PF401" s="561">
        <v>0</v>
      </c>
      <c r="PG401" s="561">
        <v>0</v>
      </c>
      <c r="PH401" s="561">
        <v>0</v>
      </c>
      <c r="PI401" s="561">
        <v>0</v>
      </c>
      <c r="PJ401" s="561">
        <v>0</v>
      </c>
    </row>
    <row r="402" spans="1:426" ht="14" x14ac:dyDescent="0.3">
      <c r="A402" t="s">
        <v>3644</v>
      </c>
      <c r="B402" t="s">
        <v>3645</v>
      </c>
      <c r="C402" t="s">
        <v>4686</v>
      </c>
      <c r="E402" t="s">
        <v>385</v>
      </c>
      <c r="F402" s="561">
        <v>46882</v>
      </c>
      <c r="G402" s="561">
        <v>129845</v>
      </c>
      <c r="H402" s="561">
        <v>46275</v>
      </c>
      <c r="I402" s="561">
        <v>52852</v>
      </c>
      <c r="J402" s="561">
        <v>9171</v>
      </c>
      <c r="K402" s="561">
        <v>63118</v>
      </c>
      <c r="L402" s="561">
        <v>348143</v>
      </c>
      <c r="M402" s="561">
        <v>0</v>
      </c>
      <c r="N402" s="561">
        <v>992</v>
      </c>
      <c r="O402" s="561">
        <v>0</v>
      </c>
      <c r="P402" s="561">
        <v>3921</v>
      </c>
      <c r="Q402" s="561">
        <v>739</v>
      </c>
      <c r="R402" s="561">
        <v>659</v>
      </c>
      <c r="S402" s="561">
        <v>9982</v>
      </c>
      <c r="T402" s="561">
        <v>2239</v>
      </c>
      <c r="U402" s="561">
        <v>2277</v>
      </c>
      <c r="V402" s="561">
        <v>3391</v>
      </c>
      <c r="W402" s="561">
        <v>0</v>
      </c>
      <c r="X402" s="561">
        <v>0</v>
      </c>
      <c r="Y402" s="561">
        <v>265</v>
      </c>
      <c r="Z402" s="561">
        <v>260</v>
      </c>
      <c r="AA402" s="561">
        <v>-381</v>
      </c>
      <c r="AB402" s="561">
        <v>-4409</v>
      </c>
      <c r="AC402" s="561">
        <v>4264</v>
      </c>
      <c r="AD402" s="561">
        <v>264</v>
      </c>
      <c r="AE402" s="561">
        <v>9412</v>
      </c>
      <c r="AF402" s="561">
        <v>0</v>
      </c>
      <c r="AG402" s="561">
        <v>0</v>
      </c>
      <c r="AH402" s="561">
        <v>14</v>
      </c>
      <c r="AI402" s="561">
        <v>0</v>
      </c>
      <c r="AJ402" s="561">
        <v>33889</v>
      </c>
      <c r="AK402" s="561">
        <v>0</v>
      </c>
      <c r="AL402" s="561">
        <v>0</v>
      </c>
      <c r="AM402" s="561">
        <v>0</v>
      </c>
      <c r="AN402" s="561">
        <v>0</v>
      </c>
      <c r="AO402" s="561">
        <v>0</v>
      </c>
      <c r="AP402" s="561">
        <v>0</v>
      </c>
      <c r="AQ402" s="561">
        <v>0</v>
      </c>
      <c r="AR402" s="561">
        <v>0</v>
      </c>
      <c r="AS402" s="561">
        <v>1175</v>
      </c>
      <c r="AT402" s="561">
        <v>1035</v>
      </c>
      <c r="AU402" s="561">
        <v>0</v>
      </c>
      <c r="AV402" s="561">
        <v>0</v>
      </c>
      <c r="AW402" s="561">
        <v>0</v>
      </c>
      <c r="AX402" s="561">
        <v>1198</v>
      </c>
      <c r="AY402" s="561">
        <v>48428</v>
      </c>
      <c r="AZ402" s="561">
        <v>964</v>
      </c>
      <c r="BA402" s="561">
        <v>14833</v>
      </c>
      <c r="BB402" s="561">
        <v>1041</v>
      </c>
      <c r="BC402" s="561">
        <v>25096</v>
      </c>
      <c r="BD402" s="561">
        <v>19</v>
      </c>
      <c r="BE402" s="561">
        <v>1855</v>
      </c>
      <c r="BF402" s="561">
        <v>93434</v>
      </c>
      <c r="BG402" s="561">
        <v>0</v>
      </c>
      <c r="BH402" s="561">
        <v>21813</v>
      </c>
      <c r="BI402" s="561">
        <v>81444</v>
      </c>
      <c r="BJ402" s="561">
        <v>790</v>
      </c>
      <c r="BK402" s="561">
        <v>1638</v>
      </c>
      <c r="BL402" s="561">
        <v>1779</v>
      </c>
      <c r="BM402" s="561">
        <v>11463</v>
      </c>
      <c r="BN402" s="561">
        <v>71450</v>
      </c>
      <c r="BO402" s="561">
        <v>7930</v>
      </c>
      <c r="BP402" s="561">
        <v>12282</v>
      </c>
      <c r="BQ402" s="561">
        <v>12878</v>
      </c>
      <c r="BR402" s="561">
        <v>0</v>
      </c>
      <c r="BS402" s="561">
        <v>0</v>
      </c>
      <c r="BT402" s="561">
        <v>1377</v>
      </c>
      <c r="BU402" s="561">
        <v>595</v>
      </c>
      <c r="BV402" s="561">
        <v>466</v>
      </c>
      <c r="BW402" s="561">
        <v>-13303</v>
      </c>
      <c r="BX402" s="561">
        <v>2044</v>
      </c>
      <c r="BY402" s="561">
        <v>5607</v>
      </c>
      <c r="BZ402" s="561">
        <v>220253</v>
      </c>
      <c r="CA402" s="561">
        <v>0</v>
      </c>
      <c r="CB402" s="561">
        <v>2068</v>
      </c>
      <c r="CC402" s="561">
        <v>680</v>
      </c>
      <c r="CD402" s="561">
        <v>158</v>
      </c>
      <c r="CE402" s="561">
        <v>525</v>
      </c>
      <c r="CF402" s="561">
        <v>339</v>
      </c>
      <c r="CG402" s="561">
        <v>180</v>
      </c>
      <c r="CH402" s="561">
        <v>826</v>
      </c>
      <c r="CI402" s="561">
        <v>284</v>
      </c>
      <c r="CJ402" s="561">
        <v>306</v>
      </c>
      <c r="CK402" s="561">
        <v>412</v>
      </c>
      <c r="CL402" s="561">
        <v>173</v>
      </c>
      <c r="CM402" s="561">
        <v>704</v>
      </c>
      <c r="CN402" s="561">
        <v>704</v>
      </c>
      <c r="CO402" s="561">
        <v>493</v>
      </c>
      <c r="CP402" s="561">
        <v>493</v>
      </c>
      <c r="CQ402" s="561">
        <v>347</v>
      </c>
      <c r="CR402" s="561">
        <v>805</v>
      </c>
      <c r="CS402" s="561">
        <v>74</v>
      </c>
      <c r="CT402" s="561">
        <v>1674</v>
      </c>
      <c r="CU402" s="561">
        <v>6167</v>
      </c>
      <c r="CV402" s="561">
        <v>668</v>
      </c>
      <c r="CW402" s="561">
        <v>207</v>
      </c>
      <c r="CX402" s="561">
        <v>751</v>
      </c>
      <c r="CY402" s="561">
        <v>2893</v>
      </c>
      <c r="CZ402" s="561">
        <v>21931</v>
      </c>
      <c r="DA402" s="561">
        <v>0</v>
      </c>
      <c r="DB402" s="561">
        <v>0</v>
      </c>
      <c r="DC402" s="561">
        <v>0</v>
      </c>
      <c r="DD402" s="561">
        <v>0</v>
      </c>
      <c r="DE402" s="561">
        <v>0</v>
      </c>
      <c r="DF402" s="561">
        <v>0</v>
      </c>
      <c r="DG402" s="561">
        <v>0</v>
      </c>
      <c r="DH402" s="561">
        <v>8828</v>
      </c>
      <c r="DI402" s="561">
        <v>0</v>
      </c>
      <c r="DJ402" s="561">
        <v>0</v>
      </c>
      <c r="DK402" s="561">
        <v>389</v>
      </c>
      <c r="DL402" s="561">
        <v>0</v>
      </c>
      <c r="DM402" s="561">
        <v>-739</v>
      </c>
      <c r="DN402" s="561">
        <v>-92</v>
      </c>
      <c r="DO402" s="561">
        <v>0</v>
      </c>
      <c r="DP402" s="561">
        <v>0</v>
      </c>
      <c r="DQ402" s="561">
        <v>0</v>
      </c>
      <c r="DR402" s="561">
        <v>0</v>
      </c>
      <c r="DS402" s="561">
        <v>0</v>
      </c>
      <c r="DT402" s="561">
        <v>1036</v>
      </c>
      <c r="DU402" s="561">
        <v>205</v>
      </c>
      <c r="DV402" s="561">
        <v>0</v>
      </c>
      <c r="DW402" s="561">
        <v>0</v>
      </c>
      <c r="DX402" s="561">
        <v>0</v>
      </c>
      <c r="DY402" s="561">
        <v>2775</v>
      </c>
      <c r="DZ402" s="561">
        <v>-167</v>
      </c>
      <c r="EA402" s="561">
        <v>3782</v>
      </c>
      <c r="EB402" s="561">
        <v>0</v>
      </c>
      <c r="EC402" s="561">
        <v>15812</v>
      </c>
      <c r="ED402" s="561">
        <v>0</v>
      </c>
      <c r="EE402" s="561">
        <v>31481</v>
      </c>
      <c r="EF402" s="561">
        <v>0</v>
      </c>
      <c r="EG402" s="561">
        <v>0</v>
      </c>
      <c r="EH402" s="561">
        <v>0</v>
      </c>
      <c r="EI402" s="561">
        <v>0</v>
      </c>
      <c r="EJ402" s="561">
        <v>0</v>
      </c>
      <c r="EK402" s="561">
        <v>0</v>
      </c>
      <c r="EL402" s="561">
        <v>0</v>
      </c>
      <c r="EM402" s="561">
        <v>0</v>
      </c>
      <c r="EN402" s="561">
        <v>20964</v>
      </c>
      <c r="EO402" s="561">
        <v>5074</v>
      </c>
      <c r="EP402" s="561">
        <v>864</v>
      </c>
      <c r="EQ402" s="561">
        <v>0</v>
      </c>
      <c r="ER402" s="561">
        <v>5124</v>
      </c>
      <c r="ES402" s="561" t="s">
        <v>4565</v>
      </c>
      <c r="ET402" s="561">
        <v>0</v>
      </c>
      <c r="EU402" s="561">
        <v>0</v>
      </c>
      <c r="EV402" s="561">
        <v>0</v>
      </c>
      <c r="EW402" s="561">
        <v>0</v>
      </c>
      <c r="EX402" s="561">
        <v>0</v>
      </c>
      <c r="EY402" s="561">
        <v>0</v>
      </c>
      <c r="EZ402" s="561">
        <v>-545</v>
      </c>
      <c r="FA402" s="561">
        <v>1633</v>
      </c>
      <c r="FB402" s="561">
        <v>391</v>
      </c>
      <c r="FC402" s="561">
        <v>371</v>
      </c>
      <c r="FD402" s="561">
        <v>1435</v>
      </c>
      <c r="FE402" s="561">
        <v>240</v>
      </c>
      <c r="FF402" s="561">
        <v>826</v>
      </c>
      <c r="FG402" s="561">
        <v>0</v>
      </c>
      <c r="FH402" s="561">
        <v>0</v>
      </c>
      <c r="FI402" s="561">
        <v>688</v>
      </c>
      <c r="FJ402" s="561">
        <v>8275</v>
      </c>
      <c r="FK402" s="561">
        <v>3760</v>
      </c>
      <c r="FL402" s="561">
        <v>0</v>
      </c>
      <c r="FM402" s="561">
        <v>0</v>
      </c>
      <c r="FN402" s="561">
        <v>6438</v>
      </c>
      <c r="FO402" s="561">
        <v>22424</v>
      </c>
      <c r="FP402" s="561">
        <v>0</v>
      </c>
      <c r="FQ402" s="561">
        <v>-96</v>
      </c>
      <c r="FR402" s="561">
        <v>562</v>
      </c>
      <c r="FS402" s="561">
        <v>0</v>
      </c>
      <c r="FT402" s="561">
        <v>753</v>
      </c>
      <c r="FU402" s="561">
        <v>891</v>
      </c>
      <c r="FV402" s="561">
        <v>0</v>
      </c>
      <c r="FW402" s="561">
        <v>0</v>
      </c>
      <c r="FX402" s="561">
        <v>0</v>
      </c>
      <c r="FY402" s="561">
        <v>0</v>
      </c>
      <c r="FZ402" s="561">
        <v>268</v>
      </c>
      <c r="GA402" s="561">
        <v>0</v>
      </c>
      <c r="GB402" s="561">
        <v>2003</v>
      </c>
      <c r="GC402" s="561">
        <v>-397</v>
      </c>
      <c r="GD402" s="561">
        <v>0</v>
      </c>
      <c r="GE402" s="561">
        <v>0</v>
      </c>
      <c r="GF402" s="561">
        <v>0</v>
      </c>
      <c r="GG402" s="561">
        <v>0</v>
      </c>
      <c r="GH402" s="561">
        <v>0</v>
      </c>
      <c r="GI402" s="561">
        <v>0</v>
      </c>
      <c r="GJ402" s="561">
        <v>0</v>
      </c>
      <c r="GK402" s="561">
        <v>-382</v>
      </c>
      <c r="GL402" s="561">
        <v>2161</v>
      </c>
      <c r="GM402" s="561">
        <v>15187</v>
      </c>
      <c r="GN402" s="561">
        <v>23820</v>
      </c>
      <c r="GO402" s="561">
        <v>0</v>
      </c>
      <c r="GP402" s="561">
        <v>8062</v>
      </c>
      <c r="GQ402" s="561">
        <v>0</v>
      </c>
      <c r="GR402" s="561">
        <v>1090</v>
      </c>
      <c r="GS402" s="561">
        <v>53922</v>
      </c>
      <c r="GT402" s="561">
        <v>0</v>
      </c>
      <c r="GU402" s="561">
        <v>475</v>
      </c>
      <c r="GV402" s="561">
        <v>3031</v>
      </c>
      <c r="GW402" s="561">
        <v>0</v>
      </c>
      <c r="GX402" s="561">
        <v>3602</v>
      </c>
      <c r="GY402" s="561">
        <v>0</v>
      </c>
      <c r="GZ402" s="561">
        <v>1374</v>
      </c>
      <c r="HA402" s="561">
        <v>0</v>
      </c>
      <c r="HB402" s="561">
        <v>2193</v>
      </c>
      <c r="HC402" s="561">
        <v>63</v>
      </c>
      <c r="HD402" s="561">
        <v>10738</v>
      </c>
      <c r="HE402" s="561">
        <v>0</v>
      </c>
      <c r="HF402" s="561">
        <v>87084</v>
      </c>
      <c r="HG402" s="561">
        <v>0</v>
      </c>
      <c r="HH402" s="561">
        <v>0</v>
      </c>
      <c r="HI402" s="561">
        <v>0</v>
      </c>
      <c r="HJ402" s="561">
        <v>0</v>
      </c>
      <c r="HK402" s="561">
        <v>0</v>
      </c>
      <c r="HL402" s="561">
        <v>0</v>
      </c>
      <c r="HM402" s="561">
        <v>0</v>
      </c>
      <c r="HN402" s="561">
        <v>0</v>
      </c>
      <c r="HO402" s="561">
        <v>19355</v>
      </c>
      <c r="HP402" s="561">
        <v>1319</v>
      </c>
      <c r="HQ402" s="561">
        <v>0</v>
      </c>
      <c r="HR402" s="561">
        <v>0</v>
      </c>
      <c r="HS402" s="561">
        <v>0</v>
      </c>
      <c r="HT402" s="561">
        <v>488</v>
      </c>
      <c r="HU402" s="561">
        <v>0</v>
      </c>
      <c r="HV402" s="561">
        <v>-307</v>
      </c>
      <c r="HW402" s="561">
        <v>750</v>
      </c>
      <c r="HX402" s="561">
        <v>1224</v>
      </c>
      <c r="HY402" s="561">
        <v>0</v>
      </c>
      <c r="HZ402" s="561">
        <v>-366</v>
      </c>
      <c r="IA402" s="561">
        <v>49</v>
      </c>
      <c r="IB402" s="561">
        <v>0</v>
      </c>
      <c r="IC402" s="561">
        <v>1140</v>
      </c>
      <c r="ID402" s="561">
        <v>-2231</v>
      </c>
      <c r="IE402" s="561">
        <v>-14322</v>
      </c>
      <c r="IF402" s="561">
        <v>0</v>
      </c>
      <c r="IG402" s="561">
        <v>0</v>
      </c>
      <c r="IH402" s="561">
        <v>0</v>
      </c>
      <c r="II402" s="561">
        <v>7099</v>
      </c>
      <c r="IJ402" s="561">
        <v>0</v>
      </c>
      <c r="IK402" s="561">
        <v>0</v>
      </c>
      <c r="IL402" s="561">
        <v>0</v>
      </c>
      <c r="IM402" s="561">
        <v>0</v>
      </c>
      <c r="IN402" s="561">
        <v>0</v>
      </c>
      <c r="IO402" s="561">
        <v>0</v>
      </c>
      <c r="IP402" s="561">
        <v>0</v>
      </c>
      <c r="IQ402" s="561">
        <v>0</v>
      </c>
      <c r="IR402" s="561">
        <v>348143</v>
      </c>
      <c r="IS402" s="561">
        <v>33889</v>
      </c>
      <c r="IT402" s="561">
        <v>93434</v>
      </c>
      <c r="IU402" s="561">
        <v>220253</v>
      </c>
      <c r="IV402" s="561">
        <v>21931</v>
      </c>
      <c r="IW402" s="561">
        <v>15812</v>
      </c>
      <c r="IX402" s="561">
        <v>22424</v>
      </c>
      <c r="IY402" s="561">
        <v>53922</v>
      </c>
      <c r="IZ402" s="561">
        <v>10738</v>
      </c>
      <c r="JA402" s="561">
        <v>0</v>
      </c>
      <c r="JB402" s="561">
        <v>0</v>
      </c>
      <c r="JC402" s="561">
        <v>7099</v>
      </c>
      <c r="JD402" s="561">
        <v>0</v>
      </c>
      <c r="JE402" s="561">
        <v>827645</v>
      </c>
      <c r="JF402" s="561">
        <v>54878</v>
      </c>
      <c r="JG402" s="561">
        <v>0</v>
      </c>
      <c r="JH402" s="561">
        <v>8200</v>
      </c>
      <c r="JI402" s="561">
        <v>0</v>
      </c>
      <c r="JJ402" s="561">
        <v>0</v>
      </c>
      <c r="JK402" s="561">
        <v>32727</v>
      </c>
      <c r="JL402" s="561">
        <v>0</v>
      </c>
      <c r="JM402" s="561">
        <v>0</v>
      </c>
      <c r="JN402" s="561">
        <v>0</v>
      </c>
      <c r="JO402" s="561">
        <v>833</v>
      </c>
      <c r="JP402" s="561">
        <v>0</v>
      </c>
      <c r="JQ402" s="561">
        <v>0</v>
      </c>
      <c r="JR402" s="561">
        <v>0</v>
      </c>
      <c r="JS402" s="561">
        <v>0</v>
      </c>
      <c r="JT402" s="561">
        <v>0</v>
      </c>
      <c r="JU402" s="561">
        <v>0</v>
      </c>
      <c r="JV402" s="561">
        <v>924283</v>
      </c>
      <c r="JW402" s="561">
        <v>695</v>
      </c>
      <c r="JX402" s="561">
        <v>17971</v>
      </c>
      <c r="JY402" s="561">
        <v>0</v>
      </c>
      <c r="JZ402" s="561">
        <v>-1000</v>
      </c>
      <c r="KA402" s="561">
        <v>0</v>
      </c>
      <c r="KB402" s="561">
        <v>0</v>
      </c>
      <c r="KC402" s="561">
        <v>22569</v>
      </c>
      <c r="KD402" s="561">
        <v>1466</v>
      </c>
      <c r="KE402" s="561">
        <v>10991</v>
      </c>
      <c r="KF402" s="561">
        <v>0</v>
      </c>
      <c r="KG402" s="561">
        <v>976975</v>
      </c>
      <c r="KH402" s="561">
        <v>-9538</v>
      </c>
      <c r="KI402" s="561">
        <v>0</v>
      </c>
      <c r="KJ402" s="561">
        <v>0</v>
      </c>
      <c r="KK402" s="561">
        <v>0</v>
      </c>
      <c r="KL402" s="561">
        <v>-64622</v>
      </c>
      <c r="KM402" s="561">
        <v>0</v>
      </c>
      <c r="KN402" s="561">
        <v>-488</v>
      </c>
      <c r="KO402" s="561">
        <v>569</v>
      </c>
      <c r="KP402" s="561">
        <v>-7</v>
      </c>
      <c r="KQ402" s="561">
        <v>-32484</v>
      </c>
      <c r="KR402" s="561">
        <v>870405</v>
      </c>
      <c r="KS402" s="561">
        <v>0</v>
      </c>
      <c r="KT402" s="561">
        <v>-433771.29</v>
      </c>
      <c r="KU402" s="561">
        <v>436633.71</v>
      </c>
      <c r="KV402" s="561">
        <v>0</v>
      </c>
      <c r="KW402" s="561">
        <v>-2829</v>
      </c>
      <c r="KX402" s="561">
        <v>0</v>
      </c>
      <c r="KY402" s="561">
        <v>-144</v>
      </c>
      <c r="KZ402" s="561">
        <v>8150</v>
      </c>
      <c r="LA402" s="561">
        <v>310</v>
      </c>
      <c r="LB402" s="561">
        <v>-604</v>
      </c>
      <c r="LC402" s="561">
        <v>0</v>
      </c>
      <c r="LD402" s="561">
        <v>-59161</v>
      </c>
      <c r="LE402" s="561">
        <v>1448</v>
      </c>
      <c r="LF402" s="561">
        <v>0</v>
      </c>
      <c r="LG402" s="561">
        <v>383804</v>
      </c>
      <c r="LH402" s="561">
        <v>12565</v>
      </c>
      <c r="LI402" s="561">
        <v>-28706</v>
      </c>
      <c r="LJ402" s="561">
        <v>0</v>
      </c>
      <c r="LK402" s="561">
        <v>6328</v>
      </c>
      <c r="LL402" s="561">
        <v>89208</v>
      </c>
      <c r="LM402" s="561">
        <v>34022</v>
      </c>
      <c r="LN402" s="561">
        <v>9736</v>
      </c>
      <c r="LO402" s="561">
        <v>-61190</v>
      </c>
      <c r="LP402" s="561">
        <v>0</v>
      </c>
      <c r="LQ402" s="561">
        <v>6184</v>
      </c>
      <c r="LR402" s="561">
        <v>97358</v>
      </c>
      <c r="LS402" s="561">
        <v>34332</v>
      </c>
      <c r="LT402" s="561">
        <v>0</v>
      </c>
      <c r="LU402" s="561">
        <v>43319</v>
      </c>
      <c r="LV402" s="561">
        <v>0</v>
      </c>
      <c r="LW402" s="561">
        <v>-4728</v>
      </c>
      <c r="LX402" s="561">
        <v>-77794</v>
      </c>
      <c r="LY402" s="561">
        <v>0</v>
      </c>
      <c r="LZ402" s="561">
        <v>-39203</v>
      </c>
      <c r="MA402" s="561">
        <v>0</v>
      </c>
      <c r="MB402" s="561">
        <v>0</v>
      </c>
      <c r="MC402" s="561">
        <v>31481</v>
      </c>
      <c r="MD402" s="561">
        <v>32026</v>
      </c>
      <c r="ME402" s="561">
        <v>-545</v>
      </c>
      <c r="MF402" s="561">
        <v>1633</v>
      </c>
      <c r="MG402" s="561">
        <v>1088</v>
      </c>
      <c r="MH402" s="561">
        <v>12394</v>
      </c>
      <c r="MI402" s="561">
        <v>19165</v>
      </c>
      <c r="MJ402" s="561">
        <v>31559</v>
      </c>
      <c r="MK402" s="561">
        <v>0</v>
      </c>
      <c r="ML402" s="561">
        <v>0</v>
      </c>
      <c r="MM402" s="561">
        <v>19470</v>
      </c>
      <c r="MN402" s="561">
        <v>6448</v>
      </c>
      <c r="MO402" s="561">
        <v>0</v>
      </c>
      <c r="MP402" s="561">
        <v>71440</v>
      </c>
      <c r="MQ402" s="561">
        <v>348143</v>
      </c>
      <c r="MR402" s="561">
        <v>33889</v>
      </c>
      <c r="MS402" s="561">
        <v>93434</v>
      </c>
      <c r="MT402" s="561">
        <v>220253</v>
      </c>
      <c r="MU402" s="561">
        <v>21931</v>
      </c>
      <c r="MV402" s="561">
        <v>15812</v>
      </c>
      <c r="MW402" s="561">
        <v>22424</v>
      </c>
      <c r="MX402" s="561">
        <v>53922</v>
      </c>
      <c r="MY402" s="561">
        <v>10738</v>
      </c>
      <c r="MZ402" s="561">
        <v>0</v>
      </c>
      <c r="NA402" s="561">
        <v>0</v>
      </c>
      <c r="NB402" s="561">
        <v>7099</v>
      </c>
      <c r="NC402" s="561">
        <v>0</v>
      </c>
      <c r="ND402" s="561">
        <v>827645</v>
      </c>
      <c r="NE402" s="561">
        <v>0</v>
      </c>
      <c r="NF402" s="561">
        <v>0</v>
      </c>
      <c r="NG402" s="561">
        <v>0</v>
      </c>
      <c r="NH402" s="561">
        <v>0</v>
      </c>
      <c r="NI402" s="561">
        <v>0</v>
      </c>
      <c r="NJ402" s="561">
        <v>0</v>
      </c>
      <c r="NK402" s="561">
        <v>0</v>
      </c>
      <c r="NL402" s="561">
        <v>0</v>
      </c>
      <c r="NM402" s="561">
        <v>0</v>
      </c>
      <c r="NN402" s="561">
        <v>0</v>
      </c>
      <c r="NO402" s="561">
        <v>0</v>
      </c>
      <c r="NP402" s="561">
        <v>0</v>
      </c>
      <c r="NQ402" s="561">
        <v>0</v>
      </c>
      <c r="NR402" s="561">
        <v>0</v>
      </c>
      <c r="NS402" s="561">
        <v>0</v>
      </c>
      <c r="NT402" s="561">
        <v>0</v>
      </c>
      <c r="NU402" s="561">
        <v>0</v>
      </c>
      <c r="NV402" s="561">
        <v>0</v>
      </c>
      <c r="NW402" s="561">
        <v>0</v>
      </c>
      <c r="NX402" s="561">
        <v>0</v>
      </c>
      <c r="NY402" s="561">
        <v>0</v>
      </c>
      <c r="NZ402" s="561">
        <v>0</v>
      </c>
      <c r="OA402" s="561">
        <v>0</v>
      </c>
      <c r="OB402" s="561">
        <v>0</v>
      </c>
      <c r="OC402" s="561">
        <v>0</v>
      </c>
      <c r="OD402" s="561">
        <v>0</v>
      </c>
      <c r="OE402" s="561">
        <v>0</v>
      </c>
      <c r="OF402" s="561">
        <v>0</v>
      </c>
      <c r="OG402" s="561">
        <v>0</v>
      </c>
      <c r="OH402" s="561">
        <v>0</v>
      </c>
      <c r="OI402" s="561">
        <v>0</v>
      </c>
      <c r="OJ402" s="561">
        <v>0</v>
      </c>
      <c r="OK402" s="561">
        <v>0</v>
      </c>
      <c r="OL402" s="561">
        <v>0</v>
      </c>
      <c r="OM402" s="561">
        <v>0</v>
      </c>
      <c r="ON402" s="561">
        <v>0</v>
      </c>
      <c r="OO402" s="561">
        <v>0</v>
      </c>
      <c r="OP402" s="561">
        <v>0</v>
      </c>
      <c r="OQ402" s="561">
        <v>0</v>
      </c>
      <c r="OR402" s="561">
        <v>0</v>
      </c>
      <c r="OS402" s="561">
        <v>0</v>
      </c>
      <c r="OT402" s="561">
        <v>0</v>
      </c>
      <c r="OU402" s="561">
        <v>0</v>
      </c>
      <c r="OV402" s="561">
        <v>0</v>
      </c>
      <c r="OW402" s="561">
        <v>0</v>
      </c>
      <c r="OX402" s="561">
        <v>0</v>
      </c>
      <c r="OY402" s="561">
        <v>0</v>
      </c>
      <c r="OZ402" s="561">
        <v>0</v>
      </c>
      <c r="PA402" s="561">
        <v>0</v>
      </c>
      <c r="PB402" s="561">
        <v>0</v>
      </c>
      <c r="PC402" s="561">
        <v>0</v>
      </c>
      <c r="PD402" s="561">
        <v>0</v>
      </c>
      <c r="PE402" s="561">
        <v>0</v>
      </c>
      <c r="PF402" s="561">
        <v>0</v>
      </c>
      <c r="PG402" s="561">
        <v>0</v>
      </c>
      <c r="PH402" s="561">
        <v>0</v>
      </c>
      <c r="PI402" s="561">
        <v>0</v>
      </c>
      <c r="PJ402" s="561">
        <v>0</v>
      </c>
    </row>
    <row r="403" spans="1:426" ht="14" x14ac:dyDescent="0.3">
      <c r="A403" t="s">
        <v>3650</v>
      </c>
      <c r="B403" t="s">
        <v>3651</v>
      </c>
      <c r="C403" t="s">
        <v>3652</v>
      </c>
      <c r="E403" t="s">
        <v>384</v>
      </c>
      <c r="F403" s="561">
        <v>0</v>
      </c>
      <c r="G403" s="561">
        <v>0</v>
      </c>
      <c r="H403" s="561">
        <v>0</v>
      </c>
      <c r="I403" s="561">
        <v>0</v>
      </c>
      <c r="J403" s="561">
        <v>0</v>
      </c>
      <c r="K403" s="561">
        <v>0</v>
      </c>
      <c r="L403" s="561">
        <v>0</v>
      </c>
      <c r="M403" s="561">
        <v>0</v>
      </c>
      <c r="N403" s="561">
        <v>0</v>
      </c>
      <c r="O403" s="561">
        <v>3</v>
      </c>
      <c r="P403" s="561">
        <v>0</v>
      </c>
      <c r="Q403" s="561">
        <v>0</v>
      </c>
      <c r="R403" s="561">
        <v>0</v>
      </c>
      <c r="S403" s="561">
        <v>0</v>
      </c>
      <c r="T403" s="561">
        <v>252</v>
      </c>
      <c r="U403" s="561">
        <v>0</v>
      </c>
      <c r="V403" s="561">
        <v>36</v>
      </c>
      <c r="W403" s="561">
        <v>0</v>
      </c>
      <c r="X403" s="561">
        <v>0</v>
      </c>
      <c r="Y403" s="561">
        <v>0</v>
      </c>
      <c r="Z403" s="561">
        <v>0</v>
      </c>
      <c r="AA403" s="561">
        <v>-2.7</v>
      </c>
      <c r="AB403" s="561">
        <v>-3939</v>
      </c>
      <c r="AC403" s="561">
        <v>0</v>
      </c>
      <c r="AD403" s="561">
        <v>0</v>
      </c>
      <c r="AE403" s="561">
        <v>1158</v>
      </c>
      <c r="AF403" s="561">
        <v>0</v>
      </c>
      <c r="AG403" s="561">
        <v>112.5</v>
      </c>
      <c r="AH403" s="561">
        <v>0</v>
      </c>
      <c r="AI403" s="561">
        <v>0</v>
      </c>
      <c r="AJ403" s="561">
        <v>-2380.1999999999998</v>
      </c>
      <c r="AK403" s="561">
        <v>0</v>
      </c>
      <c r="AL403" s="561">
        <v>0</v>
      </c>
      <c r="AM403" s="561">
        <v>0</v>
      </c>
      <c r="AN403" s="561">
        <v>0</v>
      </c>
      <c r="AO403" s="561">
        <v>0</v>
      </c>
      <c r="AP403" s="561">
        <v>0</v>
      </c>
      <c r="AQ403" s="561">
        <v>0</v>
      </c>
      <c r="AR403" s="561">
        <v>0</v>
      </c>
      <c r="AS403" s="561">
        <v>2</v>
      </c>
      <c r="AT403" s="561">
        <v>0.7</v>
      </c>
      <c r="AU403" s="561">
        <v>0</v>
      </c>
      <c r="AV403" s="561">
        <v>0</v>
      </c>
      <c r="AW403" s="561">
        <v>0</v>
      </c>
      <c r="AX403" s="561">
        <v>0</v>
      </c>
      <c r="AY403" s="561">
        <v>0</v>
      </c>
      <c r="AZ403" s="561">
        <v>0</v>
      </c>
      <c r="BA403" s="561">
        <v>0</v>
      </c>
      <c r="BB403" s="561">
        <v>0</v>
      </c>
      <c r="BC403" s="561">
        <v>0</v>
      </c>
      <c r="BD403" s="561">
        <v>0</v>
      </c>
      <c r="BE403" s="561">
        <v>0</v>
      </c>
      <c r="BF403" s="561">
        <v>0</v>
      </c>
      <c r="BG403" s="561">
        <v>0</v>
      </c>
      <c r="BH403" s="561">
        <v>0</v>
      </c>
      <c r="BI403" s="561">
        <v>0</v>
      </c>
      <c r="BJ403" s="561">
        <v>0</v>
      </c>
      <c r="BK403" s="561">
        <v>0</v>
      </c>
      <c r="BL403" s="561">
        <v>0</v>
      </c>
      <c r="BM403" s="561">
        <v>0</v>
      </c>
      <c r="BN403" s="561">
        <v>0</v>
      </c>
      <c r="BO403" s="561">
        <v>0</v>
      </c>
      <c r="BP403" s="561">
        <v>0</v>
      </c>
      <c r="BQ403" s="561">
        <v>0</v>
      </c>
      <c r="BR403" s="561">
        <v>0</v>
      </c>
      <c r="BS403" s="561">
        <v>0</v>
      </c>
      <c r="BT403" s="561">
        <v>0</v>
      </c>
      <c r="BU403" s="561">
        <v>0</v>
      </c>
      <c r="BV403" s="561">
        <v>0</v>
      </c>
      <c r="BW403" s="561">
        <v>0</v>
      </c>
      <c r="BX403" s="561">
        <v>0</v>
      </c>
      <c r="BY403" s="561">
        <v>0</v>
      </c>
      <c r="BZ403" s="561">
        <v>0</v>
      </c>
      <c r="CA403" s="561">
        <v>0</v>
      </c>
      <c r="CB403" s="561">
        <v>0</v>
      </c>
      <c r="CC403" s="561">
        <v>0</v>
      </c>
      <c r="CD403" s="561">
        <v>0</v>
      </c>
      <c r="CE403" s="561">
        <v>0</v>
      </c>
      <c r="CF403" s="561">
        <v>0</v>
      </c>
      <c r="CG403" s="561">
        <v>0</v>
      </c>
      <c r="CH403" s="561">
        <v>0</v>
      </c>
      <c r="CI403" s="561">
        <v>0</v>
      </c>
      <c r="CJ403" s="561">
        <v>0</v>
      </c>
      <c r="CK403" s="561">
        <v>0</v>
      </c>
      <c r="CL403" s="561">
        <v>0</v>
      </c>
      <c r="CM403" s="561">
        <v>0</v>
      </c>
      <c r="CN403" s="561">
        <v>0</v>
      </c>
      <c r="CO403" s="561">
        <v>0</v>
      </c>
      <c r="CP403" s="561">
        <v>0</v>
      </c>
      <c r="CQ403" s="561">
        <v>0</v>
      </c>
      <c r="CR403" s="561">
        <v>0</v>
      </c>
      <c r="CS403" s="561">
        <v>0</v>
      </c>
      <c r="CT403" s="561">
        <v>0</v>
      </c>
      <c r="CU403" s="561">
        <v>0</v>
      </c>
      <c r="CV403" s="561">
        <v>0</v>
      </c>
      <c r="CW403" s="561">
        <v>0</v>
      </c>
      <c r="CX403" s="561">
        <v>0</v>
      </c>
      <c r="CY403" s="561">
        <v>0</v>
      </c>
      <c r="CZ403" s="561">
        <v>0</v>
      </c>
      <c r="DA403" s="561">
        <v>0</v>
      </c>
      <c r="DB403" s="561">
        <v>0</v>
      </c>
      <c r="DC403" s="561">
        <v>0</v>
      </c>
      <c r="DD403" s="561">
        <v>0</v>
      </c>
      <c r="DE403" s="561">
        <v>0</v>
      </c>
      <c r="DF403" s="561">
        <v>0</v>
      </c>
      <c r="DG403" s="561">
        <v>0</v>
      </c>
      <c r="DH403" s="561">
        <v>184</v>
      </c>
      <c r="DI403" s="561">
        <v>0</v>
      </c>
      <c r="DJ403" s="561">
        <v>0</v>
      </c>
      <c r="DK403" s="561">
        <v>0</v>
      </c>
      <c r="DL403" s="561">
        <v>0</v>
      </c>
      <c r="DM403" s="561">
        <v>0</v>
      </c>
      <c r="DN403" s="561">
        <v>0</v>
      </c>
      <c r="DO403" s="561">
        <v>66</v>
      </c>
      <c r="DP403" s="561">
        <v>0</v>
      </c>
      <c r="DQ403" s="561">
        <v>0</v>
      </c>
      <c r="DR403" s="561">
        <v>0</v>
      </c>
      <c r="DS403" s="561">
        <v>728</v>
      </c>
      <c r="DT403" s="561">
        <v>657</v>
      </c>
      <c r="DU403" s="561">
        <v>1451</v>
      </c>
      <c r="DV403" s="561">
        <v>104</v>
      </c>
      <c r="DW403" s="561">
        <v>0</v>
      </c>
      <c r="DX403" s="561">
        <v>0</v>
      </c>
      <c r="DY403" s="561">
        <v>410</v>
      </c>
      <c r="DZ403" s="561">
        <v>0</v>
      </c>
      <c r="EA403" s="561">
        <v>0</v>
      </c>
      <c r="EB403" s="561">
        <v>634</v>
      </c>
      <c r="EC403" s="561">
        <v>2783</v>
      </c>
      <c r="ED403" s="561">
        <v>411</v>
      </c>
      <c r="EE403" s="561">
        <v>33732</v>
      </c>
      <c r="EF403" s="561">
        <v>360</v>
      </c>
      <c r="EG403" s="561">
        <v>3223</v>
      </c>
      <c r="EH403" s="561">
        <v>17</v>
      </c>
      <c r="EI403" s="561">
        <v>0</v>
      </c>
      <c r="EJ403" s="561">
        <v>3157</v>
      </c>
      <c r="EK403" s="561">
        <v>0</v>
      </c>
      <c r="EL403" s="561">
        <v>0</v>
      </c>
      <c r="EM403" s="561">
        <v>0</v>
      </c>
      <c r="EN403" s="561">
        <v>8206</v>
      </c>
      <c r="EO403" s="561">
        <v>7691</v>
      </c>
      <c r="EP403" s="561">
        <v>3298</v>
      </c>
      <c r="EQ403" s="561">
        <v>714</v>
      </c>
      <c r="ER403" s="561">
        <v>8266</v>
      </c>
      <c r="ES403" s="561" t="s">
        <v>4565</v>
      </c>
      <c r="ET403" s="561">
        <v>10544</v>
      </c>
      <c r="EU403" s="561">
        <v>0</v>
      </c>
      <c r="EV403" s="561">
        <v>9</v>
      </c>
      <c r="EW403" s="561">
        <v>0</v>
      </c>
      <c r="EX403" s="561">
        <v>0</v>
      </c>
      <c r="EY403" s="561">
        <v>-132</v>
      </c>
      <c r="EZ403" s="561">
        <v>1893</v>
      </c>
      <c r="FA403" s="561">
        <v>14269</v>
      </c>
      <c r="FB403" s="561">
        <v>0</v>
      </c>
      <c r="FC403" s="561">
        <v>4</v>
      </c>
      <c r="FD403" s="561">
        <v>30</v>
      </c>
      <c r="FE403" s="561">
        <v>432.89</v>
      </c>
      <c r="FF403" s="561">
        <v>147</v>
      </c>
      <c r="FG403" s="561">
        <v>340</v>
      </c>
      <c r="FH403" s="561">
        <v>0</v>
      </c>
      <c r="FI403" s="561">
        <v>0</v>
      </c>
      <c r="FJ403" s="561">
        <v>-1087</v>
      </c>
      <c r="FK403" s="561">
        <v>1623</v>
      </c>
      <c r="FL403" s="561">
        <v>0</v>
      </c>
      <c r="FM403" s="561">
        <v>513</v>
      </c>
      <c r="FN403" s="561">
        <v>0</v>
      </c>
      <c r="FO403" s="561">
        <v>2002.89</v>
      </c>
      <c r="FP403" s="561">
        <v>0</v>
      </c>
      <c r="FQ403" s="561">
        <v>125</v>
      </c>
      <c r="FR403" s="561">
        <v>0</v>
      </c>
      <c r="FS403" s="561">
        <v>0</v>
      </c>
      <c r="FT403" s="561">
        <v>261.89</v>
      </c>
      <c r="FU403" s="561">
        <v>377</v>
      </c>
      <c r="FV403" s="561">
        <v>0</v>
      </c>
      <c r="FW403" s="561">
        <v>82</v>
      </c>
      <c r="FX403" s="561">
        <v>0</v>
      </c>
      <c r="FY403" s="561">
        <v>0</v>
      </c>
      <c r="FZ403" s="561">
        <v>38</v>
      </c>
      <c r="GA403" s="561">
        <v>301.95</v>
      </c>
      <c r="GB403" s="561">
        <v>47.32</v>
      </c>
      <c r="GC403" s="561">
        <v>135.5</v>
      </c>
      <c r="GD403" s="561">
        <v>0</v>
      </c>
      <c r="GE403" s="561">
        <v>177.86</v>
      </c>
      <c r="GF403" s="561">
        <v>330</v>
      </c>
      <c r="GG403" s="561">
        <v>0</v>
      </c>
      <c r="GH403" s="561">
        <v>87</v>
      </c>
      <c r="GI403" s="561">
        <v>0</v>
      </c>
      <c r="GJ403" s="561">
        <v>0</v>
      </c>
      <c r="GK403" s="561">
        <v>0</v>
      </c>
      <c r="GL403" s="561">
        <v>1396</v>
      </c>
      <c r="GM403" s="561">
        <v>2178</v>
      </c>
      <c r="GN403" s="561">
        <v>0</v>
      </c>
      <c r="GO403" s="561">
        <v>0</v>
      </c>
      <c r="GP403" s="561">
        <v>2256</v>
      </c>
      <c r="GQ403" s="561">
        <v>0</v>
      </c>
      <c r="GR403" s="561">
        <v>0</v>
      </c>
      <c r="GS403" s="561">
        <v>7793.52</v>
      </c>
      <c r="GT403" s="561">
        <v>26</v>
      </c>
      <c r="GU403" s="561">
        <v>251</v>
      </c>
      <c r="GV403" s="561">
        <v>1773</v>
      </c>
      <c r="GW403" s="561">
        <v>0</v>
      </c>
      <c r="GX403" s="561">
        <v>452</v>
      </c>
      <c r="GY403" s="561">
        <v>46</v>
      </c>
      <c r="GZ403" s="561">
        <v>166</v>
      </c>
      <c r="HA403" s="561">
        <v>0</v>
      </c>
      <c r="HB403" s="561">
        <v>92</v>
      </c>
      <c r="HC403" s="561">
        <v>606</v>
      </c>
      <c r="HD403" s="561">
        <v>3386</v>
      </c>
      <c r="HE403" s="561">
        <v>466</v>
      </c>
      <c r="HF403" s="561">
        <v>13182.41</v>
      </c>
      <c r="HG403" s="561">
        <v>492</v>
      </c>
      <c r="HH403" s="561">
        <v>0</v>
      </c>
      <c r="HI403" s="561">
        <v>0</v>
      </c>
      <c r="HJ403" s="561">
        <v>0</v>
      </c>
      <c r="HK403" s="561">
        <v>0</v>
      </c>
      <c r="HL403" s="561">
        <v>0</v>
      </c>
      <c r="HM403" s="561">
        <v>0</v>
      </c>
      <c r="HN403" s="561">
        <v>0</v>
      </c>
      <c r="HO403" s="561">
        <v>4445</v>
      </c>
      <c r="HP403" s="561">
        <v>1400</v>
      </c>
      <c r="HQ403" s="561">
        <v>0</v>
      </c>
      <c r="HR403" s="561">
        <v>0</v>
      </c>
      <c r="HS403" s="561">
        <v>0</v>
      </c>
      <c r="HT403" s="561">
        <v>151.30000000000001</v>
      </c>
      <c r="HU403" s="561">
        <v>-2.91</v>
      </c>
      <c r="HV403" s="561">
        <v>0</v>
      </c>
      <c r="HW403" s="561">
        <v>440</v>
      </c>
      <c r="HX403" s="561">
        <v>216</v>
      </c>
      <c r="HY403" s="561">
        <v>45</v>
      </c>
      <c r="HZ403" s="561">
        <v>-57</v>
      </c>
      <c r="IA403" s="561">
        <v>0</v>
      </c>
      <c r="IB403" s="561">
        <v>606</v>
      </c>
      <c r="IC403" s="561">
        <v>0</v>
      </c>
      <c r="ID403" s="561">
        <v>0</v>
      </c>
      <c r="IE403" s="561">
        <v>121</v>
      </c>
      <c r="IF403" s="561">
        <v>0</v>
      </c>
      <c r="IG403" s="561">
        <v>0</v>
      </c>
      <c r="IH403" s="561">
        <v>-1678</v>
      </c>
      <c r="II403" s="561">
        <v>5686.39</v>
      </c>
      <c r="IJ403" s="561">
        <v>857</v>
      </c>
      <c r="IK403" s="561">
        <v>1714</v>
      </c>
      <c r="IL403" s="561">
        <v>7345</v>
      </c>
      <c r="IM403" s="561">
        <v>0</v>
      </c>
      <c r="IN403" s="561">
        <v>2946</v>
      </c>
      <c r="IO403" s="561">
        <v>430</v>
      </c>
      <c r="IP403" s="561">
        <v>76</v>
      </c>
      <c r="IQ403" s="561">
        <v>76</v>
      </c>
      <c r="IR403" s="561">
        <v>0</v>
      </c>
      <c r="IS403" s="561">
        <v>-2380.1999999999998</v>
      </c>
      <c r="IT403" s="561">
        <v>0</v>
      </c>
      <c r="IU403" s="561">
        <v>0</v>
      </c>
      <c r="IV403" s="561">
        <v>0</v>
      </c>
      <c r="IW403" s="561">
        <v>2783</v>
      </c>
      <c r="IX403" s="561">
        <v>2002.89</v>
      </c>
      <c r="IY403" s="561">
        <v>7793.52</v>
      </c>
      <c r="IZ403" s="561">
        <v>3386</v>
      </c>
      <c r="JA403" s="561">
        <v>0</v>
      </c>
      <c r="JB403" s="561">
        <v>0</v>
      </c>
      <c r="JC403" s="561">
        <v>5686.39</v>
      </c>
      <c r="JD403" s="561">
        <v>76</v>
      </c>
      <c r="JE403" s="561">
        <v>19347.599999999999</v>
      </c>
      <c r="JF403" s="561">
        <v>8841</v>
      </c>
      <c r="JG403" s="561">
        <v>0</v>
      </c>
      <c r="JH403" s="561">
        <v>8775</v>
      </c>
      <c r="JI403" s="561">
        <v>0</v>
      </c>
      <c r="JJ403" s="561">
        <v>101</v>
      </c>
      <c r="JK403" s="561">
        <v>4403</v>
      </c>
      <c r="JL403" s="561">
        <v>0</v>
      </c>
      <c r="JM403" s="561">
        <v>0</v>
      </c>
      <c r="JN403" s="561">
        <v>0</v>
      </c>
      <c r="JO403" s="561">
        <v>0</v>
      </c>
      <c r="JP403" s="561">
        <v>0</v>
      </c>
      <c r="JQ403" s="561">
        <v>0</v>
      </c>
      <c r="JR403" s="561">
        <v>0</v>
      </c>
      <c r="JS403" s="561">
        <v>0</v>
      </c>
      <c r="JT403" s="561">
        <v>0</v>
      </c>
      <c r="JU403" s="561">
        <v>0.8</v>
      </c>
      <c r="JV403" s="561">
        <v>41468.400000000001</v>
      </c>
      <c r="JW403" s="561">
        <v>0</v>
      </c>
      <c r="JX403" s="561">
        <v>2832</v>
      </c>
      <c r="JY403" s="561">
        <v>0</v>
      </c>
      <c r="JZ403" s="561">
        <v>0</v>
      </c>
      <c r="KA403" s="561">
        <v>0</v>
      </c>
      <c r="KB403" s="561">
        <v>-46.25</v>
      </c>
      <c r="KC403" s="561">
        <v>1796</v>
      </c>
      <c r="KD403" s="561">
        <v>0</v>
      </c>
      <c r="KE403" s="561">
        <v>0</v>
      </c>
      <c r="KF403" s="561">
        <v>114</v>
      </c>
      <c r="KG403" s="561">
        <v>46164.15</v>
      </c>
      <c r="KH403" s="561">
        <v>-4869</v>
      </c>
      <c r="KI403" s="561">
        <v>0</v>
      </c>
      <c r="KJ403" s="561">
        <v>0</v>
      </c>
      <c r="KK403" s="561">
        <v>0</v>
      </c>
      <c r="KL403" s="561">
        <v>-17809</v>
      </c>
      <c r="KM403" s="561">
        <v>0</v>
      </c>
      <c r="KN403" s="561">
        <v>-3474</v>
      </c>
      <c r="KO403" s="561">
        <v>0</v>
      </c>
      <c r="KP403" s="561">
        <v>0</v>
      </c>
      <c r="KQ403" s="561">
        <v>0</v>
      </c>
      <c r="KR403" s="561">
        <v>20012.150000000001</v>
      </c>
      <c r="KS403" s="561">
        <v>0</v>
      </c>
      <c r="KT403" s="561">
        <v>-5216</v>
      </c>
      <c r="KU403" s="561">
        <v>14796.15</v>
      </c>
      <c r="KV403" s="561">
        <v>0</v>
      </c>
      <c r="KW403" s="561">
        <v>0</v>
      </c>
      <c r="KX403" s="561">
        <v>0</v>
      </c>
      <c r="KY403" s="561">
        <v>0</v>
      </c>
      <c r="KZ403" s="561">
        <v>8199</v>
      </c>
      <c r="LA403" s="561">
        <v>711</v>
      </c>
      <c r="LB403" s="561">
        <v>-166</v>
      </c>
      <c r="LC403" s="561">
        <v>0</v>
      </c>
      <c r="LD403" s="561">
        <v>-9357</v>
      </c>
      <c r="LE403" s="561">
        <v>50</v>
      </c>
      <c r="LF403" s="561">
        <v>0</v>
      </c>
      <c r="LG403" s="561">
        <v>14233</v>
      </c>
      <c r="LH403" s="561">
        <v>0</v>
      </c>
      <c r="LI403" s="561">
        <v>0</v>
      </c>
      <c r="LJ403" s="561">
        <v>0</v>
      </c>
      <c r="LK403" s="561">
        <v>0</v>
      </c>
      <c r="LL403" s="561">
        <v>41305</v>
      </c>
      <c r="LM403" s="561">
        <v>2789</v>
      </c>
      <c r="LN403" s="561">
        <v>0</v>
      </c>
      <c r="LO403" s="561">
        <v>0</v>
      </c>
      <c r="LP403" s="561">
        <v>0</v>
      </c>
      <c r="LQ403" s="561">
        <v>0</v>
      </c>
      <c r="LR403" s="561">
        <v>49504</v>
      </c>
      <c r="LS403" s="561">
        <v>3500</v>
      </c>
      <c r="LT403" s="561">
        <v>0</v>
      </c>
      <c r="LU403" s="561">
        <v>15</v>
      </c>
      <c r="LV403" s="561">
        <v>0</v>
      </c>
      <c r="LW403" s="561">
        <v>0</v>
      </c>
      <c r="LX403" s="561">
        <v>-4670</v>
      </c>
      <c r="LY403" s="561">
        <v>2882</v>
      </c>
      <c r="LZ403" s="561">
        <v>-5578</v>
      </c>
      <c r="MA403" s="561">
        <v>0</v>
      </c>
      <c r="MB403" s="561">
        <v>0</v>
      </c>
      <c r="MC403" s="561">
        <v>40489</v>
      </c>
      <c r="MD403" s="561">
        <v>38596</v>
      </c>
      <c r="ME403" s="561">
        <v>1893</v>
      </c>
      <c r="MF403" s="561">
        <v>14269</v>
      </c>
      <c r="MG403" s="561">
        <v>16162</v>
      </c>
      <c r="MH403" s="561">
        <v>2616</v>
      </c>
      <c r="MI403" s="561">
        <v>4482</v>
      </c>
      <c r="MJ403" s="561">
        <v>7098</v>
      </c>
      <c r="MK403" s="561">
        <v>0</v>
      </c>
      <c r="ML403" s="561">
        <v>0</v>
      </c>
      <c r="MM403" s="561">
        <v>37119</v>
      </c>
      <c r="MN403" s="561">
        <v>4977</v>
      </c>
      <c r="MO403" s="561">
        <v>7408</v>
      </c>
      <c r="MP403" s="561">
        <v>0</v>
      </c>
      <c r="MQ403" s="561">
        <v>0</v>
      </c>
      <c r="MR403" s="561">
        <v>-2380.1999999999998</v>
      </c>
      <c r="MS403" s="561">
        <v>0</v>
      </c>
      <c r="MT403" s="561">
        <v>0</v>
      </c>
      <c r="MU403" s="561">
        <v>0</v>
      </c>
      <c r="MV403" s="561">
        <v>2783</v>
      </c>
      <c r="MW403" s="561">
        <v>2002.89</v>
      </c>
      <c r="MX403" s="561">
        <v>7793.52</v>
      </c>
      <c r="MY403" s="561">
        <v>3386</v>
      </c>
      <c r="MZ403" s="561">
        <v>0</v>
      </c>
      <c r="NA403" s="561">
        <v>0</v>
      </c>
      <c r="NB403" s="561">
        <v>5686.39</v>
      </c>
      <c r="NC403" s="561">
        <v>76</v>
      </c>
      <c r="ND403" s="561">
        <v>19347.599999999999</v>
      </c>
      <c r="NE403" s="561">
        <v>0</v>
      </c>
      <c r="NF403" s="561">
        <v>0</v>
      </c>
      <c r="NG403" s="561">
        <v>0</v>
      </c>
      <c r="NH403" s="561">
        <v>0</v>
      </c>
      <c r="NI403" s="561">
        <v>0</v>
      </c>
      <c r="NJ403" s="561">
        <v>0</v>
      </c>
      <c r="NK403" s="561">
        <v>0</v>
      </c>
      <c r="NL403" s="561">
        <v>0</v>
      </c>
      <c r="NM403" s="561">
        <v>0</v>
      </c>
      <c r="NN403" s="561">
        <v>0</v>
      </c>
      <c r="NO403" s="561">
        <v>0</v>
      </c>
      <c r="NP403" s="561">
        <v>0</v>
      </c>
      <c r="NQ403" s="561">
        <v>0</v>
      </c>
      <c r="NR403" s="561">
        <v>0</v>
      </c>
      <c r="NS403" s="561">
        <v>0</v>
      </c>
      <c r="NT403" s="561">
        <v>0</v>
      </c>
      <c r="NU403" s="561">
        <v>0</v>
      </c>
      <c r="NV403" s="561">
        <v>0</v>
      </c>
      <c r="NW403" s="561">
        <v>0</v>
      </c>
      <c r="NX403" s="561">
        <v>0</v>
      </c>
      <c r="NY403" s="561">
        <v>0</v>
      </c>
      <c r="NZ403" s="561">
        <v>0</v>
      </c>
      <c r="OA403" s="561">
        <v>0</v>
      </c>
      <c r="OB403" s="561">
        <v>0</v>
      </c>
      <c r="OC403" s="561">
        <v>0</v>
      </c>
      <c r="OD403" s="561">
        <v>0</v>
      </c>
      <c r="OE403" s="561">
        <v>0</v>
      </c>
      <c r="OF403" s="561">
        <v>0</v>
      </c>
      <c r="OG403" s="561">
        <v>0</v>
      </c>
      <c r="OH403" s="561">
        <v>0</v>
      </c>
      <c r="OI403" s="561">
        <v>0</v>
      </c>
      <c r="OJ403" s="561">
        <v>0</v>
      </c>
      <c r="OK403" s="561">
        <v>0</v>
      </c>
      <c r="OL403" s="561">
        <v>0</v>
      </c>
      <c r="OM403" s="561">
        <v>0</v>
      </c>
      <c r="ON403" s="561">
        <v>0</v>
      </c>
      <c r="OO403" s="561">
        <v>0</v>
      </c>
      <c r="OP403" s="561">
        <v>0</v>
      </c>
      <c r="OQ403" s="561">
        <v>0</v>
      </c>
      <c r="OR403" s="561">
        <v>0</v>
      </c>
      <c r="OS403" s="561">
        <v>0</v>
      </c>
      <c r="OT403" s="561">
        <v>0</v>
      </c>
      <c r="OU403" s="561">
        <v>0</v>
      </c>
      <c r="OV403" s="561">
        <v>0</v>
      </c>
      <c r="OW403" s="561">
        <v>0</v>
      </c>
      <c r="OX403" s="561">
        <v>0</v>
      </c>
      <c r="OY403" s="561">
        <v>0</v>
      </c>
      <c r="OZ403" s="561">
        <v>0</v>
      </c>
      <c r="PA403" s="561">
        <v>0</v>
      </c>
      <c r="PB403" s="561">
        <v>0</v>
      </c>
      <c r="PC403" s="561">
        <v>0</v>
      </c>
      <c r="PD403" s="561">
        <v>0</v>
      </c>
      <c r="PE403" s="561">
        <v>0</v>
      </c>
      <c r="PF403" s="561">
        <v>0</v>
      </c>
      <c r="PG403" s="561">
        <v>0</v>
      </c>
      <c r="PH403" s="561">
        <v>0</v>
      </c>
      <c r="PI403" s="561">
        <v>0</v>
      </c>
      <c r="PJ403" s="561">
        <v>0</v>
      </c>
    </row>
    <row r="404" spans="1:426" ht="14" x14ac:dyDescent="0.3">
      <c r="A404" t="s">
        <v>3653</v>
      </c>
      <c r="B404" t="s">
        <v>3654</v>
      </c>
      <c r="C404" t="s">
        <v>4687</v>
      </c>
      <c r="E404" t="s">
        <v>385</v>
      </c>
      <c r="F404" s="561">
        <v>20346.169999999998</v>
      </c>
      <c r="G404" s="561">
        <v>48015.93</v>
      </c>
      <c r="H404" s="561">
        <v>11011.46</v>
      </c>
      <c r="I404" s="561">
        <v>24249.25</v>
      </c>
      <c r="J404" s="561">
        <v>2194.27</v>
      </c>
      <c r="K404" s="561">
        <v>12423.36</v>
      </c>
      <c r="L404" s="561">
        <v>118240.44</v>
      </c>
      <c r="M404" s="561">
        <v>711</v>
      </c>
      <c r="N404" s="561">
        <v>-518.83000000000004</v>
      </c>
      <c r="O404" s="561">
        <v>-937.57</v>
      </c>
      <c r="P404" s="561">
        <v>274.97000000000003</v>
      </c>
      <c r="Q404" s="561">
        <v>515.55999999999995</v>
      </c>
      <c r="R404" s="561">
        <v>-5.14</v>
      </c>
      <c r="S404" s="561">
        <v>309.33999999999997</v>
      </c>
      <c r="T404" s="561">
        <v>2337.2199999999998</v>
      </c>
      <c r="U404" s="561">
        <v>358.73</v>
      </c>
      <c r="V404" s="561">
        <v>367.62</v>
      </c>
      <c r="W404" s="561">
        <v>0</v>
      </c>
      <c r="X404" s="561">
        <v>0</v>
      </c>
      <c r="Y404" s="561">
        <v>9.61</v>
      </c>
      <c r="Z404" s="561">
        <v>106.56</v>
      </c>
      <c r="AA404" s="561">
        <v>-344.4</v>
      </c>
      <c r="AB404" s="561">
        <v>-7340.06</v>
      </c>
      <c r="AC404" s="561">
        <v>0</v>
      </c>
      <c r="AD404" s="561">
        <v>0</v>
      </c>
      <c r="AE404" s="561">
        <v>2698.07</v>
      </c>
      <c r="AF404" s="561">
        <v>0</v>
      </c>
      <c r="AG404" s="561">
        <v>0</v>
      </c>
      <c r="AH404" s="561">
        <v>-2.04</v>
      </c>
      <c r="AI404" s="561">
        <v>0</v>
      </c>
      <c r="AJ404" s="561">
        <v>-2170.36</v>
      </c>
      <c r="AK404" s="561">
        <v>91</v>
      </c>
      <c r="AL404" s="561">
        <v>0</v>
      </c>
      <c r="AM404" s="561">
        <v>0</v>
      </c>
      <c r="AN404" s="561">
        <v>0</v>
      </c>
      <c r="AO404" s="561">
        <v>0</v>
      </c>
      <c r="AP404" s="561">
        <v>0</v>
      </c>
      <c r="AQ404" s="561">
        <v>0</v>
      </c>
      <c r="AR404" s="561">
        <v>0</v>
      </c>
      <c r="AS404" s="561">
        <v>2716.28</v>
      </c>
      <c r="AT404" s="561">
        <v>737.7</v>
      </c>
      <c r="AU404" s="561">
        <v>0</v>
      </c>
      <c r="AV404" s="561">
        <v>0</v>
      </c>
      <c r="AW404" s="561">
        <v>0</v>
      </c>
      <c r="AX404" s="561">
        <v>390.01</v>
      </c>
      <c r="AY404" s="561">
        <v>14863.6</v>
      </c>
      <c r="AZ404" s="561">
        <v>-8.09</v>
      </c>
      <c r="BA404" s="561">
        <v>2002.55</v>
      </c>
      <c r="BB404" s="561">
        <v>593.28</v>
      </c>
      <c r="BC404" s="561">
        <v>10764.51</v>
      </c>
      <c r="BD404" s="561">
        <v>1604.52</v>
      </c>
      <c r="BE404" s="561">
        <v>2413.0700000000002</v>
      </c>
      <c r="BF404" s="561">
        <v>32623.45</v>
      </c>
      <c r="BG404" s="561">
        <v>0</v>
      </c>
      <c r="BH404" s="561">
        <v>1423</v>
      </c>
      <c r="BI404" s="561">
        <v>9362</v>
      </c>
      <c r="BJ404" s="561">
        <v>0</v>
      </c>
      <c r="BK404" s="561">
        <v>14</v>
      </c>
      <c r="BL404" s="561">
        <v>0</v>
      </c>
      <c r="BM404" s="561">
        <v>9731</v>
      </c>
      <c r="BN404" s="561">
        <v>16516</v>
      </c>
      <c r="BO404" s="561">
        <v>903</v>
      </c>
      <c r="BP404" s="561">
        <v>5260</v>
      </c>
      <c r="BQ404" s="561">
        <v>227</v>
      </c>
      <c r="BR404" s="561">
        <v>0</v>
      </c>
      <c r="BS404" s="561">
        <v>0</v>
      </c>
      <c r="BT404" s="561">
        <v>266</v>
      </c>
      <c r="BU404" s="561">
        <v>1001.35</v>
      </c>
      <c r="BV404" s="561">
        <v>835</v>
      </c>
      <c r="BW404" s="561">
        <v>7102</v>
      </c>
      <c r="BX404" s="561">
        <v>2</v>
      </c>
      <c r="BY404" s="561">
        <v>3087.88</v>
      </c>
      <c r="BZ404" s="561">
        <v>55730.23</v>
      </c>
      <c r="CA404" s="561">
        <v>0</v>
      </c>
      <c r="CB404" s="561">
        <v>546.76</v>
      </c>
      <c r="CC404" s="561">
        <v>277.63</v>
      </c>
      <c r="CD404" s="561">
        <v>104.24</v>
      </c>
      <c r="CE404" s="561">
        <v>215.78</v>
      </c>
      <c r="CF404" s="561">
        <v>108.22</v>
      </c>
      <c r="CG404" s="561">
        <v>67.72</v>
      </c>
      <c r="CH404" s="561">
        <v>125.43</v>
      </c>
      <c r="CI404" s="561">
        <v>50.17</v>
      </c>
      <c r="CJ404" s="561">
        <v>50.17</v>
      </c>
      <c r="CK404" s="561">
        <v>67.64</v>
      </c>
      <c r="CL404" s="561">
        <v>74.010000000000005</v>
      </c>
      <c r="CM404" s="561">
        <v>407.85</v>
      </c>
      <c r="CN404" s="561">
        <v>407.85</v>
      </c>
      <c r="CO404" s="561">
        <v>134.32</v>
      </c>
      <c r="CP404" s="561">
        <v>86.16</v>
      </c>
      <c r="CQ404" s="561">
        <v>148.94999999999999</v>
      </c>
      <c r="CR404" s="561">
        <v>165.17</v>
      </c>
      <c r="CS404" s="561">
        <v>165.19</v>
      </c>
      <c r="CT404" s="561">
        <v>254.68</v>
      </c>
      <c r="CU404" s="561">
        <v>1503.26</v>
      </c>
      <c r="CV404" s="561">
        <v>66.09</v>
      </c>
      <c r="CW404" s="561">
        <v>13.54</v>
      </c>
      <c r="CX404" s="561">
        <v>274.41000000000003</v>
      </c>
      <c r="CY404" s="561">
        <v>464.15</v>
      </c>
      <c r="CZ404" s="561">
        <v>5779.39</v>
      </c>
      <c r="DA404" s="561">
        <v>273</v>
      </c>
      <c r="DB404" s="561">
        <v>0</v>
      </c>
      <c r="DC404" s="561">
        <v>0</v>
      </c>
      <c r="DD404" s="561">
        <v>0</v>
      </c>
      <c r="DE404" s="561">
        <v>0</v>
      </c>
      <c r="DF404" s="561">
        <v>0</v>
      </c>
      <c r="DG404" s="561">
        <v>0</v>
      </c>
      <c r="DH404" s="561">
        <v>1716.41</v>
      </c>
      <c r="DI404" s="561">
        <v>0</v>
      </c>
      <c r="DJ404" s="561">
        <v>0</v>
      </c>
      <c r="DK404" s="561">
        <v>0</v>
      </c>
      <c r="DL404" s="561">
        <v>6149.11</v>
      </c>
      <c r="DM404" s="561">
        <v>0</v>
      </c>
      <c r="DN404" s="561">
        <v>0</v>
      </c>
      <c r="DO404" s="561">
        <v>0</v>
      </c>
      <c r="DP404" s="561">
        <v>38.83</v>
      </c>
      <c r="DQ404" s="561">
        <v>0</v>
      </c>
      <c r="DR404" s="561">
        <v>0</v>
      </c>
      <c r="DS404" s="561">
        <v>0</v>
      </c>
      <c r="DT404" s="561">
        <v>648.34</v>
      </c>
      <c r="DU404" s="561">
        <v>6836.28</v>
      </c>
      <c r="DV404" s="561">
        <v>199.25</v>
      </c>
      <c r="DW404" s="561">
        <v>0</v>
      </c>
      <c r="DX404" s="561">
        <v>0</v>
      </c>
      <c r="DY404" s="561">
        <v>1163.33</v>
      </c>
      <c r="DZ404" s="561">
        <v>0</v>
      </c>
      <c r="EA404" s="561">
        <v>1325.72</v>
      </c>
      <c r="EB404" s="561">
        <v>727.09</v>
      </c>
      <c r="EC404" s="561">
        <v>11968.08</v>
      </c>
      <c r="ED404" s="561">
        <v>798</v>
      </c>
      <c r="EE404" s="561">
        <v>0</v>
      </c>
      <c r="EF404" s="561">
        <v>0</v>
      </c>
      <c r="EG404" s="561">
        <v>0</v>
      </c>
      <c r="EH404" s="561">
        <v>0</v>
      </c>
      <c r="EI404" s="561">
        <v>0</v>
      </c>
      <c r="EJ404" s="561">
        <v>0</v>
      </c>
      <c r="EK404" s="561">
        <v>0</v>
      </c>
      <c r="EL404" s="561">
        <v>0</v>
      </c>
      <c r="EM404" s="561">
        <v>0</v>
      </c>
      <c r="EN404" s="561">
        <v>0</v>
      </c>
      <c r="EO404" s="561">
        <v>0</v>
      </c>
      <c r="EP404" s="561">
        <v>0</v>
      </c>
      <c r="EQ404" s="561">
        <v>0</v>
      </c>
      <c r="ER404" s="561">
        <v>0</v>
      </c>
      <c r="ES404" s="561" t="s">
        <v>4565</v>
      </c>
      <c r="ET404" s="561">
        <v>0</v>
      </c>
      <c r="EU404" s="561">
        <v>0</v>
      </c>
      <c r="EV404" s="561">
        <v>0</v>
      </c>
      <c r="EW404" s="561">
        <v>0</v>
      </c>
      <c r="EX404" s="561">
        <v>0</v>
      </c>
      <c r="EY404" s="561">
        <v>0</v>
      </c>
      <c r="EZ404" s="561">
        <v>0</v>
      </c>
      <c r="FA404" s="561">
        <v>0</v>
      </c>
      <c r="FB404" s="561">
        <v>273.29000000000002</v>
      </c>
      <c r="FC404" s="561">
        <v>1.74</v>
      </c>
      <c r="FD404" s="561">
        <v>16.38</v>
      </c>
      <c r="FE404" s="561">
        <v>78.38</v>
      </c>
      <c r="FF404" s="561">
        <v>0</v>
      </c>
      <c r="FG404" s="561">
        <v>24.2</v>
      </c>
      <c r="FH404" s="561">
        <v>0</v>
      </c>
      <c r="FI404" s="561">
        <v>0</v>
      </c>
      <c r="FJ404" s="561">
        <v>-2349.2199999999998</v>
      </c>
      <c r="FK404" s="561">
        <v>2583.19</v>
      </c>
      <c r="FL404" s="561">
        <v>0</v>
      </c>
      <c r="FM404" s="561">
        <v>14.52</v>
      </c>
      <c r="FN404" s="561">
        <v>1425.58</v>
      </c>
      <c r="FO404" s="561">
        <v>2068.06</v>
      </c>
      <c r="FP404" s="561">
        <v>0</v>
      </c>
      <c r="FQ404" s="561">
        <v>-390.96</v>
      </c>
      <c r="FR404" s="561">
        <v>295.61</v>
      </c>
      <c r="FS404" s="561">
        <v>-8.33</v>
      </c>
      <c r="FT404" s="561">
        <v>-4.13</v>
      </c>
      <c r="FU404" s="561">
        <v>1155.28</v>
      </c>
      <c r="FV404" s="561">
        <v>0.17</v>
      </c>
      <c r="FW404" s="561">
        <v>0</v>
      </c>
      <c r="FX404" s="561">
        <v>0</v>
      </c>
      <c r="FY404" s="561">
        <v>0</v>
      </c>
      <c r="FZ404" s="561">
        <v>21.96</v>
      </c>
      <c r="GA404" s="561">
        <v>22.34</v>
      </c>
      <c r="GB404" s="561">
        <v>21.21</v>
      </c>
      <c r="GC404" s="561">
        <v>-397.48</v>
      </c>
      <c r="GD404" s="561">
        <v>0</v>
      </c>
      <c r="GE404" s="561">
        <v>492.1</v>
      </c>
      <c r="GF404" s="561">
        <v>1522.89</v>
      </c>
      <c r="GG404" s="561">
        <v>22.75</v>
      </c>
      <c r="GH404" s="561">
        <v>329.6</v>
      </c>
      <c r="GI404" s="561">
        <v>0</v>
      </c>
      <c r="GJ404" s="561">
        <v>0</v>
      </c>
      <c r="GK404" s="561">
        <v>0</v>
      </c>
      <c r="GL404" s="561">
        <v>0</v>
      </c>
      <c r="GM404" s="561">
        <v>2082.19</v>
      </c>
      <c r="GN404" s="561">
        <v>7230.59</v>
      </c>
      <c r="GO404" s="561">
        <v>2.0699999999999998</v>
      </c>
      <c r="GP404" s="561">
        <v>3907.14</v>
      </c>
      <c r="GQ404" s="561">
        <v>0</v>
      </c>
      <c r="GR404" s="561">
        <v>0</v>
      </c>
      <c r="GS404" s="561">
        <v>16305</v>
      </c>
      <c r="GT404" s="561">
        <v>0</v>
      </c>
      <c r="GU404" s="561">
        <v>76.540000000000006</v>
      </c>
      <c r="GV404" s="561">
        <v>2074.4699999999998</v>
      </c>
      <c r="GW404" s="561">
        <v>0</v>
      </c>
      <c r="GX404" s="561">
        <v>526.24</v>
      </c>
      <c r="GY404" s="561">
        <v>910.06</v>
      </c>
      <c r="GZ404" s="561">
        <v>-134.4</v>
      </c>
      <c r="HA404" s="561">
        <v>0</v>
      </c>
      <c r="HB404" s="561">
        <v>17.46</v>
      </c>
      <c r="HC404" s="561">
        <v>154.69</v>
      </c>
      <c r="HD404" s="561">
        <v>3625.06</v>
      </c>
      <c r="HE404" s="561">
        <v>958</v>
      </c>
      <c r="HF404" s="561">
        <v>21998.12</v>
      </c>
      <c r="HG404" s="561">
        <v>958</v>
      </c>
      <c r="HH404" s="561">
        <v>0</v>
      </c>
      <c r="HI404" s="561">
        <v>0</v>
      </c>
      <c r="HJ404" s="561">
        <v>0</v>
      </c>
      <c r="HK404" s="561">
        <v>0</v>
      </c>
      <c r="HL404" s="561">
        <v>0</v>
      </c>
      <c r="HM404" s="561">
        <v>0</v>
      </c>
      <c r="HN404" s="561">
        <v>0</v>
      </c>
      <c r="HO404" s="561">
        <v>3907.69</v>
      </c>
      <c r="HP404" s="561">
        <v>297.75</v>
      </c>
      <c r="HQ404" s="561">
        <v>0</v>
      </c>
      <c r="HR404" s="561">
        <v>0</v>
      </c>
      <c r="HS404" s="561">
        <v>449.51</v>
      </c>
      <c r="HT404" s="561">
        <v>70.17</v>
      </c>
      <c r="HU404" s="561">
        <v>0</v>
      </c>
      <c r="HV404" s="561">
        <v>-326.33</v>
      </c>
      <c r="HW404" s="561">
        <v>611.48</v>
      </c>
      <c r="HX404" s="561">
        <v>494.84</v>
      </c>
      <c r="HY404" s="561">
        <v>0.75</v>
      </c>
      <c r="HZ404" s="561">
        <v>-317.39</v>
      </c>
      <c r="IA404" s="561">
        <v>0</v>
      </c>
      <c r="IB404" s="561">
        <v>0</v>
      </c>
      <c r="IC404" s="561">
        <v>609.09</v>
      </c>
      <c r="ID404" s="561">
        <v>0</v>
      </c>
      <c r="IE404" s="561">
        <v>0</v>
      </c>
      <c r="IF404" s="561">
        <v>0</v>
      </c>
      <c r="IG404" s="561">
        <v>0</v>
      </c>
      <c r="IH404" s="561">
        <v>0</v>
      </c>
      <c r="II404" s="561">
        <v>5797.56</v>
      </c>
      <c r="IJ404" s="561">
        <v>61</v>
      </c>
      <c r="IK404" s="561">
        <v>0</v>
      </c>
      <c r="IL404" s="561">
        <v>0</v>
      </c>
      <c r="IM404" s="561">
        <v>0</v>
      </c>
      <c r="IN404" s="561">
        <v>0</v>
      </c>
      <c r="IO404" s="561">
        <v>0</v>
      </c>
      <c r="IP404" s="561">
        <v>0</v>
      </c>
      <c r="IQ404" s="561">
        <v>0</v>
      </c>
      <c r="IR404" s="561">
        <v>118240.44</v>
      </c>
      <c r="IS404" s="561">
        <v>-2170.36</v>
      </c>
      <c r="IT404" s="561">
        <v>32623.45</v>
      </c>
      <c r="IU404" s="561">
        <v>55730.23</v>
      </c>
      <c r="IV404" s="561">
        <v>5779.39</v>
      </c>
      <c r="IW404" s="561">
        <v>11968.08</v>
      </c>
      <c r="IX404" s="561">
        <v>2068.06</v>
      </c>
      <c r="IY404" s="561">
        <v>16305</v>
      </c>
      <c r="IZ404" s="561">
        <v>3625.06</v>
      </c>
      <c r="JA404" s="561">
        <v>0</v>
      </c>
      <c r="JB404" s="561">
        <v>0</v>
      </c>
      <c r="JC404" s="561">
        <v>5797.56</v>
      </c>
      <c r="JD404" s="561">
        <v>0</v>
      </c>
      <c r="JE404" s="561">
        <v>249966.91</v>
      </c>
      <c r="JF404" s="561">
        <v>18423.419999999998</v>
      </c>
      <c r="JG404" s="561">
        <v>1927.13</v>
      </c>
      <c r="JH404" s="561">
        <v>0</v>
      </c>
      <c r="JI404" s="561">
        <v>0</v>
      </c>
      <c r="JJ404" s="561">
        <v>0</v>
      </c>
      <c r="JK404" s="561">
        <v>2092</v>
      </c>
      <c r="JL404" s="561">
        <v>0</v>
      </c>
      <c r="JM404" s="561">
        <v>0</v>
      </c>
      <c r="JN404" s="561">
        <v>0</v>
      </c>
      <c r="JO404" s="561">
        <v>0</v>
      </c>
      <c r="JP404" s="561">
        <v>-2825.91</v>
      </c>
      <c r="JQ404" s="561">
        <v>0</v>
      </c>
      <c r="JR404" s="561">
        <v>0</v>
      </c>
      <c r="JS404" s="561">
        <v>0</v>
      </c>
      <c r="JT404" s="561">
        <v>479.08</v>
      </c>
      <c r="JU404" s="561">
        <v>0</v>
      </c>
      <c r="JV404" s="561">
        <v>270062.63</v>
      </c>
      <c r="JW404" s="561">
        <v>611.08000000000004</v>
      </c>
      <c r="JX404" s="561">
        <v>0</v>
      </c>
      <c r="JY404" s="561">
        <v>0</v>
      </c>
      <c r="JZ404" s="561">
        <v>-2227.35</v>
      </c>
      <c r="KA404" s="561">
        <v>-19825</v>
      </c>
      <c r="KB404" s="561">
        <v>-58.32</v>
      </c>
      <c r="KC404" s="561">
        <v>6285.8</v>
      </c>
      <c r="KD404" s="561">
        <v>0</v>
      </c>
      <c r="KE404" s="561">
        <v>10189.11</v>
      </c>
      <c r="KF404" s="561">
        <v>0</v>
      </c>
      <c r="KG404" s="561">
        <v>265037.95</v>
      </c>
      <c r="KH404" s="561">
        <v>-2279.66</v>
      </c>
      <c r="KI404" s="561">
        <v>0</v>
      </c>
      <c r="KJ404" s="561">
        <v>0</v>
      </c>
      <c r="KK404" s="561">
        <v>0</v>
      </c>
      <c r="KL404" s="561">
        <v>-20269.310000000001</v>
      </c>
      <c r="KM404" s="561">
        <v>0</v>
      </c>
      <c r="KN404" s="561">
        <v>-629.91</v>
      </c>
      <c r="KO404" s="561">
        <v>0</v>
      </c>
      <c r="KP404" s="561">
        <v>0</v>
      </c>
      <c r="KQ404" s="561">
        <v>-3413</v>
      </c>
      <c r="KR404" s="561">
        <v>238446.07</v>
      </c>
      <c r="KS404" s="561">
        <v>0</v>
      </c>
      <c r="KT404" s="561">
        <v>-127060.52</v>
      </c>
      <c r="KU404" s="561">
        <v>111385.55</v>
      </c>
      <c r="KV404" s="561">
        <v>0</v>
      </c>
      <c r="KW404" s="561">
        <v>-1161</v>
      </c>
      <c r="KX404" s="561">
        <v>0</v>
      </c>
      <c r="KY404" s="561">
        <v>-146</v>
      </c>
      <c r="KZ404" s="561">
        <v>768</v>
      </c>
      <c r="LA404" s="561">
        <v>-169</v>
      </c>
      <c r="LB404" s="561">
        <v>-121</v>
      </c>
      <c r="LC404" s="561">
        <v>0</v>
      </c>
      <c r="LD404" s="561">
        <v>-18076.61</v>
      </c>
      <c r="LE404" s="561">
        <v>499.72</v>
      </c>
      <c r="LF404" s="561">
        <v>0</v>
      </c>
      <c r="LG404" s="561">
        <v>92980</v>
      </c>
      <c r="LH404" s="561">
        <v>2547</v>
      </c>
      <c r="LI404" s="561">
        <v>-2047</v>
      </c>
      <c r="LJ404" s="561">
        <v>946</v>
      </c>
      <c r="LK404" s="561">
        <v>663</v>
      </c>
      <c r="LL404" s="561">
        <v>6003</v>
      </c>
      <c r="LM404" s="561">
        <v>10213</v>
      </c>
      <c r="LN404" s="561">
        <v>1386</v>
      </c>
      <c r="LO404" s="561">
        <v>-5460</v>
      </c>
      <c r="LP404" s="561">
        <v>946</v>
      </c>
      <c r="LQ404" s="561">
        <v>517</v>
      </c>
      <c r="LR404" s="561">
        <v>6771</v>
      </c>
      <c r="LS404" s="561">
        <v>10044</v>
      </c>
      <c r="LT404" s="561">
        <v>-42175</v>
      </c>
      <c r="LU404" s="561">
        <v>12940</v>
      </c>
      <c r="LV404" s="561">
        <v>0</v>
      </c>
      <c r="LW404" s="561">
        <v>0</v>
      </c>
      <c r="LX404" s="561">
        <v>0</v>
      </c>
      <c r="LY404" s="561">
        <v>2189</v>
      </c>
      <c r="LZ404" s="561">
        <v>15129</v>
      </c>
      <c r="MA404" s="561">
        <v>0</v>
      </c>
      <c r="MB404" s="561">
        <v>0</v>
      </c>
      <c r="MC404" s="561">
        <v>0</v>
      </c>
      <c r="MD404" s="561">
        <v>0</v>
      </c>
      <c r="ME404" s="561">
        <v>0</v>
      </c>
      <c r="MF404" s="561">
        <v>0</v>
      </c>
      <c r="MG404" s="561">
        <v>0</v>
      </c>
      <c r="MH404" s="561">
        <v>2200</v>
      </c>
      <c r="MI404" s="561">
        <v>1950</v>
      </c>
      <c r="MJ404" s="561">
        <v>4150</v>
      </c>
      <c r="MK404" s="561">
        <v>0</v>
      </c>
      <c r="ML404" s="561">
        <v>0</v>
      </c>
      <c r="MM404" s="561">
        <v>2795</v>
      </c>
      <c r="MN404" s="561">
        <v>3976</v>
      </c>
      <c r="MO404" s="561">
        <v>0</v>
      </c>
      <c r="MP404" s="561">
        <v>0</v>
      </c>
      <c r="MQ404" s="561">
        <v>118240.44</v>
      </c>
      <c r="MR404" s="561">
        <v>-2170.36</v>
      </c>
      <c r="MS404" s="561">
        <v>32623.45</v>
      </c>
      <c r="MT404" s="561">
        <v>55730.23</v>
      </c>
      <c r="MU404" s="561">
        <v>5779.39</v>
      </c>
      <c r="MV404" s="561">
        <v>11968.08</v>
      </c>
      <c r="MW404" s="561">
        <v>2068.06</v>
      </c>
      <c r="MX404" s="561">
        <v>16305</v>
      </c>
      <c r="MY404" s="561">
        <v>3625.06</v>
      </c>
      <c r="MZ404" s="561">
        <v>0</v>
      </c>
      <c r="NA404" s="561">
        <v>0</v>
      </c>
      <c r="NB404" s="561">
        <v>5797.56</v>
      </c>
      <c r="NC404" s="561">
        <v>0</v>
      </c>
      <c r="ND404" s="561">
        <v>249966.91</v>
      </c>
      <c r="NE404" s="561">
        <v>0</v>
      </c>
      <c r="NF404" s="561">
        <v>0</v>
      </c>
      <c r="NG404" s="561">
        <v>0</v>
      </c>
      <c r="NH404" s="561">
        <v>0</v>
      </c>
      <c r="NI404" s="561">
        <v>0</v>
      </c>
      <c r="NJ404" s="561">
        <v>0</v>
      </c>
      <c r="NK404" s="561">
        <v>0</v>
      </c>
      <c r="NL404" s="561">
        <v>0</v>
      </c>
      <c r="NM404" s="561">
        <v>0</v>
      </c>
      <c r="NN404" s="561">
        <v>0</v>
      </c>
      <c r="NO404" s="561">
        <v>0</v>
      </c>
      <c r="NP404" s="561">
        <v>0</v>
      </c>
      <c r="NQ404" s="561">
        <v>0</v>
      </c>
      <c r="NR404" s="561">
        <v>0</v>
      </c>
      <c r="NS404" s="561">
        <v>55.57</v>
      </c>
      <c r="NT404" s="561">
        <v>-2881.48</v>
      </c>
      <c r="NU404" s="561">
        <v>0</v>
      </c>
      <c r="NV404" s="561">
        <v>0</v>
      </c>
      <c r="NW404" s="561">
        <v>-2825.91</v>
      </c>
      <c r="NX404" s="561">
        <v>0</v>
      </c>
      <c r="NY404" s="561">
        <v>-2825.91</v>
      </c>
      <c r="NZ404" s="561">
        <v>0</v>
      </c>
      <c r="OA404" s="561">
        <v>0</v>
      </c>
      <c r="OB404" s="561">
        <v>0</v>
      </c>
      <c r="OC404" s="561">
        <v>0</v>
      </c>
      <c r="OD404" s="561">
        <v>0</v>
      </c>
      <c r="OE404" s="561">
        <v>0</v>
      </c>
      <c r="OF404" s="561">
        <v>0</v>
      </c>
      <c r="OG404" s="561">
        <v>0</v>
      </c>
      <c r="OH404" s="561">
        <v>0</v>
      </c>
      <c r="OI404" s="561">
        <v>0</v>
      </c>
      <c r="OJ404" s="561">
        <v>0</v>
      </c>
      <c r="OK404" s="561">
        <v>0</v>
      </c>
      <c r="OL404" s="561">
        <v>0</v>
      </c>
      <c r="OM404" s="561">
        <v>0</v>
      </c>
      <c r="ON404" s="561">
        <v>0</v>
      </c>
      <c r="OO404" s="561">
        <v>0</v>
      </c>
      <c r="OP404" s="561">
        <v>0</v>
      </c>
      <c r="OQ404" s="561">
        <v>0</v>
      </c>
      <c r="OR404" s="561">
        <v>0</v>
      </c>
      <c r="OS404" s="561">
        <v>0</v>
      </c>
      <c r="OT404" s="561">
        <v>0</v>
      </c>
      <c r="OU404" s="561">
        <v>0</v>
      </c>
      <c r="OV404" s="561">
        <v>0</v>
      </c>
      <c r="OW404" s="561">
        <v>0</v>
      </c>
      <c r="OX404" s="561">
        <v>0</v>
      </c>
      <c r="OY404" s="561">
        <v>0</v>
      </c>
      <c r="OZ404" s="561">
        <v>0</v>
      </c>
      <c r="PA404" s="561">
        <v>0</v>
      </c>
      <c r="PB404" s="561">
        <v>0</v>
      </c>
      <c r="PC404" s="561">
        <v>0</v>
      </c>
      <c r="PD404" s="561">
        <v>0</v>
      </c>
      <c r="PE404" s="561">
        <v>0</v>
      </c>
      <c r="PF404" s="561">
        <v>0</v>
      </c>
      <c r="PG404" s="561">
        <v>0</v>
      </c>
      <c r="PH404" s="561">
        <v>0</v>
      </c>
      <c r="PI404" s="561">
        <v>0</v>
      </c>
      <c r="PJ404" s="561">
        <v>0</v>
      </c>
    </row>
    <row r="405" spans="1:426" ht="14" x14ac:dyDescent="0.3">
      <c r="A405" t="s">
        <v>3656</v>
      </c>
      <c r="B405" t="s">
        <v>3657</v>
      </c>
      <c r="C405" t="s">
        <v>3658</v>
      </c>
      <c r="E405" t="s">
        <v>379</v>
      </c>
      <c r="F405" s="561">
        <v>38261</v>
      </c>
      <c r="G405" s="561">
        <v>126280</v>
      </c>
      <c r="H405" s="561">
        <v>41048</v>
      </c>
      <c r="I405" s="561">
        <v>55486</v>
      </c>
      <c r="J405" s="561">
        <v>4497</v>
      </c>
      <c r="K405" s="561">
        <v>32181</v>
      </c>
      <c r="L405" s="561">
        <v>297753</v>
      </c>
      <c r="M405" s="561">
        <v>10516</v>
      </c>
      <c r="N405" s="561">
        <v>1599</v>
      </c>
      <c r="O405" s="561">
        <v>393</v>
      </c>
      <c r="P405" s="561">
        <v>796</v>
      </c>
      <c r="Q405" s="561">
        <v>795</v>
      </c>
      <c r="R405" s="561">
        <v>25</v>
      </c>
      <c r="S405" s="561">
        <v>2857</v>
      </c>
      <c r="T405" s="561">
        <v>788</v>
      </c>
      <c r="U405" s="561">
        <v>924</v>
      </c>
      <c r="V405" s="561">
        <v>2760</v>
      </c>
      <c r="W405" s="561">
        <v>0</v>
      </c>
      <c r="X405" s="561">
        <v>0</v>
      </c>
      <c r="Y405" s="561">
        <v>1155</v>
      </c>
      <c r="Z405" s="561">
        <v>72</v>
      </c>
      <c r="AA405" s="561">
        <v>-535</v>
      </c>
      <c r="AB405" s="561">
        <v>-252</v>
      </c>
      <c r="AC405" s="561">
        <v>0</v>
      </c>
      <c r="AD405" s="561">
        <v>0</v>
      </c>
      <c r="AE405" s="561">
        <v>0</v>
      </c>
      <c r="AF405" s="561">
        <v>0</v>
      </c>
      <c r="AG405" s="561">
        <v>0</v>
      </c>
      <c r="AH405" s="561">
        <v>0</v>
      </c>
      <c r="AI405" s="561">
        <v>0</v>
      </c>
      <c r="AJ405" s="561">
        <v>11377</v>
      </c>
      <c r="AK405" s="561">
        <v>302</v>
      </c>
      <c r="AL405" s="561">
        <v>0</v>
      </c>
      <c r="AM405" s="561">
        <v>0</v>
      </c>
      <c r="AN405" s="561">
        <v>0</v>
      </c>
      <c r="AO405" s="561">
        <v>0</v>
      </c>
      <c r="AP405" s="561">
        <v>0</v>
      </c>
      <c r="AQ405" s="561">
        <v>0</v>
      </c>
      <c r="AR405" s="561">
        <v>0</v>
      </c>
      <c r="AS405" s="561">
        <v>0</v>
      </c>
      <c r="AT405" s="561">
        <v>1560</v>
      </c>
      <c r="AU405" s="561">
        <v>0</v>
      </c>
      <c r="AV405" s="561">
        <v>0</v>
      </c>
      <c r="AW405" s="561">
        <v>0</v>
      </c>
      <c r="AX405" s="561">
        <v>4194</v>
      </c>
      <c r="AY405" s="561">
        <v>59596</v>
      </c>
      <c r="AZ405" s="561">
        <v>1251</v>
      </c>
      <c r="BA405" s="561">
        <v>9669</v>
      </c>
      <c r="BB405" s="561">
        <v>2378</v>
      </c>
      <c r="BC405" s="561">
        <v>25338</v>
      </c>
      <c r="BD405" s="561">
        <v>0</v>
      </c>
      <c r="BE405" s="561">
        <v>3455</v>
      </c>
      <c r="BF405" s="561">
        <v>105881</v>
      </c>
      <c r="BG405" s="561">
        <v>3700</v>
      </c>
      <c r="BH405" s="561">
        <v>13963</v>
      </c>
      <c r="BI405" s="561">
        <v>43191</v>
      </c>
      <c r="BJ405" s="561">
        <v>209</v>
      </c>
      <c r="BK405" s="561">
        <v>348</v>
      </c>
      <c r="BL405" s="561">
        <v>619</v>
      </c>
      <c r="BM405" s="561">
        <v>4344</v>
      </c>
      <c r="BN405" s="561">
        <v>52117</v>
      </c>
      <c r="BO405" s="561">
        <v>4601</v>
      </c>
      <c r="BP405" s="561">
        <v>8482</v>
      </c>
      <c r="BQ405" s="561">
        <v>6027</v>
      </c>
      <c r="BR405" s="561">
        <v>216</v>
      </c>
      <c r="BS405" s="561">
        <v>166</v>
      </c>
      <c r="BT405" s="561">
        <v>154</v>
      </c>
      <c r="BU405" s="561">
        <v>1177</v>
      </c>
      <c r="BV405" s="561">
        <v>-467</v>
      </c>
      <c r="BW405" s="561">
        <v>16818</v>
      </c>
      <c r="BX405" s="561">
        <v>202</v>
      </c>
      <c r="BY405" s="561">
        <v>10909</v>
      </c>
      <c r="BZ405" s="561">
        <v>163076</v>
      </c>
      <c r="CA405" s="561">
        <v>2085</v>
      </c>
      <c r="CB405" s="561">
        <v>1378</v>
      </c>
      <c r="CC405" s="561">
        <v>1673</v>
      </c>
      <c r="CD405" s="561">
        <v>167</v>
      </c>
      <c r="CE405" s="561">
        <v>325</v>
      </c>
      <c r="CF405" s="561">
        <v>1393</v>
      </c>
      <c r="CG405" s="561">
        <v>86</v>
      </c>
      <c r="CH405" s="561">
        <v>688</v>
      </c>
      <c r="CI405" s="561">
        <v>436</v>
      </c>
      <c r="CJ405" s="561">
        <v>517</v>
      </c>
      <c r="CK405" s="561">
        <v>1051</v>
      </c>
      <c r="CL405" s="561">
        <v>2391</v>
      </c>
      <c r="CM405" s="561">
        <v>5311</v>
      </c>
      <c r="CN405" s="561">
        <v>4712</v>
      </c>
      <c r="CO405" s="561">
        <v>715</v>
      </c>
      <c r="CP405" s="561">
        <v>647</v>
      </c>
      <c r="CQ405" s="561">
        <v>322</v>
      </c>
      <c r="CR405" s="561">
        <v>1188</v>
      </c>
      <c r="CS405" s="561">
        <v>50</v>
      </c>
      <c r="CT405" s="561">
        <v>3329</v>
      </c>
      <c r="CU405" s="561">
        <v>3955</v>
      </c>
      <c r="CV405" s="561">
        <v>1514</v>
      </c>
      <c r="CW405" s="561">
        <v>356</v>
      </c>
      <c r="CX405" s="561">
        <v>1343</v>
      </c>
      <c r="CY405" s="561">
        <v>4901</v>
      </c>
      <c r="CZ405" s="561">
        <v>38448</v>
      </c>
      <c r="DA405" s="561">
        <v>18</v>
      </c>
      <c r="DB405" s="561">
        <v>0</v>
      </c>
      <c r="DC405" s="561">
        <v>0</v>
      </c>
      <c r="DD405" s="561">
        <v>0</v>
      </c>
      <c r="DE405" s="561">
        <v>0</v>
      </c>
      <c r="DF405" s="561">
        <v>0</v>
      </c>
      <c r="DG405" s="561">
        <v>0</v>
      </c>
      <c r="DH405" s="561">
        <v>907</v>
      </c>
      <c r="DI405" s="561">
        <v>0</v>
      </c>
      <c r="DJ405" s="561">
        <v>426</v>
      </c>
      <c r="DK405" s="561">
        <v>639</v>
      </c>
      <c r="DL405" s="561">
        <v>0</v>
      </c>
      <c r="DM405" s="561">
        <v>0</v>
      </c>
      <c r="DN405" s="561">
        <v>743</v>
      </c>
      <c r="DO405" s="561">
        <v>437</v>
      </c>
      <c r="DP405" s="561">
        <v>-119</v>
      </c>
      <c r="DQ405" s="561">
        <v>0</v>
      </c>
      <c r="DR405" s="561">
        <v>82</v>
      </c>
      <c r="DS405" s="561">
        <v>2614</v>
      </c>
      <c r="DT405" s="561">
        <v>0</v>
      </c>
      <c r="DU405" s="561">
        <v>3757</v>
      </c>
      <c r="DV405" s="561">
        <v>560</v>
      </c>
      <c r="DW405" s="561">
        <v>0</v>
      </c>
      <c r="DX405" s="561">
        <v>0</v>
      </c>
      <c r="DY405" s="561">
        <v>3601</v>
      </c>
      <c r="DZ405" s="561">
        <v>-147</v>
      </c>
      <c r="EA405" s="561">
        <v>4524</v>
      </c>
      <c r="EB405" s="561">
        <v>0</v>
      </c>
      <c r="EC405" s="561">
        <v>14267</v>
      </c>
      <c r="ED405" s="561">
        <v>168</v>
      </c>
      <c r="EE405" s="561">
        <v>0</v>
      </c>
      <c r="EF405" s="561">
        <v>0</v>
      </c>
      <c r="EG405" s="561">
        <v>0</v>
      </c>
      <c r="EH405" s="561">
        <v>0</v>
      </c>
      <c r="EI405" s="561">
        <v>0</v>
      </c>
      <c r="EJ405" s="561">
        <v>0</v>
      </c>
      <c r="EK405" s="561">
        <v>0</v>
      </c>
      <c r="EL405" s="561">
        <v>0</v>
      </c>
      <c r="EM405" s="561">
        <v>0</v>
      </c>
      <c r="EN405" s="561">
        <v>0</v>
      </c>
      <c r="EO405" s="561">
        <v>0</v>
      </c>
      <c r="EP405" s="561">
        <v>0</v>
      </c>
      <c r="EQ405" s="561">
        <v>0</v>
      </c>
      <c r="ER405" s="561">
        <v>0</v>
      </c>
      <c r="ES405" s="561" t="s">
        <v>4565</v>
      </c>
      <c r="ET405" s="561">
        <v>0</v>
      </c>
      <c r="EU405" s="561">
        <v>0</v>
      </c>
      <c r="EV405" s="561">
        <v>0</v>
      </c>
      <c r="EW405" s="561">
        <v>0</v>
      </c>
      <c r="EX405" s="561">
        <v>0</v>
      </c>
      <c r="EY405" s="561">
        <v>0</v>
      </c>
      <c r="EZ405" s="561">
        <v>0</v>
      </c>
      <c r="FA405" s="561">
        <v>0</v>
      </c>
      <c r="FB405" s="561">
        <v>0</v>
      </c>
      <c r="FC405" s="561">
        <v>0</v>
      </c>
      <c r="FD405" s="561">
        <v>167</v>
      </c>
      <c r="FE405" s="561">
        <v>884</v>
      </c>
      <c r="FF405" s="561">
        <v>1347</v>
      </c>
      <c r="FG405" s="561">
        <v>629</v>
      </c>
      <c r="FH405" s="561">
        <v>263</v>
      </c>
      <c r="FI405" s="561">
        <v>395</v>
      </c>
      <c r="FJ405" s="561">
        <v>4956</v>
      </c>
      <c r="FK405" s="561">
        <v>4672</v>
      </c>
      <c r="FL405" s="561">
        <v>-5</v>
      </c>
      <c r="FM405" s="561">
        <v>396</v>
      </c>
      <c r="FN405" s="561">
        <v>4622</v>
      </c>
      <c r="FO405" s="561">
        <v>18326</v>
      </c>
      <c r="FP405" s="561">
        <v>78</v>
      </c>
      <c r="FQ405" s="561">
        <v>-931</v>
      </c>
      <c r="FR405" s="561">
        <v>513</v>
      </c>
      <c r="FS405" s="561">
        <v>141</v>
      </c>
      <c r="FT405" s="561">
        <v>130</v>
      </c>
      <c r="FU405" s="561">
        <v>1232</v>
      </c>
      <c r="FV405" s="561">
        <v>376</v>
      </c>
      <c r="FW405" s="561">
        <v>0</v>
      </c>
      <c r="FX405" s="561">
        <v>0</v>
      </c>
      <c r="FY405" s="561">
        <v>11</v>
      </c>
      <c r="FZ405" s="561">
        <v>14</v>
      </c>
      <c r="GA405" s="561">
        <v>161</v>
      </c>
      <c r="GB405" s="561">
        <v>305</v>
      </c>
      <c r="GC405" s="561">
        <v>171</v>
      </c>
      <c r="GD405" s="561">
        <v>2373</v>
      </c>
      <c r="GE405" s="561">
        <v>375</v>
      </c>
      <c r="GF405" s="561">
        <v>0</v>
      </c>
      <c r="GG405" s="561">
        <v>495</v>
      </c>
      <c r="GH405" s="561">
        <v>0</v>
      </c>
      <c r="GI405" s="561">
        <v>0</v>
      </c>
      <c r="GJ405" s="561">
        <v>0</v>
      </c>
      <c r="GK405" s="561">
        <v>0</v>
      </c>
      <c r="GL405" s="561">
        <v>5552</v>
      </c>
      <c r="GM405" s="561">
        <v>8374</v>
      </c>
      <c r="GN405" s="561">
        <v>0</v>
      </c>
      <c r="GO405" s="561">
        <v>0</v>
      </c>
      <c r="GP405" s="561">
        <v>0</v>
      </c>
      <c r="GQ405" s="561">
        <v>0</v>
      </c>
      <c r="GR405" s="561">
        <v>485</v>
      </c>
      <c r="GS405" s="561">
        <v>19777</v>
      </c>
      <c r="GT405" s="561">
        <v>235</v>
      </c>
      <c r="GU405" s="561">
        <v>329</v>
      </c>
      <c r="GV405" s="561">
        <v>1921</v>
      </c>
      <c r="GW405" s="561">
        <v>0</v>
      </c>
      <c r="GX405" s="561">
        <v>433</v>
      </c>
      <c r="GY405" s="561">
        <v>236</v>
      </c>
      <c r="GZ405" s="561">
        <v>2159</v>
      </c>
      <c r="HA405" s="561">
        <v>0</v>
      </c>
      <c r="HB405" s="561">
        <v>2165</v>
      </c>
      <c r="HC405" s="561">
        <v>4390</v>
      </c>
      <c r="HD405" s="561">
        <v>11633</v>
      </c>
      <c r="HE405" s="561">
        <v>785</v>
      </c>
      <c r="HF405" s="561">
        <v>49736</v>
      </c>
      <c r="HG405" s="561">
        <v>1097</v>
      </c>
      <c r="HH405" s="561">
        <v>0</v>
      </c>
      <c r="HI405" s="561">
        <v>0</v>
      </c>
      <c r="HJ405" s="561">
        <v>0</v>
      </c>
      <c r="HK405" s="561">
        <v>0</v>
      </c>
      <c r="HL405" s="561">
        <v>0</v>
      </c>
      <c r="HM405" s="561">
        <v>0</v>
      </c>
      <c r="HN405" s="561">
        <v>0</v>
      </c>
      <c r="HO405" s="561">
        <v>8386</v>
      </c>
      <c r="HP405" s="561">
        <v>817</v>
      </c>
      <c r="HQ405" s="561">
        <v>0</v>
      </c>
      <c r="HR405" s="561">
        <v>0</v>
      </c>
      <c r="HS405" s="561">
        <v>228</v>
      </c>
      <c r="HT405" s="561">
        <v>187</v>
      </c>
      <c r="HU405" s="561">
        <v>0</v>
      </c>
      <c r="HV405" s="561">
        <v>63</v>
      </c>
      <c r="HW405" s="561">
        <v>500</v>
      </c>
      <c r="HX405" s="561">
        <v>1356</v>
      </c>
      <c r="HY405" s="561">
        <v>0</v>
      </c>
      <c r="HZ405" s="561">
        <v>363</v>
      </c>
      <c r="IA405" s="561">
        <v>6254</v>
      </c>
      <c r="IB405" s="561">
        <v>0</v>
      </c>
      <c r="IC405" s="561">
        <v>860</v>
      </c>
      <c r="ID405" s="561">
        <v>0</v>
      </c>
      <c r="IE405" s="561">
        <v>-1309</v>
      </c>
      <c r="IF405" s="561">
        <v>0</v>
      </c>
      <c r="IG405" s="561">
        <v>0</v>
      </c>
      <c r="IH405" s="561">
        <v>0</v>
      </c>
      <c r="II405" s="561">
        <v>17705</v>
      </c>
      <c r="IJ405" s="561">
        <v>1738</v>
      </c>
      <c r="IK405" s="561">
        <v>4261</v>
      </c>
      <c r="IL405" s="561">
        <v>39675</v>
      </c>
      <c r="IM405" s="561">
        <v>0</v>
      </c>
      <c r="IN405" s="561">
        <v>5335</v>
      </c>
      <c r="IO405" s="561">
        <v>1660</v>
      </c>
      <c r="IP405" s="561">
        <v>0</v>
      </c>
      <c r="IQ405" s="561">
        <v>0</v>
      </c>
      <c r="IR405" s="561">
        <v>297753</v>
      </c>
      <c r="IS405" s="561">
        <v>11377</v>
      </c>
      <c r="IT405" s="561">
        <v>105881</v>
      </c>
      <c r="IU405" s="561">
        <v>163076</v>
      </c>
      <c r="IV405" s="561">
        <v>38448</v>
      </c>
      <c r="IW405" s="561">
        <v>14267</v>
      </c>
      <c r="IX405" s="561">
        <v>18326</v>
      </c>
      <c r="IY405" s="561">
        <v>19777</v>
      </c>
      <c r="IZ405" s="561">
        <v>11633</v>
      </c>
      <c r="JA405" s="561">
        <v>0</v>
      </c>
      <c r="JB405" s="561">
        <v>0</v>
      </c>
      <c r="JC405" s="561">
        <v>17705</v>
      </c>
      <c r="JD405" s="561">
        <v>0</v>
      </c>
      <c r="JE405" s="561">
        <v>698243</v>
      </c>
      <c r="JF405" s="561">
        <v>85110</v>
      </c>
      <c r="JG405" s="561">
        <v>562</v>
      </c>
      <c r="JH405" s="561">
        <v>0</v>
      </c>
      <c r="JI405" s="561">
        <v>0</v>
      </c>
      <c r="JJ405" s="561">
        <v>0</v>
      </c>
      <c r="JK405" s="561">
        <v>0</v>
      </c>
      <c r="JL405" s="561">
        <v>23548</v>
      </c>
      <c r="JM405" s="561">
        <v>18092</v>
      </c>
      <c r="JN405" s="561">
        <v>0</v>
      </c>
      <c r="JO405" s="561">
        <v>290</v>
      </c>
      <c r="JP405" s="561">
        <v>0</v>
      </c>
      <c r="JQ405" s="561">
        <v>144</v>
      </c>
      <c r="JR405" s="561">
        <v>0</v>
      </c>
      <c r="JS405" s="561">
        <v>0</v>
      </c>
      <c r="JT405" s="561">
        <v>81</v>
      </c>
      <c r="JU405" s="561">
        <v>0</v>
      </c>
      <c r="JV405" s="561">
        <v>826070</v>
      </c>
      <c r="JW405" s="561">
        <v>191</v>
      </c>
      <c r="JX405" s="561">
        <v>304</v>
      </c>
      <c r="JY405" s="561">
        <v>0</v>
      </c>
      <c r="JZ405" s="561">
        <v>-2080</v>
      </c>
      <c r="KA405" s="561">
        <v>-18641</v>
      </c>
      <c r="KB405" s="561">
        <v>1534</v>
      </c>
      <c r="KC405" s="561">
        <v>7662</v>
      </c>
      <c r="KD405" s="561">
        <v>0</v>
      </c>
      <c r="KE405" s="561">
        <v>16715</v>
      </c>
      <c r="KF405" s="561">
        <v>0</v>
      </c>
      <c r="KG405" s="561">
        <v>831755</v>
      </c>
      <c r="KH405" s="561">
        <v>-3239</v>
      </c>
      <c r="KI405" s="561">
        <v>3704</v>
      </c>
      <c r="KJ405" s="561">
        <v>15</v>
      </c>
      <c r="KK405" s="561">
        <v>0</v>
      </c>
      <c r="KL405" s="561">
        <v>-95784</v>
      </c>
      <c r="KM405" s="561">
        <v>0</v>
      </c>
      <c r="KN405" s="561">
        <v>0</v>
      </c>
      <c r="KO405" s="561">
        <v>0</v>
      </c>
      <c r="KP405" s="561">
        <v>0</v>
      </c>
      <c r="KQ405" s="561">
        <v>-17004</v>
      </c>
      <c r="KR405" s="561">
        <v>719447</v>
      </c>
      <c r="KS405" s="561">
        <v>0</v>
      </c>
      <c r="KT405" s="561">
        <v>-369533</v>
      </c>
      <c r="KU405" s="561">
        <v>349914</v>
      </c>
      <c r="KV405" s="561">
        <v>0</v>
      </c>
      <c r="KW405" s="561">
        <v>-2511</v>
      </c>
      <c r="KX405" s="561">
        <v>0</v>
      </c>
      <c r="KY405" s="561">
        <v>-230</v>
      </c>
      <c r="KZ405" s="561">
        <v>-4187</v>
      </c>
      <c r="LA405" s="561">
        <v>0</v>
      </c>
      <c r="LB405" s="561">
        <v>0</v>
      </c>
      <c r="LC405" s="561">
        <v>0</v>
      </c>
      <c r="LD405" s="561">
        <v>-159042</v>
      </c>
      <c r="LE405" s="561">
        <v>-2685</v>
      </c>
      <c r="LF405" s="561">
        <v>0</v>
      </c>
      <c r="LG405" s="561">
        <v>181258</v>
      </c>
      <c r="LH405" s="561">
        <v>10491</v>
      </c>
      <c r="LI405" s="561">
        <v>-12989</v>
      </c>
      <c r="LJ405" s="561">
        <v>0</v>
      </c>
      <c r="LK405" s="561">
        <v>6627</v>
      </c>
      <c r="LL405" s="561">
        <v>38388</v>
      </c>
      <c r="LM405" s="561">
        <v>13176</v>
      </c>
      <c r="LN405" s="561">
        <v>7980</v>
      </c>
      <c r="LO405" s="561">
        <v>-29993</v>
      </c>
      <c r="LP405" s="561">
        <v>0</v>
      </c>
      <c r="LQ405" s="561">
        <v>6397</v>
      </c>
      <c r="LR405" s="561">
        <v>34201</v>
      </c>
      <c r="LS405" s="561">
        <v>13176</v>
      </c>
      <c r="LT405" s="561">
        <v>0</v>
      </c>
      <c r="LU405" s="561">
        <v>35089</v>
      </c>
      <c r="LV405" s="561">
        <v>0</v>
      </c>
      <c r="LW405" s="561">
        <v>3263</v>
      </c>
      <c r="LX405" s="561">
        <v>-52202</v>
      </c>
      <c r="LY405" s="561">
        <v>10940</v>
      </c>
      <c r="LZ405" s="561">
        <v>-3576</v>
      </c>
      <c r="MA405" s="561">
        <v>0</v>
      </c>
      <c r="MB405" s="561">
        <v>0</v>
      </c>
      <c r="MC405" s="561">
        <v>0</v>
      </c>
      <c r="MD405" s="561">
        <v>0</v>
      </c>
      <c r="ME405" s="561">
        <v>0</v>
      </c>
      <c r="MF405" s="561">
        <v>0</v>
      </c>
      <c r="MG405" s="561">
        <v>0</v>
      </c>
      <c r="MH405" s="561">
        <v>13762</v>
      </c>
      <c r="MI405" s="561">
        <v>20691</v>
      </c>
      <c r="MJ405" s="561">
        <v>34453</v>
      </c>
      <c r="MK405" s="561">
        <v>0</v>
      </c>
      <c r="ML405" s="561">
        <v>6472</v>
      </c>
      <c r="MM405" s="561">
        <v>19142</v>
      </c>
      <c r="MN405" s="561">
        <v>8080</v>
      </c>
      <c r="MO405" s="561">
        <v>507</v>
      </c>
      <c r="MP405" s="561">
        <v>0</v>
      </c>
      <c r="MQ405" s="561">
        <v>297753</v>
      </c>
      <c r="MR405" s="561">
        <v>11377</v>
      </c>
      <c r="MS405" s="561">
        <v>105881</v>
      </c>
      <c r="MT405" s="561">
        <v>163076</v>
      </c>
      <c r="MU405" s="561">
        <v>38448</v>
      </c>
      <c r="MV405" s="561">
        <v>14267</v>
      </c>
      <c r="MW405" s="561">
        <v>18326</v>
      </c>
      <c r="MX405" s="561">
        <v>19777</v>
      </c>
      <c r="MY405" s="561">
        <v>11633</v>
      </c>
      <c r="MZ405" s="561">
        <v>0</v>
      </c>
      <c r="NA405" s="561">
        <v>0</v>
      </c>
      <c r="NB405" s="561">
        <v>17705</v>
      </c>
      <c r="NC405" s="561">
        <v>0</v>
      </c>
      <c r="ND405" s="561">
        <v>698243</v>
      </c>
      <c r="NE405" s="561">
        <v>0</v>
      </c>
      <c r="NF405" s="561">
        <v>0</v>
      </c>
      <c r="NG405" s="561">
        <v>0</v>
      </c>
      <c r="NH405" s="561">
        <v>0</v>
      </c>
      <c r="NI405" s="561">
        <v>0</v>
      </c>
      <c r="NJ405" s="561">
        <v>0</v>
      </c>
      <c r="NK405" s="561">
        <v>0</v>
      </c>
      <c r="NL405" s="561">
        <v>0</v>
      </c>
      <c r="NM405" s="561">
        <v>0</v>
      </c>
      <c r="NN405" s="561">
        <v>0</v>
      </c>
      <c r="NO405" s="561">
        <v>0</v>
      </c>
      <c r="NP405" s="561">
        <v>0</v>
      </c>
      <c r="NQ405" s="561">
        <v>0</v>
      </c>
      <c r="NR405" s="561">
        <v>0</v>
      </c>
      <c r="NS405" s="561">
        <v>0</v>
      </c>
      <c r="NT405" s="561">
        <v>0</v>
      </c>
      <c r="NU405" s="561">
        <v>0</v>
      </c>
      <c r="NV405" s="561">
        <v>0</v>
      </c>
      <c r="NW405" s="561">
        <v>0</v>
      </c>
      <c r="NX405" s="561">
        <v>0</v>
      </c>
      <c r="NY405" s="561">
        <v>0</v>
      </c>
      <c r="NZ405" s="561">
        <v>0</v>
      </c>
      <c r="OA405" s="561">
        <v>0</v>
      </c>
      <c r="OB405" s="561">
        <v>0</v>
      </c>
      <c r="OC405" s="561">
        <v>0</v>
      </c>
      <c r="OD405" s="561">
        <v>0</v>
      </c>
      <c r="OE405" s="561">
        <v>0</v>
      </c>
      <c r="OF405" s="561">
        <v>0</v>
      </c>
      <c r="OG405" s="561">
        <v>0</v>
      </c>
      <c r="OH405" s="561">
        <v>0</v>
      </c>
      <c r="OI405" s="561">
        <v>0</v>
      </c>
      <c r="OJ405" s="561">
        <v>-1515</v>
      </c>
      <c r="OK405" s="561">
        <v>0</v>
      </c>
      <c r="OL405" s="561">
        <v>0</v>
      </c>
      <c r="OM405" s="561">
        <v>0</v>
      </c>
      <c r="ON405" s="561">
        <v>1659</v>
      </c>
      <c r="OO405" s="561">
        <v>0</v>
      </c>
      <c r="OP405" s="561">
        <v>0</v>
      </c>
      <c r="OQ405" s="561">
        <v>0</v>
      </c>
      <c r="OR405" s="561">
        <v>0</v>
      </c>
      <c r="OS405" s="561">
        <v>0</v>
      </c>
      <c r="OT405" s="561">
        <v>0</v>
      </c>
      <c r="OU405" s="561">
        <v>0</v>
      </c>
      <c r="OV405" s="561">
        <v>378</v>
      </c>
      <c r="OW405" s="561">
        <v>0</v>
      </c>
      <c r="OX405" s="561">
        <v>144</v>
      </c>
      <c r="OY405" s="561">
        <v>0</v>
      </c>
      <c r="OZ405" s="561">
        <v>0</v>
      </c>
      <c r="PA405" s="561">
        <v>0</v>
      </c>
      <c r="PB405" s="561">
        <v>0</v>
      </c>
      <c r="PC405" s="561">
        <v>0</v>
      </c>
      <c r="PD405" s="561">
        <v>0</v>
      </c>
      <c r="PE405" s="561">
        <v>0</v>
      </c>
      <c r="PF405" s="561">
        <v>0</v>
      </c>
      <c r="PG405" s="561">
        <v>0</v>
      </c>
      <c r="PH405" s="561">
        <v>0</v>
      </c>
      <c r="PI405" s="561">
        <v>0</v>
      </c>
      <c r="PJ405" s="561">
        <v>0</v>
      </c>
    </row>
    <row r="406" spans="1:426" ht="14" x14ac:dyDescent="0.3">
      <c r="A406" t="s">
        <v>3659</v>
      </c>
      <c r="B406" t="s">
        <v>3660</v>
      </c>
      <c r="C406" t="s">
        <v>4688</v>
      </c>
      <c r="E406" t="s">
        <v>384</v>
      </c>
      <c r="F406" s="561">
        <v>0</v>
      </c>
      <c r="G406" s="561">
        <v>0</v>
      </c>
      <c r="H406" s="561">
        <v>0</v>
      </c>
      <c r="I406" s="561">
        <v>0</v>
      </c>
      <c r="J406" s="561">
        <v>0</v>
      </c>
      <c r="K406" s="561">
        <v>0</v>
      </c>
      <c r="L406" s="561">
        <v>0</v>
      </c>
      <c r="M406" s="561">
        <v>0</v>
      </c>
      <c r="N406" s="561">
        <v>0</v>
      </c>
      <c r="O406" s="561">
        <v>0</v>
      </c>
      <c r="P406" s="561">
        <v>0</v>
      </c>
      <c r="Q406" s="561">
        <v>0</v>
      </c>
      <c r="R406" s="561">
        <v>0</v>
      </c>
      <c r="S406" s="561">
        <v>0</v>
      </c>
      <c r="T406" s="561">
        <v>575.85</v>
      </c>
      <c r="U406" s="561">
        <v>0</v>
      </c>
      <c r="V406" s="561">
        <v>0</v>
      </c>
      <c r="W406" s="561">
        <v>0</v>
      </c>
      <c r="X406" s="561">
        <v>0</v>
      </c>
      <c r="Y406" s="561">
        <v>0</v>
      </c>
      <c r="Z406" s="561">
        <v>0</v>
      </c>
      <c r="AA406" s="561">
        <v>0</v>
      </c>
      <c r="AB406" s="561">
        <v>-2786.28</v>
      </c>
      <c r="AC406" s="561">
        <v>0</v>
      </c>
      <c r="AD406" s="561">
        <v>0</v>
      </c>
      <c r="AE406" s="561">
        <v>0</v>
      </c>
      <c r="AF406" s="561">
        <v>0</v>
      </c>
      <c r="AG406" s="561">
        <v>0</v>
      </c>
      <c r="AH406" s="561">
        <v>0</v>
      </c>
      <c r="AI406" s="561">
        <v>0</v>
      </c>
      <c r="AJ406" s="561">
        <v>-2210.4299999999998</v>
      </c>
      <c r="AK406" s="561">
        <v>0</v>
      </c>
      <c r="AL406" s="561">
        <v>0</v>
      </c>
      <c r="AM406" s="561">
        <v>0</v>
      </c>
      <c r="AN406" s="561">
        <v>0</v>
      </c>
      <c r="AO406" s="561">
        <v>0</v>
      </c>
      <c r="AP406" s="561">
        <v>0</v>
      </c>
      <c r="AQ406" s="561">
        <v>0</v>
      </c>
      <c r="AR406" s="561">
        <v>0</v>
      </c>
      <c r="AS406" s="561">
        <v>0</v>
      </c>
      <c r="AT406" s="561">
        <v>0</v>
      </c>
      <c r="AU406" s="561">
        <v>0</v>
      </c>
      <c r="AV406" s="561">
        <v>0</v>
      </c>
      <c r="AW406" s="561">
        <v>0</v>
      </c>
      <c r="AX406" s="561">
        <v>0</v>
      </c>
      <c r="AY406" s="561">
        <v>0</v>
      </c>
      <c r="AZ406" s="561">
        <v>0</v>
      </c>
      <c r="BA406" s="561">
        <v>960.16</v>
      </c>
      <c r="BB406" s="561">
        <v>0</v>
      </c>
      <c r="BC406" s="561">
        <v>0</v>
      </c>
      <c r="BD406" s="561">
        <v>0</v>
      </c>
      <c r="BE406" s="561">
        <v>0</v>
      </c>
      <c r="BF406" s="561">
        <v>960.16</v>
      </c>
      <c r="BG406" s="561">
        <v>0</v>
      </c>
      <c r="BH406" s="561">
        <v>0</v>
      </c>
      <c r="BI406" s="561">
        <v>1974.45</v>
      </c>
      <c r="BJ406" s="561">
        <v>0</v>
      </c>
      <c r="BK406" s="561">
        <v>0</v>
      </c>
      <c r="BL406" s="561">
        <v>0</v>
      </c>
      <c r="BM406" s="561">
        <v>0</v>
      </c>
      <c r="BN406" s="561">
        <v>0</v>
      </c>
      <c r="BO406" s="561">
        <v>0</v>
      </c>
      <c r="BP406" s="561">
        <v>0</v>
      </c>
      <c r="BQ406" s="561">
        <v>0</v>
      </c>
      <c r="BR406" s="561">
        <v>0</v>
      </c>
      <c r="BS406" s="561">
        <v>0</v>
      </c>
      <c r="BT406" s="561">
        <v>0</v>
      </c>
      <c r="BU406" s="561">
        <v>0</v>
      </c>
      <c r="BV406" s="561">
        <v>0</v>
      </c>
      <c r="BW406" s="561">
        <v>0</v>
      </c>
      <c r="BX406" s="561">
        <v>0</v>
      </c>
      <c r="BY406" s="561">
        <v>0</v>
      </c>
      <c r="BZ406" s="561">
        <v>1974.45</v>
      </c>
      <c r="CA406" s="561">
        <v>0</v>
      </c>
      <c r="CB406" s="561">
        <v>0</v>
      </c>
      <c r="CC406" s="561">
        <v>0</v>
      </c>
      <c r="CD406" s="561">
        <v>0</v>
      </c>
      <c r="CE406" s="561">
        <v>0</v>
      </c>
      <c r="CF406" s="561">
        <v>0</v>
      </c>
      <c r="CG406" s="561">
        <v>0</v>
      </c>
      <c r="CH406" s="561">
        <v>0</v>
      </c>
      <c r="CI406" s="561">
        <v>0</v>
      </c>
      <c r="CJ406" s="561">
        <v>0</v>
      </c>
      <c r="CK406" s="561">
        <v>0</v>
      </c>
      <c r="CL406" s="561">
        <v>0</v>
      </c>
      <c r="CM406" s="561">
        <v>0</v>
      </c>
      <c r="CN406" s="561">
        <v>0</v>
      </c>
      <c r="CO406" s="561">
        <v>0</v>
      </c>
      <c r="CP406" s="561">
        <v>0</v>
      </c>
      <c r="CQ406" s="561">
        <v>0</v>
      </c>
      <c r="CR406" s="561">
        <v>0</v>
      </c>
      <c r="CS406" s="561">
        <v>0</v>
      </c>
      <c r="CT406" s="561">
        <v>0</v>
      </c>
      <c r="CU406" s="561">
        <v>0</v>
      </c>
      <c r="CV406" s="561">
        <v>0</v>
      </c>
      <c r="CW406" s="561">
        <v>0</v>
      </c>
      <c r="CX406" s="561">
        <v>0</v>
      </c>
      <c r="CY406" s="561">
        <v>0</v>
      </c>
      <c r="CZ406" s="561">
        <v>0</v>
      </c>
      <c r="DA406" s="561">
        <v>0</v>
      </c>
      <c r="DB406" s="561">
        <v>0</v>
      </c>
      <c r="DC406" s="561">
        <v>0</v>
      </c>
      <c r="DD406" s="561">
        <v>0</v>
      </c>
      <c r="DE406" s="561">
        <v>0</v>
      </c>
      <c r="DF406" s="561">
        <v>0</v>
      </c>
      <c r="DG406" s="561">
        <v>0</v>
      </c>
      <c r="DH406" s="561">
        <v>576.82000000000005</v>
      </c>
      <c r="DI406" s="561">
        <v>11.39</v>
      </c>
      <c r="DJ406" s="561">
        <v>705.51</v>
      </c>
      <c r="DK406" s="561">
        <v>-55.75</v>
      </c>
      <c r="DL406" s="561">
        <v>0</v>
      </c>
      <c r="DM406" s="561">
        <v>2371.9</v>
      </c>
      <c r="DN406" s="561">
        <v>0</v>
      </c>
      <c r="DO406" s="561">
        <v>1481.65</v>
      </c>
      <c r="DP406" s="561">
        <v>0</v>
      </c>
      <c r="DQ406" s="561">
        <v>0</v>
      </c>
      <c r="DR406" s="561">
        <v>985.76</v>
      </c>
      <c r="DS406" s="561">
        <v>0</v>
      </c>
      <c r="DT406" s="561">
        <v>0</v>
      </c>
      <c r="DU406" s="561">
        <v>4839.3100000000004</v>
      </c>
      <c r="DV406" s="561">
        <v>0</v>
      </c>
      <c r="DW406" s="561">
        <v>0</v>
      </c>
      <c r="DX406" s="561">
        <v>0</v>
      </c>
      <c r="DY406" s="561">
        <v>553.42999999999995</v>
      </c>
      <c r="DZ406" s="561">
        <v>251.14</v>
      </c>
      <c r="EA406" s="561">
        <v>0.83</v>
      </c>
      <c r="EB406" s="561">
        <v>0</v>
      </c>
      <c r="EC406" s="561">
        <v>6882.68</v>
      </c>
      <c r="ED406" s="561">
        <v>0</v>
      </c>
      <c r="EE406" s="561">
        <v>20203.849999999999</v>
      </c>
      <c r="EF406" s="561">
        <v>0</v>
      </c>
      <c r="EG406" s="561">
        <v>2257.33</v>
      </c>
      <c r="EH406" s="561">
        <v>448.49</v>
      </c>
      <c r="EI406" s="561">
        <v>0</v>
      </c>
      <c r="EJ406" s="561">
        <v>199.52</v>
      </c>
      <c r="EK406" s="561">
        <v>0</v>
      </c>
      <c r="EL406" s="561">
        <v>0</v>
      </c>
      <c r="EM406" s="561">
        <v>-215</v>
      </c>
      <c r="EN406" s="561">
        <v>4120.93</v>
      </c>
      <c r="EO406" s="561">
        <v>7282.46</v>
      </c>
      <c r="EP406" s="561">
        <v>1371.17</v>
      </c>
      <c r="EQ406" s="561">
        <v>330.75</v>
      </c>
      <c r="ER406" s="561">
        <v>5537.96</v>
      </c>
      <c r="ES406" s="561" t="s">
        <v>4565</v>
      </c>
      <c r="ET406" s="561">
        <v>0</v>
      </c>
      <c r="EU406" s="561">
        <v>0</v>
      </c>
      <c r="EV406" s="561">
        <v>2.68</v>
      </c>
      <c r="EW406" s="561">
        <v>0</v>
      </c>
      <c r="EX406" s="561">
        <v>4120.6099999999997</v>
      </c>
      <c r="EY406" s="561">
        <v>147.13</v>
      </c>
      <c r="EZ406" s="561">
        <v>-19.5</v>
      </c>
      <c r="FA406" s="561">
        <v>3168.76</v>
      </c>
      <c r="FB406" s="561">
        <v>0</v>
      </c>
      <c r="FC406" s="561">
        <v>-28.59</v>
      </c>
      <c r="FD406" s="561">
        <v>0</v>
      </c>
      <c r="FE406" s="561">
        <v>94.43</v>
      </c>
      <c r="FF406" s="561">
        <v>208.59</v>
      </c>
      <c r="FG406" s="561">
        <v>279.01</v>
      </c>
      <c r="FH406" s="561">
        <v>0</v>
      </c>
      <c r="FI406" s="561">
        <v>50.28</v>
      </c>
      <c r="FJ406" s="561">
        <v>140.54</v>
      </c>
      <c r="FK406" s="561">
        <v>1402.24</v>
      </c>
      <c r="FL406" s="561">
        <v>-2.69</v>
      </c>
      <c r="FM406" s="561">
        <v>0</v>
      </c>
      <c r="FN406" s="561">
        <v>0</v>
      </c>
      <c r="FO406" s="561">
        <v>2143.81</v>
      </c>
      <c r="FP406" s="561">
        <v>0</v>
      </c>
      <c r="FQ406" s="561">
        <v>99.13</v>
      </c>
      <c r="FR406" s="561">
        <v>0</v>
      </c>
      <c r="FS406" s="561">
        <v>0</v>
      </c>
      <c r="FT406" s="561">
        <v>7.58</v>
      </c>
      <c r="FU406" s="561">
        <v>209.18</v>
      </c>
      <c r="FV406" s="561">
        <v>136.97999999999999</v>
      </c>
      <c r="FW406" s="561">
        <v>0</v>
      </c>
      <c r="FX406" s="561">
        <v>0</v>
      </c>
      <c r="FY406" s="561">
        <v>0</v>
      </c>
      <c r="FZ406" s="561">
        <v>5.14</v>
      </c>
      <c r="GA406" s="561">
        <v>67.36</v>
      </c>
      <c r="GB406" s="561">
        <v>10.99</v>
      </c>
      <c r="GC406" s="561">
        <v>141.62</v>
      </c>
      <c r="GD406" s="561">
        <v>303.37</v>
      </c>
      <c r="GE406" s="561">
        <v>0</v>
      </c>
      <c r="GF406" s="561">
        <v>440.76</v>
      </c>
      <c r="GG406" s="561">
        <v>214.65</v>
      </c>
      <c r="GH406" s="561">
        <v>0</v>
      </c>
      <c r="GI406" s="561">
        <v>0</v>
      </c>
      <c r="GJ406" s="561">
        <v>0</v>
      </c>
      <c r="GK406" s="561">
        <v>0</v>
      </c>
      <c r="GL406" s="561">
        <v>1060.1199999999999</v>
      </c>
      <c r="GM406" s="561">
        <v>2369.2199999999998</v>
      </c>
      <c r="GN406" s="561">
        <v>0</v>
      </c>
      <c r="GO406" s="561">
        <v>0</v>
      </c>
      <c r="GP406" s="561">
        <v>28.05</v>
      </c>
      <c r="GQ406" s="561">
        <v>0</v>
      </c>
      <c r="GR406" s="561">
        <v>0</v>
      </c>
      <c r="GS406" s="561">
        <v>5094.1499999999996</v>
      </c>
      <c r="GT406" s="561">
        <v>0</v>
      </c>
      <c r="GU406" s="561">
        <v>302.92</v>
      </c>
      <c r="GV406" s="561">
        <v>441.45</v>
      </c>
      <c r="GW406" s="561">
        <v>0</v>
      </c>
      <c r="GX406" s="561">
        <v>663.18</v>
      </c>
      <c r="GY406" s="561">
        <v>756.41</v>
      </c>
      <c r="GZ406" s="561">
        <v>8.56</v>
      </c>
      <c r="HA406" s="561">
        <v>0</v>
      </c>
      <c r="HB406" s="561">
        <v>0</v>
      </c>
      <c r="HC406" s="561">
        <v>2</v>
      </c>
      <c r="HD406" s="561">
        <v>2174.52</v>
      </c>
      <c r="HE406" s="561">
        <v>0</v>
      </c>
      <c r="HF406" s="561">
        <v>9412.48</v>
      </c>
      <c r="HG406" s="561">
        <v>0</v>
      </c>
      <c r="HH406" s="561">
        <v>0</v>
      </c>
      <c r="HI406" s="561">
        <v>0</v>
      </c>
      <c r="HJ406" s="561">
        <v>0</v>
      </c>
      <c r="HK406" s="561">
        <v>0</v>
      </c>
      <c r="HL406" s="561">
        <v>0</v>
      </c>
      <c r="HM406" s="561">
        <v>0</v>
      </c>
      <c r="HN406" s="561">
        <v>0</v>
      </c>
      <c r="HO406" s="561">
        <v>4228.24</v>
      </c>
      <c r="HP406" s="561">
        <v>982.23</v>
      </c>
      <c r="HQ406" s="561">
        <v>0</v>
      </c>
      <c r="HR406" s="561">
        <v>0</v>
      </c>
      <c r="HS406" s="561">
        <v>669.67</v>
      </c>
      <c r="HT406" s="561">
        <v>109.41</v>
      </c>
      <c r="HU406" s="561">
        <v>0</v>
      </c>
      <c r="HV406" s="561">
        <v>0</v>
      </c>
      <c r="HW406" s="561">
        <v>169.27</v>
      </c>
      <c r="HX406" s="561">
        <v>356.36</v>
      </c>
      <c r="HY406" s="561">
        <v>51.87</v>
      </c>
      <c r="HZ406" s="561">
        <v>1.71</v>
      </c>
      <c r="IA406" s="561">
        <v>0</v>
      </c>
      <c r="IB406" s="561">
        <v>0</v>
      </c>
      <c r="IC406" s="561">
        <v>0</v>
      </c>
      <c r="ID406" s="561">
        <v>0</v>
      </c>
      <c r="IE406" s="561">
        <v>0</v>
      </c>
      <c r="IF406" s="561">
        <v>0</v>
      </c>
      <c r="IG406" s="561">
        <v>0</v>
      </c>
      <c r="IH406" s="561">
        <v>0</v>
      </c>
      <c r="II406" s="561">
        <v>6568.76</v>
      </c>
      <c r="IJ406" s="561">
        <v>0</v>
      </c>
      <c r="IK406" s="561">
        <v>0</v>
      </c>
      <c r="IL406" s="561">
        <v>0</v>
      </c>
      <c r="IM406" s="561">
        <v>0</v>
      </c>
      <c r="IN406" s="561">
        <v>0</v>
      </c>
      <c r="IO406" s="561">
        <v>0</v>
      </c>
      <c r="IP406" s="561">
        <v>-4930.8900000000003</v>
      </c>
      <c r="IQ406" s="561">
        <v>0</v>
      </c>
      <c r="IR406" s="561">
        <v>0</v>
      </c>
      <c r="IS406" s="561">
        <v>-2210.4299999999998</v>
      </c>
      <c r="IT406" s="561">
        <v>960.16</v>
      </c>
      <c r="IU406" s="561">
        <v>1974.45</v>
      </c>
      <c r="IV406" s="561">
        <v>0</v>
      </c>
      <c r="IW406" s="561">
        <v>6882.68</v>
      </c>
      <c r="IX406" s="561">
        <v>2143.81</v>
      </c>
      <c r="IY406" s="561">
        <v>5094.1499999999996</v>
      </c>
      <c r="IZ406" s="561">
        <v>2174.52</v>
      </c>
      <c r="JA406" s="561">
        <v>0</v>
      </c>
      <c r="JB406" s="561">
        <v>0</v>
      </c>
      <c r="JC406" s="561">
        <v>6568.76</v>
      </c>
      <c r="JD406" s="561">
        <v>-4930.8900000000003</v>
      </c>
      <c r="JE406" s="561">
        <v>18657.21</v>
      </c>
      <c r="JF406" s="561">
        <v>10449.94</v>
      </c>
      <c r="JG406" s="561">
        <v>1872.06</v>
      </c>
      <c r="JH406" s="561">
        <v>6224.52</v>
      </c>
      <c r="JI406" s="561">
        <v>0</v>
      </c>
      <c r="JJ406" s="561">
        <v>0</v>
      </c>
      <c r="JK406" s="561">
        <v>0</v>
      </c>
      <c r="JL406" s="561">
        <v>0</v>
      </c>
      <c r="JM406" s="561">
        <v>0</v>
      </c>
      <c r="JN406" s="561">
        <v>0</v>
      </c>
      <c r="JO406" s="561">
        <v>0</v>
      </c>
      <c r="JP406" s="561">
        <v>-2705.81</v>
      </c>
      <c r="JQ406" s="561">
        <v>0</v>
      </c>
      <c r="JR406" s="561">
        <v>0</v>
      </c>
      <c r="JS406" s="561">
        <v>0</v>
      </c>
      <c r="JT406" s="561">
        <v>93.85</v>
      </c>
      <c r="JU406" s="561">
        <v>0</v>
      </c>
      <c r="JV406" s="561">
        <v>34591.769999999997</v>
      </c>
      <c r="JW406" s="561">
        <v>0</v>
      </c>
      <c r="JX406" s="561">
        <v>0</v>
      </c>
      <c r="JY406" s="561">
        <v>0</v>
      </c>
      <c r="JZ406" s="561">
        <v>0</v>
      </c>
      <c r="KA406" s="561">
        <v>-64682.23</v>
      </c>
      <c r="KB406" s="561">
        <v>-77</v>
      </c>
      <c r="KC406" s="561">
        <v>8864</v>
      </c>
      <c r="KD406" s="561">
        <v>0</v>
      </c>
      <c r="KE406" s="561">
        <v>67809</v>
      </c>
      <c r="KF406" s="561">
        <v>0</v>
      </c>
      <c r="KG406" s="561">
        <v>46505.54</v>
      </c>
      <c r="KH406" s="561">
        <v>-35136</v>
      </c>
      <c r="KI406" s="561">
        <v>0</v>
      </c>
      <c r="KJ406" s="561">
        <v>0</v>
      </c>
      <c r="KK406" s="561">
        <v>0</v>
      </c>
      <c r="KL406" s="561">
        <v>-17151.62</v>
      </c>
      <c r="KM406" s="561">
        <v>0</v>
      </c>
      <c r="KN406" s="561">
        <v>-10216.290000000001</v>
      </c>
      <c r="KO406" s="561">
        <v>0</v>
      </c>
      <c r="KP406" s="561">
        <v>0</v>
      </c>
      <c r="KQ406" s="561">
        <v>0</v>
      </c>
      <c r="KR406" s="561">
        <v>-15998.37</v>
      </c>
      <c r="KS406" s="561">
        <v>0</v>
      </c>
      <c r="KT406" s="561">
        <v>-5577.03</v>
      </c>
      <c r="KU406" s="561">
        <v>-21575.4</v>
      </c>
      <c r="KV406" s="561">
        <v>0</v>
      </c>
      <c r="KW406" s="561">
        <v>0</v>
      </c>
      <c r="KX406" s="561">
        <v>0</v>
      </c>
      <c r="KY406" s="561">
        <v>0</v>
      </c>
      <c r="KZ406" s="561">
        <v>40000.400000000001</v>
      </c>
      <c r="LA406" s="561">
        <v>0</v>
      </c>
      <c r="LB406" s="561">
        <v>-99</v>
      </c>
      <c r="LC406" s="561">
        <v>0</v>
      </c>
      <c r="LD406" s="561">
        <v>-5271</v>
      </c>
      <c r="LE406" s="561">
        <v>-825</v>
      </c>
      <c r="LF406" s="561">
        <v>0</v>
      </c>
      <c r="LG406" s="561">
        <v>12230</v>
      </c>
      <c r="LH406" s="561">
        <v>0</v>
      </c>
      <c r="LI406" s="561">
        <v>0</v>
      </c>
      <c r="LJ406" s="561">
        <v>0</v>
      </c>
      <c r="LK406" s="561">
        <v>0</v>
      </c>
      <c r="LL406" s="561">
        <v>2454</v>
      </c>
      <c r="LM406" s="561">
        <v>1500</v>
      </c>
      <c r="LN406" s="561">
        <v>0</v>
      </c>
      <c r="LO406" s="561">
        <v>0</v>
      </c>
      <c r="LP406" s="561">
        <v>0</v>
      </c>
      <c r="LQ406" s="561">
        <v>0</v>
      </c>
      <c r="LR406" s="561">
        <v>42454.400000000001</v>
      </c>
      <c r="LS406" s="561">
        <v>1500</v>
      </c>
      <c r="LT406" s="561">
        <v>0</v>
      </c>
      <c r="LU406" s="561">
        <v>3921.98</v>
      </c>
      <c r="LV406" s="561">
        <v>0</v>
      </c>
      <c r="LW406" s="561">
        <v>2674.99</v>
      </c>
      <c r="LX406" s="561">
        <v>-2836</v>
      </c>
      <c r="LY406" s="561">
        <v>1804</v>
      </c>
      <c r="LZ406" s="561">
        <v>59288.73</v>
      </c>
      <c r="MA406" s="561">
        <v>0</v>
      </c>
      <c r="MB406" s="561">
        <v>0</v>
      </c>
      <c r="MC406" s="561">
        <v>22894.19</v>
      </c>
      <c r="MD406" s="561">
        <v>22913.69</v>
      </c>
      <c r="ME406" s="561">
        <v>-19.5</v>
      </c>
      <c r="MF406" s="561">
        <v>3168.76</v>
      </c>
      <c r="MG406" s="561">
        <v>3149.26</v>
      </c>
      <c r="MH406" s="561">
        <v>2051.56</v>
      </c>
      <c r="MI406" s="561">
        <v>3470.46</v>
      </c>
      <c r="MJ406" s="561">
        <v>5522.02</v>
      </c>
      <c r="MK406" s="561">
        <v>0</v>
      </c>
      <c r="ML406" s="561">
        <v>0</v>
      </c>
      <c r="MM406" s="561">
        <v>42454.400000000001</v>
      </c>
      <c r="MN406" s="561">
        <v>0</v>
      </c>
      <c r="MO406" s="561">
        <v>0</v>
      </c>
      <c r="MP406" s="561">
        <v>0</v>
      </c>
      <c r="MQ406" s="561">
        <v>0</v>
      </c>
      <c r="MR406" s="561">
        <v>-2210.4299999999998</v>
      </c>
      <c r="MS406" s="561">
        <v>960.16</v>
      </c>
      <c r="MT406" s="561">
        <v>1974.45</v>
      </c>
      <c r="MU406" s="561">
        <v>0</v>
      </c>
      <c r="MV406" s="561">
        <v>6882.68</v>
      </c>
      <c r="MW406" s="561">
        <v>2143.81</v>
      </c>
      <c r="MX406" s="561">
        <v>5094.1499999999996</v>
      </c>
      <c r="MY406" s="561">
        <v>2174.52</v>
      </c>
      <c r="MZ406" s="561">
        <v>0</v>
      </c>
      <c r="NA406" s="561">
        <v>0</v>
      </c>
      <c r="NB406" s="561">
        <v>6568.76</v>
      </c>
      <c r="NC406" s="561">
        <v>-4930.8900000000003</v>
      </c>
      <c r="ND406" s="561">
        <v>18657.21</v>
      </c>
      <c r="NE406" s="561">
        <v>0</v>
      </c>
      <c r="NF406" s="561">
        <v>0</v>
      </c>
      <c r="NG406" s="561">
        <v>0</v>
      </c>
      <c r="NH406" s="561">
        <v>0</v>
      </c>
      <c r="NI406" s="561">
        <v>0</v>
      </c>
      <c r="NJ406" s="561">
        <v>0</v>
      </c>
      <c r="NK406" s="561">
        <v>0</v>
      </c>
      <c r="NL406" s="561">
        <v>0</v>
      </c>
      <c r="NM406" s="561">
        <v>0</v>
      </c>
      <c r="NN406" s="561">
        <v>0</v>
      </c>
      <c r="NO406" s="561">
        <v>0</v>
      </c>
      <c r="NP406" s="561">
        <v>0</v>
      </c>
      <c r="NQ406" s="561">
        <v>0</v>
      </c>
      <c r="NR406" s="561">
        <v>0</v>
      </c>
      <c r="NS406" s="561">
        <v>0</v>
      </c>
      <c r="NT406" s="561">
        <v>-512.27</v>
      </c>
      <c r="NU406" s="561">
        <v>0</v>
      </c>
      <c r="NV406" s="561">
        <v>-2193.54</v>
      </c>
      <c r="NW406" s="561">
        <v>-2705.81</v>
      </c>
      <c r="NX406" s="561">
        <v>0</v>
      </c>
      <c r="NY406" s="561">
        <v>-2705.81</v>
      </c>
      <c r="NZ406" s="561">
        <v>0</v>
      </c>
      <c r="OA406" s="561">
        <v>0</v>
      </c>
      <c r="OB406" s="561">
        <v>0</v>
      </c>
      <c r="OC406" s="561">
        <v>0</v>
      </c>
      <c r="OD406" s="561">
        <v>0</v>
      </c>
      <c r="OE406" s="561">
        <v>0</v>
      </c>
      <c r="OF406" s="561">
        <v>0</v>
      </c>
      <c r="OG406" s="561">
        <v>0</v>
      </c>
      <c r="OH406" s="561">
        <v>0</v>
      </c>
      <c r="OI406" s="561">
        <v>0</v>
      </c>
      <c r="OJ406" s="561">
        <v>0</v>
      </c>
      <c r="OK406" s="561">
        <v>0</v>
      </c>
      <c r="OL406" s="561">
        <v>0</v>
      </c>
      <c r="OM406" s="561">
        <v>0</v>
      </c>
      <c r="ON406" s="561">
        <v>0</v>
      </c>
      <c r="OO406" s="561">
        <v>0</v>
      </c>
      <c r="OP406" s="561">
        <v>0</v>
      </c>
      <c r="OQ406" s="561">
        <v>0</v>
      </c>
      <c r="OR406" s="561">
        <v>0</v>
      </c>
      <c r="OS406" s="561">
        <v>0</v>
      </c>
      <c r="OT406" s="561">
        <v>0</v>
      </c>
      <c r="OU406" s="561">
        <v>0</v>
      </c>
      <c r="OV406" s="561">
        <v>0</v>
      </c>
      <c r="OW406" s="561">
        <v>0</v>
      </c>
      <c r="OX406" s="561">
        <v>0</v>
      </c>
      <c r="OY406" s="561">
        <v>0</v>
      </c>
      <c r="OZ406" s="561">
        <v>0</v>
      </c>
      <c r="PA406" s="561">
        <v>0</v>
      </c>
      <c r="PB406" s="561">
        <v>0</v>
      </c>
      <c r="PC406" s="561">
        <v>0</v>
      </c>
      <c r="PD406" s="561">
        <v>0</v>
      </c>
      <c r="PE406" s="561">
        <v>0</v>
      </c>
      <c r="PF406" s="561">
        <v>0</v>
      </c>
      <c r="PG406" s="561">
        <v>0</v>
      </c>
      <c r="PH406" s="561">
        <v>0</v>
      </c>
      <c r="PI406" s="561">
        <v>0</v>
      </c>
      <c r="PJ406" s="561">
        <v>0</v>
      </c>
    </row>
    <row r="407" spans="1:426" ht="14" x14ac:dyDescent="0.3">
      <c r="A407" t="s">
        <v>3662</v>
      </c>
      <c r="B407" t="s">
        <v>3663</v>
      </c>
      <c r="C407" t="s">
        <v>4689</v>
      </c>
      <c r="E407" t="s">
        <v>385</v>
      </c>
      <c r="F407" s="561">
        <v>22361</v>
      </c>
      <c r="G407" s="561">
        <v>44101</v>
      </c>
      <c r="H407" s="561">
        <v>6818</v>
      </c>
      <c r="I407" s="561">
        <v>28559</v>
      </c>
      <c r="J407" s="561">
        <v>2411</v>
      </c>
      <c r="K407" s="561">
        <v>20397</v>
      </c>
      <c r="L407" s="561">
        <v>124647</v>
      </c>
      <c r="M407" s="561">
        <v>1402</v>
      </c>
      <c r="N407" s="561">
        <v>504</v>
      </c>
      <c r="O407" s="561">
        <v>3022</v>
      </c>
      <c r="P407" s="561">
        <v>1167</v>
      </c>
      <c r="Q407" s="561">
        <v>327</v>
      </c>
      <c r="R407" s="561">
        <v>54</v>
      </c>
      <c r="S407" s="561">
        <v>1636</v>
      </c>
      <c r="T407" s="561">
        <v>1179</v>
      </c>
      <c r="U407" s="561">
        <v>257</v>
      </c>
      <c r="V407" s="561">
        <v>1529</v>
      </c>
      <c r="W407" s="561">
        <v>0</v>
      </c>
      <c r="X407" s="561">
        <v>0</v>
      </c>
      <c r="Y407" s="561">
        <v>0</v>
      </c>
      <c r="Z407" s="561">
        <v>1885</v>
      </c>
      <c r="AA407" s="561">
        <v>50</v>
      </c>
      <c r="AB407" s="561">
        <v>-1146</v>
      </c>
      <c r="AC407" s="561">
        <v>995</v>
      </c>
      <c r="AD407" s="561">
        <v>0</v>
      </c>
      <c r="AE407" s="561">
        <v>1747</v>
      </c>
      <c r="AF407" s="561">
        <v>0</v>
      </c>
      <c r="AG407" s="561">
        <v>0</v>
      </c>
      <c r="AH407" s="561">
        <v>0</v>
      </c>
      <c r="AI407" s="561">
        <v>0</v>
      </c>
      <c r="AJ407" s="561">
        <v>13206</v>
      </c>
      <c r="AK407" s="561">
        <v>318</v>
      </c>
      <c r="AL407" s="561">
        <v>0</v>
      </c>
      <c r="AM407" s="561">
        <v>0</v>
      </c>
      <c r="AN407" s="561">
        <v>0</v>
      </c>
      <c r="AO407" s="561">
        <v>0</v>
      </c>
      <c r="AP407" s="561">
        <v>0</v>
      </c>
      <c r="AQ407" s="561">
        <v>0</v>
      </c>
      <c r="AR407" s="561">
        <v>0</v>
      </c>
      <c r="AS407" s="561">
        <v>958</v>
      </c>
      <c r="AT407" s="561">
        <v>34</v>
      </c>
      <c r="AU407" s="561">
        <v>0</v>
      </c>
      <c r="AV407" s="561">
        <v>0</v>
      </c>
      <c r="AW407" s="561">
        <v>0</v>
      </c>
      <c r="AX407" s="561">
        <v>445</v>
      </c>
      <c r="AY407" s="561">
        <v>15829</v>
      </c>
      <c r="AZ407" s="561">
        <v>86</v>
      </c>
      <c r="BA407" s="561">
        <v>3826</v>
      </c>
      <c r="BB407" s="561">
        <v>618</v>
      </c>
      <c r="BC407" s="561">
        <v>16597</v>
      </c>
      <c r="BD407" s="561">
        <v>0</v>
      </c>
      <c r="BE407" s="561">
        <v>118</v>
      </c>
      <c r="BF407" s="561">
        <v>37519</v>
      </c>
      <c r="BG407" s="561">
        <v>1995</v>
      </c>
      <c r="BH407" s="561">
        <v>3982</v>
      </c>
      <c r="BI407" s="561">
        <v>14040</v>
      </c>
      <c r="BJ407" s="561">
        <v>145</v>
      </c>
      <c r="BK407" s="561">
        <v>909</v>
      </c>
      <c r="BL407" s="561">
        <v>183</v>
      </c>
      <c r="BM407" s="561">
        <v>4254</v>
      </c>
      <c r="BN407" s="561">
        <v>22158</v>
      </c>
      <c r="BO407" s="561">
        <v>4111</v>
      </c>
      <c r="BP407" s="561">
        <v>2183</v>
      </c>
      <c r="BQ407" s="561">
        <v>826</v>
      </c>
      <c r="BR407" s="561">
        <v>0</v>
      </c>
      <c r="BS407" s="561">
        <v>0</v>
      </c>
      <c r="BT407" s="561">
        <v>0</v>
      </c>
      <c r="BU407" s="561">
        <v>1392</v>
      </c>
      <c r="BV407" s="561">
        <v>288</v>
      </c>
      <c r="BW407" s="561">
        <v>11644</v>
      </c>
      <c r="BX407" s="561">
        <v>1011</v>
      </c>
      <c r="BY407" s="561">
        <v>4525</v>
      </c>
      <c r="BZ407" s="561">
        <v>71651</v>
      </c>
      <c r="CA407" s="561">
        <v>1639</v>
      </c>
      <c r="CB407" s="561">
        <v>689</v>
      </c>
      <c r="CC407" s="561">
        <v>184</v>
      </c>
      <c r="CD407" s="561">
        <v>21</v>
      </c>
      <c r="CE407" s="561">
        <v>14</v>
      </c>
      <c r="CF407" s="561">
        <v>39</v>
      </c>
      <c r="CG407" s="561">
        <v>45</v>
      </c>
      <c r="CH407" s="561">
        <v>266</v>
      </c>
      <c r="CI407" s="561">
        <v>23</v>
      </c>
      <c r="CJ407" s="561">
        <v>13</v>
      </c>
      <c r="CK407" s="561">
        <v>229</v>
      </c>
      <c r="CL407" s="561">
        <v>105</v>
      </c>
      <c r="CM407" s="561">
        <v>383</v>
      </c>
      <c r="CN407" s="561">
        <v>238</v>
      </c>
      <c r="CO407" s="561">
        <v>2</v>
      </c>
      <c r="CP407" s="561">
        <v>-6</v>
      </c>
      <c r="CQ407" s="561">
        <v>59</v>
      </c>
      <c r="CR407" s="561">
        <v>141</v>
      </c>
      <c r="CS407" s="561">
        <v>140</v>
      </c>
      <c r="CT407" s="561">
        <v>466</v>
      </c>
      <c r="CU407" s="561">
        <v>1678</v>
      </c>
      <c r="CV407" s="561">
        <v>220</v>
      </c>
      <c r="CW407" s="561">
        <v>31</v>
      </c>
      <c r="CX407" s="561">
        <v>444</v>
      </c>
      <c r="CY407" s="561">
        <v>597</v>
      </c>
      <c r="CZ407" s="561">
        <v>6021</v>
      </c>
      <c r="DA407" s="561">
        <v>100</v>
      </c>
      <c r="DB407" s="561">
        <v>76</v>
      </c>
      <c r="DC407" s="561">
        <v>0</v>
      </c>
      <c r="DD407" s="561">
        <v>9</v>
      </c>
      <c r="DE407" s="561">
        <v>0</v>
      </c>
      <c r="DF407" s="561">
        <v>0</v>
      </c>
      <c r="DG407" s="561">
        <v>0</v>
      </c>
      <c r="DH407" s="561">
        <v>876</v>
      </c>
      <c r="DI407" s="561">
        <v>0</v>
      </c>
      <c r="DJ407" s="561">
        <v>0</v>
      </c>
      <c r="DK407" s="561">
        <v>0</v>
      </c>
      <c r="DL407" s="561">
        <v>-266</v>
      </c>
      <c r="DM407" s="561">
        <v>262</v>
      </c>
      <c r="DN407" s="561">
        <v>0</v>
      </c>
      <c r="DO407" s="561">
        <v>0</v>
      </c>
      <c r="DP407" s="561">
        <v>0</v>
      </c>
      <c r="DQ407" s="561">
        <v>0</v>
      </c>
      <c r="DR407" s="561">
        <v>85</v>
      </c>
      <c r="DS407" s="561">
        <v>885</v>
      </c>
      <c r="DT407" s="561">
        <v>0</v>
      </c>
      <c r="DU407" s="561">
        <v>966</v>
      </c>
      <c r="DV407" s="561">
        <v>0</v>
      </c>
      <c r="DW407" s="561">
        <v>0</v>
      </c>
      <c r="DX407" s="561">
        <v>161</v>
      </c>
      <c r="DY407" s="561">
        <v>0</v>
      </c>
      <c r="DZ407" s="561">
        <v>-233</v>
      </c>
      <c r="EA407" s="561">
        <v>1708</v>
      </c>
      <c r="EB407" s="561">
        <v>0</v>
      </c>
      <c r="EC407" s="561">
        <v>3478</v>
      </c>
      <c r="ED407" s="561">
        <v>102</v>
      </c>
      <c r="EE407" s="561">
        <v>18670</v>
      </c>
      <c r="EF407" s="561">
        <v>182</v>
      </c>
      <c r="EG407" s="561">
        <v>168</v>
      </c>
      <c r="EH407" s="561">
        <v>664</v>
      </c>
      <c r="EI407" s="561">
        <v>0</v>
      </c>
      <c r="EJ407" s="561">
        <v>53</v>
      </c>
      <c r="EK407" s="561">
        <v>0</v>
      </c>
      <c r="EL407" s="561">
        <v>0</v>
      </c>
      <c r="EM407" s="561">
        <v>-5</v>
      </c>
      <c r="EN407" s="561">
        <v>4424</v>
      </c>
      <c r="EO407" s="561">
        <v>3375</v>
      </c>
      <c r="EP407" s="561">
        <v>596</v>
      </c>
      <c r="EQ407" s="561">
        <v>92</v>
      </c>
      <c r="ER407" s="561">
        <v>4447</v>
      </c>
      <c r="ES407" s="561" t="s">
        <v>4565</v>
      </c>
      <c r="ET407" s="561">
        <v>6638</v>
      </c>
      <c r="EU407" s="561">
        <v>0</v>
      </c>
      <c r="EV407" s="561">
        <v>117</v>
      </c>
      <c r="EW407" s="561">
        <v>0</v>
      </c>
      <c r="EX407" s="561">
        <v>0</v>
      </c>
      <c r="EY407" s="561">
        <v>14</v>
      </c>
      <c r="EZ407" s="561">
        <v>29</v>
      </c>
      <c r="FA407" s="561">
        <v>1032</v>
      </c>
      <c r="FB407" s="561">
        <v>258</v>
      </c>
      <c r="FC407" s="561">
        <v>0</v>
      </c>
      <c r="FD407" s="561">
        <v>0</v>
      </c>
      <c r="FE407" s="561">
        <v>0</v>
      </c>
      <c r="FF407" s="561">
        <v>0</v>
      </c>
      <c r="FG407" s="561">
        <v>0</v>
      </c>
      <c r="FH407" s="561">
        <v>0</v>
      </c>
      <c r="FI407" s="561">
        <v>-1147</v>
      </c>
      <c r="FJ407" s="561">
        <v>0</v>
      </c>
      <c r="FK407" s="561">
        <v>2312</v>
      </c>
      <c r="FL407" s="561">
        <v>0</v>
      </c>
      <c r="FM407" s="561">
        <v>0</v>
      </c>
      <c r="FN407" s="561">
        <v>1262</v>
      </c>
      <c r="FO407" s="561">
        <v>2685</v>
      </c>
      <c r="FP407" s="561">
        <v>14</v>
      </c>
      <c r="FQ407" s="561">
        <v>-37</v>
      </c>
      <c r="FR407" s="561">
        <v>482</v>
      </c>
      <c r="FS407" s="561">
        <v>0</v>
      </c>
      <c r="FT407" s="561">
        <v>68</v>
      </c>
      <c r="FU407" s="561">
        <v>1059</v>
      </c>
      <c r="FV407" s="561">
        <v>0</v>
      </c>
      <c r="FW407" s="561">
        <v>0</v>
      </c>
      <c r="FX407" s="561">
        <v>0</v>
      </c>
      <c r="FY407" s="561">
        <v>0</v>
      </c>
      <c r="FZ407" s="561">
        <v>17</v>
      </c>
      <c r="GA407" s="561">
        <v>0</v>
      </c>
      <c r="GB407" s="561">
        <v>102</v>
      </c>
      <c r="GC407" s="561">
        <v>-27</v>
      </c>
      <c r="GD407" s="561">
        <v>391</v>
      </c>
      <c r="GE407" s="561">
        <v>155</v>
      </c>
      <c r="GF407" s="561">
        <v>0</v>
      </c>
      <c r="GG407" s="561">
        <v>0</v>
      </c>
      <c r="GH407" s="561">
        <v>0</v>
      </c>
      <c r="GI407" s="561">
        <v>0</v>
      </c>
      <c r="GJ407" s="561">
        <v>0</v>
      </c>
      <c r="GK407" s="561">
        <v>0</v>
      </c>
      <c r="GL407" s="561">
        <v>1410</v>
      </c>
      <c r="GM407" s="561">
        <v>2920</v>
      </c>
      <c r="GN407" s="561">
        <v>7233</v>
      </c>
      <c r="GO407" s="561">
        <v>0</v>
      </c>
      <c r="GP407" s="561">
        <v>4822</v>
      </c>
      <c r="GQ407" s="561">
        <v>0</v>
      </c>
      <c r="GR407" s="561">
        <v>0</v>
      </c>
      <c r="GS407" s="561">
        <v>18595</v>
      </c>
      <c r="GT407" s="561">
        <v>2</v>
      </c>
      <c r="GU407" s="561">
        <v>231</v>
      </c>
      <c r="GV407" s="561">
        <v>1581</v>
      </c>
      <c r="GW407" s="561">
        <v>0</v>
      </c>
      <c r="GX407" s="561">
        <v>723</v>
      </c>
      <c r="GY407" s="561">
        <v>0</v>
      </c>
      <c r="GZ407" s="561">
        <v>489</v>
      </c>
      <c r="HA407" s="561">
        <v>0</v>
      </c>
      <c r="HB407" s="561">
        <v>623</v>
      </c>
      <c r="HC407" s="561">
        <v>505</v>
      </c>
      <c r="HD407" s="561">
        <v>4152</v>
      </c>
      <c r="HE407" s="561">
        <v>826</v>
      </c>
      <c r="HF407" s="561">
        <v>25432</v>
      </c>
      <c r="HG407" s="561">
        <v>842</v>
      </c>
      <c r="HH407" s="561">
        <v>0</v>
      </c>
      <c r="HI407" s="561">
        <v>0</v>
      </c>
      <c r="HJ407" s="561">
        <v>0</v>
      </c>
      <c r="HK407" s="561">
        <v>0</v>
      </c>
      <c r="HL407" s="561">
        <v>0</v>
      </c>
      <c r="HM407" s="561">
        <v>0</v>
      </c>
      <c r="HN407" s="561">
        <v>0</v>
      </c>
      <c r="HO407" s="561">
        <v>10576</v>
      </c>
      <c r="HP407" s="561">
        <v>100</v>
      </c>
      <c r="HQ407" s="561">
        <v>0</v>
      </c>
      <c r="HR407" s="561">
        <v>0</v>
      </c>
      <c r="HS407" s="561">
        <v>26</v>
      </c>
      <c r="HT407" s="561">
        <v>-194</v>
      </c>
      <c r="HU407" s="561">
        <v>0</v>
      </c>
      <c r="HV407" s="561">
        <v>-110</v>
      </c>
      <c r="HW407" s="561">
        <v>159</v>
      </c>
      <c r="HX407" s="561">
        <v>958</v>
      </c>
      <c r="HY407" s="561">
        <v>177</v>
      </c>
      <c r="HZ407" s="561">
        <v>-238</v>
      </c>
      <c r="IA407" s="561">
        <v>0</v>
      </c>
      <c r="IB407" s="561">
        <v>0</v>
      </c>
      <c r="IC407" s="561">
        <v>567</v>
      </c>
      <c r="ID407" s="561">
        <v>0</v>
      </c>
      <c r="IE407" s="561">
        <v>102</v>
      </c>
      <c r="IF407" s="561">
        <v>0</v>
      </c>
      <c r="IG407" s="561">
        <v>0</v>
      </c>
      <c r="IH407" s="561">
        <v>1419</v>
      </c>
      <c r="II407" s="561">
        <v>13542</v>
      </c>
      <c r="IJ407" s="561">
        <v>883</v>
      </c>
      <c r="IK407" s="561">
        <v>2216</v>
      </c>
      <c r="IL407" s="561">
        <v>18404</v>
      </c>
      <c r="IM407" s="561">
        <v>0</v>
      </c>
      <c r="IN407" s="561">
        <v>902</v>
      </c>
      <c r="IO407" s="561">
        <v>335</v>
      </c>
      <c r="IP407" s="561">
        <v>0</v>
      </c>
      <c r="IQ407" s="561">
        <v>0</v>
      </c>
      <c r="IR407" s="561">
        <v>124647</v>
      </c>
      <c r="IS407" s="561">
        <v>13206</v>
      </c>
      <c r="IT407" s="561">
        <v>37519</v>
      </c>
      <c r="IU407" s="561">
        <v>71651</v>
      </c>
      <c r="IV407" s="561">
        <v>6021</v>
      </c>
      <c r="IW407" s="561">
        <v>3478</v>
      </c>
      <c r="IX407" s="561">
        <v>2685</v>
      </c>
      <c r="IY407" s="561">
        <v>18595</v>
      </c>
      <c r="IZ407" s="561">
        <v>4152</v>
      </c>
      <c r="JA407" s="561">
        <v>0</v>
      </c>
      <c r="JB407" s="561">
        <v>0</v>
      </c>
      <c r="JC407" s="561">
        <v>13542</v>
      </c>
      <c r="JD407" s="561">
        <v>0</v>
      </c>
      <c r="JE407" s="561">
        <v>295496</v>
      </c>
      <c r="JF407" s="561">
        <v>10372</v>
      </c>
      <c r="JG407" s="561">
        <v>0</v>
      </c>
      <c r="JH407" s="561">
        <v>4729</v>
      </c>
      <c r="JI407" s="561">
        <v>0</v>
      </c>
      <c r="JJ407" s="561">
        <v>0</v>
      </c>
      <c r="JK407" s="561">
        <v>5628</v>
      </c>
      <c r="JL407" s="561">
        <v>0</v>
      </c>
      <c r="JM407" s="561">
        <v>0</v>
      </c>
      <c r="JN407" s="561">
        <v>0</v>
      </c>
      <c r="JO407" s="561">
        <v>288</v>
      </c>
      <c r="JP407" s="561">
        <v>0</v>
      </c>
      <c r="JQ407" s="561">
        <v>0</v>
      </c>
      <c r="JR407" s="561">
        <v>0</v>
      </c>
      <c r="JS407" s="561">
        <v>0</v>
      </c>
      <c r="JT407" s="561">
        <v>0</v>
      </c>
      <c r="JU407" s="561">
        <v>0</v>
      </c>
      <c r="JV407" s="561">
        <v>316513</v>
      </c>
      <c r="JW407" s="561">
        <v>183</v>
      </c>
      <c r="JX407" s="561">
        <v>0</v>
      </c>
      <c r="JY407" s="561">
        <v>0</v>
      </c>
      <c r="JZ407" s="561">
        <v>0</v>
      </c>
      <c r="KA407" s="561">
        <v>0</v>
      </c>
      <c r="KB407" s="561">
        <v>276</v>
      </c>
      <c r="KC407" s="561">
        <v>9864</v>
      </c>
      <c r="KD407" s="561">
        <v>0</v>
      </c>
      <c r="KE407" s="561">
        <v>8225</v>
      </c>
      <c r="KF407" s="561">
        <v>0</v>
      </c>
      <c r="KG407" s="561">
        <v>335061</v>
      </c>
      <c r="KH407" s="561">
        <v>-4940</v>
      </c>
      <c r="KI407" s="561">
        <v>0</v>
      </c>
      <c r="KJ407" s="561">
        <v>95</v>
      </c>
      <c r="KK407" s="561">
        <v>0</v>
      </c>
      <c r="KL407" s="561">
        <v>-14830</v>
      </c>
      <c r="KM407" s="561">
        <v>0</v>
      </c>
      <c r="KN407" s="561">
        <v>0</v>
      </c>
      <c r="KO407" s="561">
        <v>0</v>
      </c>
      <c r="KP407" s="561">
        <v>0</v>
      </c>
      <c r="KQ407" s="561">
        <v>-16722</v>
      </c>
      <c r="KR407" s="561">
        <v>298664</v>
      </c>
      <c r="KS407" s="561">
        <v>0</v>
      </c>
      <c r="KT407" s="561">
        <v>-125285</v>
      </c>
      <c r="KU407" s="561">
        <v>173379</v>
      </c>
      <c r="KV407" s="561">
        <v>0</v>
      </c>
      <c r="KW407" s="561">
        <v>-4688</v>
      </c>
      <c r="KX407" s="561">
        <v>0</v>
      </c>
      <c r="KY407" s="561">
        <v>64</v>
      </c>
      <c r="KZ407" s="561">
        <v>-9511</v>
      </c>
      <c r="LA407" s="561">
        <v>1643</v>
      </c>
      <c r="LB407" s="561">
        <v>-132</v>
      </c>
      <c r="LC407" s="561">
        <v>0</v>
      </c>
      <c r="LD407" s="561">
        <v>-12573</v>
      </c>
      <c r="LE407" s="561">
        <v>1500</v>
      </c>
      <c r="LF407" s="561">
        <v>-2413</v>
      </c>
      <c r="LG407" s="561">
        <v>147269</v>
      </c>
      <c r="LH407" s="561">
        <v>6619</v>
      </c>
      <c r="LI407" s="561">
        <v>-20202</v>
      </c>
      <c r="LJ407" s="561">
        <v>0</v>
      </c>
      <c r="LK407" s="561">
        <v>740</v>
      </c>
      <c r="LL407" s="561">
        <v>133083</v>
      </c>
      <c r="LM407" s="561">
        <v>9482</v>
      </c>
      <c r="LN407" s="561">
        <v>1931</v>
      </c>
      <c r="LO407" s="561">
        <v>-36924</v>
      </c>
      <c r="LP407" s="561">
        <v>0</v>
      </c>
      <c r="LQ407" s="561">
        <v>804</v>
      </c>
      <c r="LR407" s="561">
        <v>123572</v>
      </c>
      <c r="LS407" s="561">
        <v>11125</v>
      </c>
      <c r="LT407" s="561">
        <v>0</v>
      </c>
      <c r="LU407" s="561">
        <v>17600</v>
      </c>
      <c r="LV407" s="561">
        <v>0</v>
      </c>
      <c r="LW407" s="561">
        <v>15053</v>
      </c>
      <c r="LX407" s="561">
        <v>0</v>
      </c>
      <c r="LY407" s="561">
        <v>0</v>
      </c>
      <c r="LZ407" s="561">
        <v>32948</v>
      </c>
      <c r="MA407" s="561">
        <v>0</v>
      </c>
      <c r="MB407" s="561">
        <v>0</v>
      </c>
      <c r="MC407" s="561">
        <v>19732</v>
      </c>
      <c r="MD407" s="561">
        <v>19703</v>
      </c>
      <c r="ME407" s="561">
        <v>29</v>
      </c>
      <c r="MF407" s="561">
        <v>1032</v>
      </c>
      <c r="MG407" s="561">
        <v>1061</v>
      </c>
      <c r="MH407" s="561">
        <v>1765</v>
      </c>
      <c r="MI407" s="561">
        <v>2514</v>
      </c>
      <c r="MJ407" s="561">
        <v>4279</v>
      </c>
      <c r="MK407" s="561">
        <v>0</v>
      </c>
      <c r="ML407" s="561">
        <v>37782</v>
      </c>
      <c r="MM407" s="561">
        <v>42930</v>
      </c>
      <c r="MN407" s="561">
        <v>29016</v>
      </c>
      <c r="MO407" s="561">
        <v>13844</v>
      </c>
      <c r="MP407" s="561">
        <v>0</v>
      </c>
      <c r="MQ407" s="561">
        <v>124647</v>
      </c>
      <c r="MR407" s="561">
        <v>13206</v>
      </c>
      <c r="MS407" s="561">
        <v>37519</v>
      </c>
      <c r="MT407" s="561">
        <v>71651</v>
      </c>
      <c r="MU407" s="561">
        <v>6021</v>
      </c>
      <c r="MV407" s="561">
        <v>3478</v>
      </c>
      <c r="MW407" s="561">
        <v>2685</v>
      </c>
      <c r="MX407" s="561">
        <v>18595</v>
      </c>
      <c r="MY407" s="561">
        <v>4152</v>
      </c>
      <c r="MZ407" s="561">
        <v>0</v>
      </c>
      <c r="NA407" s="561">
        <v>0</v>
      </c>
      <c r="NB407" s="561">
        <v>13542</v>
      </c>
      <c r="NC407" s="561">
        <v>0</v>
      </c>
      <c r="ND407" s="561">
        <v>295496</v>
      </c>
      <c r="NE407" s="561">
        <v>0</v>
      </c>
      <c r="NF407" s="561">
        <v>0</v>
      </c>
      <c r="NG407" s="561">
        <v>0</v>
      </c>
      <c r="NH407" s="561">
        <v>0</v>
      </c>
      <c r="NI407" s="561">
        <v>0</v>
      </c>
      <c r="NJ407" s="561">
        <v>0</v>
      </c>
      <c r="NK407" s="561">
        <v>0</v>
      </c>
      <c r="NL407" s="561">
        <v>0</v>
      </c>
      <c r="NM407" s="561">
        <v>0</v>
      </c>
      <c r="NN407" s="561">
        <v>0</v>
      </c>
      <c r="NO407" s="561">
        <v>0</v>
      </c>
      <c r="NP407" s="561">
        <v>0</v>
      </c>
      <c r="NQ407" s="561">
        <v>0</v>
      </c>
      <c r="NR407" s="561">
        <v>0</v>
      </c>
      <c r="NS407" s="561">
        <v>0</v>
      </c>
      <c r="NT407" s="561">
        <v>0</v>
      </c>
      <c r="NU407" s="561">
        <v>0</v>
      </c>
      <c r="NV407" s="561">
        <v>0</v>
      </c>
      <c r="NW407" s="561">
        <v>0</v>
      </c>
      <c r="NX407" s="561">
        <v>0</v>
      </c>
      <c r="NY407" s="561">
        <v>0</v>
      </c>
      <c r="NZ407" s="561">
        <v>0</v>
      </c>
      <c r="OA407" s="561">
        <v>0</v>
      </c>
      <c r="OB407" s="561">
        <v>0</v>
      </c>
      <c r="OC407" s="561">
        <v>0</v>
      </c>
      <c r="OD407" s="561">
        <v>0</v>
      </c>
      <c r="OE407" s="561">
        <v>0</v>
      </c>
      <c r="OF407" s="561">
        <v>0</v>
      </c>
      <c r="OG407" s="561">
        <v>0</v>
      </c>
      <c r="OH407" s="561">
        <v>0</v>
      </c>
      <c r="OI407" s="561">
        <v>0</v>
      </c>
      <c r="OJ407" s="561">
        <v>0</v>
      </c>
      <c r="OK407" s="561">
        <v>0</v>
      </c>
      <c r="OL407" s="561">
        <v>0</v>
      </c>
      <c r="OM407" s="561">
        <v>0</v>
      </c>
      <c r="ON407" s="561">
        <v>0</v>
      </c>
      <c r="OO407" s="561">
        <v>0</v>
      </c>
      <c r="OP407" s="561">
        <v>0</v>
      </c>
      <c r="OQ407" s="561">
        <v>0</v>
      </c>
      <c r="OR407" s="561">
        <v>0</v>
      </c>
      <c r="OS407" s="561">
        <v>0</v>
      </c>
      <c r="OT407" s="561">
        <v>0</v>
      </c>
      <c r="OU407" s="561">
        <v>0</v>
      </c>
      <c r="OV407" s="561">
        <v>0</v>
      </c>
      <c r="OW407" s="561">
        <v>0</v>
      </c>
      <c r="OX407" s="561">
        <v>0</v>
      </c>
      <c r="OY407" s="561">
        <v>0</v>
      </c>
      <c r="OZ407" s="561">
        <v>0</v>
      </c>
      <c r="PA407" s="561">
        <v>0</v>
      </c>
      <c r="PB407" s="561">
        <v>0</v>
      </c>
      <c r="PC407" s="561">
        <v>0</v>
      </c>
      <c r="PD407" s="561">
        <v>0</v>
      </c>
      <c r="PE407" s="561">
        <v>0</v>
      </c>
      <c r="PF407" s="561">
        <v>0</v>
      </c>
      <c r="PG407" s="561">
        <v>0</v>
      </c>
      <c r="PH407" s="561">
        <v>0</v>
      </c>
      <c r="PI407" s="561">
        <v>0</v>
      </c>
      <c r="PJ407" s="561">
        <v>0</v>
      </c>
    </row>
    <row r="408" spans="1:426" ht="14" x14ac:dyDescent="0.3">
      <c r="A408" t="s">
        <v>3665</v>
      </c>
      <c r="B408" t="s">
        <v>3666</v>
      </c>
      <c r="C408" t="s">
        <v>3667</v>
      </c>
      <c r="E408" t="s">
        <v>379</v>
      </c>
      <c r="F408" s="561">
        <v>27310</v>
      </c>
      <c r="G408" s="561">
        <v>79866</v>
      </c>
      <c r="H408" s="561">
        <v>29727</v>
      </c>
      <c r="I408" s="561">
        <v>39322</v>
      </c>
      <c r="J408" s="561">
        <v>3980</v>
      </c>
      <c r="K408" s="561">
        <v>20799</v>
      </c>
      <c r="L408" s="561">
        <v>201004</v>
      </c>
      <c r="M408" s="561">
        <v>3398</v>
      </c>
      <c r="N408" s="561">
        <v>649</v>
      </c>
      <c r="O408" s="561">
        <v>2225</v>
      </c>
      <c r="P408" s="561">
        <v>21</v>
      </c>
      <c r="Q408" s="561">
        <v>202</v>
      </c>
      <c r="R408" s="561">
        <v>317</v>
      </c>
      <c r="S408" s="561">
        <v>1139</v>
      </c>
      <c r="T408" s="561">
        <v>1762</v>
      </c>
      <c r="U408" s="561">
        <v>384</v>
      </c>
      <c r="V408" s="561">
        <v>3102</v>
      </c>
      <c r="W408" s="561">
        <v>0</v>
      </c>
      <c r="X408" s="561">
        <v>497</v>
      </c>
      <c r="Y408" s="561">
        <v>624</v>
      </c>
      <c r="Z408" s="561">
        <v>977</v>
      </c>
      <c r="AA408" s="561">
        <v>-23</v>
      </c>
      <c r="AB408" s="561">
        <v>-705</v>
      </c>
      <c r="AC408" s="561">
        <v>0</v>
      </c>
      <c r="AD408" s="561">
        <v>0</v>
      </c>
      <c r="AE408" s="561">
        <v>0</v>
      </c>
      <c r="AF408" s="561">
        <v>0</v>
      </c>
      <c r="AG408" s="561">
        <v>0</v>
      </c>
      <c r="AH408" s="561">
        <v>1</v>
      </c>
      <c r="AI408" s="561">
        <v>0</v>
      </c>
      <c r="AJ408" s="561">
        <v>11172</v>
      </c>
      <c r="AK408" s="561">
        <v>596</v>
      </c>
      <c r="AL408" s="561">
        <v>0</v>
      </c>
      <c r="AM408" s="561">
        <v>0</v>
      </c>
      <c r="AN408" s="561">
        <v>0</v>
      </c>
      <c r="AO408" s="561">
        <v>0</v>
      </c>
      <c r="AP408" s="561">
        <v>0</v>
      </c>
      <c r="AQ408" s="561">
        <v>0</v>
      </c>
      <c r="AR408" s="561">
        <v>0</v>
      </c>
      <c r="AS408" s="561">
        <v>234</v>
      </c>
      <c r="AT408" s="561">
        <v>407</v>
      </c>
      <c r="AU408" s="561">
        <v>0</v>
      </c>
      <c r="AV408" s="561">
        <v>0</v>
      </c>
      <c r="AW408" s="561">
        <v>0</v>
      </c>
      <c r="AX408" s="561">
        <v>2688</v>
      </c>
      <c r="AY408" s="561">
        <v>43708</v>
      </c>
      <c r="AZ408" s="561">
        <v>1772</v>
      </c>
      <c r="BA408" s="561">
        <v>14343</v>
      </c>
      <c r="BB408" s="561">
        <v>2998</v>
      </c>
      <c r="BC408" s="561">
        <v>18838</v>
      </c>
      <c r="BD408" s="561">
        <v>464</v>
      </c>
      <c r="BE408" s="561">
        <v>3916</v>
      </c>
      <c r="BF408" s="561">
        <v>88727</v>
      </c>
      <c r="BG408" s="561">
        <v>2924</v>
      </c>
      <c r="BH408" s="561">
        <v>11908</v>
      </c>
      <c r="BI408" s="561">
        <v>22559</v>
      </c>
      <c r="BJ408" s="561">
        <v>211</v>
      </c>
      <c r="BK408" s="561">
        <v>84</v>
      </c>
      <c r="BL408" s="561">
        <v>887</v>
      </c>
      <c r="BM408" s="561">
        <v>5942</v>
      </c>
      <c r="BN408" s="561">
        <v>35994</v>
      </c>
      <c r="BO408" s="561">
        <v>5153</v>
      </c>
      <c r="BP408" s="561">
        <v>8400</v>
      </c>
      <c r="BQ408" s="561">
        <v>3672</v>
      </c>
      <c r="BR408" s="561">
        <v>1</v>
      </c>
      <c r="BS408" s="561">
        <v>0</v>
      </c>
      <c r="BT408" s="561">
        <v>1229</v>
      </c>
      <c r="BU408" s="561">
        <v>338</v>
      </c>
      <c r="BV408" s="561">
        <v>1198</v>
      </c>
      <c r="BW408" s="561">
        <v>16323</v>
      </c>
      <c r="BX408" s="561">
        <v>641</v>
      </c>
      <c r="BY408" s="561">
        <v>9358</v>
      </c>
      <c r="BZ408" s="561">
        <v>123898</v>
      </c>
      <c r="CA408" s="561">
        <v>4917</v>
      </c>
      <c r="CB408" s="561">
        <v>1518</v>
      </c>
      <c r="CC408" s="561">
        <v>861</v>
      </c>
      <c r="CD408" s="561">
        <v>516</v>
      </c>
      <c r="CE408" s="561">
        <v>346</v>
      </c>
      <c r="CF408" s="561">
        <v>748</v>
      </c>
      <c r="CG408" s="561">
        <v>238</v>
      </c>
      <c r="CH408" s="561">
        <v>317</v>
      </c>
      <c r="CI408" s="561">
        <v>277</v>
      </c>
      <c r="CJ408" s="561">
        <v>52</v>
      </c>
      <c r="CK408" s="561">
        <v>283</v>
      </c>
      <c r="CL408" s="561">
        <v>520</v>
      </c>
      <c r="CM408" s="561">
        <v>2439</v>
      </c>
      <c r="CN408" s="561">
        <v>1731</v>
      </c>
      <c r="CO408" s="561">
        <v>951</v>
      </c>
      <c r="CP408" s="561">
        <v>959</v>
      </c>
      <c r="CQ408" s="561">
        <v>682</v>
      </c>
      <c r="CR408" s="561">
        <v>492</v>
      </c>
      <c r="CS408" s="561">
        <v>137</v>
      </c>
      <c r="CT408" s="561">
        <v>1359</v>
      </c>
      <c r="CU408" s="561">
        <v>3239</v>
      </c>
      <c r="CV408" s="561">
        <v>1750</v>
      </c>
      <c r="CW408" s="561">
        <v>141</v>
      </c>
      <c r="CX408" s="561">
        <v>285</v>
      </c>
      <c r="CY408" s="561">
        <v>5037</v>
      </c>
      <c r="CZ408" s="561">
        <v>24878</v>
      </c>
      <c r="DA408" s="561">
        <v>168</v>
      </c>
      <c r="DB408" s="561">
        <v>0</v>
      </c>
      <c r="DC408" s="561">
        <v>0</v>
      </c>
      <c r="DD408" s="561">
        <v>0</v>
      </c>
      <c r="DE408" s="561">
        <v>0</v>
      </c>
      <c r="DF408" s="561">
        <v>0</v>
      </c>
      <c r="DG408" s="561">
        <v>0</v>
      </c>
      <c r="DH408" s="561">
        <v>2</v>
      </c>
      <c r="DI408" s="561">
        <v>0</v>
      </c>
      <c r="DJ408" s="561">
        <v>63</v>
      </c>
      <c r="DK408" s="561">
        <v>737</v>
      </c>
      <c r="DL408" s="561">
        <v>2</v>
      </c>
      <c r="DM408" s="561">
        <v>0</v>
      </c>
      <c r="DN408" s="561">
        <v>70</v>
      </c>
      <c r="DO408" s="561">
        <v>1286</v>
      </c>
      <c r="DP408" s="561">
        <v>0</v>
      </c>
      <c r="DQ408" s="561">
        <v>0</v>
      </c>
      <c r="DR408" s="561">
        <v>0</v>
      </c>
      <c r="DS408" s="561">
        <v>1416</v>
      </c>
      <c r="DT408" s="561">
        <v>563</v>
      </c>
      <c r="DU408" s="561">
        <v>3337</v>
      </c>
      <c r="DV408" s="561">
        <v>4</v>
      </c>
      <c r="DW408" s="561">
        <v>0</v>
      </c>
      <c r="DX408" s="561">
        <v>560</v>
      </c>
      <c r="DY408" s="561">
        <v>1415</v>
      </c>
      <c r="DZ408" s="561">
        <v>-50</v>
      </c>
      <c r="EA408" s="561">
        <v>3225</v>
      </c>
      <c r="EB408" s="561">
        <v>0</v>
      </c>
      <c r="EC408" s="561">
        <v>9293</v>
      </c>
      <c r="ED408" s="561">
        <v>934</v>
      </c>
      <c r="EE408" s="561">
        <v>108193</v>
      </c>
      <c r="EF408" s="561">
        <v>641</v>
      </c>
      <c r="EG408" s="561">
        <v>6245</v>
      </c>
      <c r="EH408" s="561">
        <v>0</v>
      </c>
      <c r="EI408" s="561">
        <v>0</v>
      </c>
      <c r="EJ408" s="561">
        <v>0</v>
      </c>
      <c r="EK408" s="561">
        <v>0</v>
      </c>
      <c r="EL408" s="561">
        <v>0</v>
      </c>
      <c r="EM408" s="561">
        <v>0</v>
      </c>
      <c r="EN408" s="561">
        <v>32709</v>
      </c>
      <c r="EO408" s="561">
        <v>27427</v>
      </c>
      <c r="EP408" s="561">
        <v>282</v>
      </c>
      <c r="EQ408" s="561">
        <v>822</v>
      </c>
      <c r="ER408" s="561">
        <v>23038</v>
      </c>
      <c r="ES408" s="561" t="s">
        <v>4565</v>
      </c>
      <c r="ET408" s="561">
        <v>0</v>
      </c>
      <c r="EU408" s="561">
        <v>0</v>
      </c>
      <c r="EV408" s="561">
        <v>0</v>
      </c>
      <c r="EW408" s="561">
        <v>0</v>
      </c>
      <c r="EX408" s="561">
        <v>24305</v>
      </c>
      <c r="EY408" s="561">
        <v>294</v>
      </c>
      <c r="EZ408" s="561">
        <v>6202</v>
      </c>
      <c r="FA408" s="561">
        <v>7258</v>
      </c>
      <c r="FB408" s="561">
        <v>379</v>
      </c>
      <c r="FC408" s="561">
        <v>856</v>
      </c>
      <c r="FD408" s="561">
        <v>0</v>
      </c>
      <c r="FE408" s="561">
        <v>2026</v>
      </c>
      <c r="FF408" s="561">
        <v>1296</v>
      </c>
      <c r="FG408" s="561">
        <v>993</v>
      </c>
      <c r="FH408" s="561">
        <v>0</v>
      </c>
      <c r="FI408" s="561">
        <v>59</v>
      </c>
      <c r="FJ408" s="561">
        <v>5680</v>
      </c>
      <c r="FK408" s="561">
        <v>3919</v>
      </c>
      <c r="FL408" s="561">
        <v>-5</v>
      </c>
      <c r="FM408" s="561">
        <v>0</v>
      </c>
      <c r="FN408" s="561">
        <v>3201</v>
      </c>
      <c r="FO408" s="561">
        <v>18404</v>
      </c>
      <c r="FP408" s="561">
        <v>1288</v>
      </c>
      <c r="FQ408" s="561">
        <v>-13</v>
      </c>
      <c r="FR408" s="561">
        <v>228</v>
      </c>
      <c r="FS408" s="561">
        <v>122</v>
      </c>
      <c r="FT408" s="561">
        <v>668</v>
      </c>
      <c r="FU408" s="561">
        <v>1248</v>
      </c>
      <c r="FV408" s="561">
        <v>0</v>
      </c>
      <c r="FW408" s="561">
        <v>132</v>
      </c>
      <c r="FX408" s="561">
        <v>0</v>
      </c>
      <c r="FY408" s="561">
        <v>0</v>
      </c>
      <c r="FZ408" s="561">
        <v>-25</v>
      </c>
      <c r="GA408" s="561">
        <v>331</v>
      </c>
      <c r="GB408" s="561">
        <v>403</v>
      </c>
      <c r="GC408" s="561">
        <v>558</v>
      </c>
      <c r="GD408" s="561">
        <v>893</v>
      </c>
      <c r="GE408" s="561">
        <v>0</v>
      </c>
      <c r="GF408" s="561">
        <v>0</v>
      </c>
      <c r="GG408" s="561">
        <v>0</v>
      </c>
      <c r="GH408" s="561">
        <v>0</v>
      </c>
      <c r="GI408" s="561">
        <v>0</v>
      </c>
      <c r="GJ408" s="561">
        <v>0</v>
      </c>
      <c r="GK408" s="561">
        <v>0</v>
      </c>
      <c r="GL408" s="561">
        <v>3106</v>
      </c>
      <c r="GM408" s="561">
        <v>1478</v>
      </c>
      <c r="GN408" s="561">
        <v>9190</v>
      </c>
      <c r="GO408" s="561">
        <v>-698</v>
      </c>
      <c r="GP408" s="561">
        <v>4561</v>
      </c>
      <c r="GQ408" s="561">
        <v>0</v>
      </c>
      <c r="GR408" s="561">
        <v>0</v>
      </c>
      <c r="GS408" s="561">
        <v>22182</v>
      </c>
      <c r="GT408" s="561">
        <v>1764</v>
      </c>
      <c r="GU408" s="561">
        <v>728</v>
      </c>
      <c r="GV408" s="561">
        <v>459</v>
      </c>
      <c r="GW408" s="561">
        <v>0</v>
      </c>
      <c r="GX408" s="561">
        <v>615</v>
      </c>
      <c r="GY408" s="561">
        <v>156</v>
      </c>
      <c r="GZ408" s="561">
        <v>6665</v>
      </c>
      <c r="HA408" s="561">
        <v>0</v>
      </c>
      <c r="HB408" s="561">
        <v>407</v>
      </c>
      <c r="HC408" s="561">
        <v>233</v>
      </c>
      <c r="HD408" s="561">
        <v>9263</v>
      </c>
      <c r="HE408" s="561">
        <v>715</v>
      </c>
      <c r="HF408" s="561">
        <v>49849</v>
      </c>
      <c r="HG408" s="561">
        <v>3766</v>
      </c>
      <c r="HH408" s="561">
        <v>0</v>
      </c>
      <c r="HI408" s="561">
        <v>0</v>
      </c>
      <c r="HJ408" s="561">
        <v>0</v>
      </c>
      <c r="HK408" s="561">
        <v>0</v>
      </c>
      <c r="HL408" s="561">
        <v>0</v>
      </c>
      <c r="HM408" s="561">
        <v>0</v>
      </c>
      <c r="HN408" s="561">
        <v>0</v>
      </c>
      <c r="HO408" s="561">
        <v>5541</v>
      </c>
      <c r="HP408" s="561">
        <v>1433</v>
      </c>
      <c r="HQ408" s="561">
        <v>0</v>
      </c>
      <c r="HR408" s="561">
        <v>-14</v>
      </c>
      <c r="HS408" s="561">
        <v>1914</v>
      </c>
      <c r="HT408" s="561">
        <v>661</v>
      </c>
      <c r="HU408" s="561">
        <v>0</v>
      </c>
      <c r="HV408" s="561">
        <v>28</v>
      </c>
      <c r="HW408" s="561">
        <v>557</v>
      </c>
      <c r="HX408" s="561">
        <v>957</v>
      </c>
      <c r="HY408" s="561">
        <v>31</v>
      </c>
      <c r="HZ408" s="561">
        <v>-49</v>
      </c>
      <c r="IA408" s="561">
        <v>0</v>
      </c>
      <c r="IB408" s="561">
        <v>555</v>
      </c>
      <c r="IC408" s="561">
        <v>599</v>
      </c>
      <c r="ID408" s="561">
        <v>0</v>
      </c>
      <c r="IE408" s="561">
        <v>2499</v>
      </c>
      <c r="IF408" s="561">
        <v>235</v>
      </c>
      <c r="IG408" s="561">
        <v>199</v>
      </c>
      <c r="IH408" s="561">
        <v>-5343</v>
      </c>
      <c r="II408" s="561">
        <v>9803</v>
      </c>
      <c r="IJ408" s="561">
        <v>3980</v>
      </c>
      <c r="IK408" s="561">
        <v>1628</v>
      </c>
      <c r="IL408" s="561">
        <v>73481</v>
      </c>
      <c r="IM408" s="561">
        <v>0</v>
      </c>
      <c r="IN408" s="561">
        <v>6141</v>
      </c>
      <c r="IO408" s="561">
        <v>20686</v>
      </c>
      <c r="IP408" s="561">
        <v>970</v>
      </c>
      <c r="IQ408" s="561">
        <v>0</v>
      </c>
      <c r="IR408" s="561">
        <v>201004</v>
      </c>
      <c r="IS408" s="561">
        <v>11172</v>
      </c>
      <c r="IT408" s="561">
        <v>88727</v>
      </c>
      <c r="IU408" s="561">
        <v>123898</v>
      </c>
      <c r="IV408" s="561">
        <v>24878</v>
      </c>
      <c r="IW408" s="561">
        <v>9293</v>
      </c>
      <c r="IX408" s="561">
        <v>18404</v>
      </c>
      <c r="IY408" s="561">
        <v>22182</v>
      </c>
      <c r="IZ408" s="561">
        <v>9263</v>
      </c>
      <c r="JA408" s="561">
        <v>0</v>
      </c>
      <c r="JB408" s="561">
        <v>0</v>
      </c>
      <c r="JC408" s="561">
        <v>9803</v>
      </c>
      <c r="JD408" s="561">
        <v>970</v>
      </c>
      <c r="JE408" s="561">
        <v>519594</v>
      </c>
      <c r="JF408" s="561">
        <v>32170</v>
      </c>
      <c r="JG408" s="561">
        <v>4656</v>
      </c>
      <c r="JH408" s="561">
        <v>26181</v>
      </c>
      <c r="JI408" s="561">
        <v>0</v>
      </c>
      <c r="JJ408" s="561">
        <v>0</v>
      </c>
      <c r="JK408" s="561">
        <v>0</v>
      </c>
      <c r="JL408" s="561">
        <v>10815</v>
      </c>
      <c r="JM408" s="561">
        <v>0</v>
      </c>
      <c r="JN408" s="561">
        <v>0</v>
      </c>
      <c r="JO408" s="561">
        <v>1336</v>
      </c>
      <c r="JP408" s="561">
        <v>4904</v>
      </c>
      <c r="JQ408" s="561">
        <v>10791</v>
      </c>
      <c r="JR408" s="561">
        <v>-4424</v>
      </c>
      <c r="JS408" s="561">
        <v>-1909</v>
      </c>
      <c r="JT408" s="561">
        <v>0</v>
      </c>
      <c r="JU408" s="561">
        <v>0</v>
      </c>
      <c r="JV408" s="561">
        <v>604114</v>
      </c>
      <c r="JW408" s="561">
        <v>81</v>
      </c>
      <c r="JX408" s="561">
        <v>1551</v>
      </c>
      <c r="JY408" s="561">
        <v>0</v>
      </c>
      <c r="JZ408" s="561">
        <v>-6045</v>
      </c>
      <c r="KA408" s="561">
        <v>0</v>
      </c>
      <c r="KB408" s="561">
        <v>0</v>
      </c>
      <c r="KC408" s="561">
        <v>21753</v>
      </c>
      <c r="KD408" s="561">
        <v>0</v>
      </c>
      <c r="KE408" s="561">
        <v>32491</v>
      </c>
      <c r="KF408" s="561">
        <v>-15636</v>
      </c>
      <c r="KG408" s="561">
        <v>638309</v>
      </c>
      <c r="KH408" s="561">
        <v>-11292</v>
      </c>
      <c r="KI408" s="561">
        <v>0</v>
      </c>
      <c r="KJ408" s="561">
        <v>0</v>
      </c>
      <c r="KK408" s="561">
        <v>0</v>
      </c>
      <c r="KL408" s="561">
        <v>-64595.68</v>
      </c>
      <c r="KM408" s="561">
        <v>0</v>
      </c>
      <c r="KN408" s="561">
        <v>0</v>
      </c>
      <c r="KO408" s="561">
        <v>0</v>
      </c>
      <c r="KP408" s="561">
        <v>0</v>
      </c>
      <c r="KQ408" s="561">
        <v>114</v>
      </c>
      <c r="KR408" s="561">
        <v>562535.31999999995</v>
      </c>
      <c r="KS408" s="561">
        <v>0</v>
      </c>
      <c r="KT408" s="561">
        <v>-301147.96999999997</v>
      </c>
      <c r="KU408" s="561">
        <v>261387.35</v>
      </c>
      <c r="KV408" s="561">
        <v>0</v>
      </c>
      <c r="KW408" s="561">
        <v>865</v>
      </c>
      <c r="KX408" s="561">
        <v>0</v>
      </c>
      <c r="KY408" s="561">
        <v>589</v>
      </c>
      <c r="KZ408" s="561">
        <v>12143</v>
      </c>
      <c r="LA408" s="561">
        <v>2025</v>
      </c>
      <c r="LB408" s="561">
        <v>0</v>
      </c>
      <c r="LC408" s="561">
        <v>0</v>
      </c>
      <c r="LD408" s="561">
        <v>-142956</v>
      </c>
      <c r="LE408" s="561">
        <v>-477</v>
      </c>
      <c r="LF408" s="561">
        <v>0</v>
      </c>
      <c r="LG408" s="561">
        <v>133576</v>
      </c>
      <c r="LH408" s="561">
        <v>12530</v>
      </c>
      <c r="LI408" s="561">
        <v>-114</v>
      </c>
      <c r="LJ408" s="561">
        <v>0</v>
      </c>
      <c r="LK408" s="561">
        <v>6028</v>
      </c>
      <c r="LL408" s="561">
        <v>41367</v>
      </c>
      <c r="LM408" s="561">
        <v>17021</v>
      </c>
      <c r="LN408" s="561">
        <v>13395</v>
      </c>
      <c r="LO408" s="561">
        <v>0</v>
      </c>
      <c r="LP408" s="561">
        <v>0</v>
      </c>
      <c r="LQ408" s="561">
        <v>6617</v>
      </c>
      <c r="LR408" s="561">
        <v>53510</v>
      </c>
      <c r="LS408" s="561">
        <v>19046</v>
      </c>
      <c r="LT408" s="561">
        <v>0</v>
      </c>
      <c r="LU408" s="561">
        <v>23520</v>
      </c>
      <c r="LV408" s="561">
        <v>0</v>
      </c>
      <c r="LW408" s="561">
        <v>262</v>
      </c>
      <c r="LX408" s="561">
        <v>-50934</v>
      </c>
      <c r="LY408" s="561">
        <v>17662</v>
      </c>
      <c r="LZ408" s="561">
        <v>-9494</v>
      </c>
      <c r="MA408" s="561">
        <v>0</v>
      </c>
      <c r="MB408" s="561">
        <v>0</v>
      </c>
      <c r="MC408" s="561">
        <v>115079</v>
      </c>
      <c r="MD408" s="561">
        <v>108877</v>
      </c>
      <c r="ME408" s="561">
        <v>6202</v>
      </c>
      <c r="MF408" s="561">
        <v>7258</v>
      </c>
      <c r="MG408" s="561">
        <v>13460</v>
      </c>
      <c r="MH408" s="561">
        <v>10738</v>
      </c>
      <c r="MI408" s="561">
        <v>14432</v>
      </c>
      <c r="MJ408" s="561">
        <v>25170</v>
      </c>
      <c r="MK408" s="561">
        <v>0</v>
      </c>
      <c r="ML408" s="561">
        <v>2948</v>
      </c>
      <c r="MM408" s="561">
        <v>23158</v>
      </c>
      <c r="MN408" s="561">
        <v>2132</v>
      </c>
      <c r="MO408" s="561">
        <v>25255</v>
      </c>
      <c r="MP408" s="561">
        <v>17</v>
      </c>
      <c r="MQ408" s="561">
        <v>201004</v>
      </c>
      <c r="MR408" s="561">
        <v>11172</v>
      </c>
      <c r="MS408" s="561">
        <v>88727</v>
      </c>
      <c r="MT408" s="561">
        <v>123898</v>
      </c>
      <c r="MU408" s="561">
        <v>24878</v>
      </c>
      <c r="MV408" s="561">
        <v>9293</v>
      </c>
      <c r="MW408" s="561">
        <v>18404</v>
      </c>
      <c r="MX408" s="561">
        <v>22182</v>
      </c>
      <c r="MY408" s="561">
        <v>9263</v>
      </c>
      <c r="MZ408" s="561">
        <v>0</v>
      </c>
      <c r="NA408" s="561">
        <v>0</v>
      </c>
      <c r="NB408" s="561">
        <v>9803</v>
      </c>
      <c r="NC408" s="561">
        <v>970</v>
      </c>
      <c r="ND408" s="561">
        <v>519594</v>
      </c>
      <c r="NE408" s="561">
        <v>0</v>
      </c>
      <c r="NF408" s="561">
        <v>0</v>
      </c>
      <c r="NG408" s="561">
        <v>0</v>
      </c>
      <c r="NH408" s="561">
        <v>0</v>
      </c>
      <c r="NI408" s="561">
        <v>0</v>
      </c>
      <c r="NJ408" s="561">
        <v>0</v>
      </c>
      <c r="NK408" s="561">
        <v>0</v>
      </c>
      <c r="NL408" s="561">
        <v>0</v>
      </c>
      <c r="NM408" s="561">
        <v>221</v>
      </c>
      <c r="NN408" s="561">
        <v>0</v>
      </c>
      <c r="NO408" s="561">
        <v>0</v>
      </c>
      <c r="NP408" s="561">
        <v>0</v>
      </c>
      <c r="NQ408" s="561">
        <v>0</v>
      </c>
      <c r="NR408" s="561">
        <v>0</v>
      </c>
      <c r="NS408" s="561">
        <v>0</v>
      </c>
      <c r="NT408" s="561">
        <v>-422</v>
      </c>
      <c r="NU408" s="561">
        <v>-3457</v>
      </c>
      <c r="NV408" s="561">
        <v>681</v>
      </c>
      <c r="NW408" s="561">
        <v>480</v>
      </c>
      <c r="NX408" s="561">
        <v>4424</v>
      </c>
      <c r="NY408" s="561">
        <v>4904</v>
      </c>
      <c r="NZ408" s="561">
        <v>0</v>
      </c>
      <c r="OA408" s="561">
        <v>0</v>
      </c>
      <c r="OB408" s="561">
        <v>0</v>
      </c>
      <c r="OC408" s="561">
        <v>0</v>
      </c>
      <c r="OD408" s="561">
        <v>0</v>
      </c>
      <c r="OE408" s="561">
        <v>0</v>
      </c>
      <c r="OF408" s="561">
        <v>0</v>
      </c>
      <c r="OG408" s="561">
        <v>0</v>
      </c>
      <c r="OH408" s="561">
        <v>0</v>
      </c>
      <c r="OI408" s="561">
        <v>0</v>
      </c>
      <c r="OJ408" s="561">
        <v>1914</v>
      </c>
      <c r="OK408" s="561">
        <v>0</v>
      </c>
      <c r="OL408" s="561">
        <v>916</v>
      </c>
      <c r="OM408" s="561">
        <v>4321</v>
      </c>
      <c r="ON408" s="561">
        <v>954</v>
      </c>
      <c r="OO408" s="561">
        <v>0</v>
      </c>
      <c r="OP408" s="561">
        <v>777</v>
      </c>
      <c r="OQ408" s="561">
        <v>0</v>
      </c>
      <c r="OR408" s="561">
        <v>0</v>
      </c>
      <c r="OS408" s="561">
        <v>0</v>
      </c>
      <c r="OT408" s="561">
        <v>0</v>
      </c>
      <c r="OU408" s="561">
        <v>0</v>
      </c>
      <c r="OV408" s="561">
        <v>7018</v>
      </c>
      <c r="OW408" s="561">
        <v>1909</v>
      </c>
      <c r="OX408" s="561">
        <v>10791</v>
      </c>
      <c r="OY408" s="561">
        <v>62</v>
      </c>
      <c r="OZ408" s="561">
        <v>0</v>
      </c>
      <c r="PA408" s="561">
        <v>4362</v>
      </c>
      <c r="PB408" s="561">
        <v>0</v>
      </c>
      <c r="PC408" s="561">
        <v>0</v>
      </c>
      <c r="PD408" s="561">
        <v>4424</v>
      </c>
      <c r="PE408" s="561">
        <v>1909</v>
      </c>
      <c r="PF408" s="561">
        <v>0</v>
      </c>
      <c r="PG408" s="561">
        <v>0</v>
      </c>
      <c r="PH408" s="561">
        <v>0</v>
      </c>
      <c r="PI408" s="561">
        <v>0</v>
      </c>
      <c r="PJ408" s="561">
        <v>1909</v>
      </c>
    </row>
    <row r="409" spans="1:426" ht="14" x14ac:dyDescent="0.3">
      <c r="A409" t="s">
        <v>3668</v>
      </c>
      <c r="B409" t="s">
        <v>3669</v>
      </c>
      <c r="C409" t="s">
        <v>3670</v>
      </c>
      <c r="E409" t="s">
        <v>384</v>
      </c>
      <c r="F409" s="561">
        <v>0</v>
      </c>
      <c r="G409" s="561">
        <v>0</v>
      </c>
      <c r="H409" s="561">
        <v>0</v>
      </c>
      <c r="I409" s="561">
        <v>0</v>
      </c>
      <c r="J409" s="561">
        <v>0</v>
      </c>
      <c r="K409" s="561">
        <v>0</v>
      </c>
      <c r="L409" s="561">
        <v>0</v>
      </c>
      <c r="M409" s="561">
        <v>0</v>
      </c>
      <c r="N409" s="561">
        <v>0</v>
      </c>
      <c r="O409" s="561">
        <v>0</v>
      </c>
      <c r="P409" s="561">
        <v>0</v>
      </c>
      <c r="Q409" s="561">
        <v>0</v>
      </c>
      <c r="R409" s="561">
        <v>0</v>
      </c>
      <c r="S409" s="561">
        <v>0</v>
      </c>
      <c r="T409" s="561">
        <v>0</v>
      </c>
      <c r="U409" s="561">
        <v>0</v>
      </c>
      <c r="V409" s="561">
        <v>0</v>
      </c>
      <c r="W409" s="561">
        <v>0</v>
      </c>
      <c r="X409" s="561">
        <v>0</v>
      </c>
      <c r="Y409" s="561">
        <v>0</v>
      </c>
      <c r="Z409" s="561">
        <v>0</v>
      </c>
      <c r="AA409" s="561">
        <v>37</v>
      </c>
      <c r="AB409" s="561">
        <v>-2445</v>
      </c>
      <c r="AC409" s="561">
        <v>0</v>
      </c>
      <c r="AD409" s="561">
        <v>0</v>
      </c>
      <c r="AE409" s="561">
        <v>0</v>
      </c>
      <c r="AF409" s="561">
        <v>0</v>
      </c>
      <c r="AG409" s="561">
        <v>0</v>
      </c>
      <c r="AH409" s="561">
        <v>0</v>
      </c>
      <c r="AI409" s="561">
        <v>0</v>
      </c>
      <c r="AJ409" s="561">
        <v>-2408</v>
      </c>
      <c r="AK409" s="561">
        <v>0</v>
      </c>
      <c r="AL409" s="561">
        <v>0</v>
      </c>
      <c r="AM409" s="561">
        <v>0</v>
      </c>
      <c r="AN409" s="561">
        <v>0</v>
      </c>
      <c r="AO409" s="561">
        <v>0</v>
      </c>
      <c r="AP409" s="561">
        <v>0</v>
      </c>
      <c r="AQ409" s="561">
        <v>0</v>
      </c>
      <c r="AR409" s="561">
        <v>0</v>
      </c>
      <c r="AS409" s="561">
        <v>0</v>
      </c>
      <c r="AT409" s="561">
        <v>0</v>
      </c>
      <c r="AU409" s="561">
        <v>0</v>
      </c>
      <c r="AV409" s="561">
        <v>0</v>
      </c>
      <c r="AW409" s="561">
        <v>0</v>
      </c>
      <c r="AX409" s="561">
        <v>0</v>
      </c>
      <c r="AY409" s="561">
        <v>0</v>
      </c>
      <c r="AZ409" s="561">
        <v>0</v>
      </c>
      <c r="BA409" s="561">
        <v>0</v>
      </c>
      <c r="BB409" s="561">
        <v>0</v>
      </c>
      <c r="BC409" s="561">
        <v>0</v>
      </c>
      <c r="BD409" s="561">
        <v>0</v>
      </c>
      <c r="BE409" s="561">
        <v>0</v>
      </c>
      <c r="BF409" s="561">
        <v>0</v>
      </c>
      <c r="BG409" s="561">
        <v>0</v>
      </c>
      <c r="BH409" s="561">
        <v>0</v>
      </c>
      <c r="BI409" s="561">
        <v>0</v>
      </c>
      <c r="BJ409" s="561">
        <v>0</v>
      </c>
      <c r="BK409" s="561">
        <v>0</v>
      </c>
      <c r="BL409" s="561">
        <v>0</v>
      </c>
      <c r="BM409" s="561">
        <v>0</v>
      </c>
      <c r="BN409" s="561">
        <v>0</v>
      </c>
      <c r="BO409" s="561">
        <v>0</v>
      </c>
      <c r="BP409" s="561">
        <v>0</v>
      </c>
      <c r="BQ409" s="561">
        <v>0</v>
      </c>
      <c r="BR409" s="561">
        <v>0</v>
      </c>
      <c r="BS409" s="561">
        <v>0</v>
      </c>
      <c r="BT409" s="561">
        <v>0</v>
      </c>
      <c r="BU409" s="561">
        <v>0</v>
      </c>
      <c r="BV409" s="561">
        <v>0</v>
      </c>
      <c r="BW409" s="561">
        <v>0</v>
      </c>
      <c r="BX409" s="561">
        <v>0</v>
      </c>
      <c r="BY409" s="561">
        <v>0</v>
      </c>
      <c r="BZ409" s="561">
        <v>0</v>
      </c>
      <c r="CA409" s="561">
        <v>0</v>
      </c>
      <c r="CB409" s="561">
        <v>0</v>
      </c>
      <c r="CC409" s="561">
        <v>0</v>
      </c>
      <c r="CD409" s="561">
        <v>0</v>
      </c>
      <c r="CE409" s="561">
        <v>0</v>
      </c>
      <c r="CF409" s="561">
        <v>0</v>
      </c>
      <c r="CG409" s="561">
        <v>0</v>
      </c>
      <c r="CH409" s="561">
        <v>0</v>
      </c>
      <c r="CI409" s="561">
        <v>0</v>
      </c>
      <c r="CJ409" s="561">
        <v>0</v>
      </c>
      <c r="CK409" s="561">
        <v>0</v>
      </c>
      <c r="CL409" s="561">
        <v>0</v>
      </c>
      <c r="CM409" s="561">
        <v>0</v>
      </c>
      <c r="CN409" s="561">
        <v>0</v>
      </c>
      <c r="CO409" s="561">
        <v>0</v>
      </c>
      <c r="CP409" s="561">
        <v>0</v>
      </c>
      <c r="CQ409" s="561">
        <v>0</v>
      </c>
      <c r="CR409" s="561">
        <v>0</v>
      </c>
      <c r="CS409" s="561">
        <v>0</v>
      </c>
      <c r="CT409" s="561">
        <v>0</v>
      </c>
      <c r="CU409" s="561">
        <v>0</v>
      </c>
      <c r="CV409" s="561">
        <v>0</v>
      </c>
      <c r="CW409" s="561">
        <v>0</v>
      </c>
      <c r="CX409" s="561">
        <v>0</v>
      </c>
      <c r="CY409" s="561">
        <v>0</v>
      </c>
      <c r="CZ409" s="561">
        <v>0</v>
      </c>
      <c r="DA409" s="561">
        <v>0</v>
      </c>
      <c r="DB409" s="561">
        <v>0</v>
      </c>
      <c r="DC409" s="561">
        <v>0</v>
      </c>
      <c r="DD409" s="561">
        <v>0</v>
      </c>
      <c r="DE409" s="561">
        <v>0</v>
      </c>
      <c r="DF409" s="561">
        <v>0</v>
      </c>
      <c r="DG409" s="561">
        <v>0</v>
      </c>
      <c r="DH409" s="561">
        <v>419</v>
      </c>
      <c r="DI409" s="561">
        <v>0</v>
      </c>
      <c r="DJ409" s="561">
        <v>129</v>
      </c>
      <c r="DK409" s="561">
        <v>66</v>
      </c>
      <c r="DL409" s="561">
        <v>57</v>
      </c>
      <c r="DM409" s="561">
        <v>0</v>
      </c>
      <c r="DN409" s="561">
        <v>0</v>
      </c>
      <c r="DO409" s="561">
        <v>113</v>
      </c>
      <c r="DP409" s="561">
        <v>38</v>
      </c>
      <c r="DQ409" s="561">
        <v>57</v>
      </c>
      <c r="DR409" s="561">
        <v>170</v>
      </c>
      <c r="DS409" s="561">
        <v>1416</v>
      </c>
      <c r="DT409" s="561">
        <v>20</v>
      </c>
      <c r="DU409" s="561">
        <v>1871</v>
      </c>
      <c r="DV409" s="561">
        <v>0</v>
      </c>
      <c r="DW409" s="561">
        <v>0</v>
      </c>
      <c r="DX409" s="561">
        <v>0</v>
      </c>
      <c r="DY409" s="561">
        <v>553</v>
      </c>
      <c r="DZ409" s="561">
        <v>0</v>
      </c>
      <c r="EA409" s="561">
        <v>125</v>
      </c>
      <c r="EB409" s="561">
        <v>21</v>
      </c>
      <c r="EC409" s="561">
        <v>3184</v>
      </c>
      <c r="ED409" s="561">
        <v>0</v>
      </c>
      <c r="EE409" s="561">
        <v>0</v>
      </c>
      <c r="EF409" s="561">
        <v>0</v>
      </c>
      <c r="EG409" s="561">
        <v>0</v>
      </c>
      <c r="EH409" s="561">
        <v>0</v>
      </c>
      <c r="EI409" s="561">
        <v>0</v>
      </c>
      <c r="EJ409" s="561">
        <v>0</v>
      </c>
      <c r="EK409" s="561">
        <v>0</v>
      </c>
      <c r="EL409" s="561">
        <v>0</v>
      </c>
      <c r="EM409" s="561">
        <v>0</v>
      </c>
      <c r="EN409" s="561">
        <v>0</v>
      </c>
      <c r="EO409" s="561">
        <v>0</v>
      </c>
      <c r="EP409" s="561">
        <v>0</v>
      </c>
      <c r="EQ409" s="561">
        <v>0</v>
      </c>
      <c r="ER409" s="561">
        <v>0</v>
      </c>
      <c r="ES409" s="561" t="s">
        <v>4565</v>
      </c>
      <c r="ET409" s="561">
        <v>0</v>
      </c>
      <c r="EU409" s="561">
        <v>0</v>
      </c>
      <c r="EV409" s="561">
        <v>0</v>
      </c>
      <c r="EW409" s="561">
        <v>0</v>
      </c>
      <c r="EX409" s="561">
        <v>0</v>
      </c>
      <c r="EY409" s="561">
        <v>0</v>
      </c>
      <c r="EZ409" s="561">
        <v>0</v>
      </c>
      <c r="FA409" s="561">
        <v>0</v>
      </c>
      <c r="FB409" s="561">
        <v>0</v>
      </c>
      <c r="FC409" s="561">
        <v>0</v>
      </c>
      <c r="FD409" s="561">
        <v>-14</v>
      </c>
      <c r="FE409" s="561">
        <v>826</v>
      </c>
      <c r="FF409" s="561">
        <v>24</v>
      </c>
      <c r="FG409" s="561">
        <v>57</v>
      </c>
      <c r="FH409" s="561">
        <v>0</v>
      </c>
      <c r="FI409" s="561">
        <v>11</v>
      </c>
      <c r="FJ409" s="561">
        <v>143</v>
      </c>
      <c r="FK409" s="561">
        <v>1465</v>
      </c>
      <c r="FL409" s="561">
        <v>5</v>
      </c>
      <c r="FM409" s="561">
        <v>335</v>
      </c>
      <c r="FN409" s="561">
        <v>0</v>
      </c>
      <c r="FO409" s="561">
        <v>2852</v>
      </c>
      <c r="FP409" s="561">
        <v>0</v>
      </c>
      <c r="FQ409" s="561">
        <v>-503</v>
      </c>
      <c r="FR409" s="561">
        <v>0</v>
      </c>
      <c r="FS409" s="561">
        <v>7</v>
      </c>
      <c r="FT409" s="561">
        <v>135</v>
      </c>
      <c r="FU409" s="561">
        <v>254</v>
      </c>
      <c r="FV409" s="561">
        <v>129</v>
      </c>
      <c r="FW409" s="561">
        <v>30</v>
      </c>
      <c r="FX409" s="561">
        <v>0</v>
      </c>
      <c r="FY409" s="561">
        <v>0</v>
      </c>
      <c r="FZ409" s="561">
        <v>82</v>
      </c>
      <c r="GA409" s="561">
        <v>0</v>
      </c>
      <c r="GB409" s="561">
        <v>75</v>
      </c>
      <c r="GC409" s="561">
        <v>-91</v>
      </c>
      <c r="GD409" s="561">
        <v>341</v>
      </c>
      <c r="GE409" s="561">
        <v>0</v>
      </c>
      <c r="GF409" s="561">
        <v>0</v>
      </c>
      <c r="GG409" s="561">
        <v>4</v>
      </c>
      <c r="GH409" s="561">
        <v>0</v>
      </c>
      <c r="GI409" s="561">
        <v>0</v>
      </c>
      <c r="GJ409" s="561">
        <v>0</v>
      </c>
      <c r="GK409" s="561">
        <v>0</v>
      </c>
      <c r="GL409" s="561">
        <v>2306</v>
      </c>
      <c r="GM409" s="561">
        <v>949</v>
      </c>
      <c r="GN409" s="561">
        <v>0</v>
      </c>
      <c r="GO409" s="561">
        <v>-267</v>
      </c>
      <c r="GP409" s="561">
        <v>1295</v>
      </c>
      <c r="GQ409" s="561">
        <v>0</v>
      </c>
      <c r="GR409" s="561">
        <v>0</v>
      </c>
      <c r="GS409" s="561">
        <v>4746</v>
      </c>
      <c r="GT409" s="561">
        <v>0</v>
      </c>
      <c r="GU409" s="561">
        <v>15</v>
      </c>
      <c r="GV409" s="561">
        <v>735</v>
      </c>
      <c r="GW409" s="561">
        <v>172</v>
      </c>
      <c r="GX409" s="561">
        <v>257</v>
      </c>
      <c r="GY409" s="561">
        <v>224</v>
      </c>
      <c r="GZ409" s="561">
        <v>3028</v>
      </c>
      <c r="HA409" s="561">
        <v>0</v>
      </c>
      <c r="HB409" s="561">
        <v>22</v>
      </c>
      <c r="HC409" s="561">
        <v>843</v>
      </c>
      <c r="HD409" s="561">
        <v>5296</v>
      </c>
      <c r="HE409" s="561">
        <v>0</v>
      </c>
      <c r="HF409" s="561">
        <v>12894</v>
      </c>
      <c r="HG409" s="561">
        <v>0</v>
      </c>
      <c r="HH409" s="561">
        <v>0</v>
      </c>
      <c r="HI409" s="561">
        <v>0</v>
      </c>
      <c r="HJ409" s="561">
        <v>0</v>
      </c>
      <c r="HK409" s="561">
        <v>0</v>
      </c>
      <c r="HL409" s="561">
        <v>0</v>
      </c>
      <c r="HM409" s="561">
        <v>0</v>
      </c>
      <c r="HN409" s="561">
        <v>0</v>
      </c>
      <c r="HO409" s="561">
        <v>1572</v>
      </c>
      <c r="HP409" s="561">
        <v>732</v>
      </c>
      <c r="HQ409" s="561">
        <v>0</v>
      </c>
      <c r="HR409" s="561">
        <v>0</v>
      </c>
      <c r="HS409" s="561">
        <v>59</v>
      </c>
      <c r="HT409" s="561">
        <v>-136</v>
      </c>
      <c r="HU409" s="561">
        <v>0</v>
      </c>
      <c r="HV409" s="561">
        <v>0</v>
      </c>
      <c r="HW409" s="561">
        <v>262</v>
      </c>
      <c r="HX409" s="561">
        <v>430</v>
      </c>
      <c r="HY409" s="561">
        <v>32</v>
      </c>
      <c r="HZ409" s="561">
        <v>0</v>
      </c>
      <c r="IA409" s="561">
        <v>264</v>
      </c>
      <c r="IB409" s="561">
        <v>60</v>
      </c>
      <c r="IC409" s="561">
        <v>0</v>
      </c>
      <c r="ID409" s="561">
        <v>0</v>
      </c>
      <c r="IE409" s="561">
        <v>0</v>
      </c>
      <c r="IF409" s="561">
        <v>0</v>
      </c>
      <c r="IG409" s="561">
        <v>0</v>
      </c>
      <c r="IH409" s="561">
        <v>20</v>
      </c>
      <c r="II409" s="561">
        <v>3295</v>
      </c>
      <c r="IJ409" s="561">
        <v>0</v>
      </c>
      <c r="IK409" s="561">
        <v>0</v>
      </c>
      <c r="IL409" s="561">
        <v>6826</v>
      </c>
      <c r="IM409" s="561">
        <v>0</v>
      </c>
      <c r="IN409" s="561">
        <v>0</v>
      </c>
      <c r="IO409" s="561">
        <v>579</v>
      </c>
      <c r="IP409" s="561">
        <v>0</v>
      </c>
      <c r="IQ409" s="561">
        <v>0</v>
      </c>
      <c r="IR409" s="561">
        <v>0</v>
      </c>
      <c r="IS409" s="561">
        <v>-2408</v>
      </c>
      <c r="IT409" s="561">
        <v>0</v>
      </c>
      <c r="IU409" s="561">
        <v>0</v>
      </c>
      <c r="IV409" s="561">
        <v>0</v>
      </c>
      <c r="IW409" s="561">
        <v>3184</v>
      </c>
      <c r="IX409" s="561">
        <v>2852</v>
      </c>
      <c r="IY409" s="561">
        <v>4746</v>
      </c>
      <c r="IZ409" s="561">
        <v>5296</v>
      </c>
      <c r="JA409" s="561">
        <v>0</v>
      </c>
      <c r="JB409" s="561">
        <v>0</v>
      </c>
      <c r="JC409" s="561">
        <v>3295</v>
      </c>
      <c r="JD409" s="561">
        <v>0</v>
      </c>
      <c r="JE409" s="561">
        <v>16965</v>
      </c>
      <c r="JF409" s="561">
        <v>20471</v>
      </c>
      <c r="JG409" s="561">
        <v>0</v>
      </c>
      <c r="JH409" s="561">
        <v>0</v>
      </c>
      <c r="JI409" s="561">
        <v>0</v>
      </c>
      <c r="JJ409" s="561">
        <v>0</v>
      </c>
      <c r="JK409" s="561">
        <v>162</v>
      </c>
      <c r="JL409" s="561">
        <v>0</v>
      </c>
      <c r="JM409" s="561">
        <v>0</v>
      </c>
      <c r="JN409" s="561">
        <v>0</v>
      </c>
      <c r="JO409" s="561">
        <v>0</v>
      </c>
      <c r="JP409" s="561">
        <v>0</v>
      </c>
      <c r="JQ409" s="561">
        <v>0</v>
      </c>
      <c r="JR409" s="561">
        <v>0</v>
      </c>
      <c r="JS409" s="561">
        <v>0</v>
      </c>
      <c r="JT409" s="561">
        <v>121</v>
      </c>
      <c r="JU409" s="561">
        <v>0</v>
      </c>
      <c r="JV409" s="561">
        <v>37719</v>
      </c>
      <c r="JW409" s="561">
        <v>0</v>
      </c>
      <c r="JX409" s="561">
        <v>158</v>
      </c>
      <c r="JY409" s="561">
        <v>0</v>
      </c>
      <c r="JZ409" s="561">
        <v>0</v>
      </c>
      <c r="KA409" s="561">
        <v>0</v>
      </c>
      <c r="KB409" s="561">
        <v>0</v>
      </c>
      <c r="KC409" s="561">
        <v>838</v>
      </c>
      <c r="KD409" s="561">
        <v>0</v>
      </c>
      <c r="KE409" s="561">
        <v>446</v>
      </c>
      <c r="KF409" s="561">
        <v>0</v>
      </c>
      <c r="KG409" s="561">
        <v>39161</v>
      </c>
      <c r="KH409" s="561">
        <v>-2540</v>
      </c>
      <c r="KI409" s="561">
        <v>0</v>
      </c>
      <c r="KJ409" s="561">
        <v>0</v>
      </c>
      <c r="KK409" s="561">
        <v>0</v>
      </c>
      <c r="KL409" s="561">
        <v>-20005</v>
      </c>
      <c r="KM409" s="561">
        <v>0</v>
      </c>
      <c r="KN409" s="561">
        <v>-144</v>
      </c>
      <c r="KO409" s="561">
        <v>0</v>
      </c>
      <c r="KP409" s="561">
        <v>0</v>
      </c>
      <c r="KQ409" s="561">
        <v>0</v>
      </c>
      <c r="KR409" s="561">
        <v>16472</v>
      </c>
      <c r="KS409" s="561">
        <v>0</v>
      </c>
      <c r="KT409" s="561">
        <v>-5081</v>
      </c>
      <c r="KU409" s="561">
        <v>11391</v>
      </c>
      <c r="KV409" s="561">
        <v>0</v>
      </c>
      <c r="KW409" s="561">
        <v>0</v>
      </c>
      <c r="KX409" s="561">
        <v>0</v>
      </c>
      <c r="KY409" s="561">
        <v>0</v>
      </c>
      <c r="KZ409" s="561">
        <v>436</v>
      </c>
      <c r="LA409" s="561">
        <v>-831</v>
      </c>
      <c r="LB409" s="561">
        <v>-137</v>
      </c>
      <c r="LC409" s="561">
        <v>0</v>
      </c>
      <c r="LD409" s="561">
        <v>-3559</v>
      </c>
      <c r="LE409" s="561">
        <v>-11</v>
      </c>
      <c r="LF409" s="561">
        <v>-95</v>
      </c>
      <c r="LG409" s="561">
        <v>7194</v>
      </c>
      <c r="LH409" s="561">
        <v>0</v>
      </c>
      <c r="LI409" s="561">
        <v>0</v>
      </c>
      <c r="LJ409" s="561">
        <v>0</v>
      </c>
      <c r="LK409" s="561">
        <v>0</v>
      </c>
      <c r="LL409" s="561">
        <v>11054</v>
      </c>
      <c r="LM409" s="561">
        <v>2237</v>
      </c>
      <c r="LN409" s="561">
        <v>0</v>
      </c>
      <c r="LO409" s="561">
        <v>0</v>
      </c>
      <c r="LP409" s="561">
        <v>0</v>
      </c>
      <c r="LQ409" s="561">
        <v>0</v>
      </c>
      <c r="LR409" s="561">
        <v>11490</v>
      </c>
      <c r="LS409" s="561">
        <v>1406</v>
      </c>
      <c r="LT409" s="561">
        <v>0</v>
      </c>
      <c r="LU409" s="561">
        <v>3407</v>
      </c>
      <c r="LV409" s="561">
        <v>0</v>
      </c>
      <c r="LW409" s="561">
        <v>-598</v>
      </c>
      <c r="LX409" s="561">
        <v>-2483</v>
      </c>
      <c r="LY409" s="561">
        <v>2779</v>
      </c>
      <c r="LZ409" s="561">
        <v>3234</v>
      </c>
      <c r="MA409" s="561">
        <v>0</v>
      </c>
      <c r="MB409" s="561">
        <v>0</v>
      </c>
      <c r="MC409" s="561">
        <v>0</v>
      </c>
      <c r="MD409" s="561">
        <v>0</v>
      </c>
      <c r="ME409" s="561">
        <v>0</v>
      </c>
      <c r="MF409" s="561">
        <v>0</v>
      </c>
      <c r="MG409" s="561">
        <v>0</v>
      </c>
      <c r="MH409" s="561">
        <v>2559</v>
      </c>
      <c r="MI409" s="561">
        <v>4295</v>
      </c>
      <c r="MJ409" s="561">
        <v>6854</v>
      </c>
      <c r="MK409" s="561">
        <v>0</v>
      </c>
      <c r="ML409" s="561">
        <v>0</v>
      </c>
      <c r="MM409" s="561">
        <v>7355</v>
      </c>
      <c r="MN409" s="561">
        <v>4135</v>
      </c>
      <c r="MO409" s="561">
        <v>0</v>
      </c>
      <c r="MP409" s="561">
        <v>0</v>
      </c>
      <c r="MQ409" s="561">
        <v>0</v>
      </c>
      <c r="MR409" s="561">
        <v>-2408</v>
      </c>
      <c r="MS409" s="561">
        <v>0</v>
      </c>
      <c r="MT409" s="561">
        <v>0</v>
      </c>
      <c r="MU409" s="561">
        <v>0</v>
      </c>
      <c r="MV409" s="561">
        <v>3184</v>
      </c>
      <c r="MW409" s="561">
        <v>2852</v>
      </c>
      <c r="MX409" s="561">
        <v>4746</v>
      </c>
      <c r="MY409" s="561">
        <v>5296</v>
      </c>
      <c r="MZ409" s="561">
        <v>0</v>
      </c>
      <c r="NA409" s="561">
        <v>0</v>
      </c>
      <c r="NB409" s="561">
        <v>3295</v>
      </c>
      <c r="NC409" s="561">
        <v>0</v>
      </c>
      <c r="ND409" s="561">
        <v>16965</v>
      </c>
      <c r="NE409" s="561">
        <v>0</v>
      </c>
      <c r="NF409" s="561">
        <v>0</v>
      </c>
      <c r="NG409" s="561">
        <v>0</v>
      </c>
      <c r="NH409" s="561">
        <v>0</v>
      </c>
      <c r="NI409" s="561">
        <v>0</v>
      </c>
      <c r="NJ409" s="561">
        <v>0</v>
      </c>
      <c r="NK409" s="561">
        <v>0</v>
      </c>
      <c r="NL409" s="561">
        <v>0</v>
      </c>
      <c r="NM409" s="561">
        <v>0</v>
      </c>
      <c r="NN409" s="561">
        <v>0</v>
      </c>
      <c r="NO409" s="561">
        <v>0</v>
      </c>
      <c r="NP409" s="561">
        <v>0</v>
      </c>
      <c r="NQ409" s="561">
        <v>0</v>
      </c>
      <c r="NR409" s="561">
        <v>0</v>
      </c>
      <c r="NS409" s="561">
        <v>0</v>
      </c>
      <c r="NT409" s="561">
        <v>0</v>
      </c>
      <c r="NU409" s="561">
        <v>0</v>
      </c>
      <c r="NV409" s="561">
        <v>0</v>
      </c>
      <c r="NW409" s="561">
        <v>0</v>
      </c>
      <c r="NX409" s="561">
        <v>0</v>
      </c>
      <c r="NY409" s="561">
        <v>0</v>
      </c>
      <c r="NZ409" s="561">
        <v>0</v>
      </c>
      <c r="OA409" s="561">
        <v>0</v>
      </c>
      <c r="OB409" s="561">
        <v>0</v>
      </c>
      <c r="OC409" s="561">
        <v>0</v>
      </c>
      <c r="OD409" s="561">
        <v>0</v>
      </c>
      <c r="OE409" s="561">
        <v>0</v>
      </c>
      <c r="OF409" s="561">
        <v>0</v>
      </c>
      <c r="OG409" s="561">
        <v>0</v>
      </c>
      <c r="OH409" s="561">
        <v>0</v>
      </c>
      <c r="OI409" s="561">
        <v>0</v>
      </c>
      <c r="OJ409" s="561">
        <v>0</v>
      </c>
      <c r="OK409" s="561">
        <v>0</v>
      </c>
      <c r="OL409" s="561">
        <v>0</v>
      </c>
      <c r="OM409" s="561">
        <v>0</v>
      </c>
      <c r="ON409" s="561">
        <v>0</v>
      </c>
      <c r="OO409" s="561">
        <v>0</v>
      </c>
      <c r="OP409" s="561">
        <v>0</v>
      </c>
      <c r="OQ409" s="561">
        <v>0</v>
      </c>
      <c r="OR409" s="561">
        <v>0</v>
      </c>
      <c r="OS409" s="561">
        <v>0</v>
      </c>
      <c r="OT409" s="561">
        <v>0</v>
      </c>
      <c r="OU409" s="561">
        <v>0</v>
      </c>
      <c r="OV409" s="561">
        <v>0</v>
      </c>
      <c r="OW409" s="561">
        <v>0</v>
      </c>
      <c r="OX409" s="561">
        <v>0</v>
      </c>
      <c r="OY409" s="561">
        <v>0</v>
      </c>
      <c r="OZ409" s="561">
        <v>0</v>
      </c>
      <c r="PA409" s="561">
        <v>0</v>
      </c>
      <c r="PB409" s="561">
        <v>0</v>
      </c>
      <c r="PC409" s="561">
        <v>0</v>
      </c>
      <c r="PD409" s="561">
        <v>0</v>
      </c>
      <c r="PE409" s="561">
        <v>0</v>
      </c>
      <c r="PF409" s="561">
        <v>0</v>
      </c>
      <c r="PG409" s="561">
        <v>0</v>
      </c>
      <c r="PH409" s="561">
        <v>0</v>
      </c>
      <c r="PI409" s="561">
        <v>0</v>
      </c>
      <c r="PJ409" s="561">
        <v>0</v>
      </c>
    </row>
    <row r="410" spans="1:426" ht="14" x14ac:dyDescent="0.3">
      <c r="A410" t="s">
        <v>3671</v>
      </c>
      <c r="B410" t="s">
        <v>3672</v>
      </c>
      <c r="C410" t="s">
        <v>4690</v>
      </c>
      <c r="E410" t="s">
        <v>2595</v>
      </c>
      <c r="F410" s="561">
        <v>56480</v>
      </c>
      <c r="G410" s="561">
        <v>139296</v>
      </c>
      <c r="H410" s="561">
        <v>77410</v>
      </c>
      <c r="I410" s="561">
        <v>81050</v>
      </c>
      <c r="J410" s="561">
        <v>27940</v>
      </c>
      <c r="K410" s="561">
        <v>15205</v>
      </c>
      <c r="L410" s="561">
        <v>397381</v>
      </c>
      <c r="M410" s="561">
        <v>2616</v>
      </c>
      <c r="N410" s="561">
        <v>2511</v>
      </c>
      <c r="O410" s="561">
        <v>3038</v>
      </c>
      <c r="P410" s="561">
        <v>0</v>
      </c>
      <c r="Q410" s="561">
        <v>0</v>
      </c>
      <c r="R410" s="561">
        <v>602</v>
      </c>
      <c r="S410" s="561">
        <v>1328</v>
      </c>
      <c r="T410" s="561">
        <v>7961</v>
      </c>
      <c r="U410" s="561">
        <v>2094</v>
      </c>
      <c r="V410" s="561">
        <v>5031</v>
      </c>
      <c r="W410" s="561">
        <v>0</v>
      </c>
      <c r="X410" s="561">
        <v>0</v>
      </c>
      <c r="Y410" s="561">
        <v>328</v>
      </c>
      <c r="Z410" s="561">
        <v>0</v>
      </c>
      <c r="AA410" s="561">
        <v>0</v>
      </c>
      <c r="AB410" s="561">
        <v>0</v>
      </c>
      <c r="AC410" s="561">
        <v>4716</v>
      </c>
      <c r="AD410" s="561">
        <v>0</v>
      </c>
      <c r="AE410" s="561">
        <v>5565</v>
      </c>
      <c r="AF410" s="561">
        <v>0</v>
      </c>
      <c r="AG410" s="561">
        <v>0</v>
      </c>
      <c r="AH410" s="561">
        <v>-86</v>
      </c>
      <c r="AI410" s="561">
        <v>0</v>
      </c>
      <c r="AJ410" s="561">
        <v>33088</v>
      </c>
      <c r="AK410" s="561">
        <v>387</v>
      </c>
      <c r="AL410" s="561">
        <v>0</v>
      </c>
      <c r="AM410" s="561">
        <v>0</v>
      </c>
      <c r="AN410" s="561">
        <v>0</v>
      </c>
      <c r="AO410" s="561">
        <v>0</v>
      </c>
      <c r="AP410" s="561">
        <v>0</v>
      </c>
      <c r="AQ410" s="561">
        <v>0</v>
      </c>
      <c r="AR410" s="561">
        <v>0</v>
      </c>
      <c r="AS410" s="561">
        <v>0</v>
      </c>
      <c r="AT410" s="561">
        <v>0</v>
      </c>
      <c r="AU410" s="561">
        <v>0</v>
      </c>
      <c r="AV410" s="561">
        <v>0</v>
      </c>
      <c r="AW410" s="561">
        <v>0</v>
      </c>
      <c r="AX410" s="561">
        <v>162</v>
      </c>
      <c r="AY410" s="561">
        <v>95406</v>
      </c>
      <c r="AZ410" s="561">
        <v>1439</v>
      </c>
      <c r="BA410" s="561">
        <v>9313</v>
      </c>
      <c r="BB410" s="561">
        <v>537</v>
      </c>
      <c r="BC410" s="561">
        <v>21672</v>
      </c>
      <c r="BD410" s="561">
        <v>37</v>
      </c>
      <c r="BE410" s="561">
        <v>14164</v>
      </c>
      <c r="BF410" s="561">
        <v>142730</v>
      </c>
      <c r="BG410" s="561">
        <v>3931</v>
      </c>
      <c r="BH410" s="561">
        <v>14881</v>
      </c>
      <c r="BI410" s="561">
        <v>40126</v>
      </c>
      <c r="BJ410" s="561">
        <v>863</v>
      </c>
      <c r="BK410" s="561">
        <v>1214</v>
      </c>
      <c r="BL410" s="561">
        <v>711</v>
      </c>
      <c r="BM410" s="561">
        <v>9141</v>
      </c>
      <c r="BN410" s="561">
        <v>76182</v>
      </c>
      <c r="BO410" s="561">
        <v>11503</v>
      </c>
      <c r="BP410" s="561">
        <v>13295</v>
      </c>
      <c r="BQ410" s="561">
        <v>10618</v>
      </c>
      <c r="BR410" s="561">
        <v>61</v>
      </c>
      <c r="BS410" s="561">
        <v>0</v>
      </c>
      <c r="BT410" s="561">
        <v>4861</v>
      </c>
      <c r="BU410" s="561">
        <v>797</v>
      </c>
      <c r="BV410" s="561">
        <v>1695</v>
      </c>
      <c r="BW410" s="561">
        <v>28901</v>
      </c>
      <c r="BX410" s="561">
        <v>284</v>
      </c>
      <c r="BY410" s="561">
        <v>19002</v>
      </c>
      <c r="BZ410" s="561">
        <v>234135</v>
      </c>
      <c r="CA410" s="561">
        <v>2034</v>
      </c>
      <c r="CB410" s="561">
        <v>2379</v>
      </c>
      <c r="CC410" s="561">
        <v>2091</v>
      </c>
      <c r="CD410" s="561">
        <v>214</v>
      </c>
      <c r="CE410" s="561">
        <v>1041</v>
      </c>
      <c r="CF410" s="561">
        <v>1723</v>
      </c>
      <c r="CG410" s="561">
        <v>239</v>
      </c>
      <c r="CH410" s="561">
        <v>823</v>
      </c>
      <c r="CI410" s="561">
        <v>50</v>
      </c>
      <c r="CJ410" s="561">
        <v>206</v>
      </c>
      <c r="CK410" s="561">
        <v>490</v>
      </c>
      <c r="CL410" s="561">
        <v>444</v>
      </c>
      <c r="CM410" s="561">
        <v>2964</v>
      </c>
      <c r="CN410" s="561">
        <v>2006</v>
      </c>
      <c r="CO410" s="561">
        <v>390</v>
      </c>
      <c r="CP410" s="561">
        <v>390</v>
      </c>
      <c r="CQ410" s="561">
        <v>158</v>
      </c>
      <c r="CR410" s="561">
        <v>868</v>
      </c>
      <c r="CS410" s="561">
        <v>171</v>
      </c>
      <c r="CT410" s="561">
        <v>5808</v>
      </c>
      <c r="CU410" s="561">
        <v>6515</v>
      </c>
      <c r="CV410" s="561">
        <v>1015</v>
      </c>
      <c r="CW410" s="561">
        <v>124</v>
      </c>
      <c r="CX410" s="561">
        <v>3087</v>
      </c>
      <c r="CY410" s="561">
        <v>4333</v>
      </c>
      <c r="CZ410" s="561">
        <v>37529</v>
      </c>
      <c r="DA410" s="561">
        <v>0</v>
      </c>
      <c r="DB410" s="561">
        <v>0</v>
      </c>
      <c r="DC410" s="561">
        <v>0</v>
      </c>
      <c r="DD410" s="561">
        <v>0</v>
      </c>
      <c r="DE410" s="561">
        <v>0</v>
      </c>
      <c r="DF410" s="561">
        <v>0</v>
      </c>
      <c r="DG410" s="561">
        <v>0</v>
      </c>
      <c r="DH410" s="561">
        <v>0</v>
      </c>
      <c r="DI410" s="561">
        <v>0</v>
      </c>
      <c r="DJ410" s="561">
        <v>0</v>
      </c>
      <c r="DK410" s="561">
        <v>0</v>
      </c>
      <c r="DL410" s="561">
        <v>0</v>
      </c>
      <c r="DM410" s="561">
        <v>0</v>
      </c>
      <c r="DN410" s="561">
        <v>0</v>
      </c>
      <c r="DO410" s="561">
        <v>0</v>
      </c>
      <c r="DP410" s="561">
        <v>0</v>
      </c>
      <c r="DQ410" s="561">
        <v>0</v>
      </c>
      <c r="DR410" s="561">
        <v>0</v>
      </c>
      <c r="DS410" s="561">
        <v>0</v>
      </c>
      <c r="DT410" s="561">
        <v>0</v>
      </c>
      <c r="DU410" s="561">
        <v>0</v>
      </c>
      <c r="DV410" s="561">
        <v>0</v>
      </c>
      <c r="DW410" s="561">
        <v>0</v>
      </c>
      <c r="DX410" s="561">
        <v>0</v>
      </c>
      <c r="DY410" s="561">
        <v>0</v>
      </c>
      <c r="DZ410" s="561">
        <v>-29</v>
      </c>
      <c r="EA410" s="561">
        <v>0</v>
      </c>
      <c r="EB410" s="561">
        <v>0</v>
      </c>
      <c r="EC410" s="561">
        <v>-29</v>
      </c>
      <c r="ED410" s="561">
        <v>0</v>
      </c>
      <c r="EE410" s="561">
        <v>0</v>
      </c>
      <c r="EF410" s="561">
        <v>0</v>
      </c>
      <c r="EG410" s="561">
        <v>0</v>
      </c>
      <c r="EH410" s="561">
        <v>0</v>
      </c>
      <c r="EI410" s="561">
        <v>0</v>
      </c>
      <c r="EJ410" s="561">
        <v>0</v>
      </c>
      <c r="EK410" s="561">
        <v>0</v>
      </c>
      <c r="EL410" s="561">
        <v>0</v>
      </c>
      <c r="EM410" s="561">
        <v>0</v>
      </c>
      <c r="EN410" s="561">
        <v>0</v>
      </c>
      <c r="EO410" s="561">
        <v>0</v>
      </c>
      <c r="EP410" s="561">
        <v>0</v>
      </c>
      <c r="EQ410" s="561">
        <v>0</v>
      </c>
      <c r="ER410" s="561">
        <v>0</v>
      </c>
      <c r="ES410" s="561" t="s">
        <v>4565</v>
      </c>
      <c r="ET410" s="561">
        <v>0</v>
      </c>
      <c r="EU410" s="561">
        <v>0</v>
      </c>
      <c r="EV410" s="561">
        <v>0</v>
      </c>
      <c r="EW410" s="561">
        <v>0</v>
      </c>
      <c r="EX410" s="561">
        <v>0</v>
      </c>
      <c r="EY410" s="561">
        <v>0</v>
      </c>
      <c r="EZ410" s="561">
        <v>0</v>
      </c>
      <c r="FA410" s="561">
        <v>0</v>
      </c>
      <c r="FB410" s="561">
        <v>441</v>
      </c>
      <c r="FC410" s="561">
        <v>0</v>
      </c>
      <c r="FD410" s="561">
        <v>1482</v>
      </c>
      <c r="FE410" s="561">
        <v>574</v>
      </c>
      <c r="FF410" s="561">
        <v>0</v>
      </c>
      <c r="FG410" s="561">
        <v>0</v>
      </c>
      <c r="FH410" s="561">
        <v>0</v>
      </c>
      <c r="FI410" s="561">
        <v>0</v>
      </c>
      <c r="FJ410" s="561">
        <v>0</v>
      </c>
      <c r="FK410" s="561">
        <v>970</v>
      </c>
      <c r="FL410" s="561">
        <v>0</v>
      </c>
      <c r="FM410" s="561">
        <v>244</v>
      </c>
      <c r="FN410" s="561">
        <v>8273</v>
      </c>
      <c r="FO410" s="561">
        <v>11984</v>
      </c>
      <c r="FP410" s="561">
        <v>0</v>
      </c>
      <c r="FQ410" s="561">
        <v>0</v>
      </c>
      <c r="FR410" s="561">
        <v>179</v>
      </c>
      <c r="FS410" s="561">
        <v>0</v>
      </c>
      <c r="FT410" s="561">
        <v>0</v>
      </c>
      <c r="FU410" s="561">
        <v>0</v>
      </c>
      <c r="FV410" s="561">
        <v>0</v>
      </c>
      <c r="FW410" s="561">
        <v>0</v>
      </c>
      <c r="FX410" s="561">
        <v>0</v>
      </c>
      <c r="FY410" s="561">
        <v>0</v>
      </c>
      <c r="FZ410" s="561">
        <v>0</v>
      </c>
      <c r="GA410" s="561">
        <v>0</v>
      </c>
      <c r="GB410" s="561">
        <v>45</v>
      </c>
      <c r="GC410" s="561">
        <v>0</v>
      </c>
      <c r="GD410" s="561">
        <v>0</v>
      </c>
      <c r="GE410" s="561">
        <v>0</v>
      </c>
      <c r="GF410" s="561">
        <v>0</v>
      </c>
      <c r="GG410" s="561">
        <v>465</v>
      </c>
      <c r="GH410" s="561">
        <v>0</v>
      </c>
      <c r="GI410" s="561">
        <v>0</v>
      </c>
      <c r="GJ410" s="561">
        <v>0</v>
      </c>
      <c r="GK410" s="561">
        <v>0</v>
      </c>
      <c r="GL410" s="561">
        <v>0</v>
      </c>
      <c r="GM410" s="561">
        <v>0</v>
      </c>
      <c r="GN410" s="561">
        <v>24643</v>
      </c>
      <c r="GO410" s="561">
        <v>-2391</v>
      </c>
      <c r="GP410" s="561">
        <v>13214</v>
      </c>
      <c r="GQ410" s="561">
        <v>580</v>
      </c>
      <c r="GR410" s="561">
        <v>0</v>
      </c>
      <c r="GS410" s="561">
        <v>36735</v>
      </c>
      <c r="GT410" s="561">
        <v>63</v>
      </c>
      <c r="GU410" s="561">
        <v>0</v>
      </c>
      <c r="GV410" s="561">
        <v>381</v>
      </c>
      <c r="GW410" s="561">
        <v>0</v>
      </c>
      <c r="GX410" s="561">
        <v>1120</v>
      </c>
      <c r="GY410" s="561">
        <v>1392</v>
      </c>
      <c r="GZ410" s="561">
        <v>2087</v>
      </c>
      <c r="HA410" s="561">
        <v>0</v>
      </c>
      <c r="HB410" s="561">
        <v>0</v>
      </c>
      <c r="HC410" s="561">
        <v>-2208</v>
      </c>
      <c r="HD410" s="561">
        <v>2772</v>
      </c>
      <c r="HE410" s="561">
        <v>7</v>
      </c>
      <c r="HF410" s="561">
        <v>51491</v>
      </c>
      <c r="HG410" s="561">
        <v>70</v>
      </c>
      <c r="HH410" s="561">
        <v>0</v>
      </c>
      <c r="HI410" s="561">
        <v>0</v>
      </c>
      <c r="HJ410" s="561">
        <v>0</v>
      </c>
      <c r="HK410" s="561">
        <v>0</v>
      </c>
      <c r="HL410" s="561">
        <v>0</v>
      </c>
      <c r="HM410" s="561">
        <v>0</v>
      </c>
      <c r="HN410" s="561">
        <v>0</v>
      </c>
      <c r="HO410" s="561">
        <v>8274</v>
      </c>
      <c r="HP410" s="561">
        <v>0</v>
      </c>
      <c r="HQ410" s="561">
        <v>0</v>
      </c>
      <c r="HR410" s="561">
        <v>0</v>
      </c>
      <c r="HS410" s="561">
        <v>0</v>
      </c>
      <c r="HT410" s="561">
        <v>0</v>
      </c>
      <c r="HU410" s="561">
        <v>0</v>
      </c>
      <c r="HV410" s="561">
        <v>-221</v>
      </c>
      <c r="HW410" s="561">
        <v>0</v>
      </c>
      <c r="HX410" s="561">
        <v>0</v>
      </c>
      <c r="HY410" s="561">
        <v>249</v>
      </c>
      <c r="HZ410" s="561">
        <v>0</v>
      </c>
      <c r="IA410" s="561">
        <v>3141</v>
      </c>
      <c r="IB410" s="561">
        <v>0</v>
      </c>
      <c r="IC410" s="561">
        <v>960</v>
      </c>
      <c r="ID410" s="561">
        <v>0</v>
      </c>
      <c r="IE410" s="561">
        <v>264</v>
      </c>
      <c r="IF410" s="561">
        <v>0</v>
      </c>
      <c r="IG410" s="561">
        <v>0</v>
      </c>
      <c r="IH410" s="561">
        <v>17572</v>
      </c>
      <c r="II410" s="561">
        <v>30239</v>
      </c>
      <c r="IJ410" s="561">
        <v>1155</v>
      </c>
      <c r="IK410" s="561">
        <v>8127</v>
      </c>
      <c r="IL410" s="561">
        <v>10812</v>
      </c>
      <c r="IM410" s="561">
        <v>0</v>
      </c>
      <c r="IN410" s="561">
        <v>4553</v>
      </c>
      <c r="IO410" s="561">
        <v>0</v>
      </c>
      <c r="IP410" s="561">
        <v>-380</v>
      </c>
      <c r="IQ410" s="561">
        <v>0</v>
      </c>
      <c r="IR410" s="561">
        <v>397381</v>
      </c>
      <c r="IS410" s="561">
        <v>33088</v>
      </c>
      <c r="IT410" s="561">
        <v>142730</v>
      </c>
      <c r="IU410" s="561">
        <v>234135</v>
      </c>
      <c r="IV410" s="561">
        <v>37529</v>
      </c>
      <c r="IW410" s="561">
        <v>-29</v>
      </c>
      <c r="IX410" s="561">
        <v>11984</v>
      </c>
      <c r="IY410" s="561">
        <v>36735</v>
      </c>
      <c r="IZ410" s="561">
        <v>2772</v>
      </c>
      <c r="JA410" s="561">
        <v>0</v>
      </c>
      <c r="JB410" s="561">
        <v>0</v>
      </c>
      <c r="JC410" s="561">
        <v>30239</v>
      </c>
      <c r="JD410" s="561">
        <v>-380</v>
      </c>
      <c r="JE410" s="561">
        <v>926184</v>
      </c>
      <c r="JF410" s="561">
        <v>0</v>
      </c>
      <c r="JG410" s="561">
        <v>0</v>
      </c>
      <c r="JH410" s="561">
        <v>0</v>
      </c>
      <c r="JI410" s="561">
        <v>0</v>
      </c>
      <c r="JJ410" s="561">
        <v>0</v>
      </c>
      <c r="JK410" s="561">
        <v>0</v>
      </c>
      <c r="JL410" s="561">
        <v>0</v>
      </c>
      <c r="JM410" s="561">
        <v>0</v>
      </c>
      <c r="JN410" s="561">
        <v>0</v>
      </c>
      <c r="JO410" s="561">
        <v>-916</v>
      </c>
      <c r="JP410" s="561">
        <v>293</v>
      </c>
      <c r="JQ410" s="561">
        <v>3948</v>
      </c>
      <c r="JR410" s="561">
        <v>0</v>
      </c>
      <c r="JS410" s="561">
        <v>0</v>
      </c>
      <c r="JT410" s="561">
        <v>0</v>
      </c>
      <c r="JU410" s="561">
        <v>0</v>
      </c>
      <c r="JV410" s="561">
        <v>929509</v>
      </c>
      <c r="JW410" s="561">
        <v>269</v>
      </c>
      <c r="JX410" s="561">
        <v>2308</v>
      </c>
      <c r="JY410" s="561">
        <v>0</v>
      </c>
      <c r="JZ410" s="561">
        <v>0</v>
      </c>
      <c r="KA410" s="561">
        <v>0</v>
      </c>
      <c r="KB410" s="561">
        <v>0</v>
      </c>
      <c r="KC410" s="561">
        <v>12972</v>
      </c>
      <c r="KD410" s="561">
        <v>0</v>
      </c>
      <c r="KE410" s="561">
        <v>22979</v>
      </c>
      <c r="KF410" s="561">
        <v>0</v>
      </c>
      <c r="KG410" s="561">
        <v>968037</v>
      </c>
      <c r="KH410" s="561">
        <v>-14439</v>
      </c>
      <c r="KI410" s="561">
        <v>0</v>
      </c>
      <c r="KJ410" s="561">
        <v>0</v>
      </c>
      <c r="KK410" s="561">
        <v>0</v>
      </c>
      <c r="KL410" s="561">
        <v>-1527</v>
      </c>
      <c r="KM410" s="561">
        <v>0</v>
      </c>
      <c r="KN410" s="561">
        <v>0</v>
      </c>
      <c r="KO410" s="561">
        <v>0</v>
      </c>
      <c r="KP410" s="561">
        <v>0</v>
      </c>
      <c r="KQ410" s="561">
        <v>-54014</v>
      </c>
      <c r="KR410" s="561">
        <v>898057</v>
      </c>
      <c r="KS410" s="561">
        <v>0</v>
      </c>
      <c r="KT410" s="561">
        <v>-462849</v>
      </c>
      <c r="KU410" s="561">
        <v>435208</v>
      </c>
      <c r="KV410" s="561">
        <v>0</v>
      </c>
      <c r="KW410" s="561">
        <v>-2960</v>
      </c>
      <c r="KX410" s="561">
        <v>0</v>
      </c>
      <c r="KY410" s="561">
        <v>704</v>
      </c>
      <c r="KZ410" s="561">
        <v>-9094</v>
      </c>
      <c r="LA410" s="561">
        <v>114</v>
      </c>
      <c r="LB410" s="561">
        <v>-28</v>
      </c>
      <c r="LC410" s="561">
        <v>0</v>
      </c>
      <c r="LD410" s="561">
        <v>-86168</v>
      </c>
      <c r="LE410" s="561">
        <v>-2014</v>
      </c>
      <c r="LF410" s="561">
        <v>0</v>
      </c>
      <c r="LG410" s="561">
        <v>335762</v>
      </c>
      <c r="LH410" s="561">
        <v>9453</v>
      </c>
      <c r="LI410" s="561">
        <v>-44149</v>
      </c>
      <c r="LJ410" s="561">
        <v>0</v>
      </c>
      <c r="LK410" s="561">
        <v>9916</v>
      </c>
      <c r="LL410" s="561">
        <v>85684</v>
      </c>
      <c r="LM410" s="561">
        <v>16140</v>
      </c>
      <c r="LN410" s="561">
        <v>6493</v>
      </c>
      <c r="LO410" s="561">
        <v>-98163</v>
      </c>
      <c r="LP410" s="561">
        <v>0</v>
      </c>
      <c r="LQ410" s="561">
        <v>10620</v>
      </c>
      <c r="LR410" s="561">
        <v>76590</v>
      </c>
      <c r="LS410" s="561">
        <v>16254</v>
      </c>
      <c r="LT410" s="561">
        <v>0</v>
      </c>
      <c r="LU410" s="561">
        <v>56019</v>
      </c>
      <c r="LV410" s="561">
        <v>0</v>
      </c>
      <c r="LW410" s="561">
        <v>8141</v>
      </c>
      <c r="LX410" s="561">
        <v>-59745</v>
      </c>
      <c r="LY410" s="561">
        <v>11452</v>
      </c>
      <c r="LZ410" s="561">
        <v>15867</v>
      </c>
      <c r="MA410" s="561">
        <v>0</v>
      </c>
      <c r="MB410" s="561">
        <v>0</v>
      </c>
      <c r="MC410" s="561">
        <v>0</v>
      </c>
      <c r="MD410" s="561">
        <v>0</v>
      </c>
      <c r="ME410" s="561">
        <v>0</v>
      </c>
      <c r="MF410" s="561">
        <v>0</v>
      </c>
      <c r="MG410" s="561">
        <v>0</v>
      </c>
      <c r="MH410" s="561">
        <v>0</v>
      </c>
      <c r="MI410" s="561">
        <v>0</v>
      </c>
      <c r="MJ410" s="561">
        <v>0</v>
      </c>
      <c r="MK410" s="561">
        <v>0</v>
      </c>
      <c r="ML410" s="561">
        <v>0</v>
      </c>
      <c r="MM410" s="561">
        <v>986</v>
      </c>
      <c r="MN410" s="561">
        <v>33920</v>
      </c>
      <c r="MO410" s="561">
        <v>0</v>
      </c>
      <c r="MP410" s="561">
        <v>41684</v>
      </c>
      <c r="MQ410" s="561">
        <v>397381</v>
      </c>
      <c r="MR410" s="561">
        <v>33088</v>
      </c>
      <c r="MS410" s="561">
        <v>142730</v>
      </c>
      <c r="MT410" s="561">
        <v>234135</v>
      </c>
      <c r="MU410" s="561">
        <v>37529</v>
      </c>
      <c r="MV410" s="561">
        <v>-29</v>
      </c>
      <c r="MW410" s="561">
        <v>11984</v>
      </c>
      <c r="MX410" s="561">
        <v>36735</v>
      </c>
      <c r="MY410" s="561">
        <v>2772</v>
      </c>
      <c r="MZ410" s="561">
        <v>0</v>
      </c>
      <c r="NA410" s="561">
        <v>0</v>
      </c>
      <c r="NB410" s="561">
        <v>30239</v>
      </c>
      <c r="NC410" s="561">
        <v>-380</v>
      </c>
      <c r="ND410" s="561">
        <v>926184</v>
      </c>
      <c r="NE410" s="561">
        <v>0</v>
      </c>
      <c r="NF410" s="561">
        <v>0</v>
      </c>
      <c r="NG410" s="561">
        <v>0</v>
      </c>
      <c r="NH410" s="561">
        <v>0</v>
      </c>
      <c r="NI410" s="561">
        <v>0</v>
      </c>
      <c r="NJ410" s="561">
        <v>0</v>
      </c>
      <c r="NK410" s="561">
        <v>0</v>
      </c>
      <c r="NL410" s="561">
        <v>0</v>
      </c>
      <c r="NM410" s="561">
        <v>0</v>
      </c>
      <c r="NN410" s="561">
        <v>0</v>
      </c>
      <c r="NO410" s="561">
        <v>0</v>
      </c>
      <c r="NP410" s="561">
        <v>0</v>
      </c>
      <c r="NQ410" s="561">
        <v>0</v>
      </c>
      <c r="NR410" s="561">
        <v>0</v>
      </c>
      <c r="NS410" s="561">
        <v>0</v>
      </c>
      <c r="NT410" s="561">
        <v>0</v>
      </c>
      <c r="NU410" s="561">
        <v>0</v>
      </c>
      <c r="NV410" s="561">
        <v>0</v>
      </c>
      <c r="NW410" s="561">
        <v>293</v>
      </c>
      <c r="NX410" s="561">
        <v>0</v>
      </c>
      <c r="NY410" s="561">
        <v>293</v>
      </c>
      <c r="NZ410" s="561">
        <v>0</v>
      </c>
      <c r="OA410" s="561">
        <v>0</v>
      </c>
      <c r="OB410" s="561">
        <v>0</v>
      </c>
      <c r="OC410" s="561">
        <v>0</v>
      </c>
      <c r="OD410" s="561">
        <v>0</v>
      </c>
      <c r="OE410" s="561">
        <v>0</v>
      </c>
      <c r="OF410" s="561">
        <v>0</v>
      </c>
      <c r="OG410" s="561">
        <v>0</v>
      </c>
      <c r="OH410" s="561">
        <v>0</v>
      </c>
      <c r="OI410" s="561">
        <v>0</v>
      </c>
      <c r="OJ410" s="561">
        <v>0</v>
      </c>
      <c r="OK410" s="561">
        <v>0</v>
      </c>
      <c r="OL410" s="561">
        <v>0</v>
      </c>
      <c r="OM410" s="561">
        <v>0</v>
      </c>
      <c r="ON410" s="561">
        <v>4185</v>
      </c>
      <c r="OO410" s="561">
        <v>-237</v>
      </c>
      <c r="OP410" s="561">
        <v>0</v>
      </c>
      <c r="OQ410" s="561">
        <v>0</v>
      </c>
      <c r="OR410" s="561">
        <v>0</v>
      </c>
      <c r="OS410" s="561">
        <v>0</v>
      </c>
      <c r="OT410" s="561">
        <v>0</v>
      </c>
      <c r="OU410" s="561">
        <v>0</v>
      </c>
      <c r="OV410" s="561">
        <v>2469.6199200000001</v>
      </c>
      <c r="OW410" s="561">
        <v>0</v>
      </c>
      <c r="OX410" s="561">
        <v>3948</v>
      </c>
      <c r="OY410" s="561">
        <v>0</v>
      </c>
      <c r="OZ410" s="561">
        <v>0</v>
      </c>
      <c r="PA410" s="561">
        <v>0</v>
      </c>
      <c r="PB410" s="561">
        <v>0</v>
      </c>
      <c r="PC410" s="561">
        <v>0</v>
      </c>
      <c r="PD410" s="561">
        <v>0</v>
      </c>
      <c r="PE410" s="561">
        <v>0</v>
      </c>
      <c r="PF410" s="561">
        <v>0</v>
      </c>
      <c r="PG410" s="561">
        <v>0</v>
      </c>
      <c r="PH410" s="561">
        <v>0</v>
      </c>
      <c r="PI410" s="561">
        <v>0</v>
      </c>
      <c r="PJ410" s="561">
        <v>0</v>
      </c>
    </row>
    <row r="411" spans="1:426" ht="14" x14ac:dyDescent="0.3">
      <c r="A411" t="s">
        <v>3674</v>
      </c>
      <c r="B411" t="s">
        <v>3675</v>
      </c>
      <c r="C411" t="s">
        <v>3676</v>
      </c>
      <c r="E411" t="s">
        <v>384</v>
      </c>
      <c r="F411" s="561">
        <v>0</v>
      </c>
      <c r="G411" s="561">
        <v>0</v>
      </c>
      <c r="H411" s="561">
        <v>0</v>
      </c>
      <c r="I411" s="561">
        <v>0</v>
      </c>
      <c r="J411" s="561">
        <v>0</v>
      </c>
      <c r="K411" s="561">
        <v>0</v>
      </c>
      <c r="L411" s="561">
        <v>0</v>
      </c>
      <c r="M411" s="561">
        <v>0</v>
      </c>
      <c r="N411" s="561">
        <v>18</v>
      </c>
      <c r="O411" s="561">
        <v>0</v>
      </c>
      <c r="P411" s="561">
        <v>0</v>
      </c>
      <c r="Q411" s="561">
        <v>0</v>
      </c>
      <c r="R411" s="561">
        <v>0</v>
      </c>
      <c r="S411" s="561">
        <v>0</v>
      </c>
      <c r="T411" s="561">
        <v>0</v>
      </c>
      <c r="U411" s="561">
        <v>0</v>
      </c>
      <c r="V411" s="561">
        <v>69</v>
      </c>
      <c r="W411" s="561">
        <v>0</v>
      </c>
      <c r="X411" s="561">
        <v>0</v>
      </c>
      <c r="Y411" s="561">
        <v>0</v>
      </c>
      <c r="Z411" s="561">
        <v>7</v>
      </c>
      <c r="AA411" s="561">
        <v>0</v>
      </c>
      <c r="AB411" s="561">
        <v>-1188</v>
      </c>
      <c r="AC411" s="561">
        <v>0</v>
      </c>
      <c r="AD411" s="561">
        <v>0</v>
      </c>
      <c r="AE411" s="561">
        <v>12</v>
      </c>
      <c r="AF411" s="561">
        <v>0</v>
      </c>
      <c r="AG411" s="561">
        <v>0</v>
      </c>
      <c r="AH411" s="561">
        <v>-31</v>
      </c>
      <c r="AI411" s="561">
        <v>0</v>
      </c>
      <c r="AJ411" s="561">
        <v>-1113</v>
      </c>
      <c r="AK411" s="561">
        <v>3</v>
      </c>
      <c r="AL411" s="561">
        <v>0</v>
      </c>
      <c r="AM411" s="561">
        <v>0</v>
      </c>
      <c r="AN411" s="561">
        <v>0</v>
      </c>
      <c r="AO411" s="561">
        <v>0</v>
      </c>
      <c r="AP411" s="561">
        <v>0</v>
      </c>
      <c r="AQ411" s="561">
        <v>0</v>
      </c>
      <c r="AR411" s="561">
        <v>0</v>
      </c>
      <c r="AS411" s="561">
        <v>0</v>
      </c>
      <c r="AT411" s="561">
        <v>0</v>
      </c>
      <c r="AU411" s="561">
        <v>0</v>
      </c>
      <c r="AV411" s="561">
        <v>0</v>
      </c>
      <c r="AW411" s="561">
        <v>0</v>
      </c>
      <c r="AX411" s="561">
        <v>0</v>
      </c>
      <c r="AY411" s="561">
        <v>0</v>
      </c>
      <c r="AZ411" s="561">
        <v>0</v>
      </c>
      <c r="BA411" s="561">
        <v>0</v>
      </c>
      <c r="BB411" s="561">
        <v>0</v>
      </c>
      <c r="BC411" s="561">
        <v>0</v>
      </c>
      <c r="BD411" s="561">
        <v>0</v>
      </c>
      <c r="BE411" s="561">
        <v>0</v>
      </c>
      <c r="BF411" s="561">
        <v>0</v>
      </c>
      <c r="BG411" s="561">
        <v>0</v>
      </c>
      <c r="BH411" s="561">
        <v>0</v>
      </c>
      <c r="BI411" s="561">
        <v>0</v>
      </c>
      <c r="BJ411" s="561">
        <v>0</v>
      </c>
      <c r="BK411" s="561">
        <v>0</v>
      </c>
      <c r="BL411" s="561">
        <v>0</v>
      </c>
      <c r="BM411" s="561">
        <v>0</v>
      </c>
      <c r="BN411" s="561">
        <v>0</v>
      </c>
      <c r="BO411" s="561">
        <v>0</v>
      </c>
      <c r="BP411" s="561">
        <v>0</v>
      </c>
      <c r="BQ411" s="561">
        <v>0</v>
      </c>
      <c r="BR411" s="561">
        <v>0</v>
      </c>
      <c r="BS411" s="561">
        <v>0</v>
      </c>
      <c r="BT411" s="561">
        <v>0</v>
      </c>
      <c r="BU411" s="561">
        <v>0</v>
      </c>
      <c r="BV411" s="561">
        <v>0</v>
      </c>
      <c r="BW411" s="561">
        <v>0</v>
      </c>
      <c r="BX411" s="561">
        <v>0</v>
      </c>
      <c r="BY411" s="561">
        <v>0</v>
      </c>
      <c r="BZ411" s="561">
        <v>0</v>
      </c>
      <c r="CA411" s="561">
        <v>0</v>
      </c>
      <c r="CB411" s="561">
        <v>0</v>
      </c>
      <c r="CC411" s="561">
        <v>0</v>
      </c>
      <c r="CD411" s="561">
        <v>0</v>
      </c>
      <c r="CE411" s="561">
        <v>0</v>
      </c>
      <c r="CF411" s="561">
        <v>0</v>
      </c>
      <c r="CG411" s="561">
        <v>0</v>
      </c>
      <c r="CH411" s="561">
        <v>0</v>
      </c>
      <c r="CI411" s="561">
        <v>0</v>
      </c>
      <c r="CJ411" s="561">
        <v>0</v>
      </c>
      <c r="CK411" s="561">
        <v>0</v>
      </c>
      <c r="CL411" s="561">
        <v>0</v>
      </c>
      <c r="CM411" s="561">
        <v>0</v>
      </c>
      <c r="CN411" s="561">
        <v>0</v>
      </c>
      <c r="CO411" s="561">
        <v>0</v>
      </c>
      <c r="CP411" s="561">
        <v>0</v>
      </c>
      <c r="CQ411" s="561">
        <v>0</v>
      </c>
      <c r="CR411" s="561">
        <v>0</v>
      </c>
      <c r="CS411" s="561">
        <v>0</v>
      </c>
      <c r="CT411" s="561">
        <v>0</v>
      </c>
      <c r="CU411" s="561">
        <v>0</v>
      </c>
      <c r="CV411" s="561">
        <v>0</v>
      </c>
      <c r="CW411" s="561">
        <v>0</v>
      </c>
      <c r="CX411" s="561">
        <v>0</v>
      </c>
      <c r="CY411" s="561">
        <v>0</v>
      </c>
      <c r="CZ411" s="561">
        <v>0</v>
      </c>
      <c r="DA411" s="561">
        <v>0</v>
      </c>
      <c r="DB411" s="561">
        <v>0</v>
      </c>
      <c r="DC411" s="561">
        <v>0</v>
      </c>
      <c r="DD411" s="561">
        <v>0</v>
      </c>
      <c r="DE411" s="561">
        <v>0</v>
      </c>
      <c r="DF411" s="561">
        <v>0</v>
      </c>
      <c r="DG411" s="561">
        <v>0</v>
      </c>
      <c r="DH411" s="561">
        <v>65</v>
      </c>
      <c r="DI411" s="561">
        <v>0</v>
      </c>
      <c r="DJ411" s="561">
        <v>69</v>
      </c>
      <c r="DK411" s="561">
        <v>0</v>
      </c>
      <c r="DL411" s="561">
        <v>0</v>
      </c>
      <c r="DM411" s="561">
        <v>-5</v>
      </c>
      <c r="DN411" s="561">
        <v>0</v>
      </c>
      <c r="DO411" s="561">
        <v>4693</v>
      </c>
      <c r="DP411" s="561">
        <v>-100</v>
      </c>
      <c r="DQ411" s="561">
        <v>0</v>
      </c>
      <c r="DR411" s="561">
        <v>0</v>
      </c>
      <c r="DS411" s="561">
        <v>1158</v>
      </c>
      <c r="DT411" s="561">
        <v>560</v>
      </c>
      <c r="DU411" s="561">
        <v>6306</v>
      </c>
      <c r="DV411" s="561">
        <v>0</v>
      </c>
      <c r="DW411" s="561">
        <v>0</v>
      </c>
      <c r="DX411" s="561">
        <v>0</v>
      </c>
      <c r="DY411" s="561">
        <v>1120</v>
      </c>
      <c r="DZ411" s="561">
        <v>0</v>
      </c>
      <c r="EA411" s="561">
        <v>0</v>
      </c>
      <c r="EB411" s="561">
        <v>0</v>
      </c>
      <c r="EC411" s="561">
        <v>7560</v>
      </c>
      <c r="ED411" s="561">
        <v>119</v>
      </c>
      <c r="EE411" s="561">
        <v>0</v>
      </c>
      <c r="EF411" s="561">
        <v>0</v>
      </c>
      <c r="EG411" s="561">
        <v>0</v>
      </c>
      <c r="EH411" s="561">
        <v>0</v>
      </c>
      <c r="EI411" s="561">
        <v>0</v>
      </c>
      <c r="EJ411" s="561">
        <v>0</v>
      </c>
      <c r="EK411" s="561">
        <v>0</v>
      </c>
      <c r="EL411" s="561">
        <v>0</v>
      </c>
      <c r="EM411" s="561">
        <v>0</v>
      </c>
      <c r="EN411" s="561">
        <v>0</v>
      </c>
      <c r="EO411" s="561">
        <v>0</v>
      </c>
      <c r="EP411" s="561">
        <v>0</v>
      </c>
      <c r="EQ411" s="561">
        <v>0</v>
      </c>
      <c r="ER411" s="561">
        <v>0</v>
      </c>
      <c r="ES411" s="561" t="s">
        <v>4565</v>
      </c>
      <c r="ET411" s="561">
        <v>0</v>
      </c>
      <c r="EU411" s="561">
        <v>0</v>
      </c>
      <c r="EV411" s="561">
        <v>0</v>
      </c>
      <c r="EW411" s="561">
        <v>0</v>
      </c>
      <c r="EX411" s="561">
        <v>0</v>
      </c>
      <c r="EY411" s="561">
        <v>0</v>
      </c>
      <c r="EZ411" s="561">
        <v>0</v>
      </c>
      <c r="FA411" s="561">
        <v>0</v>
      </c>
      <c r="FB411" s="561">
        <v>0</v>
      </c>
      <c r="FC411" s="561">
        <v>0</v>
      </c>
      <c r="FD411" s="561">
        <v>0</v>
      </c>
      <c r="FE411" s="561">
        <v>0</v>
      </c>
      <c r="FF411" s="561">
        <v>2054</v>
      </c>
      <c r="FG411" s="561">
        <v>169</v>
      </c>
      <c r="FH411" s="561">
        <v>659</v>
      </c>
      <c r="FI411" s="561">
        <v>157</v>
      </c>
      <c r="FJ411" s="561">
        <v>-70</v>
      </c>
      <c r="FK411" s="561">
        <v>1474</v>
      </c>
      <c r="FL411" s="561">
        <v>-5</v>
      </c>
      <c r="FM411" s="561">
        <v>191</v>
      </c>
      <c r="FN411" s="561">
        <v>0</v>
      </c>
      <c r="FO411" s="561">
        <v>4629</v>
      </c>
      <c r="FP411" s="561">
        <v>0</v>
      </c>
      <c r="FQ411" s="561">
        <v>-941</v>
      </c>
      <c r="FR411" s="561">
        <v>0</v>
      </c>
      <c r="FS411" s="561">
        <v>0</v>
      </c>
      <c r="FT411" s="561">
        <v>236</v>
      </c>
      <c r="FU411" s="561">
        <v>105</v>
      </c>
      <c r="FV411" s="561">
        <v>95</v>
      </c>
      <c r="FW411" s="561">
        <v>36</v>
      </c>
      <c r="FX411" s="561">
        <v>0</v>
      </c>
      <c r="FY411" s="561">
        <v>0</v>
      </c>
      <c r="FZ411" s="561">
        <v>0</v>
      </c>
      <c r="GA411" s="561">
        <v>381</v>
      </c>
      <c r="GB411" s="561">
        <v>406</v>
      </c>
      <c r="GC411" s="561">
        <v>179</v>
      </c>
      <c r="GD411" s="561">
        <v>0</v>
      </c>
      <c r="GE411" s="561">
        <v>205</v>
      </c>
      <c r="GF411" s="561">
        <v>11</v>
      </c>
      <c r="GG411" s="561">
        <v>23</v>
      </c>
      <c r="GH411" s="561">
        <v>0</v>
      </c>
      <c r="GI411" s="561">
        <v>0</v>
      </c>
      <c r="GJ411" s="561">
        <v>127</v>
      </c>
      <c r="GK411" s="561">
        <v>0</v>
      </c>
      <c r="GL411" s="561">
        <v>819</v>
      </c>
      <c r="GM411" s="561">
        <v>865</v>
      </c>
      <c r="GN411" s="561">
        <v>0</v>
      </c>
      <c r="GO411" s="561">
        <v>-517</v>
      </c>
      <c r="GP411" s="561">
        <v>478</v>
      </c>
      <c r="GQ411" s="561">
        <v>0</v>
      </c>
      <c r="GR411" s="561">
        <v>0</v>
      </c>
      <c r="GS411" s="561">
        <v>2508</v>
      </c>
      <c r="GT411" s="561">
        <v>408</v>
      </c>
      <c r="GU411" s="561">
        <v>312</v>
      </c>
      <c r="GV411" s="561">
        <v>1140</v>
      </c>
      <c r="GW411" s="561">
        <v>543</v>
      </c>
      <c r="GX411" s="561">
        <v>221</v>
      </c>
      <c r="GY411" s="561">
        <v>-173</v>
      </c>
      <c r="GZ411" s="561">
        <v>-682</v>
      </c>
      <c r="HA411" s="561">
        <v>0</v>
      </c>
      <c r="HB411" s="561">
        <v>5</v>
      </c>
      <c r="HC411" s="561">
        <v>104</v>
      </c>
      <c r="HD411" s="561">
        <v>1470</v>
      </c>
      <c r="HE411" s="561">
        <v>0</v>
      </c>
      <c r="HF411" s="561">
        <v>8607</v>
      </c>
      <c r="HG411" s="561">
        <v>0</v>
      </c>
      <c r="HH411" s="561">
        <v>0</v>
      </c>
      <c r="HI411" s="561">
        <v>0</v>
      </c>
      <c r="HJ411" s="561">
        <v>0</v>
      </c>
      <c r="HK411" s="561">
        <v>0</v>
      </c>
      <c r="HL411" s="561">
        <v>0</v>
      </c>
      <c r="HM411" s="561">
        <v>0</v>
      </c>
      <c r="HN411" s="561">
        <v>0</v>
      </c>
      <c r="HO411" s="561">
        <v>1306</v>
      </c>
      <c r="HP411" s="561">
        <v>282</v>
      </c>
      <c r="HQ411" s="561">
        <v>0</v>
      </c>
      <c r="HR411" s="561">
        <v>0</v>
      </c>
      <c r="HS411" s="561">
        <v>186</v>
      </c>
      <c r="HT411" s="561">
        <v>29</v>
      </c>
      <c r="HU411" s="561">
        <v>0</v>
      </c>
      <c r="HV411" s="561">
        <v>0</v>
      </c>
      <c r="HW411" s="561">
        <v>295</v>
      </c>
      <c r="HX411" s="561">
        <v>350</v>
      </c>
      <c r="HY411" s="561">
        <v>31</v>
      </c>
      <c r="HZ411" s="561">
        <v>44</v>
      </c>
      <c r="IA411" s="561">
        <v>0</v>
      </c>
      <c r="IB411" s="561">
        <v>0</v>
      </c>
      <c r="IC411" s="561">
        <v>0</v>
      </c>
      <c r="ID411" s="561">
        <v>0</v>
      </c>
      <c r="IE411" s="561">
        <v>1472</v>
      </c>
      <c r="IF411" s="561">
        <v>0</v>
      </c>
      <c r="IG411" s="561">
        <v>0</v>
      </c>
      <c r="IH411" s="561">
        <v>-404</v>
      </c>
      <c r="II411" s="561">
        <v>3591</v>
      </c>
      <c r="IJ411" s="561">
        <v>165</v>
      </c>
      <c r="IK411" s="561">
        <v>1547</v>
      </c>
      <c r="IL411" s="561">
        <v>0</v>
      </c>
      <c r="IM411" s="561">
        <v>0</v>
      </c>
      <c r="IN411" s="561">
        <v>0</v>
      </c>
      <c r="IO411" s="561">
        <v>0</v>
      </c>
      <c r="IP411" s="561">
        <v>0</v>
      </c>
      <c r="IQ411" s="561">
        <v>0</v>
      </c>
      <c r="IR411" s="561">
        <v>0</v>
      </c>
      <c r="IS411" s="561">
        <v>-1113</v>
      </c>
      <c r="IT411" s="561">
        <v>0</v>
      </c>
      <c r="IU411" s="561">
        <v>0</v>
      </c>
      <c r="IV411" s="561">
        <v>0</v>
      </c>
      <c r="IW411" s="561">
        <v>7560</v>
      </c>
      <c r="IX411" s="561">
        <v>4629</v>
      </c>
      <c r="IY411" s="561">
        <v>2508</v>
      </c>
      <c r="IZ411" s="561">
        <v>1470</v>
      </c>
      <c r="JA411" s="561">
        <v>0</v>
      </c>
      <c r="JB411" s="561">
        <v>0</v>
      </c>
      <c r="JC411" s="561">
        <v>3591</v>
      </c>
      <c r="JD411" s="561">
        <v>0</v>
      </c>
      <c r="JE411" s="561">
        <v>18645</v>
      </c>
      <c r="JF411" s="561">
        <v>25494</v>
      </c>
      <c r="JG411" s="561">
        <v>2221</v>
      </c>
      <c r="JH411" s="561">
        <v>0</v>
      </c>
      <c r="JI411" s="561">
        <v>0</v>
      </c>
      <c r="JJ411" s="561">
        <v>0</v>
      </c>
      <c r="JK411" s="561">
        <v>0</v>
      </c>
      <c r="JL411" s="561">
        <v>0</v>
      </c>
      <c r="JM411" s="561">
        <v>0</v>
      </c>
      <c r="JN411" s="561">
        <v>0</v>
      </c>
      <c r="JO411" s="561">
        <v>0</v>
      </c>
      <c r="JP411" s="561">
        <v>0</v>
      </c>
      <c r="JQ411" s="561">
        <v>0</v>
      </c>
      <c r="JR411" s="561">
        <v>0</v>
      </c>
      <c r="JS411" s="561">
        <v>0</v>
      </c>
      <c r="JT411" s="561">
        <v>0</v>
      </c>
      <c r="JU411" s="561">
        <v>0</v>
      </c>
      <c r="JV411" s="561">
        <v>46360</v>
      </c>
      <c r="JW411" s="561">
        <v>0</v>
      </c>
      <c r="JX411" s="561">
        <v>18</v>
      </c>
      <c r="JY411" s="561">
        <v>0</v>
      </c>
      <c r="JZ411" s="561">
        <v>-252</v>
      </c>
      <c r="KA411" s="561">
        <v>0</v>
      </c>
      <c r="KB411" s="561">
        <v>0</v>
      </c>
      <c r="KC411" s="561">
        <v>1928</v>
      </c>
      <c r="KD411" s="561">
        <v>0</v>
      </c>
      <c r="KE411" s="561">
        <v>4141</v>
      </c>
      <c r="KF411" s="561">
        <v>0</v>
      </c>
      <c r="KG411" s="561">
        <v>52195</v>
      </c>
      <c r="KH411" s="561">
        <v>-7401</v>
      </c>
      <c r="KI411" s="561">
        <v>0</v>
      </c>
      <c r="KJ411" s="561">
        <v>-25</v>
      </c>
      <c r="KK411" s="561">
        <v>0</v>
      </c>
      <c r="KL411" s="561">
        <v>-27123</v>
      </c>
      <c r="KM411" s="561">
        <v>0</v>
      </c>
      <c r="KN411" s="561">
        <v>-43</v>
      </c>
      <c r="KO411" s="561">
        <v>0</v>
      </c>
      <c r="KP411" s="561">
        <v>0</v>
      </c>
      <c r="KQ411" s="561">
        <v>0</v>
      </c>
      <c r="KR411" s="561">
        <v>17603</v>
      </c>
      <c r="KS411" s="561">
        <v>0</v>
      </c>
      <c r="KT411" s="561">
        <v>-3621</v>
      </c>
      <c r="KU411" s="561">
        <v>13982</v>
      </c>
      <c r="KV411" s="561">
        <v>0</v>
      </c>
      <c r="KW411" s="561">
        <v>0</v>
      </c>
      <c r="KX411" s="561">
        <v>0</v>
      </c>
      <c r="KY411" s="561">
        <v>0</v>
      </c>
      <c r="KZ411" s="561">
        <v>-409</v>
      </c>
      <c r="LA411" s="561">
        <v>-5</v>
      </c>
      <c r="LB411" s="561">
        <v>-116</v>
      </c>
      <c r="LC411" s="561">
        <v>0</v>
      </c>
      <c r="LD411" s="561">
        <v>-2773</v>
      </c>
      <c r="LE411" s="561">
        <v>-152</v>
      </c>
      <c r="LF411" s="561">
        <v>0</v>
      </c>
      <c r="LG411" s="561">
        <v>10527</v>
      </c>
      <c r="LH411" s="561">
        <v>0</v>
      </c>
      <c r="LI411" s="561">
        <v>0</v>
      </c>
      <c r="LJ411" s="561">
        <v>0</v>
      </c>
      <c r="LK411" s="561">
        <v>0</v>
      </c>
      <c r="LL411" s="561">
        <v>2192</v>
      </c>
      <c r="LM411" s="561">
        <v>760</v>
      </c>
      <c r="LN411" s="561">
        <v>0</v>
      </c>
      <c r="LO411" s="561">
        <v>0</v>
      </c>
      <c r="LP411" s="561">
        <v>0</v>
      </c>
      <c r="LQ411" s="561">
        <v>0</v>
      </c>
      <c r="LR411" s="561">
        <v>1783</v>
      </c>
      <c r="LS411" s="561">
        <v>755</v>
      </c>
      <c r="LT411" s="561">
        <v>0</v>
      </c>
      <c r="LU411" s="561">
        <v>4327</v>
      </c>
      <c r="LV411" s="561">
        <v>0</v>
      </c>
      <c r="LW411" s="561">
        <v>1554</v>
      </c>
      <c r="LX411" s="561">
        <v>0</v>
      </c>
      <c r="LY411" s="561">
        <v>801</v>
      </c>
      <c r="LZ411" s="561">
        <v>6682</v>
      </c>
      <c r="MA411" s="561">
        <v>0</v>
      </c>
      <c r="MB411" s="561">
        <v>0</v>
      </c>
      <c r="MC411" s="561">
        <v>0</v>
      </c>
      <c r="MD411" s="561">
        <v>0</v>
      </c>
      <c r="ME411" s="561">
        <v>0</v>
      </c>
      <c r="MF411" s="561">
        <v>0</v>
      </c>
      <c r="MG411" s="561">
        <v>0</v>
      </c>
      <c r="MH411" s="561">
        <v>3045</v>
      </c>
      <c r="MI411" s="561">
        <v>3857</v>
      </c>
      <c r="MJ411" s="561">
        <v>6902</v>
      </c>
      <c r="MK411" s="561">
        <v>0</v>
      </c>
      <c r="ML411" s="561">
        <v>0</v>
      </c>
      <c r="MM411" s="561">
        <v>569</v>
      </c>
      <c r="MN411" s="561">
        <v>752</v>
      </c>
      <c r="MO411" s="561">
        <v>0</v>
      </c>
      <c r="MP411" s="561">
        <v>462</v>
      </c>
      <c r="MQ411" s="561">
        <v>0</v>
      </c>
      <c r="MR411" s="561">
        <v>-1113</v>
      </c>
      <c r="MS411" s="561">
        <v>0</v>
      </c>
      <c r="MT411" s="561">
        <v>0</v>
      </c>
      <c r="MU411" s="561">
        <v>0</v>
      </c>
      <c r="MV411" s="561">
        <v>7560</v>
      </c>
      <c r="MW411" s="561">
        <v>4629</v>
      </c>
      <c r="MX411" s="561">
        <v>2508</v>
      </c>
      <c r="MY411" s="561">
        <v>1470</v>
      </c>
      <c r="MZ411" s="561">
        <v>0</v>
      </c>
      <c r="NA411" s="561">
        <v>0</v>
      </c>
      <c r="NB411" s="561">
        <v>3591</v>
      </c>
      <c r="NC411" s="561">
        <v>0</v>
      </c>
      <c r="ND411" s="561">
        <v>18645</v>
      </c>
      <c r="NE411" s="561">
        <v>0</v>
      </c>
      <c r="NF411" s="561">
        <v>0</v>
      </c>
      <c r="NG411" s="561">
        <v>0</v>
      </c>
      <c r="NH411" s="561">
        <v>0</v>
      </c>
      <c r="NI411" s="561">
        <v>0</v>
      </c>
      <c r="NJ411" s="561">
        <v>0</v>
      </c>
      <c r="NK411" s="561">
        <v>0</v>
      </c>
      <c r="NL411" s="561">
        <v>0</v>
      </c>
      <c r="NM411" s="561">
        <v>0</v>
      </c>
      <c r="NN411" s="561">
        <v>0</v>
      </c>
      <c r="NO411" s="561">
        <v>0</v>
      </c>
      <c r="NP411" s="561">
        <v>0</v>
      </c>
      <c r="NQ411" s="561">
        <v>0</v>
      </c>
      <c r="NR411" s="561">
        <v>0</v>
      </c>
      <c r="NS411" s="561">
        <v>0</v>
      </c>
      <c r="NT411" s="561">
        <v>0</v>
      </c>
      <c r="NU411" s="561">
        <v>-473</v>
      </c>
      <c r="NV411" s="561">
        <v>0</v>
      </c>
      <c r="NW411" s="561">
        <v>0</v>
      </c>
      <c r="NX411" s="561">
        <v>0</v>
      </c>
      <c r="NY411" s="561">
        <v>0</v>
      </c>
      <c r="NZ411" s="561">
        <v>0</v>
      </c>
      <c r="OA411" s="561">
        <v>0</v>
      </c>
      <c r="OB411" s="561">
        <v>0</v>
      </c>
      <c r="OC411" s="561">
        <v>0</v>
      </c>
      <c r="OD411" s="561">
        <v>0</v>
      </c>
      <c r="OE411" s="561">
        <v>0</v>
      </c>
      <c r="OF411" s="561">
        <v>0</v>
      </c>
      <c r="OG411" s="561">
        <v>0</v>
      </c>
      <c r="OH411" s="561">
        <v>0</v>
      </c>
      <c r="OI411" s="561">
        <v>0</v>
      </c>
      <c r="OJ411" s="561">
        <v>0</v>
      </c>
      <c r="OK411" s="561">
        <v>0</v>
      </c>
      <c r="OL411" s="561">
        <v>0</v>
      </c>
      <c r="OM411" s="561">
        <v>0</v>
      </c>
      <c r="ON411" s="561">
        <v>0</v>
      </c>
      <c r="OO411" s="561">
        <v>0</v>
      </c>
      <c r="OP411" s="561">
        <v>0</v>
      </c>
      <c r="OQ411" s="561">
        <v>0</v>
      </c>
      <c r="OR411" s="561">
        <v>0</v>
      </c>
      <c r="OS411" s="561">
        <v>0</v>
      </c>
      <c r="OT411" s="561">
        <v>0</v>
      </c>
      <c r="OU411" s="561">
        <v>0</v>
      </c>
      <c r="OV411" s="561">
        <v>0</v>
      </c>
      <c r="OW411" s="561">
        <v>0</v>
      </c>
      <c r="OX411" s="561">
        <v>0</v>
      </c>
      <c r="OY411" s="561">
        <v>0</v>
      </c>
      <c r="OZ411" s="561">
        <v>0</v>
      </c>
      <c r="PA411" s="561">
        <v>0</v>
      </c>
      <c r="PB411" s="561">
        <v>0</v>
      </c>
      <c r="PC411" s="561">
        <v>0</v>
      </c>
      <c r="PD411" s="561">
        <v>0</v>
      </c>
      <c r="PE411" s="561">
        <v>0</v>
      </c>
      <c r="PF411" s="561">
        <v>0</v>
      </c>
      <c r="PG411" s="561">
        <v>0</v>
      </c>
      <c r="PH411" s="561">
        <v>0</v>
      </c>
      <c r="PI411" s="561">
        <v>0</v>
      </c>
      <c r="PJ411" s="561">
        <v>0</v>
      </c>
    </row>
    <row r="412" spans="1:426" ht="14" x14ac:dyDescent="0.3">
      <c r="A412" t="s">
        <v>3677</v>
      </c>
      <c r="B412" t="s">
        <v>3678</v>
      </c>
      <c r="C412" t="s">
        <v>3679</v>
      </c>
      <c r="E412" t="s">
        <v>384</v>
      </c>
      <c r="F412" s="561">
        <v>0</v>
      </c>
      <c r="G412" s="561">
        <v>0</v>
      </c>
      <c r="H412" s="561">
        <v>0</v>
      </c>
      <c r="I412" s="561">
        <v>0</v>
      </c>
      <c r="J412" s="561">
        <v>0</v>
      </c>
      <c r="K412" s="561">
        <v>0</v>
      </c>
      <c r="L412" s="561">
        <v>0</v>
      </c>
      <c r="M412" s="561">
        <v>0</v>
      </c>
      <c r="N412" s="561">
        <v>0</v>
      </c>
      <c r="O412" s="561">
        <v>0</v>
      </c>
      <c r="P412" s="561">
        <v>0</v>
      </c>
      <c r="Q412" s="561">
        <v>0</v>
      </c>
      <c r="R412" s="561">
        <v>0</v>
      </c>
      <c r="S412" s="561">
        <v>0</v>
      </c>
      <c r="T412" s="561">
        <v>0</v>
      </c>
      <c r="U412" s="561">
        <v>0</v>
      </c>
      <c r="V412" s="561">
        <v>0</v>
      </c>
      <c r="W412" s="561">
        <v>0</v>
      </c>
      <c r="X412" s="561">
        <v>0</v>
      </c>
      <c r="Y412" s="561">
        <v>0</v>
      </c>
      <c r="Z412" s="561">
        <v>0</v>
      </c>
      <c r="AA412" s="561">
        <v>81</v>
      </c>
      <c r="AB412" s="561">
        <v>-927</v>
      </c>
      <c r="AC412" s="561">
        <v>0</v>
      </c>
      <c r="AD412" s="561">
        <v>0</v>
      </c>
      <c r="AE412" s="561">
        <v>0</v>
      </c>
      <c r="AF412" s="561">
        <v>0</v>
      </c>
      <c r="AG412" s="561">
        <v>0</v>
      </c>
      <c r="AH412" s="561">
        <v>75</v>
      </c>
      <c r="AI412" s="561">
        <v>0</v>
      </c>
      <c r="AJ412" s="561">
        <v>-771</v>
      </c>
      <c r="AK412" s="561">
        <v>0</v>
      </c>
      <c r="AL412" s="561">
        <v>0</v>
      </c>
      <c r="AM412" s="561">
        <v>0</v>
      </c>
      <c r="AN412" s="561">
        <v>0</v>
      </c>
      <c r="AO412" s="561">
        <v>0</v>
      </c>
      <c r="AP412" s="561">
        <v>0</v>
      </c>
      <c r="AQ412" s="561">
        <v>0</v>
      </c>
      <c r="AR412" s="561">
        <v>0</v>
      </c>
      <c r="AS412" s="561">
        <v>109</v>
      </c>
      <c r="AT412" s="561">
        <v>63</v>
      </c>
      <c r="AU412" s="561">
        <v>0</v>
      </c>
      <c r="AV412" s="561">
        <v>0</v>
      </c>
      <c r="AW412" s="561">
        <v>0</v>
      </c>
      <c r="AX412" s="561">
        <v>0</v>
      </c>
      <c r="AY412" s="561">
        <v>0</v>
      </c>
      <c r="AZ412" s="561">
        <v>0</v>
      </c>
      <c r="BA412" s="561">
        <v>0</v>
      </c>
      <c r="BB412" s="561">
        <v>0</v>
      </c>
      <c r="BC412" s="561">
        <v>0</v>
      </c>
      <c r="BD412" s="561">
        <v>0</v>
      </c>
      <c r="BE412" s="561">
        <v>231</v>
      </c>
      <c r="BF412" s="561">
        <v>231</v>
      </c>
      <c r="BG412" s="561">
        <v>0</v>
      </c>
      <c r="BH412" s="561">
        <v>0</v>
      </c>
      <c r="BI412" s="561">
        <v>0</v>
      </c>
      <c r="BJ412" s="561">
        <v>0</v>
      </c>
      <c r="BK412" s="561">
        <v>0</v>
      </c>
      <c r="BL412" s="561">
        <v>0</v>
      </c>
      <c r="BM412" s="561">
        <v>0</v>
      </c>
      <c r="BN412" s="561">
        <v>0</v>
      </c>
      <c r="BO412" s="561">
        <v>0</v>
      </c>
      <c r="BP412" s="561">
        <v>0</v>
      </c>
      <c r="BQ412" s="561">
        <v>0</v>
      </c>
      <c r="BR412" s="561">
        <v>0</v>
      </c>
      <c r="BS412" s="561">
        <v>0</v>
      </c>
      <c r="BT412" s="561">
        <v>0</v>
      </c>
      <c r="BU412" s="561">
        <v>0</v>
      </c>
      <c r="BV412" s="561">
        <v>0</v>
      </c>
      <c r="BW412" s="561">
        <v>0</v>
      </c>
      <c r="BX412" s="561">
        <v>0</v>
      </c>
      <c r="BY412" s="561">
        <v>0</v>
      </c>
      <c r="BZ412" s="561">
        <v>0</v>
      </c>
      <c r="CA412" s="561">
        <v>0</v>
      </c>
      <c r="CB412" s="561">
        <v>0</v>
      </c>
      <c r="CC412" s="561">
        <v>0</v>
      </c>
      <c r="CD412" s="561">
        <v>0</v>
      </c>
      <c r="CE412" s="561">
        <v>0</v>
      </c>
      <c r="CF412" s="561">
        <v>0</v>
      </c>
      <c r="CG412" s="561">
        <v>0</v>
      </c>
      <c r="CH412" s="561">
        <v>0</v>
      </c>
      <c r="CI412" s="561">
        <v>0</v>
      </c>
      <c r="CJ412" s="561">
        <v>0</v>
      </c>
      <c r="CK412" s="561">
        <v>93</v>
      </c>
      <c r="CL412" s="561">
        <v>0</v>
      </c>
      <c r="CM412" s="561">
        <v>0</v>
      </c>
      <c r="CN412" s="561">
        <v>0</v>
      </c>
      <c r="CO412" s="561">
        <v>0</v>
      </c>
      <c r="CP412" s="561">
        <v>0</v>
      </c>
      <c r="CQ412" s="561">
        <v>0</v>
      </c>
      <c r="CR412" s="561">
        <v>0</v>
      </c>
      <c r="CS412" s="561">
        <v>0</v>
      </c>
      <c r="CT412" s="561">
        <v>0</v>
      </c>
      <c r="CU412" s="561">
        <v>0</v>
      </c>
      <c r="CV412" s="561">
        <v>0</v>
      </c>
      <c r="CW412" s="561">
        <v>0</v>
      </c>
      <c r="CX412" s="561">
        <v>87</v>
      </c>
      <c r="CY412" s="561">
        <v>0</v>
      </c>
      <c r="CZ412" s="561">
        <v>180</v>
      </c>
      <c r="DA412" s="561">
        <v>0</v>
      </c>
      <c r="DB412" s="561">
        <v>0</v>
      </c>
      <c r="DC412" s="561">
        <v>0</v>
      </c>
      <c r="DD412" s="561">
        <v>0</v>
      </c>
      <c r="DE412" s="561">
        <v>0</v>
      </c>
      <c r="DF412" s="561">
        <v>0</v>
      </c>
      <c r="DG412" s="561">
        <v>0</v>
      </c>
      <c r="DH412" s="561">
        <v>347</v>
      </c>
      <c r="DI412" s="561">
        <v>0</v>
      </c>
      <c r="DJ412" s="561">
        <v>98</v>
      </c>
      <c r="DK412" s="561">
        <v>90</v>
      </c>
      <c r="DL412" s="561">
        <v>0</v>
      </c>
      <c r="DM412" s="561">
        <v>97</v>
      </c>
      <c r="DN412" s="561">
        <v>17</v>
      </c>
      <c r="DO412" s="561">
        <v>155</v>
      </c>
      <c r="DP412" s="561">
        <v>25</v>
      </c>
      <c r="DQ412" s="561">
        <v>18</v>
      </c>
      <c r="DR412" s="561">
        <v>150</v>
      </c>
      <c r="DS412" s="561">
        <v>651</v>
      </c>
      <c r="DT412" s="561">
        <v>291</v>
      </c>
      <c r="DU412" s="561">
        <v>1404</v>
      </c>
      <c r="DV412" s="561">
        <v>0</v>
      </c>
      <c r="DW412" s="561">
        <v>0</v>
      </c>
      <c r="DX412" s="561">
        <v>0</v>
      </c>
      <c r="DY412" s="561">
        <v>585</v>
      </c>
      <c r="DZ412" s="561">
        <v>0</v>
      </c>
      <c r="EA412" s="561">
        <v>0</v>
      </c>
      <c r="EB412" s="561">
        <v>0</v>
      </c>
      <c r="EC412" s="561">
        <v>2524</v>
      </c>
      <c r="ED412" s="561">
        <v>0</v>
      </c>
      <c r="EE412" s="561">
        <v>0</v>
      </c>
      <c r="EF412" s="561">
        <v>0</v>
      </c>
      <c r="EG412" s="561">
        <v>0</v>
      </c>
      <c r="EH412" s="561">
        <v>0</v>
      </c>
      <c r="EI412" s="561">
        <v>0</v>
      </c>
      <c r="EJ412" s="561">
        <v>0</v>
      </c>
      <c r="EK412" s="561">
        <v>0</v>
      </c>
      <c r="EL412" s="561">
        <v>0</v>
      </c>
      <c r="EM412" s="561">
        <v>0</v>
      </c>
      <c r="EN412" s="561">
        <v>0</v>
      </c>
      <c r="EO412" s="561">
        <v>0</v>
      </c>
      <c r="EP412" s="561">
        <v>0</v>
      </c>
      <c r="EQ412" s="561">
        <v>0</v>
      </c>
      <c r="ER412" s="561">
        <v>0</v>
      </c>
      <c r="ES412" s="561" t="s">
        <v>4565</v>
      </c>
      <c r="ET412" s="561">
        <v>0</v>
      </c>
      <c r="EU412" s="561">
        <v>0</v>
      </c>
      <c r="EV412" s="561">
        <v>0</v>
      </c>
      <c r="EW412" s="561">
        <v>0</v>
      </c>
      <c r="EX412" s="561">
        <v>0</v>
      </c>
      <c r="EY412" s="561">
        <v>0</v>
      </c>
      <c r="EZ412" s="561">
        <v>0</v>
      </c>
      <c r="FA412" s="561">
        <v>0</v>
      </c>
      <c r="FB412" s="561">
        <v>0</v>
      </c>
      <c r="FC412" s="561">
        <v>75</v>
      </c>
      <c r="FD412" s="561">
        <v>0</v>
      </c>
      <c r="FE412" s="561">
        <v>0</v>
      </c>
      <c r="FF412" s="561">
        <v>0</v>
      </c>
      <c r="FG412" s="561">
        <v>7</v>
      </c>
      <c r="FH412" s="561">
        <v>0</v>
      </c>
      <c r="FI412" s="561">
        <v>241</v>
      </c>
      <c r="FJ412" s="561">
        <v>173</v>
      </c>
      <c r="FK412" s="561">
        <v>1608</v>
      </c>
      <c r="FL412" s="561">
        <v>0</v>
      </c>
      <c r="FM412" s="561">
        <v>548</v>
      </c>
      <c r="FN412" s="561">
        <v>0</v>
      </c>
      <c r="FO412" s="561">
        <v>2652</v>
      </c>
      <c r="FP412" s="561">
        <v>0</v>
      </c>
      <c r="FQ412" s="561">
        <v>-7</v>
      </c>
      <c r="FR412" s="561">
        <v>0</v>
      </c>
      <c r="FS412" s="561">
        <v>10</v>
      </c>
      <c r="FT412" s="561">
        <v>348</v>
      </c>
      <c r="FU412" s="561">
        <v>635</v>
      </c>
      <c r="FV412" s="561">
        <v>0</v>
      </c>
      <c r="FW412" s="561">
        <v>72</v>
      </c>
      <c r="FX412" s="561">
        <v>0</v>
      </c>
      <c r="FY412" s="561">
        <v>0</v>
      </c>
      <c r="FZ412" s="561">
        <v>48</v>
      </c>
      <c r="GA412" s="561">
        <v>445</v>
      </c>
      <c r="GB412" s="561">
        <v>148</v>
      </c>
      <c r="GC412" s="561">
        <v>-129</v>
      </c>
      <c r="GD412" s="561">
        <v>0</v>
      </c>
      <c r="GE412" s="561">
        <v>121</v>
      </c>
      <c r="GF412" s="561">
        <v>225</v>
      </c>
      <c r="GG412" s="561">
        <v>181</v>
      </c>
      <c r="GH412" s="561">
        <v>0</v>
      </c>
      <c r="GI412" s="561">
        <v>0</v>
      </c>
      <c r="GJ412" s="561">
        <v>0</v>
      </c>
      <c r="GK412" s="561">
        <v>0</v>
      </c>
      <c r="GL412" s="561">
        <v>1579</v>
      </c>
      <c r="GM412" s="561">
        <v>1205</v>
      </c>
      <c r="GN412" s="561">
        <v>0</v>
      </c>
      <c r="GO412" s="561">
        <v>18</v>
      </c>
      <c r="GP412" s="561">
        <v>1714</v>
      </c>
      <c r="GQ412" s="561">
        <v>0</v>
      </c>
      <c r="GR412" s="561">
        <v>0</v>
      </c>
      <c r="GS412" s="561">
        <v>6613</v>
      </c>
      <c r="GT412" s="561">
        <v>0</v>
      </c>
      <c r="GU412" s="561">
        <v>64</v>
      </c>
      <c r="GV412" s="561">
        <v>841</v>
      </c>
      <c r="GW412" s="561">
        <v>504</v>
      </c>
      <c r="GX412" s="561">
        <v>921</v>
      </c>
      <c r="GY412" s="561">
        <v>2</v>
      </c>
      <c r="GZ412" s="561">
        <v>1201</v>
      </c>
      <c r="HA412" s="561">
        <v>4</v>
      </c>
      <c r="HB412" s="561">
        <v>215</v>
      </c>
      <c r="HC412" s="561">
        <v>339</v>
      </c>
      <c r="HD412" s="561">
        <v>4091</v>
      </c>
      <c r="HE412" s="561">
        <v>164</v>
      </c>
      <c r="HF412" s="561">
        <v>13356</v>
      </c>
      <c r="HG412" s="561">
        <v>164</v>
      </c>
      <c r="HH412" s="561">
        <v>0</v>
      </c>
      <c r="HI412" s="561">
        <v>0</v>
      </c>
      <c r="HJ412" s="561">
        <v>0</v>
      </c>
      <c r="HK412" s="561">
        <v>0</v>
      </c>
      <c r="HL412" s="561">
        <v>0</v>
      </c>
      <c r="HM412" s="561">
        <v>0</v>
      </c>
      <c r="HN412" s="561">
        <v>0</v>
      </c>
      <c r="HO412" s="561">
        <v>1385</v>
      </c>
      <c r="HP412" s="561">
        <v>362</v>
      </c>
      <c r="HQ412" s="561">
        <v>0</v>
      </c>
      <c r="HR412" s="561">
        <v>134</v>
      </c>
      <c r="HS412" s="561">
        <v>172</v>
      </c>
      <c r="HT412" s="561">
        <v>133</v>
      </c>
      <c r="HU412" s="561">
        <v>0</v>
      </c>
      <c r="HV412" s="561">
        <v>0</v>
      </c>
      <c r="HW412" s="561">
        <v>174</v>
      </c>
      <c r="HX412" s="561">
        <v>746</v>
      </c>
      <c r="HY412" s="561">
        <v>89</v>
      </c>
      <c r="HZ412" s="561">
        <v>15</v>
      </c>
      <c r="IA412" s="561">
        <v>0</v>
      </c>
      <c r="IB412" s="561">
        <v>154</v>
      </c>
      <c r="IC412" s="561">
        <v>0</v>
      </c>
      <c r="ID412" s="561">
        <v>0</v>
      </c>
      <c r="IE412" s="561">
        <v>0</v>
      </c>
      <c r="IF412" s="561">
        <v>0</v>
      </c>
      <c r="IG412" s="561">
        <v>0</v>
      </c>
      <c r="IH412" s="561">
        <v>0</v>
      </c>
      <c r="II412" s="561">
        <v>3364</v>
      </c>
      <c r="IJ412" s="561">
        <v>16</v>
      </c>
      <c r="IK412" s="561">
        <v>987</v>
      </c>
      <c r="IL412" s="561">
        <v>4039</v>
      </c>
      <c r="IM412" s="561">
        <v>0</v>
      </c>
      <c r="IN412" s="561">
        <v>0</v>
      </c>
      <c r="IO412" s="561">
        <v>127</v>
      </c>
      <c r="IP412" s="561">
        <v>1084</v>
      </c>
      <c r="IQ412" s="561">
        <v>54</v>
      </c>
      <c r="IR412" s="561">
        <v>0</v>
      </c>
      <c r="IS412" s="561">
        <v>-771</v>
      </c>
      <c r="IT412" s="561">
        <v>231</v>
      </c>
      <c r="IU412" s="561">
        <v>0</v>
      </c>
      <c r="IV412" s="561">
        <v>180</v>
      </c>
      <c r="IW412" s="561">
        <v>2524</v>
      </c>
      <c r="IX412" s="561">
        <v>2652</v>
      </c>
      <c r="IY412" s="561">
        <v>6613</v>
      </c>
      <c r="IZ412" s="561">
        <v>4091</v>
      </c>
      <c r="JA412" s="561">
        <v>0</v>
      </c>
      <c r="JB412" s="561">
        <v>0</v>
      </c>
      <c r="JC412" s="561">
        <v>3364</v>
      </c>
      <c r="JD412" s="561">
        <v>1084</v>
      </c>
      <c r="JE412" s="561">
        <v>19968</v>
      </c>
      <c r="JF412" s="561">
        <v>18537</v>
      </c>
      <c r="JG412" s="561">
        <v>0</v>
      </c>
      <c r="JH412" s="561">
        <v>0</v>
      </c>
      <c r="JI412" s="561">
        <v>0</v>
      </c>
      <c r="JJ412" s="561">
        <v>0</v>
      </c>
      <c r="JK412" s="561">
        <v>3277</v>
      </c>
      <c r="JL412" s="561">
        <v>0</v>
      </c>
      <c r="JM412" s="561">
        <v>0</v>
      </c>
      <c r="JN412" s="561">
        <v>0</v>
      </c>
      <c r="JO412" s="561">
        <v>0</v>
      </c>
      <c r="JP412" s="561">
        <v>0</v>
      </c>
      <c r="JQ412" s="561">
        <v>0</v>
      </c>
      <c r="JR412" s="561">
        <v>0</v>
      </c>
      <c r="JS412" s="561">
        <v>0</v>
      </c>
      <c r="JT412" s="561">
        <v>0</v>
      </c>
      <c r="JU412" s="561">
        <v>0</v>
      </c>
      <c r="JV412" s="561">
        <v>41782</v>
      </c>
      <c r="JW412" s="561">
        <v>0</v>
      </c>
      <c r="JX412" s="561">
        <v>2258</v>
      </c>
      <c r="JY412" s="561">
        <v>0</v>
      </c>
      <c r="JZ412" s="561">
        <v>0</v>
      </c>
      <c r="KA412" s="561">
        <v>0</v>
      </c>
      <c r="KB412" s="561">
        <v>0</v>
      </c>
      <c r="KC412" s="561">
        <v>0</v>
      </c>
      <c r="KD412" s="561">
        <v>0</v>
      </c>
      <c r="KE412" s="561">
        <v>0</v>
      </c>
      <c r="KF412" s="561">
        <v>0</v>
      </c>
      <c r="KG412" s="561">
        <v>44040</v>
      </c>
      <c r="KH412" s="561">
        <v>-8356</v>
      </c>
      <c r="KI412" s="561">
        <v>0</v>
      </c>
      <c r="KJ412" s="561">
        <v>0</v>
      </c>
      <c r="KK412" s="561">
        <v>0</v>
      </c>
      <c r="KL412" s="561">
        <v>-18221</v>
      </c>
      <c r="KM412" s="561">
        <v>0</v>
      </c>
      <c r="KN412" s="561">
        <v>-24</v>
      </c>
      <c r="KO412" s="561">
        <v>0</v>
      </c>
      <c r="KP412" s="561">
        <v>0</v>
      </c>
      <c r="KQ412" s="561">
        <v>0</v>
      </c>
      <c r="KR412" s="561">
        <v>17439</v>
      </c>
      <c r="KS412" s="561">
        <v>0</v>
      </c>
      <c r="KT412" s="561">
        <v>-7612</v>
      </c>
      <c r="KU412" s="561">
        <v>9827</v>
      </c>
      <c r="KV412" s="561">
        <v>0</v>
      </c>
      <c r="KW412" s="561">
        <v>0</v>
      </c>
      <c r="KX412" s="561">
        <v>0</v>
      </c>
      <c r="KY412" s="561">
        <v>0</v>
      </c>
      <c r="KZ412" s="561">
        <v>8083</v>
      </c>
      <c r="LA412" s="561">
        <v>2811</v>
      </c>
      <c r="LB412" s="561">
        <v>-184</v>
      </c>
      <c r="LC412" s="561">
        <v>0</v>
      </c>
      <c r="LD412" s="561">
        <v>-10327</v>
      </c>
      <c r="LE412" s="561">
        <v>-200</v>
      </c>
      <c r="LF412" s="561">
        <v>-114</v>
      </c>
      <c r="LG412" s="561">
        <v>9896</v>
      </c>
      <c r="LH412" s="561">
        <v>0</v>
      </c>
      <c r="LI412" s="561">
        <v>0</v>
      </c>
      <c r="LJ412" s="561">
        <v>0</v>
      </c>
      <c r="LK412" s="561">
        <v>0</v>
      </c>
      <c r="LL412" s="561">
        <v>78595</v>
      </c>
      <c r="LM412" s="561">
        <v>15119</v>
      </c>
      <c r="LN412" s="561">
        <v>0</v>
      </c>
      <c r="LO412" s="561">
        <v>0</v>
      </c>
      <c r="LP412" s="561">
        <v>0</v>
      </c>
      <c r="LQ412" s="561">
        <v>0</v>
      </c>
      <c r="LR412" s="561">
        <v>86678</v>
      </c>
      <c r="LS412" s="561">
        <v>17930</v>
      </c>
      <c r="LT412" s="561">
        <v>0</v>
      </c>
      <c r="LU412" s="561">
        <v>2711</v>
      </c>
      <c r="LV412" s="561">
        <v>1214</v>
      </c>
      <c r="LW412" s="561">
        <v>-131</v>
      </c>
      <c r="LX412" s="561">
        <v>-1721</v>
      </c>
      <c r="LY412" s="561">
        <v>6789</v>
      </c>
      <c r="LZ412" s="561">
        <v>10861</v>
      </c>
      <c r="MA412" s="561">
        <v>0</v>
      </c>
      <c r="MB412" s="561">
        <v>0</v>
      </c>
      <c r="MC412" s="561">
        <v>0</v>
      </c>
      <c r="MD412" s="561">
        <v>0</v>
      </c>
      <c r="ME412" s="561">
        <v>0</v>
      </c>
      <c r="MF412" s="561">
        <v>0</v>
      </c>
      <c r="MG412" s="561">
        <v>0</v>
      </c>
      <c r="MH412" s="561">
        <v>3512</v>
      </c>
      <c r="MI412" s="561">
        <v>3624</v>
      </c>
      <c r="MJ412" s="561">
        <v>7136</v>
      </c>
      <c r="MK412" s="561">
        <v>172</v>
      </c>
      <c r="ML412" s="561">
        <v>2764</v>
      </c>
      <c r="MM412" s="561">
        <v>69601</v>
      </c>
      <c r="MN412" s="561">
        <v>1034</v>
      </c>
      <c r="MO412" s="561">
        <v>3959</v>
      </c>
      <c r="MP412" s="561">
        <v>9320</v>
      </c>
      <c r="MQ412" s="561">
        <v>0</v>
      </c>
      <c r="MR412" s="561">
        <v>-771</v>
      </c>
      <c r="MS412" s="561">
        <v>231</v>
      </c>
      <c r="MT412" s="561">
        <v>0</v>
      </c>
      <c r="MU412" s="561">
        <v>180</v>
      </c>
      <c r="MV412" s="561">
        <v>2524</v>
      </c>
      <c r="MW412" s="561">
        <v>2652</v>
      </c>
      <c r="MX412" s="561">
        <v>6613</v>
      </c>
      <c r="MY412" s="561">
        <v>4091</v>
      </c>
      <c r="MZ412" s="561">
        <v>0</v>
      </c>
      <c r="NA412" s="561">
        <v>0</v>
      </c>
      <c r="NB412" s="561">
        <v>3364</v>
      </c>
      <c r="NC412" s="561">
        <v>1084</v>
      </c>
      <c r="ND412" s="561">
        <v>19968</v>
      </c>
      <c r="NE412" s="561">
        <v>0</v>
      </c>
      <c r="NF412" s="561">
        <v>0</v>
      </c>
      <c r="NG412" s="561">
        <v>0</v>
      </c>
      <c r="NH412" s="561">
        <v>0</v>
      </c>
      <c r="NI412" s="561">
        <v>0</v>
      </c>
      <c r="NJ412" s="561">
        <v>0</v>
      </c>
      <c r="NK412" s="561">
        <v>0</v>
      </c>
      <c r="NL412" s="561">
        <v>0</v>
      </c>
      <c r="NM412" s="561">
        <v>0</v>
      </c>
      <c r="NN412" s="561">
        <v>0</v>
      </c>
      <c r="NO412" s="561">
        <v>0</v>
      </c>
      <c r="NP412" s="561">
        <v>0</v>
      </c>
      <c r="NQ412" s="561">
        <v>0</v>
      </c>
      <c r="NR412" s="561">
        <v>0</v>
      </c>
      <c r="NS412" s="561">
        <v>0</v>
      </c>
      <c r="NT412" s="561">
        <v>0</v>
      </c>
      <c r="NU412" s="561">
        <v>0</v>
      </c>
      <c r="NV412" s="561">
        <v>0</v>
      </c>
      <c r="NW412" s="561">
        <v>0</v>
      </c>
      <c r="NX412" s="561">
        <v>0</v>
      </c>
      <c r="NY412" s="561">
        <v>0</v>
      </c>
      <c r="NZ412" s="561">
        <v>0</v>
      </c>
      <c r="OA412" s="561">
        <v>0</v>
      </c>
      <c r="OB412" s="561">
        <v>0</v>
      </c>
      <c r="OC412" s="561">
        <v>0</v>
      </c>
      <c r="OD412" s="561">
        <v>0</v>
      </c>
      <c r="OE412" s="561">
        <v>0</v>
      </c>
      <c r="OF412" s="561">
        <v>0</v>
      </c>
      <c r="OG412" s="561">
        <v>0</v>
      </c>
      <c r="OH412" s="561">
        <v>0</v>
      </c>
      <c r="OI412" s="561">
        <v>0</v>
      </c>
      <c r="OJ412" s="561">
        <v>0</v>
      </c>
      <c r="OK412" s="561">
        <v>0</v>
      </c>
      <c r="OL412" s="561">
        <v>0</v>
      </c>
      <c r="OM412" s="561">
        <v>0</v>
      </c>
      <c r="ON412" s="561">
        <v>0</v>
      </c>
      <c r="OO412" s="561">
        <v>0</v>
      </c>
      <c r="OP412" s="561">
        <v>0</v>
      </c>
      <c r="OQ412" s="561">
        <v>0</v>
      </c>
      <c r="OR412" s="561">
        <v>0</v>
      </c>
      <c r="OS412" s="561">
        <v>0</v>
      </c>
      <c r="OT412" s="561">
        <v>0</v>
      </c>
      <c r="OU412" s="561">
        <v>0</v>
      </c>
      <c r="OV412" s="561">
        <v>0</v>
      </c>
      <c r="OW412" s="561">
        <v>0</v>
      </c>
      <c r="OX412" s="561">
        <v>0</v>
      </c>
      <c r="OY412" s="561">
        <v>0</v>
      </c>
      <c r="OZ412" s="561">
        <v>0</v>
      </c>
      <c r="PA412" s="561">
        <v>0</v>
      </c>
      <c r="PB412" s="561">
        <v>0</v>
      </c>
      <c r="PC412" s="561">
        <v>0</v>
      </c>
      <c r="PD412" s="561">
        <v>0</v>
      </c>
      <c r="PE412" s="561">
        <v>0</v>
      </c>
      <c r="PF412" s="561">
        <v>0</v>
      </c>
      <c r="PG412" s="561">
        <v>0</v>
      </c>
      <c r="PH412" s="561">
        <v>0</v>
      </c>
      <c r="PI412" s="561">
        <v>0</v>
      </c>
      <c r="PJ412" s="561">
        <v>0</v>
      </c>
    </row>
    <row r="413" spans="1:426" ht="14" x14ac:dyDescent="0.3">
      <c r="A413" t="s">
        <v>3680</v>
      </c>
      <c r="B413" t="s">
        <v>3681</v>
      </c>
      <c r="C413" t="s">
        <v>3682</v>
      </c>
      <c r="E413" t="s">
        <v>384</v>
      </c>
      <c r="F413" s="561">
        <v>0</v>
      </c>
      <c r="G413" s="561">
        <v>0</v>
      </c>
      <c r="H413" s="561">
        <v>0</v>
      </c>
      <c r="I413" s="561">
        <v>0</v>
      </c>
      <c r="J413" s="561">
        <v>0</v>
      </c>
      <c r="K413" s="561">
        <v>0</v>
      </c>
      <c r="L413" s="561">
        <v>0</v>
      </c>
      <c r="M413" s="561">
        <v>0</v>
      </c>
      <c r="N413" s="561">
        <v>4</v>
      </c>
      <c r="O413" s="561">
        <v>0</v>
      </c>
      <c r="P413" s="561">
        <v>0</v>
      </c>
      <c r="Q413" s="561">
        <v>0</v>
      </c>
      <c r="R413" s="561">
        <v>0</v>
      </c>
      <c r="S413" s="561">
        <v>67</v>
      </c>
      <c r="T413" s="561">
        <v>223</v>
      </c>
      <c r="U413" s="561">
        <v>0</v>
      </c>
      <c r="V413" s="561">
        <v>51</v>
      </c>
      <c r="W413" s="561">
        <v>0</v>
      </c>
      <c r="X413" s="561">
        <v>0</v>
      </c>
      <c r="Y413" s="561">
        <v>0</v>
      </c>
      <c r="Z413" s="561">
        <v>0</v>
      </c>
      <c r="AA413" s="561">
        <v>0</v>
      </c>
      <c r="AB413" s="561">
        <v>-152</v>
      </c>
      <c r="AC413" s="561">
        <v>0</v>
      </c>
      <c r="AD413" s="561">
        <v>0</v>
      </c>
      <c r="AE413" s="561">
        <v>0</v>
      </c>
      <c r="AF413" s="561">
        <v>0</v>
      </c>
      <c r="AG413" s="561">
        <v>135</v>
      </c>
      <c r="AH413" s="561">
        <v>117</v>
      </c>
      <c r="AI413" s="561">
        <v>0</v>
      </c>
      <c r="AJ413" s="561">
        <v>445</v>
      </c>
      <c r="AK413" s="561">
        <v>0</v>
      </c>
      <c r="AL413" s="561">
        <v>0</v>
      </c>
      <c r="AM413" s="561">
        <v>0</v>
      </c>
      <c r="AN413" s="561">
        <v>0</v>
      </c>
      <c r="AO413" s="561">
        <v>0</v>
      </c>
      <c r="AP413" s="561">
        <v>0</v>
      </c>
      <c r="AQ413" s="561">
        <v>0</v>
      </c>
      <c r="AR413" s="561">
        <v>0</v>
      </c>
      <c r="AS413" s="561">
        <v>0</v>
      </c>
      <c r="AT413" s="561">
        <v>0</v>
      </c>
      <c r="AU413" s="561">
        <v>0</v>
      </c>
      <c r="AV413" s="561">
        <v>0</v>
      </c>
      <c r="AW413" s="561">
        <v>0</v>
      </c>
      <c r="AX413" s="561">
        <v>0</v>
      </c>
      <c r="AY413" s="561">
        <v>0</v>
      </c>
      <c r="AZ413" s="561">
        <v>0</v>
      </c>
      <c r="BA413" s="561">
        <v>0</v>
      </c>
      <c r="BB413" s="561">
        <v>0</v>
      </c>
      <c r="BC413" s="561">
        <v>0</v>
      </c>
      <c r="BD413" s="561">
        <v>0</v>
      </c>
      <c r="BE413" s="561">
        <v>0</v>
      </c>
      <c r="BF413" s="561">
        <v>0</v>
      </c>
      <c r="BG413" s="561">
        <v>0</v>
      </c>
      <c r="BH413" s="561">
        <v>0</v>
      </c>
      <c r="BI413" s="561">
        <v>0</v>
      </c>
      <c r="BJ413" s="561">
        <v>0</v>
      </c>
      <c r="BK413" s="561">
        <v>0</v>
      </c>
      <c r="BL413" s="561">
        <v>0</v>
      </c>
      <c r="BM413" s="561">
        <v>0</v>
      </c>
      <c r="BN413" s="561">
        <v>0</v>
      </c>
      <c r="BO413" s="561">
        <v>0</v>
      </c>
      <c r="BP413" s="561">
        <v>0</v>
      </c>
      <c r="BQ413" s="561">
        <v>0</v>
      </c>
      <c r="BR413" s="561">
        <v>0</v>
      </c>
      <c r="BS413" s="561">
        <v>50</v>
      </c>
      <c r="BT413" s="561">
        <v>0</v>
      </c>
      <c r="BU413" s="561">
        <v>0</v>
      </c>
      <c r="BV413" s="561">
        <v>0</v>
      </c>
      <c r="BW413" s="561">
        <v>0</v>
      </c>
      <c r="BX413" s="561">
        <v>0</v>
      </c>
      <c r="BY413" s="561">
        <v>0</v>
      </c>
      <c r="BZ413" s="561">
        <v>50</v>
      </c>
      <c r="CA413" s="561">
        <v>33</v>
      </c>
      <c r="CB413" s="561">
        <v>0</v>
      </c>
      <c r="CC413" s="561">
        <v>0</v>
      </c>
      <c r="CD413" s="561">
        <v>0</v>
      </c>
      <c r="CE413" s="561">
        <v>0</v>
      </c>
      <c r="CF413" s="561">
        <v>0</v>
      </c>
      <c r="CG413" s="561">
        <v>0</v>
      </c>
      <c r="CH413" s="561">
        <v>0</v>
      </c>
      <c r="CI413" s="561">
        <v>0</v>
      </c>
      <c r="CJ413" s="561">
        <v>0</v>
      </c>
      <c r="CK413" s="561">
        <v>0</v>
      </c>
      <c r="CL413" s="561">
        <v>0</v>
      </c>
      <c r="CM413" s="561">
        <v>0</v>
      </c>
      <c r="CN413" s="561">
        <v>0</v>
      </c>
      <c r="CO413" s="561">
        <v>0</v>
      </c>
      <c r="CP413" s="561">
        <v>0</v>
      </c>
      <c r="CQ413" s="561">
        <v>0</v>
      </c>
      <c r="CR413" s="561">
        <v>0</v>
      </c>
      <c r="CS413" s="561">
        <v>0</v>
      </c>
      <c r="CT413" s="561">
        <v>0</v>
      </c>
      <c r="CU413" s="561">
        <v>0</v>
      </c>
      <c r="CV413" s="561">
        <v>0</v>
      </c>
      <c r="CW413" s="561">
        <v>0</v>
      </c>
      <c r="CX413" s="561">
        <v>0</v>
      </c>
      <c r="CY413" s="561">
        <v>0</v>
      </c>
      <c r="CZ413" s="561">
        <v>0</v>
      </c>
      <c r="DA413" s="561">
        <v>0</v>
      </c>
      <c r="DB413" s="561">
        <v>0</v>
      </c>
      <c r="DC413" s="561">
        <v>0</v>
      </c>
      <c r="DD413" s="561">
        <v>0</v>
      </c>
      <c r="DE413" s="561">
        <v>0</v>
      </c>
      <c r="DF413" s="561">
        <v>0</v>
      </c>
      <c r="DG413" s="561">
        <v>0</v>
      </c>
      <c r="DH413" s="561">
        <v>47</v>
      </c>
      <c r="DI413" s="561">
        <v>0</v>
      </c>
      <c r="DJ413" s="561">
        <v>-110</v>
      </c>
      <c r="DK413" s="561">
        <v>36</v>
      </c>
      <c r="DL413" s="561">
        <v>0</v>
      </c>
      <c r="DM413" s="561">
        <v>0</v>
      </c>
      <c r="DN413" s="561">
        <v>0</v>
      </c>
      <c r="DO413" s="561">
        <v>0</v>
      </c>
      <c r="DP413" s="561">
        <v>0</v>
      </c>
      <c r="DQ413" s="561">
        <v>0</v>
      </c>
      <c r="DR413" s="561">
        <v>0</v>
      </c>
      <c r="DS413" s="561">
        <v>0</v>
      </c>
      <c r="DT413" s="561">
        <v>657</v>
      </c>
      <c r="DU413" s="561">
        <v>657</v>
      </c>
      <c r="DV413" s="561">
        <v>65</v>
      </c>
      <c r="DW413" s="561">
        <v>0</v>
      </c>
      <c r="DX413" s="561">
        <v>0</v>
      </c>
      <c r="DY413" s="561">
        <v>363</v>
      </c>
      <c r="DZ413" s="561">
        <v>0</v>
      </c>
      <c r="EA413" s="561">
        <v>107</v>
      </c>
      <c r="EB413" s="561">
        <v>0</v>
      </c>
      <c r="EC413" s="561">
        <v>1165</v>
      </c>
      <c r="ED413" s="561">
        <v>46</v>
      </c>
      <c r="EE413" s="561">
        <v>0</v>
      </c>
      <c r="EF413" s="561">
        <v>0</v>
      </c>
      <c r="EG413" s="561">
        <v>0</v>
      </c>
      <c r="EH413" s="561">
        <v>0</v>
      </c>
      <c r="EI413" s="561">
        <v>0</v>
      </c>
      <c r="EJ413" s="561">
        <v>0</v>
      </c>
      <c r="EK413" s="561">
        <v>0</v>
      </c>
      <c r="EL413" s="561">
        <v>0</v>
      </c>
      <c r="EM413" s="561">
        <v>0</v>
      </c>
      <c r="EN413" s="561">
        <v>0</v>
      </c>
      <c r="EO413" s="561">
        <v>0</v>
      </c>
      <c r="EP413" s="561">
        <v>0</v>
      </c>
      <c r="EQ413" s="561">
        <v>0</v>
      </c>
      <c r="ER413" s="561">
        <v>0</v>
      </c>
      <c r="ES413" s="561" t="s">
        <v>4565</v>
      </c>
      <c r="ET413" s="561">
        <v>0</v>
      </c>
      <c r="EU413" s="561">
        <v>0</v>
      </c>
      <c r="EV413" s="561">
        <v>0</v>
      </c>
      <c r="EW413" s="561">
        <v>0</v>
      </c>
      <c r="EX413" s="561">
        <v>0</v>
      </c>
      <c r="EY413" s="561">
        <v>0</v>
      </c>
      <c r="EZ413" s="561">
        <v>0</v>
      </c>
      <c r="FA413" s="561">
        <v>0</v>
      </c>
      <c r="FB413" s="561">
        <v>0</v>
      </c>
      <c r="FC413" s="561">
        <v>124</v>
      </c>
      <c r="FD413" s="561">
        <v>219</v>
      </c>
      <c r="FE413" s="561">
        <v>0</v>
      </c>
      <c r="FF413" s="561">
        <v>655</v>
      </c>
      <c r="FG413" s="561">
        <v>17</v>
      </c>
      <c r="FH413" s="561">
        <v>352</v>
      </c>
      <c r="FI413" s="561">
        <v>262</v>
      </c>
      <c r="FJ413" s="561">
        <v>1181</v>
      </c>
      <c r="FK413" s="561">
        <v>1638</v>
      </c>
      <c r="FL413" s="561">
        <v>56</v>
      </c>
      <c r="FM413" s="561">
        <v>193</v>
      </c>
      <c r="FN413" s="561">
        <v>0</v>
      </c>
      <c r="FO413" s="561">
        <v>4697</v>
      </c>
      <c r="FP413" s="561">
        <v>13</v>
      </c>
      <c r="FQ413" s="561">
        <v>7</v>
      </c>
      <c r="FR413" s="561">
        <v>0</v>
      </c>
      <c r="FS413" s="561">
        <v>36</v>
      </c>
      <c r="FT413" s="561">
        <v>240</v>
      </c>
      <c r="FU413" s="561">
        <v>241</v>
      </c>
      <c r="FV413" s="561">
        <v>130</v>
      </c>
      <c r="FW413" s="561">
        <v>150</v>
      </c>
      <c r="FX413" s="561">
        <v>0</v>
      </c>
      <c r="FY413" s="561">
        <v>0</v>
      </c>
      <c r="FZ413" s="561">
        <v>51</v>
      </c>
      <c r="GA413" s="561">
        <v>330</v>
      </c>
      <c r="GB413" s="561">
        <v>331</v>
      </c>
      <c r="GC413" s="561">
        <v>14</v>
      </c>
      <c r="GD413" s="561">
        <v>0</v>
      </c>
      <c r="GE413" s="561">
        <v>278</v>
      </c>
      <c r="GF413" s="561">
        <v>-22</v>
      </c>
      <c r="GG413" s="561">
        <v>46</v>
      </c>
      <c r="GH413" s="561">
        <v>94</v>
      </c>
      <c r="GI413" s="561">
        <v>0</v>
      </c>
      <c r="GJ413" s="561">
        <v>275</v>
      </c>
      <c r="GK413" s="561">
        <v>0</v>
      </c>
      <c r="GL413" s="561">
        <v>1429</v>
      </c>
      <c r="GM413" s="561">
        <v>2357</v>
      </c>
      <c r="GN413" s="561">
        <v>0</v>
      </c>
      <c r="GO413" s="561">
        <v>33</v>
      </c>
      <c r="GP413" s="561">
        <v>0</v>
      </c>
      <c r="GQ413" s="561">
        <v>0</v>
      </c>
      <c r="GR413" s="561">
        <v>116</v>
      </c>
      <c r="GS413" s="561">
        <v>6136</v>
      </c>
      <c r="GT413" s="561">
        <v>58</v>
      </c>
      <c r="GU413" s="561">
        <v>107</v>
      </c>
      <c r="GV413" s="561">
        <v>577</v>
      </c>
      <c r="GW413" s="561">
        <v>86</v>
      </c>
      <c r="GX413" s="561">
        <v>596</v>
      </c>
      <c r="GY413" s="561">
        <v>50</v>
      </c>
      <c r="GZ413" s="561">
        <v>1001</v>
      </c>
      <c r="HA413" s="561">
        <v>0</v>
      </c>
      <c r="HB413" s="561">
        <v>0</v>
      </c>
      <c r="HC413" s="561">
        <v>900</v>
      </c>
      <c r="HD413" s="561">
        <v>3317</v>
      </c>
      <c r="HE413" s="561">
        <v>2</v>
      </c>
      <c r="HF413" s="561">
        <v>14150</v>
      </c>
      <c r="HG413" s="561">
        <v>0</v>
      </c>
      <c r="HH413" s="561">
        <v>0</v>
      </c>
      <c r="HI413" s="561">
        <v>0</v>
      </c>
      <c r="HJ413" s="561">
        <v>0</v>
      </c>
      <c r="HK413" s="561">
        <v>0</v>
      </c>
      <c r="HL413" s="561">
        <v>0</v>
      </c>
      <c r="HM413" s="561">
        <v>0</v>
      </c>
      <c r="HN413" s="561">
        <v>0</v>
      </c>
      <c r="HO413" s="561">
        <v>2276</v>
      </c>
      <c r="HP413" s="561">
        <v>552</v>
      </c>
      <c r="HQ413" s="561">
        <v>0</v>
      </c>
      <c r="HR413" s="561">
        <v>0</v>
      </c>
      <c r="HS413" s="561">
        <v>521</v>
      </c>
      <c r="HT413" s="561">
        <v>9</v>
      </c>
      <c r="HU413" s="561">
        <v>0</v>
      </c>
      <c r="HV413" s="561">
        <v>0</v>
      </c>
      <c r="HW413" s="561">
        <v>401</v>
      </c>
      <c r="HX413" s="561">
        <v>27</v>
      </c>
      <c r="HY413" s="561">
        <v>144</v>
      </c>
      <c r="HZ413" s="561">
        <v>38</v>
      </c>
      <c r="IA413" s="561">
        <v>0</v>
      </c>
      <c r="IB413" s="561">
        <v>100</v>
      </c>
      <c r="IC413" s="561">
        <v>0</v>
      </c>
      <c r="ID413" s="561">
        <v>0</v>
      </c>
      <c r="IE413" s="561">
        <v>87</v>
      </c>
      <c r="IF413" s="561">
        <v>0</v>
      </c>
      <c r="IG413" s="561">
        <v>0</v>
      </c>
      <c r="IH413" s="561">
        <v>-690</v>
      </c>
      <c r="II413" s="561">
        <v>3465</v>
      </c>
      <c r="IJ413" s="561">
        <v>410</v>
      </c>
      <c r="IK413" s="561">
        <v>19282</v>
      </c>
      <c r="IL413" s="561">
        <v>0</v>
      </c>
      <c r="IM413" s="561">
        <v>0</v>
      </c>
      <c r="IN413" s="561">
        <v>0</v>
      </c>
      <c r="IO413" s="561">
        <v>0</v>
      </c>
      <c r="IP413" s="561">
        <v>0</v>
      </c>
      <c r="IQ413" s="561">
        <v>0</v>
      </c>
      <c r="IR413" s="561">
        <v>0</v>
      </c>
      <c r="IS413" s="561">
        <v>445</v>
      </c>
      <c r="IT413" s="561">
        <v>0</v>
      </c>
      <c r="IU413" s="561">
        <v>50</v>
      </c>
      <c r="IV413" s="561">
        <v>0</v>
      </c>
      <c r="IW413" s="561">
        <v>1165</v>
      </c>
      <c r="IX413" s="561">
        <v>4697</v>
      </c>
      <c r="IY413" s="561">
        <v>6136</v>
      </c>
      <c r="IZ413" s="561">
        <v>3317</v>
      </c>
      <c r="JA413" s="561">
        <v>0</v>
      </c>
      <c r="JB413" s="561">
        <v>0</v>
      </c>
      <c r="JC413" s="561">
        <v>3465</v>
      </c>
      <c r="JD413" s="561">
        <v>0</v>
      </c>
      <c r="JE413" s="561">
        <v>19275</v>
      </c>
      <c r="JF413" s="561">
        <v>18631</v>
      </c>
      <c r="JG413" s="561">
        <v>61</v>
      </c>
      <c r="JH413" s="561">
        <v>0</v>
      </c>
      <c r="JI413" s="561">
        <v>0</v>
      </c>
      <c r="JJ413" s="561">
        <v>0</v>
      </c>
      <c r="JK413" s="561">
        <v>1003</v>
      </c>
      <c r="JL413" s="561">
        <v>0</v>
      </c>
      <c r="JM413" s="561">
        <v>0</v>
      </c>
      <c r="JN413" s="561">
        <v>0</v>
      </c>
      <c r="JO413" s="561">
        <v>0</v>
      </c>
      <c r="JP413" s="561">
        <v>0</v>
      </c>
      <c r="JQ413" s="561">
        <v>0</v>
      </c>
      <c r="JR413" s="561">
        <v>0</v>
      </c>
      <c r="JS413" s="561">
        <v>0</v>
      </c>
      <c r="JT413" s="561">
        <v>-11</v>
      </c>
      <c r="JU413" s="561">
        <v>0</v>
      </c>
      <c r="JV413" s="561">
        <v>38959</v>
      </c>
      <c r="JW413" s="561">
        <v>0</v>
      </c>
      <c r="JX413" s="561">
        <v>847</v>
      </c>
      <c r="JY413" s="561">
        <v>0</v>
      </c>
      <c r="JZ413" s="561">
        <v>0</v>
      </c>
      <c r="KA413" s="561">
        <v>0</v>
      </c>
      <c r="KB413" s="561">
        <v>0</v>
      </c>
      <c r="KC413" s="561">
        <v>90</v>
      </c>
      <c r="KD413" s="561">
        <v>0</v>
      </c>
      <c r="KE413" s="561">
        <v>100</v>
      </c>
      <c r="KF413" s="561">
        <v>0</v>
      </c>
      <c r="KG413" s="561">
        <v>39996</v>
      </c>
      <c r="KH413" s="561">
        <v>-3217</v>
      </c>
      <c r="KI413" s="561">
        <v>0</v>
      </c>
      <c r="KJ413" s="561">
        <v>0</v>
      </c>
      <c r="KK413" s="561">
        <v>0</v>
      </c>
      <c r="KL413" s="561">
        <v>-18744</v>
      </c>
      <c r="KM413" s="561">
        <v>0</v>
      </c>
      <c r="KN413" s="561">
        <v>0</v>
      </c>
      <c r="KO413" s="561">
        <v>0</v>
      </c>
      <c r="KP413" s="561">
        <v>0</v>
      </c>
      <c r="KQ413" s="561">
        <v>0</v>
      </c>
      <c r="KR413" s="561">
        <v>18035</v>
      </c>
      <c r="KS413" s="561">
        <v>0</v>
      </c>
      <c r="KT413" s="561">
        <v>-3731</v>
      </c>
      <c r="KU413" s="561">
        <v>14304</v>
      </c>
      <c r="KV413" s="561">
        <v>0</v>
      </c>
      <c r="KW413" s="561">
        <v>0</v>
      </c>
      <c r="KX413" s="561">
        <v>0</v>
      </c>
      <c r="KY413" s="561">
        <v>0</v>
      </c>
      <c r="KZ413" s="561">
        <v>16783</v>
      </c>
      <c r="LA413" s="561">
        <v>-13008</v>
      </c>
      <c r="LB413" s="561">
        <v>-178</v>
      </c>
      <c r="LC413" s="561">
        <v>0</v>
      </c>
      <c r="LD413" s="561">
        <v>-7834</v>
      </c>
      <c r="LE413" s="561">
        <v>-206</v>
      </c>
      <c r="LF413" s="561">
        <v>0</v>
      </c>
      <c r="LG413" s="561">
        <v>9861</v>
      </c>
      <c r="LH413" s="561">
        <v>0</v>
      </c>
      <c r="LI413" s="561">
        <v>0</v>
      </c>
      <c r="LJ413" s="561">
        <v>0</v>
      </c>
      <c r="LK413" s="561">
        <v>0</v>
      </c>
      <c r="LL413" s="561">
        <v>19766</v>
      </c>
      <c r="LM413" s="561">
        <v>16758</v>
      </c>
      <c r="LN413" s="561">
        <v>0</v>
      </c>
      <c r="LO413" s="561">
        <v>0</v>
      </c>
      <c r="LP413" s="561">
        <v>0</v>
      </c>
      <c r="LQ413" s="561">
        <v>0</v>
      </c>
      <c r="LR413" s="561">
        <v>36549</v>
      </c>
      <c r="LS413" s="561">
        <v>3750</v>
      </c>
      <c r="LT413" s="561">
        <v>0</v>
      </c>
      <c r="LU413" s="561">
        <v>3114</v>
      </c>
      <c r="LV413" s="561">
        <v>0</v>
      </c>
      <c r="LW413" s="561">
        <v>563</v>
      </c>
      <c r="LX413" s="561">
        <v>0</v>
      </c>
      <c r="LY413" s="561">
        <v>5135</v>
      </c>
      <c r="LZ413" s="561">
        <v>8812</v>
      </c>
      <c r="MA413" s="561">
        <v>0</v>
      </c>
      <c r="MB413" s="561">
        <v>0</v>
      </c>
      <c r="MC413" s="561">
        <v>0</v>
      </c>
      <c r="MD413" s="561">
        <v>0</v>
      </c>
      <c r="ME413" s="561">
        <v>0</v>
      </c>
      <c r="MF413" s="561">
        <v>0</v>
      </c>
      <c r="MG413" s="561">
        <v>0</v>
      </c>
      <c r="MH413" s="561">
        <v>4780</v>
      </c>
      <c r="MI413" s="561">
        <v>5762</v>
      </c>
      <c r="MJ413" s="561">
        <v>10542</v>
      </c>
      <c r="MK413" s="561">
        <v>0</v>
      </c>
      <c r="ML413" s="561">
        <v>0</v>
      </c>
      <c r="MM413" s="561">
        <v>14994</v>
      </c>
      <c r="MN413" s="561">
        <v>512</v>
      </c>
      <c r="MO413" s="561">
        <v>19331</v>
      </c>
      <c r="MP413" s="561">
        <v>1712</v>
      </c>
      <c r="MQ413" s="561">
        <v>0</v>
      </c>
      <c r="MR413" s="561">
        <v>445</v>
      </c>
      <c r="MS413" s="561">
        <v>0</v>
      </c>
      <c r="MT413" s="561">
        <v>50</v>
      </c>
      <c r="MU413" s="561">
        <v>0</v>
      </c>
      <c r="MV413" s="561">
        <v>1165</v>
      </c>
      <c r="MW413" s="561">
        <v>4697</v>
      </c>
      <c r="MX413" s="561">
        <v>6136</v>
      </c>
      <c r="MY413" s="561">
        <v>3317</v>
      </c>
      <c r="MZ413" s="561">
        <v>0</v>
      </c>
      <c r="NA413" s="561">
        <v>0</v>
      </c>
      <c r="NB413" s="561">
        <v>3465</v>
      </c>
      <c r="NC413" s="561">
        <v>0</v>
      </c>
      <c r="ND413" s="561">
        <v>19275</v>
      </c>
      <c r="NE413" s="561">
        <v>0</v>
      </c>
      <c r="NF413" s="561">
        <v>0</v>
      </c>
      <c r="NG413" s="561">
        <v>0</v>
      </c>
      <c r="NH413" s="561">
        <v>0</v>
      </c>
      <c r="NI413" s="561">
        <v>0</v>
      </c>
      <c r="NJ413" s="561">
        <v>0</v>
      </c>
      <c r="NK413" s="561">
        <v>0</v>
      </c>
      <c r="NL413" s="561">
        <v>0</v>
      </c>
      <c r="NM413" s="561">
        <v>0</v>
      </c>
      <c r="NN413" s="561">
        <v>0</v>
      </c>
      <c r="NO413" s="561">
        <v>0</v>
      </c>
      <c r="NP413" s="561">
        <v>0</v>
      </c>
      <c r="NQ413" s="561">
        <v>0</v>
      </c>
      <c r="NR413" s="561">
        <v>0</v>
      </c>
      <c r="NS413" s="561">
        <v>0</v>
      </c>
      <c r="NT413" s="561">
        <v>0</v>
      </c>
      <c r="NU413" s="561">
        <v>0</v>
      </c>
      <c r="NV413" s="561">
        <v>0</v>
      </c>
      <c r="NW413" s="561">
        <v>0</v>
      </c>
      <c r="NX413" s="561">
        <v>0</v>
      </c>
      <c r="NY413" s="561">
        <v>0</v>
      </c>
      <c r="NZ413" s="561">
        <v>0</v>
      </c>
      <c r="OA413" s="561">
        <v>0</v>
      </c>
      <c r="OB413" s="561">
        <v>0</v>
      </c>
      <c r="OC413" s="561">
        <v>0</v>
      </c>
      <c r="OD413" s="561">
        <v>0</v>
      </c>
      <c r="OE413" s="561">
        <v>0</v>
      </c>
      <c r="OF413" s="561">
        <v>0</v>
      </c>
      <c r="OG413" s="561">
        <v>0</v>
      </c>
      <c r="OH413" s="561">
        <v>0</v>
      </c>
      <c r="OI413" s="561">
        <v>0</v>
      </c>
      <c r="OJ413" s="561">
        <v>0</v>
      </c>
      <c r="OK413" s="561">
        <v>0</v>
      </c>
      <c r="OL413" s="561">
        <v>0</v>
      </c>
      <c r="OM413" s="561">
        <v>0</v>
      </c>
      <c r="ON413" s="561">
        <v>0</v>
      </c>
      <c r="OO413" s="561">
        <v>0</v>
      </c>
      <c r="OP413" s="561">
        <v>0</v>
      </c>
      <c r="OQ413" s="561">
        <v>0</v>
      </c>
      <c r="OR413" s="561">
        <v>0</v>
      </c>
      <c r="OS413" s="561">
        <v>0</v>
      </c>
      <c r="OT413" s="561">
        <v>0</v>
      </c>
      <c r="OU413" s="561">
        <v>0</v>
      </c>
      <c r="OV413" s="561">
        <v>0</v>
      </c>
      <c r="OW413" s="561">
        <v>0</v>
      </c>
      <c r="OX413" s="561">
        <v>0</v>
      </c>
      <c r="OY413" s="561">
        <v>0</v>
      </c>
      <c r="OZ413" s="561">
        <v>0</v>
      </c>
      <c r="PA413" s="561">
        <v>0</v>
      </c>
      <c r="PB413" s="561">
        <v>0</v>
      </c>
      <c r="PC413" s="561">
        <v>0</v>
      </c>
      <c r="PD413" s="561">
        <v>0</v>
      </c>
      <c r="PE413" s="561">
        <v>0</v>
      </c>
      <c r="PF413" s="561">
        <v>0</v>
      </c>
      <c r="PG413" s="561">
        <v>0</v>
      </c>
      <c r="PH413" s="561">
        <v>0</v>
      </c>
      <c r="PI413" s="561">
        <v>0</v>
      </c>
      <c r="PJ413" s="561">
        <v>0</v>
      </c>
    </row>
    <row r="414" spans="1:426" ht="14" x14ac:dyDescent="0.3">
      <c r="A414" t="s">
        <v>3683</v>
      </c>
      <c r="B414" t="s">
        <v>3684</v>
      </c>
      <c r="C414" t="s">
        <v>3685</v>
      </c>
      <c r="E414" t="s">
        <v>384</v>
      </c>
      <c r="F414" s="561">
        <v>0</v>
      </c>
      <c r="G414" s="561">
        <v>0</v>
      </c>
      <c r="H414" s="561">
        <v>0</v>
      </c>
      <c r="I414" s="561">
        <v>0</v>
      </c>
      <c r="J414" s="561">
        <v>0</v>
      </c>
      <c r="K414" s="561">
        <v>0</v>
      </c>
      <c r="L414" s="561">
        <v>0</v>
      </c>
      <c r="M414" s="561">
        <v>0</v>
      </c>
      <c r="N414" s="561">
        <v>28</v>
      </c>
      <c r="O414" s="561">
        <v>0</v>
      </c>
      <c r="P414" s="561">
        <v>0</v>
      </c>
      <c r="Q414" s="561">
        <v>0</v>
      </c>
      <c r="R414" s="561">
        <v>0</v>
      </c>
      <c r="S414" s="561">
        <v>307</v>
      </c>
      <c r="T414" s="561">
        <v>300</v>
      </c>
      <c r="U414" s="561">
        <v>0</v>
      </c>
      <c r="V414" s="561">
        <v>0</v>
      </c>
      <c r="W414" s="561">
        <v>0</v>
      </c>
      <c r="X414" s="561">
        <v>0</v>
      </c>
      <c r="Y414" s="561">
        <v>0</v>
      </c>
      <c r="Z414" s="561">
        <v>0</v>
      </c>
      <c r="AA414" s="561">
        <v>66</v>
      </c>
      <c r="AB414" s="561">
        <v>-551</v>
      </c>
      <c r="AC414" s="561">
        <v>0</v>
      </c>
      <c r="AD414" s="561">
        <v>0</v>
      </c>
      <c r="AE414" s="561">
        <v>0</v>
      </c>
      <c r="AF414" s="561">
        <v>0</v>
      </c>
      <c r="AG414" s="561">
        <v>0</v>
      </c>
      <c r="AH414" s="561">
        <v>0</v>
      </c>
      <c r="AI414" s="561">
        <v>0</v>
      </c>
      <c r="AJ414" s="561">
        <v>150</v>
      </c>
      <c r="AK414" s="561">
        <v>0</v>
      </c>
      <c r="AL414" s="561">
        <v>0</v>
      </c>
      <c r="AM414" s="561">
        <v>0</v>
      </c>
      <c r="AN414" s="561">
        <v>0</v>
      </c>
      <c r="AO414" s="561">
        <v>0</v>
      </c>
      <c r="AP414" s="561">
        <v>0</v>
      </c>
      <c r="AQ414" s="561">
        <v>0</v>
      </c>
      <c r="AR414" s="561">
        <v>0</v>
      </c>
      <c r="AS414" s="561">
        <v>129</v>
      </c>
      <c r="AT414" s="561">
        <v>0</v>
      </c>
      <c r="AU414" s="561">
        <v>0</v>
      </c>
      <c r="AV414" s="561">
        <v>0</v>
      </c>
      <c r="AW414" s="561">
        <v>0</v>
      </c>
      <c r="AX414" s="561">
        <v>0</v>
      </c>
      <c r="AY414" s="561">
        <v>0</v>
      </c>
      <c r="AZ414" s="561">
        <v>0</v>
      </c>
      <c r="BA414" s="561">
        <v>0</v>
      </c>
      <c r="BB414" s="561">
        <v>0</v>
      </c>
      <c r="BC414" s="561">
        <v>0</v>
      </c>
      <c r="BD414" s="561">
        <v>0</v>
      </c>
      <c r="BE414" s="561">
        <v>0</v>
      </c>
      <c r="BF414" s="561">
        <v>0</v>
      </c>
      <c r="BG414" s="561">
        <v>0</v>
      </c>
      <c r="BH414" s="561">
        <v>0</v>
      </c>
      <c r="BI414" s="561">
        <v>0</v>
      </c>
      <c r="BJ414" s="561">
        <v>0</v>
      </c>
      <c r="BK414" s="561">
        <v>0</v>
      </c>
      <c r="BL414" s="561">
        <v>0</v>
      </c>
      <c r="BM414" s="561">
        <v>0</v>
      </c>
      <c r="BN414" s="561">
        <v>0</v>
      </c>
      <c r="BO414" s="561">
        <v>0</v>
      </c>
      <c r="BP414" s="561">
        <v>0</v>
      </c>
      <c r="BQ414" s="561">
        <v>0</v>
      </c>
      <c r="BR414" s="561">
        <v>0</v>
      </c>
      <c r="BS414" s="561">
        <v>-92</v>
      </c>
      <c r="BT414" s="561">
        <v>0</v>
      </c>
      <c r="BU414" s="561">
        <v>0</v>
      </c>
      <c r="BV414" s="561">
        <v>0</v>
      </c>
      <c r="BW414" s="561">
        <v>0</v>
      </c>
      <c r="BX414" s="561">
        <v>0</v>
      </c>
      <c r="BY414" s="561">
        <v>0</v>
      </c>
      <c r="BZ414" s="561">
        <v>-92</v>
      </c>
      <c r="CA414" s="561">
        <v>0</v>
      </c>
      <c r="CB414" s="561">
        <v>0</v>
      </c>
      <c r="CC414" s="561">
        <v>0</v>
      </c>
      <c r="CD414" s="561">
        <v>0</v>
      </c>
      <c r="CE414" s="561">
        <v>0</v>
      </c>
      <c r="CF414" s="561">
        <v>0</v>
      </c>
      <c r="CG414" s="561">
        <v>0</v>
      </c>
      <c r="CH414" s="561">
        <v>0</v>
      </c>
      <c r="CI414" s="561">
        <v>0</v>
      </c>
      <c r="CJ414" s="561">
        <v>0</v>
      </c>
      <c r="CK414" s="561">
        <v>0</v>
      </c>
      <c r="CL414" s="561">
        <v>0</v>
      </c>
      <c r="CM414" s="561">
        <v>0</v>
      </c>
      <c r="CN414" s="561">
        <v>0</v>
      </c>
      <c r="CO414" s="561">
        <v>0</v>
      </c>
      <c r="CP414" s="561">
        <v>0</v>
      </c>
      <c r="CQ414" s="561">
        <v>0</v>
      </c>
      <c r="CR414" s="561">
        <v>0</v>
      </c>
      <c r="CS414" s="561">
        <v>0</v>
      </c>
      <c r="CT414" s="561">
        <v>0</v>
      </c>
      <c r="CU414" s="561">
        <v>0</v>
      </c>
      <c r="CV414" s="561">
        <v>0</v>
      </c>
      <c r="CW414" s="561">
        <v>0</v>
      </c>
      <c r="CX414" s="561">
        <v>0</v>
      </c>
      <c r="CY414" s="561">
        <v>-18</v>
      </c>
      <c r="CZ414" s="561">
        <v>-18</v>
      </c>
      <c r="DA414" s="561">
        <v>0</v>
      </c>
      <c r="DB414" s="561">
        <v>0</v>
      </c>
      <c r="DC414" s="561">
        <v>0</v>
      </c>
      <c r="DD414" s="561">
        <v>0</v>
      </c>
      <c r="DE414" s="561">
        <v>0</v>
      </c>
      <c r="DF414" s="561">
        <v>0</v>
      </c>
      <c r="DG414" s="561">
        <v>0</v>
      </c>
      <c r="DH414" s="561">
        <v>337</v>
      </c>
      <c r="DI414" s="561">
        <v>0</v>
      </c>
      <c r="DJ414" s="561">
        <v>-15</v>
      </c>
      <c r="DK414" s="561">
        <v>75</v>
      </c>
      <c r="DL414" s="561">
        <v>0</v>
      </c>
      <c r="DM414" s="561">
        <v>-26</v>
      </c>
      <c r="DN414" s="561">
        <v>2</v>
      </c>
      <c r="DO414" s="561">
        <v>173</v>
      </c>
      <c r="DP414" s="561">
        <v>323</v>
      </c>
      <c r="DQ414" s="561">
        <v>3</v>
      </c>
      <c r="DR414" s="561">
        <v>0</v>
      </c>
      <c r="DS414" s="561">
        <v>0</v>
      </c>
      <c r="DT414" s="561">
        <v>926</v>
      </c>
      <c r="DU414" s="561">
        <v>1401</v>
      </c>
      <c r="DV414" s="561">
        <v>98</v>
      </c>
      <c r="DW414" s="561">
        <v>-149</v>
      </c>
      <c r="DX414" s="561">
        <v>0</v>
      </c>
      <c r="DY414" s="561">
        <v>560</v>
      </c>
      <c r="DZ414" s="561">
        <v>0</v>
      </c>
      <c r="EA414" s="561">
        <v>-13</v>
      </c>
      <c r="EB414" s="561">
        <v>0</v>
      </c>
      <c r="EC414" s="561">
        <v>2294</v>
      </c>
      <c r="ED414" s="561">
        <v>0</v>
      </c>
      <c r="EE414" s="561">
        <v>0</v>
      </c>
      <c r="EF414" s="561">
        <v>0</v>
      </c>
      <c r="EG414" s="561">
        <v>0</v>
      </c>
      <c r="EH414" s="561">
        <v>0</v>
      </c>
      <c r="EI414" s="561">
        <v>0</v>
      </c>
      <c r="EJ414" s="561">
        <v>0</v>
      </c>
      <c r="EK414" s="561">
        <v>0</v>
      </c>
      <c r="EL414" s="561">
        <v>0</v>
      </c>
      <c r="EM414" s="561">
        <v>0</v>
      </c>
      <c r="EN414" s="561">
        <v>0</v>
      </c>
      <c r="EO414" s="561">
        <v>0</v>
      </c>
      <c r="EP414" s="561">
        <v>0</v>
      </c>
      <c r="EQ414" s="561">
        <v>0</v>
      </c>
      <c r="ER414" s="561">
        <v>0</v>
      </c>
      <c r="ES414" s="561" t="s">
        <v>4565</v>
      </c>
      <c r="ET414" s="561">
        <v>0</v>
      </c>
      <c r="EU414" s="561">
        <v>0</v>
      </c>
      <c r="EV414" s="561">
        <v>0</v>
      </c>
      <c r="EW414" s="561">
        <v>0</v>
      </c>
      <c r="EX414" s="561">
        <v>0</v>
      </c>
      <c r="EY414" s="561">
        <v>0</v>
      </c>
      <c r="EZ414" s="561">
        <v>0</v>
      </c>
      <c r="FA414" s="561">
        <v>0</v>
      </c>
      <c r="FB414" s="561">
        <v>0</v>
      </c>
      <c r="FC414" s="561">
        <v>0</v>
      </c>
      <c r="FD414" s="561">
        <v>0</v>
      </c>
      <c r="FE414" s="561">
        <v>346</v>
      </c>
      <c r="FF414" s="561">
        <v>0</v>
      </c>
      <c r="FG414" s="561">
        <v>0</v>
      </c>
      <c r="FH414" s="561">
        <v>0</v>
      </c>
      <c r="FI414" s="561">
        <v>0</v>
      </c>
      <c r="FJ414" s="561">
        <v>-676</v>
      </c>
      <c r="FK414" s="561">
        <v>1365</v>
      </c>
      <c r="FL414" s="561">
        <v>0</v>
      </c>
      <c r="FM414" s="561">
        <v>68</v>
      </c>
      <c r="FN414" s="561">
        <v>0</v>
      </c>
      <c r="FO414" s="561">
        <v>1103</v>
      </c>
      <c r="FP414" s="561">
        <v>0</v>
      </c>
      <c r="FQ414" s="561">
        <v>127</v>
      </c>
      <c r="FR414" s="561">
        <v>5</v>
      </c>
      <c r="FS414" s="561">
        <v>31</v>
      </c>
      <c r="FT414" s="561">
        <v>145</v>
      </c>
      <c r="FU414" s="561">
        <v>378</v>
      </c>
      <c r="FV414" s="561">
        <v>28</v>
      </c>
      <c r="FW414" s="561">
        <v>89</v>
      </c>
      <c r="FX414" s="561">
        <v>0</v>
      </c>
      <c r="FY414" s="561">
        <v>0</v>
      </c>
      <c r="FZ414" s="561">
        <v>24</v>
      </c>
      <c r="GA414" s="561">
        <v>18</v>
      </c>
      <c r="GB414" s="561">
        <v>147</v>
      </c>
      <c r="GC414" s="561">
        <v>-31</v>
      </c>
      <c r="GD414" s="561">
        <v>62</v>
      </c>
      <c r="GE414" s="561">
        <v>0</v>
      </c>
      <c r="GF414" s="561">
        <v>80</v>
      </c>
      <c r="GG414" s="561">
        <v>76</v>
      </c>
      <c r="GH414" s="561">
        <v>97</v>
      </c>
      <c r="GI414" s="561">
        <v>0</v>
      </c>
      <c r="GJ414" s="561">
        <v>0</v>
      </c>
      <c r="GK414" s="561">
        <v>0</v>
      </c>
      <c r="GL414" s="561">
        <v>406</v>
      </c>
      <c r="GM414" s="561">
        <v>2531</v>
      </c>
      <c r="GN414" s="561">
        <v>-13</v>
      </c>
      <c r="GO414" s="561">
        <v>-214</v>
      </c>
      <c r="GP414" s="561">
        <v>-282</v>
      </c>
      <c r="GQ414" s="561">
        <v>0</v>
      </c>
      <c r="GR414" s="561">
        <v>0</v>
      </c>
      <c r="GS414" s="561">
        <v>3704</v>
      </c>
      <c r="GT414" s="561">
        <v>0</v>
      </c>
      <c r="GU414" s="561">
        <v>71</v>
      </c>
      <c r="GV414" s="561">
        <v>470</v>
      </c>
      <c r="GW414" s="561">
        <v>33</v>
      </c>
      <c r="GX414" s="561">
        <v>174</v>
      </c>
      <c r="GY414" s="561">
        <v>155</v>
      </c>
      <c r="GZ414" s="561">
        <v>788</v>
      </c>
      <c r="HA414" s="561">
        <v>0</v>
      </c>
      <c r="HB414" s="561">
        <v>-741</v>
      </c>
      <c r="HC414" s="561">
        <v>36</v>
      </c>
      <c r="HD414" s="561">
        <v>986</v>
      </c>
      <c r="HE414" s="561">
        <v>0</v>
      </c>
      <c r="HF414" s="561">
        <v>5793</v>
      </c>
      <c r="HG414" s="561">
        <v>0</v>
      </c>
      <c r="HH414" s="561">
        <v>0</v>
      </c>
      <c r="HI414" s="561">
        <v>0</v>
      </c>
      <c r="HJ414" s="561">
        <v>0</v>
      </c>
      <c r="HK414" s="561">
        <v>0</v>
      </c>
      <c r="HL414" s="561">
        <v>0</v>
      </c>
      <c r="HM414" s="561">
        <v>0</v>
      </c>
      <c r="HN414" s="561">
        <v>0</v>
      </c>
      <c r="HO414" s="561">
        <v>2161</v>
      </c>
      <c r="HP414" s="561">
        <v>801</v>
      </c>
      <c r="HQ414" s="561">
        <v>0</v>
      </c>
      <c r="HR414" s="561">
        <v>0</v>
      </c>
      <c r="HS414" s="561">
        <v>373</v>
      </c>
      <c r="HT414" s="561">
        <v>89</v>
      </c>
      <c r="HU414" s="561">
        <v>0</v>
      </c>
      <c r="HV414" s="561">
        <v>0</v>
      </c>
      <c r="HW414" s="561">
        <v>76</v>
      </c>
      <c r="HX414" s="561">
        <v>227</v>
      </c>
      <c r="HY414" s="561">
        <v>62</v>
      </c>
      <c r="HZ414" s="561">
        <v>36</v>
      </c>
      <c r="IA414" s="561">
        <v>88</v>
      </c>
      <c r="IB414" s="561">
        <v>38</v>
      </c>
      <c r="IC414" s="561">
        <v>0</v>
      </c>
      <c r="ID414" s="561">
        <v>0</v>
      </c>
      <c r="IE414" s="561">
        <v>873</v>
      </c>
      <c r="IF414" s="561">
        <v>0</v>
      </c>
      <c r="IG414" s="561">
        <v>0</v>
      </c>
      <c r="IH414" s="561">
        <v>28</v>
      </c>
      <c r="II414" s="561">
        <v>4852</v>
      </c>
      <c r="IJ414" s="561">
        <v>0</v>
      </c>
      <c r="IK414" s="561">
        <v>0</v>
      </c>
      <c r="IL414" s="561">
        <v>7705</v>
      </c>
      <c r="IM414" s="561">
        <v>0</v>
      </c>
      <c r="IN414" s="561">
        <v>0</v>
      </c>
      <c r="IO414" s="561">
        <v>0</v>
      </c>
      <c r="IP414" s="561">
        <v>0</v>
      </c>
      <c r="IQ414" s="561">
        <v>0</v>
      </c>
      <c r="IR414" s="561">
        <v>0</v>
      </c>
      <c r="IS414" s="561">
        <v>150</v>
      </c>
      <c r="IT414" s="561">
        <v>0</v>
      </c>
      <c r="IU414" s="561">
        <v>-92</v>
      </c>
      <c r="IV414" s="561">
        <v>-18</v>
      </c>
      <c r="IW414" s="561">
        <v>2294</v>
      </c>
      <c r="IX414" s="561">
        <v>1103</v>
      </c>
      <c r="IY414" s="561">
        <v>3704</v>
      </c>
      <c r="IZ414" s="561">
        <v>986</v>
      </c>
      <c r="JA414" s="561">
        <v>0</v>
      </c>
      <c r="JB414" s="561">
        <v>0</v>
      </c>
      <c r="JC414" s="561">
        <v>4852</v>
      </c>
      <c r="JD414" s="561">
        <v>0</v>
      </c>
      <c r="JE414" s="561">
        <v>12979</v>
      </c>
      <c r="JF414" s="561">
        <v>19781</v>
      </c>
      <c r="JG414" s="561">
        <v>390</v>
      </c>
      <c r="JH414" s="561">
        <v>0</v>
      </c>
      <c r="JI414" s="561">
        <v>0</v>
      </c>
      <c r="JJ414" s="561">
        <v>0</v>
      </c>
      <c r="JK414" s="561">
        <v>2012</v>
      </c>
      <c r="JL414" s="561">
        <v>0</v>
      </c>
      <c r="JM414" s="561">
        <v>0</v>
      </c>
      <c r="JN414" s="561">
        <v>0</v>
      </c>
      <c r="JO414" s="561">
        <v>0</v>
      </c>
      <c r="JP414" s="561">
        <v>18</v>
      </c>
      <c r="JQ414" s="561">
        <v>-5</v>
      </c>
      <c r="JR414" s="561">
        <v>-71</v>
      </c>
      <c r="JS414" s="561">
        <v>-27</v>
      </c>
      <c r="JT414" s="561">
        <v>-18</v>
      </c>
      <c r="JU414" s="561">
        <v>0</v>
      </c>
      <c r="JV414" s="561">
        <v>35059</v>
      </c>
      <c r="JW414" s="561">
        <v>0</v>
      </c>
      <c r="JX414" s="561">
        <v>3137</v>
      </c>
      <c r="JY414" s="561">
        <v>0</v>
      </c>
      <c r="JZ414" s="561">
        <v>0</v>
      </c>
      <c r="KA414" s="561">
        <v>0</v>
      </c>
      <c r="KB414" s="561">
        <v>93</v>
      </c>
      <c r="KC414" s="561">
        <v>1388</v>
      </c>
      <c r="KD414" s="561">
        <v>0</v>
      </c>
      <c r="KE414" s="561">
        <v>904</v>
      </c>
      <c r="KF414" s="561">
        <v>0</v>
      </c>
      <c r="KG414" s="561">
        <v>40581</v>
      </c>
      <c r="KH414" s="561">
        <v>-2052</v>
      </c>
      <c r="KI414" s="561">
        <v>0</v>
      </c>
      <c r="KJ414" s="561">
        <v>0</v>
      </c>
      <c r="KK414" s="561">
        <v>0</v>
      </c>
      <c r="KL414" s="561">
        <v>-20206</v>
      </c>
      <c r="KM414" s="561">
        <v>0</v>
      </c>
      <c r="KN414" s="561">
        <v>0</v>
      </c>
      <c r="KO414" s="561">
        <v>0</v>
      </c>
      <c r="KP414" s="561">
        <v>0</v>
      </c>
      <c r="KQ414" s="561">
        <v>0</v>
      </c>
      <c r="KR414" s="561">
        <v>18323</v>
      </c>
      <c r="KS414" s="561">
        <v>0</v>
      </c>
      <c r="KT414" s="561">
        <v>-1755</v>
      </c>
      <c r="KU414" s="561">
        <v>16568</v>
      </c>
      <c r="KV414" s="561">
        <v>0</v>
      </c>
      <c r="KW414" s="561">
        <v>0</v>
      </c>
      <c r="KX414" s="561">
        <v>0</v>
      </c>
      <c r="KY414" s="561">
        <v>0</v>
      </c>
      <c r="KZ414" s="561">
        <v>-2626</v>
      </c>
      <c r="LA414" s="561">
        <v>1093</v>
      </c>
      <c r="LB414" s="561">
        <v>-160</v>
      </c>
      <c r="LC414" s="561">
        <v>0</v>
      </c>
      <c r="LD414" s="561">
        <v>-4476</v>
      </c>
      <c r="LE414" s="561">
        <v>100</v>
      </c>
      <c r="LF414" s="561">
        <v>0</v>
      </c>
      <c r="LG414" s="561">
        <v>10503</v>
      </c>
      <c r="LH414" s="561">
        <v>0</v>
      </c>
      <c r="LI414" s="561">
        <v>0</v>
      </c>
      <c r="LJ414" s="561">
        <v>0</v>
      </c>
      <c r="LK414" s="561">
        <v>0</v>
      </c>
      <c r="LL414" s="561">
        <v>16981</v>
      </c>
      <c r="LM414" s="561">
        <v>5676</v>
      </c>
      <c r="LN414" s="561">
        <v>0</v>
      </c>
      <c r="LO414" s="561">
        <v>0</v>
      </c>
      <c r="LP414" s="561">
        <v>0</v>
      </c>
      <c r="LQ414" s="561">
        <v>0</v>
      </c>
      <c r="LR414" s="561">
        <v>14355</v>
      </c>
      <c r="LS414" s="561">
        <v>6769</v>
      </c>
      <c r="LT414" s="561">
        <v>0</v>
      </c>
      <c r="LU414" s="561">
        <v>2039</v>
      </c>
      <c r="LV414" s="561">
        <v>16959</v>
      </c>
      <c r="LW414" s="561">
        <v>0</v>
      </c>
      <c r="LX414" s="561">
        <v>-9971</v>
      </c>
      <c r="LY414" s="561">
        <v>9670</v>
      </c>
      <c r="LZ414" s="561">
        <v>18697</v>
      </c>
      <c r="MA414" s="561">
        <v>0</v>
      </c>
      <c r="MB414" s="561">
        <v>0</v>
      </c>
      <c r="MC414" s="561">
        <v>0</v>
      </c>
      <c r="MD414" s="561">
        <v>0</v>
      </c>
      <c r="ME414" s="561">
        <v>0</v>
      </c>
      <c r="MF414" s="561">
        <v>0</v>
      </c>
      <c r="MG414" s="561">
        <v>0</v>
      </c>
      <c r="MH414" s="561">
        <v>4178</v>
      </c>
      <c r="MI414" s="561">
        <v>4697</v>
      </c>
      <c r="MJ414" s="561">
        <v>8875</v>
      </c>
      <c r="MK414" s="561">
        <v>0</v>
      </c>
      <c r="ML414" s="561">
        <v>0</v>
      </c>
      <c r="MM414" s="561">
        <v>8900</v>
      </c>
      <c r="MN414" s="561">
        <v>4122</v>
      </c>
      <c r="MO414" s="561">
        <v>1333</v>
      </c>
      <c r="MP414" s="561">
        <v>0</v>
      </c>
      <c r="MQ414" s="561">
        <v>0</v>
      </c>
      <c r="MR414" s="561">
        <v>150</v>
      </c>
      <c r="MS414" s="561">
        <v>0</v>
      </c>
      <c r="MT414" s="561">
        <v>-92</v>
      </c>
      <c r="MU414" s="561">
        <v>-18</v>
      </c>
      <c r="MV414" s="561">
        <v>2294</v>
      </c>
      <c r="MW414" s="561">
        <v>1103</v>
      </c>
      <c r="MX414" s="561">
        <v>3704</v>
      </c>
      <c r="MY414" s="561">
        <v>986</v>
      </c>
      <c r="MZ414" s="561">
        <v>0</v>
      </c>
      <c r="NA414" s="561">
        <v>0</v>
      </c>
      <c r="NB414" s="561">
        <v>4852</v>
      </c>
      <c r="NC414" s="561">
        <v>0</v>
      </c>
      <c r="ND414" s="561">
        <v>12979</v>
      </c>
      <c r="NE414" s="561">
        <v>0</v>
      </c>
      <c r="NF414" s="561">
        <v>0</v>
      </c>
      <c r="NG414" s="561">
        <v>0</v>
      </c>
      <c r="NH414" s="561">
        <v>0</v>
      </c>
      <c r="NI414" s="561">
        <v>0</v>
      </c>
      <c r="NJ414" s="561">
        <v>21</v>
      </c>
      <c r="NK414" s="561">
        <v>0</v>
      </c>
      <c r="NL414" s="561">
        <v>0</v>
      </c>
      <c r="NM414" s="561">
        <v>0</v>
      </c>
      <c r="NN414" s="561">
        <v>0</v>
      </c>
      <c r="NO414" s="561">
        <v>0</v>
      </c>
      <c r="NP414" s="561">
        <v>0</v>
      </c>
      <c r="NQ414" s="561">
        <v>0</v>
      </c>
      <c r="NR414" s="561">
        <v>0</v>
      </c>
      <c r="NS414" s="561">
        <v>97</v>
      </c>
      <c r="NT414" s="561">
        <v>-171</v>
      </c>
      <c r="NU414" s="561">
        <v>0</v>
      </c>
      <c r="NV414" s="561">
        <v>0</v>
      </c>
      <c r="NW414" s="561">
        <v>-53</v>
      </c>
      <c r="NX414" s="561">
        <v>71</v>
      </c>
      <c r="NY414" s="561">
        <v>18</v>
      </c>
      <c r="NZ414" s="561">
        <v>0</v>
      </c>
      <c r="OA414" s="561">
        <v>0</v>
      </c>
      <c r="OB414" s="561">
        <v>0</v>
      </c>
      <c r="OC414" s="561">
        <v>0</v>
      </c>
      <c r="OD414" s="561">
        <v>0</v>
      </c>
      <c r="OE414" s="561">
        <v>0</v>
      </c>
      <c r="OF414" s="561">
        <v>0</v>
      </c>
      <c r="OG414" s="561">
        <v>0</v>
      </c>
      <c r="OH414" s="561">
        <v>0</v>
      </c>
      <c r="OI414" s="561">
        <v>0</v>
      </c>
      <c r="OJ414" s="561">
        <v>0</v>
      </c>
      <c r="OK414" s="561">
        <v>0</v>
      </c>
      <c r="OL414" s="561">
        <v>-27</v>
      </c>
      <c r="OM414" s="561">
        <v>-9</v>
      </c>
      <c r="ON414" s="561">
        <v>0</v>
      </c>
      <c r="OO414" s="561">
        <v>0</v>
      </c>
      <c r="OP414" s="561">
        <v>0</v>
      </c>
      <c r="OQ414" s="561">
        <v>0</v>
      </c>
      <c r="OR414" s="561">
        <v>0</v>
      </c>
      <c r="OS414" s="561">
        <v>0</v>
      </c>
      <c r="OT414" s="561">
        <v>0</v>
      </c>
      <c r="OU414" s="561">
        <v>0</v>
      </c>
      <c r="OV414" s="561">
        <v>6</v>
      </c>
      <c r="OW414" s="561">
        <v>27</v>
      </c>
      <c r="OX414" s="561">
        <v>-5</v>
      </c>
      <c r="OY414" s="561">
        <v>71</v>
      </c>
      <c r="OZ414" s="561">
        <v>0</v>
      </c>
      <c r="PA414" s="561">
        <v>0</v>
      </c>
      <c r="PB414" s="561">
        <v>0</v>
      </c>
      <c r="PC414" s="561">
        <v>0</v>
      </c>
      <c r="PD414" s="561">
        <v>71</v>
      </c>
      <c r="PE414" s="561">
        <v>27</v>
      </c>
      <c r="PF414" s="561">
        <v>0</v>
      </c>
      <c r="PG414" s="561">
        <v>0</v>
      </c>
      <c r="PH414" s="561">
        <v>0</v>
      </c>
      <c r="PI414" s="561">
        <v>0</v>
      </c>
      <c r="PJ414" s="561">
        <v>27</v>
      </c>
    </row>
    <row r="415" spans="1:426" ht="14" x14ac:dyDescent="0.3">
      <c r="A415" t="s">
        <v>3689</v>
      </c>
      <c r="B415" t="s">
        <v>3690</v>
      </c>
      <c r="C415" t="s">
        <v>3691</v>
      </c>
      <c r="E415" t="s">
        <v>2466</v>
      </c>
      <c r="F415" s="561">
        <v>0</v>
      </c>
      <c r="G415" s="561">
        <v>0</v>
      </c>
      <c r="H415" s="561">
        <v>0</v>
      </c>
      <c r="I415" s="561">
        <v>0</v>
      </c>
      <c r="J415" s="561">
        <v>0</v>
      </c>
      <c r="K415" s="561">
        <v>-100</v>
      </c>
      <c r="L415" s="561">
        <v>-100</v>
      </c>
      <c r="M415" s="561">
        <v>0</v>
      </c>
      <c r="N415" s="561">
        <v>0</v>
      </c>
      <c r="O415" s="561">
        <v>-422</v>
      </c>
      <c r="P415" s="561">
        <v>0</v>
      </c>
      <c r="Q415" s="561">
        <v>0</v>
      </c>
      <c r="R415" s="561">
        <v>0</v>
      </c>
      <c r="S415" s="561">
        <v>0</v>
      </c>
      <c r="T415" s="561">
        <v>0</v>
      </c>
      <c r="U415" s="561">
        <v>0</v>
      </c>
      <c r="V415" s="561">
        <v>0</v>
      </c>
      <c r="W415" s="561">
        <v>0</v>
      </c>
      <c r="X415" s="561">
        <v>0</v>
      </c>
      <c r="Y415" s="561">
        <v>0</v>
      </c>
      <c r="Z415" s="561">
        <v>0</v>
      </c>
      <c r="AA415" s="561">
        <v>0</v>
      </c>
      <c r="AB415" s="561">
        <v>0</v>
      </c>
      <c r="AC415" s="561">
        <v>0</v>
      </c>
      <c r="AD415" s="561">
        <v>0</v>
      </c>
      <c r="AE415" s="561">
        <v>0</v>
      </c>
      <c r="AF415" s="561">
        <v>0</v>
      </c>
      <c r="AG415" s="561">
        <v>0</v>
      </c>
      <c r="AH415" s="561">
        <v>0</v>
      </c>
      <c r="AI415" s="561">
        <v>0</v>
      </c>
      <c r="AJ415" s="561">
        <v>-422</v>
      </c>
      <c r="AK415" s="561">
        <v>0</v>
      </c>
      <c r="AL415" s="561">
        <v>0</v>
      </c>
      <c r="AM415" s="561">
        <v>0</v>
      </c>
      <c r="AN415" s="561">
        <v>0</v>
      </c>
      <c r="AO415" s="561">
        <v>0</v>
      </c>
      <c r="AP415" s="561">
        <v>0</v>
      </c>
      <c r="AQ415" s="561">
        <v>0</v>
      </c>
      <c r="AR415" s="561">
        <v>0</v>
      </c>
      <c r="AS415" s="561">
        <v>0</v>
      </c>
      <c r="AT415" s="561">
        <v>0</v>
      </c>
      <c r="AU415" s="561">
        <v>0</v>
      </c>
      <c r="AV415" s="561">
        <v>0</v>
      </c>
      <c r="AW415" s="561">
        <v>0</v>
      </c>
      <c r="AX415" s="561">
        <v>0</v>
      </c>
      <c r="AY415" s="561">
        <v>0</v>
      </c>
      <c r="AZ415" s="561">
        <v>0</v>
      </c>
      <c r="BA415" s="561">
        <v>0</v>
      </c>
      <c r="BB415" s="561">
        <v>0</v>
      </c>
      <c r="BC415" s="561">
        <v>0</v>
      </c>
      <c r="BD415" s="561">
        <v>0</v>
      </c>
      <c r="BE415" s="561">
        <v>0</v>
      </c>
      <c r="BF415" s="561">
        <v>0</v>
      </c>
      <c r="BG415" s="561">
        <v>0</v>
      </c>
      <c r="BH415" s="561">
        <v>0</v>
      </c>
      <c r="BI415" s="561">
        <v>0</v>
      </c>
      <c r="BJ415" s="561">
        <v>0</v>
      </c>
      <c r="BK415" s="561">
        <v>0</v>
      </c>
      <c r="BL415" s="561">
        <v>0</v>
      </c>
      <c r="BM415" s="561">
        <v>0</v>
      </c>
      <c r="BN415" s="561">
        <v>0</v>
      </c>
      <c r="BO415" s="561">
        <v>0</v>
      </c>
      <c r="BP415" s="561">
        <v>0</v>
      </c>
      <c r="BQ415" s="561">
        <v>0</v>
      </c>
      <c r="BR415" s="561">
        <v>0</v>
      </c>
      <c r="BS415" s="561">
        <v>0</v>
      </c>
      <c r="BT415" s="561">
        <v>0</v>
      </c>
      <c r="BU415" s="561">
        <v>0</v>
      </c>
      <c r="BV415" s="561">
        <v>0</v>
      </c>
      <c r="BW415" s="561">
        <v>0</v>
      </c>
      <c r="BX415" s="561">
        <v>0</v>
      </c>
      <c r="BY415" s="561">
        <v>0</v>
      </c>
      <c r="BZ415" s="561">
        <v>0</v>
      </c>
      <c r="CA415" s="561">
        <v>0</v>
      </c>
      <c r="CB415" s="561">
        <v>0</v>
      </c>
      <c r="CC415" s="561">
        <v>0</v>
      </c>
      <c r="CD415" s="561">
        <v>0</v>
      </c>
      <c r="CE415" s="561">
        <v>0</v>
      </c>
      <c r="CF415" s="561">
        <v>0</v>
      </c>
      <c r="CG415" s="561">
        <v>0</v>
      </c>
      <c r="CH415" s="561">
        <v>0</v>
      </c>
      <c r="CI415" s="561">
        <v>0</v>
      </c>
      <c r="CJ415" s="561">
        <v>0</v>
      </c>
      <c r="CK415" s="561">
        <v>0</v>
      </c>
      <c r="CL415" s="561">
        <v>0</v>
      </c>
      <c r="CM415" s="561">
        <v>0</v>
      </c>
      <c r="CN415" s="561">
        <v>0</v>
      </c>
      <c r="CO415" s="561">
        <v>0</v>
      </c>
      <c r="CP415" s="561">
        <v>0</v>
      </c>
      <c r="CQ415" s="561">
        <v>0</v>
      </c>
      <c r="CR415" s="561">
        <v>0</v>
      </c>
      <c r="CS415" s="561">
        <v>0</v>
      </c>
      <c r="CT415" s="561">
        <v>0</v>
      </c>
      <c r="CU415" s="561">
        <v>0</v>
      </c>
      <c r="CV415" s="561">
        <v>0</v>
      </c>
      <c r="CW415" s="561">
        <v>0</v>
      </c>
      <c r="CX415" s="561">
        <v>0</v>
      </c>
      <c r="CY415" s="561">
        <v>0</v>
      </c>
      <c r="CZ415" s="561">
        <v>0</v>
      </c>
      <c r="DA415" s="561">
        <v>0</v>
      </c>
      <c r="DB415" s="561">
        <v>0</v>
      </c>
      <c r="DC415" s="561">
        <v>0</v>
      </c>
      <c r="DD415" s="561">
        <v>0</v>
      </c>
      <c r="DE415" s="561">
        <v>0</v>
      </c>
      <c r="DF415" s="561">
        <v>0</v>
      </c>
      <c r="DG415" s="561">
        <v>0</v>
      </c>
      <c r="DH415" s="561">
        <v>-130</v>
      </c>
      <c r="DI415" s="561">
        <v>0</v>
      </c>
      <c r="DJ415" s="561">
        <v>0</v>
      </c>
      <c r="DK415" s="561">
        <v>0</v>
      </c>
      <c r="DL415" s="561">
        <v>0</v>
      </c>
      <c r="DM415" s="561">
        <v>0</v>
      </c>
      <c r="DN415" s="561">
        <v>0</v>
      </c>
      <c r="DO415" s="561">
        <v>0</v>
      </c>
      <c r="DP415" s="561">
        <v>0</v>
      </c>
      <c r="DQ415" s="561">
        <v>0</v>
      </c>
      <c r="DR415" s="561">
        <v>0</v>
      </c>
      <c r="DS415" s="561">
        <v>0</v>
      </c>
      <c r="DT415" s="561">
        <v>0</v>
      </c>
      <c r="DU415" s="561">
        <v>0</v>
      </c>
      <c r="DV415" s="561">
        <v>0</v>
      </c>
      <c r="DW415" s="561">
        <v>0</v>
      </c>
      <c r="DX415" s="561">
        <v>0</v>
      </c>
      <c r="DY415" s="561">
        <v>0</v>
      </c>
      <c r="DZ415" s="561">
        <v>0</v>
      </c>
      <c r="EA415" s="561">
        <v>0</v>
      </c>
      <c r="EB415" s="561">
        <v>0</v>
      </c>
      <c r="EC415" s="561">
        <v>-130</v>
      </c>
      <c r="ED415" s="561">
        <v>0</v>
      </c>
      <c r="EE415" s="561">
        <v>0</v>
      </c>
      <c r="EF415" s="561">
        <v>0</v>
      </c>
      <c r="EG415" s="561">
        <v>0</v>
      </c>
      <c r="EH415" s="561">
        <v>0</v>
      </c>
      <c r="EI415" s="561">
        <v>0</v>
      </c>
      <c r="EJ415" s="561">
        <v>0</v>
      </c>
      <c r="EK415" s="561">
        <v>0</v>
      </c>
      <c r="EL415" s="561">
        <v>0</v>
      </c>
      <c r="EM415" s="561">
        <v>0</v>
      </c>
      <c r="EN415" s="561">
        <v>0</v>
      </c>
      <c r="EO415" s="561">
        <v>0</v>
      </c>
      <c r="EP415" s="561">
        <v>0</v>
      </c>
      <c r="EQ415" s="561">
        <v>0</v>
      </c>
      <c r="ER415" s="561">
        <v>0</v>
      </c>
      <c r="ES415" s="561" t="s">
        <v>4565</v>
      </c>
      <c r="ET415" s="561">
        <v>0</v>
      </c>
      <c r="EU415" s="561">
        <v>0</v>
      </c>
      <c r="EV415" s="561">
        <v>0</v>
      </c>
      <c r="EW415" s="561">
        <v>0</v>
      </c>
      <c r="EX415" s="561">
        <v>0</v>
      </c>
      <c r="EY415" s="561">
        <v>0</v>
      </c>
      <c r="EZ415" s="561">
        <v>0</v>
      </c>
      <c r="FA415" s="561">
        <v>0</v>
      </c>
      <c r="FB415" s="561">
        <v>0</v>
      </c>
      <c r="FC415" s="561">
        <v>0</v>
      </c>
      <c r="FD415" s="561">
        <v>0</v>
      </c>
      <c r="FE415" s="561">
        <v>0</v>
      </c>
      <c r="FF415" s="561">
        <v>0</v>
      </c>
      <c r="FG415" s="561">
        <v>0</v>
      </c>
      <c r="FH415" s="561">
        <v>0</v>
      </c>
      <c r="FI415" s="561">
        <v>0</v>
      </c>
      <c r="FJ415" s="561">
        <v>0</v>
      </c>
      <c r="FK415" s="561">
        <v>0</v>
      </c>
      <c r="FL415" s="561">
        <v>0</v>
      </c>
      <c r="FM415" s="561">
        <v>0</v>
      </c>
      <c r="FN415" s="561">
        <v>0</v>
      </c>
      <c r="FO415" s="561">
        <v>0</v>
      </c>
      <c r="FP415" s="561">
        <v>0</v>
      </c>
      <c r="FQ415" s="561">
        <v>0</v>
      </c>
      <c r="FR415" s="561">
        <v>0</v>
      </c>
      <c r="FS415" s="561">
        <v>0</v>
      </c>
      <c r="FT415" s="561">
        <v>0</v>
      </c>
      <c r="FU415" s="561">
        <v>0</v>
      </c>
      <c r="FV415" s="561">
        <v>0</v>
      </c>
      <c r="FW415" s="561">
        <v>0</v>
      </c>
      <c r="FX415" s="561">
        <v>0</v>
      </c>
      <c r="FY415" s="561">
        <v>0</v>
      </c>
      <c r="FZ415" s="561">
        <v>0</v>
      </c>
      <c r="GA415" s="561">
        <v>0</v>
      </c>
      <c r="GB415" s="561">
        <v>0</v>
      </c>
      <c r="GC415" s="561">
        <v>0</v>
      </c>
      <c r="GD415" s="561">
        <v>0</v>
      </c>
      <c r="GE415" s="561">
        <v>0</v>
      </c>
      <c r="GF415" s="561">
        <v>0</v>
      </c>
      <c r="GG415" s="561">
        <v>0</v>
      </c>
      <c r="GH415" s="561">
        <v>0</v>
      </c>
      <c r="GI415" s="561">
        <v>0</v>
      </c>
      <c r="GJ415" s="561">
        <v>0</v>
      </c>
      <c r="GK415" s="561">
        <v>0</v>
      </c>
      <c r="GL415" s="561">
        <v>0</v>
      </c>
      <c r="GM415" s="561">
        <v>0</v>
      </c>
      <c r="GN415" s="561">
        <v>0</v>
      </c>
      <c r="GO415" s="561">
        <v>0</v>
      </c>
      <c r="GP415" s="561">
        <v>0</v>
      </c>
      <c r="GQ415" s="561">
        <v>0</v>
      </c>
      <c r="GR415" s="561">
        <v>0</v>
      </c>
      <c r="GS415" s="561">
        <v>0</v>
      </c>
      <c r="GT415" s="561">
        <v>0</v>
      </c>
      <c r="GU415" s="561">
        <v>0</v>
      </c>
      <c r="GV415" s="561">
        <v>0</v>
      </c>
      <c r="GW415" s="561">
        <v>0</v>
      </c>
      <c r="GX415" s="561">
        <v>0</v>
      </c>
      <c r="GY415" s="561">
        <v>0</v>
      </c>
      <c r="GZ415" s="561">
        <v>0</v>
      </c>
      <c r="HA415" s="561">
        <v>0</v>
      </c>
      <c r="HB415" s="561">
        <v>0</v>
      </c>
      <c r="HC415" s="561">
        <v>0</v>
      </c>
      <c r="HD415" s="561">
        <v>0</v>
      </c>
      <c r="HE415" s="561">
        <v>0</v>
      </c>
      <c r="HF415" s="561">
        <v>0</v>
      </c>
      <c r="HG415" s="561">
        <v>0</v>
      </c>
      <c r="HH415" s="561">
        <v>215362</v>
      </c>
      <c r="HI415" s="561">
        <v>240</v>
      </c>
      <c r="HJ415" s="561">
        <v>3271</v>
      </c>
      <c r="HK415" s="561">
        <v>33795</v>
      </c>
      <c r="HL415" s="561">
        <v>12</v>
      </c>
      <c r="HM415" s="561">
        <v>37078</v>
      </c>
      <c r="HN415" s="561">
        <v>0</v>
      </c>
      <c r="HO415" s="561">
        <v>567</v>
      </c>
      <c r="HP415" s="561">
        <v>0</v>
      </c>
      <c r="HQ415" s="561">
        <v>0</v>
      </c>
      <c r="HR415" s="561">
        <v>0</v>
      </c>
      <c r="HS415" s="561">
        <v>0</v>
      </c>
      <c r="HT415" s="561">
        <v>0</v>
      </c>
      <c r="HU415" s="561">
        <v>0</v>
      </c>
      <c r="HV415" s="561">
        <v>0</v>
      </c>
      <c r="HW415" s="561">
        <v>0</v>
      </c>
      <c r="HX415" s="561">
        <v>0</v>
      </c>
      <c r="HY415" s="561">
        <v>0</v>
      </c>
      <c r="HZ415" s="561">
        <v>0</v>
      </c>
      <c r="IA415" s="561">
        <v>0</v>
      </c>
      <c r="IB415" s="561">
        <v>0</v>
      </c>
      <c r="IC415" s="561">
        <v>0</v>
      </c>
      <c r="ID415" s="561">
        <v>0</v>
      </c>
      <c r="IE415" s="561">
        <v>0</v>
      </c>
      <c r="IF415" s="561">
        <v>0</v>
      </c>
      <c r="IG415" s="561">
        <v>0</v>
      </c>
      <c r="IH415" s="561">
        <v>0</v>
      </c>
      <c r="II415" s="561">
        <v>567</v>
      </c>
      <c r="IJ415" s="561">
        <v>0</v>
      </c>
      <c r="IK415" s="561">
        <v>0</v>
      </c>
      <c r="IL415" s="561">
        <v>0</v>
      </c>
      <c r="IM415" s="561">
        <v>0</v>
      </c>
      <c r="IN415" s="561">
        <v>0</v>
      </c>
      <c r="IO415" s="561">
        <v>0</v>
      </c>
      <c r="IP415" s="561">
        <v>-8921</v>
      </c>
      <c r="IQ415" s="561">
        <v>0</v>
      </c>
      <c r="IR415" s="561">
        <v>-100</v>
      </c>
      <c r="IS415" s="561">
        <v>-422</v>
      </c>
      <c r="IT415" s="561">
        <v>0</v>
      </c>
      <c r="IU415" s="561">
        <v>0</v>
      </c>
      <c r="IV415" s="561">
        <v>0</v>
      </c>
      <c r="IW415" s="561">
        <v>-130</v>
      </c>
      <c r="IX415" s="561">
        <v>0</v>
      </c>
      <c r="IY415" s="561">
        <v>0</v>
      </c>
      <c r="IZ415" s="561">
        <v>0</v>
      </c>
      <c r="JA415" s="561">
        <v>215362</v>
      </c>
      <c r="JB415" s="561">
        <v>37078</v>
      </c>
      <c r="JC415" s="561">
        <v>567</v>
      </c>
      <c r="JD415" s="561">
        <v>-8921</v>
      </c>
      <c r="JE415" s="561">
        <v>243434</v>
      </c>
      <c r="JF415" s="561">
        <v>0</v>
      </c>
      <c r="JG415" s="561">
        <v>0</v>
      </c>
      <c r="JH415" s="561">
        <v>0</v>
      </c>
      <c r="JI415" s="561">
        <v>0</v>
      </c>
      <c r="JJ415" s="561">
        <v>0</v>
      </c>
      <c r="JK415" s="561">
        <v>0</v>
      </c>
      <c r="JL415" s="561">
        <v>0</v>
      </c>
      <c r="JM415" s="561">
        <v>0</v>
      </c>
      <c r="JN415" s="561">
        <v>0</v>
      </c>
      <c r="JO415" s="561">
        <v>0</v>
      </c>
      <c r="JP415" s="561">
        <v>0</v>
      </c>
      <c r="JQ415" s="561">
        <v>0</v>
      </c>
      <c r="JR415" s="561">
        <v>0</v>
      </c>
      <c r="JS415" s="561">
        <v>0</v>
      </c>
      <c r="JT415" s="561">
        <v>0</v>
      </c>
      <c r="JU415" s="561">
        <v>0</v>
      </c>
      <c r="JV415" s="561">
        <v>243434</v>
      </c>
      <c r="JW415" s="561">
        <v>0</v>
      </c>
      <c r="JX415" s="561">
        <v>757</v>
      </c>
      <c r="JY415" s="561">
        <v>0</v>
      </c>
      <c r="JZ415" s="561">
        <v>0</v>
      </c>
      <c r="KA415" s="561">
        <v>0</v>
      </c>
      <c r="KB415" s="561">
        <v>0</v>
      </c>
      <c r="KC415" s="561">
        <v>1578</v>
      </c>
      <c r="KD415" s="561">
        <v>88</v>
      </c>
      <c r="KE415" s="561">
        <v>917</v>
      </c>
      <c r="KF415" s="561">
        <v>0</v>
      </c>
      <c r="KG415" s="561">
        <v>246774</v>
      </c>
      <c r="KH415" s="561">
        <v>-1722</v>
      </c>
      <c r="KI415" s="561">
        <v>721</v>
      </c>
      <c r="KJ415" s="561">
        <v>0</v>
      </c>
      <c r="KK415" s="561">
        <v>0</v>
      </c>
      <c r="KL415" s="561">
        <v>-1284</v>
      </c>
      <c r="KM415" s="561">
        <v>0</v>
      </c>
      <c r="KN415" s="561">
        <v>0</v>
      </c>
      <c r="KO415" s="561">
        <v>0</v>
      </c>
      <c r="KP415" s="561">
        <v>0</v>
      </c>
      <c r="KQ415" s="561">
        <v>0</v>
      </c>
      <c r="KR415" s="561">
        <v>244489</v>
      </c>
      <c r="KS415" s="561">
        <v>0</v>
      </c>
      <c r="KT415" s="561">
        <v>-22837</v>
      </c>
      <c r="KU415" s="561">
        <v>221652</v>
      </c>
      <c r="KV415" s="561">
        <v>0</v>
      </c>
      <c r="KW415" s="561">
        <v>0</v>
      </c>
      <c r="KX415" s="561">
        <v>0</v>
      </c>
      <c r="KY415" s="561">
        <v>0</v>
      </c>
      <c r="KZ415" s="561">
        <v>9870</v>
      </c>
      <c r="LA415" s="561">
        <v>75</v>
      </c>
      <c r="LB415" s="561">
        <v>-4953</v>
      </c>
      <c r="LC415" s="561">
        <v>-96668</v>
      </c>
      <c r="LD415" s="561">
        <v>-6165</v>
      </c>
      <c r="LE415" s="561">
        <v>-956</v>
      </c>
      <c r="LF415" s="561">
        <v>-2</v>
      </c>
      <c r="LG415" s="561">
        <v>122853</v>
      </c>
      <c r="LH415" s="561">
        <v>0</v>
      </c>
      <c r="LI415" s="561">
        <v>0</v>
      </c>
      <c r="LJ415" s="561">
        <v>0</v>
      </c>
      <c r="LK415" s="561">
        <v>0</v>
      </c>
      <c r="LL415" s="561">
        <v>16657</v>
      </c>
      <c r="LM415" s="561">
        <v>7104</v>
      </c>
      <c r="LN415" s="561">
        <v>0</v>
      </c>
      <c r="LO415" s="561">
        <v>0</v>
      </c>
      <c r="LP415" s="561">
        <v>0</v>
      </c>
      <c r="LQ415" s="561">
        <v>0</v>
      </c>
      <c r="LR415" s="561">
        <v>26527</v>
      </c>
      <c r="LS415" s="561">
        <v>7179</v>
      </c>
      <c r="LT415" s="561">
        <v>0</v>
      </c>
      <c r="LU415" s="561">
        <v>7554</v>
      </c>
      <c r="LV415" s="561">
        <v>0</v>
      </c>
      <c r="LW415" s="561">
        <v>5566</v>
      </c>
      <c r="LX415" s="561">
        <v>0</v>
      </c>
      <c r="LY415" s="561">
        <v>0</v>
      </c>
      <c r="LZ415" s="561">
        <v>13120</v>
      </c>
      <c r="MA415" s="561">
        <v>0</v>
      </c>
      <c r="MB415" s="561">
        <v>0</v>
      </c>
      <c r="MC415" s="561">
        <v>0</v>
      </c>
      <c r="MD415" s="561">
        <v>0</v>
      </c>
      <c r="ME415" s="561">
        <v>0</v>
      </c>
      <c r="MF415" s="561">
        <v>0</v>
      </c>
      <c r="MG415" s="561">
        <v>0</v>
      </c>
      <c r="MH415" s="561">
        <v>0</v>
      </c>
      <c r="MI415" s="561">
        <v>0</v>
      </c>
      <c r="MJ415" s="561">
        <v>0</v>
      </c>
      <c r="MK415" s="561">
        <v>0</v>
      </c>
      <c r="ML415" s="561">
        <v>0</v>
      </c>
      <c r="MM415" s="561">
        <v>25708</v>
      </c>
      <c r="MN415" s="561">
        <v>819</v>
      </c>
      <c r="MO415" s="561">
        <v>0</v>
      </c>
      <c r="MP415" s="561">
        <v>0</v>
      </c>
      <c r="MQ415" s="561">
        <v>-100</v>
      </c>
      <c r="MR415" s="561">
        <v>-422</v>
      </c>
      <c r="MS415" s="561">
        <v>0</v>
      </c>
      <c r="MT415" s="561">
        <v>0</v>
      </c>
      <c r="MU415" s="561">
        <v>0</v>
      </c>
      <c r="MV415" s="561">
        <v>-130</v>
      </c>
      <c r="MW415" s="561">
        <v>0</v>
      </c>
      <c r="MX415" s="561">
        <v>0</v>
      </c>
      <c r="MY415" s="561">
        <v>0</v>
      </c>
      <c r="MZ415" s="561">
        <v>215362</v>
      </c>
      <c r="NA415" s="561">
        <v>37078</v>
      </c>
      <c r="NB415" s="561">
        <v>567</v>
      </c>
      <c r="NC415" s="561">
        <v>-8921</v>
      </c>
      <c r="ND415" s="561">
        <v>243434</v>
      </c>
      <c r="NE415" s="561">
        <v>0</v>
      </c>
      <c r="NF415" s="561">
        <v>0</v>
      </c>
      <c r="NG415" s="561">
        <v>0</v>
      </c>
      <c r="NH415" s="561">
        <v>0</v>
      </c>
      <c r="NI415" s="561">
        <v>0</v>
      </c>
      <c r="NJ415" s="561">
        <v>0</v>
      </c>
      <c r="NK415" s="561">
        <v>0</v>
      </c>
      <c r="NL415" s="561">
        <v>0</v>
      </c>
      <c r="NM415" s="561">
        <v>0</v>
      </c>
      <c r="NN415" s="561">
        <v>0</v>
      </c>
      <c r="NO415" s="561">
        <v>0</v>
      </c>
      <c r="NP415" s="561">
        <v>0</v>
      </c>
      <c r="NQ415" s="561">
        <v>0</v>
      </c>
      <c r="NR415" s="561">
        <v>0</v>
      </c>
      <c r="NS415" s="561">
        <v>0</v>
      </c>
      <c r="NT415" s="561">
        <v>0</v>
      </c>
      <c r="NU415" s="561">
        <v>-3452</v>
      </c>
      <c r="NV415" s="561">
        <v>0</v>
      </c>
      <c r="NW415" s="561">
        <v>0</v>
      </c>
      <c r="NX415" s="561">
        <v>0</v>
      </c>
      <c r="NY415" s="561">
        <v>0</v>
      </c>
      <c r="NZ415" s="561">
        <v>0</v>
      </c>
      <c r="OA415" s="561">
        <v>0</v>
      </c>
      <c r="OB415" s="561">
        <v>0</v>
      </c>
      <c r="OC415" s="561">
        <v>0</v>
      </c>
      <c r="OD415" s="561">
        <v>0</v>
      </c>
      <c r="OE415" s="561">
        <v>0</v>
      </c>
      <c r="OF415" s="561">
        <v>0</v>
      </c>
      <c r="OG415" s="561">
        <v>0</v>
      </c>
      <c r="OH415" s="561">
        <v>0</v>
      </c>
      <c r="OI415" s="561">
        <v>0</v>
      </c>
      <c r="OJ415" s="561">
        <v>0</v>
      </c>
      <c r="OK415" s="561">
        <v>0</v>
      </c>
      <c r="OL415" s="561">
        <v>0</v>
      </c>
      <c r="OM415" s="561">
        <v>0</v>
      </c>
      <c r="ON415" s="561">
        <v>0</v>
      </c>
      <c r="OO415" s="561">
        <v>0</v>
      </c>
      <c r="OP415" s="561">
        <v>0</v>
      </c>
      <c r="OQ415" s="561">
        <v>0</v>
      </c>
      <c r="OR415" s="561">
        <v>0</v>
      </c>
      <c r="OS415" s="561">
        <v>0</v>
      </c>
      <c r="OT415" s="561">
        <v>0</v>
      </c>
      <c r="OU415" s="561">
        <v>0</v>
      </c>
      <c r="OV415" s="561">
        <v>-1469</v>
      </c>
      <c r="OW415" s="561">
        <v>0</v>
      </c>
      <c r="OX415" s="561">
        <v>0</v>
      </c>
      <c r="OY415" s="561">
        <v>0</v>
      </c>
      <c r="OZ415" s="561">
        <v>0</v>
      </c>
      <c r="PA415" s="561">
        <v>0</v>
      </c>
      <c r="PB415" s="561">
        <v>0</v>
      </c>
      <c r="PC415" s="561">
        <v>0</v>
      </c>
      <c r="PD415" s="561">
        <v>0</v>
      </c>
      <c r="PE415" s="561">
        <v>0</v>
      </c>
      <c r="PF415" s="561">
        <v>0</v>
      </c>
      <c r="PG415" s="561">
        <v>0</v>
      </c>
      <c r="PH415" s="561">
        <v>0</v>
      </c>
      <c r="PI415" s="561">
        <v>0</v>
      </c>
      <c r="PJ415" s="561">
        <v>0</v>
      </c>
    </row>
    <row r="416" spans="1:426" ht="14" x14ac:dyDescent="0.3">
      <c r="A416" t="s">
        <v>3686</v>
      </c>
      <c r="B416" t="s">
        <v>3687</v>
      </c>
      <c r="C416" s="280" t="s">
        <v>4691</v>
      </c>
      <c r="E416" t="s">
        <v>385</v>
      </c>
      <c r="F416" s="561">
        <v>16869</v>
      </c>
      <c r="G416" s="561">
        <v>37266</v>
      </c>
      <c r="H416" s="561">
        <v>25471</v>
      </c>
      <c r="I416" s="561">
        <v>5416</v>
      </c>
      <c r="J416" s="561">
        <v>3161</v>
      </c>
      <c r="K416" s="561">
        <v>16383</v>
      </c>
      <c r="L416" s="561">
        <v>104566</v>
      </c>
      <c r="M416" s="561">
        <v>140</v>
      </c>
      <c r="N416" s="561">
        <v>1282</v>
      </c>
      <c r="O416" s="561">
        <v>1181</v>
      </c>
      <c r="P416" s="561">
        <v>688</v>
      </c>
      <c r="Q416" s="561">
        <v>264</v>
      </c>
      <c r="R416" s="561">
        <v>3</v>
      </c>
      <c r="S416" s="561">
        <v>514</v>
      </c>
      <c r="T416" s="561">
        <v>769</v>
      </c>
      <c r="U416" s="561">
        <v>691</v>
      </c>
      <c r="V416" s="561">
        <v>1800</v>
      </c>
      <c r="W416" s="561">
        <v>0</v>
      </c>
      <c r="X416" s="561">
        <v>-12</v>
      </c>
      <c r="Y416" s="561">
        <v>433</v>
      </c>
      <c r="Z416" s="561">
        <v>1088</v>
      </c>
      <c r="AA416" s="561">
        <v>-1975</v>
      </c>
      <c r="AB416" s="561">
        <v>-6195</v>
      </c>
      <c r="AC416" s="561">
        <v>3853</v>
      </c>
      <c r="AD416" s="561">
        <v>21</v>
      </c>
      <c r="AE416" s="561">
        <v>3437</v>
      </c>
      <c r="AF416" s="561">
        <v>0</v>
      </c>
      <c r="AG416" s="561">
        <v>83</v>
      </c>
      <c r="AH416" s="561">
        <v>336</v>
      </c>
      <c r="AI416" s="561">
        <v>0</v>
      </c>
      <c r="AJ416" s="561">
        <v>8261</v>
      </c>
      <c r="AK416" s="561">
        <v>642</v>
      </c>
      <c r="AL416" s="561">
        <v>0</v>
      </c>
      <c r="AM416" s="561">
        <v>0</v>
      </c>
      <c r="AN416" s="561">
        <v>0</v>
      </c>
      <c r="AO416" s="561">
        <v>0</v>
      </c>
      <c r="AP416" s="561">
        <v>0</v>
      </c>
      <c r="AQ416" s="561">
        <v>0</v>
      </c>
      <c r="AR416" s="561">
        <v>0</v>
      </c>
      <c r="AS416" s="561">
        <v>596</v>
      </c>
      <c r="AT416" s="561">
        <v>1492</v>
      </c>
      <c r="AU416" s="561">
        <v>0</v>
      </c>
      <c r="AV416" s="561">
        <v>0</v>
      </c>
      <c r="AW416" s="561">
        <v>0</v>
      </c>
      <c r="AX416" s="561">
        <v>4308</v>
      </c>
      <c r="AY416" s="561">
        <v>14980</v>
      </c>
      <c r="AZ416" s="561">
        <v>63</v>
      </c>
      <c r="BA416" s="561">
        <v>3280</v>
      </c>
      <c r="BB416" s="561">
        <v>227</v>
      </c>
      <c r="BC416" s="561">
        <v>10772</v>
      </c>
      <c r="BD416" s="561">
        <v>0</v>
      </c>
      <c r="BE416" s="561">
        <v>438</v>
      </c>
      <c r="BF416" s="561">
        <v>34068</v>
      </c>
      <c r="BG416" s="561">
        <v>314</v>
      </c>
      <c r="BH416" s="561">
        <v>7181</v>
      </c>
      <c r="BI416" s="561">
        <v>19597</v>
      </c>
      <c r="BJ416" s="561">
        <v>217</v>
      </c>
      <c r="BK416" s="561">
        <v>288</v>
      </c>
      <c r="BL416" s="561">
        <v>770</v>
      </c>
      <c r="BM416" s="561">
        <v>753</v>
      </c>
      <c r="BN416" s="561">
        <v>25553</v>
      </c>
      <c r="BO416" s="561">
        <v>3251</v>
      </c>
      <c r="BP416" s="561">
        <v>5027</v>
      </c>
      <c r="BQ416" s="561">
        <v>1427</v>
      </c>
      <c r="BR416" s="561">
        <v>0</v>
      </c>
      <c r="BS416" s="561">
        <v>0</v>
      </c>
      <c r="BT416" s="561">
        <v>180</v>
      </c>
      <c r="BU416" s="561">
        <v>64</v>
      </c>
      <c r="BV416" s="561">
        <v>1221</v>
      </c>
      <c r="BW416" s="561">
        <v>8228</v>
      </c>
      <c r="BX416" s="561">
        <v>500</v>
      </c>
      <c r="BY416" s="561">
        <v>7063</v>
      </c>
      <c r="BZ416" s="561">
        <v>81320</v>
      </c>
      <c r="CA416" s="561">
        <v>1227</v>
      </c>
      <c r="CB416" s="561">
        <v>996</v>
      </c>
      <c r="CC416" s="561">
        <v>875</v>
      </c>
      <c r="CD416" s="561">
        <v>398</v>
      </c>
      <c r="CE416" s="561">
        <v>278</v>
      </c>
      <c r="CF416" s="561">
        <v>62</v>
      </c>
      <c r="CG416" s="561">
        <v>68</v>
      </c>
      <c r="CH416" s="561">
        <v>290</v>
      </c>
      <c r="CI416" s="561">
        <v>76</v>
      </c>
      <c r="CJ416" s="561">
        <v>17</v>
      </c>
      <c r="CK416" s="561">
        <v>144</v>
      </c>
      <c r="CL416" s="561">
        <v>0</v>
      </c>
      <c r="CM416" s="561">
        <v>845</v>
      </c>
      <c r="CN416" s="561">
        <v>831</v>
      </c>
      <c r="CO416" s="561">
        <v>152</v>
      </c>
      <c r="CP416" s="561">
        <v>152</v>
      </c>
      <c r="CQ416" s="561">
        <v>557</v>
      </c>
      <c r="CR416" s="561">
        <v>430</v>
      </c>
      <c r="CS416" s="561">
        <v>0</v>
      </c>
      <c r="CT416" s="561">
        <v>705</v>
      </c>
      <c r="CU416" s="561">
        <v>1102</v>
      </c>
      <c r="CV416" s="561">
        <v>1043</v>
      </c>
      <c r="CW416" s="561">
        <v>0</v>
      </c>
      <c r="CX416" s="561">
        <v>202</v>
      </c>
      <c r="CY416" s="561">
        <v>257</v>
      </c>
      <c r="CZ416" s="561">
        <v>9480</v>
      </c>
      <c r="DA416" s="561">
        <v>8</v>
      </c>
      <c r="DB416" s="561">
        <v>0</v>
      </c>
      <c r="DC416" s="561">
        <v>0</v>
      </c>
      <c r="DD416" s="561">
        <v>0</v>
      </c>
      <c r="DE416" s="561">
        <v>0</v>
      </c>
      <c r="DF416" s="561">
        <v>0</v>
      </c>
      <c r="DG416" s="561">
        <v>0</v>
      </c>
      <c r="DH416" s="561">
        <v>439</v>
      </c>
      <c r="DI416" s="561">
        <v>0</v>
      </c>
      <c r="DJ416" s="561">
        <v>816</v>
      </c>
      <c r="DK416" s="561">
        <v>339</v>
      </c>
      <c r="DL416" s="561">
        <v>0</v>
      </c>
      <c r="DM416" s="561">
        <v>0</v>
      </c>
      <c r="DN416" s="561">
        <v>845</v>
      </c>
      <c r="DO416" s="561">
        <v>59</v>
      </c>
      <c r="DP416" s="561">
        <v>2</v>
      </c>
      <c r="DQ416" s="561">
        <v>0</v>
      </c>
      <c r="DR416" s="561">
        <v>134</v>
      </c>
      <c r="DS416" s="561">
        <v>920</v>
      </c>
      <c r="DT416" s="561">
        <v>1495</v>
      </c>
      <c r="DU416" s="561">
        <v>3455</v>
      </c>
      <c r="DV416" s="561">
        <v>0</v>
      </c>
      <c r="DW416" s="561">
        <v>0</v>
      </c>
      <c r="DX416" s="561">
        <v>0</v>
      </c>
      <c r="DY416" s="561">
        <v>959</v>
      </c>
      <c r="DZ416" s="561">
        <v>90</v>
      </c>
      <c r="EA416" s="561">
        <v>950</v>
      </c>
      <c r="EB416" s="561">
        <v>0</v>
      </c>
      <c r="EC416" s="561">
        <v>7048</v>
      </c>
      <c r="ED416" s="561">
        <v>327</v>
      </c>
      <c r="EE416" s="561">
        <v>37876</v>
      </c>
      <c r="EF416" s="561">
        <v>561</v>
      </c>
      <c r="EG416" s="561">
        <v>2181</v>
      </c>
      <c r="EH416" s="561">
        <v>295</v>
      </c>
      <c r="EI416" s="561">
        <v>0</v>
      </c>
      <c r="EJ416" s="561">
        <v>1871</v>
      </c>
      <c r="EK416" s="561">
        <v>0</v>
      </c>
      <c r="EL416" s="561">
        <v>0</v>
      </c>
      <c r="EM416" s="561">
        <v>0</v>
      </c>
      <c r="EN416" s="561">
        <v>9954</v>
      </c>
      <c r="EO416" s="561">
        <v>6875</v>
      </c>
      <c r="EP416" s="561">
        <v>3451</v>
      </c>
      <c r="EQ416" s="561">
        <v>965</v>
      </c>
      <c r="ER416" s="561">
        <v>5121</v>
      </c>
      <c r="ES416" s="561" t="s">
        <v>4565</v>
      </c>
      <c r="ET416" s="561">
        <v>8400</v>
      </c>
      <c r="EU416" s="561">
        <v>1437</v>
      </c>
      <c r="EV416" s="561">
        <v>46</v>
      </c>
      <c r="EW416" s="561">
        <v>0</v>
      </c>
      <c r="EX416" s="561">
        <v>11210</v>
      </c>
      <c r="EY416" s="561">
        <v>173</v>
      </c>
      <c r="EZ416" s="561">
        <v>-4848</v>
      </c>
      <c r="FA416" s="561">
        <v>33819</v>
      </c>
      <c r="FB416" s="561">
        <v>0</v>
      </c>
      <c r="FC416" s="561">
        <v>85</v>
      </c>
      <c r="FD416" s="561">
        <v>106</v>
      </c>
      <c r="FE416" s="561">
        <v>307</v>
      </c>
      <c r="FF416" s="561">
        <v>8</v>
      </c>
      <c r="FG416" s="561">
        <v>0</v>
      </c>
      <c r="FH416" s="561">
        <v>0</v>
      </c>
      <c r="FI416" s="561">
        <v>196</v>
      </c>
      <c r="FJ416" s="561">
        <v>1234</v>
      </c>
      <c r="FK416" s="561">
        <v>1703</v>
      </c>
      <c r="FL416" s="561">
        <v>0</v>
      </c>
      <c r="FM416" s="561">
        <v>0</v>
      </c>
      <c r="FN416" s="561">
        <v>2800</v>
      </c>
      <c r="FO416" s="561">
        <v>6439</v>
      </c>
      <c r="FP416" s="561">
        <v>6</v>
      </c>
      <c r="FQ416" s="561">
        <v>-1442</v>
      </c>
      <c r="FR416" s="561">
        <v>2422</v>
      </c>
      <c r="FS416" s="561">
        <v>0</v>
      </c>
      <c r="FT416" s="561">
        <v>417</v>
      </c>
      <c r="FU416" s="561">
        <v>616</v>
      </c>
      <c r="FV416" s="561">
        <v>0</v>
      </c>
      <c r="FW416" s="561">
        <v>112</v>
      </c>
      <c r="FX416" s="561">
        <v>0</v>
      </c>
      <c r="FY416" s="561">
        <v>0</v>
      </c>
      <c r="FZ416" s="561">
        <v>0</v>
      </c>
      <c r="GA416" s="561">
        <v>84</v>
      </c>
      <c r="GB416" s="561">
        <v>40</v>
      </c>
      <c r="GC416" s="561">
        <v>-142</v>
      </c>
      <c r="GD416" s="561">
        <v>1376</v>
      </c>
      <c r="GE416" s="561">
        <v>0</v>
      </c>
      <c r="GF416" s="561">
        <v>134</v>
      </c>
      <c r="GG416" s="561">
        <v>240</v>
      </c>
      <c r="GH416" s="561">
        <v>1</v>
      </c>
      <c r="GI416" s="561">
        <v>945</v>
      </c>
      <c r="GJ416" s="561">
        <v>0</v>
      </c>
      <c r="GK416" s="561">
        <v>-7</v>
      </c>
      <c r="GL416" s="561">
        <v>2448</v>
      </c>
      <c r="GM416" s="561">
        <v>2806</v>
      </c>
      <c r="GN416" s="561">
        <v>4423</v>
      </c>
      <c r="GO416" s="561">
        <v>0</v>
      </c>
      <c r="GP416" s="561">
        <v>2973</v>
      </c>
      <c r="GQ416" s="561">
        <v>683</v>
      </c>
      <c r="GR416" s="561">
        <v>140</v>
      </c>
      <c r="GS416" s="561">
        <v>18269</v>
      </c>
      <c r="GT416" s="561">
        <v>625</v>
      </c>
      <c r="GU416" s="561">
        <v>143</v>
      </c>
      <c r="GV416" s="561">
        <v>1486</v>
      </c>
      <c r="GW416" s="561">
        <v>0</v>
      </c>
      <c r="GX416" s="561">
        <v>949</v>
      </c>
      <c r="GY416" s="561">
        <v>96</v>
      </c>
      <c r="GZ416" s="561">
        <v>2696</v>
      </c>
      <c r="HA416" s="561">
        <v>0</v>
      </c>
      <c r="HB416" s="561">
        <v>101</v>
      </c>
      <c r="HC416" s="561">
        <v>994</v>
      </c>
      <c r="HD416" s="561">
        <v>6465</v>
      </c>
      <c r="HE416" s="561">
        <v>68</v>
      </c>
      <c r="HF416" s="561">
        <v>31173</v>
      </c>
      <c r="HG416" s="561">
        <v>699</v>
      </c>
      <c r="HH416" s="561">
        <v>0</v>
      </c>
      <c r="HI416" s="561">
        <v>0</v>
      </c>
      <c r="HJ416" s="561">
        <v>0</v>
      </c>
      <c r="HK416" s="561">
        <v>0</v>
      </c>
      <c r="HL416" s="561">
        <v>0</v>
      </c>
      <c r="HM416" s="561">
        <v>0</v>
      </c>
      <c r="HN416" s="561">
        <v>0</v>
      </c>
      <c r="HO416" s="561">
        <v>21661</v>
      </c>
      <c r="HP416" s="561">
        <v>933</v>
      </c>
      <c r="HQ416" s="561">
        <v>0</v>
      </c>
      <c r="HR416" s="561">
        <v>1913</v>
      </c>
      <c r="HS416" s="561">
        <v>455</v>
      </c>
      <c r="HT416" s="561">
        <v>-161</v>
      </c>
      <c r="HU416" s="561">
        <v>0</v>
      </c>
      <c r="HV416" s="561">
        <v>-160</v>
      </c>
      <c r="HW416" s="561">
        <v>304</v>
      </c>
      <c r="HX416" s="561">
        <v>-1</v>
      </c>
      <c r="HY416" s="561">
        <v>175</v>
      </c>
      <c r="HZ416" s="561">
        <v>-6</v>
      </c>
      <c r="IA416" s="561">
        <v>0</v>
      </c>
      <c r="IB416" s="561">
        <v>206</v>
      </c>
      <c r="IC416" s="561">
        <v>386</v>
      </c>
      <c r="ID416" s="561">
        <v>8</v>
      </c>
      <c r="IE416" s="561">
        <v>119</v>
      </c>
      <c r="IF416" s="561">
        <v>0</v>
      </c>
      <c r="IG416" s="561">
        <v>149</v>
      </c>
      <c r="IH416" s="561">
        <v>-942</v>
      </c>
      <c r="II416" s="561">
        <v>25039</v>
      </c>
      <c r="IJ416" s="561">
        <v>198</v>
      </c>
      <c r="IK416" s="561">
        <v>3045</v>
      </c>
      <c r="IL416" s="561">
        <v>26638</v>
      </c>
      <c r="IM416" s="561">
        <v>0</v>
      </c>
      <c r="IN416" s="561">
        <v>3189</v>
      </c>
      <c r="IO416" s="561">
        <v>2700</v>
      </c>
      <c r="IP416" s="561">
        <v>0</v>
      </c>
      <c r="IQ416" s="561">
        <v>0</v>
      </c>
      <c r="IR416" s="561">
        <v>104566</v>
      </c>
      <c r="IS416" s="561">
        <v>8261</v>
      </c>
      <c r="IT416" s="561">
        <v>34068</v>
      </c>
      <c r="IU416" s="561">
        <v>81320</v>
      </c>
      <c r="IV416" s="561">
        <v>9480</v>
      </c>
      <c r="IW416" s="561">
        <v>7048</v>
      </c>
      <c r="IX416" s="561">
        <v>6439</v>
      </c>
      <c r="IY416" s="561">
        <v>18269</v>
      </c>
      <c r="IZ416" s="561">
        <v>6465</v>
      </c>
      <c r="JA416" s="561">
        <v>0</v>
      </c>
      <c r="JB416" s="561">
        <v>0</v>
      </c>
      <c r="JC416" s="561">
        <v>25039</v>
      </c>
      <c r="JD416" s="561">
        <v>0</v>
      </c>
      <c r="JE416" s="561">
        <v>300955</v>
      </c>
      <c r="JF416" s="561">
        <v>13796</v>
      </c>
      <c r="JG416" s="561">
        <v>1150</v>
      </c>
      <c r="JH416" s="561">
        <v>10852</v>
      </c>
      <c r="JI416" s="561">
        <v>0</v>
      </c>
      <c r="JJ416" s="561">
        <v>0</v>
      </c>
      <c r="JK416" s="561">
        <v>999</v>
      </c>
      <c r="JL416" s="561">
        <v>0</v>
      </c>
      <c r="JM416" s="561">
        <v>0</v>
      </c>
      <c r="JN416" s="561">
        <v>0</v>
      </c>
      <c r="JO416" s="561">
        <v>405</v>
      </c>
      <c r="JP416" s="561">
        <v>-962</v>
      </c>
      <c r="JQ416" s="561">
        <v>-203</v>
      </c>
      <c r="JR416" s="561">
        <v>0</v>
      </c>
      <c r="JS416" s="561">
        <v>0</v>
      </c>
      <c r="JT416" s="561">
        <v>0</v>
      </c>
      <c r="JU416" s="561">
        <v>0</v>
      </c>
      <c r="JV416" s="561">
        <v>326992</v>
      </c>
      <c r="JW416" s="561">
        <v>129</v>
      </c>
      <c r="JX416" s="561">
        <v>131</v>
      </c>
      <c r="JY416" s="561">
        <v>0</v>
      </c>
      <c r="JZ416" s="561">
        <v>0</v>
      </c>
      <c r="KA416" s="561">
        <v>0</v>
      </c>
      <c r="KB416" s="561">
        <v>322</v>
      </c>
      <c r="KC416" s="561">
        <v>9293</v>
      </c>
      <c r="KD416" s="561">
        <v>0</v>
      </c>
      <c r="KE416" s="561">
        <v>15944</v>
      </c>
      <c r="KF416" s="561">
        <v>-3297</v>
      </c>
      <c r="KG416" s="561">
        <v>349514</v>
      </c>
      <c r="KH416" s="561">
        <v>-5085</v>
      </c>
      <c r="KI416" s="561">
        <v>0</v>
      </c>
      <c r="KJ416" s="561">
        <v>186</v>
      </c>
      <c r="KK416" s="561">
        <v>0</v>
      </c>
      <c r="KL416" s="561">
        <v>-31532</v>
      </c>
      <c r="KM416" s="561">
        <v>0</v>
      </c>
      <c r="KN416" s="561">
        <v>0</v>
      </c>
      <c r="KO416" s="561">
        <v>0</v>
      </c>
      <c r="KP416" s="561">
        <v>0</v>
      </c>
      <c r="KQ416" s="561">
        <v>0</v>
      </c>
      <c r="KR416" s="561">
        <v>313083</v>
      </c>
      <c r="KS416" s="561">
        <v>0</v>
      </c>
      <c r="KT416" s="561">
        <v>-162690</v>
      </c>
      <c r="KU416" s="561">
        <v>150393</v>
      </c>
      <c r="KV416" s="561">
        <v>0</v>
      </c>
      <c r="KW416" s="561">
        <v>-283</v>
      </c>
      <c r="KX416" s="561">
        <v>883</v>
      </c>
      <c r="KY416" s="561">
        <v>-49</v>
      </c>
      <c r="KZ416" s="561">
        <v>5912</v>
      </c>
      <c r="LA416" s="561">
        <v>0</v>
      </c>
      <c r="LB416" s="561">
        <v>-847</v>
      </c>
      <c r="LC416" s="561">
        <v>0</v>
      </c>
      <c r="LD416" s="561">
        <v>-35205</v>
      </c>
      <c r="LE416" s="561">
        <v>711</v>
      </c>
      <c r="LF416" s="561">
        <v>-6589</v>
      </c>
      <c r="LG416" s="561">
        <v>114926</v>
      </c>
      <c r="LH416" s="561">
        <v>2187</v>
      </c>
      <c r="LI416" s="561">
        <v>-9940</v>
      </c>
      <c r="LJ416" s="561">
        <v>9650</v>
      </c>
      <c r="LK416" s="561">
        <v>887</v>
      </c>
      <c r="LL416" s="561">
        <v>28033</v>
      </c>
      <c r="LM416" s="561">
        <v>7441</v>
      </c>
      <c r="LN416" s="561">
        <v>1904</v>
      </c>
      <c r="LO416" s="561">
        <v>-9940</v>
      </c>
      <c r="LP416" s="561">
        <v>10533</v>
      </c>
      <c r="LQ416" s="561">
        <v>838</v>
      </c>
      <c r="LR416" s="561">
        <v>33945</v>
      </c>
      <c r="LS416" s="561">
        <v>7441</v>
      </c>
      <c r="LT416" s="561">
        <v>0</v>
      </c>
      <c r="LU416" s="561">
        <v>26466</v>
      </c>
      <c r="LV416" s="561">
        <v>0</v>
      </c>
      <c r="LW416" s="561">
        <v>6572</v>
      </c>
      <c r="LX416" s="561">
        <v>-25518</v>
      </c>
      <c r="LY416" s="561">
        <v>5807</v>
      </c>
      <c r="LZ416" s="561">
        <v>13327</v>
      </c>
      <c r="MA416" s="561">
        <v>0</v>
      </c>
      <c r="MB416" s="561">
        <v>0</v>
      </c>
      <c r="MC416" s="561">
        <v>42784</v>
      </c>
      <c r="MD416" s="561">
        <v>47632</v>
      </c>
      <c r="ME416" s="561">
        <v>-4848</v>
      </c>
      <c r="MF416" s="561">
        <v>33819</v>
      </c>
      <c r="MG416" s="561">
        <v>28971</v>
      </c>
      <c r="MH416" s="561">
        <v>3943</v>
      </c>
      <c r="MI416" s="561">
        <v>3840</v>
      </c>
      <c r="MJ416" s="561">
        <v>7783</v>
      </c>
      <c r="MK416" s="561">
        <v>32</v>
      </c>
      <c r="ML416" s="561">
        <v>1295</v>
      </c>
      <c r="MM416" s="561">
        <v>18839</v>
      </c>
      <c r="MN416" s="561">
        <v>2164</v>
      </c>
      <c r="MO416" s="561">
        <v>0</v>
      </c>
      <c r="MP416" s="561">
        <v>11647</v>
      </c>
      <c r="MQ416" s="561">
        <v>104566</v>
      </c>
      <c r="MR416" s="561">
        <v>8261</v>
      </c>
      <c r="MS416" s="561">
        <v>34068</v>
      </c>
      <c r="MT416" s="561">
        <v>81320</v>
      </c>
      <c r="MU416" s="561">
        <v>9480</v>
      </c>
      <c r="MV416" s="561">
        <v>7048</v>
      </c>
      <c r="MW416" s="561">
        <v>6439</v>
      </c>
      <c r="MX416" s="561">
        <v>18269</v>
      </c>
      <c r="MY416" s="561">
        <v>6465</v>
      </c>
      <c r="MZ416" s="561">
        <v>0</v>
      </c>
      <c r="NA416" s="561">
        <v>0</v>
      </c>
      <c r="NB416" s="561">
        <v>25039</v>
      </c>
      <c r="NC416" s="561">
        <v>0</v>
      </c>
      <c r="ND416" s="561">
        <v>300955</v>
      </c>
      <c r="NE416" s="561">
        <v>0</v>
      </c>
      <c r="NF416" s="561">
        <v>0</v>
      </c>
      <c r="NG416" s="561">
        <v>0</v>
      </c>
      <c r="NH416" s="561">
        <v>0</v>
      </c>
      <c r="NI416" s="561">
        <v>0</v>
      </c>
      <c r="NJ416" s="561">
        <v>0</v>
      </c>
      <c r="NK416" s="561">
        <v>0</v>
      </c>
      <c r="NL416" s="561">
        <v>0</v>
      </c>
      <c r="NM416" s="561">
        <v>0</v>
      </c>
      <c r="NN416" s="561">
        <v>0</v>
      </c>
      <c r="NO416" s="561">
        <v>0</v>
      </c>
      <c r="NP416" s="561">
        <v>0</v>
      </c>
      <c r="NQ416" s="561">
        <v>-865</v>
      </c>
      <c r="NR416" s="561">
        <v>0</v>
      </c>
      <c r="NS416" s="561">
        <v>0</v>
      </c>
      <c r="NT416" s="561">
        <v>0</v>
      </c>
      <c r="NU416" s="561">
        <v>0</v>
      </c>
      <c r="NV416" s="561">
        <v>0</v>
      </c>
      <c r="NW416" s="561">
        <v>-962</v>
      </c>
      <c r="NX416" s="561">
        <v>0</v>
      </c>
      <c r="NY416" s="561">
        <v>-962</v>
      </c>
      <c r="NZ416" s="561">
        <v>0</v>
      </c>
      <c r="OA416" s="561">
        <v>0</v>
      </c>
      <c r="OB416" s="561">
        <v>-460</v>
      </c>
      <c r="OC416" s="561">
        <v>0</v>
      </c>
      <c r="OD416" s="561">
        <v>0</v>
      </c>
      <c r="OE416" s="561">
        <v>0</v>
      </c>
      <c r="OF416" s="561">
        <v>0</v>
      </c>
      <c r="OG416" s="561">
        <v>0</v>
      </c>
      <c r="OH416" s="561">
        <v>0</v>
      </c>
      <c r="OI416" s="561">
        <v>0</v>
      </c>
      <c r="OJ416" s="561">
        <v>9</v>
      </c>
      <c r="OK416" s="561">
        <v>-15</v>
      </c>
      <c r="OL416" s="561">
        <v>0</v>
      </c>
      <c r="OM416" s="561">
        <v>-35</v>
      </c>
      <c r="ON416" s="561">
        <v>298</v>
      </c>
      <c r="OO416" s="561">
        <v>0</v>
      </c>
      <c r="OP416" s="561">
        <v>0</v>
      </c>
      <c r="OQ416" s="561">
        <v>0</v>
      </c>
      <c r="OR416" s="561">
        <v>0</v>
      </c>
      <c r="OS416" s="561">
        <v>0</v>
      </c>
      <c r="OT416" s="561">
        <v>0</v>
      </c>
      <c r="OU416" s="561">
        <v>0</v>
      </c>
      <c r="OV416" s="561">
        <v>0</v>
      </c>
      <c r="OW416" s="561">
        <v>0</v>
      </c>
      <c r="OX416" s="561">
        <v>-203</v>
      </c>
      <c r="OY416" s="561">
        <v>0</v>
      </c>
      <c r="OZ416" s="561">
        <v>0</v>
      </c>
      <c r="PA416" s="561">
        <v>0</v>
      </c>
      <c r="PB416" s="561">
        <v>0</v>
      </c>
      <c r="PC416" s="561">
        <v>0</v>
      </c>
      <c r="PD416" s="561">
        <v>0</v>
      </c>
      <c r="PE416" s="561">
        <v>0</v>
      </c>
      <c r="PF416" s="561">
        <v>0</v>
      </c>
      <c r="PG416" s="561">
        <v>0</v>
      </c>
      <c r="PH416" s="561">
        <v>0</v>
      </c>
      <c r="PI416" s="561">
        <v>0</v>
      </c>
      <c r="PJ416" s="561">
        <v>0</v>
      </c>
    </row>
    <row r="417" spans="1:433" ht="14" x14ac:dyDescent="0.3">
      <c r="A417" t="s">
        <v>3692</v>
      </c>
      <c r="B417" t="s">
        <v>3693</v>
      </c>
      <c r="C417" t="s">
        <v>3694</v>
      </c>
      <c r="E417" t="s">
        <v>2466</v>
      </c>
      <c r="F417" s="561">
        <v>0</v>
      </c>
      <c r="G417" s="561">
        <v>0</v>
      </c>
      <c r="H417" s="561">
        <v>0</v>
      </c>
      <c r="I417" s="561">
        <v>0</v>
      </c>
      <c r="J417" s="561">
        <v>0</v>
      </c>
      <c r="K417" s="561">
        <v>0</v>
      </c>
      <c r="L417" s="561">
        <v>0</v>
      </c>
      <c r="M417" s="561">
        <v>0</v>
      </c>
      <c r="N417" s="561">
        <v>0</v>
      </c>
      <c r="O417" s="561">
        <v>0</v>
      </c>
      <c r="P417" s="561">
        <v>0</v>
      </c>
      <c r="Q417" s="561">
        <v>0</v>
      </c>
      <c r="R417" s="561">
        <v>0</v>
      </c>
      <c r="S417" s="561">
        <v>0</v>
      </c>
      <c r="T417" s="561">
        <v>0</v>
      </c>
      <c r="U417" s="561">
        <v>0</v>
      </c>
      <c r="V417" s="561">
        <v>0</v>
      </c>
      <c r="W417" s="561">
        <v>0</v>
      </c>
      <c r="X417" s="561">
        <v>0</v>
      </c>
      <c r="Y417" s="561">
        <v>0</v>
      </c>
      <c r="Z417" s="561">
        <v>0</v>
      </c>
      <c r="AA417" s="561">
        <v>0</v>
      </c>
      <c r="AB417" s="561">
        <v>-700</v>
      </c>
      <c r="AC417" s="561">
        <v>0</v>
      </c>
      <c r="AD417" s="561">
        <v>0</v>
      </c>
      <c r="AE417" s="561">
        <v>0</v>
      </c>
      <c r="AF417" s="561">
        <v>0</v>
      </c>
      <c r="AG417" s="561">
        <v>0</v>
      </c>
      <c r="AH417" s="561">
        <v>0</v>
      </c>
      <c r="AI417" s="561">
        <v>0</v>
      </c>
      <c r="AJ417" s="561">
        <v>-700</v>
      </c>
      <c r="AK417" s="561">
        <v>0</v>
      </c>
      <c r="AL417" s="561">
        <v>0</v>
      </c>
      <c r="AM417" s="561">
        <v>0</v>
      </c>
      <c r="AN417" s="561">
        <v>0</v>
      </c>
      <c r="AO417" s="561">
        <v>0</v>
      </c>
      <c r="AP417" s="561">
        <v>0</v>
      </c>
      <c r="AQ417" s="561">
        <v>0</v>
      </c>
      <c r="AR417" s="561">
        <v>0</v>
      </c>
      <c r="AS417" s="561">
        <v>0</v>
      </c>
      <c r="AT417" s="561">
        <v>0</v>
      </c>
      <c r="AU417" s="561">
        <v>0</v>
      </c>
      <c r="AV417" s="561">
        <v>0</v>
      </c>
      <c r="AW417" s="561">
        <v>0</v>
      </c>
      <c r="AX417" s="561">
        <v>0</v>
      </c>
      <c r="AY417" s="561">
        <v>0</v>
      </c>
      <c r="AZ417" s="561">
        <v>0</v>
      </c>
      <c r="BA417" s="561">
        <v>0</v>
      </c>
      <c r="BB417" s="561">
        <v>0</v>
      </c>
      <c r="BC417" s="561">
        <v>0</v>
      </c>
      <c r="BD417" s="561">
        <v>0</v>
      </c>
      <c r="BE417" s="561">
        <v>0</v>
      </c>
      <c r="BF417" s="561">
        <v>0</v>
      </c>
      <c r="BG417" s="561">
        <v>0</v>
      </c>
      <c r="BH417" s="561">
        <v>0</v>
      </c>
      <c r="BI417" s="561">
        <v>0</v>
      </c>
      <c r="BJ417" s="561">
        <v>0</v>
      </c>
      <c r="BK417" s="561">
        <v>0</v>
      </c>
      <c r="BL417" s="561">
        <v>0</v>
      </c>
      <c r="BM417" s="561">
        <v>0</v>
      </c>
      <c r="BN417" s="561">
        <v>0</v>
      </c>
      <c r="BO417" s="561">
        <v>0</v>
      </c>
      <c r="BP417" s="561">
        <v>0</v>
      </c>
      <c r="BQ417" s="561">
        <v>0</v>
      </c>
      <c r="BR417" s="561">
        <v>0</v>
      </c>
      <c r="BS417" s="561">
        <v>0</v>
      </c>
      <c r="BT417" s="561">
        <v>0</v>
      </c>
      <c r="BU417" s="561">
        <v>0</v>
      </c>
      <c r="BV417" s="561">
        <v>0</v>
      </c>
      <c r="BW417" s="561">
        <v>0</v>
      </c>
      <c r="BX417" s="561">
        <v>0</v>
      </c>
      <c r="BY417" s="561">
        <v>0</v>
      </c>
      <c r="BZ417" s="561">
        <v>0</v>
      </c>
      <c r="CA417" s="561">
        <v>0</v>
      </c>
      <c r="CB417" s="561">
        <v>0</v>
      </c>
      <c r="CC417" s="561">
        <v>0</v>
      </c>
      <c r="CD417" s="561">
        <v>0</v>
      </c>
      <c r="CE417" s="561">
        <v>0</v>
      </c>
      <c r="CF417" s="561">
        <v>0</v>
      </c>
      <c r="CG417" s="561">
        <v>0</v>
      </c>
      <c r="CH417" s="561">
        <v>0</v>
      </c>
      <c r="CI417" s="561">
        <v>0</v>
      </c>
      <c r="CJ417" s="561">
        <v>0</v>
      </c>
      <c r="CK417" s="561">
        <v>0</v>
      </c>
      <c r="CL417" s="561">
        <v>0</v>
      </c>
      <c r="CM417" s="561">
        <v>0</v>
      </c>
      <c r="CN417" s="561">
        <v>0</v>
      </c>
      <c r="CO417" s="561">
        <v>0</v>
      </c>
      <c r="CP417" s="561">
        <v>0</v>
      </c>
      <c r="CQ417" s="561">
        <v>0</v>
      </c>
      <c r="CR417" s="561">
        <v>0</v>
      </c>
      <c r="CS417" s="561">
        <v>0</v>
      </c>
      <c r="CT417" s="561">
        <v>0</v>
      </c>
      <c r="CU417" s="561">
        <v>0</v>
      </c>
      <c r="CV417" s="561">
        <v>0</v>
      </c>
      <c r="CW417" s="561">
        <v>0</v>
      </c>
      <c r="CX417" s="561">
        <v>0</v>
      </c>
      <c r="CY417" s="561">
        <v>0</v>
      </c>
      <c r="CZ417" s="561">
        <v>0</v>
      </c>
      <c r="DA417" s="561">
        <v>0</v>
      </c>
      <c r="DB417" s="561">
        <v>0</v>
      </c>
      <c r="DC417" s="561">
        <v>0</v>
      </c>
      <c r="DD417" s="561">
        <v>0</v>
      </c>
      <c r="DE417" s="561">
        <v>0</v>
      </c>
      <c r="DF417" s="561">
        <v>0</v>
      </c>
      <c r="DG417" s="561">
        <v>0</v>
      </c>
      <c r="DH417" s="561">
        <v>0</v>
      </c>
      <c r="DI417" s="561">
        <v>0</v>
      </c>
      <c r="DJ417" s="561">
        <v>0</v>
      </c>
      <c r="DK417" s="561">
        <v>0</v>
      </c>
      <c r="DL417" s="561">
        <v>0</v>
      </c>
      <c r="DM417" s="561">
        <v>0</v>
      </c>
      <c r="DN417" s="561">
        <v>0</v>
      </c>
      <c r="DO417" s="561">
        <v>0</v>
      </c>
      <c r="DP417" s="561">
        <v>0</v>
      </c>
      <c r="DQ417" s="561">
        <v>0</v>
      </c>
      <c r="DR417" s="561">
        <v>0</v>
      </c>
      <c r="DS417" s="561">
        <v>0</v>
      </c>
      <c r="DT417" s="561">
        <v>0</v>
      </c>
      <c r="DU417" s="561">
        <v>0</v>
      </c>
      <c r="DV417" s="561">
        <v>0</v>
      </c>
      <c r="DW417" s="561">
        <v>0</v>
      </c>
      <c r="DX417" s="561">
        <v>0</v>
      </c>
      <c r="DY417" s="561">
        <v>0</v>
      </c>
      <c r="DZ417" s="561">
        <v>0</v>
      </c>
      <c r="EA417" s="561">
        <v>0</v>
      </c>
      <c r="EB417" s="561">
        <v>0</v>
      </c>
      <c r="EC417" s="561">
        <v>0</v>
      </c>
      <c r="ED417" s="561">
        <v>0</v>
      </c>
      <c r="EE417" s="561">
        <v>0</v>
      </c>
      <c r="EF417" s="561">
        <v>0</v>
      </c>
      <c r="EG417" s="561">
        <v>0</v>
      </c>
      <c r="EH417" s="561">
        <v>0</v>
      </c>
      <c r="EI417" s="561">
        <v>0</v>
      </c>
      <c r="EJ417" s="561">
        <v>0</v>
      </c>
      <c r="EK417" s="561">
        <v>0</v>
      </c>
      <c r="EL417" s="561">
        <v>0</v>
      </c>
      <c r="EM417" s="561">
        <v>0</v>
      </c>
      <c r="EN417" s="561">
        <v>0</v>
      </c>
      <c r="EO417" s="561">
        <v>0</v>
      </c>
      <c r="EP417" s="561">
        <v>0</v>
      </c>
      <c r="EQ417" s="561">
        <v>0</v>
      </c>
      <c r="ER417" s="561">
        <v>0</v>
      </c>
      <c r="ES417" s="561" t="s">
        <v>4565</v>
      </c>
      <c r="ET417" s="561">
        <v>0</v>
      </c>
      <c r="EU417" s="561">
        <v>0</v>
      </c>
      <c r="EV417" s="561">
        <v>0</v>
      </c>
      <c r="EW417" s="561">
        <v>0</v>
      </c>
      <c r="EX417" s="561">
        <v>0</v>
      </c>
      <c r="EY417" s="561">
        <v>0</v>
      </c>
      <c r="EZ417" s="561">
        <v>0</v>
      </c>
      <c r="FA417" s="561">
        <v>0</v>
      </c>
      <c r="FB417" s="561">
        <v>0</v>
      </c>
      <c r="FC417" s="561">
        <v>0</v>
      </c>
      <c r="FD417" s="561">
        <v>0</v>
      </c>
      <c r="FE417" s="561">
        <v>122</v>
      </c>
      <c r="FF417" s="561">
        <v>0</v>
      </c>
      <c r="FG417" s="561">
        <v>0</v>
      </c>
      <c r="FH417" s="561">
        <v>0</v>
      </c>
      <c r="FI417" s="561">
        <v>0</v>
      </c>
      <c r="FJ417" s="561">
        <v>0</v>
      </c>
      <c r="FK417" s="561">
        <v>7361</v>
      </c>
      <c r="FL417" s="561">
        <v>0</v>
      </c>
      <c r="FM417" s="561">
        <v>1492</v>
      </c>
      <c r="FN417" s="561">
        <v>0</v>
      </c>
      <c r="FO417" s="561">
        <v>8975</v>
      </c>
      <c r="FP417" s="561">
        <v>0</v>
      </c>
      <c r="FQ417" s="561">
        <v>0</v>
      </c>
      <c r="FR417" s="561">
        <v>0</v>
      </c>
      <c r="FS417" s="561">
        <v>0</v>
      </c>
      <c r="FT417" s="561">
        <v>0</v>
      </c>
      <c r="FU417" s="561">
        <v>0</v>
      </c>
      <c r="FV417" s="561">
        <v>0</v>
      </c>
      <c r="FW417" s="561">
        <v>0</v>
      </c>
      <c r="FX417" s="561">
        <v>0</v>
      </c>
      <c r="FY417" s="561">
        <v>0</v>
      </c>
      <c r="FZ417" s="561">
        <v>0</v>
      </c>
      <c r="GA417" s="561">
        <v>133</v>
      </c>
      <c r="GB417" s="561">
        <v>0</v>
      </c>
      <c r="GC417" s="561">
        <v>0</v>
      </c>
      <c r="GD417" s="561">
        <v>0</v>
      </c>
      <c r="GE417" s="561">
        <v>0</v>
      </c>
      <c r="GF417" s="561">
        <v>0</v>
      </c>
      <c r="GG417" s="561">
        <v>0</v>
      </c>
      <c r="GH417" s="561">
        <v>0</v>
      </c>
      <c r="GI417" s="561">
        <v>0</v>
      </c>
      <c r="GJ417" s="561">
        <v>0</v>
      </c>
      <c r="GK417" s="561">
        <v>0</v>
      </c>
      <c r="GL417" s="561">
        <v>0</v>
      </c>
      <c r="GM417" s="561">
        <v>0</v>
      </c>
      <c r="GN417" s="561">
        <v>0</v>
      </c>
      <c r="GO417" s="561">
        <v>0</v>
      </c>
      <c r="GP417" s="561">
        <v>0</v>
      </c>
      <c r="GQ417" s="561">
        <v>0</v>
      </c>
      <c r="GR417" s="561">
        <v>0</v>
      </c>
      <c r="GS417" s="561">
        <v>133</v>
      </c>
      <c r="GT417" s="561">
        <v>0</v>
      </c>
      <c r="GU417" s="561">
        <v>0</v>
      </c>
      <c r="GV417" s="561">
        <v>550</v>
      </c>
      <c r="GW417" s="561">
        <v>147</v>
      </c>
      <c r="GX417" s="561">
        <v>0</v>
      </c>
      <c r="GY417" s="561">
        <v>0</v>
      </c>
      <c r="GZ417" s="561">
        <v>0</v>
      </c>
      <c r="HA417" s="561">
        <v>0</v>
      </c>
      <c r="HB417" s="561">
        <v>0</v>
      </c>
      <c r="HC417" s="561">
        <v>0</v>
      </c>
      <c r="HD417" s="561">
        <v>697</v>
      </c>
      <c r="HE417" s="561">
        <v>0</v>
      </c>
      <c r="HF417" s="561">
        <v>9805</v>
      </c>
      <c r="HG417" s="561">
        <v>0</v>
      </c>
      <c r="HH417" s="561">
        <v>0</v>
      </c>
      <c r="HI417" s="561">
        <v>0</v>
      </c>
      <c r="HJ417" s="561">
        <v>0</v>
      </c>
      <c r="HK417" s="561">
        <v>0</v>
      </c>
      <c r="HL417" s="561">
        <v>0</v>
      </c>
      <c r="HM417" s="561">
        <v>0</v>
      </c>
      <c r="HN417" s="561">
        <v>0</v>
      </c>
      <c r="HO417" s="561">
        <v>118</v>
      </c>
      <c r="HP417" s="561">
        <v>0</v>
      </c>
      <c r="HQ417" s="561">
        <v>0</v>
      </c>
      <c r="HR417" s="561">
        <v>0</v>
      </c>
      <c r="HS417" s="561">
        <v>0</v>
      </c>
      <c r="HT417" s="561">
        <v>0</v>
      </c>
      <c r="HU417" s="561">
        <v>0</v>
      </c>
      <c r="HV417" s="561">
        <v>0</v>
      </c>
      <c r="HW417" s="561">
        <v>0</v>
      </c>
      <c r="HX417" s="561">
        <v>0</v>
      </c>
      <c r="HY417" s="561">
        <v>0</v>
      </c>
      <c r="HZ417" s="561">
        <v>0</v>
      </c>
      <c r="IA417" s="561">
        <v>0</v>
      </c>
      <c r="IB417" s="561">
        <v>0</v>
      </c>
      <c r="IC417" s="561">
        <v>0</v>
      </c>
      <c r="ID417" s="561">
        <v>0</v>
      </c>
      <c r="IE417" s="561">
        <v>0</v>
      </c>
      <c r="IF417" s="561">
        <v>0</v>
      </c>
      <c r="IG417" s="561">
        <v>0</v>
      </c>
      <c r="IH417" s="561">
        <v>1786</v>
      </c>
      <c r="II417" s="561">
        <v>1904</v>
      </c>
      <c r="IJ417" s="561">
        <v>0</v>
      </c>
      <c r="IK417" s="561">
        <v>0</v>
      </c>
      <c r="IL417" s="561">
        <v>0</v>
      </c>
      <c r="IM417" s="561">
        <v>0</v>
      </c>
      <c r="IN417" s="561">
        <v>0</v>
      </c>
      <c r="IO417" s="561">
        <v>32</v>
      </c>
      <c r="IP417" s="561">
        <v>0</v>
      </c>
      <c r="IQ417" s="561">
        <v>0</v>
      </c>
      <c r="IR417" s="561">
        <v>0</v>
      </c>
      <c r="IS417" s="561">
        <v>-700</v>
      </c>
      <c r="IT417" s="561">
        <v>0</v>
      </c>
      <c r="IU417" s="561">
        <v>0</v>
      </c>
      <c r="IV417" s="561">
        <v>0</v>
      </c>
      <c r="IW417" s="561">
        <v>0</v>
      </c>
      <c r="IX417" s="561">
        <v>8975</v>
      </c>
      <c r="IY417" s="561">
        <v>133</v>
      </c>
      <c r="IZ417" s="561">
        <v>697</v>
      </c>
      <c r="JA417" s="561">
        <v>0</v>
      </c>
      <c r="JB417" s="561">
        <v>0</v>
      </c>
      <c r="JC417" s="561">
        <v>1904</v>
      </c>
      <c r="JD417" s="561">
        <v>0</v>
      </c>
      <c r="JE417" s="561">
        <v>11009</v>
      </c>
      <c r="JF417" s="561">
        <v>0</v>
      </c>
      <c r="JG417" s="561">
        <v>0</v>
      </c>
      <c r="JH417" s="561">
        <v>0</v>
      </c>
      <c r="JI417" s="561">
        <v>0</v>
      </c>
      <c r="JJ417" s="561">
        <v>0</v>
      </c>
      <c r="JK417" s="561">
        <v>0</v>
      </c>
      <c r="JL417" s="561">
        <v>0</v>
      </c>
      <c r="JM417" s="561">
        <v>0</v>
      </c>
      <c r="JN417" s="561">
        <v>0</v>
      </c>
      <c r="JO417" s="561">
        <v>0</v>
      </c>
      <c r="JP417" s="561">
        <v>0</v>
      </c>
      <c r="JQ417" s="561">
        <v>0</v>
      </c>
      <c r="JR417" s="561">
        <v>0</v>
      </c>
      <c r="JS417" s="561">
        <v>0</v>
      </c>
      <c r="JT417" s="561">
        <v>4</v>
      </c>
      <c r="JU417" s="561">
        <v>0</v>
      </c>
      <c r="JV417" s="561">
        <v>11013</v>
      </c>
      <c r="JW417" s="561">
        <v>0</v>
      </c>
      <c r="JX417" s="561">
        <v>406</v>
      </c>
      <c r="JY417" s="561">
        <v>0</v>
      </c>
      <c r="JZ417" s="561">
        <v>0</v>
      </c>
      <c r="KA417" s="561">
        <v>0</v>
      </c>
      <c r="KB417" s="561">
        <v>0</v>
      </c>
      <c r="KC417" s="561">
        <v>0</v>
      </c>
      <c r="KD417" s="561">
        <v>0</v>
      </c>
      <c r="KE417" s="561">
        <v>3</v>
      </c>
      <c r="KF417" s="561">
        <v>0</v>
      </c>
      <c r="KG417" s="561">
        <v>11422</v>
      </c>
      <c r="KH417" s="561">
        <v>-276</v>
      </c>
      <c r="KI417" s="561">
        <v>0</v>
      </c>
      <c r="KJ417" s="561">
        <v>0</v>
      </c>
      <c r="KK417" s="561">
        <v>0</v>
      </c>
      <c r="KL417" s="561">
        <v>-5685</v>
      </c>
      <c r="KM417" s="561">
        <v>0</v>
      </c>
      <c r="KN417" s="561">
        <v>0</v>
      </c>
      <c r="KO417" s="561">
        <v>0</v>
      </c>
      <c r="KP417" s="561">
        <v>0</v>
      </c>
      <c r="KQ417" s="561">
        <v>0</v>
      </c>
      <c r="KR417" s="561">
        <v>5461</v>
      </c>
      <c r="KS417" s="561">
        <v>0</v>
      </c>
      <c r="KT417" s="561">
        <v>-5730</v>
      </c>
      <c r="KU417" s="561">
        <v>-269</v>
      </c>
      <c r="KV417" s="561">
        <v>0</v>
      </c>
      <c r="KW417" s="561">
        <v>0</v>
      </c>
      <c r="KX417" s="561">
        <v>0</v>
      </c>
      <c r="KY417" s="561">
        <v>0</v>
      </c>
      <c r="KZ417" s="561">
        <v>-206</v>
      </c>
      <c r="LA417" s="561">
        <v>475</v>
      </c>
      <c r="LB417" s="561">
        <v>0</v>
      </c>
      <c r="LC417" s="561">
        <v>0</v>
      </c>
      <c r="LD417" s="561">
        <v>0</v>
      </c>
      <c r="LE417" s="561">
        <v>0</v>
      </c>
      <c r="LF417" s="561">
        <v>0</v>
      </c>
      <c r="LG417" s="561">
        <v>0</v>
      </c>
      <c r="LH417" s="561">
        <v>0</v>
      </c>
      <c r="LI417" s="561">
        <v>0</v>
      </c>
      <c r="LJ417" s="561">
        <v>0</v>
      </c>
      <c r="LK417" s="561">
        <v>0</v>
      </c>
      <c r="LL417" s="561">
        <v>4295</v>
      </c>
      <c r="LM417" s="561">
        <v>142</v>
      </c>
      <c r="LN417" s="561">
        <v>0</v>
      </c>
      <c r="LO417" s="561">
        <v>0</v>
      </c>
      <c r="LP417" s="561">
        <v>0</v>
      </c>
      <c r="LQ417" s="561">
        <v>0</v>
      </c>
      <c r="LR417" s="561">
        <v>4089</v>
      </c>
      <c r="LS417" s="561">
        <v>617</v>
      </c>
      <c r="LT417" s="561">
        <v>0</v>
      </c>
      <c r="LU417" s="561">
        <v>230</v>
      </c>
      <c r="LV417" s="561">
        <v>0</v>
      </c>
      <c r="LW417" s="561">
        <v>615</v>
      </c>
      <c r="LX417" s="561">
        <v>-250</v>
      </c>
      <c r="LY417" s="561">
        <v>0</v>
      </c>
      <c r="LZ417" s="561">
        <v>595</v>
      </c>
      <c r="MA417" s="561">
        <v>0</v>
      </c>
      <c r="MB417" s="561">
        <v>0</v>
      </c>
      <c r="MC417" s="561">
        <v>0</v>
      </c>
      <c r="MD417" s="561">
        <v>0</v>
      </c>
      <c r="ME417" s="561">
        <v>0</v>
      </c>
      <c r="MF417" s="561">
        <v>0</v>
      </c>
      <c r="MG417" s="561">
        <v>0</v>
      </c>
      <c r="MH417" s="561">
        <v>0</v>
      </c>
      <c r="MI417" s="561">
        <v>0</v>
      </c>
      <c r="MJ417" s="561">
        <v>0</v>
      </c>
      <c r="MK417" s="561">
        <v>0</v>
      </c>
      <c r="ML417" s="561">
        <v>1094</v>
      </c>
      <c r="MM417" s="561">
        <v>569</v>
      </c>
      <c r="MN417" s="561">
        <v>2426</v>
      </c>
      <c r="MO417" s="561">
        <v>0</v>
      </c>
      <c r="MP417" s="561">
        <v>0</v>
      </c>
      <c r="MQ417" s="561">
        <v>0</v>
      </c>
      <c r="MR417" s="561">
        <v>-700</v>
      </c>
      <c r="MS417" s="561">
        <v>0</v>
      </c>
      <c r="MT417" s="561">
        <v>0</v>
      </c>
      <c r="MU417" s="561">
        <v>0</v>
      </c>
      <c r="MV417" s="561">
        <v>0</v>
      </c>
      <c r="MW417" s="561">
        <v>8975</v>
      </c>
      <c r="MX417" s="561">
        <v>133</v>
      </c>
      <c r="MY417" s="561">
        <v>697</v>
      </c>
      <c r="MZ417" s="561">
        <v>0</v>
      </c>
      <c r="NA417" s="561">
        <v>0</v>
      </c>
      <c r="NB417" s="561">
        <v>1904</v>
      </c>
      <c r="NC417" s="561">
        <v>0</v>
      </c>
      <c r="ND417" s="561">
        <v>11009</v>
      </c>
      <c r="NE417" s="561">
        <v>0</v>
      </c>
      <c r="NF417" s="561">
        <v>0</v>
      </c>
      <c r="NG417" s="561">
        <v>0</v>
      </c>
      <c r="NH417" s="561">
        <v>0</v>
      </c>
      <c r="NI417" s="561">
        <v>0</v>
      </c>
      <c r="NJ417" s="561">
        <v>0</v>
      </c>
      <c r="NK417" s="561">
        <v>0</v>
      </c>
      <c r="NL417" s="561">
        <v>0</v>
      </c>
      <c r="NM417" s="561">
        <v>0</v>
      </c>
      <c r="NN417" s="561">
        <v>0</v>
      </c>
      <c r="NO417" s="561">
        <v>0</v>
      </c>
      <c r="NP417" s="561">
        <v>0</v>
      </c>
      <c r="NQ417" s="561">
        <v>0</v>
      </c>
      <c r="NR417" s="561">
        <v>0</v>
      </c>
      <c r="NS417" s="561">
        <v>0</v>
      </c>
      <c r="NT417" s="561">
        <v>0</v>
      </c>
      <c r="NU417" s="561">
        <v>0</v>
      </c>
      <c r="NV417" s="561">
        <v>0</v>
      </c>
      <c r="NW417" s="561">
        <v>0</v>
      </c>
      <c r="NX417" s="561">
        <v>0</v>
      </c>
      <c r="NY417" s="561">
        <v>0</v>
      </c>
      <c r="NZ417" s="561">
        <v>0</v>
      </c>
      <c r="OA417" s="561">
        <v>0</v>
      </c>
      <c r="OB417" s="561">
        <v>0</v>
      </c>
      <c r="OC417" s="561">
        <v>0</v>
      </c>
      <c r="OD417" s="561">
        <v>0</v>
      </c>
      <c r="OE417" s="561">
        <v>0</v>
      </c>
      <c r="OF417" s="561">
        <v>0</v>
      </c>
      <c r="OG417" s="561">
        <v>0</v>
      </c>
      <c r="OH417" s="561">
        <v>0</v>
      </c>
      <c r="OI417" s="561">
        <v>0</v>
      </c>
      <c r="OJ417" s="561">
        <v>0</v>
      </c>
      <c r="OK417" s="561">
        <v>0</v>
      </c>
      <c r="OL417" s="561">
        <v>0</v>
      </c>
      <c r="OM417" s="561">
        <v>0</v>
      </c>
      <c r="ON417" s="561">
        <v>0</v>
      </c>
      <c r="OO417" s="561">
        <v>0</v>
      </c>
      <c r="OP417" s="561">
        <v>0</v>
      </c>
      <c r="OQ417" s="561">
        <v>0</v>
      </c>
      <c r="OR417" s="561">
        <v>0</v>
      </c>
      <c r="OS417" s="561">
        <v>0</v>
      </c>
      <c r="OT417" s="561">
        <v>0</v>
      </c>
      <c r="OU417" s="561">
        <v>0</v>
      </c>
      <c r="OV417" s="561">
        <v>0</v>
      </c>
      <c r="OW417" s="561">
        <v>0</v>
      </c>
      <c r="OX417" s="561">
        <v>0</v>
      </c>
      <c r="OY417" s="561">
        <v>0</v>
      </c>
      <c r="OZ417" s="561">
        <v>0</v>
      </c>
      <c r="PA417" s="561">
        <v>0</v>
      </c>
      <c r="PB417" s="561">
        <v>0</v>
      </c>
      <c r="PC417" s="561">
        <v>0</v>
      </c>
      <c r="PD417" s="561">
        <v>0</v>
      </c>
      <c r="PE417" s="561">
        <v>0</v>
      </c>
      <c r="PF417" s="561">
        <v>0</v>
      </c>
      <c r="PG417" s="561">
        <v>0</v>
      </c>
      <c r="PH417" s="561">
        <v>0</v>
      </c>
      <c r="PI417" s="561">
        <v>0</v>
      </c>
      <c r="PJ417" s="561">
        <v>0</v>
      </c>
    </row>
    <row r="418" spans="1:433" ht="14" x14ac:dyDescent="0.3">
      <c r="C418" s="315"/>
      <c r="D418" s="315"/>
      <c r="E418" s="1040"/>
      <c r="F418" s="940"/>
      <c r="G418" s="940"/>
      <c r="H418" s="940"/>
      <c r="I418" s="940"/>
      <c r="J418" s="940"/>
      <c r="K418" s="940"/>
      <c r="L418" s="940"/>
      <c r="M418" s="940"/>
      <c r="N418" s="940"/>
      <c r="O418" s="561"/>
      <c r="P418" s="561"/>
      <c r="Q418" s="561"/>
      <c r="R418" s="561"/>
      <c r="S418" s="561"/>
      <c r="T418" s="561"/>
      <c r="U418" s="561"/>
      <c r="V418" s="561"/>
      <c r="W418" s="561"/>
      <c r="X418" s="561"/>
      <c r="Y418" s="561"/>
      <c r="Z418" s="561"/>
      <c r="AA418" s="561"/>
      <c r="AB418" s="561"/>
      <c r="AC418" s="561"/>
      <c r="AD418" s="561"/>
      <c r="AE418" s="561"/>
      <c r="AF418" s="561"/>
      <c r="AG418" s="561"/>
      <c r="AH418" s="561"/>
      <c r="AI418" s="561"/>
      <c r="AJ418" s="561"/>
      <c r="AK418" s="561"/>
      <c r="AL418" s="561"/>
      <c r="AM418" s="561"/>
      <c r="AN418" s="561"/>
      <c r="AO418" s="561"/>
      <c r="AP418" s="561"/>
      <c r="AQ418" s="561"/>
      <c r="AR418" s="561"/>
      <c r="AS418" s="561"/>
      <c r="AT418" s="561"/>
      <c r="AU418" s="561"/>
      <c r="AV418" s="561"/>
      <c r="AW418" s="561"/>
      <c r="AX418" s="940"/>
      <c r="AY418" s="940"/>
      <c r="AZ418" s="940"/>
      <c r="BA418" s="940"/>
      <c r="BB418" s="940"/>
      <c r="BC418" s="940"/>
      <c r="BD418" s="940"/>
      <c r="BE418" s="940"/>
      <c r="BF418" s="940"/>
      <c r="BG418" s="940"/>
      <c r="BH418" s="940"/>
      <c r="BI418" s="940"/>
      <c r="BJ418" s="940"/>
      <c r="BK418" s="940"/>
      <c r="BL418" s="940"/>
      <c r="BM418" s="940"/>
      <c r="BN418" s="940"/>
      <c r="BO418" s="940"/>
      <c r="BP418" s="940"/>
      <c r="BQ418" s="940"/>
      <c r="BR418" s="940"/>
      <c r="BS418" s="940"/>
      <c r="BT418" s="940"/>
      <c r="BU418" s="940"/>
      <c r="BV418" s="940"/>
      <c r="BW418" s="940"/>
      <c r="BX418" s="940"/>
      <c r="BY418" s="940"/>
      <c r="BZ418" s="940"/>
      <c r="CA418" s="940"/>
      <c r="CB418" s="940"/>
      <c r="CC418" s="940"/>
      <c r="CD418" s="940"/>
      <c r="CE418" s="940"/>
      <c r="CF418" s="940"/>
      <c r="CG418" s="940"/>
      <c r="CH418" s="940"/>
      <c r="CI418" s="940"/>
      <c r="CJ418" s="940"/>
      <c r="CK418" s="940"/>
      <c r="CL418" s="940"/>
      <c r="CM418" s="940"/>
      <c r="CN418" s="940"/>
      <c r="CO418" s="940"/>
      <c r="CP418" s="940"/>
      <c r="CQ418" s="940"/>
      <c r="CR418" s="940"/>
      <c r="CS418" s="940"/>
      <c r="CT418" s="940"/>
      <c r="CU418" s="940"/>
      <c r="CV418" s="940"/>
      <c r="CW418" s="940"/>
      <c r="CX418" s="940"/>
      <c r="CY418" s="940"/>
      <c r="CZ418" s="940"/>
      <c r="DA418" s="940"/>
      <c r="DB418" s="940"/>
      <c r="DC418" s="940"/>
      <c r="DD418" s="940"/>
      <c r="DE418" s="940"/>
      <c r="DF418" s="940"/>
      <c r="DG418" s="940"/>
      <c r="DH418" s="940"/>
      <c r="DI418" s="940"/>
      <c r="DJ418" s="940"/>
      <c r="DK418" s="940"/>
      <c r="DL418" s="940"/>
      <c r="DM418" s="940"/>
      <c r="DN418" s="940"/>
      <c r="DO418" s="940"/>
      <c r="DP418" s="940"/>
      <c r="DQ418" s="940"/>
      <c r="DR418" s="940"/>
      <c r="DS418" s="940"/>
      <c r="DT418" s="940"/>
      <c r="DU418" s="940"/>
      <c r="DV418" s="561"/>
      <c r="DW418" s="561"/>
      <c r="DX418" s="561"/>
      <c r="DY418" s="561"/>
      <c r="DZ418" s="561"/>
      <c r="EA418" s="561"/>
      <c r="EB418" s="561"/>
      <c r="EC418" s="561"/>
      <c r="ED418" s="561"/>
      <c r="EE418" s="561"/>
      <c r="EF418" s="561"/>
      <c r="EG418" s="561"/>
      <c r="EH418" s="561"/>
      <c r="EI418" s="561"/>
      <c r="EJ418" s="561"/>
      <c r="EK418" s="561"/>
      <c r="EL418" s="561"/>
      <c r="EM418" s="561"/>
      <c r="EN418" s="561"/>
      <c r="EO418" s="561"/>
      <c r="EP418" s="561"/>
      <c r="EQ418" s="561"/>
      <c r="ER418" s="561"/>
      <c r="ES418" s="561"/>
      <c r="ET418" s="561"/>
      <c r="EU418" s="561"/>
      <c r="EV418" s="561"/>
      <c r="EW418" s="561"/>
      <c r="EX418" s="561"/>
      <c r="EY418" s="561"/>
      <c r="EZ418" s="940"/>
      <c r="FA418" s="940"/>
      <c r="FB418" s="940"/>
      <c r="FC418" s="940"/>
      <c r="FD418" s="940"/>
      <c r="FE418" s="940"/>
      <c r="FF418" s="940"/>
      <c r="FG418" s="940"/>
      <c r="FH418" s="940"/>
      <c r="FI418" s="940"/>
      <c r="FJ418" s="940"/>
      <c r="FK418" s="940"/>
      <c r="FL418" s="940"/>
      <c r="FM418" s="940"/>
      <c r="FN418" s="940"/>
      <c r="FO418" s="561"/>
      <c r="FP418" s="940"/>
      <c r="FQ418" s="940"/>
      <c r="FR418" s="940"/>
      <c r="FS418" s="940"/>
      <c r="FT418" s="940"/>
      <c r="FU418" s="940"/>
      <c r="FV418" s="940"/>
      <c r="FW418" s="940"/>
      <c r="FX418" s="940"/>
      <c r="FY418" s="940"/>
      <c r="FZ418" s="940"/>
      <c r="GA418" s="940"/>
      <c r="GB418" s="940"/>
      <c r="GC418" s="940"/>
      <c r="GD418" s="940"/>
      <c r="GE418" s="940"/>
      <c r="GF418" s="561"/>
      <c r="GG418" s="940"/>
      <c r="GH418" s="940"/>
      <c r="GI418" s="940"/>
      <c r="GJ418" s="940"/>
      <c r="GK418" s="940"/>
      <c r="GL418" s="940"/>
      <c r="GM418" s="940"/>
      <c r="GN418" s="940"/>
      <c r="GO418" s="940"/>
      <c r="GP418" s="940"/>
      <c r="GQ418" s="940"/>
      <c r="GR418" s="940"/>
      <c r="GS418" s="940"/>
      <c r="GT418" s="940"/>
      <c r="GU418" s="940"/>
      <c r="GV418" s="940"/>
      <c r="GW418" s="940"/>
      <c r="GX418" s="940"/>
      <c r="GY418" s="940"/>
      <c r="GZ418" s="940"/>
      <c r="HA418" s="940"/>
      <c r="HB418" s="940"/>
      <c r="HC418" s="940"/>
      <c r="HD418" s="940"/>
      <c r="HE418" s="940"/>
      <c r="HF418" s="940"/>
      <c r="HG418" s="940"/>
      <c r="HH418" s="940"/>
      <c r="HI418" s="940"/>
      <c r="HJ418" s="940"/>
      <c r="HK418" s="940"/>
      <c r="HL418" s="940"/>
      <c r="HM418" s="940"/>
      <c r="HN418" s="940"/>
      <c r="HO418" s="940"/>
      <c r="HP418" s="940"/>
      <c r="HQ418" s="940"/>
      <c r="HR418" s="940"/>
      <c r="HS418" s="940"/>
      <c r="HT418" s="940"/>
      <c r="HU418" s="940"/>
      <c r="HV418" s="940"/>
      <c r="HW418" s="940"/>
      <c r="HX418" s="940"/>
      <c r="HY418" s="940"/>
      <c r="HZ418" s="940"/>
      <c r="IA418" s="940"/>
      <c r="IB418" s="940"/>
      <c r="IC418" s="940"/>
      <c r="ID418" s="940"/>
      <c r="IE418" s="940"/>
      <c r="IF418" s="940"/>
      <c r="IG418" s="940"/>
      <c r="IH418" s="940"/>
      <c r="II418" s="940"/>
      <c r="IJ418" s="940"/>
      <c r="IK418" s="940"/>
      <c r="IL418" s="940"/>
      <c r="IM418" s="940"/>
      <c r="IN418" s="940"/>
      <c r="IO418" s="940"/>
      <c r="IP418" s="940"/>
      <c r="IQ418" s="940"/>
      <c r="IR418" s="940"/>
      <c r="IS418" s="940"/>
      <c r="IT418" s="940"/>
      <c r="IU418" s="940"/>
      <c r="IV418" s="940"/>
      <c r="IW418" s="940"/>
      <c r="IX418" s="940"/>
      <c r="IY418" s="940"/>
      <c r="IZ418" s="940"/>
      <c r="JA418" s="940"/>
      <c r="JB418" s="940"/>
      <c r="JC418" s="940"/>
      <c r="JD418" s="940"/>
      <c r="JE418" s="940"/>
      <c r="JF418" s="940"/>
      <c r="JG418" s="940"/>
      <c r="JH418" s="940"/>
      <c r="JI418" s="940"/>
      <c r="JJ418" s="940"/>
      <c r="JK418" s="940"/>
      <c r="JL418" s="940"/>
      <c r="JM418" s="940"/>
      <c r="JN418" s="940"/>
      <c r="JO418" s="940"/>
      <c r="JP418" s="940"/>
      <c r="JQ418" s="940"/>
      <c r="JR418" s="940"/>
      <c r="JS418" s="940"/>
      <c r="JT418" s="940"/>
      <c r="JU418" s="940"/>
      <c r="JV418" s="940"/>
      <c r="JW418" s="940"/>
      <c r="JX418" s="940"/>
      <c r="JY418" s="940"/>
      <c r="JZ418" s="940"/>
      <c r="KA418" s="940"/>
      <c r="KB418" s="940"/>
      <c r="KC418" s="940"/>
      <c r="KD418" s="940"/>
      <c r="KE418" s="940"/>
      <c r="KF418" s="940"/>
      <c r="KG418" s="940"/>
      <c r="KH418" s="940"/>
      <c r="KI418" s="940"/>
      <c r="KJ418" s="940"/>
      <c r="KK418" s="940"/>
      <c r="KL418" s="940"/>
      <c r="KM418" s="940"/>
      <c r="KN418" s="940"/>
      <c r="KO418" s="940"/>
      <c r="KP418" s="940"/>
      <c r="KQ418" s="940"/>
      <c r="KR418" s="940"/>
      <c r="KS418" s="940"/>
      <c r="KT418" s="940"/>
      <c r="KU418" s="940"/>
      <c r="KV418" s="940"/>
      <c r="KW418" s="940"/>
      <c r="KX418" s="940"/>
      <c r="KY418" s="940"/>
      <c r="KZ418" s="940"/>
      <c r="LA418" s="940"/>
      <c r="LB418" s="940"/>
      <c r="LC418" s="940"/>
      <c r="LD418" s="940"/>
      <c r="LE418" s="940"/>
      <c r="LF418" s="940"/>
      <c r="LG418" s="940"/>
      <c r="LH418" s="940"/>
      <c r="LI418" s="940"/>
      <c r="LJ418" s="940"/>
      <c r="LK418" s="940"/>
      <c r="LL418" s="940"/>
      <c r="LM418" s="940"/>
      <c r="LN418" s="940"/>
      <c r="LO418" s="940"/>
      <c r="LP418" s="940"/>
      <c r="LQ418" s="940"/>
      <c r="LR418" s="940"/>
      <c r="LS418" s="940"/>
      <c r="LT418" s="940"/>
      <c r="LU418" s="940"/>
      <c r="LV418" s="940"/>
      <c r="LW418" s="940"/>
      <c r="LX418" s="940"/>
      <c r="LY418" s="940"/>
      <c r="LZ418" s="940"/>
      <c r="MA418" s="940"/>
      <c r="MB418" s="940"/>
      <c r="MC418" s="940"/>
      <c r="MD418" s="940"/>
      <c r="ME418" s="940"/>
      <c r="MF418" s="940"/>
      <c r="MG418" s="940"/>
      <c r="MH418" s="940"/>
      <c r="MI418" s="940"/>
      <c r="MJ418" s="940"/>
      <c r="MK418" s="940"/>
      <c r="ML418" s="425"/>
      <c r="MM418" s="425"/>
      <c r="MN418" s="425"/>
      <c r="MO418" s="425"/>
      <c r="MP418" s="425"/>
      <c r="MQ418" s="940"/>
      <c r="MR418" s="940"/>
      <c r="MS418" s="940"/>
      <c r="MT418" s="940"/>
      <c r="MU418" s="940"/>
      <c r="MV418" s="940"/>
      <c r="MW418" s="940"/>
      <c r="MX418" s="940"/>
      <c r="MY418" s="940"/>
      <c r="MZ418" s="940"/>
      <c r="NA418" s="940"/>
      <c r="NB418" s="940"/>
      <c r="NC418" s="940"/>
      <c r="ND418" s="940"/>
      <c r="NE418" s="940"/>
      <c r="NF418" s="940"/>
      <c r="NG418" s="940"/>
      <c r="NH418" s="940"/>
      <c r="NI418" s="940"/>
      <c r="NJ418" s="940"/>
      <c r="NK418" s="940"/>
      <c r="NL418" s="940"/>
      <c r="NM418" s="940"/>
      <c r="NN418" s="940"/>
      <c r="NO418" s="940"/>
      <c r="NP418" s="940"/>
      <c r="NQ418" s="940"/>
      <c r="NR418" s="940"/>
      <c r="NS418" s="940"/>
      <c r="NT418" s="940"/>
      <c r="NU418" s="940"/>
      <c r="NV418" s="940"/>
      <c r="NW418" s="940"/>
      <c r="NX418" s="940"/>
      <c r="NY418" s="940"/>
      <c r="NZ418" s="940"/>
      <c r="OA418" s="940"/>
      <c r="OB418" s="940"/>
      <c r="OC418" s="940"/>
      <c r="OD418" s="940"/>
      <c r="OE418" s="940"/>
      <c r="OF418" s="940"/>
      <c r="OG418" s="940"/>
      <c r="OH418" s="940"/>
      <c r="OI418" s="940"/>
      <c r="OJ418" s="940"/>
      <c r="OK418" s="940"/>
      <c r="OL418" s="940"/>
      <c r="OM418" s="940"/>
      <c r="ON418" s="940"/>
      <c r="OO418" s="940"/>
      <c r="OP418" s="940"/>
      <c r="OQ418" s="940"/>
      <c r="OR418" s="940"/>
      <c r="OS418" s="940"/>
      <c r="OT418" s="940"/>
      <c r="OU418" s="940"/>
      <c r="OV418" s="940"/>
      <c r="OW418" s="940"/>
      <c r="OX418" s="940"/>
      <c r="OY418" s="940"/>
      <c r="OZ418" s="940"/>
      <c r="PA418" s="940"/>
      <c r="PB418" s="940"/>
      <c r="PC418" s="940"/>
      <c r="PD418" s="940"/>
      <c r="PE418" s="940"/>
      <c r="PF418" s="940"/>
      <c r="PG418" s="940"/>
      <c r="PH418" s="940"/>
      <c r="PI418" s="940"/>
      <c r="PJ418" s="940"/>
      <c r="PP418" s="425"/>
      <c r="PQ418" s="425"/>
    </row>
    <row r="419" spans="1:433" ht="14" x14ac:dyDescent="0.3">
      <c r="E419" s="1041"/>
      <c r="O419" s="561"/>
      <c r="P419" s="561"/>
      <c r="Q419" s="561"/>
      <c r="R419" s="561"/>
      <c r="S419" s="561"/>
      <c r="T419" s="561"/>
      <c r="U419" s="561"/>
      <c r="V419" s="561"/>
      <c r="W419" s="561"/>
      <c r="X419" s="561"/>
      <c r="Y419" s="561"/>
      <c r="Z419" s="561"/>
      <c r="AA419" s="561"/>
      <c r="AB419" s="561"/>
      <c r="AC419" s="561"/>
      <c r="AD419" s="561"/>
      <c r="AE419" s="561"/>
      <c r="AF419" s="561"/>
      <c r="AG419" s="561"/>
      <c r="AH419" s="561"/>
      <c r="AI419" s="561"/>
      <c r="AJ419" s="561"/>
      <c r="AK419" s="561"/>
      <c r="AL419" s="561"/>
      <c r="AM419" s="561"/>
      <c r="AN419" s="561"/>
      <c r="AO419" s="561"/>
      <c r="AP419" s="561"/>
      <c r="AQ419" s="561"/>
      <c r="AR419" s="561"/>
      <c r="AS419" s="561"/>
      <c r="AT419" s="561"/>
      <c r="AU419" s="561"/>
      <c r="AV419" s="561"/>
      <c r="AW419" s="561"/>
      <c r="DV419" s="561"/>
      <c r="DW419" s="561"/>
      <c r="DX419" s="561"/>
      <c r="DY419" s="561"/>
      <c r="DZ419" s="561"/>
      <c r="EA419" s="561"/>
      <c r="EB419" s="561"/>
      <c r="EC419" s="561"/>
      <c r="ED419" s="561"/>
      <c r="EE419" s="561"/>
      <c r="EF419" s="561"/>
      <c r="EG419" s="561"/>
      <c r="EH419" s="561"/>
      <c r="EI419" s="561"/>
      <c r="EJ419" s="561"/>
      <c r="EK419" s="561"/>
      <c r="EL419" s="561"/>
      <c r="EM419" s="561"/>
      <c r="EN419" s="561"/>
      <c r="EO419" s="561"/>
      <c r="EP419" s="561"/>
      <c r="EQ419" s="561"/>
      <c r="ER419" s="561"/>
      <c r="ES419" s="561"/>
      <c r="ET419" s="561"/>
      <c r="EU419" s="561"/>
      <c r="EV419" s="561"/>
      <c r="EW419" s="561"/>
      <c r="EX419" s="561"/>
      <c r="EY419" s="561"/>
    </row>
    <row r="420" spans="1:433" ht="14" x14ac:dyDescent="0.3">
      <c r="O420" s="561"/>
      <c r="P420" s="561"/>
      <c r="Q420" s="561"/>
      <c r="R420" s="561"/>
      <c r="S420" s="561"/>
      <c r="T420" s="561"/>
      <c r="U420" s="561"/>
      <c r="V420" s="561"/>
      <c r="W420" s="561"/>
      <c r="X420" s="561"/>
      <c r="Y420" s="561"/>
      <c r="Z420" s="561"/>
      <c r="AA420" s="561"/>
      <c r="AB420" s="561"/>
      <c r="AC420" s="561"/>
      <c r="AD420" s="561"/>
      <c r="AE420" s="561"/>
      <c r="AF420" s="561"/>
      <c r="AG420" s="561"/>
      <c r="AH420" s="561"/>
      <c r="AI420" s="561"/>
      <c r="AJ420" s="561"/>
      <c r="AK420" s="561"/>
      <c r="AL420" s="561"/>
      <c r="AM420" s="561"/>
      <c r="AN420" s="561"/>
      <c r="AO420" s="561"/>
      <c r="AP420" s="561"/>
      <c r="AQ420" s="561"/>
      <c r="AR420" s="561"/>
      <c r="AS420" s="561"/>
      <c r="AT420" s="561"/>
      <c r="AU420" s="561"/>
      <c r="AV420" s="561"/>
      <c r="AW420" s="561"/>
      <c r="DV420" s="561"/>
      <c r="DW420" s="561"/>
      <c r="DX420" s="561"/>
      <c r="DY420" s="561"/>
      <c r="DZ420" s="561"/>
      <c r="EA420" s="561"/>
      <c r="EB420" s="561"/>
      <c r="EC420" s="561"/>
      <c r="ED420" s="561"/>
      <c r="EE420" s="561"/>
      <c r="EF420" s="561"/>
      <c r="EG420" s="561"/>
      <c r="EH420" s="561"/>
      <c r="EI420" s="561"/>
      <c r="EJ420" s="561"/>
      <c r="EK420" s="561"/>
      <c r="EL420" s="561"/>
      <c r="EM420" s="561"/>
      <c r="EN420" s="561"/>
      <c r="EO420" s="561"/>
      <c r="EP420" s="561"/>
      <c r="EQ420" s="561"/>
      <c r="ER420" s="561"/>
      <c r="ES420" s="561"/>
      <c r="ET420" s="561"/>
      <c r="EU420" s="561"/>
      <c r="EV420" s="561"/>
      <c r="EW420" s="561"/>
      <c r="EX420" s="561"/>
      <c r="EY420" s="561"/>
    </row>
    <row r="421" spans="1:433" ht="14" x14ac:dyDescent="0.3">
      <c r="A421" s="315"/>
      <c r="B421" s="315"/>
      <c r="C421" s="315"/>
      <c r="D421" s="315"/>
      <c r="E421" s="315"/>
      <c r="O421" s="561"/>
      <c r="P421" s="561"/>
      <c r="Q421" s="561"/>
      <c r="R421" s="561"/>
      <c r="S421" s="561"/>
      <c r="T421" s="561"/>
      <c r="U421" s="561"/>
      <c r="V421" s="561"/>
      <c r="W421" s="561"/>
      <c r="X421" s="561"/>
      <c r="Y421" s="561"/>
      <c r="Z421" s="561"/>
      <c r="AA421" s="561"/>
      <c r="AB421" s="561"/>
      <c r="AC421" s="561"/>
      <c r="AD421" s="561"/>
      <c r="AE421" s="561"/>
      <c r="AF421" s="561"/>
      <c r="AG421" s="561"/>
      <c r="AH421" s="561"/>
      <c r="AI421" s="561"/>
      <c r="AJ421" s="561"/>
      <c r="AK421" s="561"/>
      <c r="AL421" s="561"/>
      <c r="AM421" s="561"/>
      <c r="AN421" s="561"/>
      <c r="AO421" s="561"/>
      <c r="AP421" s="561"/>
      <c r="AQ421" s="561"/>
      <c r="AR421" s="561"/>
      <c r="AS421" s="561"/>
      <c r="AT421" s="561"/>
      <c r="AU421" s="561"/>
      <c r="AV421" s="561"/>
      <c r="AW421" s="561"/>
      <c r="DV421" s="561"/>
      <c r="DW421" s="561"/>
      <c r="DX421" s="561"/>
      <c r="DY421" s="561"/>
      <c r="DZ421" s="561"/>
      <c r="EA421" s="561"/>
      <c r="EB421" s="561"/>
      <c r="EC421" s="561"/>
      <c r="ED421" s="561"/>
      <c r="EE421" s="561"/>
      <c r="EF421" s="561"/>
      <c r="EG421" s="561"/>
      <c r="EH421" s="561"/>
      <c r="EI421" s="561"/>
      <c r="EJ421" s="561"/>
      <c r="EK421" s="561"/>
      <c r="EL421" s="561"/>
      <c r="EM421" s="561"/>
      <c r="EN421" s="561"/>
      <c r="EO421" s="561"/>
      <c r="EP421" s="561"/>
      <c r="EQ421" s="561"/>
      <c r="ER421" s="561"/>
      <c r="ES421" s="561"/>
      <c r="ET421" s="561"/>
      <c r="EU421" s="561"/>
      <c r="EV421" s="561"/>
      <c r="EW421" s="561"/>
      <c r="EX421" s="561"/>
      <c r="EY421" s="561"/>
    </row>
    <row r="422" spans="1:433" ht="14" x14ac:dyDescent="0.3">
      <c r="O422" s="561"/>
      <c r="P422" s="561"/>
      <c r="Q422" s="561"/>
      <c r="R422" s="561"/>
      <c r="S422" s="561"/>
      <c r="T422" s="561"/>
      <c r="U422" s="561"/>
      <c r="V422" s="561"/>
      <c r="W422" s="561"/>
      <c r="X422" s="561"/>
      <c r="Y422" s="561"/>
      <c r="Z422" s="561"/>
      <c r="AA422" s="561"/>
      <c r="AB422" s="561"/>
      <c r="AC422" s="561"/>
      <c r="AD422" s="561"/>
      <c r="AE422" s="561"/>
      <c r="AF422" s="561"/>
      <c r="AG422" s="561"/>
      <c r="AH422" s="561"/>
      <c r="AI422" s="561"/>
      <c r="AJ422" s="561"/>
      <c r="AK422" s="561"/>
      <c r="AL422" s="561"/>
      <c r="AM422" s="561"/>
      <c r="AN422" s="561"/>
      <c r="AO422" s="561"/>
      <c r="AP422" s="561"/>
      <c r="AQ422" s="561"/>
      <c r="AR422" s="561"/>
      <c r="AS422" s="561"/>
      <c r="AT422" s="561"/>
      <c r="AU422" s="561"/>
      <c r="AV422" s="561"/>
      <c r="AW422" s="561"/>
    </row>
    <row r="424" spans="1:433" ht="13" x14ac:dyDescent="0.3">
      <c r="C424" s="315"/>
      <c r="D424" s="315"/>
    </row>
    <row r="429" spans="1:433" x14ac:dyDescent="0.25">
      <c r="A429" s="422"/>
      <c r="B429" s="422"/>
    </row>
    <row r="431" spans="1:433" ht="13" x14ac:dyDescent="0.3">
      <c r="C431" s="315"/>
      <c r="D431" s="315"/>
      <c r="E431" s="315"/>
    </row>
    <row r="432" spans="1:433" ht="12" customHeight="1" x14ac:dyDescent="0.25">
      <c r="HJ432" s="425"/>
    </row>
    <row r="435" spans="1:218" x14ac:dyDescent="0.25">
      <c r="A435" s="422"/>
      <c r="B435" s="422"/>
      <c r="C435" s="422"/>
      <c r="D435" s="1042"/>
      <c r="E435" s="1043"/>
    </row>
    <row r="436" spans="1:218" x14ac:dyDescent="0.25">
      <c r="D436" s="1042"/>
      <c r="E436" s="1044"/>
    </row>
    <row r="437" spans="1:218" x14ac:dyDescent="0.25">
      <c r="D437" s="1042"/>
      <c r="HJ437" s="706"/>
    </row>
    <row r="438" spans="1:218" ht="13" x14ac:dyDescent="0.3">
      <c r="D438" s="315"/>
      <c r="E438" s="315"/>
      <c r="F438" s="315"/>
      <c r="G438" s="315"/>
      <c r="H438" s="315"/>
      <c r="HJ438" s="707"/>
    </row>
    <row r="439" spans="1:218" x14ac:dyDescent="0.25">
      <c r="E439" s="1045"/>
      <c r="I439" s="707"/>
    </row>
    <row r="440" spans="1:218" x14ac:dyDescent="0.25">
      <c r="D440" s="1046"/>
    </row>
  </sheetData>
  <sheetProtection sheet="1" objects="1" scenarios="1"/>
  <autoFilter ref="A8:C417" xr:uid="{00000000-0001-0000-1200-000000000000}"/>
  <phoneticPr fontId="227"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codeName="Sheet23">
    <tabColor rgb="FF92D050"/>
  </sheetPr>
  <dimension ref="A1:Z2910"/>
  <sheetViews>
    <sheetView zoomScaleNormal="100" zoomScaleSheetLayoutView="90" workbookViewId="0">
      <pane xSplit="1" ySplit="1" topLeftCell="B2" activePane="bottomRight" state="frozen"/>
      <selection pane="topRight" activeCell="B1" sqref="B1:L1"/>
      <selection pane="bottomLeft" activeCell="B1" sqref="B1:L1"/>
      <selection pane="bottomRight" activeCell="B1" sqref="B1:L1"/>
    </sheetView>
  </sheetViews>
  <sheetFormatPr defaultColWidth="8.7265625" defaultRowHeight="12.5" x14ac:dyDescent="0.25"/>
  <cols>
    <col min="1" max="1" width="47.54296875" style="471" customWidth="1"/>
    <col min="2" max="2" width="15.81640625" style="475" customWidth="1"/>
    <col min="3" max="3" width="15.54296875" style="471" customWidth="1"/>
    <col min="4" max="4" width="15" style="471" bestFit="1" customWidth="1"/>
    <col min="5" max="5" width="18.453125" style="471" customWidth="1"/>
    <col min="6" max="6" width="19.81640625" style="471" customWidth="1"/>
    <col min="7" max="9" width="7.7265625" style="471" customWidth="1"/>
    <col min="10" max="10" width="27.1796875" style="471" customWidth="1"/>
    <col min="11" max="11" width="12" style="471" customWidth="1"/>
    <col min="12" max="12" width="15.81640625" style="471" customWidth="1"/>
    <col min="13" max="13" width="22.26953125" style="471" customWidth="1"/>
    <col min="14" max="15" width="18.1796875" style="471" customWidth="1"/>
    <col min="22" max="22" width="15.26953125" customWidth="1"/>
  </cols>
  <sheetData>
    <row r="1" spans="1:26" x14ac:dyDescent="0.25">
      <c r="A1" s="471" t="s">
        <v>4692</v>
      </c>
      <c r="B1" s="475" t="s">
        <v>4693</v>
      </c>
      <c r="C1" s="471" t="s">
        <v>4694</v>
      </c>
      <c r="D1" s="471" t="s">
        <v>4695</v>
      </c>
      <c r="E1" s="471" t="s">
        <v>4696</v>
      </c>
      <c r="F1" s="471" t="s">
        <v>4697</v>
      </c>
      <c r="G1" s="471" t="s">
        <v>4698</v>
      </c>
      <c r="H1" s="471" t="s">
        <v>4699</v>
      </c>
      <c r="J1" s="471" t="s">
        <v>4700</v>
      </c>
      <c r="K1" s="471" t="s">
        <v>4701</v>
      </c>
      <c r="L1" s="599" t="s">
        <v>4702</v>
      </c>
      <c r="M1" s="471" t="s">
        <v>4703</v>
      </c>
      <c r="N1" s="471" t="s">
        <v>4704</v>
      </c>
      <c r="O1" s="471" t="s">
        <v>4705</v>
      </c>
      <c r="X1" s="284"/>
      <c r="Z1" s="280"/>
    </row>
    <row r="2" spans="1:26" x14ac:dyDescent="0.25">
      <c r="A2" s="471" t="s">
        <v>1710</v>
      </c>
      <c r="B2" s="475" t="s">
        <v>4706</v>
      </c>
      <c r="L2" s="599"/>
    </row>
    <row r="3" spans="1:26" x14ac:dyDescent="0.25">
      <c r="A3" s="471" t="s">
        <v>4707</v>
      </c>
      <c r="B3" s="475">
        <v>1</v>
      </c>
      <c r="L3" s="599"/>
    </row>
    <row r="4" spans="1:26" x14ac:dyDescent="0.25">
      <c r="A4" s="471" t="s">
        <v>4708</v>
      </c>
      <c r="B4" s="708" t="str">
        <f>ContactDetails!E25</f>
        <v>Your Authority ONS Code will appear here!</v>
      </c>
      <c r="L4" s="599"/>
    </row>
    <row r="5" spans="1:26" x14ac:dyDescent="0.25">
      <c r="A5" s="471" t="s">
        <v>4709</v>
      </c>
      <c r="B5" s="475">
        <f>LA_info!C1</f>
        <v>202603</v>
      </c>
      <c r="L5" s="599"/>
    </row>
    <row r="6" spans="1:26" x14ac:dyDescent="0.25">
      <c r="A6" s="471" t="s">
        <v>4710</v>
      </c>
      <c r="B6" s="475" t="str">
        <f>IF(la_contact_name=0,"",la_contact_name)</f>
        <v/>
      </c>
      <c r="L6" s="599"/>
      <c r="M6" s="471" t="s">
        <v>4711</v>
      </c>
    </row>
    <row r="7" spans="1:26" x14ac:dyDescent="0.25">
      <c r="A7" s="471" t="s">
        <v>4712</v>
      </c>
      <c r="B7" s="475" t="str">
        <f>IF(la_contact_phone=0,"",la_contact_phone)</f>
        <v/>
      </c>
      <c r="L7" s="599"/>
      <c r="M7" s="471" t="s">
        <v>4713</v>
      </c>
    </row>
    <row r="8" spans="1:26" x14ac:dyDescent="0.25">
      <c r="A8" s="471" t="s">
        <v>4714</v>
      </c>
      <c r="B8" s="475" t="str">
        <f>IF(la_contact_email=0,"",la_contact_email)</f>
        <v/>
      </c>
      <c r="L8" s="599"/>
      <c r="M8" s="471" t="s">
        <v>4715</v>
      </c>
    </row>
    <row r="9" spans="1:26" x14ac:dyDescent="0.25">
      <c r="A9" s="471" t="s">
        <v>4716</v>
      </c>
      <c r="B9" s="475" t="str">
        <f>IF(la_contact_name_S151=0,"",la_contact_name_S151)</f>
        <v/>
      </c>
      <c r="L9" s="599"/>
      <c r="M9" s="471" t="s">
        <v>4717</v>
      </c>
    </row>
    <row r="10" spans="1:26" x14ac:dyDescent="0.25">
      <c r="A10" s="471" t="s">
        <v>4718</v>
      </c>
      <c r="B10" s="475" t="str">
        <f>IF(la_contact_phone_S151=0,"",la_contact_phone_S151)</f>
        <v/>
      </c>
      <c r="L10" s="599"/>
      <c r="M10" s="471" t="s">
        <v>4719</v>
      </c>
    </row>
    <row r="11" spans="1:26" x14ac:dyDescent="0.25">
      <c r="A11" s="471" t="s">
        <v>4720</v>
      </c>
      <c r="B11" s="475" t="str">
        <f>IF(la_contact_email_S151=0,"",la_contact_email_S151)</f>
        <v/>
      </c>
      <c r="L11" s="599"/>
      <c r="M11" s="471" t="s">
        <v>4721</v>
      </c>
    </row>
    <row r="12" spans="1:26" x14ac:dyDescent="0.25">
      <c r="A12" s="471" t="s">
        <v>4722</v>
      </c>
      <c r="B12" s="475">
        <f>IF(ContactDetails!C61="No, it is a different person",0,1)</f>
        <v>1</v>
      </c>
      <c r="L12" s="599"/>
    </row>
    <row r="13" spans="1:26" x14ac:dyDescent="0.25">
      <c r="A13" s="471" t="s">
        <v>4723</v>
      </c>
      <c r="B13" s="475" t="str">
        <f>IF(la_contact_name_cfo=0,"",la_contact_name_cfo)</f>
        <v/>
      </c>
      <c r="L13" s="599"/>
      <c r="M13" s="471" t="s">
        <v>4724</v>
      </c>
    </row>
    <row r="14" spans="1:26" x14ac:dyDescent="0.25">
      <c r="A14" s="471" t="s">
        <v>4725</v>
      </c>
      <c r="B14" s="602" t="str">
        <f>IF(la_contact_phone_cfo=0,"",la_contact_phone_cfo)</f>
        <v/>
      </c>
      <c r="L14" s="599"/>
      <c r="M14" s="471" t="s">
        <v>4726</v>
      </c>
    </row>
    <row r="15" spans="1:26" x14ac:dyDescent="0.25">
      <c r="A15" s="471" t="s">
        <v>4727</v>
      </c>
      <c r="B15" s="475" t="str">
        <f>IF(la_contact_email_cfo=0,"",la_contact_email_cfo)</f>
        <v/>
      </c>
      <c r="L15" s="599"/>
      <c r="M15" s="471" t="s">
        <v>4728</v>
      </c>
    </row>
    <row r="16" spans="1:26" x14ac:dyDescent="0.25">
      <c r="A16" s="471" t="s">
        <v>4729</v>
      </c>
      <c r="B16" s="475" t="str" cm="1">
        <f t="array" ref="B16">IF(la_contact_name_Cert=0,"",la_contact_name_Cert)</f>
        <v/>
      </c>
      <c r="L16" s="599"/>
      <c r="M16" s="471" t="s">
        <v>4730</v>
      </c>
    </row>
    <row r="17" spans="1:15" x14ac:dyDescent="0.25">
      <c r="A17" s="471" t="s">
        <v>4731</v>
      </c>
      <c r="B17" s="475" t="str">
        <f>IF(la_contact_Role_Cert=0,"",la_contact_Role_Cert)</f>
        <v>Click on arrow at the right end of this cell to select</v>
      </c>
      <c r="L17" s="599"/>
      <c r="M17" s="471" t="s">
        <v>4732</v>
      </c>
    </row>
    <row r="18" spans="1:15" x14ac:dyDescent="0.25">
      <c r="A18" s="471" t="s">
        <v>4733</v>
      </c>
      <c r="B18" s="475" t="str" cm="1">
        <f t="array" ref="B18">IF(la_contact_Other_Cert=0,"",la_contact_Other_Cert)</f>
        <v/>
      </c>
      <c r="L18" s="599"/>
      <c r="M18" s="471" t="s">
        <v>4734</v>
      </c>
    </row>
    <row r="19" spans="1:15" x14ac:dyDescent="0.25">
      <c r="A19" s="471" t="s">
        <v>4735</v>
      </c>
      <c r="B19" s="475" t="str">
        <f>IF(la_contact_Date_Cert=0,"",la_contact_Date_Cert)</f>
        <v/>
      </c>
      <c r="L19" s="599"/>
      <c r="M19" s="471" t="s">
        <v>4736</v>
      </c>
    </row>
    <row r="20" spans="1:15" x14ac:dyDescent="0.25">
      <c r="A20" s="471" t="s">
        <v>4737</v>
      </c>
      <c r="B20" s="475" t="str">
        <f>IF(la_contact_email_Cert=0,"",la_contact_email_Cert)</f>
        <v/>
      </c>
      <c r="L20" s="599"/>
      <c r="M20" s="471" t="s">
        <v>4738</v>
      </c>
    </row>
    <row r="21" spans="1:15" x14ac:dyDescent="0.25">
      <c r="A21" s="701" t="s">
        <v>4739</v>
      </c>
      <c r="B21" s="701" t="str">
        <f ca="1">INDEX(INDIRECT(LEFT($A21,SEARCH("-",$A21,1)-1)&amp;"_data"),MATCH(J21,INDIRECT(LEFT($A21,SEARCH("-",$A21,1)-1)&amp;"_rows"),0),MATCH(RIGHT($A21,LEN($A21)-LEN(LEFT($A21,SEARCH("#",SUBSTITUTE($A21,"-","#",H21),1)))),INDIRECT(LEFT($A21,SEARCH("-",$A21,1)-1)&amp;"_Header"),0))</f>
        <v>There are no outstanding errors or warnings with the RS section of the form. Thank you.</v>
      </c>
      <c r="C21" s="702"/>
      <c r="D21" s="702"/>
      <c r="E21" s="701"/>
      <c r="F21" s="701"/>
      <c r="G21" s="701"/>
      <c r="H21" s="701">
        <v>1</v>
      </c>
      <c r="I21" s="701">
        <v>0</v>
      </c>
      <c r="J21" s="701" t="s">
        <v>52</v>
      </c>
      <c r="K21" s="701" t="str">
        <f t="shared" ref="K21:K39" si="0">RIGHT($A21,LEN($A21)-SEARCH("#",SUBSTITUTE($A21,"-","#",H21),1))</f>
        <v>error</v>
      </c>
      <c r="L21" s="701" t="s">
        <v>4740</v>
      </c>
      <c r="M21" s="471" t="s">
        <v>4741</v>
      </c>
      <c r="N21" s="471" t="s">
        <v>50</v>
      </c>
      <c r="O21" s="471" t="s">
        <v>42</v>
      </c>
    </row>
    <row r="22" spans="1:15" x14ac:dyDescent="0.25">
      <c r="A22" s="471" t="s">
        <v>1712</v>
      </c>
      <c r="B22" s="1139">
        <f t="shared" ref="B22:B49" ca="1" si="1">INDEX(INDIRECT(LEFT($A22,SEARCH("-",$A22,1)-1)&amp;"_data"),MATCH(MID($A22,SEARCH("-",$A22)+1,SEARCH("#",SUBSTITUTE($A22,"-","#",H22),1)-(SEARCH("-",$A22)+1)),INDIRECT(LEFT($A22,SEARCH("-",$A22,1)-1)&amp;"_rows"),0),MATCH(RIGHT($A22,LEN($A22)-LEN(LEFT($A22,SEARCH("#",SUBSTITUTE($A22,"-","#",H22),1)))),INDIRECT(LEFT($A22,SEARCH("-",$A22,1)-1)&amp;"_Header"),0))</f>
        <v>0</v>
      </c>
      <c r="C22" s="473">
        <f t="shared" ref="C22:C85" ca="1" si="2">IF(ISERROR(VLOOKUP(A22,INDIRECT("notes_"&amp;LEFT(A22,2)),4,0)),0,VLOOKUP(A22,INDIRECT("notes_"&amp;LEFT(A22,2)),4,0))</f>
        <v>0</v>
      </c>
      <c r="D22" s="472" t="str">
        <f>RS!G30</f>
        <v/>
      </c>
      <c r="E22" s="472" t="e">
        <f>RS!H30</f>
        <v>#N/A</v>
      </c>
      <c r="F22" s="472" t="e">
        <f>RS!I30</f>
        <v>#N/A</v>
      </c>
      <c r="H22" s="471">
        <v>2</v>
      </c>
      <c r="I22" s="471">
        <v>0</v>
      </c>
      <c r="J22" s="471" t="str">
        <f t="shared" ref="J22:J39" si="3">MID($A22,SEARCH("-",$A22)+1,SEARCH("#",SUBSTITUTE($A22,"-","#",H22),1)-(SEARCH("-",$A22)+1))</f>
        <v>edu</v>
      </c>
      <c r="K22" s="471" t="str">
        <f t="shared" si="0"/>
        <v>net-exp</v>
      </c>
      <c r="L22" s="599"/>
      <c r="M22" s="471" t="s">
        <v>4741</v>
      </c>
      <c r="N22" s="471" t="s">
        <v>50</v>
      </c>
      <c r="O22" s="471" t="s">
        <v>42</v>
      </c>
    </row>
    <row r="23" spans="1:15" x14ac:dyDescent="0.25">
      <c r="A23" s="471" t="s">
        <v>1714</v>
      </c>
      <c r="B23" s="1139">
        <f t="shared" ca="1" si="1"/>
        <v>0</v>
      </c>
      <c r="C23" s="473">
        <f t="shared" ca="1" si="2"/>
        <v>0</v>
      </c>
      <c r="D23" s="472" t="str">
        <f>RS!G31</f>
        <v/>
      </c>
      <c r="E23" s="472" t="e">
        <f>RS!H31</f>
        <v>#N/A</v>
      </c>
      <c r="F23" s="472" t="e">
        <f>RS!I31</f>
        <v>#N/A</v>
      </c>
      <c r="H23" s="471">
        <v>2</v>
      </c>
      <c r="I23" s="471">
        <v>0</v>
      </c>
      <c r="J23" s="471" t="str">
        <f t="shared" si="3"/>
        <v>trans</v>
      </c>
      <c r="K23" s="471" t="str">
        <f t="shared" si="0"/>
        <v>net-exp</v>
      </c>
      <c r="L23" s="599"/>
      <c r="M23" s="471" t="s">
        <v>4741</v>
      </c>
      <c r="N23" s="471" t="s">
        <v>50</v>
      </c>
      <c r="O23" s="471" t="s">
        <v>42</v>
      </c>
    </row>
    <row r="24" spans="1:15" x14ac:dyDescent="0.25">
      <c r="A24" s="471" t="s">
        <v>1715</v>
      </c>
      <c r="B24" s="1139">
        <f t="shared" ca="1" si="1"/>
        <v>0</v>
      </c>
      <c r="C24" s="473">
        <f t="shared" ca="1" si="2"/>
        <v>0</v>
      </c>
      <c r="D24" s="472" t="str">
        <f>RS!G32</f>
        <v/>
      </c>
      <c r="E24" s="472" t="e">
        <f>RS!H32</f>
        <v>#N/A</v>
      </c>
      <c r="F24" s="472" t="e">
        <f>RS!I32</f>
        <v>#N/A</v>
      </c>
      <c r="H24" s="471">
        <v>2</v>
      </c>
      <c r="I24" s="471">
        <v>0</v>
      </c>
      <c r="J24" s="471" t="str">
        <f t="shared" si="3"/>
        <v>csc</v>
      </c>
      <c r="K24" s="471" t="str">
        <f t="shared" si="0"/>
        <v>net-exp</v>
      </c>
      <c r="L24" s="599"/>
      <c r="M24" s="471" t="s">
        <v>4741</v>
      </c>
      <c r="N24" s="471" t="s">
        <v>50</v>
      </c>
      <c r="O24" s="471" t="s">
        <v>42</v>
      </c>
    </row>
    <row r="25" spans="1:15" x14ac:dyDescent="0.25">
      <c r="A25" s="471" t="s">
        <v>1716</v>
      </c>
      <c r="B25" s="1139">
        <f t="shared" ca="1" si="1"/>
        <v>0</v>
      </c>
      <c r="C25" s="473">
        <f t="shared" ca="1" si="2"/>
        <v>0</v>
      </c>
      <c r="D25" s="472" t="str">
        <f>RS!G33</f>
        <v/>
      </c>
      <c r="E25" s="472" t="e">
        <f>RS!H33</f>
        <v>#N/A</v>
      </c>
      <c r="F25" s="472" t="e">
        <f>RS!I33</f>
        <v>#N/A</v>
      </c>
      <c r="H25" s="471">
        <v>2</v>
      </c>
      <c r="I25" s="471">
        <v>0</v>
      </c>
      <c r="J25" s="471" t="str">
        <f t="shared" si="3"/>
        <v>asc</v>
      </c>
      <c r="K25" s="471" t="str">
        <f t="shared" si="0"/>
        <v>net-exp</v>
      </c>
      <c r="L25" s="599"/>
      <c r="M25" s="471" t="s">
        <v>4741</v>
      </c>
      <c r="N25" s="471" t="s">
        <v>50</v>
      </c>
      <c r="O25" s="471" t="s">
        <v>42</v>
      </c>
    </row>
    <row r="26" spans="1:15" x14ac:dyDescent="0.25">
      <c r="A26" s="471" t="s">
        <v>1717</v>
      </c>
      <c r="B26" s="1139">
        <f t="shared" ca="1" si="1"/>
        <v>0</v>
      </c>
      <c r="C26" s="473">
        <f t="shared" ca="1" si="2"/>
        <v>0</v>
      </c>
      <c r="D26" s="472" t="str">
        <f>RS!G34</f>
        <v/>
      </c>
      <c r="E26" s="472" t="e">
        <f>RS!H34</f>
        <v>#N/A</v>
      </c>
      <c r="F26" s="472" t="e">
        <f>RS!I34</f>
        <v>#N/A</v>
      </c>
      <c r="H26" s="471">
        <v>2</v>
      </c>
      <c r="I26" s="471">
        <v>0</v>
      </c>
      <c r="J26" s="471" t="str">
        <f t="shared" si="3"/>
        <v>phs</v>
      </c>
      <c r="K26" s="471" t="str">
        <f t="shared" si="0"/>
        <v>net-exp</v>
      </c>
      <c r="L26" s="599"/>
      <c r="M26" s="471" t="s">
        <v>4741</v>
      </c>
      <c r="N26" s="471" t="s">
        <v>50</v>
      </c>
      <c r="O26" s="471" t="s">
        <v>42</v>
      </c>
    </row>
    <row r="27" spans="1:15" x14ac:dyDescent="0.25">
      <c r="A27" s="471" t="s">
        <v>1718</v>
      </c>
      <c r="B27" s="1139">
        <f t="shared" ca="1" si="1"/>
        <v>0</v>
      </c>
      <c r="C27" s="473">
        <f t="shared" ca="1" si="2"/>
        <v>0</v>
      </c>
      <c r="D27" s="472" t="str">
        <f>RS!G35</f>
        <v/>
      </c>
      <c r="E27" s="472" t="e">
        <f>RS!H35</f>
        <v>#N/A</v>
      </c>
      <c r="F27" s="472" t="e">
        <f>RS!I35</f>
        <v>#N/A</v>
      </c>
      <c r="H27" s="471">
        <v>2</v>
      </c>
      <c r="I27" s="471">
        <v>0</v>
      </c>
      <c r="J27" s="471" t="str">
        <f t="shared" si="3"/>
        <v>hous</v>
      </c>
      <c r="K27" s="471" t="str">
        <f t="shared" si="0"/>
        <v>net-exp</v>
      </c>
      <c r="L27" s="599"/>
      <c r="M27" s="471" t="s">
        <v>4741</v>
      </c>
      <c r="N27" s="471" t="s">
        <v>50</v>
      </c>
      <c r="O27" s="471" t="s">
        <v>42</v>
      </c>
    </row>
    <row r="28" spans="1:15" x14ac:dyDescent="0.25">
      <c r="A28" s="471" t="s">
        <v>1719</v>
      </c>
      <c r="B28" s="1139">
        <f t="shared" ca="1" si="1"/>
        <v>0</v>
      </c>
      <c r="C28" s="473">
        <f t="shared" ca="1" si="2"/>
        <v>0</v>
      </c>
      <c r="D28" s="472" t="str">
        <f>RS!G36</f>
        <v/>
      </c>
      <c r="E28" s="472" t="e">
        <f>RS!H36</f>
        <v>#N/A</v>
      </c>
      <c r="F28" s="472" t="e">
        <f>RS!I36</f>
        <v>#N/A</v>
      </c>
      <c r="H28" s="471">
        <v>2</v>
      </c>
      <c r="I28" s="471">
        <v>0</v>
      </c>
      <c r="J28" s="471" t="str">
        <f t="shared" si="3"/>
        <v>cul</v>
      </c>
      <c r="K28" s="471" t="str">
        <f t="shared" si="0"/>
        <v>net-exp</v>
      </c>
      <c r="L28" s="599"/>
      <c r="M28" s="471" t="s">
        <v>4741</v>
      </c>
      <c r="N28" s="471" t="s">
        <v>50</v>
      </c>
      <c r="O28" s="471" t="s">
        <v>42</v>
      </c>
    </row>
    <row r="29" spans="1:15" x14ac:dyDescent="0.25">
      <c r="A29" s="471" t="s">
        <v>1720</v>
      </c>
      <c r="B29" s="1139">
        <f t="shared" ca="1" si="1"/>
        <v>0</v>
      </c>
      <c r="C29" s="473">
        <f t="shared" ca="1" si="2"/>
        <v>0</v>
      </c>
      <c r="D29" s="472" t="str">
        <f>RS!G37</f>
        <v/>
      </c>
      <c r="E29" s="472" t="e">
        <f>RS!H37</f>
        <v>#N/A</v>
      </c>
      <c r="F29" s="472" t="e">
        <f>RS!I37</f>
        <v>#N/A</v>
      </c>
      <c r="H29" s="471">
        <v>2</v>
      </c>
      <c r="I29" s="471">
        <v>0</v>
      </c>
      <c r="J29" s="471" t="str">
        <f t="shared" si="3"/>
        <v>env</v>
      </c>
      <c r="K29" s="471" t="str">
        <f t="shared" si="0"/>
        <v>net-exp</v>
      </c>
      <c r="L29" s="599"/>
      <c r="M29" s="471" t="s">
        <v>4741</v>
      </c>
      <c r="N29" s="471" t="s">
        <v>50</v>
      </c>
      <c r="O29" s="471" t="s">
        <v>42</v>
      </c>
    </row>
    <row r="30" spans="1:15" x14ac:dyDescent="0.25">
      <c r="A30" s="471" t="s">
        <v>1721</v>
      </c>
      <c r="B30" s="1139">
        <f t="shared" ca="1" si="1"/>
        <v>0</v>
      </c>
      <c r="C30" s="473">
        <f t="shared" ca="1" si="2"/>
        <v>0</v>
      </c>
      <c r="D30" s="472" t="str">
        <f>RS!G38</f>
        <v/>
      </c>
      <c r="E30" s="472" t="e">
        <f>RS!H38</f>
        <v>#N/A</v>
      </c>
      <c r="F30" s="472" t="e">
        <f>RS!I38</f>
        <v>#N/A</v>
      </c>
      <c r="H30" s="471">
        <v>2</v>
      </c>
      <c r="I30" s="471">
        <v>0</v>
      </c>
      <c r="J30" s="471" t="str">
        <f t="shared" si="3"/>
        <v>plan</v>
      </c>
      <c r="K30" s="471" t="str">
        <f t="shared" si="0"/>
        <v>net-exp</v>
      </c>
      <c r="L30" s="599"/>
      <c r="M30" s="471" t="s">
        <v>4741</v>
      </c>
      <c r="N30" s="471" t="s">
        <v>50</v>
      </c>
      <c r="O30" s="471" t="s">
        <v>42</v>
      </c>
    </row>
    <row r="31" spans="1:15" x14ac:dyDescent="0.25">
      <c r="A31" s="471" t="s">
        <v>1722</v>
      </c>
      <c r="B31" s="1139">
        <f t="shared" ca="1" si="1"/>
        <v>0</v>
      </c>
      <c r="C31" s="473">
        <f t="shared" ca="1" si="2"/>
        <v>0</v>
      </c>
      <c r="D31" s="472" t="str">
        <f>RS!G39</f>
        <v/>
      </c>
      <c r="E31" s="472" t="e">
        <f>RS!H39</f>
        <v>#N/A</v>
      </c>
      <c r="F31" s="472" t="e">
        <f>RS!I39</f>
        <v>#N/A</v>
      </c>
      <c r="H31" s="471">
        <v>2</v>
      </c>
      <c r="I31" s="471">
        <v>0</v>
      </c>
      <c r="J31" s="471" t="str">
        <f t="shared" si="3"/>
        <v>pol</v>
      </c>
      <c r="K31" s="471" t="str">
        <f t="shared" si="0"/>
        <v>net-exp</v>
      </c>
      <c r="L31" s="599"/>
      <c r="M31" s="471" t="s">
        <v>4741</v>
      </c>
      <c r="N31" s="471" t="s">
        <v>50</v>
      </c>
      <c r="O31" s="471" t="s">
        <v>42</v>
      </c>
    </row>
    <row r="32" spans="1:15" x14ac:dyDescent="0.25">
      <c r="A32" s="471" t="s">
        <v>1723</v>
      </c>
      <c r="B32" s="1139">
        <f t="shared" ca="1" si="1"/>
        <v>0</v>
      </c>
      <c r="C32" s="473">
        <f t="shared" ca="1" si="2"/>
        <v>0</v>
      </c>
      <c r="D32" s="472" t="str">
        <f>RS!G40</f>
        <v/>
      </c>
      <c r="E32" s="472" t="e">
        <f>RS!H40</f>
        <v>#N/A</v>
      </c>
      <c r="F32" s="472" t="e">
        <f>RS!I40</f>
        <v>#N/A</v>
      </c>
      <c r="H32" s="471">
        <v>2</v>
      </c>
      <c r="I32" s="471">
        <v>0</v>
      </c>
      <c r="J32" s="471" t="str">
        <f t="shared" si="3"/>
        <v>frs</v>
      </c>
      <c r="K32" s="471" t="str">
        <f t="shared" si="0"/>
        <v>net-exp</v>
      </c>
      <c r="L32" s="599"/>
      <c r="M32" s="471" t="s">
        <v>4741</v>
      </c>
      <c r="N32" s="471" t="s">
        <v>50</v>
      </c>
      <c r="O32" s="471" t="s">
        <v>42</v>
      </c>
    </row>
    <row r="33" spans="1:15" x14ac:dyDescent="0.25">
      <c r="A33" s="471" t="s">
        <v>1724</v>
      </c>
      <c r="B33" s="1139">
        <f t="shared" ca="1" si="1"/>
        <v>0</v>
      </c>
      <c r="C33" s="473">
        <f t="shared" ca="1" si="2"/>
        <v>0</v>
      </c>
      <c r="D33" s="472" t="str">
        <f>RS!G41</f>
        <v/>
      </c>
      <c r="E33" s="472" t="e">
        <f>RS!H41</f>
        <v>#N/A</v>
      </c>
      <c r="F33" s="472" t="e">
        <f>RS!I41</f>
        <v>#N/A</v>
      </c>
      <c r="H33" s="471">
        <v>2</v>
      </c>
      <c r="I33" s="471">
        <v>0</v>
      </c>
      <c r="J33" s="471" t="str">
        <f t="shared" si="3"/>
        <v>cen</v>
      </c>
      <c r="K33" s="471" t="str">
        <f t="shared" si="0"/>
        <v>net-exp</v>
      </c>
      <c r="L33" s="599"/>
      <c r="M33" s="471" t="s">
        <v>4741</v>
      </c>
      <c r="N33" s="471" t="s">
        <v>50</v>
      </c>
      <c r="O33" s="471" t="s">
        <v>42</v>
      </c>
    </row>
    <row r="34" spans="1:15" x14ac:dyDescent="0.25">
      <c r="A34" s="471" t="s">
        <v>1725</v>
      </c>
      <c r="B34" s="1139">
        <f t="shared" ca="1" si="1"/>
        <v>0</v>
      </c>
      <c r="C34" s="473">
        <f t="shared" ca="1" si="2"/>
        <v>0</v>
      </c>
      <c r="D34" s="472" t="str">
        <f>RS!G42</f>
        <v/>
      </c>
      <c r="E34" s="472" t="str">
        <f>RS!H42</f>
        <v/>
      </c>
      <c r="F34" s="472" t="str">
        <f>RS!I42</f>
        <v/>
      </c>
      <c r="H34" s="471">
        <v>2</v>
      </c>
      <c r="I34" s="471">
        <v>0</v>
      </c>
      <c r="J34" s="471" t="str">
        <f t="shared" si="3"/>
        <v>oth</v>
      </c>
      <c r="K34" s="471" t="str">
        <f t="shared" si="0"/>
        <v>net-exp</v>
      </c>
      <c r="L34" s="599"/>
      <c r="M34" s="471" t="s">
        <v>4741</v>
      </c>
      <c r="N34" s="471" t="s">
        <v>50</v>
      </c>
      <c r="O34" s="471" t="s">
        <v>42</v>
      </c>
    </row>
    <row r="35" spans="1:15" x14ac:dyDescent="0.25">
      <c r="A35" s="471" t="s">
        <v>1726</v>
      </c>
      <c r="B35" s="1139">
        <f t="shared" ca="1" si="1"/>
        <v>0</v>
      </c>
      <c r="C35" s="473">
        <f t="shared" ca="1" si="2"/>
        <v>0</v>
      </c>
      <c r="D35" s="472" t="str">
        <f>RS!G43</f>
        <v/>
      </c>
      <c r="E35" s="472" t="str">
        <f>RS!H43</f>
        <v/>
      </c>
      <c r="F35" s="472" t="str">
        <f>RS!I43</f>
        <v/>
      </c>
      <c r="H35" s="471">
        <v>2</v>
      </c>
      <c r="I35" s="471">
        <v>0</v>
      </c>
      <c r="J35" s="471" t="str">
        <f t="shared" si="3"/>
        <v>totsx</v>
      </c>
      <c r="K35" s="471" t="str">
        <f t="shared" si="0"/>
        <v>net-exp</v>
      </c>
      <c r="L35" s="599"/>
      <c r="M35" s="471" t="s">
        <v>4741</v>
      </c>
      <c r="N35" s="471" t="s">
        <v>50</v>
      </c>
      <c r="O35" s="471" t="s">
        <v>42</v>
      </c>
    </row>
    <row r="36" spans="1:15" x14ac:dyDescent="0.25">
      <c r="A36" s="471" t="s">
        <v>1727</v>
      </c>
      <c r="B36" s="1139">
        <f t="shared" ca="1" si="1"/>
        <v>0</v>
      </c>
      <c r="C36" s="473">
        <f t="shared" ca="1" si="2"/>
        <v>0</v>
      </c>
      <c r="D36" s="472" t="str">
        <f>RS!G45</f>
        <v/>
      </c>
      <c r="E36" s="472" t="e">
        <f>RS!H45</f>
        <v>#N/A</v>
      </c>
      <c r="F36" s="472" t="e">
        <f>RS!I45</f>
        <v>#N/A</v>
      </c>
      <c r="H36" s="471">
        <v>2</v>
      </c>
      <c r="I36" s="471">
        <v>0</v>
      </c>
      <c r="J36" s="471" t="str">
        <f t="shared" si="3"/>
        <v>hbrent</v>
      </c>
      <c r="K36" s="471" t="str">
        <f t="shared" si="0"/>
        <v>net-exp</v>
      </c>
      <c r="L36" s="599"/>
      <c r="M36" s="471" t="s">
        <v>4741</v>
      </c>
      <c r="N36" s="471" t="s">
        <v>50</v>
      </c>
      <c r="O36" s="471" t="s">
        <v>42</v>
      </c>
    </row>
    <row r="37" spans="1:15" x14ac:dyDescent="0.25">
      <c r="A37" s="471" t="s">
        <v>1728</v>
      </c>
      <c r="B37" s="1139">
        <f t="shared" ca="1" si="1"/>
        <v>0</v>
      </c>
      <c r="C37" s="473">
        <f t="shared" ca="1" si="2"/>
        <v>0</v>
      </c>
      <c r="D37" s="472" t="str">
        <f>RS!G46</f>
        <v/>
      </c>
      <c r="E37" s="472" t="e">
        <f>RS!H46</f>
        <v>#N/A</v>
      </c>
      <c r="F37" s="472" t="e">
        <f>RS!I46</f>
        <v>#N/A</v>
      </c>
      <c r="H37" s="471">
        <v>2</v>
      </c>
      <c r="I37" s="471">
        <v>0</v>
      </c>
      <c r="J37" s="471" t="str">
        <f t="shared" si="3"/>
        <v>hbnreb</v>
      </c>
      <c r="K37" s="471" t="str">
        <f t="shared" si="0"/>
        <v>net-exp</v>
      </c>
      <c r="L37" s="599"/>
      <c r="M37" s="471" t="s">
        <v>4741</v>
      </c>
      <c r="N37" s="471" t="s">
        <v>50</v>
      </c>
      <c r="O37" s="471" t="s">
        <v>42</v>
      </c>
    </row>
    <row r="38" spans="1:15" x14ac:dyDescent="0.25">
      <c r="A38" s="471" t="s">
        <v>1729</v>
      </c>
      <c r="B38" s="1139">
        <f t="shared" ca="1" si="1"/>
        <v>0</v>
      </c>
      <c r="C38" s="473">
        <f t="shared" ca="1" si="2"/>
        <v>0</v>
      </c>
      <c r="D38" s="472" t="str">
        <f>RS!G47</f>
        <v/>
      </c>
      <c r="E38" s="472" t="str">
        <f>RS!H47</f>
        <v/>
      </c>
      <c r="F38" s="472" t="str">
        <f>RS!I47</f>
        <v/>
      </c>
      <c r="H38" s="471">
        <v>2</v>
      </c>
      <c r="I38" s="471">
        <v>0</v>
      </c>
      <c r="J38" s="471" t="str">
        <f t="shared" si="3"/>
        <v>hbhreb</v>
      </c>
      <c r="K38" s="471" t="str">
        <f t="shared" si="0"/>
        <v>net-exp</v>
      </c>
      <c r="L38" s="599"/>
      <c r="M38" s="471" t="s">
        <v>4741</v>
      </c>
      <c r="N38" s="471" t="s">
        <v>50</v>
      </c>
      <c r="O38" s="471" t="s">
        <v>42</v>
      </c>
    </row>
    <row r="39" spans="1:15" x14ac:dyDescent="0.25">
      <c r="A39" s="471" t="s">
        <v>1730</v>
      </c>
      <c r="B39" s="1139">
        <f t="shared" ca="1" si="1"/>
        <v>0</v>
      </c>
      <c r="C39" s="473">
        <f t="shared" ca="1" si="2"/>
        <v>0</v>
      </c>
      <c r="D39" s="472" t="str">
        <f>RS!G48</f>
        <v/>
      </c>
      <c r="E39" s="472" t="str">
        <f>RS!H48</f>
        <v/>
      </c>
      <c r="F39" s="472" t="str">
        <f>RS!I48</f>
        <v/>
      </c>
      <c r="H39" s="471">
        <v>2</v>
      </c>
      <c r="I39" s="471">
        <v>0</v>
      </c>
      <c r="J39" s="471" t="str">
        <f t="shared" si="3"/>
        <v>hbsubl</v>
      </c>
      <c r="K39" s="471" t="str">
        <f t="shared" si="0"/>
        <v>net-exp</v>
      </c>
      <c r="L39" s="599"/>
      <c r="M39" s="471" t="s">
        <v>4741</v>
      </c>
      <c r="N39" s="471" t="s">
        <v>50</v>
      </c>
      <c r="O39" s="471" t="s">
        <v>42</v>
      </c>
    </row>
    <row r="40" spans="1:15" x14ac:dyDescent="0.25">
      <c r="A40" s="471" t="s">
        <v>1731</v>
      </c>
      <c r="B40" s="1139">
        <f t="shared" ca="1" si="1"/>
        <v>0</v>
      </c>
      <c r="C40" s="473">
        <f t="shared" ca="1" si="2"/>
        <v>0</v>
      </c>
      <c r="D40" s="472" t="str">
        <f>RS!G49</f>
        <v/>
      </c>
      <c r="E40" s="472" t="str">
        <f>RS!H49</f>
        <v/>
      </c>
      <c r="F40" s="472" t="str">
        <f>RS!I49</f>
        <v/>
      </c>
      <c r="H40" s="471">
        <v>2</v>
      </c>
      <c r="I40" s="471">
        <v>0</v>
      </c>
      <c r="J40" s="471" t="str">
        <f t="shared" ref="J40:J101" si="4">MID($A40,SEARCH("-",$A40)+1,SEARCH("#",SUBSTITUTE($A40,"-","#",H40),1)-(SEARCH("-",$A40)+1))</f>
        <v>hbhrashare</v>
      </c>
      <c r="K40" s="471" t="str">
        <f t="shared" ref="K40:K101" si="5">RIGHT($A40,LEN($A40)-SEARCH("#",SUBSTITUTE($A40,"-","#",H40),1))</f>
        <v>net-exp</v>
      </c>
      <c r="L40" s="599"/>
      <c r="M40" s="471" t="s">
        <v>4741</v>
      </c>
      <c r="N40" s="471" t="s">
        <v>50</v>
      </c>
      <c r="O40" s="471" t="s">
        <v>42</v>
      </c>
    </row>
    <row r="41" spans="1:15" x14ac:dyDescent="0.25">
      <c r="A41" s="471" t="s">
        <v>1732</v>
      </c>
      <c r="B41" s="1139" t="e">
        <f t="shared" ca="1" si="1"/>
        <v>#N/A</v>
      </c>
      <c r="C41" s="473">
        <f t="shared" ca="1" si="2"/>
        <v>0</v>
      </c>
      <c r="D41" s="472" t="str">
        <f>RS!G52</f>
        <v/>
      </c>
      <c r="E41" s="472" t="e">
        <f>RS!H52</f>
        <v>#N/A</v>
      </c>
      <c r="F41" s="472" t="e">
        <f>RS!I52</f>
        <v>#N/A</v>
      </c>
      <c r="H41" s="471">
        <v>2</v>
      </c>
      <c r="I41" s="471">
        <v>0</v>
      </c>
      <c r="J41" s="471" t="str">
        <f t="shared" si="4"/>
        <v>parishaggprecept</v>
      </c>
      <c r="K41" s="471" t="str">
        <f t="shared" si="5"/>
        <v>net-exp</v>
      </c>
      <c r="L41" s="599"/>
      <c r="M41" s="471" t="s">
        <v>4741</v>
      </c>
      <c r="N41" s="471" t="s">
        <v>50</v>
      </c>
      <c r="O41" s="471" t="s">
        <v>42</v>
      </c>
    </row>
    <row r="42" spans="1:15" x14ac:dyDescent="0.25">
      <c r="A42" s="471" t="s">
        <v>1733</v>
      </c>
      <c r="B42" s="1139">
        <f t="shared" ca="1" si="1"/>
        <v>0</v>
      </c>
      <c r="C42" s="473">
        <f t="shared" ca="1" si="2"/>
        <v>0</v>
      </c>
      <c r="D42" s="472" t="str">
        <f>RS!G53</f>
        <v/>
      </c>
      <c r="E42" s="472" t="str">
        <f>RS!H53</f>
        <v/>
      </c>
      <c r="F42" s="472" t="str">
        <f>RS!I53</f>
        <v/>
      </c>
      <c r="H42" s="471">
        <v>2</v>
      </c>
      <c r="I42" s="471">
        <v>0</v>
      </c>
      <c r="J42" s="471" t="str">
        <f t="shared" si="4"/>
        <v>levyita</v>
      </c>
      <c r="K42" s="471" t="str">
        <f t="shared" si="5"/>
        <v>net-exp</v>
      </c>
      <c r="L42" s="599"/>
      <c r="M42" s="471" t="s">
        <v>4741</v>
      </c>
      <c r="N42" s="471" t="s">
        <v>50</v>
      </c>
      <c r="O42" s="471" t="s">
        <v>42</v>
      </c>
    </row>
    <row r="43" spans="1:15" x14ac:dyDescent="0.25">
      <c r="A43" s="471" t="s">
        <v>1734</v>
      </c>
      <c r="B43" s="1139">
        <f t="shared" ca="1" si="1"/>
        <v>0</v>
      </c>
      <c r="C43" s="473">
        <f t="shared" ca="1" si="2"/>
        <v>0</v>
      </c>
      <c r="D43" s="472" t="str">
        <f>RS!G54</f>
        <v/>
      </c>
      <c r="E43" s="472" t="str">
        <f>RS!H54</f>
        <v/>
      </c>
      <c r="F43" s="472" t="str">
        <f>RS!I54</f>
        <v/>
      </c>
      <c r="H43" s="471">
        <v>2</v>
      </c>
      <c r="I43" s="471">
        <v>0</v>
      </c>
      <c r="J43" s="471" t="str">
        <f t="shared" si="4"/>
        <v>levywaste</v>
      </c>
      <c r="K43" s="471" t="str">
        <f t="shared" si="5"/>
        <v>net-exp</v>
      </c>
      <c r="L43" s="599"/>
      <c r="M43" s="471" t="s">
        <v>4741</v>
      </c>
      <c r="N43" s="471" t="s">
        <v>50</v>
      </c>
      <c r="O43" s="471" t="s">
        <v>42</v>
      </c>
    </row>
    <row r="44" spans="1:15" x14ac:dyDescent="0.25">
      <c r="A44" s="471" t="s">
        <v>1735</v>
      </c>
      <c r="B44" s="1139">
        <f t="shared" ca="1" si="1"/>
        <v>0</v>
      </c>
      <c r="C44" s="473">
        <f t="shared" ca="1" si="2"/>
        <v>0</v>
      </c>
      <c r="D44" s="472" t="str">
        <f>RS!G55</f>
        <v/>
      </c>
      <c r="E44" s="472" t="e">
        <f>RS!H55</f>
        <v>#N/A</v>
      </c>
      <c r="F44" s="472" t="e">
        <f>RS!I55</f>
        <v>#N/A</v>
      </c>
      <c r="H44" s="471">
        <v>2</v>
      </c>
      <c r="I44" s="471">
        <v>0</v>
      </c>
      <c r="J44" s="471" t="str">
        <f t="shared" si="4"/>
        <v>levylonpen</v>
      </c>
      <c r="K44" s="471" t="str">
        <f t="shared" si="5"/>
        <v>net-exp</v>
      </c>
      <c r="L44" s="599"/>
      <c r="M44" s="471" t="s">
        <v>4741</v>
      </c>
      <c r="N44" s="471" t="s">
        <v>50</v>
      </c>
      <c r="O44" s="471" t="s">
        <v>42</v>
      </c>
    </row>
    <row r="45" spans="1:15" x14ac:dyDescent="0.25">
      <c r="A45" s="471" t="s">
        <v>1736</v>
      </c>
      <c r="B45" s="1139">
        <f t="shared" ca="1" si="1"/>
        <v>0</v>
      </c>
      <c r="C45" s="473">
        <f t="shared" ca="1" si="2"/>
        <v>0</v>
      </c>
      <c r="D45" s="472" t="str">
        <f>RS!G56</f>
        <v/>
      </c>
      <c r="E45" s="472" t="str">
        <f>RS!H56</f>
        <v/>
      </c>
      <c r="F45" s="472" t="str">
        <f>RS!I56</f>
        <v/>
      </c>
      <c r="H45" s="471">
        <v>2</v>
      </c>
      <c r="I45" s="471">
        <v>0</v>
      </c>
      <c r="J45" s="471" t="str">
        <f t="shared" si="4"/>
        <v>levyother</v>
      </c>
      <c r="K45" s="471" t="str">
        <f t="shared" si="5"/>
        <v>net-exp</v>
      </c>
      <c r="L45" s="599"/>
      <c r="M45" s="471" t="s">
        <v>4741</v>
      </c>
      <c r="N45" s="471" t="s">
        <v>50</v>
      </c>
      <c r="O45" s="471" t="s">
        <v>42</v>
      </c>
    </row>
    <row r="46" spans="1:15" x14ac:dyDescent="0.25">
      <c r="A46" s="471" t="s">
        <v>1737</v>
      </c>
      <c r="B46" s="1139">
        <f t="shared" ca="1" si="1"/>
        <v>0</v>
      </c>
      <c r="C46" s="473">
        <f t="shared" ca="1" si="2"/>
        <v>0</v>
      </c>
      <c r="D46" s="472" t="str">
        <f>RS!G57</f>
        <v/>
      </c>
      <c r="E46" s="472" t="str">
        <f>RS!H57</f>
        <v/>
      </c>
      <c r="F46" s="472" t="str">
        <f>RS!I57</f>
        <v/>
      </c>
      <c r="H46" s="471">
        <v>2</v>
      </c>
      <c r="I46" s="471">
        <v>0</v>
      </c>
      <c r="J46" s="471" t="str">
        <f t="shared" si="4"/>
        <v>tradaccext</v>
      </c>
      <c r="K46" s="471" t="str">
        <f t="shared" si="5"/>
        <v>net-exp</v>
      </c>
      <c r="L46" s="599"/>
      <c r="M46" s="471" t="s">
        <v>4741</v>
      </c>
      <c r="N46" s="471" t="s">
        <v>50</v>
      </c>
      <c r="O46" s="471" t="s">
        <v>42</v>
      </c>
    </row>
    <row r="47" spans="1:15" x14ac:dyDescent="0.25">
      <c r="A47" s="471" t="s">
        <v>1738</v>
      </c>
      <c r="B47" s="1139">
        <f t="shared" ca="1" si="1"/>
        <v>0</v>
      </c>
      <c r="C47" s="473">
        <f t="shared" ca="1" si="2"/>
        <v>0</v>
      </c>
      <c r="D47" s="472" t="str">
        <f>RS!G58</f>
        <v/>
      </c>
      <c r="E47" s="472" t="str">
        <f>RS!H58</f>
        <v/>
      </c>
      <c r="F47" s="472" t="str">
        <f>RS!I58</f>
        <v/>
      </c>
      <c r="H47" s="471">
        <v>2</v>
      </c>
      <c r="I47" s="471">
        <v>0</v>
      </c>
      <c r="J47" s="471" t="str">
        <f t="shared" si="4"/>
        <v>tradaccint</v>
      </c>
      <c r="K47" s="471" t="str">
        <f t="shared" si="5"/>
        <v>net-exp</v>
      </c>
      <c r="L47" s="599"/>
      <c r="M47" s="471" t="s">
        <v>4741</v>
      </c>
      <c r="N47" s="471" t="s">
        <v>50</v>
      </c>
      <c r="O47" s="471" t="s">
        <v>42</v>
      </c>
    </row>
    <row r="48" spans="1:15" x14ac:dyDescent="0.25">
      <c r="A48" s="471" t="s">
        <v>1739</v>
      </c>
      <c r="B48" s="1139">
        <f t="shared" ca="1" si="1"/>
        <v>0</v>
      </c>
      <c r="C48" s="473">
        <f t="shared" ca="1" si="2"/>
        <v>0</v>
      </c>
      <c r="D48" s="472" t="str">
        <f>RS!G59</f>
        <v/>
      </c>
      <c r="E48" s="472" t="str">
        <f>RS!H59</f>
        <v/>
      </c>
      <c r="F48" s="472" t="str">
        <f>RS!I59</f>
        <v/>
      </c>
      <c r="H48" s="471">
        <v>2</v>
      </c>
      <c r="I48" s="471">
        <v>0</v>
      </c>
      <c r="J48" s="471" t="str">
        <f t="shared" si="4"/>
        <v>tradcapext</v>
      </c>
      <c r="K48" s="471" t="str">
        <f t="shared" si="5"/>
        <v>net-exp</v>
      </c>
      <c r="L48" s="599"/>
      <c r="M48" s="471" t="s">
        <v>4741</v>
      </c>
      <c r="N48" s="471" t="s">
        <v>50</v>
      </c>
      <c r="O48" s="471" t="s">
        <v>42</v>
      </c>
    </row>
    <row r="49" spans="1:15" x14ac:dyDescent="0.25">
      <c r="A49" s="471" t="s">
        <v>1740</v>
      </c>
      <c r="B49" s="1139">
        <f t="shared" ca="1" si="1"/>
        <v>0</v>
      </c>
      <c r="C49" s="473">
        <f t="shared" ca="1" si="2"/>
        <v>0</v>
      </c>
      <c r="D49" s="472" t="str">
        <f>RS!G60</f>
        <v/>
      </c>
      <c r="E49" s="472" t="str">
        <f>RS!H60</f>
        <v/>
      </c>
      <c r="F49" s="472" t="str">
        <f>RS!I60</f>
        <v/>
      </c>
      <c r="H49" s="471">
        <v>2</v>
      </c>
      <c r="I49" s="471">
        <v>0</v>
      </c>
      <c r="J49" s="471" t="str">
        <f t="shared" si="4"/>
        <v>tradcapint</v>
      </c>
      <c r="K49" s="471" t="str">
        <f t="shared" si="5"/>
        <v>net-exp</v>
      </c>
      <c r="L49" s="599"/>
      <c r="M49" s="471" t="s">
        <v>4741</v>
      </c>
      <c r="N49" s="471" t="s">
        <v>50</v>
      </c>
      <c r="O49" s="471" t="s">
        <v>42</v>
      </c>
    </row>
    <row r="50" spans="1:15" x14ac:dyDescent="0.25">
      <c r="A50" s="471" t="s">
        <v>1741</v>
      </c>
      <c r="B50" s="1139">
        <f t="shared" ref="B50:B62" ca="1" si="6">INDEX(INDIRECT(LEFT($A50,SEARCH("-",$A50,1)-1)&amp;"_data"),MATCH(MID($A50,SEARCH("-",$A50)+1,SEARCH("#",SUBSTITUTE($A50,"-","#",H50),1)-(SEARCH("-",$A50)+1)),INDIRECT(LEFT($A50,SEARCH("-",$A50,1)-1)&amp;"_rows"),0),MATCH(RIGHT($A50,LEN($A50)-LEN(LEFT($A50,SEARCH("#",SUBSTITUTE($A50,"-","#",H50),1)))),INDIRECT(LEFT($A50,SEARCH("-",$A50,1)-1)&amp;"_Header"),0))</f>
        <v>0</v>
      </c>
      <c r="C50" s="473">
        <f t="shared" ca="1" si="2"/>
        <v>0</v>
      </c>
      <c r="D50" s="472" t="str">
        <f>RS!G61</f>
        <v/>
      </c>
      <c r="E50" s="472" t="str">
        <f>RS!H61</f>
        <v/>
      </c>
      <c r="F50" s="472" t="str">
        <f>RS!I61</f>
        <v/>
      </c>
      <c r="H50" s="471">
        <v>2</v>
      </c>
      <c r="I50" s="471">
        <v>0</v>
      </c>
      <c r="J50" s="471" t="str">
        <f t="shared" si="4"/>
        <v>accumul</v>
      </c>
      <c r="K50" s="471" t="str">
        <f t="shared" si="5"/>
        <v>net-exp</v>
      </c>
      <c r="L50" s="599"/>
      <c r="M50" s="471" t="s">
        <v>4741</v>
      </c>
      <c r="N50" s="471" t="s">
        <v>50</v>
      </c>
      <c r="O50" s="471" t="s">
        <v>42</v>
      </c>
    </row>
    <row r="51" spans="1:15" x14ac:dyDescent="0.25">
      <c r="A51" s="471" t="s">
        <v>1742</v>
      </c>
      <c r="B51" s="1139">
        <f t="shared" ca="1" si="6"/>
        <v>0</v>
      </c>
      <c r="C51" s="473">
        <f t="shared" ca="1" si="2"/>
        <v>0</v>
      </c>
      <c r="D51" s="472" t="str">
        <f>RS!G62</f>
        <v/>
      </c>
      <c r="E51" s="472" t="str">
        <f>RS!H62</f>
        <v/>
      </c>
      <c r="F51" s="472" t="str">
        <f>RS!I62</f>
        <v/>
      </c>
      <c r="H51" s="471">
        <v>2</v>
      </c>
      <c r="I51" s="471">
        <v>0</v>
      </c>
      <c r="J51" s="471" t="str">
        <f t="shared" si="4"/>
        <v>adjnce</v>
      </c>
      <c r="K51" s="471" t="str">
        <f t="shared" si="5"/>
        <v>net-exp</v>
      </c>
      <c r="L51" s="599"/>
      <c r="M51" s="471" t="s">
        <v>4741</v>
      </c>
      <c r="N51" s="471" t="s">
        <v>50</v>
      </c>
      <c r="O51" s="471" t="s">
        <v>42</v>
      </c>
    </row>
    <row r="52" spans="1:15" x14ac:dyDescent="0.25">
      <c r="A52" s="471" t="s">
        <v>1743</v>
      </c>
      <c r="B52" s="1139" t="e">
        <f t="shared" ca="1" si="6"/>
        <v>#N/A</v>
      </c>
      <c r="C52" s="473">
        <f t="shared" ca="1" si="2"/>
        <v>0</v>
      </c>
      <c r="D52" s="472" t="str">
        <f>RS!G63</f>
        <v/>
      </c>
      <c r="E52" s="472" t="str">
        <f>RS!H63</f>
        <v/>
      </c>
      <c r="F52" s="472">
        <f>RS!I63</f>
        <v>0</v>
      </c>
      <c r="H52" s="471">
        <v>2</v>
      </c>
      <c r="I52" s="471">
        <v>0</v>
      </c>
      <c r="J52" s="471" t="str">
        <f t="shared" si="4"/>
        <v>netcurrtot</v>
      </c>
      <c r="K52" s="471" t="str">
        <f t="shared" si="5"/>
        <v>net-exp</v>
      </c>
      <c r="L52" s="599"/>
      <c r="M52" s="471" t="s">
        <v>4741</v>
      </c>
      <c r="N52" s="471" t="s">
        <v>50</v>
      </c>
      <c r="O52" s="471" t="s">
        <v>42</v>
      </c>
    </row>
    <row r="53" spans="1:15" x14ac:dyDescent="0.25">
      <c r="A53" s="471" t="s">
        <v>1744</v>
      </c>
      <c r="B53" s="1139">
        <f t="shared" ca="1" si="6"/>
        <v>0</v>
      </c>
      <c r="C53" s="473">
        <f t="shared" ca="1" si="2"/>
        <v>0</v>
      </c>
      <c r="D53" s="472" t="str">
        <f>RS!G65</f>
        <v/>
      </c>
      <c r="E53" s="472" t="e">
        <f>RS!H65</f>
        <v>#N/A</v>
      </c>
      <c r="F53" s="472" t="e">
        <f>RS!I65</f>
        <v>#N/A</v>
      </c>
      <c r="H53" s="471">
        <v>2</v>
      </c>
      <c r="I53" s="471">
        <v>0</v>
      </c>
      <c r="J53" s="471" t="str">
        <f t="shared" si="4"/>
        <v>levyflood</v>
      </c>
      <c r="K53" s="471" t="str">
        <f t="shared" si="5"/>
        <v>net-exp</v>
      </c>
      <c r="L53" s="599"/>
      <c r="M53" s="471" t="s">
        <v>4741</v>
      </c>
      <c r="N53" s="471" t="s">
        <v>50</v>
      </c>
      <c r="O53" s="471" t="s">
        <v>42</v>
      </c>
    </row>
    <row r="54" spans="1:15" x14ac:dyDescent="0.25">
      <c r="A54" s="471" t="s">
        <v>1745</v>
      </c>
      <c r="B54" s="1139">
        <f t="shared" ca="1" si="6"/>
        <v>0</v>
      </c>
      <c r="C54" s="473">
        <f t="shared" ca="1" si="2"/>
        <v>0</v>
      </c>
      <c r="D54" s="472" t="str">
        <f>RS!G66</f>
        <v/>
      </c>
      <c r="E54" s="472" t="e">
        <f>RS!H66</f>
        <v>#N/A</v>
      </c>
      <c r="F54" s="472" t="e">
        <f>RS!I66</f>
        <v>#N/A</v>
      </c>
      <c r="G54" s="472">
        <f>RS!J66</f>
        <v>0</v>
      </c>
      <c r="H54" s="471">
        <v>2</v>
      </c>
      <c r="I54" s="471">
        <v>0</v>
      </c>
      <c r="J54" s="471" t="str">
        <f t="shared" si="4"/>
        <v>cera</v>
      </c>
      <c r="K54" s="471" t="str">
        <f t="shared" si="5"/>
        <v>net-exp</v>
      </c>
      <c r="L54" s="599" t="s">
        <v>4742</v>
      </c>
      <c r="M54" s="471" t="s">
        <v>4741</v>
      </c>
      <c r="N54" s="471" t="s">
        <v>50</v>
      </c>
      <c r="O54" s="471" t="s">
        <v>42</v>
      </c>
    </row>
    <row r="55" spans="1:15" x14ac:dyDescent="0.25">
      <c r="A55" s="471" t="s">
        <v>1746</v>
      </c>
      <c r="B55" s="1139">
        <f t="shared" ca="1" si="6"/>
        <v>0</v>
      </c>
      <c r="C55" s="473">
        <f t="shared" ca="1" si="2"/>
        <v>0</v>
      </c>
      <c r="D55" s="472" t="str">
        <f>RS!G67</f>
        <v/>
      </c>
      <c r="E55" s="472" t="e">
        <f>RS!H67</f>
        <v>#N/A</v>
      </c>
      <c r="F55" s="472" t="e">
        <f>RS!I67</f>
        <v>#N/A</v>
      </c>
      <c r="H55" s="471">
        <v>2</v>
      </c>
      <c r="I55" s="471">
        <v>0</v>
      </c>
      <c r="J55" s="471" t="str">
        <f t="shared" si="4"/>
        <v>ceraph</v>
      </c>
      <c r="K55" s="471" t="str">
        <f t="shared" si="5"/>
        <v>net-exp</v>
      </c>
      <c r="L55" s="599"/>
      <c r="M55" s="471" t="s">
        <v>4741</v>
      </c>
      <c r="N55" s="471" t="s">
        <v>50</v>
      </c>
      <c r="O55" s="471" t="s">
        <v>42</v>
      </c>
    </row>
    <row r="56" spans="1:15" x14ac:dyDescent="0.25">
      <c r="A56" s="471" t="s">
        <v>1747</v>
      </c>
      <c r="B56" s="1139">
        <f t="shared" ca="1" si="6"/>
        <v>0</v>
      </c>
      <c r="C56" s="473">
        <f t="shared" ca="1" si="2"/>
        <v>0</v>
      </c>
      <c r="D56" s="472" t="str">
        <f>RS!G68</f>
        <v/>
      </c>
      <c r="E56" s="472" t="str">
        <f>RS!H68</f>
        <v/>
      </c>
      <c r="F56" s="472" t="e">
        <f>RS!I68</f>
        <v>#N/A</v>
      </c>
      <c r="H56" s="471">
        <v>2</v>
      </c>
      <c r="I56" s="471">
        <v>0</v>
      </c>
      <c r="J56" s="471" t="str">
        <f t="shared" si="4"/>
        <v>caprecflex</v>
      </c>
      <c r="K56" s="471" t="str">
        <f t="shared" si="5"/>
        <v>net-exp</v>
      </c>
      <c r="L56" s="599"/>
      <c r="M56" s="471" t="s">
        <v>4741</v>
      </c>
      <c r="N56" s="471" t="s">
        <v>50</v>
      </c>
      <c r="O56" s="471" t="s">
        <v>42</v>
      </c>
    </row>
    <row r="57" spans="1:15" x14ac:dyDescent="0.25">
      <c r="A57" s="471" t="s">
        <v>1748</v>
      </c>
      <c r="B57" s="1139">
        <f t="shared" ca="1" si="6"/>
        <v>0</v>
      </c>
      <c r="C57" s="473">
        <f t="shared" ca="1" si="2"/>
        <v>0</v>
      </c>
      <c r="D57" s="472" t="str">
        <f>RS!G69</f>
        <v/>
      </c>
      <c r="E57" s="472" t="str">
        <f>RS!H69</f>
        <v/>
      </c>
      <c r="F57" s="472" t="str">
        <f>RS!I69</f>
        <v/>
      </c>
      <c r="H57" s="471">
        <v>2</v>
      </c>
      <c r="I57" s="471">
        <v>0</v>
      </c>
      <c r="J57" s="471" t="str">
        <f t="shared" si="4"/>
        <v>adjexpcap</v>
      </c>
      <c r="K57" s="471" t="str">
        <f t="shared" si="5"/>
        <v>net-exp</v>
      </c>
      <c r="L57" s="599"/>
      <c r="M57" s="471" t="s">
        <v>4741</v>
      </c>
      <c r="N57" s="471" t="s">
        <v>50</v>
      </c>
      <c r="O57" s="471" t="s">
        <v>42</v>
      </c>
    </row>
    <row r="58" spans="1:15" x14ac:dyDescent="0.25">
      <c r="A58" s="471" t="s">
        <v>1749</v>
      </c>
      <c r="B58" s="1139">
        <f t="shared" ca="1" si="6"/>
        <v>0</v>
      </c>
      <c r="C58" s="473">
        <f t="shared" ca="1" si="2"/>
        <v>0</v>
      </c>
      <c r="D58" s="472" t="str">
        <f>RS!G70</f>
        <v/>
      </c>
      <c r="E58" s="471" t="str">
        <f>RS!H70</f>
        <v/>
      </c>
      <c r="F58" s="471" t="str">
        <f>RS!I70</f>
        <v/>
      </c>
      <c r="H58" s="471">
        <v>2</v>
      </c>
      <c r="I58" s="471">
        <v>0</v>
      </c>
      <c r="J58" s="471" t="str">
        <f t="shared" si="4"/>
        <v>provbad</v>
      </c>
      <c r="K58" s="471" t="str">
        <f t="shared" si="5"/>
        <v>net-exp</v>
      </c>
      <c r="L58" s="599"/>
      <c r="M58" s="471" t="s">
        <v>4741</v>
      </c>
      <c r="N58" s="471" t="s">
        <v>50</v>
      </c>
      <c r="O58" s="471" t="s">
        <v>42</v>
      </c>
    </row>
    <row r="59" spans="1:15" x14ac:dyDescent="0.25">
      <c r="A59" s="471" t="s">
        <v>1750</v>
      </c>
      <c r="B59" s="1139">
        <f t="shared" ca="1" si="6"/>
        <v>0</v>
      </c>
      <c r="C59" s="473">
        <f t="shared" ca="1" si="2"/>
        <v>0</v>
      </c>
      <c r="D59" s="472" t="str">
        <f>RS!G71</f>
        <v/>
      </c>
      <c r="E59" s="471" t="str">
        <f>RS!H71</f>
        <v/>
      </c>
      <c r="F59" s="471" t="str">
        <f>RS!I71</f>
        <v/>
      </c>
      <c r="H59" s="471">
        <v>2</v>
      </c>
      <c r="I59" s="471">
        <v>0</v>
      </c>
      <c r="J59" s="471" t="str">
        <f t="shared" si="4"/>
        <v>provprin</v>
      </c>
      <c r="K59" s="471" t="str">
        <f t="shared" si="5"/>
        <v>net-exp</v>
      </c>
      <c r="L59" s="599"/>
      <c r="M59" s="471" t="s">
        <v>4741</v>
      </c>
      <c r="N59" s="471" t="s">
        <v>50</v>
      </c>
      <c r="O59" s="471" t="s">
        <v>42</v>
      </c>
    </row>
    <row r="60" spans="1:15" x14ac:dyDescent="0.25">
      <c r="A60" s="471" t="s">
        <v>1751</v>
      </c>
      <c r="B60" s="1139">
        <f t="shared" ca="1" si="6"/>
        <v>0</v>
      </c>
      <c r="C60" s="473">
        <f t="shared" ca="1" si="2"/>
        <v>0</v>
      </c>
      <c r="D60" s="472" t="str">
        <f>RS!G72</f>
        <v/>
      </c>
      <c r="E60" s="471" t="str">
        <f>RS!H72</f>
        <v/>
      </c>
      <c r="F60" s="471" t="str">
        <f>RS!I72</f>
        <v/>
      </c>
      <c r="H60" s="471">
        <v>2</v>
      </c>
      <c r="I60" s="471">
        <v>0</v>
      </c>
      <c r="J60" s="471" t="str">
        <f t="shared" si="4"/>
        <v>leasing</v>
      </c>
      <c r="K60" s="471" t="str">
        <f t="shared" si="5"/>
        <v>net-exp</v>
      </c>
      <c r="L60" s="599"/>
      <c r="M60" s="471" t="s">
        <v>4741</v>
      </c>
      <c r="N60" s="471" t="s">
        <v>50</v>
      </c>
      <c r="O60" s="471" t="s">
        <v>42</v>
      </c>
    </row>
    <row r="61" spans="1:15" x14ac:dyDescent="0.25">
      <c r="A61" s="471" t="s">
        <v>1752</v>
      </c>
      <c r="B61" s="1139" t="e">
        <f t="shared" ca="1" si="6"/>
        <v>#N/A</v>
      </c>
      <c r="C61" s="473">
        <f t="shared" ca="1" si="2"/>
        <v>0</v>
      </c>
      <c r="D61" s="472" t="str">
        <f>RS!G73</f>
        <v/>
      </c>
      <c r="E61" s="471" t="e">
        <f>RS!H73</f>
        <v>#N/A</v>
      </c>
      <c r="F61" s="471" t="e">
        <f>RS!I73</f>
        <v>#N/A</v>
      </c>
      <c r="G61" s="471" t="e">
        <f>RS!J73</f>
        <v>#N/A</v>
      </c>
      <c r="H61" s="471">
        <v>2</v>
      </c>
      <c r="I61" s="471">
        <v>0</v>
      </c>
      <c r="J61" s="471" t="str">
        <f t="shared" si="4"/>
        <v>intextpay</v>
      </c>
      <c r="K61" s="471" t="str">
        <f t="shared" si="5"/>
        <v>net-exp</v>
      </c>
      <c r="L61" s="599"/>
      <c r="M61" s="471" t="s">
        <v>4741</v>
      </c>
      <c r="N61" s="471" t="s">
        <v>50</v>
      </c>
      <c r="O61" s="471" t="s">
        <v>42</v>
      </c>
    </row>
    <row r="62" spans="1:15" x14ac:dyDescent="0.25">
      <c r="A62" s="471" t="s">
        <v>1753</v>
      </c>
      <c r="B62" s="1139">
        <f t="shared" ca="1" si="6"/>
        <v>0</v>
      </c>
      <c r="C62" s="473">
        <f t="shared" ca="1" si="2"/>
        <v>0</v>
      </c>
      <c r="D62" s="472" t="str">
        <f>RS!G74</f>
        <v/>
      </c>
      <c r="E62" s="471" t="str">
        <f>RS!H74</f>
        <v/>
      </c>
      <c r="F62" s="471" t="str">
        <f>RS!I74</f>
        <v/>
      </c>
      <c r="H62" s="471">
        <v>2</v>
      </c>
      <c r="I62" s="471">
        <v>0</v>
      </c>
      <c r="J62" s="471" t="str">
        <f t="shared" si="4"/>
        <v>inthrapay</v>
      </c>
      <c r="K62" s="471" t="str">
        <f t="shared" si="5"/>
        <v>net-exp</v>
      </c>
      <c r="L62" s="599"/>
      <c r="M62" s="471" t="s">
        <v>4741</v>
      </c>
      <c r="N62" s="471" t="s">
        <v>50</v>
      </c>
      <c r="O62" s="471" t="s">
        <v>42</v>
      </c>
    </row>
    <row r="63" spans="1:15" x14ac:dyDescent="0.25">
      <c r="A63" s="471" t="s">
        <v>1754</v>
      </c>
      <c r="B63" s="1139" t="e">
        <f t="shared" ref="B63:B83" ca="1" si="7">INDEX(INDIRECT(LEFT($A63,SEARCH("-",$A63,1)-1)&amp;"_data"),MATCH(MID($A63,SEARCH("-",$A63)+1,SEARCH("#",SUBSTITUTE($A63,"-","#",H63),1)-(SEARCH("-",$A63)+1)),INDIRECT(LEFT($A63,SEARCH("-",$A63,1)-1)&amp;"_rows"),0),MATCH(RIGHT($A63,LEN($A63)-LEN(LEFT($A63,SEARCH("#",SUBSTITUTE($A63,"-","#",H63),1)))),INDIRECT(LEFT($A63,SEARCH("-",$A63,1)-1)&amp;"_Header"),0))</f>
        <v>#N/A</v>
      </c>
      <c r="C63" s="473">
        <f t="shared" ca="1" si="2"/>
        <v>0</v>
      </c>
      <c r="D63" s="472"/>
      <c r="H63" s="471">
        <v>3</v>
      </c>
      <c r="I63" s="471">
        <v>0</v>
      </c>
      <c r="J63" s="471" t="str">
        <f t="shared" si="4"/>
        <v>sub-tot</v>
      </c>
      <c r="K63" s="471" t="str">
        <f t="shared" si="5"/>
        <v>net-exp</v>
      </c>
      <c r="L63" s="599"/>
      <c r="M63" s="471" t="s">
        <v>4741</v>
      </c>
      <c r="N63" s="471" t="s">
        <v>50</v>
      </c>
      <c r="O63" s="471" t="s">
        <v>42</v>
      </c>
    </row>
    <row r="64" spans="1:15" x14ac:dyDescent="0.25">
      <c r="A64" s="471" t="s">
        <v>1755</v>
      </c>
      <c r="B64" s="1139">
        <f t="shared" ca="1" si="7"/>
        <v>0</v>
      </c>
      <c r="C64" s="473">
        <f t="shared" ca="1" si="2"/>
        <v>0</v>
      </c>
      <c r="D64" s="472" t="str">
        <f>RS!G76</f>
        <v/>
      </c>
      <c r="E64" s="472" t="str">
        <f>RS!H76</f>
        <v/>
      </c>
      <c r="F64" s="472" t="str">
        <f>RS!I76</f>
        <v/>
      </c>
      <c r="H64" s="471">
        <v>2</v>
      </c>
      <c r="I64" s="471">
        <v>0</v>
      </c>
      <c r="J64" s="471" t="str">
        <f t="shared" si="4"/>
        <v>intinvinc</v>
      </c>
      <c r="K64" s="471" t="str">
        <f t="shared" si="5"/>
        <v>net-exp</v>
      </c>
      <c r="L64" s="599"/>
      <c r="M64" s="471" t="s">
        <v>4741</v>
      </c>
      <c r="N64" s="471" t="s">
        <v>50</v>
      </c>
      <c r="O64" s="471" t="s">
        <v>42</v>
      </c>
    </row>
    <row r="65" spans="1:15" x14ac:dyDescent="0.25">
      <c r="A65" s="471" t="s">
        <v>1756</v>
      </c>
      <c r="B65" s="1139">
        <f t="shared" ca="1" si="7"/>
        <v>0</v>
      </c>
      <c r="C65" s="473">
        <f t="shared" ca="1" si="2"/>
        <v>0</v>
      </c>
      <c r="D65" s="472" t="str">
        <f>RS!G77</f>
        <v/>
      </c>
      <c r="E65" s="472" t="str">
        <f>RS!H77</f>
        <v/>
      </c>
      <c r="F65" s="472" t="str">
        <f>RS!I77</f>
        <v/>
      </c>
      <c r="H65" s="471">
        <v>2</v>
      </c>
      <c r="I65" s="471">
        <v>0</v>
      </c>
      <c r="J65" s="471" t="str">
        <f t="shared" si="4"/>
        <v>inctma</v>
      </c>
      <c r="K65" s="471" t="str">
        <f t="shared" si="5"/>
        <v>net-exp</v>
      </c>
      <c r="L65" s="599"/>
      <c r="M65" s="471" t="s">
        <v>4741</v>
      </c>
      <c r="N65" s="471" t="s">
        <v>50</v>
      </c>
      <c r="O65" s="471" t="s">
        <v>42</v>
      </c>
    </row>
    <row r="66" spans="1:15" x14ac:dyDescent="0.25">
      <c r="A66" s="471" t="s">
        <v>1757</v>
      </c>
      <c r="B66" s="1139">
        <f t="shared" ca="1" si="7"/>
        <v>0</v>
      </c>
      <c r="C66" s="473">
        <f t="shared" ca="1" si="2"/>
        <v>0</v>
      </c>
      <c r="D66" s="472" t="str">
        <f>RS!G78</f>
        <v/>
      </c>
      <c r="E66" s="472" t="str">
        <f>RS!H78</f>
        <v/>
      </c>
      <c r="F66" s="472" t="str">
        <f>RS!I78</f>
        <v/>
      </c>
      <c r="H66" s="471">
        <v>2</v>
      </c>
      <c r="I66" s="471">
        <v>0</v>
      </c>
      <c r="J66" s="471" t="str">
        <f t="shared" si="4"/>
        <v>incnontma</v>
      </c>
      <c r="K66" s="471" t="str">
        <f t="shared" si="5"/>
        <v>net-exp</v>
      </c>
      <c r="L66" s="599"/>
      <c r="M66" s="471" t="s">
        <v>4741</v>
      </c>
      <c r="N66" s="471" t="s">
        <v>50</v>
      </c>
      <c r="O66" s="471" t="s">
        <v>42</v>
      </c>
    </row>
    <row r="67" spans="1:15" x14ac:dyDescent="0.25">
      <c r="A67" s="471" t="s">
        <v>1758</v>
      </c>
      <c r="B67" s="1139">
        <f t="shared" ca="1" si="7"/>
        <v>0</v>
      </c>
      <c r="C67" s="473">
        <f t="shared" ca="1" si="2"/>
        <v>0</v>
      </c>
      <c r="D67" s="472" t="str">
        <f>RS!G79</f>
        <v/>
      </c>
      <c r="E67" s="472" t="str">
        <f>RS!H79</f>
        <v/>
      </c>
      <c r="F67" s="472" t="str">
        <f>RS!I79</f>
        <v/>
      </c>
      <c r="H67" s="471">
        <v>2</v>
      </c>
      <c r="I67" s="471">
        <v>0</v>
      </c>
      <c r="J67" s="471" t="str">
        <f t="shared" si="4"/>
        <v>invprop</v>
      </c>
      <c r="K67" s="471" t="str">
        <f t="shared" si="5"/>
        <v>net-exp</v>
      </c>
      <c r="L67" s="599"/>
      <c r="M67" s="471" t="s">
        <v>4741</v>
      </c>
      <c r="N67" s="471" t="s">
        <v>50</v>
      </c>
      <c r="O67" s="471" t="s">
        <v>42</v>
      </c>
    </row>
    <row r="68" spans="1:15" x14ac:dyDescent="0.25">
      <c r="A68" s="471" t="s">
        <v>1759</v>
      </c>
      <c r="B68" s="1139">
        <f t="shared" ca="1" si="7"/>
        <v>0</v>
      </c>
      <c r="C68" s="473">
        <f t="shared" ca="1" si="2"/>
        <v>0</v>
      </c>
      <c r="D68" s="472" t="str">
        <f>RS!G80</f>
        <v/>
      </c>
      <c r="E68" s="472" t="str">
        <f>RS!H80</f>
        <v/>
      </c>
      <c r="F68" s="472" t="str">
        <f>RS!I80</f>
        <v/>
      </c>
      <c r="H68" s="471">
        <v>2</v>
      </c>
      <c r="I68" s="471">
        <v>0</v>
      </c>
      <c r="J68" s="471" t="str">
        <f t="shared" si="4"/>
        <v>dvdsubs</v>
      </c>
      <c r="K68" s="471" t="str">
        <f t="shared" si="5"/>
        <v>net-exp</v>
      </c>
      <c r="L68" s="599"/>
      <c r="M68" s="471" t="s">
        <v>4741</v>
      </c>
      <c r="N68" s="471" t="s">
        <v>50</v>
      </c>
      <c r="O68" s="471" t="s">
        <v>42</v>
      </c>
    </row>
    <row r="69" spans="1:15" x14ac:dyDescent="0.25">
      <c r="A69" s="471" t="s">
        <v>1760</v>
      </c>
      <c r="B69" s="1139">
        <f t="shared" ca="1" si="7"/>
        <v>0</v>
      </c>
      <c r="C69" s="473">
        <f t="shared" ca="1" si="2"/>
        <v>0</v>
      </c>
      <c r="D69" s="472" t="str">
        <f>RS!G81</f>
        <v/>
      </c>
      <c r="E69" s="472" t="str">
        <f>RS!H81</f>
        <v/>
      </c>
      <c r="F69" s="472" t="str">
        <f>RS!I81</f>
        <v/>
      </c>
      <c r="H69" s="471">
        <v>2</v>
      </c>
      <c r="I69" s="471">
        <v>0</v>
      </c>
      <c r="J69" s="471" t="str">
        <f t="shared" si="4"/>
        <v>dvdequ</v>
      </c>
      <c r="K69" s="471" t="str">
        <f t="shared" si="5"/>
        <v>net-exp</v>
      </c>
      <c r="L69" s="599"/>
      <c r="M69" s="471" t="s">
        <v>4741</v>
      </c>
      <c r="N69" s="471" t="s">
        <v>50</v>
      </c>
      <c r="O69" s="471" t="s">
        <v>42</v>
      </c>
    </row>
    <row r="70" spans="1:15" x14ac:dyDescent="0.25">
      <c r="A70" s="471" t="s">
        <v>1761</v>
      </c>
      <c r="B70" s="1139">
        <f t="shared" ca="1" si="7"/>
        <v>0</v>
      </c>
      <c r="C70" s="473">
        <f t="shared" ca="1" si="2"/>
        <v>0</v>
      </c>
      <c r="D70" s="472" t="str">
        <f>RS!G82</f>
        <v/>
      </c>
      <c r="E70" s="472" t="str">
        <f>RS!H82</f>
        <v/>
      </c>
      <c r="F70" s="472" t="str">
        <f>RS!I82</f>
        <v/>
      </c>
      <c r="H70" s="471">
        <v>2</v>
      </c>
      <c r="I70" s="471">
        <v>0</v>
      </c>
      <c r="J70" s="471" t="str">
        <f t="shared" si="4"/>
        <v>incjntvns</v>
      </c>
      <c r="K70" s="471" t="str">
        <f t="shared" si="5"/>
        <v>net-exp</v>
      </c>
      <c r="L70" s="599"/>
      <c r="M70" s="471" t="s">
        <v>4741</v>
      </c>
      <c r="N70" s="471" t="s">
        <v>50</v>
      </c>
      <c r="O70" s="471" t="s">
        <v>42</v>
      </c>
    </row>
    <row r="71" spans="1:15" x14ac:dyDescent="0.25">
      <c r="A71" s="471" t="s">
        <v>1762</v>
      </c>
      <c r="B71" s="1139">
        <f t="shared" ca="1" si="7"/>
        <v>0</v>
      </c>
      <c r="C71" s="473">
        <f t="shared" ca="1" si="2"/>
        <v>0</v>
      </c>
      <c r="D71" s="472" t="str">
        <f>RS!G83</f>
        <v/>
      </c>
      <c r="E71" s="472" t="str">
        <f>RS!H83</f>
        <v/>
      </c>
      <c r="F71" s="472" t="str">
        <f>RS!I83</f>
        <v/>
      </c>
      <c r="H71" s="471">
        <v>2</v>
      </c>
      <c r="I71" s="471">
        <v>0</v>
      </c>
      <c r="J71" s="471" t="str">
        <f t="shared" si="4"/>
        <v>intcaplns</v>
      </c>
      <c r="K71" s="471" t="str">
        <f t="shared" si="5"/>
        <v>net-exp</v>
      </c>
      <c r="L71" s="599"/>
      <c r="M71" s="471" t="s">
        <v>4741</v>
      </c>
      <c r="N71" s="471" t="s">
        <v>50</v>
      </c>
      <c r="O71" s="471" t="s">
        <v>42</v>
      </c>
    </row>
    <row r="72" spans="1:15" x14ac:dyDescent="0.25">
      <c r="A72" s="471" t="s">
        <v>1763</v>
      </c>
      <c r="B72" s="1139">
        <f t="shared" ca="1" si="7"/>
        <v>0</v>
      </c>
      <c r="C72" s="473">
        <f t="shared" ca="1" si="2"/>
        <v>0</v>
      </c>
      <c r="D72" s="472" t="str">
        <f>RS!G84</f>
        <v/>
      </c>
      <c r="E72" s="472" t="str">
        <f>RS!H84</f>
        <v/>
      </c>
      <c r="F72" s="472" t="str">
        <f>RS!I84</f>
        <v/>
      </c>
      <c r="H72" s="471">
        <v>2</v>
      </c>
      <c r="I72" s="471">
        <v>0</v>
      </c>
      <c r="J72" s="471" t="str">
        <f t="shared" si="4"/>
        <v>intrevlns</v>
      </c>
      <c r="K72" s="471" t="str">
        <f t="shared" si="5"/>
        <v>net-exp</v>
      </c>
      <c r="L72" s="599"/>
      <c r="M72" s="471" t="s">
        <v>4741</v>
      </c>
      <c r="N72" s="471" t="s">
        <v>50</v>
      </c>
      <c r="O72" s="471" t="s">
        <v>42</v>
      </c>
    </row>
    <row r="73" spans="1:15" x14ac:dyDescent="0.25">
      <c r="A73" s="471" t="s">
        <v>1764</v>
      </c>
      <c r="B73" s="1139">
        <f t="shared" ca="1" si="7"/>
        <v>0</v>
      </c>
      <c r="C73" s="473">
        <f t="shared" ca="1" si="2"/>
        <v>0</v>
      </c>
      <c r="D73" s="472" t="str">
        <f>RS!G85</f>
        <v/>
      </c>
      <c r="E73" s="472" t="str">
        <f>RS!H85</f>
        <v/>
      </c>
      <c r="F73" s="472" t="str">
        <f>RS!I85</f>
        <v/>
      </c>
      <c r="H73" s="471">
        <v>2</v>
      </c>
      <c r="I73" s="471">
        <v>0</v>
      </c>
      <c r="J73" s="471" t="str">
        <f t="shared" si="4"/>
        <v>incbnds</v>
      </c>
      <c r="K73" s="471" t="str">
        <f t="shared" si="5"/>
        <v>net-exp</v>
      </c>
      <c r="L73" s="599"/>
      <c r="M73" s="471" t="s">
        <v>4741</v>
      </c>
      <c r="N73" s="471" t="s">
        <v>50</v>
      </c>
      <c r="O73" s="471" t="s">
        <v>42</v>
      </c>
    </row>
    <row r="74" spans="1:15" x14ac:dyDescent="0.25">
      <c r="A74" s="471" t="s">
        <v>1765</v>
      </c>
      <c r="B74" s="1139">
        <f t="shared" ca="1" si="7"/>
        <v>0</v>
      </c>
      <c r="C74" s="473">
        <f t="shared" ca="1" si="2"/>
        <v>0</v>
      </c>
      <c r="D74" s="472" t="str">
        <f>RS!G86</f>
        <v/>
      </c>
      <c r="E74" s="472" t="str">
        <f>RS!H86</f>
        <v/>
      </c>
      <c r="F74" s="472" t="str">
        <f>RS!I86</f>
        <v/>
      </c>
      <c r="H74" s="471">
        <v>2</v>
      </c>
      <c r="I74" s="471">
        <v>0</v>
      </c>
      <c r="J74" s="471" t="str">
        <f t="shared" si="4"/>
        <v>incntmaoth</v>
      </c>
      <c r="K74" s="471" t="str">
        <f t="shared" si="5"/>
        <v>net-exp</v>
      </c>
      <c r="L74" s="599"/>
      <c r="M74" s="471" t="s">
        <v>4741</v>
      </c>
      <c r="N74" s="471" t="s">
        <v>50</v>
      </c>
      <c r="O74" s="471" t="s">
        <v>42</v>
      </c>
    </row>
    <row r="75" spans="1:15" x14ac:dyDescent="0.25">
      <c r="A75" s="471" t="s">
        <v>1766</v>
      </c>
      <c r="B75" s="1139">
        <f t="shared" ca="1" si="7"/>
        <v>0</v>
      </c>
      <c r="C75" s="473">
        <f t="shared" ca="1" si="2"/>
        <v>0</v>
      </c>
      <c r="D75" s="472" t="str">
        <f>RS!G87</f>
        <v/>
      </c>
      <c r="E75" s="472" t="str">
        <f>RS!H87</f>
        <v/>
      </c>
      <c r="F75" s="472" t="str">
        <f>RS!I87</f>
        <v/>
      </c>
      <c r="H75" s="471">
        <v>2</v>
      </c>
      <c r="I75" s="471">
        <v>0</v>
      </c>
      <c r="J75" s="471" t="str">
        <f t="shared" si="4"/>
        <v>pfidiff</v>
      </c>
      <c r="K75" s="471" t="str">
        <f t="shared" si="5"/>
        <v>net-exp</v>
      </c>
      <c r="L75" s="599"/>
      <c r="M75" s="471" t="s">
        <v>4741</v>
      </c>
      <c r="N75" s="471" t="s">
        <v>50</v>
      </c>
      <c r="O75" s="471" t="s">
        <v>42</v>
      </c>
    </row>
    <row r="76" spans="1:15" x14ac:dyDescent="0.25">
      <c r="A76" s="471" t="s">
        <v>1767</v>
      </c>
      <c r="B76" s="1139">
        <f t="shared" ca="1" si="7"/>
        <v>0</v>
      </c>
      <c r="C76" s="473">
        <f t="shared" ca="1" si="2"/>
        <v>0</v>
      </c>
      <c r="D76" s="472" t="str">
        <f>RS!G88</f>
        <v/>
      </c>
      <c r="E76" s="472" t="str">
        <f>RS!H88</f>
        <v/>
      </c>
      <c r="F76" s="472" t="str">
        <f>RS!I88</f>
        <v/>
      </c>
      <c r="H76" s="471">
        <v>2</v>
      </c>
      <c r="I76" s="471">
        <v>0</v>
      </c>
      <c r="J76" s="471" t="str">
        <f t="shared" si="4"/>
        <v>appfinadj</v>
      </c>
      <c r="K76" s="471" t="str">
        <f t="shared" si="5"/>
        <v>net-exp</v>
      </c>
      <c r="L76" s="599"/>
      <c r="M76" s="471" t="s">
        <v>4741</v>
      </c>
      <c r="N76" s="471" t="s">
        <v>50</v>
      </c>
      <c r="O76" s="471" t="s">
        <v>42</v>
      </c>
    </row>
    <row r="77" spans="1:15" x14ac:dyDescent="0.25">
      <c r="A77" s="471" t="s">
        <v>1768</v>
      </c>
      <c r="B77" s="1139">
        <f t="shared" ca="1" si="7"/>
        <v>0</v>
      </c>
      <c r="C77" s="473">
        <f t="shared" ca="1" si="2"/>
        <v>0</v>
      </c>
      <c r="D77" s="472" t="str">
        <f>RS!G89</f>
        <v/>
      </c>
      <c r="E77" s="472" t="str">
        <f>RS!H89</f>
        <v/>
      </c>
      <c r="F77" s="472" t="str">
        <f>RS!I89</f>
        <v/>
      </c>
      <c r="H77" s="471">
        <v>2</v>
      </c>
      <c r="I77" s="471">
        <v>0</v>
      </c>
      <c r="J77" s="471" t="str">
        <f t="shared" si="4"/>
        <v>appunequal</v>
      </c>
      <c r="K77" s="471" t="str">
        <f t="shared" si="5"/>
        <v>net-exp</v>
      </c>
      <c r="L77" s="599"/>
      <c r="M77" s="471" t="s">
        <v>4741</v>
      </c>
      <c r="N77" s="471" t="s">
        <v>50</v>
      </c>
      <c r="O77" s="471" t="s">
        <v>42</v>
      </c>
    </row>
    <row r="78" spans="1:15" x14ac:dyDescent="0.25">
      <c r="A78" s="471" t="s">
        <v>1769</v>
      </c>
      <c r="B78" s="1139">
        <f t="shared" ca="1" si="7"/>
        <v>0</v>
      </c>
      <c r="C78" s="473">
        <f t="shared" ca="1" si="2"/>
        <v>0</v>
      </c>
      <c r="D78" s="472" t="str">
        <f>RS!G90</f>
        <v/>
      </c>
      <c r="E78" s="472" t="str">
        <f>RS!H90</f>
        <v/>
      </c>
      <c r="F78" s="472" t="str">
        <f>RS!I90</f>
        <v/>
      </c>
      <c r="H78" s="471">
        <v>2</v>
      </c>
      <c r="I78" s="471">
        <v>0</v>
      </c>
      <c r="J78" s="471" t="str">
        <f t="shared" si="4"/>
        <v>grantoutaef</v>
      </c>
      <c r="K78" s="471" t="str">
        <f t="shared" si="5"/>
        <v>net-exp</v>
      </c>
      <c r="L78" s="599"/>
      <c r="M78" s="471" t="s">
        <v>4741</v>
      </c>
      <c r="N78" s="471" t="s">
        <v>50</v>
      </c>
      <c r="O78" s="471" t="s">
        <v>42</v>
      </c>
    </row>
    <row r="79" spans="1:15" x14ac:dyDescent="0.25">
      <c r="A79" s="471" t="s">
        <v>1770</v>
      </c>
      <c r="B79" s="1139">
        <f t="shared" ca="1" si="7"/>
        <v>0</v>
      </c>
      <c r="C79" s="473">
        <f t="shared" ca="1" si="2"/>
        <v>0</v>
      </c>
      <c r="D79" s="472" t="str">
        <f>RS!G91</f>
        <v/>
      </c>
      <c r="E79" s="472" t="str">
        <f>RS!H91</f>
        <v/>
      </c>
      <c r="F79" s="472" t="str">
        <f>RS!I91</f>
        <v/>
      </c>
      <c r="H79" s="471">
        <v>2</v>
      </c>
      <c r="I79" s="471">
        <v>0</v>
      </c>
      <c r="J79" s="471" t="str">
        <f t="shared" si="4"/>
        <v>brsupp</v>
      </c>
      <c r="K79" s="471" t="str">
        <f t="shared" si="5"/>
        <v>net-exp</v>
      </c>
      <c r="L79" s="599"/>
      <c r="M79" s="471" t="s">
        <v>4741</v>
      </c>
      <c r="N79" s="471" t="s">
        <v>50</v>
      </c>
      <c r="O79" s="471" t="s">
        <v>42</v>
      </c>
    </row>
    <row r="80" spans="1:15" x14ac:dyDescent="0.25">
      <c r="A80" s="471" t="s">
        <v>1771</v>
      </c>
      <c r="B80" s="1139">
        <f t="shared" ca="1" si="7"/>
        <v>0</v>
      </c>
      <c r="C80" s="473">
        <f t="shared" ca="1" si="2"/>
        <v>0</v>
      </c>
      <c r="D80" s="472" t="str">
        <f>RS!G92</f>
        <v/>
      </c>
      <c r="E80" s="472" t="e">
        <f>RS!H92</f>
        <v>#N/A</v>
      </c>
      <c r="F80" s="472" t="e">
        <f>RS!I92</f>
        <v>#N/A</v>
      </c>
      <c r="H80" s="471">
        <v>2</v>
      </c>
      <c r="I80" s="471">
        <v>0</v>
      </c>
      <c r="J80" s="471" t="str">
        <f t="shared" si="4"/>
        <v>levycil</v>
      </c>
      <c r="K80" s="471" t="str">
        <f t="shared" si="5"/>
        <v>net-exp</v>
      </c>
      <c r="L80" s="599"/>
      <c r="M80" s="471" t="s">
        <v>4741</v>
      </c>
      <c r="N80" s="471" t="s">
        <v>50</v>
      </c>
      <c r="O80" s="471" t="s">
        <v>42</v>
      </c>
    </row>
    <row r="81" spans="1:15" x14ac:dyDescent="0.25">
      <c r="A81" s="471" t="s">
        <v>1772</v>
      </c>
      <c r="B81" s="1139">
        <f t="shared" ca="1" si="7"/>
        <v>0</v>
      </c>
      <c r="C81" s="473">
        <f t="shared" ca="1" si="2"/>
        <v>0</v>
      </c>
      <c r="D81" s="472" t="str">
        <f>RS!G93</f>
        <v/>
      </c>
      <c r="E81" s="472" t="str">
        <f>RS!H93</f>
        <v/>
      </c>
      <c r="F81" s="472" t="str">
        <f>RS!I93</f>
        <v/>
      </c>
      <c r="H81" s="471">
        <v>2</v>
      </c>
      <c r="I81" s="471">
        <v>0</v>
      </c>
      <c r="J81" s="471" t="str">
        <f t="shared" si="4"/>
        <v>crcexp</v>
      </c>
      <c r="K81" s="471" t="str">
        <f t="shared" si="5"/>
        <v>net-exp</v>
      </c>
      <c r="L81" s="599"/>
      <c r="M81" s="471" t="s">
        <v>4741</v>
      </c>
      <c r="N81" s="471" t="s">
        <v>50</v>
      </c>
      <c r="O81" s="471" t="s">
        <v>42</v>
      </c>
    </row>
    <row r="82" spans="1:15" x14ac:dyDescent="0.25">
      <c r="A82" s="471" t="s">
        <v>1773</v>
      </c>
      <c r="B82" s="1139">
        <f t="shared" ca="1" si="7"/>
        <v>0</v>
      </c>
      <c r="C82" s="473">
        <f t="shared" ca="1" si="2"/>
        <v>0</v>
      </c>
      <c r="D82" s="472" t="str">
        <f>RS!G94</f>
        <v/>
      </c>
      <c r="E82" s="472" t="str">
        <f>RS!H94</f>
        <v/>
      </c>
      <c r="F82" s="472" t="str">
        <f>RS!I94</f>
        <v/>
      </c>
      <c r="H82" s="471">
        <v>2</v>
      </c>
      <c r="I82" s="471">
        <v>0</v>
      </c>
      <c r="J82" s="471" t="str">
        <f t="shared" si="4"/>
        <v>crcinc</v>
      </c>
      <c r="K82" s="471" t="str">
        <f t="shared" si="5"/>
        <v>net-exp</v>
      </c>
      <c r="L82" s="599"/>
      <c r="M82" s="471" t="s">
        <v>4741</v>
      </c>
      <c r="N82" s="471" t="s">
        <v>50</v>
      </c>
      <c r="O82" s="471" t="s">
        <v>42</v>
      </c>
    </row>
    <row r="83" spans="1:15" x14ac:dyDescent="0.25">
      <c r="A83" s="471" t="s">
        <v>1774</v>
      </c>
      <c r="B83" s="1139" t="e">
        <f t="shared" ca="1" si="7"/>
        <v>#N/A</v>
      </c>
      <c r="C83" s="474">
        <f t="shared" ca="1" si="2"/>
        <v>0</v>
      </c>
      <c r="D83" s="472"/>
      <c r="E83" s="472"/>
      <c r="F83" s="472"/>
      <c r="H83" s="471">
        <v>2</v>
      </c>
      <c r="I83" s="471">
        <v>0</v>
      </c>
      <c r="J83" s="471" t="str">
        <f t="shared" si="4"/>
        <v>appdsgadj</v>
      </c>
      <c r="K83" s="471" t="str">
        <f t="shared" si="5"/>
        <v>net-exp</v>
      </c>
      <c r="L83" s="599"/>
      <c r="M83" s="471" t="s">
        <v>4741</v>
      </c>
      <c r="N83" s="471" t="s">
        <v>50</v>
      </c>
      <c r="O83" s="471" t="s">
        <v>42</v>
      </c>
    </row>
    <row r="84" spans="1:15" x14ac:dyDescent="0.25">
      <c r="A84" s="471" t="s">
        <v>1775</v>
      </c>
      <c r="B84" s="1139" t="e">
        <f t="shared" ref="B84:B91" ca="1" si="8">INDEX(INDIRECT(LEFT($A84,SEARCH("-",$A84,1)-1)&amp;"_data"),MATCH(MID($A84,SEARCH("-",$A84)+1,SEARCH("#",SUBSTITUTE($A84,"-","#",H84),1)-(SEARCH("-",$A84)+1)),INDIRECT(LEFT($A84,SEARCH("-",$A84,1)-1)&amp;"_rows"),0),MATCH(RIGHT($A84,LEN($A84)-LEN(LEFT($A84,SEARCH("#",SUBSTITUTE($A84,"-","#",H84),1)))),INDIRECT(LEFT($A84,SEARCH("-",$A84,1)-1)&amp;"_Header"),0))</f>
        <v>#N/A</v>
      </c>
      <c r="C84" s="473">
        <f t="shared" ca="1" si="2"/>
        <v>0</v>
      </c>
      <c r="D84" s="472" t="str">
        <f>RS!G96</f>
        <v/>
      </c>
      <c r="H84" s="471">
        <v>2</v>
      </c>
      <c r="I84" s="471">
        <v>0</v>
      </c>
      <c r="J84" s="471" t="str">
        <f t="shared" si="4"/>
        <v>revenuetot</v>
      </c>
      <c r="K84" s="471" t="str">
        <f t="shared" si="5"/>
        <v>net-exp</v>
      </c>
      <c r="L84" s="599"/>
      <c r="M84" s="471" t="s">
        <v>4741</v>
      </c>
      <c r="N84" s="471" t="s">
        <v>50</v>
      </c>
      <c r="O84" s="471" t="s">
        <v>42</v>
      </c>
    </row>
    <row r="85" spans="1:15" x14ac:dyDescent="0.25">
      <c r="A85" s="471" t="s">
        <v>1776</v>
      </c>
      <c r="B85" s="1139">
        <f t="shared" ca="1" si="8"/>
        <v>0</v>
      </c>
      <c r="C85" s="473">
        <f t="shared" ca="1" si="2"/>
        <v>0</v>
      </c>
      <c r="D85" s="472" t="str">
        <f>RS!G98</f>
        <v/>
      </c>
      <c r="E85" s="472" t="str">
        <f>RS!H98</f>
        <v/>
      </c>
      <c r="F85" s="472" t="str">
        <f>RS!I98</f>
        <v/>
      </c>
      <c r="H85" s="471">
        <v>2</v>
      </c>
      <c r="I85" s="471">
        <v>0</v>
      </c>
      <c r="J85" s="471" t="str">
        <f t="shared" si="4"/>
        <v>grantlss</v>
      </c>
      <c r="K85" s="471" t="str">
        <f t="shared" si="5"/>
        <v>net-exp</v>
      </c>
      <c r="L85" s="599"/>
      <c r="M85" s="471" t="s">
        <v>4741</v>
      </c>
      <c r="N85" s="471" t="s">
        <v>50</v>
      </c>
      <c r="O85" s="471" t="s">
        <v>42</v>
      </c>
    </row>
    <row r="86" spans="1:15" x14ac:dyDescent="0.25">
      <c r="A86" s="471" t="s">
        <v>1777</v>
      </c>
      <c r="B86" s="1139" t="e">
        <f t="shared" ca="1" si="8"/>
        <v>#N/A</v>
      </c>
      <c r="C86" s="473">
        <f t="shared" ref="C86:C99" ca="1" si="9">IF(ISERROR(VLOOKUP(A86,INDIRECT("notes_"&amp;LEFT(A86,2)),4,0)),0,VLOOKUP(A86,INDIRECT("notes_"&amp;LEFT(A86,2)),4,0))</f>
        <v>0</v>
      </c>
      <c r="D86" s="472" t="str">
        <f>RS!G99</f>
        <v/>
      </c>
      <c r="E86" s="472" t="e">
        <f>RS!H99</f>
        <v>#N/A</v>
      </c>
      <c r="F86" s="472" t="e">
        <f>RS!I99</f>
        <v>#N/A</v>
      </c>
      <c r="H86" s="471">
        <v>2</v>
      </c>
      <c r="I86" s="471">
        <v>0</v>
      </c>
      <c r="J86" s="471" t="str">
        <f t="shared" si="4"/>
        <v>grantinaef</v>
      </c>
      <c r="K86" s="471" t="str">
        <f t="shared" si="5"/>
        <v>net-exp</v>
      </c>
      <c r="L86" s="599"/>
      <c r="M86" s="471" t="s">
        <v>4741</v>
      </c>
      <c r="N86" s="471" t="s">
        <v>50</v>
      </c>
      <c r="O86" s="471" t="s">
        <v>42</v>
      </c>
    </row>
    <row r="87" spans="1:15" x14ac:dyDescent="0.25">
      <c r="A87" s="471" t="s">
        <v>1778</v>
      </c>
      <c r="B87" s="1139" t="e">
        <f t="shared" ca="1" si="8"/>
        <v>#N/A</v>
      </c>
      <c r="C87" s="473">
        <f t="shared" ca="1" si="9"/>
        <v>0</v>
      </c>
      <c r="D87" s="472"/>
      <c r="H87" s="471">
        <v>2</v>
      </c>
      <c r="I87" s="471">
        <v>0</v>
      </c>
      <c r="J87" s="471" t="str">
        <f t="shared" si="4"/>
        <v>netrevexp</v>
      </c>
      <c r="K87" s="471" t="str">
        <f t="shared" si="5"/>
        <v>net-exp</v>
      </c>
      <c r="L87" s="599"/>
      <c r="M87" s="471" t="s">
        <v>4741</v>
      </c>
      <c r="N87" s="471" t="s">
        <v>50</v>
      </c>
      <c r="O87" s="471" t="s">
        <v>42</v>
      </c>
    </row>
    <row r="88" spans="1:15" x14ac:dyDescent="0.25">
      <c r="A88" s="471" t="s">
        <v>1779</v>
      </c>
      <c r="B88" s="1139">
        <f t="shared" ca="1" si="8"/>
        <v>0</v>
      </c>
      <c r="C88" s="473">
        <f t="shared" ca="1" si="9"/>
        <v>0</v>
      </c>
      <c r="D88" s="472" t="str">
        <f>RS!G101</f>
        <v/>
      </c>
      <c r="E88" s="472" t="str">
        <f>RS!H101</f>
        <v/>
      </c>
      <c r="F88" s="472" t="str">
        <f>RS!I101</f>
        <v/>
      </c>
      <c r="H88" s="471">
        <v>2</v>
      </c>
      <c r="I88" s="471">
        <v>0</v>
      </c>
      <c r="J88" s="471" t="str">
        <f t="shared" si="4"/>
        <v>trnsreorg</v>
      </c>
      <c r="K88" s="471" t="str">
        <f t="shared" si="5"/>
        <v>net-exp</v>
      </c>
      <c r="L88" s="599"/>
      <c r="M88" s="471" t="s">
        <v>4741</v>
      </c>
      <c r="N88" s="471" t="s">
        <v>50</v>
      </c>
      <c r="O88" s="471" t="s">
        <v>42</v>
      </c>
    </row>
    <row r="89" spans="1:15" x14ac:dyDescent="0.25">
      <c r="A89" s="471" t="s">
        <v>1780</v>
      </c>
      <c r="B89" s="1139" t="e">
        <f t="shared" ca="1" si="8"/>
        <v>#N/A</v>
      </c>
      <c r="C89" s="473">
        <f t="shared" ca="1" si="9"/>
        <v>0</v>
      </c>
      <c r="D89" s="472" t="str">
        <f>RS!G102</f>
        <v/>
      </c>
      <c r="E89" s="472" t="e">
        <f>RS!H102</f>
        <v>#N/A</v>
      </c>
      <c r="F89" s="472" t="e">
        <f>RS!I102</f>
        <v>#N/A</v>
      </c>
      <c r="H89" s="471">
        <v>2</v>
      </c>
      <c r="I89" s="471">
        <v>0</v>
      </c>
      <c r="J89" s="471" t="str">
        <f t="shared" si="4"/>
        <v>appressch</v>
      </c>
      <c r="K89" s="471" t="str">
        <f t="shared" si="5"/>
        <v>net-exp</v>
      </c>
      <c r="L89" s="599"/>
      <c r="M89" s="471" t="s">
        <v>4741</v>
      </c>
      <c r="N89" s="471" t="s">
        <v>50</v>
      </c>
      <c r="O89" s="471" t="s">
        <v>42</v>
      </c>
    </row>
    <row r="90" spans="1:15" x14ac:dyDescent="0.25">
      <c r="A90" s="471" t="s">
        <v>1781</v>
      </c>
      <c r="B90" s="1139" t="e">
        <f t="shared" ca="1" si="8"/>
        <v>#N/A</v>
      </c>
      <c r="C90" s="473">
        <f t="shared" ca="1" si="9"/>
        <v>0</v>
      </c>
      <c r="D90" s="472" t="str">
        <f>RS!G103</f>
        <v/>
      </c>
      <c r="E90" s="472" t="str">
        <f>RS!H103</f>
        <v/>
      </c>
      <c r="F90" s="472" t="str">
        <f>RS!I103</f>
        <v/>
      </c>
      <c r="H90" s="471">
        <v>2</v>
      </c>
      <c r="I90" s="471">
        <v>0</v>
      </c>
      <c r="J90" s="471" t="str">
        <f t="shared" si="4"/>
        <v>appresdsg</v>
      </c>
      <c r="K90" s="471" t="str">
        <f t="shared" si="5"/>
        <v>net-exp</v>
      </c>
      <c r="L90" s="599"/>
      <c r="M90" s="471" t="s">
        <v>4741</v>
      </c>
      <c r="N90" s="471" t="s">
        <v>50</v>
      </c>
      <c r="O90" s="471" t="s">
        <v>42</v>
      </c>
    </row>
    <row r="91" spans="1:15" x14ac:dyDescent="0.25">
      <c r="A91" s="471" t="s">
        <v>1782</v>
      </c>
      <c r="B91" s="1139" t="e">
        <f t="shared" ca="1" si="8"/>
        <v>#N/A</v>
      </c>
      <c r="C91" s="473">
        <f t="shared" ca="1" si="9"/>
        <v>0</v>
      </c>
      <c r="D91" s="472" t="str">
        <f>RS!G104</f>
        <v/>
      </c>
      <c r="E91" s="472" t="e">
        <f>RS!H104</f>
        <v>#N/A</v>
      </c>
      <c r="F91" s="472" t="e">
        <f>RS!I104</f>
        <v>#N/A</v>
      </c>
      <c r="H91" s="471">
        <v>2</v>
      </c>
      <c r="I91" s="471">
        <v>0</v>
      </c>
      <c r="J91" s="471" t="str">
        <f t="shared" si="4"/>
        <v>appresph</v>
      </c>
      <c r="K91" s="471" t="str">
        <f t="shared" si="5"/>
        <v>net-exp</v>
      </c>
      <c r="L91" s="599"/>
      <c r="M91" s="471" t="s">
        <v>4741</v>
      </c>
      <c r="N91" s="471" t="s">
        <v>50</v>
      </c>
      <c r="O91" s="471" t="s">
        <v>42</v>
      </c>
    </row>
    <row r="92" spans="1:15" x14ac:dyDescent="0.25">
      <c r="A92" s="471" t="s">
        <v>1783</v>
      </c>
      <c r="B92" s="1139" t="e">
        <f t="shared" ref="B92:B93" ca="1" si="10">INDEX(INDIRECT(LEFT($A92,SEARCH("-",$A92,1)-1)&amp;"_data"),MATCH(MID($A92,SEARCH("-",$A92)+1,SEARCH("#",SUBSTITUTE($A92,"-","#",H92),1)-(SEARCH("-",$A92)+1)),INDIRECT(LEFT($A92,SEARCH("-",$A92,1)-1)&amp;"_rows"),0),MATCH(RIGHT($A92,LEN($A92)-LEN(LEFT($A92,SEARCH("#",SUBSTITUTE($A92,"-","#",H92),1)))),INDIRECT(LEFT($A92,SEARCH("-",$A92,1)-1)&amp;"_Header"),0))</f>
        <v>#N/A</v>
      </c>
      <c r="C92" s="473">
        <f t="shared" ca="1" si="9"/>
        <v>0</v>
      </c>
      <c r="D92" s="472" t="str">
        <f>RS!G105</f>
        <v/>
      </c>
      <c r="E92" s="472" t="e">
        <f>RS!H105</f>
        <v>#N/A</v>
      </c>
      <c r="F92" s="472" t="e">
        <f>RS!I105</f>
        <v>#N/A</v>
      </c>
      <c r="H92" s="471">
        <v>2</v>
      </c>
      <c r="I92" s="471">
        <v>0</v>
      </c>
      <c r="J92" s="471" t="str">
        <f t="shared" si="4"/>
        <v>appresoth</v>
      </c>
      <c r="K92" s="471" t="str">
        <f t="shared" si="5"/>
        <v>net-exp</v>
      </c>
      <c r="L92" s="599"/>
      <c r="M92" s="471" t="s">
        <v>4741</v>
      </c>
      <c r="N92" s="471" t="s">
        <v>50</v>
      </c>
      <c r="O92" s="471" t="s">
        <v>42</v>
      </c>
    </row>
    <row r="93" spans="1:15" x14ac:dyDescent="0.25">
      <c r="A93" s="471" t="s">
        <v>1784</v>
      </c>
      <c r="B93" s="1139" t="e">
        <f t="shared" ca="1" si="10"/>
        <v>#N/A</v>
      </c>
      <c r="C93" s="473">
        <f t="shared" ca="1" si="9"/>
        <v>0</v>
      </c>
      <c r="D93" s="472" t="str">
        <f>RS!G106</f>
        <v/>
      </c>
      <c r="E93" s="472" t="e">
        <f>RS!H106</f>
        <v>#N/A</v>
      </c>
      <c r="F93" s="472" t="e">
        <f>RS!I106</f>
        <v>#N/A</v>
      </c>
      <c r="H93" s="471">
        <v>2</v>
      </c>
      <c r="I93" s="471">
        <v>0</v>
      </c>
      <c r="J93" s="471" t="str">
        <f t="shared" si="4"/>
        <v>appresunall</v>
      </c>
      <c r="K93" s="471" t="str">
        <f t="shared" si="5"/>
        <v>net-exp</v>
      </c>
      <c r="L93" s="599"/>
      <c r="M93" s="471" t="s">
        <v>4741</v>
      </c>
      <c r="N93" s="471" t="s">
        <v>50</v>
      </c>
      <c r="O93" s="471" t="s">
        <v>42</v>
      </c>
    </row>
    <row r="94" spans="1:15" x14ac:dyDescent="0.25">
      <c r="A94" s="471" t="s">
        <v>1785</v>
      </c>
      <c r="B94" s="1139" t="e">
        <f t="shared" ref="B94:B98" ca="1" si="11">INDEX(INDIRECT(LEFT($A94,SEARCH("-",$A94,1)-1)&amp;"_data"),MATCH(MID($A94,SEARCH("-",$A94)+1,SEARCH("#",SUBSTITUTE($A94,"-","#",H94),1)-(SEARCH("-",$A94)+1)),INDIRECT(LEFT($A94,SEARCH("-",$A94,1)-1)&amp;"_rows"),0),MATCH(RIGHT($A94,LEN($A94)-LEN(LEFT($A94,SEARCH("#",SUBSTITUTE($A94,"-","#",H94),1)))),INDIRECT(LEFT($A94,SEARCH("-",$A94,1)-1)&amp;"_Header"),0))</f>
        <v>#N/A</v>
      </c>
      <c r="C94" s="473">
        <f t="shared" ca="1" si="9"/>
        <v>0</v>
      </c>
      <c r="D94" s="472" t="str">
        <f>RS!G107</f>
        <v/>
      </c>
      <c r="E94" s="472" t="e">
        <f>RS!H107</f>
        <v>#N/A</v>
      </c>
      <c r="F94" s="472" t="e">
        <f>RS!I107</f>
        <v>#N/A</v>
      </c>
      <c r="H94" s="471">
        <v>2</v>
      </c>
      <c r="I94" s="471">
        <v>0</v>
      </c>
      <c r="J94" s="471" t="str">
        <f t="shared" si="4"/>
        <v>grantrsg</v>
      </c>
      <c r="K94" s="471" t="str">
        <f t="shared" si="5"/>
        <v>net-exp</v>
      </c>
      <c r="L94" s="599"/>
      <c r="M94" s="471" t="s">
        <v>4741</v>
      </c>
      <c r="N94" s="471" t="s">
        <v>50</v>
      </c>
      <c r="O94" s="471" t="s">
        <v>42</v>
      </c>
    </row>
    <row r="95" spans="1:15" x14ac:dyDescent="0.25">
      <c r="A95" s="471" t="s">
        <v>1786</v>
      </c>
      <c r="B95" s="1139" t="e">
        <f t="shared" ca="1" si="11"/>
        <v>#N/A</v>
      </c>
      <c r="C95" s="473">
        <f t="shared" ca="1" si="9"/>
        <v>0</v>
      </c>
      <c r="D95" s="472" t="str">
        <f>RS!G108</f>
        <v/>
      </c>
      <c r="E95" s="472" t="e">
        <f>RS!H108</f>
        <v>#N/A</v>
      </c>
      <c r="F95" s="472" t="e">
        <f>RS!I108</f>
        <v>#N/A</v>
      </c>
      <c r="H95" s="471">
        <v>2</v>
      </c>
      <c r="I95" s="471">
        <v>0</v>
      </c>
      <c r="J95" s="471" t="str">
        <f t="shared" si="4"/>
        <v>grantpol</v>
      </c>
      <c r="K95" s="471" t="str">
        <f t="shared" si="5"/>
        <v>net-exp</v>
      </c>
      <c r="L95" s="599"/>
      <c r="M95" s="471" t="s">
        <v>4741</v>
      </c>
      <c r="N95" s="471" t="s">
        <v>50</v>
      </c>
      <c r="O95" s="471" t="s">
        <v>42</v>
      </c>
    </row>
    <row r="96" spans="1:15" x14ac:dyDescent="0.25">
      <c r="A96" s="471" t="s">
        <v>1787</v>
      </c>
      <c r="B96" s="1139">
        <f t="shared" ca="1" si="11"/>
        <v>0</v>
      </c>
      <c r="C96" s="473">
        <f t="shared" ca="1" si="9"/>
        <v>0</v>
      </c>
      <c r="D96" s="472" t="str">
        <f>RS!G109</f>
        <v/>
      </c>
      <c r="E96" s="472" t="b">
        <f>RS!H109</f>
        <v>0</v>
      </c>
      <c r="F96" s="472" t="str">
        <f>RS!I109</f>
        <v/>
      </c>
      <c r="G96" s="472">
        <f>RS!J109</f>
        <v>0</v>
      </c>
      <c r="H96" s="471">
        <v>2</v>
      </c>
      <c r="I96" s="471">
        <v>0</v>
      </c>
      <c r="J96" s="471" t="str">
        <f t="shared" si="4"/>
        <v>retainnndr</v>
      </c>
      <c r="K96" s="471" t="str">
        <f t="shared" si="5"/>
        <v>net-exp</v>
      </c>
      <c r="L96" s="698"/>
      <c r="M96" s="471" t="s">
        <v>4741</v>
      </c>
      <c r="N96" s="471" t="s">
        <v>50</v>
      </c>
      <c r="O96" s="471" t="s">
        <v>42</v>
      </c>
    </row>
    <row r="97" spans="1:15" x14ac:dyDescent="0.25">
      <c r="A97" s="471" t="s">
        <v>1788</v>
      </c>
      <c r="B97" s="1139">
        <f t="shared" ca="1" si="11"/>
        <v>0</v>
      </c>
      <c r="C97" s="473">
        <f t="shared" ca="1" si="9"/>
        <v>0</v>
      </c>
      <c r="D97" s="472" t="str">
        <f>RS!G110</f>
        <v/>
      </c>
      <c r="E97" s="472">
        <f>RS!H110</f>
        <v>0</v>
      </c>
      <c r="F97" s="472">
        <f>RS!I110</f>
        <v>0</v>
      </c>
      <c r="H97" s="471">
        <v>2</v>
      </c>
      <c r="I97" s="471">
        <v>0</v>
      </c>
      <c r="J97" s="471" t="str">
        <f t="shared" si="4"/>
        <v>colfunct</v>
      </c>
      <c r="K97" s="471" t="str">
        <f t="shared" si="5"/>
        <v>net-exp</v>
      </c>
      <c r="L97" s="599"/>
      <c r="M97" s="471" t="s">
        <v>4741</v>
      </c>
      <c r="N97" s="471" t="s">
        <v>50</v>
      </c>
      <c r="O97" s="471" t="s">
        <v>42</v>
      </c>
    </row>
    <row r="98" spans="1:15" x14ac:dyDescent="0.25">
      <c r="A98" s="471" t="s">
        <v>1789</v>
      </c>
      <c r="B98" s="1139">
        <f t="shared" ca="1" si="11"/>
        <v>0</v>
      </c>
      <c r="C98" s="473">
        <f t="shared" ca="1" si="9"/>
        <v>0</v>
      </c>
      <c r="D98" s="472" t="str">
        <f>RS!G111</f>
        <v/>
      </c>
      <c r="E98" s="472" t="str">
        <f>RS!H111</f>
        <v/>
      </c>
      <c r="F98" s="472" t="str">
        <f>RS!I111</f>
        <v/>
      </c>
      <c r="H98" s="471">
        <v>2</v>
      </c>
      <c r="I98" s="471">
        <v>0</v>
      </c>
      <c r="J98" s="471" t="str">
        <f t="shared" si="4"/>
        <v>othinc</v>
      </c>
      <c r="K98" s="471" t="str">
        <f t="shared" si="5"/>
        <v>net-exp</v>
      </c>
      <c r="L98" s="599"/>
      <c r="M98" s="471" t="s">
        <v>4741</v>
      </c>
      <c r="N98" s="471" t="s">
        <v>50</v>
      </c>
      <c r="O98" s="471" t="s">
        <v>42</v>
      </c>
    </row>
    <row r="99" spans="1:15" x14ac:dyDescent="0.25">
      <c r="A99" s="471" t="s">
        <v>1790</v>
      </c>
      <c r="B99" s="1139" t="e">
        <f ca="1">INDEX(INDIRECT(LEFT($A99,SEARCH("-",$A99,1)-1)&amp;"_data"),MATCH(MID($A99,SEARCH("-",$A99)+1,SEARCH("#",SUBSTITUTE($A99,"-","#",H99),1)-(SEARCH("-",$A99)+1)),INDIRECT(LEFT($A99,SEARCH("-",$A99,1)-1)&amp;"_rows"),0),MATCH(RIGHT($A99,LEN($A99)-LEN(LEFT($A99,SEARCH("#",SUBSTITUTE($A99,"-","#",H99),1)))),INDIRECT(LEFT($A99,SEARCH("-",$A99,1)-1)&amp;"_Header"),0))</f>
        <v>#N/A</v>
      </c>
      <c r="C99" s="473">
        <f t="shared" ca="1" si="9"/>
        <v>0</v>
      </c>
      <c r="D99" s="472" t="str">
        <f>RS!G112</f>
        <v/>
      </c>
      <c r="E99" s="472" t="e">
        <f>RS!H112</f>
        <v>#N/A</v>
      </c>
      <c r="F99" s="472" t="e">
        <f>RS!I112</f>
        <v>#N/A</v>
      </c>
      <c r="H99" s="471">
        <v>2</v>
      </c>
      <c r="I99" s="471">
        <v>0</v>
      </c>
      <c r="J99" s="471" t="str">
        <f t="shared" si="4"/>
        <v>ctrtot</v>
      </c>
      <c r="K99" s="471" t="str">
        <f t="shared" si="5"/>
        <v>net-exp</v>
      </c>
      <c r="L99" s="599"/>
      <c r="M99" s="471" t="s">
        <v>4741</v>
      </c>
      <c r="N99" s="471" t="s">
        <v>50</v>
      </c>
      <c r="O99" s="471" t="s">
        <v>42</v>
      </c>
    </row>
    <row r="100" spans="1:15" x14ac:dyDescent="0.25">
      <c r="A100" s="471" t="s">
        <v>4743</v>
      </c>
      <c r="B100" s="1139" t="e">
        <f t="shared" ref="B100:B103" ca="1" si="12">INDEX(INDIRECT(LEFT($A100,SEARCH("-",$A100,1)-1)&amp;"_res_data"),MATCH(MID($A100,SEARCH("-",$A100)+1,SEARCH("#",SUBSTITUTE($A100,"-","#",H100),1)-(SEARCH("-",$A100)+1)),INDIRECT(LEFT($A100,SEARCH("-",$A100,1)-1)&amp;"_res_rows"),0),MATCH(RIGHT($A100,LEN($A100)-LEN(LEFT($A100,SEARCH("#",SUBSTITUTE($A100,"-","#",H100),1)))),INDIRECT(LEFT($A100,SEARCH("-",$A100,1)-1)&amp;"_res_Header"),0))</f>
        <v>#N/A</v>
      </c>
      <c r="C100" s="473">
        <f ca="1">IF(ISERROR(VLOOKUP($A$112,INDIRECT("notes_"&amp;LEFT($A$112,2)),4,0)),0,VLOOKUP($A$112,INDIRECT("notes_"&amp;LEFT($A$112,2)),4,0))</f>
        <v>0</v>
      </c>
      <c r="D100" s="472" t="e">
        <f>RS!H121</f>
        <v>#N/A</v>
      </c>
      <c r="E100" s="472" t="e">
        <f>RS!I121</f>
        <v>#N/A</v>
      </c>
      <c r="F100" s="472" t="e">
        <f>RS!K121</f>
        <v>#N/A</v>
      </c>
      <c r="H100" s="471">
        <v>2</v>
      </c>
      <c r="I100" s="471">
        <v>0</v>
      </c>
      <c r="J100" s="471" t="str">
        <f t="shared" si="4"/>
        <v>ressch</v>
      </c>
      <c r="K100" s="471" t="str">
        <f t="shared" si="5"/>
        <v>start-cy</v>
      </c>
      <c r="L100" s="599"/>
      <c r="M100" s="475" t="s">
        <v>4744</v>
      </c>
      <c r="N100" s="475" t="s">
        <v>258</v>
      </c>
      <c r="O100" s="475" t="s">
        <v>255</v>
      </c>
    </row>
    <row r="101" spans="1:15" x14ac:dyDescent="0.25">
      <c r="A101" s="471" t="s">
        <v>4745</v>
      </c>
      <c r="B101" s="1139" t="e">
        <f t="shared" ca="1" si="12"/>
        <v>#N/A</v>
      </c>
      <c r="C101" s="473">
        <f ca="1">IF(ISERROR(VLOOKUP($A$113,INDIRECT("notes_"&amp;LEFT($A$113,2)),4,0)),0,VLOOKUP($A$113,INDIRECT("notes_"&amp;LEFT($A$113,2)),4,0))</f>
        <v>0</v>
      </c>
      <c r="D101" s="472" t="e">
        <f>RS!H122</f>
        <v>#N/A</v>
      </c>
      <c r="E101" s="472" t="e">
        <f>RS!I122</f>
        <v>#N/A</v>
      </c>
      <c r="F101" s="472" t="e">
        <f>RS!K122</f>
        <v>#N/A</v>
      </c>
      <c r="H101" s="471">
        <v>2</v>
      </c>
      <c r="I101" s="471">
        <v>0</v>
      </c>
      <c r="J101" s="471" t="str">
        <f t="shared" si="4"/>
        <v>resdsgadj</v>
      </c>
      <c r="K101" s="471" t="str">
        <f t="shared" si="5"/>
        <v>start-cy</v>
      </c>
      <c r="L101" s="599"/>
      <c r="M101" s="475" t="s">
        <v>4744</v>
      </c>
      <c r="N101" s="475" t="s">
        <v>258</v>
      </c>
      <c r="O101" s="475" t="s">
        <v>255</v>
      </c>
    </row>
    <row r="102" spans="1:15" x14ac:dyDescent="0.25">
      <c r="A102" s="471" t="s">
        <v>4746</v>
      </c>
      <c r="B102" s="1139" t="e">
        <f t="shared" ca="1" si="12"/>
        <v>#N/A</v>
      </c>
      <c r="C102" s="473">
        <f ca="1">IF(ISERROR(VLOOKUP($A$114,INDIRECT("notes_"&amp;LEFT($A$114,2)),4,0)),0,VLOOKUP($A$114,INDIRECT("notes_"&amp;LEFT($A$114,2)),4,0))</f>
        <v>0</v>
      </c>
      <c r="D102" s="472" t="e">
        <f>RS!H123</f>
        <v>#N/A</v>
      </c>
      <c r="E102" s="472" t="e">
        <f>RS!I123</f>
        <v>#N/A</v>
      </c>
      <c r="F102" s="472" t="e">
        <f>RS!K123</f>
        <v>#N/A</v>
      </c>
      <c r="H102" s="471">
        <v>2</v>
      </c>
      <c r="I102" s="471">
        <v>0</v>
      </c>
      <c r="J102" s="471" t="str">
        <f t="shared" ref="J102:J128" si="13">MID($A102,SEARCH("-",$A102)+1,SEARCH("#",SUBSTITUTE($A102,"-","#",H102),1)-(SEARCH("-",$A102)+1))</f>
        <v>resdsg</v>
      </c>
      <c r="K102" s="471" t="str">
        <f t="shared" ref="K102:K128" si="14">RIGHT($A102,LEN($A102)-SEARCH("#",SUBSTITUTE($A102,"-","#",H102),1))</f>
        <v>start-cy</v>
      </c>
      <c r="L102" s="599"/>
      <c r="M102" s="475" t="s">
        <v>4744</v>
      </c>
      <c r="N102" s="475" t="s">
        <v>258</v>
      </c>
      <c r="O102" s="475" t="s">
        <v>255</v>
      </c>
    </row>
    <row r="103" spans="1:15" x14ac:dyDescent="0.25">
      <c r="A103" s="471" t="s">
        <v>4747</v>
      </c>
      <c r="B103" s="1139" t="e">
        <f t="shared" ca="1" si="12"/>
        <v>#N/A</v>
      </c>
      <c r="C103" s="473">
        <f ca="1">IF(ISERROR(VLOOKUP($A$115,INDIRECT("notes_"&amp;LEFT($A$115,2)),4,0)),0,VLOOKUP($A$115,INDIRECT("notes_"&amp;LEFT($A$115,2)),4,0))</f>
        <v>0</v>
      </c>
      <c r="D103" s="472" t="e">
        <f>RS!H124</f>
        <v>#N/A</v>
      </c>
      <c r="E103" s="472" t="e">
        <f>RS!I124</f>
        <v>#N/A</v>
      </c>
      <c r="F103" s="472" t="e">
        <f>RS!K124</f>
        <v>#N/A</v>
      </c>
      <c r="H103" s="471">
        <v>2</v>
      </c>
      <c r="I103" s="471">
        <v>0</v>
      </c>
      <c r="J103" s="471" t="str">
        <f t="shared" si="13"/>
        <v>resph</v>
      </c>
      <c r="K103" s="471" t="str">
        <f t="shared" si="14"/>
        <v>start-cy</v>
      </c>
      <c r="L103" s="599"/>
      <c r="M103" s="475" t="s">
        <v>4744</v>
      </c>
      <c r="N103" s="475" t="s">
        <v>258</v>
      </c>
      <c r="O103" s="475" t="s">
        <v>255</v>
      </c>
    </row>
    <row r="104" spans="1:15" x14ac:dyDescent="0.25">
      <c r="A104" s="471" t="s">
        <v>4748</v>
      </c>
      <c r="B104" s="1139" t="e">
        <f t="shared" ref="B104" ca="1" si="15">INDEX(INDIRECT(LEFT($A104,SEARCH("-",$A104,1)-1)&amp;"_res_data"),MATCH(MID($A104,SEARCH("-",$A104)+1,SEARCH("#",SUBSTITUTE($A104,"-","#",H104),1)-(SEARCH("-",$A104)+1)),INDIRECT(LEFT($A104,SEARCH("-",$A104,1)-1)&amp;"_res_rows"),0),MATCH(RIGHT($A104,LEN($A104)-LEN(LEFT($A104,SEARCH("#",SUBSTITUTE($A104,"-","#",H104),1)))),INDIRECT(LEFT($A104,SEARCH("-",$A104,1)-1)&amp;"_res_Header"),0))</f>
        <v>#N/A</v>
      </c>
      <c r="C104" s="473">
        <f ca="1">IF(ISERROR(VLOOKUP($A$116,INDIRECT("notes_"&amp;LEFT($A$116,2)),4,0)),0,VLOOKUP($A$116,INDIRECT("notes_"&amp;LEFT($A$116,2)),4,0))</f>
        <v>0</v>
      </c>
      <c r="D104" s="472" t="e">
        <f>RS!H125</f>
        <v>#N/A</v>
      </c>
      <c r="E104" s="472" t="e">
        <f>RS!I125</f>
        <v>#N/A</v>
      </c>
      <c r="F104" s="472" t="e">
        <f>RS!K125</f>
        <v>#N/A</v>
      </c>
      <c r="H104" s="471">
        <v>2</v>
      </c>
      <c r="I104" s="471">
        <v>0</v>
      </c>
      <c r="J104" s="471" t="str">
        <f t="shared" si="13"/>
        <v>resoth</v>
      </c>
      <c r="K104" s="471" t="str">
        <f t="shared" si="14"/>
        <v>start-cy</v>
      </c>
      <c r="L104" s="599"/>
      <c r="M104" s="475" t="s">
        <v>4744</v>
      </c>
      <c r="N104" s="475" t="s">
        <v>258</v>
      </c>
      <c r="O104" s="475" t="s">
        <v>255</v>
      </c>
    </row>
    <row r="105" spans="1:15" x14ac:dyDescent="0.25">
      <c r="A105" s="471" t="s">
        <v>4749</v>
      </c>
      <c r="B105" s="1139" t="e">
        <f t="shared" ref="B105:B109" ca="1" si="16">INDEX(INDIRECT(LEFT($A105,SEARCH("-",$A105,1)-1)&amp;"_res_data"),MATCH(MID($A105,SEARCH("-",$A105)+1,SEARCH("#",SUBSTITUTE($A105,"-","#",2),1)-(SEARCH("-",$A105)+1)),INDIRECT(LEFT($A105,SEARCH("-",$A105,1)-1)&amp;"_res_rows"),0),MATCH(RIGHT(A105,LEN(A105)-LEN(LEFT($A105,SEARCH("#",SUBSTITUTE($A105,"-","#",2),1)))),INDIRECT(LEFT($A105,SEARCH("-",$A105,1)-1)&amp;"_ors_Header"),0))</f>
        <v>#N/A</v>
      </c>
      <c r="C105" s="474">
        <f ca="1">IF(ISERROR(VLOOKUP($A$117,INDIRECT("notes_"&amp;LEFT($A$117,2)),4,0)),0,VLOOKUP($A$117,INDIRECT("notes_"&amp;LEFT($A$117,2)),4,0))</f>
        <v>0</v>
      </c>
      <c r="D105" s="472" t="e">
        <f>RS!H127</f>
        <v>#N/A</v>
      </c>
      <c r="E105" s="472" t="e">
        <f>RS!I127</f>
        <v>#N/A</v>
      </c>
      <c r="F105" s="472"/>
      <c r="H105" s="471">
        <v>2</v>
      </c>
      <c r="I105" s="471">
        <v>0</v>
      </c>
      <c r="J105" s="471" t="str">
        <f t="shared" si="13"/>
        <v>resothcont</v>
      </c>
      <c r="K105" s="471" t="str">
        <f t="shared" si="14"/>
        <v>strt-cy</v>
      </c>
      <c r="L105" s="599"/>
      <c r="M105" s="475" t="s">
        <v>4744</v>
      </c>
      <c r="N105" s="475" t="s">
        <v>258</v>
      </c>
      <c r="O105" s="475" t="s">
        <v>292</v>
      </c>
    </row>
    <row r="106" spans="1:15" x14ac:dyDescent="0.25">
      <c r="A106" s="471" t="s">
        <v>4750</v>
      </c>
      <c r="B106" s="1139" t="e">
        <f t="shared" ca="1" si="16"/>
        <v>#N/A</v>
      </c>
      <c r="C106" s="474">
        <f ca="1">IF(ISERROR(VLOOKUP($A$118,INDIRECT("notes_"&amp;LEFT($A$118,2)),4,0)),0,VLOOKUP($A$118,INDIRECT("notes_"&amp;LEFT($A$118,2)),4,0))</f>
        <v>0</v>
      </c>
      <c r="D106" s="472" t="e">
        <f>RS!H128</f>
        <v>#N/A</v>
      </c>
      <c r="E106" s="472" t="e">
        <f>RS!I128</f>
        <v>#N/A</v>
      </c>
      <c r="F106" s="472"/>
      <c r="H106" s="471">
        <v>2</v>
      </c>
      <c r="I106" s="471">
        <v>0</v>
      </c>
      <c r="J106" s="471" t="str">
        <f t="shared" si="13"/>
        <v>resothfut</v>
      </c>
      <c r="K106" s="471" t="str">
        <f t="shared" si="14"/>
        <v>strt-cy</v>
      </c>
      <c r="L106" s="599"/>
      <c r="M106" s="475" t="s">
        <v>4744</v>
      </c>
      <c r="N106" s="475" t="s">
        <v>258</v>
      </c>
      <c r="O106" s="475" t="s">
        <v>292</v>
      </c>
    </row>
    <row r="107" spans="1:15" x14ac:dyDescent="0.25">
      <c r="A107" s="471" t="s">
        <v>4751</v>
      </c>
      <c r="B107" s="1139" t="e">
        <f t="shared" ca="1" si="16"/>
        <v>#N/A</v>
      </c>
      <c r="C107" s="474">
        <f ca="1">IF(ISERROR(VLOOKUP($A$119,INDIRECT("notes_"&amp;LEFT($A$119,2)),4,0)),0,VLOOKUP($A$119,INDIRECT("notes_"&amp;LEFT($A$119,2)),4,0))</f>
        <v>0</v>
      </c>
      <c r="D107" s="472" t="e">
        <f>RS!H129</f>
        <v>#N/A</v>
      </c>
      <c r="E107" s="472" t="e">
        <f>RS!I129</f>
        <v>#N/A</v>
      </c>
      <c r="F107" s="472"/>
      <c r="H107" s="471">
        <v>2</v>
      </c>
      <c r="I107" s="471">
        <v>0</v>
      </c>
      <c r="J107" s="471" t="str">
        <f t="shared" si="13"/>
        <v>resothspec</v>
      </c>
      <c r="K107" s="471" t="str">
        <f t="shared" si="14"/>
        <v>strt-cy</v>
      </c>
      <c r="L107" s="599"/>
      <c r="M107" s="475" t="s">
        <v>4744</v>
      </c>
      <c r="N107" s="475" t="s">
        <v>258</v>
      </c>
      <c r="O107" s="475" t="s">
        <v>292</v>
      </c>
    </row>
    <row r="108" spans="1:15" x14ac:dyDescent="0.25">
      <c r="A108" s="471" t="s">
        <v>4752</v>
      </c>
      <c r="B108" s="1139" t="e">
        <f t="shared" ca="1" si="16"/>
        <v>#N/A</v>
      </c>
      <c r="C108" s="474">
        <f ca="1">IF(ISERROR(VLOOKUP($A$120,INDIRECT("notes_"&amp;LEFT($A$120,2)),4,0)),0,VLOOKUP($A$120,INDIRECT("notes_"&amp;LEFT($A$120,2)),4,0))</f>
        <v>0</v>
      </c>
      <c r="D108" s="472" t="e">
        <f>RS!H130</f>
        <v>#N/A</v>
      </c>
      <c r="E108" s="472" t="e">
        <f>RS!I130</f>
        <v>#N/A</v>
      </c>
      <c r="F108" s="472"/>
      <c r="H108" s="471">
        <v>2</v>
      </c>
      <c r="I108" s="471">
        <v>0</v>
      </c>
      <c r="J108" s="471" t="str">
        <f t="shared" si="13"/>
        <v>resothbdg</v>
      </c>
      <c r="K108" s="471" t="str">
        <f t="shared" si="14"/>
        <v>strt-cy</v>
      </c>
      <c r="L108" s="599"/>
      <c r="M108" s="475" t="s">
        <v>4744</v>
      </c>
      <c r="N108" s="475" t="s">
        <v>258</v>
      </c>
      <c r="O108" s="475" t="s">
        <v>292</v>
      </c>
    </row>
    <row r="109" spans="1:15" x14ac:dyDescent="0.25">
      <c r="A109" s="471" t="s">
        <v>4753</v>
      </c>
      <c r="B109" s="1139" t="e">
        <f t="shared" ca="1" si="16"/>
        <v>#N/A</v>
      </c>
      <c r="C109" s="474">
        <f ca="1">IF(ISERROR(VLOOKUP($A$121,INDIRECT("notes_"&amp;LEFT($A$121,2)),4,0)),0,VLOOKUP($A$121,INDIRECT("notes_"&amp;LEFT($A$121,2)),4,0))</f>
        <v>0</v>
      </c>
      <c r="D109" s="472" t="e">
        <f>RS!H131</f>
        <v>#N/A</v>
      </c>
      <c r="E109" s="472" t="e">
        <f>RS!I131</f>
        <v>#N/A</v>
      </c>
      <c r="F109" s="472"/>
      <c r="G109" s="471" t="str">
        <f>RS!C133</f>
        <v>type description of amounts recorded in line 1027</v>
      </c>
      <c r="H109" s="471">
        <v>2</v>
      </c>
      <c r="I109" s="471">
        <v>0</v>
      </c>
      <c r="J109" s="471" t="str">
        <f t="shared" si="13"/>
        <v>resothoth</v>
      </c>
      <c r="K109" s="471" t="str">
        <f t="shared" si="14"/>
        <v>strt-cy</v>
      </c>
      <c r="L109" s="599"/>
      <c r="M109" s="475" t="s">
        <v>4744</v>
      </c>
      <c r="N109" s="475" t="s">
        <v>258</v>
      </c>
      <c r="O109" s="475" t="s">
        <v>292</v>
      </c>
    </row>
    <row r="110" spans="1:15" x14ac:dyDescent="0.25">
      <c r="A110" s="471" t="s">
        <v>4754</v>
      </c>
      <c r="B110" s="1139" t="e">
        <f t="shared" ref="B110:B121" ca="1" si="17">INDEX(INDIRECT(LEFT($A110,SEARCH("-",$A110,1)-1)&amp;"_res_data"),MATCH(MID($A110,SEARCH("-",$A110)+1,SEARCH("#",SUBSTITUTE($A110,"-","#",H110),1)-(SEARCH("-",$A110)+1)),INDIRECT(LEFT($A110,SEARCH("-",$A110,1)-1)&amp;"_res_rows"),0),MATCH(RIGHT($A110,LEN($A110)-LEN(LEFT($A110,SEARCH("#",SUBSTITUTE($A110,"-","#",H110),1)))),INDIRECT(LEFT($A110,SEARCH("-",$A110,1)-1)&amp;"_res_Header"),0))</f>
        <v>#N/A</v>
      </c>
      <c r="C110" s="473">
        <f ca="1">IF(ISERROR(VLOOKUP($A$122,INDIRECT("notes_"&amp;LEFT($A$122,2)),4,0)),0,VLOOKUP($A$122,INDIRECT("notes_"&amp;LEFT($A$122,2)),4,0))</f>
        <v>0</v>
      </c>
      <c r="D110" s="472" t="e">
        <f>RS!H134</f>
        <v>#N/A</v>
      </c>
      <c r="E110" s="472" t="e">
        <f>RS!I134</f>
        <v>#N/A</v>
      </c>
      <c r="F110" s="472" t="e">
        <f>RS!K134</f>
        <v>#N/A</v>
      </c>
      <c r="H110" s="471">
        <v>2</v>
      </c>
      <c r="I110" s="471">
        <v>0</v>
      </c>
      <c r="J110" s="471" t="str">
        <f t="shared" si="13"/>
        <v>resunall</v>
      </c>
      <c r="K110" s="471" t="str">
        <f t="shared" si="14"/>
        <v>start-cy</v>
      </c>
      <c r="L110" s="599"/>
      <c r="M110" s="475" t="s">
        <v>4744</v>
      </c>
      <c r="N110" s="475" t="s">
        <v>258</v>
      </c>
      <c r="O110" s="475" t="s">
        <v>255</v>
      </c>
    </row>
    <row r="111" spans="1:15" x14ac:dyDescent="0.25">
      <c r="A111" s="471" t="s">
        <v>1802</v>
      </c>
      <c r="B111" s="1139">
        <f t="shared" ca="1" si="17"/>
        <v>0</v>
      </c>
      <c r="C111" s="473">
        <f ca="1">IF(ISERROR(VLOOKUP(A111,INDIRECT("notes_"&amp;LEFT(A111,2)),4,0)),0,VLOOKUP(A111,INDIRECT("notes_"&amp;LEFT(A111,2)),4,0))</f>
        <v>0</v>
      </c>
      <c r="D111" s="472">
        <f>RS!H135</f>
        <v>0</v>
      </c>
      <c r="E111" s="472">
        <f>RS!I135</f>
        <v>0</v>
      </c>
      <c r="F111" s="472" t="str">
        <f>RS!K135</f>
        <v/>
      </c>
      <c r="H111" s="471">
        <v>2</v>
      </c>
      <c r="I111" s="471">
        <v>0</v>
      </c>
      <c r="J111" s="471" t="str">
        <f t="shared" si="13"/>
        <v>pyadj</v>
      </c>
      <c r="K111" s="471" t="str">
        <f t="shared" si="14"/>
        <v>start-cy</v>
      </c>
      <c r="L111" s="599"/>
      <c r="M111" s="475" t="s">
        <v>4744</v>
      </c>
      <c r="N111" s="475" t="s">
        <v>258</v>
      </c>
      <c r="O111" s="475" t="s">
        <v>255</v>
      </c>
    </row>
    <row r="112" spans="1:15" x14ac:dyDescent="0.25">
      <c r="A112" s="471" t="s">
        <v>1791</v>
      </c>
      <c r="B112" s="1139">
        <f t="shared" ca="1" si="17"/>
        <v>0</v>
      </c>
      <c r="C112" s="473">
        <f ca="1">IF(ISERROR(VLOOKUP($A$112,INDIRECT("notes_"&amp;LEFT($A$112,2)),4,0)),0,VLOOKUP($A$112,INDIRECT("notes_"&amp;LEFT($A$112,2)),4,0))</f>
        <v>0</v>
      </c>
      <c r="D112" s="472" t="e">
        <f>RS!H121</f>
        <v>#N/A</v>
      </c>
      <c r="E112" s="472" t="e">
        <f>RS!I121</f>
        <v>#N/A</v>
      </c>
      <c r="F112" s="472" t="e">
        <f>RS!J121</f>
        <v>#N/A</v>
      </c>
      <c r="G112" s="472" t="str">
        <f>RS!M121</f>
        <v/>
      </c>
      <c r="H112" s="471">
        <v>2</v>
      </c>
      <c r="I112" s="471">
        <v>0</v>
      </c>
      <c r="J112" s="471" t="str">
        <f t="shared" si="13"/>
        <v>ressch</v>
      </c>
      <c r="K112" s="471" t="str">
        <f t="shared" si="14"/>
        <v>end-cy</v>
      </c>
      <c r="L112" s="698"/>
      <c r="M112" s="475" t="s">
        <v>4744</v>
      </c>
      <c r="N112" s="475" t="s">
        <v>258</v>
      </c>
      <c r="O112" s="475" t="s">
        <v>255</v>
      </c>
    </row>
    <row r="113" spans="1:15" x14ac:dyDescent="0.25">
      <c r="A113" s="471" t="s">
        <v>1792</v>
      </c>
      <c r="B113" s="1139">
        <f t="shared" ca="1" si="17"/>
        <v>0</v>
      </c>
      <c r="C113" s="473">
        <f ca="1">IF(ISERROR(VLOOKUP($A$113,INDIRECT("notes_"&amp;LEFT($A$113,2)),4,0)),0,VLOOKUP($A$113,INDIRECT("notes_"&amp;LEFT($A$113,2)),4,0))</f>
        <v>0</v>
      </c>
      <c r="D113" s="472" t="e">
        <f>RS!H122</f>
        <v>#N/A</v>
      </c>
      <c r="E113" s="472" t="e">
        <f>RS!I122</f>
        <v>#N/A</v>
      </c>
      <c r="F113" s="472" t="e">
        <f>RS!J122</f>
        <v>#N/A</v>
      </c>
      <c r="G113" s="472"/>
      <c r="H113" s="471">
        <v>2</v>
      </c>
      <c r="I113" s="471">
        <v>0</v>
      </c>
      <c r="J113" s="471" t="str">
        <f t="shared" si="13"/>
        <v>resdsgadj</v>
      </c>
      <c r="K113" s="471" t="str">
        <f t="shared" si="14"/>
        <v>end-cy</v>
      </c>
      <c r="L113" s="698"/>
      <c r="M113" s="475" t="s">
        <v>4744</v>
      </c>
      <c r="N113" s="475" t="s">
        <v>258</v>
      </c>
      <c r="O113" s="475" t="s">
        <v>255</v>
      </c>
    </row>
    <row r="114" spans="1:15" x14ac:dyDescent="0.25">
      <c r="A114" s="471" t="s">
        <v>1793</v>
      </c>
      <c r="B114" s="1139">
        <f t="shared" ca="1" si="17"/>
        <v>0</v>
      </c>
      <c r="C114" s="473">
        <f ca="1">IF(ISERROR(VLOOKUP($A$114,INDIRECT("notes_"&amp;LEFT($A$114,2)),4,0)),0,VLOOKUP($A$114,INDIRECT("notes_"&amp;LEFT($A$114,2)),4,0))</f>
        <v>0</v>
      </c>
      <c r="D114" s="472" t="e">
        <f>RS!H123</f>
        <v>#N/A</v>
      </c>
      <c r="E114" s="472" t="e">
        <f>RS!I123</f>
        <v>#N/A</v>
      </c>
      <c r="F114" s="472" t="e">
        <f>RS!J123</f>
        <v>#N/A</v>
      </c>
      <c r="G114" s="472" t="str">
        <f>RS!M123</f>
        <v/>
      </c>
      <c r="H114" s="471">
        <v>2</v>
      </c>
      <c r="I114" s="471">
        <v>0</v>
      </c>
      <c r="J114" s="471" t="str">
        <f t="shared" si="13"/>
        <v>resdsg</v>
      </c>
      <c r="K114" s="471" t="str">
        <f t="shared" si="14"/>
        <v>end-cy</v>
      </c>
      <c r="L114" s="698"/>
      <c r="M114" s="475" t="s">
        <v>4744</v>
      </c>
      <c r="N114" s="475" t="s">
        <v>258</v>
      </c>
      <c r="O114" s="475" t="s">
        <v>255</v>
      </c>
    </row>
    <row r="115" spans="1:15" x14ac:dyDescent="0.25">
      <c r="A115" s="471" t="s">
        <v>1794</v>
      </c>
      <c r="B115" s="1139">
        <f t="shared" ca="1" si="17"/>
        <v>0</v>
      </c>
      <c r="C115" s="473">
        <f ca="1">IF(ISERROR(VLOOKUP($A$115,INDIRECT("notes_"&amp;LEFT($A$115,2)),4,0)),0,VLOOKUP($A$115,INDIRECT("notes_"&amp;LEFT($A$115,2)),4,0))</f>
        <v>0</v>
      </c>
      <c r="D115" s="472" t="e">
        <f>RS!H124</f>
        <v>#N/A</v>
      </c>
      <c r="E115" s="472" t="e">
        <f>RS!I124</f>
        <v>#N/A</v>
      </c>
      <c r="F115" s="472" t="e">
        <f>RS!J124</f>
        <v>#N/A</v>
      </c>
      <c r="G115" s="472" t="str">
        <f>RS!M124</f>
        <v/>
      </c>
      <c r="H115" s="471">
        <v>2</v>
      </c>
      <c r="I115" s="471">
        <v>0</v>
      </c>
      <c r="J115" s="471" t="str">
        <f t="shared" si="13"/>
        <v>resph</v>
      </c>
      <c r="K115" s="471" t="str">
        <f t="shared" si="14"/>
        <v>end-cy</v>
      </c>
      <c r="L115" s="698"/>
      <c r="M115" s="475" t="s">
        <v>4744</v>
      </c>
      <c r="N115" s="475" t="s">
        <v>258</v>
      </c>
      <c r="O115" s="475" t="s">
        <v>255</v>
      </c>
    </row>
    <row r="116" spans="1:15" x14ac:dyDescent="0.25">
      <c r="A116" s="471" t="s">
        <v>1795</v>
      </c>
      <c r="B116" s="1139">
        <f t="shared" ca="1" si="17"/>
        <v>0</v>
      </c>
      <c r="C116" s="473">
        <f ca="1">IF(ISERROR(VLOOKUP($A$116,INDIRECT("notes_"&amp;LEFT($A$116,2)),4,0)),0,VLOOKUP($A$116,INDIRECT("notes_"&amp;LEFT($A$116,2)),4,0))</f>
        <v>0</v>
      </c>
      <c r="D116" s="472" t="e">
        <f>RS!H125</f>
        <v>#N/A</v>
      </c>
      <c r="E116" s="472" t="e">
        <f>RS!I125</f>
        <v>#N/A</v>
      </c>
      <c r="F116" s="472" t="e">
        <f>RS!J125</f>
        <v>#N/A</v>
      </c>
      <c r="G116" s="472" t="str">
        <f>RS!M125</f>
        <v/>
      </c>
      <c r="H116" s="471">
        <v>2</v>
      </c>
      <c r="I116" s="471">
        <v>0</v>
      </c>
      <c r="J116" s="471" t="str">
        <f t="shared" si="13"/>
        <v>resoth</v>
      </c>
      <c r="K116" s="471" t="str">
        <f t="shared" si="14"/>
        <v>end-cy</v>
      </c>
      <c r="L116" s="698"/>
      <c r="M116" s="475" t="s">
        <v>4744</v>
      </c>
      <c r="N116" s="475" t="s">
        <v>258</v>
      </c>
      <c r="O116" s="475" t="s">
        <v>255</v>
      </c>
    </row>
    <row r="117" spans="1:15" x14ac:dyDescent="0.25">
      <c r="A117" s="471" t="s">
        <v>1796</v>
      </c>
      <c r="B117" s="1139">
        <f t="shared" ca="1" si="17"/>
        <v>0</v>
      </c>
      <c r="C117" s="474">
        <f ca="1">IF(ISERROR(VLOOKUP($A$117,INDIRECT("notes_"&amp;LEFT($A$117,2)),4,0)),0,VLOOKUP($A$117,INDIRECT("notes_"&amp;LEFT($A$117,2)),4,0))</f>
        <v>0</v>
      </c>
      <c r="D117" s="472" t="e">
        <f>RS!H127</f>
        <v>#N/A</v>
      </c>
      <c r="E117" s="472" t="e">
        <f>RS!I127</f>
        <v>#N/A</v>
      </c>
      <c r="F117" s="472"/>
      <c r="G117" s="472"/>
      <c r="H117" s="471">
        <v>2</v>
      </c>
      <c r="I117" s="471">
        <v>0</v>
      </c>
      <c r="J117" s="471" t="str">
        <f t="shared" si="13"/>
        <v>resothcont</v>
      </c>
      <c r="K117" s="471" t="str">
        <f t="shared" si="14"/>
        <v>end-cy</v>
      </c>
      <c r="L117" s="698"/>
      <c r="M117" s="475" t="s">
        <v>4744</v>
      </c>
      <c r="N117" s="475" t="s">
        <v>258</v>
      </c>
      <c r="O117" s="475" t="s">
        <v>255</v>
      </c>
    </row>
    <row r="118" spans="1:15" x14ac:dyDescent="0.25">
      <c r="A118" s="471" t="s">
        <v>1797</v>
      </c>
      <c r="B118" s="1139">
        <f t="shared" ca="1" si="17"/>
        <v>0</v>
      </c>
      <c r="C118" s="474">
        <f ca="1">IF(ISERROR(VLOOKUP($A$118,INDIRECT("notes_"&amp;LEFT($A$118,2)),4,0)),0,VLOOKUP($A$118,INDIRECT("notes_"&amp;LEFT($A$118,2)),4,0))</f>
        <v>0</v>
      </c>
      <c r="D118" s="472" t="e">
        <f>RS!H128</f>
        <v>#N/A</v>
      </c>
      <c r="E118" s="472" t="e">
        <f>RS!I128</f>
        <v>#N/A</v>
      </c>
      <c r="F118" s="472"/>
      <c r="G118" s="472"/>
      <c r="H118" s="471">
        <v>2</v>
      </c>
      <c r="I118" s="471">
        <v>0</v>
      </c>
      <c r="J118" s="471" t="str">
        <f t="shared" si="13"/>
        <v>resothfut</v>
      </c>
      <c r="K118" s="471" t="str">
        <f t="shared" si="14"/>
        <v>end-cy</v>
      </c>
      <c r="L118" s="698"/>
      <c r="M118" s="475" t="s">
        <v>4744</v>
      </c>
      <c r="N118" s="475" t="s">
        <v>258</v>
      </c>
      <c r="O118" s="475" t="s">
        <v>255</v>
      </c>
    </row>
    <row r="119" spans="1:15" x14ac:dyDescent="0.25">
      <c r="A119" s="471" t="s">
        <v>1798</v>
      </c>
      <c r="B119" s="1139">
        <f t="shared" ca="1" si="17"/>
        <v>0</v>
      </c>
      <c r="C119" s="474">
        <f ca="1">IF(ISERROR(VLOOKUP($A$119,INDIRECT("notes_"&amp;LEFT($A$119,2)),4,0)),0,VLOOKUP($A$119,INDIRECT("notes_"&amp;LEFT($A$119,2)),4,0))</f>
        <v>0</v>
      </c>
      <c r="D119" s="472" t="e">
        <f>RS!H129</f>
        <v>#N/A</v>
      </c>
      <c r="E119" s="472" t="e">
        <f>RS!I129</f>
        <v>#N/A</v>
      </c>
      <c r="F119" s="472"/>
      <c r="G119" s="472"/>
      <c r="H119" s="471">
        <v>2</v>
      </c>
      <c r="I119" s="471">
        <v>0</v>
      </c>
      <c r="J119" s="471" t="str">
        <f t="shared" si="13"/>
        <v>resothspec</v>
      </c>
      <c r="K119" s="471" t="str">
        <f t="shared" si="14"/>
        <v>end-cy</v>
      </c>
      <c r="L119" s="698"/>
      <c r="M119" s="475" t="s">
        <v>4744</v>
      </c>
      <c r="N119" s="475" t="s">
        <v>258</v>
      </c>
      <c r="O119" s="475" t="s">
        <v>255</v>
      </c>
    </row>
    <row r="120" spans="1:15" x14ac:dyDescent="0.25">
      <c r="A120" s="471" t="s">
        <v>1799</v>
      </c>
      <c r="B120" s="1139">
        <f t="shared" ca="1" si="17"/>
        <v>0</v>
      </c>
      <c r="C120" s="474">
        <f ca="1">IF(ISERROR(VLOOKUP($A$120,INDIRECT("notes_"&amp;LEFT($A$120,2)),4,0)),0,VLOOKUP($A$120,INDIRECT("notes_"&amp;LEFT($A$120,2)),4,0))</f>
        <v>0</v>
      </c>
      <c r="D120" s="472" t="e">
        <f>RS!H130</f>
        <v>#N/A</v>
      </c>
      <c r="E120" s="472" t="e">
        <f>RS!I130</f>
        <v>#N/A</v>
      </c>
      <c r="F120" s="472"/>
      <c r="G120" s="472"/>
      <c r="H120" s="471">
        <v>2</v>
      </c>
      <c r="I120" s="471">
        <v>0</v>
      </c>
      <c r="J120" s="471" t="str">
        <f t="shared" si="13"/>
        <v>resothbdg</v>
      </c>
      <c r="K120" s="471" t="str">
        <f t="shared" si="14"/>
        <v>end-cy</v>
      </c>
      <c r="L120" s="698"/>
      <c r="M120" s="475" t="s">
        <v>4744</v>
      </c>
      <c r="N120" s="475" t="s">
        <v>258</v>
      </c>
      <c r="O120" s="475" t="s">
        <v>255</v>
      </c>
    </row>
    <row r="121" spans="1:15" x14ac:dyDescent="0.25">
      <c r="A121" s="471" t="s">
        <v>1800</v>
      </c>
      <c r="B121" s="1139">
        <f t="shared" ca="1" si="17"/>
        <v>0</v>
      </c>
      <c r="C121" s="474">
        <f ca="1">IF(ISERROR(VLOOKUP($A$121,INDIRECT("notes_"&amp;LEFT($A$121,2)),4,0)),0,VLOOKUP($A$121,INDIRECT("notes_"&amp;LEFT($A$121,2)),4,0))</f>
        <v>0</v>
      </c>
      <c r="D121" s="472" t="e">
        <f>RS!H131</f>
        <v>#N/A</v>
      </c>
      <c r="E121" s="472" t="e">
        <f>RS!I131</f>
        <v>#N/A</v>
      </c>
      <c r="F121" s="472"/>
      <c r="G121" s="472" t="str">
        <f>RS!C133</f>
        <v>type description of amounts recorded in line 1027</v>
      </c>
      <c r="H121" s="471">
        <v>2</v>
      </c>
      <c r="I121" s="471">
        <v>0</v>
      </c>
      <c r="J121" s="471" t="str">
        <f t="shared" si="13"/>
        <v>resothoth</v>
      </c>
      <c r="K121" s="471" t="str">
        <f t="shared" si="14"/>
        <v>end-cy</v>
      </c>
      <c r="L121" s="698"/>
      <c r="M121" s="475" t="s">
        <v>4744</v>
      </c>
      <c r="N121" s="475" t="s">
        <v>258</v>
      </c>
      <c r="O121" s="475" t="s">
        <v>255</v>
      </c>
    </row>
    <row r="122" spans="1:15" x14ac:dyDescent="0.25">
      <c r="A122" s="471" t="s">
        <v>1801</v>
      </c>
      <c r="B122" s="1139">
        <f ca="1">INDEX(INDIRECT(LEFT($A122,SEARCH("-",$A122,1)-1)&amp;"_res_data"),MATCH(MID($A122,SEARCH("-",$A122)+1,SEARCH("#",SUBSTITUTE($A122,"-","#",H122),1)-(SEARCH("-",$A122)+1)),INDIRECT(LEFT($A122,SEARCH("-",$A122,1)-1)&amp;"_res_rows"),0),MATCH(RIGHT($A122,LEN($A122)-LEN(LEFT($A122,SEARCH("#",SUBSTITUTE($A122,"-","#",H122),1)))),INDIRECT(LEFT($A122,SEARCH("-",$A122,1)-1)&amp;"_res_Header"),0))</f>
        <v>0</v>
      </c>
      <c r="C122" s="473">
        <f ca="1">IF(ISERROR(VLOOKUP($A$122,INDIRECT("notes_"&amp;LEFT($A$122,2)),4,0)),0,VLOOKUP($A$122,INDIRECT("notes_"&amp;LEFT($A$122,2)),4,0))</f>
        <v>0</v>
      </c>
      <c r="D122" s="472" t="e">
        <f>RS!H134</f>
        <v>#N/A</v>
      </c>
      <c r="E122" s="472" t="e">
        <f>RS!I134</f>
        <v>#N/A</v>
      </c>
      <c r="F122" s="472" t="e">
        <f>RS!J134</f>
        <v>#N/A</v>
      </c>
      <c r="G122" s="472" t="str">
        <f>RS!M134</f>
        <v/>
      </c>
      <c r="H122" s="471">
        <v>2</v>
      </c>
      <c r="I122" s="471">
        <v>0</v>
      </c>
      <c r="J122" s="471" t="str">
        <f t="shared" si="13"/>
        <v>resunall</v>
      </c>
      <c r="K122" s="471" t="str">
        <f t="shared" si="14"/>
        <v>end-cy</v>
      </c>
      <c r="L122" s="698"/>
      <c r="M122" s="475" t="s">
        <v>4744</v>
      </c>
      <c r="N122" s="475" t="s">
        <v>258</v>
      </c>
      <c r="O122" s="475" t="s">
        <v>255</v>
      </c>
    </row>
    <row r="123" spans="1:15" x14ac:dyDescent="0.25">
      <c r="A123" s="471" t="s">
        <v>1803</v>
      </c>
      <c r="B123" s="1139">
        <f t="shared" ref="B123:B135" ca="1" si="18">INDEX(INDIRECT(LEFT($A123,SEARCH("-",$A123,1)-1)&amp;"_data"),MATCH(MID($A123,SEARCH("-",$A123)+1,SEARCH("#",SUBSTITUTE($A123,"-","#",H123),1)-(SEARCH("-",$A123)+1)),INDIRECT(LEFT($A123,SEARCH("-",$A123,1)-1)&amp;"_rows"),0),MATCH(RIGHT($A123,LEN($A123)-LEN(LEFT($A123,SEARCH("#",SUBSTITUTE($A123,"-","#",H123),1)))),INDIRECT(LEFT($A123,SEARCH("-",$A123,1)-1)&amp;"_Header"),0))</f>
        <v>0</v>
      </c>
      <c r="C123" s="473">
        <f t="shared" ref="C123:C140" ca="1" si="19">IF(ISERROR(VLOOKUP(A123,INDIRECT("notes_"&amp;LEFT(A123,2)),4,0)),0,VLOOKUP(A123,INDIRECT("notes_"&amp;LEFT(A123,2)),4,0))</f>
        <v>0</v>
      </c>
      <c r="D123" s="472" t="str">
        <f>RS!G140</f>
        <v/>
      </c>
      <c r="E123" s="472" t="str">
        <f>RS!H140</f>
        <v/>
      </c>
      <c r="F123" s="472" t="str">
        <f>RS!I140</f>
        <v/>
      </c>
      <c r="H123" s="471">
        <v>2</v>
      </c>
      <c r="I123" s="471">
        <v>0</v>
      </c>
      <c r="J123" s="471" t="str">
        <f t="shared" si="13"/>
        <v>capdep</v>
      </c>
      <c r="K123" s="471" t="str">
        <f t="shared" si="14"/>
        <v>net-exp</v>
      </c>
      <c r="L123" s="599"/>
      <c r="M123" s="471" t="s">
        <v>4741</v>
      </c>
      <c r="N123" s="471" t="s">
        <v>50</v>
      </c>
      <c r="O123" s="471" t="s">
        <v>42</v>
      </c>
    </row>
    <row r="124" spans="1:15" x14ac:dyDescent="0.25">
      <c r="A124" s="471" t="s">
        <v>1804</v>
      </c>
      <c r="B124" s="1139">
        <f t="shared" ca="1" si="18"/>
        <v>0</v>
      </c>
      <c r="C124" s="473">
        <f t="shared" ca="1" si="19"/>
        <v>0</v>
      </c>
      <c r="D124" s="472" t="str">
        <f>RS!G141</f>
        <v/>
      </c>
      <c r="E124" s="472" t="str">
        <f>RS!H141</f>
        <v/>
      </c>
      <c r="F124" s="472" t="str">
        <f>RS!I141</f>
        <v/>
      </c>
      <c r="H124" s="471">
        <v>2</v>
      </c>
      <c r="I124" s="471">
        <v>0</v>
      </c>
      <c r="J124" s="471" t="str">
        <f t="shared" si="13"/>
        <v>caploss</v>
      </c>
      <c r="K124" s="471" t="str">
        <f t="shared" si="14"/>
        <v>net-exp</v>
      </c>
      <c r="L124" s="599"/>
      <c r="M124" s="471" t="s">
        <v>4741</v>
      </c>
      <c r="N124" s="471" t="s">
        <v>50</v>
      </c>
      <c r="O124" s="471" t="s">
        <v>42</v>
      </c>
    </row>
    <row r="125" spans="1:15" x14ac:dyDescent="0.25">
      <c r="A125" s="471" t="s">
        <v>1805</v>
      </c>
      <c r="B125" s="1139">
        <f t="shared" ca="1" si="18"/>
        <v>0</v>
      </c>
      <c r="C125" s="473">
        <f t="shared" ca="1" si="19"/>
        <v>0</v>
      </c>
      <c r="D125" s="472"/>
      <c r="E125" s="472"/>
      <c r="F125" s="472"/>
      <c r="H125" s="471">
        <v>2</v>
      </c>
      <c r="I125" s="471">
        <v>0</v>
      </c>
      <c r="J125" s="471" t="str">
        <f t="shared" si="13"/>
        <v>caplosslnsbs</v>
      </c>
      <c r="K125" s="471" t="str">
        <f t="shared" si="14"/>
        <v>net-exp</v>
      </c>
      <c r="L125" s="599"/>
      <c r="M125" s="471" t="s">
        <v>4741</v>
      </c>
      <c r="N125" s="471" t="s">
        <v>50</v>
      </c>
      <c r="O125" s="471" t="s">
        <v>42</v>
      </c>
    </row>
    <row r="126" spans="1:15" x14ac:dyDescent="0.25">
      <c r="A126" s="471" t="s">
        <v>1806</v>
      </c>
      <c r="B126" s="1139">
        <f t="shared" ca="1" si="18"/>
        <v>0</v>
      </c>
      <c r="C126" s="473">
        <f t="shared" ca="1" si="19"/>
        <v>0</v>
      </c>
      <c r="D126" s="472"/>
      <c r="E126" s="472"/>
      <c r="F126" s="472"/>
      <c r="H126" s="471">
        <v>2</v>
      </c>
      <c r="I126" s="471">
        <v>0</v>
      </c>
      <c r="J126" s="471" t="str">
        <f t="shared" si="13"/>
        <v>caplosslnsoth</v>
      </c>
      <c r="K126" s="471" t="str">
        <f t="shared" si="14"/>
        <v>net-exp</v>
      </c>
      <c r="L126" s="599"/>
      <c r="M126" s="471" t="s">
        <v>4741</v>
      </c>
      <c r="N126" s="471" t="s">
        <v>50</v>
      </c>
      <c r="O126" s="471" t="s">
        <v>42</v>
      </c>
    </row>
    <row r="127" spans="1:15" x14ac:dyDescent="0.25">
      <c r="A127" s="471" t="s">
        <v>1807</v>
      </c>
      <c r="B127" s="1139">
        <f t="shared" ca="1" si="18"/>
        <v>0</v>
      </c>
      <c r="C127" s="473">
        <f t="shared" ca="1" si="19"/>
        <v>0</v>
      </c>
      <c r="D127" s="472" t="str">
        <f>RS!G144</f>
        <v/>
      </c>
      <c r="E127" s="472" t="str">
        <f>RS!H144</f>
        <v/>
      </c>
      <c r="F127" s="472" t="str">
        <f>RS!I144</f>
        <v/>
      </c>
      <c r="H127" s="471">
        <v>2</v>
      </c>
      <c r="I127" s="471">
        <v>0</v>
      </c>
      <c r="J127" s="471" t="str">
        <f t="shared" si="13"/>
        <v>capreval</v>
      </c>
      <c r="K127" s="471" t="str">
        <f t="shared" si="14"/>
        <v>net-exp</v>
      </c>
      <c r="L127" s="599"/>
      <c r="M127" s="471" t="s">
        <v>4741</v>
      </c>
      <c r="N127" s="471" t="s">
        <v>50</v>
      </c>
      <c r="O127" s="471" t="s">
        <v>42</v>
      </c>
    </row>
    <row r="128" spans="1:15" x14ac:dyDescent="0.25">
      <c r="A128" s="471" t="s">
        <v>1808</v>
      </c>
      <c r="B128" s="1139">
        <f t="shared" ca="1" si="18"/>
        <v>0</v>
      </c>
      <c r="C128" s="473">
        <f t="shared" ca="1" si="19"/>
        <v>0</v>
      </c>
      <c r="D128" s="472"/>
      <c r="E128" s="472"/>
      <c r="F128" s="472"/>
      <c r="H128" s="471">
        <v>2</v>
      </c>
      <c r="I128" s="471">
        <v>0</v>
      </c>
      <c r="J128" s="471" t="str">
        <f t="shared" si="13"/>
        <v>capgninvprp</v>
      </c>
      <c r="K128" s="471" t="str">
        <f t="shared" si="14"/>
        <v>net-exp</v>
      </c>
      <c r="L128" s="599"/>
      <c r="M128" s="471" t="s">
        <v>4741</v>
      </c>
      <c r="N128" s="471" t="s">
        <v>50</v>
      </c>
      <c r="O128" s="471" t="s">
        <v>42</v>
      </c>
    </row>
    <row r="129" spans="1:15" x14ac:dyDescent="0.25">
      <c r="A129" s="471" t="s">
        <v>1809</v>
      </c>
      <c r="B129" s="1139">
        <f t="shared" ca="1" si="18"/>
        <v>0</v>
      </c>
      <c r="C129" s="473">
        <f t="shared" ca="1" si="19"/>
        <v>0</v>
      </c>
      <c r="D129" s="472"/>
      <c r="E129" s="472"/>
      <c r="F129" s="472"/>
      <c r="H129" s="471">
        <v>2</v>
      </c>
      <c r="I129" s="471">
        <v>0</v>
      </c>
      <c r="J129" s="471" t="str">
        <f t="shared" ref="J129:J198" si="20">MID($A129,SEARCH("-",$A129)+1,SEARCH("#",SUBSTITUTE($A129,"-","#",H129),1)-(SEARCH("-",$A129)+1))</f>
        <v>capgneqsbsjv</v>
      </c>
      <c r="K129" s="471" t="str">
        <f t="shared" ref="K129:K198" si="21">RIGHT($A129,LEN($A129)-SEARCH("#",SUBSTITUTE($A129,"-","#",H129),1))</f>
        <v>net-exp</v>
      </c>
      <c r="L129" s="599"/>
      <c r="M129" s="471" t="s">
        <v>4741</v>
      </c>
      <c r="N129" s="471" t="s">
        <v>50</v>
      </c>
      <c r="O129" s="471" t="s">
        <v>42</v>
      </c>
    </row>
    <row r="130" spans="1:15" x14ac:dyDescent="0.25">
      <c r="A130" s="471" t="s">
        <v>1810</v>
      </c>
      <c r="B130" s="1139">
        <f t="shared" ca="1" si="18"/>
        <v>0</v>
      </c>
      <c r="C130" s="473">
        <f t="shared" ca="1" si="19"/>
        <v>0</v>
      </c>
      <c r="D130" s="472"/>
      <c r="E130" s="472"/>
      <c r="F130" s="472"/>
      <c r="H130" s="471">
        <v>2</v>
      </c>
      <c r="I130" s="471">
        <v>0</v>
      </c>
      <c r="J130" s="471" t="str">
        <f t="shared" si="20"/>
        <v>capgnothinv</v>
      </c>
      <c r="K130" s="471" t="str">
        <f t="shared" si="21"/>
        <v>net-exp</v>
      </c>
      <c r="L130" s="599"/>
      <c r="M130" s="471" t="s">
        <v>4741</v>
      </c>
      <c r="N130" s="471" t="s">
        <v>50</v>
      </c>
      <c r="O130" s="471" t="s">
        <v>42</v>
      </c>
    </row>
    <row r="131" spans="1:15" x14ac:dyDescent="0.25">
      <c r="A131" s="471" t="s">
        <v>1811</v>
      </c>
      <c r="B131" s="1139">
        <f t="shared" ca="1" si="18"/>
        <v>0</v>
      </c>
      <c r="C131" s="473">
        <f t="shared" ca="1" si="19"/>
        <v>0</v>
      </c>
      <c r="D131" s="472"/>
      <c r="E131" s="472"/>
      <c r="F131" s="472"/>
      <c r="H131" s="471">
        <v>2</v>
      </c>
      <c r="I131" s="471">
        <v>0</v>
      </c>
      <c r="J131" s="471" t="str">
        <f t="shared" si="20"/>
        <v>capgnfinderv</v>
      </c>
      <c r="K131" s="471" t="str">
        <f t="shared" si="21"/>
        <v>net-exp</v>
      </c>
      <c r="L131" s="599"/>
      <c r="M131" s="471" t="s">
        <v>4741</v>
      </c>
      <c r="N131" s="471" t="s">
        <v>50</v>
      </c>
      <c r="O131" s="471" t="s">
        <v>42</v>
      </c>
    </row>
    <row r="132" spans="1:15" x14ac:dyDescent="0.25">
      <c r="A132" s="471" t="s">
        <v>1812</v>
      </c>
      <c r="B132" s="1139">
        <f t="shared" ca="1" si="18"/>
        <v>0</v>
      </c>
      <c r="C132" s="473">
        <f t="shared" ca="1" si="19"/>
        <v>0</v>
      </c>
      <c r="D132" s="472" t="str">
        <f>RS!G149</f>
        <v/>
      </c>
      <c r="E132" s="472" t="str">
        <f>RS!H149</f>
        <v/>
      </c>
      <c r="F132" s="472" t="str">
        <f>RS!I149</f>
        <v/>
      </c>
      <c r="H132" s="471">
        <v>2</v>
      </c>
      <c r="I132" s="471">
        <v>0</v>
      </c>
      <c r="J132" s="471" t="str">
        <f t="shared" si="20"/>
        <v>capgrant</v>
      </c>
      <c r="K132" s="471" t="str">
        <f t="shared" si="21"/>
        <v>net-exp</v>
      </c>
      <c r="L132" s="599"/>
      <c r="M132" s="471" t="s">
        <v>4741</v>
      </c>
      <c r="N132" s="471" t="s">
        <v>50</v>
      </c>
      <c r="O132" s="471" t="s">
        <v>42</v>
      </c>
    </row>
    <row r="133" spans="1:15" x14ac:dyDescent="0.25">
      <c r="A133" s="471" t="s">
        <v>1813</v>
      </c>
      <c r="B133" s="1139">
        <f t="shared" ca="1" si="18"/>
        <v>0</v>
      </c>
      <c r="C133" s="473">
        <f t="shared" ca="1" si="19"/>
        <v>0</v>
      </c>
      <c r="D133" s="472" t="str">
        <f>RS!G150</f>
        <v/>
      </c>
      <c r="E133" s="472" t="str">
        <f>RS!H150</f>
        <v/>
      </c>
      <c r="F133" s="472" t="str">
        <f>RS!I150</f>
        <v/>
      </c>
      <c r="H133" s="471">
        <v>2</v>
      </c>
      <c r="I133" s="471">
        <v>0</v>
      </c>
      <c r="J133" s="471" t="str">
        <f t="shared" si="20"/>
        <v>caprecs</v>
      </c>
      <c r="K133" s="471" t="str">
        <f t="shared" si="21"/>
        <v>net-exp</v>
      </c>
      <c r="L133" s="599"/>
      <c r="M133" s="471" t="s">
        <v>4741</v>
      </c>
      <c r="N133" s="471" t="s">
        <v>50</v>
      </c>
      <c r="O133" s="471" t="s">
        <v>42</v>
      </c>
    </row>
    <row r="134" spans="1:15" x14ac:dyDescent="0.25">
      <c r="A134" s="471" t="s">
        <v>1814</v>
      </c>
      <c r="B134" s="1139">
        <f t="shared" ca="1" si="18"/>
        <v>0</v>
      </c>
      <c r="C134" s="473">
        <f t="shared" ca="1" si="19"/>
        <v>0</v>
      </c>
      <c r="D134" s="472" t="str">
        <f>RS!G151</f>
        <v/>
      </c>
      <c r="H134" s="471">
        <v>2</v>
      </c>
      <c r="I134" s="471">
        <v>0</v>
      </c>
      <c r="J134" s="471" t="str">
        <f t="shared" si="20"/>
        <v>captot</v>
      </c>
      <c r="K134" s="471" t="str">
        <f t="shared" si="21"/>
        <v>net-exp</v>
      </c>
      <c r="L134" s="599"/>
      <c r="M134" s="471" t="s">
        <v>4741</v>
      </c>
      <c r="N134" s="471" t="s">
        <v>50</v>
      </c>
      <c r="O134" s="471" t="s">
        <v>42</v>
      </c>
    </row>
    <row r="135" spans="1:15" x14ac:dyDescent="0.25">
      <c r="A135" s="471" t="s">
        <v>1815</v>
      </c>
      <c r="B135" s="1139">
        <f t="shared" ca="1" si="18"/>
        <v>0</v>
      </c>
      <c r="C135" s="473">
        <f t="shared" ca="1" si="19"/>
        <v>0</v>
      </c>
      <c r="D135" s="472" t="str">
        <f>RS!G156</f>
        <v/>
      </c>
      <c r="E135" s="472" t="str">
        <f>RS!H156</f>
        <v/>
      </c>
      <c r="F135" s="472" t="str">
        <f>RS!I156</f>
        <v/>
      </c>
      <c r="H135" s="471">
        <v>3</v>
      </c>
      <c r="I135" s="471">
        <v>0</v>
      </c>
      <c r="J135" s="471" t="str">
        <f t="shared" si="20"/>
        <v>equal-sch</v>
      </c>
      <c r="K135" s="471" t="str">
        <f t="shared" si="21"/>
        <v>net-exp</v>
      </c>
      <c r="L135" s="599"/>
      <c r="M135" s="471" t="s">
        <v>4741</v>
      </c>
      <c r="N135" s="471" t="s">
        <v>50</v>
      </c>
      <c r="O135" s="471" t="s">
        <v>42</v>
      </c>
    </row>
    <row r="136" spans="1:15" x14ac:dyDescent="0.25">
      <c r="A136" s="471" t="s">
        <v>1816</v>
      </c>
      <c r="B136" s="1139">
        <f ca="1">INDEX(INDIRECT(LEFT($A136,SEARCH("-",$A136,1)-1)&amp;"_data"),MATCH(MID($A136,SEARCH("-",$A136)+1,SEARCH("#",SUBSTITUTE($A136,"-","#",H136),1)-(SEARCH("-",$A136)+1)),INDIRECT(LEFT($A136,SEARCH("-",$A136,1)-1)&amp;"_rows"),0),MATCH(RIGHT($A136,LEN($A136)-LEN(LEFT($A136,SEARCH("#",SUBSTITUTE($A136,"-","#",H136),1)))),INDIRECT(LEFT($A136,SEARCH("-",$A136,1)-1)&amp;"_Header"),0))</f>
        <v>0</v>
      </c>
      <c r="C136" s="473">
        <f t="shared" ca="1" si="19"/>
        <v>0</v>
      </c>
      <c r="D136" s="472" t="str">
        <f>RS!G157</f>
        <v/>
      </c>
      <c r="E136" s="472" t="str">
        <f>RS!H157</f>
        <v/>
      </c>
      <c r="F136" s="472" t="str">
        <f>RS!I157</f>
        <v/>
      </c>
      <c r="H136" s="471">
        <v>3</v>
      </c>
      <c r="I136" s="471">
        <v>0</v>
      </c>
      <c r="J136" s="471" t="str">
        <f t="shared" si="20"/>
        <v>equal-oth</v>
      </c>
      <c r="K136" s="471" t="str">
        <f t="shared" si="21"/>
        <v>net-exp</v>
      </c>
      <c r="L136" s="599"/>
      <c r="M136" s="471" t="s">
        <v>4741</v>
      </c>
      <c r="N136" s="471" t="s">
        <v>50</v>
      </c>
      <c r="O136" s="471" t="s">
        <v>42</v>
      </c>
    </row>
    <row r="137" spans="1:15" x14ac:dyDescent="0.25">
      <c r="A137" s="701" t="s">
        <v>1817</v>
      </c>
      <c r="B137" s="1140">
        <f ca="1">IF(INDEX(INDIRECT(LEFT($A137,SEARCH("-",$A137,1)-1)&amp;"_data"),MATCH(MID($A137,SEARCH("-",$A137)+1,SEARCH("#",SUBSTITUTE($A137,"-","#",H137),1)-(SEARCH("-",$A137)+1)),INDIRECT(LEFT($A137,SEARCH("-",$A137,1)-1)&amp;"_rows"),0),MATCH(RIGHT($A137,LEN($A137)-LEN(LEFT($A137,SEARCH("#",SUBSTITUTE($A137,"-","#",H137),1)))),INDIRECT(LEFT($A137,SEARCH("-",$A137,1)-1)&amp;"_IAS_Header"),0))="NO",0,1)</f>
        <v>1</v>
      </c>
      <c r="C137" s="704">
        <f t="shared" ca="1" si="19"/>
        <v>0</v>
      </c>
      <c r="D137" s="702" t="str">
        <f>RS!G160</f>
        <v/>
      </c>
      <c r="E137" s="702" t="str">
        <f>RS!H160</f>
        <v/>
      </c>
      <c r="F137" s="702" t="str">
        <f>RS!I160</f>
        <v/>
      </c>
      <c r="G137" s="701"/>
      <c r="H137" s="701">
        <v>3</v>
      </c>
      <c r="I137" s="701">
        <v>0</v>
      </c>
      <c r="J137" s="701" t="str">
        <f t="shared" si="20"/>
        <v>ro-suite</v>
      </c>
      <c r="K137" s="701" t="str">
        <f t="shared" si="21"/>
        <v>confirm</v>
      </c>
      <c r="L137" s="701" t="s">
        <v>4755</v>
      </c>
      <c r="M137" s="471" t="s">
        <v>4741</v>
      </c>
      <c r="N137" s="471" t="s">
        <v>50</v>
      </c>
      <c r="O137" s="471" t="s">
        <v>332</v>
      </c>
    </row>
    <row r="138" spans="1:15" x14ac:dyDescent="0.25">
      <c r="A138" s="471" t="s">
        <v>1818</v>
      </c>
      <c r="B138" s="1139">
        <f ca="1">INDEX(INDIRECT(LEFT($A138,SEARCH("-",$A138,1)-1)&amp;"_data"),MATCH(MID($A138,SEARCH("-",$A138)+1,SEARCH("#",SUBSTITUTE($A138,"-","#",H138),1)-(SEARCH("-",$A138)+1)),INDIRECT(LEFT($A138,SEARCH("-",$A138,1)-1)&amp;"_rows"),0),MATCH(RIGHT($A138,LEN($A138)-LEN(LEFT($A138,SEARCH("#",SUBSTITUTE($A138,"-","#",H138),1)))),INDIRECT(LEFT($A138,SEARCH("-",$A138,1)-1)&amp;"_hra_Header"),0))</f>
        <v>0</v>
      </c>
      <c r="C138" s="473">
        <f t="shared" ca="1" si="19"/>
        <v>0</v>
      </c>
      <c r="D138" s="472" t="str">
        <f>RS!G168</f>
        <v/>
      </c>
      <c r="E138" s="472" t="str">
        <f>RS!H168</f>
        <v/>
      </c>
      <c r="F138" s="472" t="str">
        <f>RS!I168</f>
        <v/>
      </c>
      <c r="H138" s="471">
        <v>2</v>
      </c>
      <c r="I138" s="471">
        <v>0</v>
      </c>
      <c r="J138" s="471" t="str">
        <f t="shared" si="20"/>
        <v>hrainctot</v>
      </c>
      <c r="K138" s="471" t="str">
        <f t="shared" si="21"/>
        <v>net-tot-cst</v>
      </c>
      <c r="L138" s="599"/>
      <c r="M138" s="471" t="s">
        <v>4741</v>
      </c>
      <c r="N138" s="471" t="s">
        <v>50</v>
      </c>
      <c r="O138" s="471" t="s">
        <v>339</v>
      </c>
    </row>
    <row r="139" spans="1:15" x14ac:dyDescent="0.25">
      <c r="A139" s="471" t="s">
        <v>1819</v>
      </c>
      <c r="B139" s="1139">
        <f t="shared" ref="B139" ca="1" si="22">INDEX(INDIRECT(LEFT($A139,SEARCH("-",$A139,1)-1)&amp;"_data"),MATCH(MID($A139,SEARCH("-",$A139)+1,SEARCH("#",SUBSTITUTE($A139,"-","#",H139),1)-(SEARCH("-",$A139)+1)),INDIRECT(LEFT($A139,SEARCH("-",$A139,1)-1)&amp;"_rows"),0),MATCH(RIGHT($A139,LEN($A139)-LEN(LEFT($A139,SEARCH("#",SUBSTITUTE($A139,"-","#",H139),1)))),INDIRECT(LEFT($A139,SEARCH("-",$A139,1)-1)&amp;"_hra_Header"),0))</f>
        <v>0</v>
      </c>
      <c r="C139" s="473">
        <f t="shared" ca="1" si="19"/>
        <v>0</v>
      </c>
      <c r="D139" s="472" t="str">
        <f>RS!G169</f>
        <v/>
      </c>
      <c r="E139" s="472" t="str">
        <f>RS!H169</f>
        <v/>
      </c>
      <c r="F139" s="472" t="str">
        <f>RS!I169</f>
        <v/>
      </c>
      <c r="H139" s="471">
        <v>2</v>
      </c>
      <c r="I139" s="471">
        <v>0</v>
      </c>
      <c r="J139" s="471" t="str">
        <f t="shared" si="20"/>
        <v>hraexptot</v>
      </c>
      <c r="K139" s="471" t="str">
        <f t="shared" si="21"/>
        <v>net-tot-cst</v>
      </c>
      <c r="L139" s="599"/>
      <c r="M139" s="471" t="s">
        <v>4741</v>
      </c>
      <c r="N139" s="471" t="s">
        <v>50</v>
      </c>
      <c r="O139" s="471" t="s">
        <v>339</v>
      </c>
    </row>
    <row r="140" spans="1:15" x14ac:dyDescent="0.25">
      <c r="A140" s="471" t="s">
        <v>1820</v>
      </c>
      <c r="B140" s="1139">
        <f ca="1">INDEX(INDIRECT(LEFT($A140,SEARCH("-",$A140,1)-1)&amp;"_data"),MATCH(MID($A140,SEARCH("-",$A140)+1,SEARCH("#",SUBSTITUTE($A140,"-","#",H140),1)-(SEARCH("-",$A140)+1)),INDIRECT(LEFT($A140,SEARCH("-",$A140,1)-1)&amp;"_rows"),0),MATCH(RIGHT($A140,LEN($A140)-LEN(LEFT($A140,SEARCH("#",SUBSTITUTE($A140,"-","#",H140),1)))),INDIRECT(LEFT($A140,SEARCH("-",$A140,1)-1)&amp;"_hra_Header"),0))</f>
        <v>0</v>
      </c>
      <c r="C140" s="473">
        <f t="shared" ca="1" si="19"/>
        <v>0</v>
      </c>
      <c r="D140" s="472" t="str">
        <f>RS!G170</f>
        <v/>
      </c>
      <c r="E140" s="472" t="str">
        <f>RS!H170</f>
        <v/>
      </c>
      <c r="F140" s="472" t="str">
        <f>RS!I170</f>
        <v/>
      </c>
      <c r="H140" s="471">
        <v>2</v>
      </c>
      <c r="I140" s="471">
        <v>0</v>
      </c>
      <c r="J140" s="471" t="str">
        <f t="shared" si="20"/>
        <v>hradiff</v>
      </c>
      <c r="K140" s="471" t="str">
        <f t="shared" si="21"/>
        <v>net-tot-cst</v>
      </c>
      <c r="L140" s="599"/>
      <c r="M140" s="471" t="s">
        <v>4741</v>
      </c>
      <c r="N140" s="471" t="s">
        <v>50</v>
      </c>
      <c r="O140" s="471" t="s">
        <v>339</v>
      </c>
    </row>
    <row r="141" spans="1:15" x14ac:dyDescent="0.25">
      <c r="A141" s="471" t="s">
        <v>1821</v>
      </c>
      <c r="B141" s="1139" t="e">
        <f ca="1">INDEX(INDIRECT(LEFT($A141,SEARCH("-",$A141,1)-1)&amp;"_data"),MATCH(MID($A141,SEARCH("-",$A141)+1,SEARCH("#",SUBSTITUTE($A141,"-","#",H141),1)-(SEARCH("-",$A141)+1)),INDIRECT(LEFT($A141,SEARCH("-",$A141,1)-1)&amp;"_rows"),0),MATCH(RIGHT($A141,LEN($A141)-LEN(LEFT($A141,SEARCH("#",SUBSTITUTE($A141,"-","#",H141),1)))),INDIRECT(LEFT($A141,SEARCH("-",$A141,1)-1)&amp;"_hra_res_Header"),0))</f>
        <v>#N/A</v>
      </c>
      <c r="C141" s="473">
        <f ca="1">IF(ISERROR(VLOOKUP($A$141,INDIRECT("notes_"&amp;LEFT($A$141,2)),4,0)),0,VLOOKUP($A$141,INDIRECT("notes_"&amp;LEFT($A$141,2)),4,0))</f>
        <v>0</v>
      </c>
      <c r="D141" s="472" t="str">
        <f>RS!H175</f>
        <v/>
      </c>
      <c r="E141" s="472" t="e">
        <f>RS!I175</f>
        <v>#N/A</v>
      </c>
      <c r="F141" s="472" t="e">
        <f>RS!J175</f>
        <v>#N/A</v>
      </c>
      <c r="H141" s="471">
        <v>2</v>
      </c>
      <c r="I141" s="471">
        <v>0</v>
      </c>
      <c r="J141" s="471" t="str">
        <f t="shared" si="20"/>
        <v>reshra</v>
      </c>
      <c r="K141" s="471" t="str">
        <f t="shared" si="21"/>
        <v>start</v>
      </c>
      <c r="L141" s="599"/>
      <c r="M141" s="471" t="s">
        <v>4741</v>
      </c>
      <c r="N141" s="471" t="s">
        <v>50</v>
      </c>
      <c r="O141" s="471" t="s">
        <v>339</v>
      </c>
    </row>
    <row r="142" spans="1:15" x14ac:dyDescent="0.25">
      <c r="A142" s="471" t="s">
        <v>4756</v>
      </c>
      <c r="B142" s="1139" t="e">
        <f ca="1">INDEX(INDIRECT(LEFT($A142,SEARCH("-",$A142,1)-1)&amp;"_data"),MATCH(MID($A142,SEARCH("-",$A142)+1,SEARCH("#",SUBSTITUTE($A142,"-","#",H142),1)-(SEARCH("-",$A142)+1)),INDIRECT(LEFT($A142,SEARCH("-",$A142,1)-1)&amp;"_rows"),0),MATCH(RIGHT($A142,LEN($A142)-LEN(LEFT($A142,SEARCH("#",SUBSTITUTE($A142,"-","#",H142),1)))),INDIRECT(LEFT($A142,SEARCH("-",$A142,1)-1)&amp;"_hra_res_Header"),0))</f>
        <v>#N/A</v>
      </c>
      <c r="C142" s="473">
        <f ca="1">IF(ISERROR(VLOOKUP($A$141,INDIRECT("notes_"&amp;LEFT($A$141,2)),4,0)),0,VLOOKUP($A$141,INDIRECT("notes_"&amp;LEFT($A$141,2)),4,0))</f>
        <v>0</v>
      </c>
      <c r="D142" s="472" t="str">
        <f>RS!H175</f>
        <v/>
      </c>
      <c r="E142" s="472" t="e">
        <f>RS!I175</f>
        <v>#N/A</v>
      </c>
      <c r="F142" s="472" t="e">
        <f>RS!J176</f>
        <v>#N/A</v>
      </c>
      <c r="H142" s="471">
        <v>2</v>
      </c>
      <c r="I142" s="471">
        <v>0</v>
      </c>
      <c r="J142" s="471" t="str">
        <f t="shared" si="20"/>
        <v>reshra</v>
      </c>
      <c r="K142" s="471" t="str">
        <f t="shared" si="21"/>
        <v>end</v>
      </c>
      <c r="L142" s="599"/>
      <c r="M142" s="471" t="s">
        <v>4741</v>
      </c>
      <c r="N142" s="471" t="s">
        <v>50</v>
      </c>
      <c r="O142" s="471" t="s">
        <v>339</v>
      </c>
    </row>
    <row r="143" spans="1:15" x14ac:dyDescent="0.25">
      <c r="A143" s="471" t="s">
        <v>1822</v>
      </c>
      <c r="B143" s="1139">
        <f t="shared" ref="B143:B145" ca="1" si="23">INDEX(INDIRECT(LEFT($A143,SEARCH("-",$A143,1)-1)&amp;"_data"),MATCH(MID($A143,SEARCH("-",$A143)+1,SEARCH("#",SUBSTITUTE($A143,"-","#",H143),1)-(SEARCH("-",$A143)+1)),INDIRECT(LEFT($A143,SEARCH("-",$A143,1)-1)&amp;"_rows"),0),MATCH(RIGHT($A143,LEN($A143)-LEN(LEFT($A143,SEARCH("#",SUBSTITUTE($A143,"-","#",H143),1)))),INDIRECT(LEFT($A143,SEARCH("-",$A143,1)-1)&amp;"_Header"),0))</f>
        <v>0</v>
      </c>
      <c r="C143" s="473">
        <f ca="1">IF(ISERROR(VLOOKUP(A143,INDIRECT("notes_"&amp;LEFT(A143,2)),4,0)),0,VLOOKUP(A143,INDIRECT("notes_"&amp;LEFT(A143,2)),4,0))</f>
        <v>0</v>
      </c>
      <c r="D143" s="472" t="str">
        <f>RS!G180</f>
        <v/>
      </c>
      <c r="E143" s="472" t="e">
        <f>RS!H180</f>
        <v>#N/A</v>
      </c>
      <c r="F143" s="472" t="e">
        <f>RS!I180</f>
        <v>#N/A</v>
      </c>
      <c r="H143" s="471">
        <v>2</v>
      </c>
      <c r="I143" s="471">
        <v>0</v>
      </c>
      <c r="J143" s="471" t="str">
        <f t="shared" si="20"/>
        <v>lctspen</v>
      </c>
      <c r="K143" s="471" t="str">
        <f t="shared" si="21"/>
        <v>net-exp</v>
      </c>
      <c r="L143" s="599"/>
      <c r="M143" s="471" t="s">
        <v>4741</v>
      </c>
      <c r="N143" s="471" t="s">
        <v>50</v>
      </c>
      <c r="O143" s="471" t="s">
        <v>339</v>
      </c>
    </row>
    <row r="144" spans="1:15" x14ac:dyDescent="0.25">
      <c r="A144" s="471" t="s">
        <v>1823</v>
      </c>
      <c r="B144" s="1139">
        <f t="shared" ca="1" si="23"/>
        <v>0</v>
      </c>
      <c r="C144" s="473">
        <f ca="1">IF(ISERROR(VLOOKUP(A144,INDIRECT("notes_"&amp;LEFT(A144,2)),4,0)),0,VLOOKUP(A144,INDIRECT("notes_"&amp;LEFT(A144,2)),4,0))</f>
        <v>0</v>
      </c>
      <c r="D144" s="472" t="str">
        <f>RS!G181</f>
        <v/>
      </c>
      <c r="E144" s="472" t="e">
        <f>RS!H181</f>
        <v>#N/A</v>
      </c>
      <c r="F144" s="472" t="e">
        <f>RS!I181</f>
        <v>#N/A</v>
      </c>
      <c r="H144" s="471">
        <v>2</v>
      </c>
      <c r="I144" s="471">
        <v>0</v>
      </c>
      <c r="J144" s="471" t="str">
        <f t="shared" si="20"/>
        <v>lctswa</v>
      </c>
      <c r="K144" s="471" t="str">
        <f t="shared" si="21"/>
        <v>net-exp</v>
      </c>
      <c r="L144" s="599"/>
      <c r="M144" s="471" t="s">
        <v>4741</v>
      </c>
      <c r="N144" s="471" t="s">
        <v>50</v>
      </c>
      <c r="O144" s="471" t="s">
        <v>339</v>
      </c>
    </row>
    <row r="145" spans="1:15" x14ac:dyDescent="0.25">
      <c r="A145" s="471" t="s">
        <v>1824</v>
      </c>
      <c r="B145" s="1139">
        <f t="shared" ca="1" si="23"/>
        <v>0</v>
      </c>
      <c r="C145" s="473">
        <f ca="1">IF(ISERROR(VLOOKUP(A145,INDIRECT("notes_"&amp;LEFT(A145,2)),4,0)),0,VLOOKUP(A145,INDIRECT("notes_"&amp;LEFT(A145,2)),4,0))</f>
        <v>0</v>
      </c>
      <c r="D145" s="472" t="str">
        <f>RS!G182</f>
        <v/>
      </c>
      <c r="E145" s="472" t="e">
        <f>RS!H182</f>
        <v>#N/A</v>
      </c>
      <c r="F145" s="472" t="e">
        <f>RS!I182</f>
        <v>#N/A</v>
      </c>
      <c r="H145" s="471">
        <v>2</v>
      </c>
      <c r="I145" s="471">
        <v>0</v>
      </c>
      <c r="J145" s="471" t="str">
        <f t="shared" si="20"/>
        <v>lctstot</v>
      </c>
      <c r="K145" s="471" t="str">
        <f t="shared" si="21"/>
        <v>net-exp</v>
      </c>
      <c r="L145" s="599"/>
      <c r="M145" s="471" t="s">
        <v>4741</v>
      </c>
      <c r="N145" s="471" t="s">
        <v>50</v>
      </c>
      <c r="O145" s="471" t="s">
        <v>339</v>
      </c>
    </row>
    <row r="146" spans="1:15" x14ac:dyDescent="0.25">
      <c r="A146" s="471" t="s">
        <v>1825</v>
      </c>
      <c r="B146" s="1139">
        <f ca="1">INDEX(INDIRECT(LEFT($A146,SEARCH("-",$A146,1)-1)&amp;"_data"),MATCH(MID($A146,SEARCH("-",$A146)+1,SEARCH("#",SUBSTITUTE($A146,"-","#",H146),1)-(SEARCH("-",$A146)+1)),INDIRECT(LEFT($A146,SEARCH("-",$A146,1)-1)&amp;"_rows"),0),MATCH(RIGHT($A146,LEN($A146)-LEN(LEFT($A146,SEARCH("#",SUBSTITUTE($A146,"-","#",H146),1)))),INDIRECT(LEFT($A146,SEARCH("-",$A146,1)-1)&amp;"_Header"),0))</f>
        <v>0</v>
      </c>
      <c r="C146" s="473">
        <f ca="1">IF(ISERROR(VLOOKUP(A146,INDIRECT("notes_"&amp;LEFT(A146,2)),4,0)),0,VLOOKUP(A146,INDIRECT("notes_"&amp;LEFT(A146,2)),4,0))</f>
        <v>0</v>
      </c>
      <c r="D146" s="472" t="str">
        <f>RS!G185</f>
        <v/>
      </c>
      <c r="E146" s="472" t="str">
        <f>RS!H185</f>
        <v/>
      </c>
      <c r="F146" s="472" t="str">
        <f>RS!I185</f>
        <v/>
      </c>
      <c r="H146" s="471">
        <v>2</v>
      </c>
      <c r="I146" s="471">
        <v>0</v>
      </c>
      <c r="J146" s="471" t="str">
        <f t="shared" si="20"/>
        <v>lctsparish</v>
      </c>
      <c r="K146" s="471" t="str">
        <f t="shared" si="21"/>
        <v>net-exp</v>
      </c>
      <c r="L146" s="599"/>
      <c r="M146" s="471" t="s">
        <v>4741</v>
      </c>
      <c r="N146" s="471" t="s">
        <v>50</v>
      </c>
      <c r="O146" s="471" t="s">
        <v>339</v>
      </c>
    </row>
    <row r="147" spans="1:15" x14ac:dyDescent="0.25">
      <c r="A147" s="701" t="s">
        <v>4757</v>
      </c>
      <c r="B147" s="1141" t="str">
        <f ca="1">INDEX(INDIRECT(LEFT($A147,SEARCH("-",$A147,1)-1)&amp;"_RSmdata"),MATCH(J147,INDIRECT(LEFT($A147,SEARCH("-",$A147,1)-1)&amp;"_RSmrows"),0),MATCH(RIGHT($A147,LEN($A147)-LEN(LEFT($A147,SEARCH("#",SUBSTITUTE($A147,"-","#",H147),1)))),INDIRECT(LEFT($A147,SEARCH("-",$A147,1)-1)&amp;"_RSmHeader"),0))</f>
        <v>Click To Select</v>
      </c>
      <c r="C147" s="704"/>
      <c r="D147" s="702"/>
      <c r="E147" s="702"/>
      <c r="F147" s="702"/>
      <c r="G147" s="701"/>
      <c r="H147" s="701">
        <v>2</v>
      </c>
      <c r="I147" s="701">
        <v>0</v>
      </c>
      <c r="J147" s="701" t="s">
        <v>411</v>
      </c>
      <c r="K147" s="701" t="str">
        <f t="shared" si="21"/>
        <v>conf</v>
      </c>
      <c r="L147" s="701" t="s">
        <v>4755</v>
      </c>
      <c r="M147" s="471" t="s">
        <v>4758</v>
      </c>
      <c r="N147" s="471" t="s">
        <v>4759</v>
      </c>
      <c r="O147" s="471" t="s">
        <v>4760</v>
      </c>
    </row>
    <row r="148" spans="1:15" x14ac:dyDescent="0.25">
      <c r="A148" s="471" t="s">
        <v>4761</v>
      </c>
      <c r="B148" s="1139">
        <f ca="1">INDEX(INDIRECT(LEFT($A148,SEARCH("-",$A148,1)-1)&amp;"_RSmdata"),MATCH(MID($A148,SEARCH("-",$A148)+1,SEARCH("#",SUBSTITUTE($A148,"-","#",H148),1)-(SEARCH("-",$A148)+1)),INDIRECT(LEFT($A148,SEARCH("-",$A148,1)-1)&amp;"_RSmrows"),0),MATCH(RIGHT($A148,LEN($A148)-LEN(LEFT($A148,SEARCH("#",SUBSTITUTE($A148,"-","#",H148),1)))),INDIRECT(LEFT($A148,SEARCH("-",$A148,1)-1)&amp;"_RSmHeader"),0))</f>
        <v>0</v>
      </c>
      <c r="C148" s="472"/>
      <c r="D148" s="472"/>
      <c r="E148" s="472"/>
      <c r="F148" s="472"/>
      <c r="H148" s="471">
        <v>2</v>
      </c>
      <c r="I148" s="471">
        <v>0</v>
      </c>
      <c r="J148" s="471" t="str">
        <f t="shared" si="20"/>
        <v>invprp</v>
      </c>
      <c r="K148" s="471" t="str">
        <f t="shared" si="21"/>
        <v>inc-net-exp</v>
      </c>
      <c r="L148" s="599"/>
      <c r="M148" s="471" t="s">
        <v>4758</v>
      </c>
      <c r="N148" s="471" t="s">
        <v>4759</v>
      </c>
      <c r="O148" s="471" t="s">
        <v>4760</v>
      </c>
    </row>
    <row r="149" spans="1:15" x14ac:dyDescent="0.25">
      <c r="A149" s="701" t="s">
        <v>4762</v>
      </c>
      <c r="B149" s="1141">
        <f ca="1">INDEX(INDIRECT(LEFT($A149,SEARCH("-",$A149,1)-1)&amp;"_RSmdata"),MATCH(RIGHT(MID($A149,SEARCH("-",$A149)+1,SEARCH("#",SUBSTITUTE($A149,"-","#",H149),1)-(SEARCH("-",$A149)+1)),8),INDIRECT(LEFT($A149,SEARCH("-",$A149,1)-1)&amp;"_RSmrows"),0),MATCH(RIGHT($A149,LEN($A149)-LEN(LEFT($A149,SEARCH("#",SUBSTITUTE($A149,"-","#",H149),1)))),INDIRECT(LEFT($A149,SEARCH("-",$A149,1)-1)&amp;"_RSmHeader"),0))</f>
        <v>0</v>
      </c>
      <c r="C149" s="702"/>
      <c r="D149" s="702"/>
      <c r="E149" s="702"/>
      <c r="F149" s="702"/>
      <c r="G149" s="701"/>
      <c r="H149" s="701">
        <v>2</v>
      </c>
      <c r="I149" s="701">
        <v>0</v>
      </c>
      <c r="J149" s="701" t="str">
        <f>RIGHT(MID($A149,SEARCH("-",$A149)+1,SEARCH("#",SUBSTITUTE($A149,"-","#",H149),1)-(SEARCH("-",$A149)+1)),8)</f>
        <v>invprpin</v>
      </c>
      <c r="K149" s="701" t="str">
        <f t="shared" ref="K149:K171" si="24">RIGHT($A149,LEN($A149)-SEARCH("#",SUBSTITUTE($A149,"-","#",H149),1))</f>
        <v>inc-net-exp</v>
      </c>
      <c r="L149" s="701" t="s">
        <v>4763</v>
      </c>
      <c r="M149" s="471" t="s">
        <v>4758</v>
      </c>
      <c r="N149" s="471" t="s">
        <v>4759</v>
      </c>
      <c r="O149" s="471" t="s">
        <v>4760</v>
      </c>
    </row>
    <row r="150" spans="1:15" x14ac:dyDescent="0.25">
      <c r="A150" s="471" t="s">
        <v>4764</v>
      </c>
      <c r="B150" s="1139">
        <f t="shared" ref="B150:B170" ca="1" si="25">INDEX(INDIRECT(LEFT($A150,SEARCH("-",$A150,1)-1)&amp;"_RSmdata"),MATCH(MID($A150,SEARCH("-",$A150)+1,SEARCH("#",SUBSTITUTE($A150,"-","#",H150),1)-(SEARCH("-",$A150)+1)),INDIRECT(LEFT($A150,SEARCH("-",$A150,1)-1)&amp;"_RSmrows"),0),MATCH(RIGHT($A150,LEN($A150)-LEN(LEFT($A150,SEARCH("#",SUBSTITUTE($A150,"-","#",H150),1)))),INDIRECT(LEFT($A150,SEARCH("-",$A150,1)-1)&amp;"_RSmHeader"),0))</f>
        <v>0</v>
      </c>
      <c r="C150" s="472"/>
      <c r="D150" s="472"/>
      <c r="E150" s="472"/>
      <c r="F150" s="472"/>
      <c r="H150" s="471">
        <v>2</v>
      </c>
      <c r="I150" s="471">
        <v>0</v>
      </c>
      <c r="J150" s="471" t="str">
        <f>MID($A150,SEARCH("-",$A150)+1,SEARCH("#",SUBSTITUTE($A150,"-","#",H150),1)-(SEARCH("-",$A150)+1))</f>
        <v>invprpout1</v>
      </c>
      <c r="K150" s="471" t="str">
        <f t="shared" si="24"/>
        <v>inc-net-exp</v>
      </c>
      <c r="L150" s="599"/>
      <c r="M150" s="471" t="s">
        <v>4758</v>
      </c>
      <c r="N150" s="471" t="s">
        <v>4759</v>
      </c>
      <c r="O150" s="471" t="s">
        <v>4760</v>
      </c>
    </row>
    <row r="151" spans="1:15" x14ac:dyDescent="0.25">
      <c r="A151" s="471" t="s">
        <v>4765</v>
      </c>
      <c r="B151" s="1139">
        <f t="shared" ca="1" si="25"/>
        <v>0</v>
      </c>
      <c r="C151" s="472"/>
      <c r="D151" s="472"/>
      <c r="E151" s="472"/>
      <c r="F151" s="472"/>
      <c r="H151" s="471">
        <v>2</v>
      </c>
      <c r="I151" s="471">
        <v>0</v>
      </c>
      <c r="J151" s="471" t="str">
        <f t="shared" ref="J151:J171" si="26">MID($A151,SEARCH("-",$A151)+1,SEARCH("#",SUBSTITUTE($A151,"-","#",H151),1)-(SEARCH("-",$A151)+1))</f>
        <v>invprpout2</v>
      </c>
      <c r="K151" s="471" t="str">
        <f t="shared" si="24"/>
        <v>inc-net-exp</v>
      </c>
      <c r="L151" s="599"/>
      <c r="M151" s="471" t="s">
        <v>4758</v>
      </c>
      <c r="N151" s="471" t="s">
        <v>4759</v>
      </c>
      <c r="O151" s="471" t="s">
        <v>4760</v>
      </c>
    </row>
    <row r="152" spans="1:15" x14ac:dyDescent="0.25">
      <c r="A152" s="471" t="s">
        <v>4766</v>
      </c>
      <c r="B152" s="1139">
        <f t="shared" ca="1" si="25"/>
        <v>0</v>
      </c>
      <c r="C152" s="472"/>
      <c r="D152" s="472"/>
      <c r="E152" s="472"/>
      <c r="F152" s="472"/>
      <c r="H152" s="471">
        <v>2</v>
      </c>
      <c r="I152" s="471">
        <v>0</v>
      </c>
      <c r="J152" s="471" t="str">
        <f t="shared" si="26"/>
        <v>invprp</v>
      </c>
      <c r="K152" s="471" t="str">
        <f t="shared" si="24"/>
        <v>net-exp</v>
      </c>
      <c r="L152" s="599"/>
      <c r="M152" s="471" t="s">
        <v>4758</v>
      </c>
      <c r="N152" s="471" t="s">
        <v>4759</v>
      </c>
      <c r="O152" s="471" t="s">
        <v>4760</v>
      </c>
    </row>
    <row r="153" spans="1:15" x14ac:dyDescent="0.25">
      <c r="A153" s="471" t="s">
        <v>4767</v>
      </c>
      <c r="B153" s="1139">
        <f t="shared" ca="1" si="25"/>
        <v>0</v>
      </c>
      <c r="C153" s="472"/>
      <c r="D153" s="472"/>
      <c r="E153" s="472"/>
      <c r="F153" s="472"/>
      <c r="H153" s="471">
        <v>2</v>
      </c>
      <c r="I153" s="471">
        <v>0</v>
      </c>
      <c r="J153" s="471" t="str">
        <f t="shared" si="26"/>
        <v>invprpin</v>
      </c>
      <c r="K153" s="471" t="str">
        <f t="shared" si="24"/>
        <v>net-exp</v>
      </c>
      <c r="L153" s="599"/>
      <c r="M153" s="471" t="s">
        <v>4758</v>
      </c>
      <c r="N153" s="471" t="s">
        <v>4759</v>
      </c>
      <c r="O153" s="471" t="s">
        <v>4760</v>
      </c>
    </row>
    <row r="154" spans="1:15" x14ac:dyDescent="0.25">
      <c r="A154" s="471" t="s">
        <v>4768</v>
      </c>
      <c r="B154" s="1139">
        <f t="shared" ca="1" si="25"/>
        <v>0</v>
      </c>
      <c r="C154" s="472"/>
      <c r="D154" s="472"/>
      <c r="E154" s="472"/>
      <c r="F154" s="472"/>
      <c r="H154" s="471">
        <v>2</v>
      </c>
      <c r="I154" s="471">
        <v>0</v>
      </c>
      <c r="J154" s="471" t="str">
        <f t="shared" si="26"/>
        <v>invprpout1</v>
      </c>
      <c r="K154" s="471" t="str">
        <f t="shared" si="24"/>
        <v>net-exp</v>
      </c>
      <c r="L154" s="599"/>
      <c r="M154" s="471" t="s">
        <v>4758</v>
      </c>
      <c r="N154" s="471" t="s">
        <v>4759</v>
      </c>
      <c r="O154" s="471" t="s">
        <v>4760</v>
      </c>
    </row>
    <row r="155" spans="1:15" x14ac:dyDescent="0.25">
      <c r="A155" s="471" t="s">
        <v>4769</v>
      </c>
      <c r="B155" s="1139">
        <f t="shared" ca="1" si="25"/>
        <v>0</v>
      </c>
      <c r="H155" s="471">
        <v>2</v>
      </c>
      <c r="I155" s="471">
        <v>0</v>
      </c>
      <c r="J155" s="471" t="str">
        <f t="shared" si="26"/>
        <v>invprpout2</v>
      </c>
      <c r="K155" s="471" t="str">
        <f t="shared" si="24"/>
        <v>net-exp</v>
      </c>
      <c r="L155" s="599"/>
      <c r="M155" s="471" t="s">
        <v>4758</v>
      </c>
      <c r="N155" s="471" t="s">
        <v>4759</v>
      </c>
      <c r="O155" s="471" t="s">
        <v>4760</v>
      </c>
    </row>
    <row r="156" spans="1:15" x14ac:dyDescent="0.25">
      <c r="A156" s="471" t="s">
        <v>4770</v>
      </c>
      <c r="B156" s="1139">
        <f t="shared" ca="1" si="25"/>
        <v>0</v>
      </c>
      <c r="C156" s="472"/>
      <c r="D156" s="472"/>
      <c r="E156" s="472"/>
      <c r="F156" s="472"/>
      <c r="H156" s="471">
        <v>2</v>
      </c>
      <c r="I156" s="471">
        <v>0</v>
      </c>
      <c r="J156" s="471" t="str">
        <f t="shared" si="26"/>
        <v>invprp</v>
      </c>
      <c r="K156" s="471" t="str">
        <f t="shared" si="24"/>
        <v>attrmrp-net-exp</v>
      </c>
      <c r="L156" s="599"/>
      <c r="M156" s="471" t="s">
        <v>4758</v>
      </c>
      <c r="N156" s="471" t="s">
        <v>4759</v>
      </c>
      <c r="O156" s="471" t="s">
        <v>4760</v>
      </c>
    </row>
    <row r="157" spans="1:15" x14ac:dyDescent="0.25">
      <c r="A157" s="471" t="s">
        <v>4771</v>
      </c>
      <c r="B157" s="1139">
        <f t="shared" ca="1" si="25"/>
        <v>0</v>
      </c>
      <c r="C157" s="472"/>
      <c r="D157" s="472"/>
      <c r="E157" s="472"/>
      <c r="F157" s="472"/>
      <c r="H157" s="471">
        <v>2</v>
      </c>
      <c r="I157" s="471">
        <v>0</v>
      </c>
      <c r="J157" s="471" t="str">
        <f t="shared" si="26"/>
        <v>invprpin</v>
      </c>
      <c r="K157" s="471" t="str">
        <f t="shared" si="24"/>
        <v>attrmrp-net-exp</v>
      </c>
      <c r="L157" s="599"/>
      <c r="M157" s="471" t="s">
        <v>4758</v>
      </c>
      <c r="N157" s="471" t="s">
        <v>4759</v>
      </c>
      <c r="O157" s="471" t="s">
        <v>4760</v>
      </c>
    </row>
    <row r="158" spans="1:15" x14ac:dyDescent="0.25">
      <c r="A158" s="471" t="s">
        <v>4772</v>
      </c>
      <c r="B158" s="1139">
        <f t="shared" ca="1" si="25"/>
        <v>0</v>
      </c>
      <c r="C158" s="472"/>
      <c r="D158" s="472"/>
      <c r="E158" s="472"/>
      <c r="F158" s="472"/>
      <c r="H158" s="471">
        <v>2</v>
      </c>
      <c r="I158" s="471">
        <v>0</v>
      </c>
      <c r="J158" s="471" t="str">
        <f t="shared" si="26"/>
        <v>invprpout1</v>
      </c>
      <c r="K158" s="471" t="str">
        <f t="shared" si="24"/>
        <v>attrmrp-net-exp</v>
      </c>
      <c r="L158" s="599"/>
      <c r="M158" s="471" t="s">
        <v>4758</v>
      </c>
      <c r="N158" s="471" t="s">
        <v>4759</v>
      </c>
      <c r="O158" s="471" t="s">
        <v>4760</v>
      </c>
    </row>
    <row r="159" spans="1:15" x14ac:dyDescent="0.25">
      <c r="A159" s="471" t="s">
        <v>4773</v>
      </c>
      <c r="B159" s="1139">
        <f t="shared" ca="1" si="25"/>
        <v>0</v>
      </c>
      <c r="C159" s="472"/>
      <c r="D159" s="472"/>
      <c r="E159" s="472"/>
      <c r="F159" s="472"/>
      <c r="H159" s="471">
        <v>2</v>
      </c>
      <c r="I159" s="471">
        <v>0</v>
      </c>
      <c r="J159" s="471" t="str">
        <f t="shared" si="26"/>
        <v>invprpout2</v>
      </c>
      <c r="K159" s="471" t="str">
        <f t="shared" si="24"/>
        <v>attrmrp-net-exp</v>
      </c>
      <c r="L159" s="599"/>
      <c r="M159" s="471" t="s">
        <v>4758</v>
      </c>
      <c r="N159" s="471" t="s">
        <v>4759</v>
      </c>
      <c r="O159" s="471" t="s">
        <v>4760</v>
      </c>
    </row>
    <row r="160" spans="1:15" x14ac:dyDescent="0.25">
      <c r="A160" s="471" t="s">
        <v>4774</v>
      </c>
      <c r="B160" s="1139">
        <f t="shared" ca="1" si="25"/>
        <v>0</v>
      </c>
      <c r="C160" s="472"/>
      <c r="D160" s="472"/>
      <c r="E160" s="472"/>
      <c r="F160" s="472"/>
      <c r="H160" s="471">
        <v>2</v>
      </c>
      <c r="I160" s="471">
        <v>0</v>
      </c>
      <c r="J160" s="471" t="str">
        <f t="shared" si="26"/>
        <v>invprp</v>
      </c>
      <c r="K160" s="471" t="str">
        <f t="shared" si="24"/>
        <v>attrint-net-exp</v>
      </c>
      <c r="L160" s="599"/>
      <c r="M160" s="471" t="s">
        <v>4758</v>
      </c>
      <c r="N160" s="471" t="s">
        <v>4759</v>
      </c>
      <c r="O160" s="471" t="s">
        <v>4760</v>
      </c>
    </row>
    <row r="161" spans="1:15" x14ac:dyDescent="0.25">
      <c r="A161" s="471" t="s">
        <v>4775</v>
      </c>
      <c r="B161" s="1139">
        <f t="shared" ca="1" si="25"/>
        <v>0</v>
      </c>
      <c r="C161" s="472"/>
      <c r="D161" s="472"/>
      <c r="E161" s="472"/>
      <c r="F161" s="472"/>
      <c r="H161" s="471">
        <v>2</v>
      </c>
      <c r="I161" s="471">
        <v>0</v>
      </c>
      <c r="J161" s="471" t="str">
        <f t="shared" si="26"/>
        <v>invprpin</v>
      </c>
      <c r="K161" s="471" t="str">
        <f t="shared" si="24"/>
        <v>attrint-net-exp</v>
      </c>
      <c r="L161" s="599"/>
      <c r="M161" s="471" t="s">
        <v>4758</v>
      </c>
      <c r="N161" s="471" t="s">
        <v>4759</v>
      </c>
      <c r="O161" s="471" t="s">
        <v>4760</v>
      </c>
    </row>
    <row r="162" spans="1:15" x14ac:dyDescent="0.25">
      <c r="A162" s="471" t="s">
        <v>4776</v>
      </c>
      <c r="B162" s="1139">
        <f t="shared" ca="1" si="25"/>
        <v>0</v>
      </c>
      <c r="C162" s="472"/>
      <c r="D162" s="472"/>
      <c r="E162" s="472"/>
      <c r="F162" s="472"/>
      <c r="H162" s="471">
        <v>2</v>
      </c>
      <c r="I162" s="471">
        <v>0</v>
      </c>
      <c r="J162" s="471" t="str">
        <f t="shared" si="26"/>
        <v>invprpout1</v>
      </c>
      <c r="K162" s="471" t="str">
        <f t="shared" si="24"/>
        <v>attrint-net-exp</v>
      </c>
      <c r="L162" s="599"/>
      <c r="M162" s="471" t="s">
        <v>4758</v>
      </c>
      <c r="N162" s="471" t="s">
        <v>4759</v>
      </c>
      <c r="O162" s="471" t="s">
        <v>4760</v>
      </c>
    </row>
    <row r="163" spans="1:15" x14ac:dyDescent="0.25">
      <c r="A163" s="471" t="s">
        <v>4777</v>
      </c>
      <c r="B163" s="1139">
        <f t="shared" ca="1" si="25"/>
        <v>0</v>
      </c>
      <c r="C163" s="472"/>
      <c r="D163" s="472"/>
      <c r="E163" s="472"/>
      <c r="F163" s="472"/>
      <c r="H163" s="471">
        <v>2</v>
      </c>
      <c r="I163" s="471">
        <v>0</v>
      </c>
      <c r="J163" s="471" t="str">
        <f t="shared" si="26"/>
        <v>invprpout2</v>
      </c>
      <c r="K163" s="471" t="str">
        <f t="shared" si="24"/>
        <v>attrint-net-exp</v>
      </c>
      <c r="L163" s="599"/>
      <c r="M163" s="471" t="s">
        <v>4758</v>
      </c>
      <c r="N163" s="471" t="s">
        <v>4759</v>
      </c>
      <c r="O163" s="471" t="s">
        <v>4760</v>
      </c>
    </row>
    <row r="164" spans="1:15" x14ac:dyDescent="0.25">
      <c r="A164" s="471" t="s">
        <v>4778</v>
      </c>
      <c r="B164" s="1139">
        <f t="shared" ca="1" si="25"/>
        <v>0</v>
      </c>
      <c r="C164" s="472"/>
      <c r="D164" s="472"/>
      <c r="E164" s="472"/>
      <c r="F164" s="472"/>
      <c r="H164" s="471">
        <v>2</v>
      </c>
      <c r="I164" s="471">
        <v>0</v>
      </c>
      <c r="J164" s="471" t="str">
        <f t="shared" si="26"/>
        <v>invprp</v>
      </c>
      <c r="K164" s="471" t="str">
        <f t="shared" si="24"/>
        <v>totcost-net-exp</v>
      </c>
      <c r="L164" s="599"/>
      <c r="M164" s="471" t="s">
        <v>4758</v>
      </c>
      <c r="N164" s="471" t="s">
        <v>4759</v>
      </c>
      <c r="O164" s="471" t="s">
        <v>4760</v>
      </c>
    </row>
    <row r="165" spans="1:15" x14ac:dyDescent="0.25">
      <c r="A165" s="471" t="s">
        <v>4779</v>
      </c>
      <c r="B165" s="1139">
        <f t="shared" ca="1" si="25"/>
        <v>0</v>
      </c>
      <c r="C165" s="472"/>
      <c r="D165" s="472"/>
      <c r="E165" s="472"/>
      <c r="F165" s="472"/>
      <c r="H165" s="471">
        <v>2</v>
      </c>
      <c r="I165" s="471">
        <v>0</v>
      </c>
      <c r="J165" s="471" t="str">
        <f t="shared" si="26"/>
        <v>invprpin</v>
      </c>
      <c r="K165" s="471" t="str">
        <f t="shared" si="24"/>
        <v>totcost-net-exp</v>
      </c>
      <c r="L165" s="599"/>
      <c r="M165" s="471" t="s">
        <v>4758</v>
      </c>
      <c r="N165" s="471" t="s">
        <v>4759</v>
      </c>
      <c r="O165" s="471" t="s">
        <v>4760</v>
      </c>
    </row>
    <row r="166" spans="1:15" x14ac:dyDescent="0.25">
      <c r="A166" s="471" t="s">
        <v>4780</v>
      </c>
      <c r="B166" s="1139">
        <f t="shared" ca="1" si="25"/>
        <v>0</v>
      </c>
      <c r="C166" s="472"/>
      <c r="D166" s="472"/>
      <c r="E166" s="472"/>
      <c r="F166" s="472"/>
      <c r="H166" s="471">
        <v>2</v>
      </c>
      <c r="I166" s="471">
        <v>0</v>
      </c>
      <c r="J166" s="471" t="str">
        <f t="shared" si="26"/>
        <v>invprpout1</v>
      </c>
      <c r="K166" s="471" t="str">
        <f t="shared" si="24"/>
        <v>totcost-net-exp</v>
      </c>
      <c r="L166" s="599"/>
      <c r="M166" s="471" t="s">
        <v>4758</v>
      </c>
      <c r="N166" s="471" t="s">
        <v>4759</v>
      </c>
      <c r="O166" s="471" t="s">
        <v>4760</v>
      </c>
    </row>
    <row r="167" spans="1:15" x14ac:dyDescent="0.25">
      <c r="A167" s="471" t="s">
        <v>4781</v>
      </c>
      <c r="B167" s="1139">
        <f t="shared" ca="1" si="25"/>
        <v>0</v>
      </c>
      <c r="C167" s="472"/>
      <c r="D167" s="472"/>
      <c r="E167" s="472"/>
      <c r="F167" s="472"/>
      <c r="H167" s="471">
        <v>2</v>
      </c>
      <c r="I167" s="471">
        <v>0</v>
      </c>
      <c r="J167" s="471" t="str">
        <f t="shared" si="26"/>
        <v>invprpout2</v>
      </c>
      <c r="K167" s="471" t="str">
        <f t="shared" si="24"/>
        <v>totcost-net-exp</v>
      </c>
      <c r="L167" s="599"/>
      <c r="M167" s="471" t="s">
        <v>4758</v>
      </c>
      <c r="N167" s="471" t="s">
        <v>4759</v>
      </c>
      <c r="O167" s="471" t="s">
        <v>4760</v>
      </c>
    </row>
    <row r="168" spans="1:15" x14ac:dyDescent="0.25">
      <c r="A168" s="471" t="s">
        <v>4782</v>
      </c>
      <c r="B168" s="1139">
        <f t="shared" ca="1" si="25"/>
        <v>0</v>
      </c>
      <c r="C168" s="472"/>
      <c r="D168" s="472"/>
      <c r="E168" s="472"/>
      <c r="F168" s="472"/>
      <c r="H168" s="471">
        <v>2</v>
      </c>
      <c r="I168" s="471">
        <v>0</v>
      </c>
      <c r="J168" s="471" t="str">
        <f t="shared" si="26"/>
        <v>invprp</v>
      </c>
      <c r="K168" s="471" t="str">
        <f t="shared" si="24"/>
        <v>netinc-net-exp</v>
      </c>
      <c r="L168" s="599"/>
      <c r="M168" s="471" t="s">
        <v>4758</v>
      </c>
      <c r="N168" s="471" t="s">
        <v>4759</v>
      </c>
      <c r="O168" s="471" t="s">
        <v>4760</v>
      </c>
    </row>
    <row r="169" spans="1:15" x14ac:dyDescent="0.25">
      <c r="A169" s="471" t="s">
        <v>4783</v>
      </c>
      <c r="B169" s="1139">
        <f t="shared" ca="1" si="25"/>
        <v>0</v>
      </c>
      <c r="C169" s="472"/>
      <c r="D169" s="472"/>
      <c r="E169" s="472"/>
      <c r="F169" s="472"/>
      <c r="H169" s="471">
        <v>2</v>
      </c>
      <c r="I169" s="471">
        <v>0</v>
      </c>
      <c r="J169" s="471" t="str">
        <f t="shared" si="26"/>
        <v>invprpin</v>
      </c>
      <c r="K169" s="471" t="str">
        <f t="shared" si="24"/>
        <v>netinc-net-exp</v>
      </c>
      <c r="L169" s="599"/>
      <c r="M169" s="471" t="s">
        <v>4758</v>
      </c>
      <c r="N169" s="471" t="s">
        <v>4759</v>
      </c>
      <c r="O169" s="471" t="s">
        <v>4760</v>
      </c>
    </row>
    <row r="170" spans="1:15" x14ac:dyDescent="0.25">
      <c r="A170" s="471" t="s">
        <v>4784</v>
      </c>
      <c r="B170" s="1139">
        <f t="shared" ca="1" si="25"/>
        <v>0</v>
      </c>
      <c r="C170" s="472"/>
      <c r="D170" s="472"/>
      <c r="E170" s="472"/>
      <c r="F170" s="472"/>
      <c r="H170" s="471">
        <v>2</v>
      </c>
      <c r="I170" s="471">
        <v>0</v>
      </c>
      <c r="J170" s="471" t="str">
        <f t="shared" si="26"/>
        <v>invprpout1</v>
      </c>
      <c r="K170" s="471" t="str">
        <f t="shared" si="24"/>
        <v>netinc-net-exp</v>
      </c>
      <c r="L170" s="599"/>
      <c r="M170" s="471" t="s">
        <v>4758</v>
      </c>
      <c r="N170" s="471" t="s">
        <v>4759</v>
      </c>
      <c r="O170" s="471" t="s">
        <v>4760</v>
      </c>
    </row>
    <row r="171" spans="1:15" x14ac:dyDescent="0.25">
      <c r="A171" s="471" t="s">
        <v>4785</v>
      </c>
      <c r="B171" s="1139">
        <f ca="1">INDEX(INDIRECT(LEFT($A171,SEARCH("-",$A171,1)-1)&amp;"_RSmdata"),MATCH(MID($A171,SEARCH("-",$A171)+1,SEARCH("#",SUBSTITUTE($A171,"-","#",H171),1)-(SEARCH("-",$A171)+1)),INDIRECT(LEFT($A171,SEARCH("-",$A171,1)-1)&amp;"_RSmrows"),0),MATCH(RIGHT($A171,LEN($A171)-LEN(LEFT($A171,SEARCH("#",SUBSTITUTE($A171,"-","#",H171),1)))),INDIRECT(LEFT($A171,SEARCH("-",$A171,1)-1)&amp;"_RSmHeader"),0))</f>
        <v>0</v>
      </c>
      <c r="C171" s="472"/>
      <c r="D171" s="472"/>
      <c r="E171" s="472"/>
      <c r="F171" s="472"/>
      <c r="G171" s="472" t="str">
        <f>IF(RSm!B44="","",RSm!B44)</f>
        <v/>
      </c>
      <c r="H171" s="471">
        <v>2</v>
      </c>
      <c r="I171" s="471">
        <v>0</v>
      </c>
      <c r="J171" s="471" t="str">
        <f t="shared" si="26"/>
        <v>invprpout2</v>
      </c>
      <c r="K171" s="471" t="str">
        <f t="shared" si="24"/>
        <v>netinc-net-exp</v>
      </c>
      <c r="L171" s="698"/>
      <c r="M171" s="471" t="s">
        <v>4758</v>
      </c>
      <c r="N171" s="471" t="s">
        <v>4759</v>
      </c>
      <c r="O171" s="471" t="s">
        <v>4760</v>
      </c>
    </row>
    <row r="172" spans="1:15" x14ac:dyDescent="0.25">
      <c r="A172" s="719" t="s">
        <v>4786</v>
      </c>
      <c r="B172" s="1142"/>
      <c r="C172" s="702" t="str">
        <f>IF(RSm!B48="","",RSm!B48)</f>
        <v/>
      </c>
      <c r="D172" s="702"/>
      <c r="E172" s="702"/>
      <c r="F172" s="702"/>
      <c r="G172" s="701"/>
      <c r="H172" s="471">
        <v>2</v>
      </c>
      <c r="I172" s="471">
        <v>0</v>
      </c>
      <c r="J172" s="471" t="s">
        <v>434</v>
      </c>
      <c r="K172" s="471" t="str">
        <f t="shared" si="21"/>
        <v>conf</v>
      </c>
      <c r="L172" s="697" t="s">
        <v>4787</v>
      </c>
      <c r="M172" s="471" t="s">
        <v>4758</v>
      </c>
      <c r="N172" s="471" t="s">
        <v>4759</v>
      </c>
      <c r="O172" s="471" t="s">
        <v>4760</v>
      </c>
    </row>
    <row r="173" spans="1:15" x14ac:dyDescent="0.25">
      <c r="A173" s="471" t="s">
        <v>4788</v>
      </c>
      <c r="B173" s="1139">
        <f ca="1">INDEX(INDIRECT(LEFT($A173,SEARCH("-",$A173,1)-1)&amp;"_RSmdata"),MATCH(MID($A173,SEARCH("-",$A173)+1,SEARCH("#",SUBSTITUTE($A173,"-","#",H173),1)-(SEARCH("-",$A173)+1)),INDIRECT(LEFT($A173,SEARCH("-",$A173,1)-1)&amp;"_RSmrows"),0),MATCH(RIGHT($A173,LEN($A173)-LEN(LEFT($A173,SEARCH("#",SUBSTITUTE($A173,"-","#",H173),1)))),INDIRECT(LEFT($A173,SEARCH("-",$A173,1)-1)&amp;"_RSmHeader1"),0))</f>
        <v>0</v>
      </c>
      <c r="C173" s="472"/>
      <c r="D173" s="472"/>
      <c r="E173" s="472"/>
      <c r="F173" s="472"/>
      <c r="H173" s="471">
        <v>3</v>
      </c>
      <c r="I173" s="471">
        <v>0</v>
      </c>
      <c r="J173" s="471" t="str">
        <f>MID($A173,SEARCH("-",$A173)+1,SEARCH("#",SUBSTITUTE($A173,"-","#",H173),1)-(SEARCH("-",$A173)+1))</f>
        <v>debtcost-GF</v>
      </c>
      <c r="K173" s="471" t="str">
        <f t="shared" si="21"/>
        <v>intcost</v>
      </c>
      <c r="L173" s="599"/>
      <c r="M173" s="471" t="s">
        <v>4758</v>
      </c>
      <c r="N173" s="471" t="s">
        <v>4759</v>
      </c>
      <c r="O173" s="471" t="s">
        <v>4789</v>
      </c>
    </row>
    <row r="174" spans="1:15" x14ac:dyDescent="0.25">
      <c r="A174" s="471" t="s">
        <v>4790</v>
      </c>
      <c r="B174" s="1139">
        <f t="shared" ref="B174:B178" ca="1" si="27">INDEX(INDIRECT(LEFT($A174,SEARCH("-",$A174,1)-1)&amp;"_RSmdata"),MATCH(MID($A174,SEARCH("-",$A174)+1,SEARCH("#",SUBSTITUTE($A174,"-","#",H174),1)-(SEARCH("-",$A174)+1)),INDIRECT(LEFT($A174,SEARCH("-",$A174,1)-1)&amp;"_RSmrows"),0),MATCH(RIGHT($A174,LEN($A174)-LEN(LEFT($A174,SEARCH("#",SUBSTITUTE($A174,"-","#",H174),1)))),INDIRECT(LEFT($A174,SEARCH("-",$A174,1)-1)&amp;"_RSmHeader1"),0))</f>
        <v>0</v>
      </c>
      <c r="C174" s="472"/>
      <c r="D174" s="472"/>
      <c r="E174" s="472"/>
      <c r="F174" s="472"/>
      <c r="H174" s="471">
        <v>3</v>
      </c>
      <c r="I174" s="471">
        <v>0</v>
      </c>
      <c r="J174" s="471" t="str">
        <f t="shared" ref="J174:J178" si="28">MID($A174,SEARCH("-",$A174)+1,SEARCH("#",SUBSTITUTE($A174,"-","#",H174),1)-(SEARCH("-",$A174)+1))</f>
        <v>debtcost-HRA</v>
      </c>
      <c r="K174" s="471" t="str">
        <f t="shared" si="21"/>
        <v>intcost</v>
      </c>
      <c r="L174" s="599"/>
      <c r="M174" s="471" t="s">
        <v>4758</v>
      </c>
      <c r="N174" s="471" t="s">
        <v>4759</v>
      </c>
      <c r="O174" s="471" t="s">
        <v>4789</v>
      </c>
    </row>
    <row r="175" spans="1:15" x14ac:dyDescent="0.25">
      <c r="A175" s="471" t="s">
        <v>4791</v>
      </c>
      <c r="B175" s="1139">
        <f t="shared" ca="1" si="27"/>
        <v>0</v>
      </c>
      <c r="C175" s="472"/>
      <c r="D175" s="472"/>
      <c r="E175" s="472"/>
      <c r="F175" s="472"/>
      <c r="H175" s="471">
        <v>3</v>
      </c>
      <c r="I175" s="471">
        <v>0</v>
      </c>
      <c r="J175" s="471" t="str">
        <f t="shared" si="28"/>
        <v>debtcost-GF</v>
      </c>
      <c r="K175" s="471" t="str">
        <f t="shared" si="21"/>
        <v>fincost</v>
      </c>
      <c r="L175" s="599"/>
      <c r="M175" s="471" t="s">
        <v>4758</v>
      </c>
      <c r="N175" s="471" t="s">
        <v>4759</v>
      </c>
      <c r="O175" s="471" t="s">
        <v>4789</v>
      </c>
    </row>
    <row r="176" spans="1:15" x14ac:dyDescent="0.25">
      <c r="A176" s="471" t="s">
        <v>4792</v>
      </c>
      <c r="B176" s="1139">
        <f t="shared" ca="1" si="27"/>
        <v>0</v>
      </c>
      <c r="C176" s="472"/>
      <c r="D176" s="472"/>
      <c r="E176" s="472"/>
      <c r="F176" s="472"/>
      <c r="H176" s="471">
        <v>3</v>
      </c>
      <c r="I176" s="471">
        <v>0</v>
      </c>
      <c r="J176" s="471" t="str">
        <f t="shared" si="28"/>
        <v>debtcost-HRA</v>
      </c>
      <c r="K176" s="471" t="str">
        <f t="shared" si="21"/>
        <v>fincost</v>
      </c>
      <c r="L176" s="599"/>
      <c r="M176" s="471" t="s">
        <v>4758</v>
      </c>
      <c r="N176" s="471" t="s">
        <v>4759</v>
      </c>
      <c r="O176" s="471" t="s">
        <v>4789</v>
      </c>
    </row>
    <row r="177" spans="1:15" x14ac:dyDescent="0.25">
      <c r="A177" s="471" t="s">
        <v>4793</v>
      </c>
      <c r="B177" s="1139">
        <f t="shared" ca="1" si="27"/>
        <v>0</v>
      </c>
      <c r="C177" s="472"/>
      <c r="D177" s="472"/>
      <c r="E177" s="472"/>
      <c r="F177" s="472"/>
      <c r="H177" s="471">
        <v>3</v>
      </c>
      <c r="I177" s="471">
        <v>0</v>
      </c>
      <c r="J177" s="471" t="str">
        <f t="shared" si="28"/>
        <v>debtcost-GF</v>
      </c>
      <c r="K177" s="471" t="str">
        <f t="shared" si="21"/>
        <v>revcost</v>
      </c>
      <c r="L177" s="599"/>
      <c r="M177" s="471" t="s">
        <v>4758</v>
      </c>
      <c r="N177" s="471" t="s">
        <v>4759</v>
      </c>
      <c r="O177" s="471" t="s">
        <v>4789</v>
      </c>
    </row>
    <row r="178" spans="1:15" x14ac:dyDescent="0.25">
      <c r="A178" s="471" t="s">
        <v>4794</v>
      </c>
      <c r="B178" s="1139">
        <f t="shared" ca="1" si="27"/>
        <v>0</v>
      </c>
      <c r="C178" s="472"/>
      <c r="D178" s="472"/>
      <c r="E178" s="472"/>
      <c r="F178" s="472"/>
      <c r="H178" s="471">
        <v>3</v>
      </c>
      <c r="I178" s="471">
        <v>0</v>
      </c>
      <c r="J178" s="471" t="str">
        <f t="shared" si="28"/>
        <v>debtcost-HRA</v>
      </c>
      <c r="K178" s="471" t="str">
        <f t="shared" si="21"/>
        <v>revcost</v>
      </c>
      <c r="L178" s="599"/>
      <c r="M178" s="471" t="s">
        <v>4758</v>
      </c>
      <c r="N178" s="471" t="s">
        <v>4759</v>
      </c>
      <c r="O178" s="471" t="s">
        <v>4789</v>
      </c>
    </row>
    <row r="179" spans="1:15" x14ac:dyDescent="0.25">
      <c r="A179" s="1111" t="s">
        <v>4795</v>
      </c>
      <c r="B179" s="1143" t="str">
        <f ca="1">INDEX(INDIRECT(LEFT($A179,SEARCH("-",$A179,1)-1)&amp;"_data"),MATCH(J179,INDIRECT(LEFT($A179,SEARCH("-",$A179,1)-1)&amp;"_rows"),0),MATCH(RIGHT($A179,LEN($A179)-LEN(LEFT($A179,SEARCH("#",SUBSTITUTE($A179,"-","#",H179),1)))),INDIRECT(LEFT($A179,SEARCH("-",$A179,1)-1)&amp;"_Header"),0))</f>
        <v>There are no outstanding errors or warnings with the RSX section of the form. Thank you.</v>
      </c>
      <c r="C179" s="1112"/>
      <c r="D179" s="1111"/>
      <c r="E179" s="1111"/>
      <c r="F179" s="1111"/>
      <c r="G179" s="1111"/>
      <c r="H179" s="1111">
        <v>1</v>
      </c>
      <c r="I179" s="1111">
        <v>0</v>
      </c>
      <c r="J179" s="1111" t="s">
        <v>448</v>
      </c>
      <c r="K179" s="1111" t="str">
        <f t="shared" si="21"/>
        <v>error</v>
      </c>
      <c r="L179" s="1111" t="s">
        <v>4755</v>
      </c>
      <c r="M179" s="471" t="s">
        <v>4796</v>
      </c>
      <c r="N179" s="471" t="s">
        <v>446</v>
      </c>
      <c r="O179" s="471" t="s">
        <v>435</v>
      </c>
    </row>
    <row r="180" spans="1:15" x14ac:dyDescent="0.25">
      <c r="A180" s="471" t="s">
        <v>4797</v>
      </c>
      <c r="B180" s="1139">
        <f t="shared" ref="B180:B253" ca="1" si="29">INDEX(INDIRECT(LEFT($A180,SEARCH("-",$A180,1)-1)&amp;"_data"),MATCH(MID($A180,SEARCH("-",$A180)+1,SEARCH("#",SUBSTITUTE($A180,"-","#",H180),1)-(SEARCH("-",$A180)+1)),INDIRECT(LEFT($A180,SEARCH("-",$A180,1)-1)&amp;"_rows"),0),MATCH(RIGHT($A180,LEN($A180)-LEN(LEFT($A180,SEARCH("#",SUBSTITUTE($A180,"-","#",H180),1)))),INDIRECT(LEFT($A180,SEARCH("-",$A180,1)-1)&amp;"_Header"),0))</f>
        <v>0</v>
      </c>
      <c r="C180" s="473">
        <f ca="1">IF(ISERROR(VLOOKUP($A$278,INDIRECT("notes_"&amp;LEFT($A$278,3)),4,0)),0,VLOOKUP($A$278,INDIRECT("notes_"&amp;LEFT($A$278,3)),4,0))</f>
        <v>0</v>
      </c>
      <c r="H180" s="471">
        <v>2</v>
      </c>
      <c r="I180" s="471">
        <v>0</v>
      </c>
      <c r="J180" s="471" t="str">
        <f t="shared" si="20"/>
        <v>edu</v>
      </c>
      <c r="K180" s="471" t="str">
        <f t="shared" si="21"/>
        <v>empl</v>
      </c>
      <c r="L180" s="599"/>
      <c r="M180" s="471" t="s">
        <v>4796</v>
      </c>
      <c r="N180" s="471" t="s">
        <v>446</v>
      </c>
      <c r="O180" s="471" t="s">
        <v>435</v>
      </c>
    </row>
    <row r="181" spans="1:15" x14ac:dyDescent="0.25">
      <c r="A181" s="471" t="s">
        <v>4798</v>
      </c>
      <c r="B181" s="1139">
        <f t="shared" ca="1" si="29"/>
        <v>0</v>
      </c>
      <c r="C181" s="473">
        <f ca="1">IF(ISERROR(VLOOKUP($A$279,INDIRECT("notes_"&amp;LEFT($A$279,3)),4,0)),0,VLOOKUP($A$279,INDIRECT("notes_"&amp;LEFT($A$279,3)),4,0))</f>
        <v>0</v>
      </c>
      <c r="H181" s="471">
        <v>2</v>
      </c>
      <c r="I181" s="471">
        <v>0</v>
      </c>
      <c r="J181" s="471" t="str">
        <f t="shared" si="20"/>
        <v>trans</v>
      </c>
      <c r="K181" s="471" t="str">
        <f t="shared" si="21"/>
        <v>empl</v>
      </c>
      <c r="L181" s="599"/>
      <c r="M181" s="471" t="s">
        <v>4796</v>
      </c>
      <c r="N181" s="471" t="s">
        <v>446</v>
      </c>
      <c r="O181" s="471" t="s">
        <v>435</v>
      </c>
    </row>
    <row r="182" spans="1:15" x14ac:dyDescent="0.25">
      <c r="A182" s="471" t="s">
        <v>4799</v>
      </c>
      <c r="B182" s="1139">
        <f t="shared" ca="1" si="29"/>
        <v>0</v>
      </c>
      <c r="C182" s="473">
        <f ca="1">IF(ISERROR(VLOOKUP($A$280,INDIRECT("notes_"&amp;LEFT($A$280,3)),4,0)),0,VLOOKUP($A$280,INDIRECT("notes_"&amp;LEFT($A$280,3)),4,0))</f>
        <v>0</v>
      </c>
      <c r="H182" s="471">
        <v>2</v>
      </c>
      <c r="I182" s="471">
        <v>0</v>
      </c>
      <c r="J182" s="471" t="str">
        <f t="shared" si="20"/>
        <v>csc</v>
      </c>
      <c r="K182" s="471" t="str">
        <f t="shared" si="21"/>
        <v>empl</v>
      </c>
      <c r="L182" s="599"/>
      <c r="M182" s="471" t="s">
        <v>4796</v>
      </c>
      <c r="N182" s="471" t="s">
        <v>446</v>
      </c>
      <c r="O182" s="471" t="s">
        <v>435</v>
      </c>
    </row>
    <row r="183" spans="1:15" x14ac:dyDescent="0.25">
      <c r="A183" s="471" t="s">
        <v>4800</v>
      </c>
      <c r="B183" s="1139">
        <f t="shared" ca="1" si="29"/>
        <v>0</v>
      </c>
      <c r="C183" s="473">
        <f ca="1">IF(ISERROR(VLOOKUP($A$281,INDIRECT("notes_"&amp;LEFT($A$281,3)),4,0)),0,VLOOKUP($A$281,INDIRECT("notes_"&amp;LEFT($A$281,3)),4,0))</f>
        <v>0</v>
      </c>
      <c r="H183" s="471">
        <v>2</v>
      </c>
      <c r="I183" s="471">
        <v>0</v>
      </c>
      <c r="J183" s="471" t="str">
        <f t="shared" si="20"/>
        <v>asc</v>
      </c>
      <c r="K183" s="471" t="str">
        <f t="shared" si="21"/>
        <v>empl</v>
      </c>
      <c r="L183" s="599"/>
      <c r="M183" s="471" t="s">
        <v>4796</v>
      </c>
      <c r="N183" s="471" t="s">
        <v>446</v>
      </c>
      <c r="O183" s="471" t="s">
        <v>435</v>
      </c>
    </row>
    <row r="184" spans="1:15" x14ac:dyDescent="0.25">
      <c r="A184" s="471" t="s">
        <v>4801</v>
      </c>
      <c r="B184" s="1139">
        <f t="shared" ca="1" si="29"/>
        <v>0</v>
      </c>
      <c r="C184" s="473">
        <f ca="1">IF(ISERROR(VLOOKUP($A$282,INDIRECT("notes_"&amp;LEFT($A$282,3)),4,0)),0,VLOOKUP($A$282,INDIRECT("notes_"&amp;LEFT($A$282,3)),4,0))</f>
        <v>0</v>
      </c>
      <c r="H184" s="471">
        <v>2</v>
      </c>
      <c r="I184" s="471">
        <v>0</v>
      </c>
      <c r="J184" s="471" t="str">
        <f t="shared" si="20"/>
        <v>phs</v>
      </c>
      <c r="K184" s="471" t="str">
        <f t="shared" si="21"/>
        <v>empl</v>
      </c>
      <c r="L184" s="599"/>
      <c r="M184" s="471" t="s">
        <v>4796</v>
      </c>
      <c r="N184" s="471" t="s">
        <v>446</v>
      </c>
      <c r="O184" s="471" t="s">
        <v>435</v>
      </c>
    </row>
    <row r="185" spans="1:15" x14ac:dyDescent="0.25">
      <c r="A185" s="471" t="s">
        <v>4802</v>
      </c>
      <c r="B185" s="1139">
        <f t="shared" ca="1" si="29"/>
        <v>0</v>
      </c>
      <c r="C185" s="473">
        <f ca="1">IF(ISERROR(VLOOKUP($A$283,INDIRECT("notes_"&amp;LEFT($A$283,3)),4,0)),0,VLOOKUP($A$283,INDIRECT("notes_"&amp;LEFT($A$283,3)),4,0))</f>
        <v>0</v>
      </c>
      <c r="H185" s="471">
        <v>2</v>
      </c>
      <c r="I185" s="471">
        <v>0</v>
      </c>
      <c r="J185" s="471" t="str">
        <f t="shared" si="20"/>
        <v>hous</v>
      </c>
      <c r="K185" s="471" t="str">
        <f t="shared" si="21"/>
        <v>empl</v>
      </c>
      <c r="L185" s="599"/>
      <c r="M185" s="471" t="s">
        <v>4796</v>
      </c>
      <c r="N185" s="471" t="s">
        <v>446</v>
      </c>
      <c r="O185" s="471" t="s">
        <v>435</v>
      </c>
    </row>
    <row r="186" spans="1:15" x14ac:dyDescent="0.25">
      <c r="A186" s="471" t="s">
        <v>4803</v>
      </c>
      <c r="B186" s="1139">
        <f t="shared" ca="1" si="29"/>
        <v>0</v>
      </c>
      <c r="C186" s="473">
        <f ca="1">IF(ISERROR(VLOOKUP($A$284,INDIRECT("notes_"&amp;LEFT($A$284,3)),4,0)),0,VLOOKUP($A$284,INDIRECT("notes_"&amp;LEFT($A$284,3)),4,0))</f>
        <v>0</v>
      </c>
      <c r="H186" s="471">
        <v>2</v>
      </c>
      <c r="I186" s="471">
        <v>0</v>
      </c>
      <c r="J186" s="471" t="str">
        <f t="shared" si="20"/>
        <v>cul</v>
      </c>
      <c r="K186" s="471" t="str">
        <f t="shared" si="21"/>
        <v>empl</v>
      </c>
      <c r="L186" s="599"/>
      <c r="M186" s="471" t="s">
        <v>4796</v>
      </c>
      <c r="N186" s="471" t="s">
        <v>446</v>
      </c>
      <c r="O186" s="471" t="s">
        <v>435</v>
      </c>
    </row>
    <row r="187" spans="1:15" x14ac:dyDescent="0.25">
      <c r="A187" s="471" t="s">
        <v>4804</v>
      </c>
      <c r="B187" s="1139">
        <f t="shared" ca="1" si="29"/>
        <v>0</v>
      </c>
      <c r="C187" s="473">
        <f ca="1">IF(ISERROR(VLOOKUP($A$285,INDIRECT("notes_"&amp;LEFT($A$285,3)),4,0)),0,VLOOKUP($A$285,INDIRECT("notes_"&amp;LEFT($A$285,3)),4,0))</f>
        <v>0</v>
      </c>
      <c r="H187" s="471">
        <v>2</v>
      </c>
      <c r="I187" s="471">
        <v>0</v>
      </c>
      <c r="J187" s="471" t="str">
        <f t="shared" si="20"/>
        <v>env</v>
      </c>
      <c r="K187" s="471" t="str">
        <f t="shared" si="21"/>
        <v>empl</v>
      </c>
      <c r="L187" s="599"/>
      <c r="M187" s="471" t="s">
        <v>4796</v>
      </c>
      <c r="N187" s="471" t="s">
        <v>446</v>
      </c>
      <c r="O187" s="471" t="s">
        <v>435</v>
      </c>
    </row>
    <row r="188" spans="1:15" x14ac:dyDescent="0.25">
      <c r="A188" s="471" t="s">
        <v>4805</v>
      </c>
      <c r="B188" s="1139">
        <f t="shared" ca="1" si="29"/>
        <v>0</v>
      </c>
      <c r="C188" s="473">
        <f ca="1">IF(ISERROR(VLOOKUP($A$286,INDIRECT("notes_"&amp;LEFT($A$286,3)),4,0)),0,VLOOKUP($A$286,INDIRECT("notes_"&amp;LEFT($A$286,3)),4,0))</f>
        <v>0</v>
      </c>
      <c r="H188" s="471">
        <v>2</v>
      </c>
      <c r="I188" s="471">
        <v>0</v>
      </c>
      <c r="J188" s="471" t="str">
        <f t="shared" si="20"/>
        <v>plan</v>
      </c>
      <c r="K188" s="471" t="str">
        <f t="shared" si="21"/>
        <v>empl</v>
      </c>
      <c r="L188" s="599"/>
      <c r="M188" s="471" t="s">
        <v>4796</v>
      </c>
      <c r="N188" s="471" t="s">
        <v>446</v>
      </c>
      <c r="O188" s="471" t="s">
        <v>435</v>
      </c>
    </row>
    <row r="189" spans="1:15" x14ac:dyDescent="0.25">
      <c r="A189" s="471" t="s">
        <v>4806</v>
      </c>
      <c r="B189" s="1139">
        <f t="shared" ca="1" si="29"/>
        <v>0</v>
      </c>
      <c r="C189" s="473">
        <f ca="1">IF(ISERROR(VLOOKUP($A$287,INDIRECT("notes_"&amp;LEFT($A$287,3)),4,0)),0,VLOOKUP($A$287,INDIRECT("notes_"&amp;LEFT($A$287,3)),4,0))</f>
        <v>0</v>
      </c>
      <c r="H189" s="471">
        <v>2</v>
      </c>
      <c r="I189" s="471">
        <v>0</v>
      </c>
      <c r="J189" s="471" t="str">
        <f t="shared" si="20"/>
        <v>pol</v>
      </c>
      <c r="K189" s="471" t="str">
        <f t="shared" si="21"/>
        <v>empl</v>
      </c>
      <c r="L189" s="599"/>
      <c r="M189" s="471" t="s">
        <v>4796</v>
      </c>
      <c r="N189" s="471" t="s">
        <v>446</v>
      </c>
      <c r="O189" s="471" t="s">
        <v>435</v>
      </c>
    </row>
    <row r="190" spans="1:15" x14ac:dyDescent="0.25">
      <c r="A190" s="471" t="s">
        <v>4807</v>
      </c>
      <c r="B190" s="1139">
        <f t="shared" ca="1" si="29"/>
        <v>0</v>
      </c>
      <c r="C190" s="473">
        <f ca="1">IF(ISERROR(VLOOKUP($A$288,INDIRECT("notes_"&amp;LEFT($A$288,3)),4,0)),0,VLOOKUP($A$288,INDIRECT("notes_"&amp;LEFT($A$288,3)),4,0))</f>
        <v>0</v>
      </c>
      <c r="H190" s="471">
        <v>2</v>
      </c>
      <c r="I190" s="471">
        <v>0</v>
      </c>
      <c r="J190" s="471" t="str">
        <f t="shared" si="20"/>
        <v>frs</v>
      </c>
      <c r="K190" s="471" t="str">
        <f t="shared" si="21"/>
        <v>empl</v>
      </c>
      <c r="L190" s="599"/>
      <c r="M190" s="471" t="s">
        <v>4796</v>
      </c>
      <c r="N190" s="471" t="s">
        <v>446</v>
      </c>
      <c r="O190" s="471" t="s">
        <v>435</v>
      </c>
    </row>
    <row r="191" spans="1:15" x14ac:dyDescent="0.25">
      <c r="A191" s="471" t="s">
        <v>4808</v>
      </c>
      <c r="B191" s="1139">
        <f t="shared" ca="1" si="29"/>
        <v>0</v>
      </c>
      <c r="C191" s="473">
        <f ca="1">IF(ISERROR(VLOOKUP($A$289,INDIRECT("notes_"&amp;LEFT($A$289,3)),4,0)),0,VLOOKUP($A$289,INDIRECT("notes_"&amp;LEFT($A$289,3)),4,0))</f>
        <v>0</v>
      </c>
      <c r="H191" s="471">
        <v>2</v>
      </c>
      <c r="I191" s="471">
        <v>0</v>
      </c>
      <c r="J191" s="471" t="str">
        <f t="shared" si="20"/>
        <v>cen</v>
      </c>
      <c r="K191" s="471" t="str">
        <f t="shared" si="21"/>
        <v>empl</v>
      </c>
      <c r="L191" s="599"/>
      <c r="M191" s="471" t="s">
        <v>4796</v>
      </c>
      <c r="N191" s="471" t="s">
        <v>446</v>
      </c>
      <c r="O191" s="471" t="s">
        <v>435</v>
      </c>
    </row>
    <row r="192" spans="1:15" x14ac:dyDescent="0.25">
      <c r="A192" s="471" t="s">
        <v>4809</v>
      </c>
      <c r="B192" s="1139">
        <f t="shared" ca="1" si="29"/>
        <v>0</v>
      </c>
      <c r="C192" s="473">
        <f ca="1">IF(ISERROR(VLOOKUP($A$290,INDIRECT("notes_"&amp;LEFT($A$290,3)),4,0)),0,VLOOKUP($A$290,INDIRECT("notes_"&amp;LEFT($A$290,3)),4,0))</f>
        <v>0</v>
      </c>
      <c r="H192" s="471">
        <v>2</v>
      </c>
      <c r="I192" s="471">
        <v>0</v>
      </c>
      <c r="J192" s="471" t="str">
        <f t="shared" si="20"/>
        <v>oth</v>
      </c>
      <c r="K192" s="471" t="str">
        <f t="shared" si="21"/>
        <v>empl</v>
      </c>
      <c r="L192" s="599"/>
      <c r="M192" s="471" t="s">
        <v>4796</v>
      </c>
      <c r="N192" s="471" t="s">
        <v>446</v>
      </c>
      <c r="O192" s="471" t="s">
        <v>435</v>
      </c>
    </row>
    <row r="193" spans="1:15" x14ac:dyDescent="0.25">
      <c r="A193" s="471" t="s">
        <v>4810</v>
      </c>
      <c r="B193" s="1139">
        <f t="shared" ca="1" si="29"/>
        <v>0</v>
      </c>
      <c r="C193" s="473">
        <f ca="1">IF(ISERROR(VLOOKUP($A$291,INDIRECT("notes_"&amp;LEFT($A$291,3)),4,0)),0,VLOOKUP($A$291,INDIRECT("notes_"&amp;LEFT($A$291,3)),4,0))</f>
        <v>0</v>
      </c>
      <c r="H193" s="471">
        <v>2</v>
      </c>
      <c r="I193" s="471">
        <v>0</v>
      </c>
      <c r="J193" s="471" t="str">
        <f t="shared" si="20"/>
        <v>totsx</v>
      </c>
      <c r="K193" s="471" t="str">
        <f t="shared" si="21"/>
        <v>empl</v>
      </c>
      <c r="L193" s="599"/>
      <c r="M193" s="471" t="s">
        <v>4796</v>
      </c>
      <c r="N193" s="471" t="s">
        <v>446</v>
      </c>
      <c r="O193" s="471" t="s">
        <v>435</v>
      </c>
    </row>
    <row r="194" spans="1:15" x14ac:dyDescent="0.25">
      <c r="A194" s="471" t="s">
        <v>4811</v>
      </c>
      <c r="B194" s="1139">
        <f t="shared" ca="1" si="29"/>
        <v>0</v>
      </c>
      <c r="C194" s="473">
        <f ca="1">IF(ISERROR(VLOOKUP($A$278,INDIRECT("notes_"&amp;LEFT($A$278,3)),4,0)),0,VLOOKUP($A$278,INDIRECT("notes_"&amp;LEFT($A$278,3)),4,0))</f>
        <v>0</v>
      </c>
      <c r="H194" s="471">
        <v>2</v>
      </c>
      <c r="I194" s="471">
        <v>0</v>
      </c>
      <c r="J194" s="471" t="str">
        <f t="shared" si="20"/>
        <v>edu</v>
      </c>
      <c r="K194" s="471" t="str">
        <f t="shared" si="21"/>
        <v>run-exp</v>
      </c>
      <c r="L194" s="599"/>
      <c r="M194" s="471" t="s">
        <v>4796</v>
      </c>
      <c r="N194" s="471" t="s">
        <v>446</v>
      </c>
      <c r="O194" s="471" t="s">
        <v>435</v>
      </c>
    </row>
    <row r="195" spans="1:15" x14ac:dyDescent="0.25">
      <c r="A195" s="471" t="s">
        <v>4812</v>
      </c>
      <c r="B195" s="1139">
        <f t="shared" ca="1" si="29"/>
        <v>0</v>
      </c>
      <c r="C195" s="473">
        <f ca="1">IF(ISERROR(VLOOKUP($A$279,INDIRECT("notes_"&amp;LEFT($A$279,3)),4,0)),0,VLOOKUP($A$279,INDIRECT("notes_"&amp;LEFT($A$279,3)),4,0))</f>
        <v>0</v>
      </c>
      <c r="H195" s="471">
        <v>2</v>
      </c>
      <c r="I195" s="471">
        <v>0</v>
      </c>
      <c r="J195" s="471" t="str">
        <f t="shared" si="20"/>
        <v>trans</v>
      </c>
      <c r="K195" s="471" t="str">
        <f t="shared" si="21"/>
        <v>run-exp</v>
      </c>
      <c r="L195" s="599"/>
      <c r="M195" s="471" t="s">
        <v>4796</v>
      </c>
      <c r="N195" s="471" t="s">
        <v>446</v>
      </c>
      <c r="O195" s="471" t="s">
        <v>435</v>
      </c>
    </row>
    <row r="196" spans="1:15" x14ac:dyDescent="0.25">
      <c r="A196" s="471" t="s">
        <v>4813</v>
      </c>
      <c r="B196" s="1139">
        <f t="shared" ca="1" si="29"/>
        <v>0</v>
      </c>
      <c r="C196" s="473">
        <f ca="1">IF(ISERROR(VLOOKUP($A$280,INDIRECT("notes_"&amp;LEFT($A$280,3)),4,0)),0,VLOOKUP($A$280,INDIRECT("notes_"&amp;LEFT($A$280,3)),4,0))</f>
        <v>0</v>
      </c>
      <c r="H196" s="471">
        <v>2</v>
      </c>
      <c r="I196" s="471">
        <v>0</v>
      </c>
      <c r="J196" s="471" t="str">
        <f t="shared" si="20"/>
        <v>csc</v>
      </c>
      <c r="K196" s="471" t="str">
        <f t="shared" si="21"/>
        <v>run-exp</v>
      </c>
      <c r="L196" s="599"/>
      <c r="M196" s="471" t="s">
        <v>4796</v>
      </c>
      <c r="N196" s="471" t="s">
        <v>446</v>
      </c>
      <c r="O196" s="471" t="s">
        <v>435</v>
      </c>
    </row>
    <row r="197" spans="1:15" x14ac:dyDescent="0.25">
      <c r="A197" s="471" t="s">
        <v>4814</v>
      </c>
      <c r="B197" s="1139">
        <f t="shared" ca="1" si="29"/>
        <v>0</v>
      </c>
      <c r="C197" s="473">
        <f ca="1">IF(ISERROR(VLOOKUP($A$281,INDIRECT("notes_"&amp;LEFT($A$281,3)),4,0)),0,VLOOKUP($A$281,INDIRECT("notes_"&amp;LEFT($A$281,3)),4,0))</f>
        <v>0</v>
      </c>
      <c r="H197" s="471">
        <v>2</v>
      </c>
      <c r="I197" s="471">
        <v>0</v>
      </c>
      <c r="J197" s="471" t="str">
        <f t="shared" si="20"/>
        <v>asc</v>
      </c>
      <c r="K197" s="471" t="str">
        <f t="shared" si="21"/>
        <v>run-exp</v>
      </c>
      <c r="L197" s="599"/>
      <c r="M197" s="471" t="s">
        <v>4796</v>
      </c>
      <c r="N197" s="471" t="s">
        <v>446</v>
      </c>
      <c r="O197" s="471" t="s">
        <v>435</v>
      </c>
    </row>
    <row r="198" spans="1:15" x14ac:dyDescent="0.25">
      <c r="A198" s="471" t="s">
        <v>4815</v>
      </c>
      <c r="B198" s="1139">
        <f t="shared" ca="1" si="29"/>
        <v>0</v>
      </c>
      <c r="C198" s="473">
        <f ca="1">IF(ISERROR(VLOOKUP($A$282,INDIRECT("notes_"&amp;LEFT($A$282,3)),4,0)),0,VLOOKUP($A$282,INDIRECT("notes_"&amp;LEFT($A$282,3)),4,0))</f>
        <v>0</v>
      </c>
      <c r="H198" s="471">
        <v>2</v>
      </c>
      <c r="I198" s="471">
        <v>0</v>
      </c>
      <c r="J198" s="471" t="str">
        <f t="shared" si="20"/>
        <v>phs</v>
      </c>
      <c r="K198" s="471" t="str">
        <f t="shared" si="21"/>
        <v>run-exp</v>
      </c>
      <c r="L198" s="599"/>
      <c r="M198" s="471" t="s">
        <v>4796</v>
      </c>
      <c r="N198" s="471" t="s">
        <v>446</v>
      </c>
      <c r="O198" s="471" t="s">
        <v>435</v>
      </c>
    </row>
    <row r="199" spans="1:15" x14ac:dyDescent="0.25">
      <c r="A199" s="471" t="s">
        <v>4816</v>
      </c>
      <c r="B199" s="1139">
        <f t="shared" ca="1" si="29"/>
        <v>0</v>
      </c>
      <c r="C199" s="473">
        <f ca="1">IF(ISERROR(VLOOKUP($A$283,INDIRECT("notes_"&amp;LEFT($A$283,3)),4,0)),0,VLOOKUP($A$283,INDIRECT("notes_"&amp;LEFT($A$283,3)),4,0))</f>
        <v>0</v>
      </c>
      <c r="H199" s="471">
        <v>2</v>
      </c>
      <c r="I199" s="471">
        <v>0</v>
      </c>
      <c r="J199" s="471" t="str">
        <f t="shared" ref="J199:J241" si="30">MID($A199,SEARCH("-",$A199)+1,SEARCH("#",SUBSTITUTE($A199,"-","#",H199),1)-(SEARCH("-",$A199)+1))</f>
        <v>hous</v>
      </c>
      <c r="K199" s="471" t="str">
        <f t="shared" ref="K199:K241" si="31">RIGHT($A199,LEN($A199)-SEARCH("#",SUBSTITUTE($A199,"-","#",H199),1))</f>
        <v>run-exp</v>
      </c>
      <c r="L199" s="599"/>
      <c r="M199" s="471" t="s">
        <v>4796</v>
      </c>
      <c r="N199" s="471" t="s">
        <v>446</v>
      </c>
      <c r="O199" s="471" t="s">
        <v>435</v>
      </c>
    </row>
    <row r="200" spans="1:15" x14ac:dyDescent="0.25">
      <c r="A200" s="471" t="s">
        <v>4817</v>
      </c>
      <c r="B200" s="1139">
        <f t="shared" ca="1" si="29"/>
        <v>0</v>
      </c>
      <c r="C200" s="473">
        <f ca="1">IF(ISERROR(VLOOKUP($A$284,INDIRECT("notes_"&amp;LEFT($A$284,3)),4,0)),0,VLOOKUP($A$284,INDIRECT("notes_"&amp;LEFT($A$284,3)),4,0))</f>
        <v>0</v>
      </c>
      <c r="H200" s="471">
        <v>2</v>
      </c>
      <c r="I200" s="471">
        <v>0</v>
      </c>
      <c r="J200" s="471" t="str">
        <f t="shared" si="30"/>
        <v>cul</v>
      </c>
      <c r="K200" s="471" t="str">
        <f t="shared" si="31"/>
        <v>run-exp</v>
      </c>
      <c r="L200" s="599"/>
      <c r="M200" s="471" t="s">
        <v>4796</v>
      </c>
      <c r="N200" s="471" t="s">
        <v>446</v>
      </c>
      <c r="O200" s="471" t="s">
        <v>435</v>
      </c>
    </row>
    <row r="201" spans="1:15" x14ac:dyDescent="0.25">
      <c r="A201" s="471" t="s">
        <v>4818</v>
      </c>
      <c r="B201" s="1139">
        <f t="shared" ca="1" si="29"/>
        <v>0</v>
      </c>
      <c r="C201" s="473">
        <f ca="1">IF(ISERROR(VLOOKUP($A$285,INDIRECT("notes_"&amp;LEFT($A$285,3)),4,0)),0,VLOOKUP($A$285,INDIRECT("notes_"&amp;LEFT($A$285,3)),4,0))</f>
        <v>0</v>
      </c>
      <c r="H201" s="471">
        <v>2</v>
      </c>
      <c r="I201" s="471">
        <v>0</v>
      </c>
      <c r="J201" s="471" t="str">
        <f t="shared" si="30"/>
        <v>env</v>
      </c>
      <c r="K201" s="471" t="str">
        <f t="shared" si="31"/>
        <v>run-exp</v>
      </c>
      <c r="L201" s="599"/>
      <c r="M201" s="471" t="s">
        <v>4796</v>
      </c>
      <c r="N201" s="471" t="s">
        <v>446</v>
      </c>
      <c r="O201" s="471" t="s">
        <v>435</v>
      </c>
    </row>
    <row r="202" spans="1:15" x14ac:dyDescent="0.25">
      <c r="A202" s="471" t="s">
        <v>4819</v>
      </c>
      <c r="B202" s="1139">
        <f t="shared" ca="1" si="29"/>
        <v>0</v>
      </c>
      <c r="C202" s="473">
        <f ca="1">IF(ISERROR(VLOOKUP($A$286,INDIRECT("notes_"&amp;LEFT($A$286,3)),4,0)),0,VLOOKUP($A$286,INDIRECT("notes_"&amp;LEFT($A$286,3)),4,0))</f>
        <v>0</v>
      </c>
      <c r="H202" s="471">
        <v>2</v>
      </c>
      <c r="I202" s="471">
        <v>0</v>
      </c>
      <c r="J202" s="471" t="str">
        <f t="shared" si="30"/>
        <v>plan</v>
      </c>
      <c r="K202" s="471" t="str">
        <f t="shared" si="31"/>
        <v>run-exp</v>
      </c>
      <c r="L202" s="599"/>
      <c r="M202" s="471" t="s">
        <v>4796</v>
      </c>
      <c r="N202" s="471" t="s">
        <v>446</v>
      </c>
      <c r="O202" s="471" t="s">
        <v>435</v>
      </c>
    </row>
    <row r="203" spans="1:15" x14ac:dyDescent="0.25">
      <c r="A203" s="471" t="s">
        <v>4820</v>
      </c>
      <c r="B203" s="1139">
        <f t="shared" ca="1" si="29"/>
        <v>0</v>
      </c>
      <c r="C203" s="473">
        <f ca="1">IF(ISERROR(VLOOKUP($A$287,INDIRECT("notes_"&amp;LEFT($A$287,3)),4,0)),0,VLOOKUP($A$287,INDIRECT("notes_"&amp;LEFT($A$287,3)),4,0))</f>
        <v>0</v>
      </c>
      <c r="H203" s="471">
        <v>2</v>
      </c>
      <c r="I203" s="471">
        <v>0</v>
      </c>
      <c r="J203" s="471" t="str">
        <f t="shared" si="30"/>
        <v>pol</v>
      </c>
      <c r="K203" s="471" t="str">
        <f t="shared" si="31"/>
        <v>run-exp</v>
      </c>
      <c r="L203" s="599"/>
      <c r="M203" s="471" t="s">
        <v>4796</v>
      </c>
      <c r="N203" s="471" t="s">
        <v>446</v>
      </c>
      <c r="O203" s="471" t="s">
        <v>435</v>
      </c>
    </row>
    <row r="204" spans="1:15" x14ac:dyDescent="0.25">
      <c r="A204" s="471" t="s">
        <v>4821</v>
      </c>
      <c r="B204" s="1139">
        <f t="shared" ca="1" si="29"/>
        <v>0</v>
      </c>
      <c r="C204" s="473">
        <f ca="1">IF(ISERROR(VLOOKUP($A$288,INDIRECT("notes_"&amp;LEFT($A$288,3)),4,0)),0,VLOOKUP($A$288,INDIRECT("notes_"&amp;LEFT($A$288,3)),4,0))</f>
        <v>0</v>
      </c>
      <c r="H204" s="471">
        <v>2</v>
      </c>
      <c r="I204" s="471">
        <v>0</v>
      </c>
      <c r="J204" s="471" t="str">
        <f t="shared" si="30"/>
        <v>frs</v>
      </c>
      <c r="K204" s="471" t="str">
        <f t="shared" si="31"/>
        <v>run-exp</v>
      </c>
      <c r="L204" s="599"/>
      <c r="M204" s="471" t="s">
        <v>4796</v>
      </c>
      <c r="N204" s="471" t="s">
        <v>446</v>
      </c>
      <c r="O204" s="471" t="s">
        <v>435</v>
      </c>
    </row>
    <row r="205" spans="1:15" x14ac:dyDescent="0.25">
      <c r="A205" s="471" t="s">
        <v>4822</v>
      </c>
      <c r="B205" s="1139">
        <f t="shared" ca="1" si="29"/>
        <v>0</v>
      </c>
      <c r="C205" s="473">
        <f ca="1">IF(ISERROR(VLOOKUP($A$289,INDIRECT("notes_"&amp;LEFT($A$289,3)),4,0)),0,VLOOKUP($A$289,INDIRECT("notes_"&amp;LEFT($A$289,3)),4,0))</f>
        <v>0</v>
      </c>
      <c r="H205" s="471">
        <v>2</v>
      </c>
      <c r="I205" s="471">
        <v>0</v>
      </c>
      <c r="J205" s="471" t="str">
        <f t="shared" si="30"/>
        <v>cen</v>
      </c>
      <c r="K205" s="471" t="str">
        <f t="shared" si="31"/>
        <v>run-exp</v>
      </c>
      <c r="L205" s="599"/>
      <c r="M205" s="471" t="s">
        <v>4796</v>
      </c>
      <c r="N205" s="471" t="s">
        <v>446</v>
      </c>
      <c r="O205" s="471" t="s">
        <v>435</v>
      </c>
    </row>
    <row r="206" spans="1:15" x14ac:dyDescent="0.25">
      <c r="A206" s="471" t="s">
        <v>4823</v>
      </c>
      <c r="B206" s="1139">
        <f t="shared" ca="1" si="29"/>
        <v>0</v>
      </c>
      <c r="C206" s="473">
        <f ca="1">IF(ISERROR(VLOOKUP($A$290,INDIRECT("notes_"&amp;LEFT($A$290,3)),4,0)),0,VLOOKUP($A$290,INDIRECT("notes_"&amp;LEFT($A$290,3)),4,0))</f>
        <v>0</v>
      </c>
      <c r="H206" s="471">
        <v>2</v>
      </c>
      <c r="I206" s="471">
        <v>0</v>
      </c>
      <c r="J206" s="471" t="str">
        <f t="shared" si="30"/>
        <v>oth</v>
      </c>
      <c r="K206" s="471" t="str">
        <f t="shared" si="31"/>
        <v>run-exp</v>
      </c>
      <c r="L206" s="599"/>
      <c r="M206" s="471" t="s">
        <v>4796</v>
      </c>
      <c r="N206" s="471" t="s">
        <v>446</v>
      </c>
      <c r="O206" s="471" t="s">
        <v>435</v>
      </c>
    </row>
    <row r="207" spans="1:15" x14ac:dyDescent="0.25">
      <c r="A207" s="471" t="s">
        <v>4824</v>
      </c>
      <c r="B207" s="1139">
        <f t="shared" ca="1" si="29"/>
        <v>0</v>
      </c>
      <c r="C207" s="473">
        <f ca="1">IF(ISERROR(VLOOKUP($A$291,INDIRECT("notes_"&amp;LEFT($A$291,3)),4,0)),0,VLOOKUP($A$291,INDIRECT("notes_"&amp;LEFT($A$291,3)),4,0))</f>
        <v>0</v>
      </c>
      <c r="H207" s="471">
        <v>2</v>
      </c>
      <c r="I207" s="471">
        <v>0</v>
      </c>
      <c r="J207" s="471" t="str">
        <f t="shared" si="30"/>
        <v>totsx</v>
      </c>
      <c r="K207" s="471" t="str">
        <f t="shared" si="31"/>
        <v>run-exp</v>
      </c>
      <c r="L207" s="599"/>
      <c r="M207" s="471" t="s">
        <v>4796</v>
      </c>
      <c r="N207" s="471" t="s">
        <v>446</v>
      </c>
      <c r="O207" s="471" t="s">
        <v>435</v>
      </c>
    </row>
    <row r="208" spans="1:15" x14ac:dyDescent="0.25">
      <c r="A208" s="471" t="s">
        <v>4825</v>
      </c>
      <c r="B208" s="1139">
        <f t="shared" ca="1" si="29"/>
        <v>0</v>
      </c>
      <c r="C208" s="473">
        <f ca="1">IF(ISERROR(VLOOKUP($A$278,INDIRECT("notes_"&amp;LEFT($A$278,3)),4,0)),0,VLOOKUP($A$278,INDIRECT("notes_"&amp;LEFT($A$278,3)),4,0))</f>
        <v>0</v>
      </c>
      <c r="H208" s="471">
        <v>2</v>
      </c>
      <c r="I208" s="471">
        <v>0</v>
      </c>
      <c r="J208" s="471" t="str">
        <f t="shared" si="30"/>
        <v>edu</v>
      </c>
      <c r="K208" s="471" t="str">
        <f t="shared" si="31"/>
        <v>tot-exp</v>
      </c>
      <c r="L208" s="599"/>
      <c r="M208" s="471" t="s">
        <v>4796</v>
      </c>
      <c r="N208" s="471" t="s">
        <v>446</v>
      </c>
      <c r="O208" s="471" t="s">
        <v>435</v>
      </c>
    </row>
    <row r="209" spans="1:15" x14ac:dyDescent="0.25">
      <c r="A209" s="471" t="s">
        <v>4826</v>
      </c>
      <c r="B209" s="1139">
        <f t="shared" ca="1" si="29"/>
        <v>0</v>
      </c>
      <c r="C209" s="473">
        <f ca="1">IF(ISERROR(VLOOKUP($A$279,INDIRECT("notes_"&amp;LEFT($A$279,3)),4,0)),0,VLOOKUP($A$279,INDIRECT("notes_"&amp;LEFT($A$279,3)),4,0))</f>
        <v>0</v>
      </c>
      <c r="H209" s="471">
        <v>2</v>
      </c>
      <c r="I209" s="471">
        <v>0</v>
      </c>
      <c r="J209" s="471" t="str">
        <f t="shared" si="30"/>
        <v>trans</v>
      </c>
      <c r="K209" s="471" t="str">
        <f t="shared" si="31"/>
        <v>tot-exp</v>
      </c>
      <c r="L209" s="599"/>
      <c r="M209" s="471" t="s">
        <v>4796</v>
      </c>
      <c r="N209" s="471" t="s">
        <v>446</v>
      </c>
      <c r="O209" s="471" t="s">
        <v>435</v>
      </c>
    </row>
    <row r="210" spans="1:15" x14ac:dyDescent="0.25">
      <c r="A210" s="471" t="s">
        <v>4827</v>
      </c>
      <c r="B210" s="1139">
        <f t="shared" ca="1" si="29"/>
        <v>0</v>
      </c>
      <c r="C210" s="473">
        <f ca="1">IF(ISERROR(VLOOKUP($A$280,INDIRECT("notes_"&amp;LEFT($A$280,3)),4,0)),0,VLOOKUP($A$280,INDIRECT("notes_"&amp;LEFT($A$280,3)),4,0))</f>
        <v>0</v>
      </c>
      <c r="H210" s="471">
        <v>2</v>
      </c>
      <c r="I210" s="471">
        <v>0</v>
      </c>
      <c r="J210" s="471" t="str">
        <f t="shared" si="30"/>
        <v>csc</v>
      </c>
      <c r="K210" s="471" t="str">
        <f t="shared" si="31"/>
        <v>tot-exp</v>
      </c>
      <c r="L210" s="599"/>
      <c r="M210" s="471" t="s">
        <v>4796</v>
      </c>
      <c r="N210" s="471" t="s">
        <v>446</v>
      </c>
      <c r="O210" s="471" t="s">
        <v>435</v>
      </c>
    </row>
    <row r="211" spans="1:15" x14ac:dyDescent="0.25">
      <c r="A211" s="471" t="s">
        <v>4828</v>
      </c>
      <c r="B211" s="1139">
        <f t="shared" ca="1" si="29"/>
        <v>0</v>
      </c>
      <c r="C211" s="473">
        <f ca="1">IF(ISERROR(VLOOKUP($A$281,INDIRECT("notes_"&amp;LEFT($A$281,3)),4,0)),0,VLOOKUP($A$281,INDIRECT("notes_"&amp;LEFT($A$281,3)),4,0))</f>
        <v>0</v>
      </c>
      <c r="H211" s="471">
        <v>2</v>
      </c>
      <c r="I211" s="471">
        <v>0</v>
      </c>
      <c r="J211" s="471" t="str">
        <f t="shared" si="30"/>
        <v>asc</v>
      </c>
      <c r="K211" s="471" t="str">
        <f t="shared" si="31"/>
        <v>tot-exp</v>
      </c>
      <c r="L211" s="599"/>
      <c r="M211" s="471" t="s">
        <v>4796</v>
      </c>
      <c r="N211" s="471" t="s">
        <v>446</v>
      </c>
      <c r="O211" s="471" t="s">
        <v>435</v>
      </c>
    </row>
    <row r="212" spans="1:15" x14ac:dyDescent="0.25">
      <c r="A212" s="471" t="s">
        <v>4829</v>
      </c>
      <c r="B212" s="1139">
        <f t="shared" ca="1" si="29"/>
        <v>0</v>
      </c>
      <c r="C212" s="473">
        <f ca="1">IF(ISERROR(VLOOKUP($A$282,INDIRECT("notes_"&amp;LEFT($A$282,3)),4,0)),0,VLOOKUP($A$282,INDIRECT("notes_"&amp;LEFT($A$282,3)),4,0))</f>
        <v>0</v>
      </c>
      <c r="H212" s="471">
        <v>2</v>
      </c>
      <c r="I212" s="471">
        <v>0</v>
      </c>
      <c r="J212" s="471" t="str">
        <f t="shared" si="30"/>
        <v>phs</v>
      </c>
      <c r="K212" s="471" t="str">
        <f t="shared" si="31"/>
        <v>tot-exp</v>
      </c>
      <c r="L212" s="599"/>
      <c r="M212" s="471" t="s">
        <v>4796</v>
      </c>
      <c r="N212" s="471" t="s">
        <v>446</v>
      </c>
      <c r="O212" s="471" t="s">
        <v>435</v>
      </c>
    </row>
    <row r="213" spans="1:15" x14ac:dyDescent="0.25">
      <c r="A213" s="471" t="s">
        <v>4830</v>
      </c>
      <c r="B213" s="1139">
        <f t="shared" ca="1" si="29"/>
        <v>0</v>
      </c>
      <c r="C213" s="473">
        <f ca="1">IF(ISERROR(VLOOKUP($A$283,INDIRECT("notes_"&amp;LEFT($A$283,3)),4,0)),0,VLOOKUP($A$283,INDIRECT("notes_"&amp;LEFT($A$283,3)),4,0))</f>
        <v>0</v>
      </c>
      <c r="H213" s="471">
        <v>2</v>
      </c>
      <c r="I213" s="471">
        <v>0</v>
      </c>
      <c r="J213" s="471" t="str">
        <f t="shared" si="30"/>
        <v>hous</v>
      </c>
      <c r="K213" s="471" t="str">
        <f t="shared" si="31"/>
        <v>tot-exp</v>
      </c>
      <c r="L213" s="599"/>
      <c r="M213" s="471" t="s">
        <v>4796</v>
      </c>
      <c r="N213" s="471" t="s">
        <v>446</v>
      </c>
      <c r="O213" s="471" t="s">
        <v>435</v>
      </c>
    </row>
    <row r="214" spans="1:15" x14ac:dyDescent="0.25">
      <c r="A214" s="471" t="s">
        <v>4831</v>
      </c>
      <c r="B214" s="1139">
        <f t="shared" ca="1" si="29"/>
        <v>0</v>
      </c>
      <c r="C214" s="473">
        <f ca="1">IF(ISERROR(VLOOKUP($A$284,INDIRECT("notes_"&amp;LEFT($A$284,3)),4,0)),0,VLOOKUP($A$284,INDIRECT("notes_"&amp;LEFT($A$284,3)),4,0))</f>
        <v>0</v>
      </c>
      <c r="H214" s="471">
        <v>2</v>
      </c>
      <c r="I214" s="471">
        <v>0</v>
      </c>
      <c r="J214" s="471" t="str">
        <f t="shared" si="30"/>
        <v>cul</v>
      </c>
      <c r="K214" s="471" t="str">
        <f t="shared" si="31"/>
        <v>tot-exp</v>
      </c>
      <c r="L214" s="599"/>
      <c r="M214" s="471" t="s">
        <v>4796</v>
      </c>
      <c r="N214" s="471" t="s">
        <v>446</v>
      </c>
      <c r="O214" s="471" t="s">
        <v>435</v>
      </c>
    </row>
    <row r="215" spans="1:15" x14ac:dyDescent="0.25">
      <c r="A215" s="471" t="s">
        <v>4832</v>
      </c>
      <c r="B215" s="1139">
        <f t="shared" ca="1" si="29"/>
        <v>0</v>
      </c>
      <c r="C215" s="473">
        <f ca="1">IF(ISERROR(VLOOKUP($A$285,INDIRECT("notes_"&amp;LEFT($A$285,3)),4,0)),0,VLOOKUP($A$285,INDIRECT("notes_"&amp;LEFT($A$285,3)),4,0))</f>
        <v>0</v>
      </c>
      <c r="H215" s="471">
        <v>2</v>
      </c>
      <c r="I215" s="471">
        <v>0</v>
      </c>
      <c r="J215" s="471" t="str">
        <f t="shared" si="30"/>
        <v>env</v>
      </c>
      <c r="K215" s="471" t="str">
        <f t="shared" si="31"/>
        <v>tot-exp</v>
      </c>
      <c r="L215" s="599"/>
      <c r="M215" s="471" t="s">
        <v>4796</v>
      </c>
      <c r="N215" s="471" t="s">
        <v>446</v>
      </c>
      <c r="O215" s="471" t="s">
        <v>435</v>
      </c>
    </row>
    <row r="216" spans="1:15" x14ac:dyDescent="0.25">
      <c r="A216" s="471" t="s">
        <v>4833</v>
      </c>
      <c r="B216" s="1139">
        <f t="shared" ca="1" si="29"/>
        <v>0</v>
      </c>
      <c r="C216" s="473">
        <f ca="1">IF(ISERROR(VLOOKUP($A$286,INDIRECT("notes_"&amp;LEFT($A$286,3)),4,0)),0,VLOOKUP($A$286,INDIRECT("notes_"&amp;LEFT($A$286,3)),4,0))</f>
        <v>0</v>
      </c>
      <c r="H216" s="471">
        <v>2</v>
      </c>
      <c r="I216" s="471">
        <v>0</v>
      </c>
      <c r="J216" s="471" t="str">
        <f t="shared" si="30"/>
        <v>plan</v>
      </c>
      <c r="K216" s="471" t="str">
        <f t="shared" si="31"/>
        <v>tot-exp</v>
      </c>
      <c r="L216" s="599"/>
      <c r="M216" s="471" t="s">
        <v>4796</v>
      </c>
      <c r="N216" s="471" t="s">
        <v>446</v>
      </c>
      <c r="O216" s="471" t="s">
        <v>435</v>
      </c>
    </row>
    <row r="217" spans="1:15" x14ac:dyDescent="0.25">
      <c r="A217" s="471" t="s">
        <v>4834</v>
      </c>
      <c r="B217" s="1139">
        <f t="shared" ca="1" si="29"/>
        <v>0</v>
      </c>
      <c r="C217" s="473">
        <f ca="1">IF(ISERROR(VLOOKUP($A$287,INDIRECT("notes_"&amp;LEFT($A$287,3)),4,0)),0,VLOOKUP($A$287,INDIRECT("notes_"&amp;LEFT($A$287,3)),4,0))</f>
        <v>0</v>
      </c>
      <c r="H217" s="471">
        <v>2</v>
      </c>
      <c r="I217" s="471">
        <v>0</v>
      </c>
      <c r="J217" s="471" t="str">
        <f t="shared" si="30"/>
        <v>pol</v>
      </c>
      <c r="K217" s="471" t="str">
        <f t="shared" si="31"/>
        <v>tot-exp</v>
      </c>
      <c r="L217" s="599"/>
      <c r="M217" s="471" t="s">
        <v>4796</v>
      </c>
      <c r="N217" s="471" t="s">
        <v>446</v>
      </c>
      <c r="O217" s="471" t="s">
        <v>435</v>
      </c>
    </row>
    <row r="218" spans="1:15" x14ac:dyDescent="0.25">
      <c r="A218" s="471" t="s">
        <v>4835</v>
      </c>
      <c r="B218" s="1139">
        <f t="shared" ca="1" si="29"/>
        <v>0</v>
      </c>
      <c r="C218" s="473">
        <f ca="1">IF(ISERROR(VLOOKUP($A$288,INDIRECT("notes_"&amp;LEFT($A$288,3)),4,0)),0,VLOOKUP($A$288,INDIRECT("notes_"&amp;LEFT($A$288,3)),4,0))</f>
        <v>0</v>
      </c>
      <c r="H218" s="471">
        <v>2</v>
      </c>
      <c r="I218" s="471">
        <v>0</v>
      </c>
      <c r="J218" s="471" t="str">
        <f t="shared" si="30"/>
        <v>frs</v>
      </c>
      <c r="K218" s="471" t="str">
        <f t="shared" si="31"/>
        <v>tot-exp</v>
      </c>
      <c r="L218" s="599"/>
      <c r="M218" s="471" t="s">
        <v>4796</v>
      </c>
      <c r="N218" s="471" t="s">
        <v>446</v>
      </c>
      <c r="O218" s="471" t="s">
        <v>435</v>
      </c>
    </row>
    <row r="219" spans="1:15" x14ac:dyDescent="0.25">
      <c r="A219" s="471" t="s">
        <v>4836</v>
      </c>
      <c r="B219" s="1139">
        <f t="shared" ca="1" si="29"/>
        <v>0</v>
      </c>
      <c r="C219" s="473">
        <f ca="1">IF(ISERROR(VLOOKUP($A$289,INDIRECT("notes_"&amp;LEFT($A$289,3)),4,0)),0,VLOOKUP($A$289,INDIRECT("notes_"&amp;LEFT($A$289,3)),4,0))</f>
        <v>0</v>
      </c>
      <c r="H219" s="471">
        <v>2</v>
      </c>
      <c r="I219" s="471">
        <v>0</v>
      </c>
      <c r="J219" s="471" t="str">
        <f t="shared" si="30"/>
        <v>cen</v>
      </c>
      <c r="K219" s="471" t="str">
        <f t="shared" si="31"/>
        <v>tot-exp</v>
      </c>
      <c r="L219" s="599"/>
      <c r="M219" s="471" t="s">
        <v>4796</v>
      </c>
      <c r="N219" s="471" t="s">
        <v>446</v>
      </c>
      <c r="O219" s="471" t="s">
        <v>435</v>
      </c>
    </row>
    <row r="220" spans="1:15" x14ac:dyDescent="0.25">
      <c r="A220" s="471" t="s">
        <v>4837</v>
      </c>
      <c r="B220" s="1139">
        <f t="shared" ca="1" si="29"/>
        <v>0</v>
      </c>
      <c r="C220" s="473">
        <f ca="1">IF(ISERROR(VLOOKUP($A$290,INDIRECT("notes_"&amp;LEFT($A$290,3)),4,0)),0,VLOOKUP($A$290,INDIRECT("notes_"&amp;LEFT($A$290,3)),4,0))</f>
        <v>0</v>
      </c>
      <c r="H220" s="471">
        <v>2</v>
      </c>
      <c r="I220" s="471">
        <v>0</v>
      </c>
      <c r="J220" s="471" t="str">
        <f t="shared" si="30"/>
        <v>oth</v>
      </c>
      <c r="K220" s="471" t="str">
        <f t="shared" si="31"/>
        <v>tot-exp</v>
      </c>
      <c r="L220" s="599"/>
      <c r="M220" s="471" t="s">
        <v>4796</v>
      </c>
      <c r="N220" s="471" t="s">
        <v>446</v>
      </c>
      <c r="O220" s="471" t="s">
        <v>435</v>
      </c>
    </row>
    <row r="221" spans="1:15" x14ac:dyDescent="0.25">
      <c r="A221" s="471" t="s">
        <v>4838</v>
      </c>
      <c r="B221" s="1139">
        <f t="shared" ca="1" si="29"/>
        <v>0</v>
      </c>
      <c r="C221" s="473">
        <f ca="1">IF(ISERROR(VLOOKUP($A$291,INDIRECT("notes_"&amp;LEFT($A$291,3)),4,0)),0,VLOOKUP($A$291,INDIRECT("notes_"&amp;LEFT($A$291,3)),4,0))</f>
        <v>0</v>
      </c>
      <c r="H221" s="471">
        <v>2</v>
      </c>
      <c r="I221" s="471">
        <v>0</v>
      </c>
      <c r="J221" s="471" t="str">
        <f t="shared" si="30"/>
        <v>totsx</v>
      </c>
      <c r="K221" s="471" t="str">
        <f t="shared" si="31"/>
        <v>tot-exp</v>
      </c>
      <c r="L221" s="599"/>
      <c r="M221" s="471" t="s">
        <v>4796</v>
      </c>
      <c r="N221" s="471" t="s">
        <v>446</v>
      </c>
      <c r="O221" s="471" t="s">
        <v>435</v>
      </c>
    </row>
    <row r="222" spans="1:15" x14ac:dyDescent="0.25">
      <c r="A222" s="1205" t="s">
        <v>4839</v>
      </c>
      <c r="B222" s="1202">
        <f t="shared" ref="B222:B235" ca="1" si="32">INDEX(INDIRECT(LEFT($A222,SEARCH("-",$A222,1)-1)&amp;"_data"),MATCH(MID($A222,SEARCH("-",$A222)+1,SEARCH("#",SUBSTITUTE($A222,"-","#",H222),1)-(SEARCH("-",$A222)+1)),INDIRECT(LEFT($A222,SEARCH("-",$A222,1)-1)&amp;"_rows"),0),MATCH(RIGHT($A222,LEN($A222)-LEN(LEFT($A222,SEARCH("#",SUBSTITUTE($A222,"-","#",H222),1)))),INDIRECT(LEFT($A222,SEARCH("-",$A222,1)-1)&amp;"_Header"),0))</f>
        <v>0</v>
      </c>
      <c r="C222" s="1203">
        <f ca="1">IF(ISERROR(VLOOKUP($A$278,INDIRECT("notes_"&amp;LEFT($A$278,3)),4,0)),0,VLOOKUP($A$278,INDIRECT("notes_"&amp;LEFT($A$278,3)),4,0))</f>
        <v>0</v>
      </c>
      <c r="H222" s="1201">
        <v>2</v>
      </c>
      <c r="I222" s="1201">
        <v>0</v>
      </c>
      <c r="J222" s="1201" t="str">
        <f t="shared" si="30"/>
        <v>edu</v>
      </c>
      <c r="K222" s="1201" t="str">
        <f t="shared" si="31"/>
        <v>mss</v>
      </c>
      <c r="L222" s="599"/>
      <c r="M222" s="471" t="s">
        <v>4796</v>
      </c>
      <c r="N222" s="471" t="s">
        <v>446</v>
      </c>
      <c r="O222" s="471" t="s">
        <v>435</v>
      </c>
    </row>
    <row r="223" spans="1:15" x14ac:dyDescent="0.25">
      <c r="A223" s="1205" t="s">
        <v>4840</v>
      </c>
      <c r="B223" s="1202">
        <f t="shared" ca="1" si="32"/>
        <v>0</v>
      </c>
      <c r="C223" s="1203">
        <f ca="1">IF(ISERROR(VLOOKUP($A$279,INDIRECT("notes_"&amp;LEFT($A$279,3)),4,0)),0,VLOOKUP($A$279,INDIRECT("notes_"&amp;LEFT($A$279,3)),4,0))</f>
        <v>0</v>
      </c>
      <c r="H223" s="1201">
        <v>2</v>
      </c>
      <c r="I223" s="1201">
        <v>0</v>
      </c>
      <c r="J223" s="1201" t="str">
        <f t="shared" si="30"/>
        <v>trans</v>
      </c>
      <c r="K223" s="1201" t="str">
        <f t="shared" si="31"/>
        <v>mss</v>
      </c>
      <c r="L223" s="599"/>
      <c r="M223" s="471" t="s">
        <v>4796</v>
      </c>
      <c r="N223" s="471" t="s">
        <v>446</v>
      </c>
      <c r="O223" s="471" t="s">
        <v>435</v>
      </c>
    </row>
    <row r="224" spans="1:15" x14ac:dyDescent="0.25">
      <c r="A224" s="1205" t="s">
        <v>4841</v>
      </c>
      <c r="B224" s="1202">
        <f t="shared" ca="1" si="32"/>
        <v>0</v>
      </c>
      <c r="C224" s="1203">
        <f ca="1">IF(ISERROR(VLOOKUP($A$280,INDIRECT("notes_"&amp;LEFT($A$280,3)),4,0)),0,VLOOKUP($A$280,INDIRECT("notes_"&amp;LEFT($A$280,3)),4,0))</f>
        <v>0</v>
      </c>
      <c r="H224" s="1201">
        <v>2</v>
      </c>
      <c r="I224" s="1201">
        <v>0</v>
      </c>
      <c r="J224" s="1201" t="str">
        <f t="shared" si="30"/>
        <v>csc</v>
      </c>
      <c r="K224" s="1201" t="str">
        <f t="shared" si="31"/>
        <v>mss</v>
      </c>
      <c r="L224" s="599"/>
      <c r="M224" s="471" t="s">
        <v>4796</v>
      </c>
      <c r="N224" s="471" t="s">
        <v>446</v>
      </c>
      <c r="O224" s="471" t="s">
        <v>435</v>
      </c>
    </row>
    <row r="225" spans="1:15" x14ac:dyDescent="0.25">
      <c r="A225" s="1205" t="s">
        <v>4842</v>
      </c>
      <c r="B225" s="1202">
        <f t="shared" ca="1" si="32"/>
        <v>0</v>
      </c>
      <c r="C225" s="1203">
        <f ca="1">IF(ISERROR(VLOOKUP($A$281,INDIRECT("notes_"&amp;LEFT($A$281,3)),4,0)),0,VLOOKUP($A$281,INDIRECT("notes_"&amp;LEFT($A$281,3)),4,0))</f>
        <v>0</v>
      </c>
      <c r="H225" s="1201">
        <v>2</v>
      </c>
      <c r="I225" s="1201">
        <v>0</v>
      </c>
      <c r="J225" s="1201" t="str">
        <f t="shared" si="30"/>
        <v>asc</v>
      </c>
      <c r="K225" s="1201" t="str">
        <f t="shared" si="31"/>
        <v>mss</v>
      </c>
      <c r="L225" s="599"/>
      <c r="M225" s="471" t="s">
        <v>4796</v>
      </c>
      <c r="N225" s="471" t="s">
        <v>446</v>
      </c>
      <c r="O225" s="471" t="s">
        <v>435</v>
      </c>
    </row>
    <row r="226" spans="1:15" x14ac:dyDescent="0.25">
      <c r="A226" s="1205" t="s">
        <v>4843</v>
      </c>
      <c r="B226" s="1202">
        <f t="shared" ca="1" si="32"/>
        <v>0</v>
      </c>
      <c r="C226" s="1203">
        <f ca="1">IF(ISERROR(VLOOKUP($A$282,INDIRECT("notes_"&amp;LEFT($A$282,3)),4,0)),0,VLOOKUP($A$282,INDIRECT("notes_"&amp;LEFT($A$282,3)),4,0))</f>
        <v>0</v>
      </c>
      <c r="H226" s="1201">
        <v>2</v>
      </c>
      <c r="I226" s="1201">
        <v>0</v>
      </c>
      <c r="J226" s="1201" t="str">
        <f t="shared" si="30"/>
        <v>phs</v>
      </c>
      <c r="K226" s="1201" t="str">
        <f t="shared" si="31"/>
        <v>mss</v>
      </c>
      <c r="L226" s="599"/>
      <c r="M226" s="471" t="s">
        <v>4796</v>
      </c>
      <c r="N226" s="471" t="s">
        <v>446</v>
      </c>
      <c r="O226" s="471" t="s">
        <v>435</v>
      </c>
    </row>
    <row r="227" spans="1:15" x14ac:dyDescent="0.25">
      <c r="A227" s="1205" t="s">
        <v>4844</v>
      </c>
      <c r="B227" s="1202">
        <f t="shared" ca="1" si="32"/>
        <v>0</v>
      </c>
      <c r="C227" s="1203">
        <f ca="1">IF(ISERROR(VLOOKUP($A$283,INDIRECT("notes_"&amp;LEFT($A$283,3)),4,0)),0,VLOOKUP($A$283,INDIRECT("notes_"&amp;LEFT($A$283,3)),4,0))</f>
        <v>0</v>
      </c>
      <c r="H227" s="1201">
        <v>2</v>
      </c>
      <c r="I227" s="1201">
        <v>0</v>
      </c>
      <c r="J227" s="1201" t="str">
        <f t="shared" si="30"/>
        <v>hous</v>
      </c>
      <c r="K227" s="1201" t="str">
        <f t="shared" si="31"/>
        <v>mss</v>
      </c>
      <c r="L227" s="599"/>
      <c r="M227" s="471" t="s">
        <v>4796</v>
      </c>
      <c r="N227" s="471" t="s">
        <v>446</v>
      </c>
      <c r="O227" s="471" t="s">
        <v>435</v>
      </c>
    </row>
    <row r="228" spans="1:15" x14ac:dyDescent="0.25">
      <c r="A228" s="1205" t="s">
        <v>4845</v>
      </c>
      <c r="B228" s="1202">
        <f t="shared" ca="1" si="32"/>
        <v>0</v>
      </c>
      <c r="C228" s="1203">
        <f ca="1">IF(ISERROR(VLOOKUP($A$284,INDIRECT("notes_"&amp;LEFT($A$284,3)),4,0)),0,VLOOKUP($A$284,INDIRECT("notes_"&amp;LEFT($A$284,3)),4,0))</f>
        <v>0</v>
      </c>
      <c r="H228" s="1201">
        <v>2</v>
      </c>
      <c r="I228" s="1201">
        <v>0</v>
      </c>
      <c r="J228" s="1201" t="str">
        <f t="shared" si="30"/>
        <v>cul</v>
      </c>
      <c r="K228" s="1201" t="str">
        <f t="shared" si="31"/>
        <v>mss</v>
      </c>
      <c r="L228" s="599"/>
      <c r="M228" s="471" t="s">
        <v>4796</v>
      </c>
      <c r="N228" s="471" t="s">
        <v>446</v>
      </c>
      <c r="O228" s="471" t="s">
        <v>435</v>
      </c>
    </row>
    <row r="229" spans="1:15" x14ac:dyDescent="0.25">
      <c r="A229" s="1205" t="s">
        <v>4846</v>
      </c>
      <c r="B229" s="1202">
        <f t="shared" ca="1" si="32"/>
        <v>0</v>
      </c>
      <c r="C229" s="1203">
        <f ca="1">IF(ISERROR(VLOOKUP($A$285,INDIRECT("notes_"&amp;LEFT($A$285,3)),4,0)),0,VLOOKUP($A$285,INDIRECT("notes_"&amp;LEFT($A$285,3)),4,0))</f>
        <v>0</v>
      </c>
      <c r="H229" s="1201">
        <v>2</v>
      </c>
      <c r="I229" s="1201">
        <v>0</v>
      </c>
      <c r="J229" s="1201" t="str">
        <f t="shared" si="30"/>
        <v>env</v>
      </c>
      <c r="K229" s="1201" t="str">
        <f t="shared" si="31"/>
        <v>mss</v>
      </c>
      <c r="L229" s="599"/>
      <c r="M229" s="471" t="s">
        <v>4796</v>
      </c>
      <c r="N229" s="471" t="s">
        <v>446</v>
      </c>
      <c r="O229" s="471" t="s">
        <v>435</v>
      </c>
    </row>
    <row r="230" spans="1:15" x14ac:dyDescent="0.25">
      <c r="A230" s="1205" t="s">
        <v>4847</v>
      </c>
      <c r="B230" s="1202">
        <f t="shared" ca="1" si="32"/>
        <v>0</v>
      </c>
      <c r="C230" s="1203">
        <f ca="1">IF(ISERROR(VLOOKUP($A$286,INDIRECT("notes_"&amp;LEFT($A$286,3)),4,0)),0,VLOOKUP($A$286,INDIRECT("notes_"&amp;LEFT($A$286,3)),4,0))</f>
        <v>0</v>
      </c>
      <c r="H230" s="1201">
        <v>2</v>
      </c>
      <c r="I230" s="1201">
        <v>0</v>
      </c>
      <c r="J230" s="1201" t="str">
        <f t="shared" si="30"/>
        <v>plan</v>
      </c>
      <c r="K230" s="1201" t="str">
        <f t="shared" si="31"/>
        <v>mss</v>
      </c>
      <c r="L230" s="599"/>
      <c r="M230" s="471" t="s">
        <v>4796</v>
      </c>
      <c r="N230" s="471" t="s">
        <v>446</v>
      </c>
      <c r="O230" s="471" t="s">
        <v>435</v>
      </c>
    </row>
    <row r="231" spans="1:15" x14ac:dyDescent="0.25">
      <c r="A231" s="1205" t="s">
        <v>4848</v>
      </c>
      <c r="B231" s="1202">
        <f t="shared" ca="1" si="32"/>
        <v>0</v>
      </c>
      <c r="C231" s="1203">
        <f ca="1">IF(ISERROR(VLOOKUP($A$287,INDIRECT("notes_"&amp;LEFT($A$287,3)),4,0)),0,VLOOKUP($A$287,INDIRECT("notes_"&amp;LEFT($A$287,3)),4,0))</f>
        <v>0</v>
      </c>
      <c r="H231" s="1201">
        <v>2</v>
      </c>
      <c r="I231" s="1201">
        <v>0</v>
      </c>
      <c r="J231" s="1201" t="str">
        <f t="shared" si="30"/>
        <v>pol</v>
      </c>
      <c r="K231" s="1201" t="str">
        <f t="shared" si="31"/>
        <v>mss</v>
      </c>
      <c r="L231" s="599"/>
      <c r="M231" s="471" t="s">
        <v>4796</v>
      </c>
      <c r="N231" s="471" t="s">
        <v>446</v>
      </c>
      <c r="O231" s="471" t="s">
        <v>435</v>
      </c>
    </row>
    <row r="232" spans="1:15" x14ac:dyDescent="0.25">
      <c r="A232" s="1205" t="s">
        <v>4849</v>
      </c>
      <c r="B232" s="1202">
        <f t="shared" ca="1" si="32"/>
        <v>0</v>
      </c>
      <c r="C232" s="1203">
        <f ca="1">IF(ISERROR(VLOOKUP($A$288,INDIRECT("notes_"&amp;LEFT($A$288,3)),4,0)),0,VLOOKUP($A$288,INDIRECT("notes_"&amp;LEFT($A$288,3)),4,0))</f>
        <v>0</v>
      </c>
      <c r="H232" s="1201">
        <v>2</v>
      </c>
      <c r="I232" s="1201">
        <v>0</v>
      </c>
      <c r="J232" s="1201" t="str">
        <f t="shared" si="30"/>
        <v>frs</v>
      </c>
      <c r="K232" s="1201" t="str">
        <f t="shared" si="31"/>
        <v>mss</v>
      </c>
      <c r="L232" s="599"/>
      <c r="M232" s="471" t="s">
        <v>4796</v>
      </c>
      <c r="N232" s="471" t="s">
        <v>446</v>
      </c>
      <c r="O232" s="471" t="s">
        <v>435</v>
      </c>
    </row>
    <row r="233" spans="1:15" x14ac:dyDescent="0.25">
      <c r="A233" s="1205" t="s">
        <v>4850</v>
      </c>
      <c r="B233" s="1202">
        <f t="shared" ca="1" si="32"/>
        <v>0</v>
      </c>
      <c r="C233" s="1203">
        <f ca="1">IF(ISERROR(VLOOKUP($A$289,INDIRECT("notes_"&amp;LEFT($A$289,3)),4,0)),0,VLOOKUP($A$289,INDIRECT("notes_"&amp;LEFT($A$289,3)),4,0))</f>
        <v>0</v>
      </c>
      <c r="H233" s="1201">
        <v>2</v>
      </c>
      <c r="I233" s="1201">
        <v>0</v>
      </c>
      <c r="J233" s="1201" t="str">
        <f t="shared" si="30"/>
        <v>cen</v>
      </c>
      <c r="K233" s="1201" t="str">
        <f t="shared" si="31"/>
        <v>mss</v>
      </c>
      <c r="L233" s="599"/>
      <c r="M233" s="471" t="s">
        <v>4796</v>
      </c>
      <c r="N233" s="471" t="s">
        <v>446</v>
      </c>
      <c r="O233" s="471" t="s">
        <v>435</v>
      </c>
    </row>
    <row r="234" spans="1:15" x14ac:dyDescent="0.25">
      <c r="A234" s="1205" t="s">
        <v>4851</v>
      </c>
      <c r="B234" s="1202">
        <f t="shared" ca="1" si="32"/>
        <v>0</v>
      </c>
      <c r="C234" s="1203">
        <f ca="1">IF(ISERROR(VLOOKUP($A$290,INDIRECT("notes_"&amp;LEFT($A$290,3)),4,0)),0,VLOOKUP($A$290,INDIRECT("notes_"&amp;LEFT($A$290,3)),4,0))</f>
        <v>0</v>
      </c>
      <c r="H234" s="1201">
        <v>2</v>
      </c>
      <c r="I234" s="1201">
        <v>0</v>
      </c>
      <c r="J234" s="1201" t="str">
        <f t="shared" si="30"/>
        <v>oth</v>
      </c>
      <c r="K234" s="1201" t="str">
        <f t="shared" si="31"/>
        <v>mss</v>
      </c>
      <c r="L234" s="599"/>
      <c r="M234" s="471" t="s">
        <v>4796</v>
      </c>
      <c r="N234" s="471" t="s">
        <v>446</v>
      </c>
      <c r="O234" s="471" t="s">
        <v>435</v>
      </c>
    </row>
    <row r="235" spans="1:15" x14ac:dyDescent="0.25">
      <c r="A235" s="1205" t="s">
        <v>4852</v>
      </c>
      <c r="B235" s="1202">
        <f t="shared" ca="1" si="32"/>
        <v>0</v>
      </c>
      <c r="C235" s="1203">
        <f ca="1">IF(ISERROR(VLOOKUP($A$291,INDIRECT("notes_"&amp;LEFT($A$291,3)),4,0)),0,VLOOKUP($A$291,INDIRECT("notes_"&amp;LEFT($A$291,3)),4,0))</f>
        <v>0</v>
      </c>
      <c r="H235" s="1201">
        <v>2</v>
      </c>
      <c r="I235" s="1201">
        <v>0</v>
      </c>
      <c r="J235" s="1201" t="str">
        <f t="shared" si="30"/>
        <v>totsx</v>
      </c>
      <c r="K235" s="1201" t="str">
        <f t="shared" si="31"/>
        <v>mss</v>
      </c>
      <c r="L235" s="599"/>
      <c r="M235" s="471" t="s">
        <v>4796</v>
      </c>
      <c r="N235" s="471" t="s">
        <v>446</v>
      </c>
      <c r="O235" s="471" t="s">
        <v>435</v>
      </c>
    </row>
    <row r="236" spans="1:15" x14ac:dyDescent="0.25">
      <c r="A236" s="471" t="s">
        <v>4853</v>
      </c>
      <c r="B236" s="1139">
        <f t="shared" ca="1" si="29"/>
        <v>0</v>
      </c>
      <c r="C236" s="473">
        <f ca="1">IF(ISERROR(VLOOKUP($A$278,INDIRECT("notes_"&amp;LEFT($A$278,3)),4,0)),0,VLOOKUP($A$278,INDIRECT("notes_"&amp;LEFT($A$278,3)),4,0))</f>
        <v>0</v>
      </c>
      <c r="H236" s="471">
        <v>2</v>
      </c>
      <c r="I236" s="471">
        <v>0</v>
      </c>
      <c r="J236" s="471" t="str">
        <f t="shared" si="30"/>
        <v>edu</v>
      </c>
      <c r="K236" s="471" t="str">
        <f t="shared" si="31"/>
        <v>sfc</v>
      </c>
      <c r="L236" s="599"/>
      <c r="M236" s="471" t="s">
        <v>4796</v>
      </c>
      <c r="N236" s="471" t="s">
        <v>446</v>
      </c>
      <c r="O236" s="471" t="s">
        <v>435</v>
      </c>
    </row>
    <row r="237" spans="1:15" x14ac:dyDescent="0.25">
      <c r="A237" s="471" t="s">
        <v>4854</v>
      </c>
      <c r="B237" s="1139">
        <f t="shared" ca="1" si="29"/>
        <v>0</v>
      </c>
      <c r="C237" s="473">
        <f ca="1">IF(ISERROR(VLOOKUP($A$279,INDIRECT("notes_"&amp;LEFT($A$279,3)),4,0)),0,VLOOKUP($A$279,INDIRECT("notes_"&amp;LEFT($A$279,3)),4,0))</f>
        <v>0</v>
      </c>
      <c r="H237" s="471">
        <v>2</v>
      </c>
      <c r="I237" s="471">
        <v>0</v>
      </c>
      <c r="J237" s="471" t="str">
        <f t="shared" si="30"/>
        <v>trans</v>
      </c>
      <c r="K237" s="471" t="str">
        <f t="shared" si="31"/>
        <v>sfc</v>
      </c>
      <c r="L237" s="599"/>
      <c r="M237" s="471" t="s">
        <v>4796</v>
      </c>
      <c r="N237" s="471" t="s">
        <v>446</v>
      </c>
      <c r="O237" s="471" t="s">
        <v>435</v>
      </c>
    </row>
    <row r="238" spans="1:15" x14ac:dyDescent="0.25">
      <c r="A238" s="471" t="s">
        <v>4855</v>
      </c>
      <c r="B238" s="1139">
        <f t="shared" ca="1" si="29"/>
        <v>0</v>
      </c>
      <c r="C238" s="473">
        <f ca="1">IF(ISERROR(VLOOKUP($A$280,INDIRECT("notes_"&amp;LEFT($A$280,3)),4,0)),0,VLOOKUP($A$280,INDIRECT("notes_"&amp;LEFT($A$280,3)),4,0))</f>
        <v>0</v>
      </c>
      <c r="H238" s="471">
        <v>2</v>
      </c>
      <c r="I238" s="471">
        <v>0</v>
      </c>
      <c r="J238" s="471" t="str">
        <f t="shared" si="30"/>
        <v>csc</v>
      </c>
      <c r="K238" s="471" t="str">
        <f t="shared" si="31"/>
        <v>sfc</v>
      </c>
      <c r="L238" s="599"/>
      <c r="M238" s="471" t="s">
        <v>4796</v>
      </c>
      <c r="N238" s="471" t="s">
        <v>446</v>
      </c>
      <c r="O238" s="471" t="s">
        <v>435</v>
      </c>
    </row>
    <row r="239" spans="1:15" x14ac:dyDescent="0.25">
      <c r="A239" s="471" t="s">
        <v>4856</v>
      </c>
      <c r="B239" s="1139">
        <f t="shared" ca="1" si="29"/>
        <v>0</v>
      </c>
      <c r="C239" s="473">
        <f ca="1">IF(ISERROR(VLOOKUP($A$281,INDIRECT("notes_"&amp;LEFT($A$281,3)),4,0)),0,VLOOKUP($A$281,INDIRECT("notes_"&amp;LEFT($A$281,3)),4,0))</f>
        <v>0</v>
      </c>
      <c r="H239" s="471">
        <v>2</v>
      </c>
      <c r="I239" s="471">
        <v>0</v>
      </c>
      <c r="J239" s="471" t="str">
        <f t="shared" si="30"/>
        <v>asc</v>
      </c>
      <c r="K239" s="471" t="str">
        <f t="shared" si="31"/>
        <v>sfc</v>
      </c>
      <c r="L239" s="599"/>
      <c r="M239" s="471" t="s">
        <v>4796</v>
      </c>
      <c r="N239" s="471" t="s">
        <v>446</v>
      </c>
      <c r="O239" s="471" t="s">
        <v>435</v>
      </c>
    </row>
    <row r="240" spans="1:15" x14ac:dyDescent="0.25">
      <c r="A240" s="471" t="s">
        <v>4857</v>
      </c>
      <c r="B240" s="1139">
        <f t="shared" ca="1" si="29"/>
        <v>0</v>
      </c>
      <c r="C240" s="473">
        <f ca="1">IF(ISERROR(VLOOKUP($A$282,INDIRECT("notes_"&amp;LEFT($A$282,3)),4,0)),0,VLOOKUP($A$282,INDIRECT("notes_"&amp;LEFT($A$282,3)),4,0))</f>
        <v>0</v>
      </c>
      <c r="H240" s="471">
        <v>2</v>
      </c>
      <c r="I240" s="471">
        <v>0</v>
      </c>
      <c r="J240" s="471" t="str">
        <f t="shared" si="30"/>
        <v>phs</v>
      </c>
      <c r="K240" s="471" t="str">
        <f t="shared" si="31"/>
        <v>sfc</v>
      </c>
      <c r="L240" s="599"/>
      <c r="M240" s="471" t="s">
        <v>4796</v>
      </c>
      <c r="N240" s="471" t="s">
        <v>446</v>
      </c>
      <c r="O240" s="471" t="s">
        <v>435</v>
      </c>
    </row>
    <row r="241" spans="1:15" x14ac:dyDescent="0.25">
      <c r="A241" s="471" t="s">
        <v>4858</v>
      </c>
      <c r="B241" s="1139">
        <f t="shared" ca="1" si="29"/>
        <v>0</v>
      </c>
      <c r="C241" s="473">
        <f ca="1">IF(ISERROR(VLOOKUP($A$283,INDIRECT("notes_"&amp;LEFT($A$283,3)),4,0)),0,VLOOKUP($A$283,INDIRECT("notes_"&amp;LEFT($A$283,3)),4,0))</f>
        <v>0</v>
      </c>
      <c r="H241" s="471">
        <v>2</v>
      </c>
      <c r="I241" s="471">
        <v>0</v>
      </c>
      <c r="J241" s="471" t="str">
        <f t="shared" si="30"/>
        <v>hous</v>
      </c>
      <c r="K241" s="471" t="str">
        <f t="shared" si="31"/>
        <v>sfc</v>
      </c>
      <c r="L241" s="599"/>
      <c r="M241" s="471" t="s">
        <v>4796</v>
      </c>
      <c r="N241" s="471" t="s">
        <v>446</v>
      </c>
      <c r="O241" s="471" t="s">
        <v>435</v>
      </c>
    </row>
    <row r="242" spans="1:15" x14ac:dyDescent="0.25">
      <c r="A242" s="471" t="s">
        <v>4859</v>
      </c>
      <c r="B242" s="1139">
        <f t="shared" ca="1" si="29"/>
        <v>0</v>
      </c>
      <c r="C242" s="473">
        <f ca="1">IF(ISERROR(VLOOKUP($A$284,INDIRECT("notes_"&amp;LEFT($A$284,3)),4,0)),0,VLOOKUP($A$284,INDIRECT("notes_"&amp;LEFT($A$284,3)),4,0))</f>
        <v>0</v>
      </c>
      <c r="H242" s="471">
        <v>2</v>
      </c>
      <c r="I242" s="471">
        <v>0</v>
      </c>
      <c r="J242" s="471" t="str">
        <f t="shared" ref="J242:J303" si="33">MID($A242,SEARCH("-",$A242)+1,SEARCH("#",SUBSTITUTE($A242,"-","#",H242),1)-(SEARCH("-",$A242)+1))</f>
        <v>cul</v>
      </c>
      <c r="K242" s="471" t="str">
        <f t="shared" ref="K242:K303" si="34">RIGHT($A242,LEN($A242)-SEARCH("#",SUBSTITUTE($A242,"-","#",H242),1))</f>
        <v>sfc</v>
      </c>
      <c r="L242" s="599"/>
      <c r="M242" s="471" t="s">
        <v>4796</v>
      </c>
      <c r="N242" s="471" t="s">
        <v>446</v>
      </c>
      <c r="O242" s="471" t="s">
        <v>435</v>
      </c>
    </row>
    <row r="243" spans="1:15" x14ac:dyDescent="0.25">
      <c r="A243" s="471" t="s">
        <v>4860</v>
      </c>
      <c r="B243" s="1139">
        <f t="shared" ca="1" si="29"/>
        <v>0</v>
      </c>
      <c r="C243" s="473">
        <f ca="1">IF(ISERROR(VLOOKUP($A$285,INDIRECT("notes_"&amp;LEFT($A$285,3)),4,0)),0,VLOOKUP($A$285,INDIRECT("notes_"&amp;LEFT($A$285,3)),4,0))</f>
        <v>0</v>
      </c>
      <c r="H243" s="471">
        <v>2</v>
      </c>
      <c r="I243" s="471">
        <v>0</v>
      </c>
      <c r="J243" s="471" t="str">
        <f t="shared" si="33"/>
        <v>env</v>
      </c>
      <c r="K243" s="471" t="str">
        <f t="shared" si="34"/>
        <v>sfc</v>
      </c>
      <c r="L243" s="599"/>
      <c r="M243" s="471" t="s">
        <v>4796</v>
      </c>
      <c r="N243" s="471" t="s">
        <v>446</v>
      </c>
      <c r="O243" s="471" t="s">
        <v>435</v>
      </c>
    </row>
    <row r="244" spans="1:15" x14ac:dyDescent="0.25">
      <c r="A244" s="471" t="s">
        <v>4861</v>
      </c>
      <c r="B244" s="1139">
        <f t="shared" ca="1" si="29"/>
        <v>0</v>
      </c>
      <c r="C244" s="473">
        <f ca="1">IF(ISERROR(VLOOKUP($A$286,INDIRECT("notes_"&amp;LEFT($A$286,3)),4,0)),0,VLOOKUP($A$286,INDIRECT("notes_"&amp;LEFT($A$286,3)),4,0))</f>
        <v>0</v>
      </c>
      <c r="H244" s="471">
        <v>2</v>
      </c>
      <c r="I244" s="471">
        <v>0</v>
      </c>
      <c r="J244" s="471" t="str">
        <f t="shared" si="33"/>
        <v>plan</v>
      </c>
      <c r="K244" s="471" t="str">
        <f t="shared" si="34"/>
        <v>sfc</v>
      </c>
      <c r="L244" s="599"/>
      <c r="M244" s="471" t="s">
        <v>4796</v>
      </c>
      <c r="N244" s="471" t="s">
        <v>446</v>
      </c>
      <c r="O244" s="471" t="s">
        <v>435</v>
      </c>
    </row>
    <row r="245" spans="1:15" x14ac:dyDescent="0.25">
      <c r="A245" s="471" t="s">
        <v>4862</v>
      </c>
      <c r="B245" s="1139">
        <f t="shared" ca="1" si="29"/>
        <v>0</v>
      </c>
      <c r="C245" s="473">
        <f ca="1">IF(ISERROR(VLOOKUP($A$287,INDIRECT("notes_"&amp;LEFT($A$287,3)),4,0)),0,VLOOKUP($A$287,INDIRECT("notes_"&amp;LEFT($A$287,3)),4,0))</f>
        <v>0</v>
      </c>
      <c r="H245" s="471">
        <v>2</v>
      </c>
      <c r="I245" s="471">
        <v>0</v>
      </c>
      <c r="J245" s="471" t="str">
        <f t="shared" si="33"/>
        <v>pol</v>
      </c>
      <c r="K245" s="471" t="str">
        <f t="shared" si="34"/>
        <v>sfc</v>
      </c>
      <c r="L245" s="599"/>
      <c r="M245" s="471" t="s">
        <v>4796</v>
      </c>
      <c r="N245" s="471" t="s">
        <v>446</v>
      </c>
      <c r="O245" s="471" t="s">
        <v>435</v>
      </c>
    </row>
    <row r="246" spans="1:15" x14ac:dyDescent="0.25">
      <c r="A246" s="471" t="s">
        <v>4863</v>
      </c>
      <c r="B246" s="1139">
        <f t="shared" ca="1" si="29"/>
        <v>0</v>
      </c>
      <c r="C246" s="473">
        <f ca="1">IF(ISERROR(VLOOKUP($A$288,INDIRECT("notes_"&amp;LEFT($A$288,3)),4,0)),0,VLOOKUP($A$288,INDIRECT("notes_"&amp;LEFT($A$288,3)),4,0))</f>
        <v>0</v>
      </c>
      <c r="H246" s="471">
        <v>2</v>
      </c>
      <c r="I246" s="471">
        <v>0</v>
      </c>
      <c r="J246" s="471" t="str">
        <f t="shared" si="33"/>
        <v>frs</v>
      </c>
      <c r="K246" s="471" t="str">
        <f t="shared" si="34"/>
        <v>sfc</v>
      </c>
      <c r="L246" s="599"/>
      <c r="M246" s="471" t="s">
        <v>4796</v>
      </c>
      <c r="N246" s="471" t="s">
        <v>446</v>
      </c>
      <c r="O246" s="471" t="s">
        <v>435</v>
      </c>
    </row>
    <row r="247" spans="1:15" x14ac:dyDescent="0.25">
      <c r="A247" s="471" t="s">
        <v>4864</v>
      </c>
      <c r="B247" s="1139">
        <f t="shared" ca="1" si="29"/>
        <v>0</v>
      </c>
      <c r="C247" s="473">
        <f ca="1">IF(ISERROR(VLOOKUP($A$289,INDIRECT("notes_"&amp;LEFT($A$289,3)),4,0)),0,VLOOKUP($A$289,INDIRECT("notes_"&amp;LEFT($A$289,3)),4,0))</f>
        <v>0</v>
      </c>
      <c r="H247" s="471">
        <v>2</v>
      </c>
      <c r="I247" s="471">
        <v>0</v>
      </c>
      <c r="J247" s="471" t="str">
        <f t="shared" si="33"/>
        <v>cen</v>
      </c>
      <c r="K247" s="471" t="str">
        <f t="shared" si="34"/>
        <v>sfc</v>
      </c>
      <c r="L247" s="599"/>
      <c r="M247" s="471" t="s">
        <v>4796</v>
      </c>
      <c r="N247" s="471" t="s">
        <v>446</v>
      </c>
      <c r="O247" s="471" t="s">
        <v>435</v>
      </c>
    </row>
    <row r="248" spans="1:15" x14ac:dyDescent="0.25">
      <c r="A248" s="471" t="s">
        <v>4865</v>
      </c>
      <c r="B248" s="1139">
        <f t="shared" ca="1" si="29"/>
        <v>0</v>
      </c>
      <c r="C248" s="473">
        <f ca="1">IF(ISERROR(VLOOKUP($A$290,INDIRECT("notes_"&amp;LEFT($A$290,3)),4,0)),0,VLOOKUP($A$290,INDIRECT("notes_"&amp;LEFT($A$290,3)),4,0))</f>
        <v>0</v>
      </c>
      <c r="H248" s="471">
        <v>2</v>
      </c>
      <c r="I248" s="471">
        <v>0</v>
      </c>
      <c r="J248" s="471" t="str">
        <f t="shared" si="33"/>
        <v>oth</v>
      </c>
      <c r="K248" s="471" t="str">
        <f t="shared" si="34"/>
        <v>sfc</v>
      </c>
      <c r="L248" s="599"/>
      <c r="M248" s="471" t="s">
        <v>4796</v>
      </c>
      <c r="N248" s="471" t="s">
        <v>446</v>
      </c>
      <c r="O248" s="471" t="s">
        <v>435</v>
      </c>
    </row>
    <row r="249" spans="1:15" x14ac:dyDescent="0.25">
      <c r="A249" s="471" t="s">
        <v>4866</v>
      </c>
      <c r="B249" s="1139">
        <f t="shared" ca="1" si="29"/>
        <v>0</v>
      </c>
      <c r="C249" s="473">
        <f ca="1">IF(ISERROR(VLOOKUP($A$291,INDIRECT("notes_"&amp;LEFT($A$291,3)),4,0)),0,VLOOKUP($A$291,INDIRECT("notes_"&amp;LEFT($A$291,3)),4,0))</f>
        <v>0</v>
      </c>
      <c r="H249" s="471">
        <v>2</v>
      </c>
      <c r="I249" s="471">
        <v>0</v>
      </c>
      <c r="J249" s="471" t="str">
        <f t="shared" si="33"/>
        <v>totsx</v>
      </c>
      <c r="K249" s="471" t="str">
        <f t="shared" si="34"/>
        <v>sfc</v>
      </c>
      <c r="L249" s="599"/>
      <c r="M249" s="471" t="s">
        <v>4796</v>
      </c>
      <c r="N249" s="471" t="s">
        <v>446</v>
      </c>
      <c r="O249" s="471" t="s">
        <v>435</v>
      </c>
    </row>
    <row r="250" spans="1:15" x14ac:dyDescent="0.25">
      <c r="A250" s="471" t="s">
        <v>4867</v>
      </c>
      <c r="B250" s="1139">
        <f t="shared" ca="1" si="29"/>
        <v>0</v>
      </c>
      <c r="C250" s="473">
        <f ca="1">IF(ISERROR(VLOOKUP($A$278,INDIRECT("notes_"&amp;LEFT($A$278,3)),4,0)),0,VLOOKUP($A$278,INDIRECT("notes_"&amp;LEFT($A$278,3)),4,0))</f>
        <v>0</v>
      </c>
      <c r="H250" s="471">
        <v>2</v>
      </c>
      <c r="I250" s="471">
        <v>0</v>
      </c>
      <c r="J250" s="471" t="str">
        <f t="shared" si="33"/>
        <v>edu</v>
      </c>
      <c r="K250" s="471" t="str">
        <f t="shared" si="34"/>
        <v>oth-inc</v>
      </c>
      <c r="L250" s="599"/>
      <c r="M250" s="471" t="s">
        <v>4796</v>
      </c>
      <c r="N250" s="471" t="s">
        <v>446</v>
      </c>
      <c r="O250" s="471" t="s">
        <v>435</v>
      </c>
    </row>
    <row r="251" spans="1:15" x14ac:dyDescent="0.25">
      <c r="A251" s="471" t="s">
        <v>4868</v>
      </c>
      <c r="B251" s="1139">
        <f t="shared" ca="1" si="29"/>
        <v>0</v>
      </c>
      <c r="C251" s="473">
        <f ca="1">IF(ISERROR(VLOOKUP($A$279,INDIRECT("notes_"&amp;LEFT($A$279,3)),4,0)),0,VLOOKUP($A$279,INDIRECT("notes_"&amp;LEFT($A$279,3)),4,0))</f>
        <v>0</v>
      </c>
      <c r="H251" s="471">
        <v>2</v>
      </c>
      <c r="I251" s="471">
        <v>0</v>
      </c>
      <c r="J251" s="471" t="str">
        <f t="shared" si="33"/>
        <v>trans</v>
      </c>
      <c r="K251" s="471" t="str">
        <f t="shared" si="34"/>
        <v>oth-inc</v>
      </c>
      <c r="L251" s="599"/>
      <c r="M251" s="471" t="s">
        <v>4796</v>
      </c>
      <c r="N251" s="471" t="s">
        <v>446</v>
      </c>
      <c r="O251" s="471" t="s">
        <v>435</v>
      </c>
    </row>
    <row r="252" spans="1:15" x14ac:dyDescent="0.25">
      <c r="A252" s="471" t="s">
        <v>4869</v>
      </c>
      <c r="B252" s="1139">
        <f t="shared" ca="1" si="29"/>
        <v>0</v>
      </c>
      <c r="C252" s="473">
        <f ca="1">IF(ISERROR(VLOOKUP($A$280,INDIRECT("notes_"&amp;LEFT($A$280,3)),4,0)),0,VLOOKUP($A$280,INDIRECT("notes_"&amp;LEFT($A$280,3)),4,0))</f>
        <v>0</v>
      </c>
      <c r="H252" s="471">
        <v>2</v>
      </c>
      <c r="I252" s="471">
        <v>0</v>
      </c>
      <c r="J252" s="471" t="str">
        <f t="shared" si="33"/>
        <v>csc</v>
      </c>
      <c r="K252" s="471" t="str">
        <f t="shared" si="34"/>
        <v>oth-inc</v>
      </c>
      <c r="L252" s="599"/>
      <c r="M252" s="471" t="s">
        <v>4796</v>
      </c>
      <c r="N252" s="471" t="s">
        <v>446</v>
      </c>
      <c r="O252" s="471" t="s">
        <v>435</v>
      </c>
    </row>
    <row r="253" spans="1:15" x14ac:dyDescent="0.25">
      <c r="A253" s="471" t="s">
        <v>4870</v>
      </c>
      <c r="B253" s="1139">
        <f t="shared" ca="1" si="29"/>
        <v>0</v>
      </c>
      <c r="C253" s="473">
        <f ca="1">IF(ISERROR(VLOOKUP($A$281,INDIRECT("notes_"&amp;LEFT($A$281,3)),4,0)),0,VLOOKUP($A$281,INDIRECT("notes_"&amp;LEFT($A$281,3)),4,0))</f>
        <v>0</v>
      </c>
      <c r="H253" s="471">
        <v>2</v>
      </c>
      <c r="I253" s="471">
        <v>0</v>
      </c>
      <c r="J253" s="471" t="str">
        <f t="shared" si="33"/>
        <v>asc</v>
      </c>
      <c r="K253" s="471" t="str">
        <f t="shared" si="34"/>
        <v>oth-inc</v>
      </c>
      <c r="L253" s="599"/>
      <c r="M253" s="471" t="s">
        <v>4796</v>
      </c>
      <c r="N253" s="471" t="s">
        <v>446</v>
      </c>
      <c r="O253" s="471" t="s">
        <v>435</v>
      </c>
    </row>
    <row r="254" spans="1:15" x14ac:dyDescent="0.25">
      <c r="A254" s="471" t="s">
        <v>4871</v>
      </c>
      <c r="B254" s="1139">
        <f t="shared" ref="B254:B324" ca="1" si="35">INDEX(INDIRECT(LEFT($A254,SEARCH("-",$A254,1)-1)&amp;"_data"),MATCH(MID($A254,SEARCH("-",$A254)+1,SEARCH("#",SUBSTITUTE($A254,"-","#",H254),1)-(SEARCH("-",$A254)+1)),INDIRECT(LEFT($A254,SEARCH("-",$A254,1)-1)&amp;"_rows"),0),MATCH(RIGHT($A254,LEN($A254)-LEN(LEFT($A254,SEARCH("#",SUBSTITUTE($A254,"-","#",H254),1)))),INDIRECT(LEFT($A254,SEARCH("-",$A254,1)-1)&amp;"_Header"),0))</f>
        <v>0</v>
      </c>
      <c r="C254" s="473">
        <f ca="1">IF(ISERROR(VLOOKUP($A$282,INDIRECT("notes_"&amp;LEFT($A$282,3)),4,0)),0,VLOOKUP($A$282,INDIRECT("notes_"&amp;LEFT($A$282,3)),4,0))</f>
        <v>0</v>
      </c>
      <c r="H254" s="471">
        <v>2</v>
      </c>
      <c r="I254" s="471">
        <v>0</v>
      </c>
      <c r="J254" s="471" t="str">
        <f t="shared" si="33"/>
        <v>phs</v>
      </c>
      <c r="K254" s="471" t="str">
        <f t="shared" si="34"/>
        <v>oth-inc</v>
      </c>
      <c r="L254" s="599"/>
      <c r="M254" s="471" t="s">
        <v>4796</v>
      </c>
      <c r="N254" s="471" t="s">
        <v>446</v>
      </c>
      <c r="O254" s="471" t="s">
        <v>435</v>
      </c>
    </row>
    <row r="255" spans="1:15" x14ac:dyDescent="0.25">
      <c r="A255" s="471" t="s">
        <v>4872</v>
      </c>
      <c r="B255" s="1139">
        <f t="shared" ca="1" si="35"/>
        <v>0</v>
      </c>
      <c r="C255" s="473">
        <f ca="1">IF(ISERROR(VLOOKUP($A$283,INDIRECT("notes_"&amp;LEFT($A$283,3)),4,0)),0,VLOOKUP($A$283,INDIRECT("notes_"&amp;LEFT($A$283,3)),4,0))</f>
        <v>0</v>
      </c>
      <c r="H255" s="471">
        <v>2</v>
      </c>
      <c r="I255" s="471">
        <v>0</v>
      </c>
      <c r="J255" s="471" t="str">
        <f t="shared" si="33"/>
        <v>hous</v>
      </c>
      <c r="K255" s="471" t="str">
        <f t="shared" si="34"/>
        <v>oth-inc</v>
      </c>
      <c r="L255" s="599"/>
      <c r="M255" s="471" t="s">
        <v>4796</v>
      </c>
      <c r="N255" s="471" t="s">
        <v>446</v>
      </c>
      <c r="O255" s="471" t="s">
        <v>435</v>
      </c>
    </row>
    <row r="256" spans="1:15" x14ac:dyDescent="0.25">
      <c r="A256" s="471" t="s">
        <v>4873</v>
      </c>
      <c r="B256" s="1139">
        <f t="shared" ca="1" si="35"/>
        <v>0</v>
      </c>
      <c r="C256" s="473">
        <f ca="1">IF(ISERROR(VLOOKUP($A$284,INDIRECT("notes_"&amp;LEFT($A$284,3)),4,0)),0,VLOOKUP($A$284,INDIRECT("notes_"&amp;LEFT($A$284,3)),4,0))</f>
        <v>0</v>
      </c>
      <c r="H256" s="471">
        <v>2</v>
      </c>
      <c r="I256" s="471">
        <v>0</v>
      </c>
      <c r="J256" s="471" t="str">
        <f t="shared" si="33"/>
        <v>cul</v>
      </c>
      <c r="K256" s="471" t="str">
        <f t="shared" si="34"/>
        <v>oth-inc</v>
      </c>
      <c r="L256" s="599"/>
      <c r="M256" s="471" t="s">
        <v>4796</v>
      </c>
      <c r="N256" s="471" t="s">
        <v>446</v>
      </c>
      <c r="O256" s="471" t="s">
        <v>435</v>
      </c>
    </row>
    <row r="257" spans="1:15" x14ac:dyDescent="0.25">
      <c r="A257" s="471" t="s">
        <v>4874</v>
      </c>
      <c r="B257" s="1139">
        <f t="shared" ca="1" si="35"/>
        <v>0</v>
      </c>
      <c r="C257" s="473">
        <f ca="1">IF(ISERROR(VLOOKUP($A$285,INDIRECT("notes_"&amp;LEFT($A$285,3)),4,0)),0,VLOOKUP($A$285,INDIRECT("notes_"&amp;LEFT($A$285,3)),4,0))</f>
        <v>0</v>
      </c>
      <c r="H257" s="471">
        <v>2</v>
      </c>
      <c r="I257" s="471">
        <v>0</v>
      </c>
      <c r="J257" s="471" t="str">
        <f t="shared" si="33"/>
        <v>env</v>
      </c>
      <c r="K257" s="471" t="str">
        <f t="shared" si="34"/>
        <v>oth-inc</v>
      </c>
      <c r="L257" s="599"/>
      <c r="M257" s="471" t="s">
        <v>4796</v>
      </c>
      <c r="N257" s="471" t="s">
        <v>446</v>
      </c>
      <c r="O257" s="471" t="s">
        <v>435</v>
      </c>
    </row>
    <row r="258" spans="1:15" x14ac:dyDescent="0.25">
      <c r="A258" s="471" t="s">
        <v>4875</v>
      </c>
      <c r="B258" s="1139">
        <f t="shared" ca="1" si="35"/>
        <v>0</v>
      </c>
      <c r="C258" s="473">
        <f ca="1">IF(ISERROR(VLOOKUP($A$286,INDIRECT("notes_"&amp;LEFT($A$286,3)),4,0)),0,VLOOKUP($A$286,INDIRECT("notes_"&amp;LEFT($A$286,3)),4,0))</f>
        <v>0</v>
      </c>
      <c r="H258" s="471">
        <v>2</v>
      </c>
      <c r="I258" s="471">
        <v>0</v>
      </c>
      <c r="J258" s="471" t="str">
        <f t="shared" si="33"/>
        <v>plan</v>
      </c>
      <c r="K258" s="471" t="str">
        <f t="shared" si="34"/>
        <v>oth-inc</v>
      </c>
      <c r="L258" s="599"/>
      <c r="M258" s="471" t="s">
        <v>4796</v>
      </c>
      <c r="N258" s="471" t="s">
        <v>446</v>
      </c>
      <c r="O258" s="471" t="s">
        <v>435</v>
      </c>
    </row>
    <row r="259" spans="1:15" x14ac:dyDescent="0.25">
      <c r="A259" s="471" t="s">
        <v>4876</v>
      </c>
      <c r="B259" s="1139">
        <f t="shared" ca="1" si="35"/>
        <v>0</v>
      </c>
      <c r="C259" s="473">
        <f ca="1">IF(ISERROR(VLOOKUP($A$287,INDIRECT("notes_"&amp;LEFT($A$287,3)),4,0)),0,VLOOKUP($A$287,INDIRECT("notes_"&amp;LEFT($A$287,3)),4,0))</f>
        <v>0</v>
      </c>
      <c r="H259" s="471">
        <v>2</v>
      </c>
      <c r="I259" s="471">
        <v>0</v>
      </c>
      <c r="J259" s="471" t="str">
        <f t="shared" si="33"/>
        <v>pol</v>
      </c>
      <c r="K259" s="471" t="str">
        <f t="shared" si="34"/>
        <v>oth-inc</v>
      </c>
      <c r="L259" s="599"/>
      <c r="M259" s="471" t="s">
        <v>4796</v>
      </c>
      <c r="N259" s="471" t="s">
        <v>446</v>
      </c>
      <c r="O259" s="471" t="s">
        <v>435</v>
      </c>
    </row>
    <row r="260" spans="1:15" x14ac:dyDescent="0.25">
      <c r="A260" s="471" t="s">
        <v>4877</v>
      </c>
      <c r="B260" s="1139">
        <f t="shared" ca="1" si="35"/>
        <v>0</v>
      </c>
      <c r="C260" s="473">
        <f ca="1">IF(ISERROR(VLOOKUP($A$288,INDIRECT("notes_"&amp;LEFT($A$288,3)),4,0)),0,VLOOKUP($A$288,INDIRECT("notes_"&amp;LEFT($A$288,3)),4,0))</f>
        <v>0</v>
      </c>
      <c r="H260" s="471">
        <v>2</v>
      </c>
      <c r="I260" s="471">
        <v>0</v>
      </c>
      <c r="J260" s="471" t="str">
        <f t="shared" si="33"/>
        <v>frs</v>
      </c>
      <c r="K260" s="471" t="str">
        <f t="shared" si="34"/>
        <v>oth-inc</v>
      </c>
      <c r="L260" s="599"/>
      <c r="M260" s="471" t="s">
        <v>4796</v>
      </c>
      <c r="N260" s="471" t="s">
        <v>446</v>
      </c>
      <c r="O260" s="471" t="s">
        <v>435</v>
      </c>
    </row>
    <row r="261" spans="1:15" x14ac:dyDescent="0.25">
      <c r="A261" s="471" t="s">
        <v>4878</v>
      </c>
      <c r="B261" s="1139">
        <f t="shared" ca="1" si="35"/>
        <v>0</v>
      </c>
      <c r="C261" s="473">
        <f ca="1">IF(ISERROR(VLOOKUP($A$289,INDIRECT("notes_"&amp;LEFT($A$289,3)),4,0)),0,VLOOKUP($A$289,INDIRECT("notes_"&amp;LEFT($A$289,3)),4,0))</f>
        <v>0</v>
      </c>
      <c r="H261" s="471">
        <v>2</v>
      </c>
      <c r="I261" s="471">
        <v>0</v>
      </c>
      <c r="J261" s="471" t="str">
        <f t="shared" si="33"/>
        <v>cen</v>
      </c>
      <c r="K261" s="471" t="str">
        <f t="shared" si="34"/>
        <v>oth-inc</v>
      </c>
      <c r="L261" s="599"/>
      <c r="M261" s="471" t="s">
        <v>4796</v>
      </c>
      <c r="N261" s="471" t="s">
        <v>446</v>
      </c>
      <c r="O261" s="471" t="s">
        <v>435</v>
      </c>
    </row>
    <row r="262" spans="1:15" x14ac:dyDescent="0.25">
      <c r="A262" s="471" t="s">
        <v>4879</v>
      </c>
      <c r="B262" s="1139">
        <f t="shared" ca="1" si="35"/>
        <v>0</v>
      </c>
      <c r="C262" s="473">
        <f ca="1">IF(ISERROR(VLOOKUP($A$290,INDIRECT("notes_"&amp;LEFT($A$290,3)),4,0)),0,VLOOKUP($A$290,INDIRECT("notes_"&amp;LEFT($A$290,3)),4,0))</f>
        <v>0</v>
      </c>
      <c r="H262" s="471">
        <v>2</v>
      </c>
      <c r="I262" s="471">
        <v>0</v>
      </c>
      <c r="J262" s="471" t="str">
        <f t="shared" si="33"/>
        <v>oth</v>
      </c>
      <c r="K262" s="471" t="str">
        <f t="shared" si="34"/>
        <v>oth-inc</v>
      </c>
      <c r="L262" s="599"/>
      <c r="M262" s="471" t="s">
        <v>4796</v>
      </c>
      <c r="N262" s="471" t="s">
        <v>446</v>
      </c>
      <c r="O262" s="471" t="s">
        <v>435</v>
      </c>
    </row>
    <row r="263" spans="1:15" x14ac:dyDescent="0.25">
      <c r="A263" s="471" t="s">
        <v>4880</v>
      </c>
      <c r="B263" s="1139">
        <f t="shared" ca="1" si="35"/>
        <v>0</v>
      </c>
      <c r="C263" s="473">
        <f ca="1">IF(ISERROR(VLOOKUP($A$291,INDIRECT("notes_"&amp;LEFT($A$291,3)),4,0)),0,VLOOKUP($A$291,INDIRECT("notes_"&amp;LEFT($A$291,3)),4,0))</f>
        <v>0</v>
      </c>
      <c r="H263" s="471">
        <v>2</v>
      </c>
      <c r="I263" s="471">
        <v>0</v>
      </c>
      <c r="J263" s="471" t="str">
        <f t="shared" si="33"/>
        <v>totsx</v>
      </c>
      <c r="K263" s="471" t="str">
        <f t="shared" si="34"/>
        <v>oth-inc</v>
      </c>
      <c r="L263" s="599"/>
      <c r="M263" s="471" t="s">
        <v>4796</v>
      </c>
      <c r="N263" s="471" t="s">
        <v>446</v>
      </c>
      <c r="O263" s="471" t="s">
        <v>435</v>
      </c>
    </row>
    <row r="264" spans="1:15" x14ac:dyDescent="0.25">
      <c r="A264" s="471" t="s">
        <v>4881</v>
      </c>
      <c r="B264" s="1139">
        <f t="shared" ca="1" si="35"/>
        <v>0</v>
      </c>
      <c r="C264" s="473">
        <f ca="1">IF(ISERROR(VLOOKUP($A$278,INDIRECT("notes_"&amp;LEFT($A$278,3)),4,0)),0,VLOOKUP($A$278,INDIRECT("notes_"&amp;LEFT($A$278,3)),4,0))</f>
        <v>0</v>
      </c>
      <c r="H264" s="471">
        <v>2</v>
      </c>
      <c r="I264" s="471">
        <v>0</v>
      </c>
      <c r="J264" s="471" t="str">
        <f t="shared" si="33"/>
        <v>edu</v>
      </c>
      <c r="K264" s="471" t="str">
        <f t="shared" si="34"/>
        <v>tot-inc</v>
      </c>
      <c r="L264" s="599"/>
      <c r="M264" s="471" t="s">
        <v>4796</v>
      </c>
      <c r="N264" s="471" t="s">
        <v>446</v>
      </c>
      <c r="O264" s="471" t="s">
        <v>435</v>
      </c>
    </row>
    <row r="265" spans="1:15" x14ac:dyDescent="0.25">
      <c r="A265" s="471" t="s">
        <v>4882</v>
      </c>
      <c r="B265" s="1139">
        <f t="shared" ca="1" si="35"/>
        <v>0</v>
      </c>
      <c r="C265" s="473">
        <f ca="1">IF(ISERROR(VLOOKUP($A$279,INDIRECT("notes_"&amp;LEFT($A$279,3)),4,0)),0,VLOOKUP($A$279,INDIRECT("notes_"&amp;LEFT($A$279,3)),4,0))</f>
        <v>0</v>
      </c>
      <c r="H265" s="471">
        <v>2</v>
      </c>
      <c r="I265" s="471">
        <v>0</v>
      </c>
      <c r="J265" s="471" t="str">
        <f t="shared" si="33"/>
        <v>trans</v>
      </c>
      <c r="K265" s="471" t="str">
        <f t="shared" si="34"/>
        <v>tot-inc</v>
      </c>
      <c r="L265" s="599"/>
      <c r="M265" s="471" t="s">
        <v>4796</v>
      </c>
      <c r="N265" s="471" t="s">
        <v>446</v>
      </c>
      <c r="O265" s="471" t="s">
        <v>435</v>
      </c>
    </row>
    <row r="266" spans="1:15" x14ac:dyDescent="0.25">
      <c r="A266" s="471" t="s">
        <v>4883</v>
      </c>
      <c r="B266" s="1139">
        <f t="shared" ca="1" si="35"/>
        <v>0</v>
      </c>
      <c r="C266" s="473">
        <f ca="1">IF(ISERROR(VLOOKUP($A$280,INDIRECT("notes_"&amp;LEFT($A$280,3)),4,0)),0,VLOOKUP($A$280,INDIRECT("notes_"&amp;LEFT($A$280,3)),4,0))</f>
        <v>0</v>
      </c>
      <c r="H266" s="471">
        <v>2</v>
      </c>
      <c r="I266" s="471">
        <v>0</v>
      </c>
      <c r="J266" s="471" t="str">
        <f t="shared" si="33"/>
        <v>csc</v>
      </c>
      <c r="K266" s="471" t="str">
        <f t="shared" si="34"/>
        <v>tot-inc</v>
      </c>
      <c r="L266" s="599"/>
      <c r="M266" s="471" t="s">
        <v>4796</v>
      </c>
      <c r="N266" s="471" t="s">
        <v>446</v>
      </c>
      <c r="O266" s="471" t="s">
        <v>435</v>
      </c>
    </row>
    <row r="267" spans="1:15" x14ac:dyDescent="0.25">
      <c r="A267" s="471" t="s">
        <v>4884</v>
      </c>
      <c r="B267" s="1139">
        <f t="shared" ca="1" si="35"/>
        <v>0</v>
      </c>
      <c r="C267" s="473">
        <f ca="1">IF(ISERROR(VLOOKUP($A$281,INDIRECT("notes_"&amp;LEFT($A$281,3)),4,0)),0,VLOOKUP($A$281,INDIRECT("notes_"&amp;LEFT($A$281,3)),4,0))</f>
        <v>0</v>
      </c>
      <c r="H267" s="471">
        <v>2</v>
      </c>
      <c r="I267" s="471">
        <v>0</v>
      </c>
      <c r="J267" s="471" t="str">
        <f t="shared" si="33"/>
        <v>asc</v>
      </c>
      <c r="K267" s="471" t="str">
        <f t="shared" si="34"/>
        <v>tot-inc</v>
      </c>
      <c r="L267" s="599"/>
      <c r="M267" s="471" t="s">
        <v>4796</v>
      </c>
      <c r="N267" s="471" t="s">
        <v>446</v>
      </c>
      <c r="O267" s="471" t="s">
        <v>435</v>
      </c>
    </row>
    <row r="268" spans="1:15" x14ac:dyDescent="0.25">
      <c r="A268" s="471" t="s">
        <v>4885</v>
      </c>
      <c r="B268" s="1139">
        <f t="shared" ca="1" si="35"/>
        <v>0</v>
      </c>
      <c r="C268" s="473">
        <f ca="1">IF(ISERROR(VLOOKUP($A$282,INDIRECT("notes_"&amp;LEFT($A$282,3)),4,0)),0,VLOOKUP($A$282,INDIRECT("notes_"&amp;LEFT($A$282,3)),4,0))</f>
        <v>0</v>
      </c>
      <c r="H268" s="471">
        <v>2</v>
      </c>
      <c r="I268" s="471">
        <v>0</v>
      </c>
      <c r="J268" s="471" t="str">
        <f t="shared" si="33"/>
        <v>phs</v>
      </c>
      <c r="K268" s="471" t="str">
        <f t="shared" si="34"/>
        <v>tot-inc</v>
      </c>
      <c r="L268" s="599"/>
      <c r="M268" s="471" t="s">
        <v>4796</v>
      </c>
      <c r="N268" s="471" t="s">
        <v>446</v>
      </c>
      <c r="O268" s="471" t="s">
        <v>435</v>
      </c>
    </row>
    <row r="269" spans="1:15" x14ac:dyDescent="0.25">
      <c r="A269" s="471" t="s">
        <v>4886</v>
      </c>
      <c r="B269" s="1139">
        <f t="shared" ca="1" si="35"/>
        <v>0</v>
      </c>
      <c r="C269" s="473">
        <f ca="1">IF(ISERROR(VLOOKUP($A$283,INDIRECT("notes_"&amp;LEFT($A$283,3)),4,0)),0,VLOOKUP($A$283,INDIRECT("notes_"&amp;LEFT($A$283,3)),4,0))</f>
        <v>0</v>
      </c>
      <c r="H269" s="471">
        <v>2</v>
      </c>
      <c r="I269" s="471">
        <v>0</v>
      </c>
      <c r="J269" s="471" t="str">
        <f t="shared" si="33"/>
        <v>hous</v>
      </c>
      <c r="K269" s="471" t="str">
        <f t="shared" si="34"/>
        <v>tot-inc</v>
      </c>
      <c r="L269" s="599"/>
      <c r="M269" s="471" t="s">
        <v>4796</v>
      </c>
      <c r="N269" s="471" t="s">
        <v>446</v>
      </c>
      <c r="O269" s="471" t="s">
        <v>435</v>
      </c>
    </row>
    <row r="270" spans="1:15" x14ac:dyDescent="0.25">
      <c r="A270" s="471" t="s">
        <v>4887</v>
      </c>
      <c r="B270" s="1139">
        <f t="shared" ca="1" si="35"/>
        <v>0</v>
      </c>
      <c r="C270" s="473">
        <f ca="1">IF(ISERROR(VLOOKUP($A$284,INDIRECT("notes_"&amp;LEFT($A$284,3)),4,0)),0,VLOOKUP($A$284,INDIRECT("notes_"&amp;LEFT($A$284,3)),4,0))</f>
        <v>0</v>
      </c>
      <c r="H270" s="471">
        <v>2</v>
      </c>
      <c r="I270" s="471">
        <v>0</v>
      </c>
      <c r="J270" s="471" t="str">
        <f t="shared" si="33"/>
        <v>cul</v>
      </c>
      <c r="K270" s="471" t="str">
        <f t="shared" si="34"/>
        <v>tot-inc</v>
      </c>
      <c r="L270" s="599"/>
      <c r="M270" s="471" t="s">
        <v>4796</v>
      </c>
      <c r="N270" s="471" t="s">
        <v>446</v>
      </c>
      <c r="O270" s="471" t="s">
        <v>435</v>
      </c>
    </row>
    <row r="271" spans="1:15" x14ac:dyDescent="0.25">
      <c r="A271" s="471" t="s">
        <v>4888</v>
      </c>
      <c r="B271" s="1139">
        <f t="shared" ca="1" si="35"/>
        <v>0</v>
      </c>
      <c r="C271" s="473">
        <f ca="1">IF(ISERROR(VLOOKUP($A$285,INDIRECT("notes_"&amp;LEFT($A$285,3)),4,0)),0,VLOOKUP($A$285,INDIRECT("notes_"&amp;LEFT($A$285,3)),4,0))</f>
        <v>0</v>
      </c>
      <c r="H271" s="471">
        <v>2</v>
      </c>
      <c r="I271" s="471">
        <v>0</v>
      </c>
      <c r="J271" s="471" t="str">
        <f t="shared" si="33"/>
        <v>env</v>
      </c>
      <c r="K271" s="471" t="str">
        <f t="shared" si="34"/>
        <v>tot-inc</v>
      </c>
      <c r="L271" s="599"/>
      <c r="M271" s="471" t="s">
        <v>4796</v>
      </c>
      <c r="N271" s="471" t="s">
        <v>446</v>
      </c>
      <c r="O271" s="471" t="s">
        <v>435</v>
      </c>
    </row>
    <row r="272" spans="1:15" x14ac:dyDescent="0.25">
      <c r="A272" s="471" t="s">
        <v>4889</v>
      </c>
      <c r="B272" s="1139">
        <f t="shared" ca="1" si="35"/>
        <v>0</v>
      </c>
      <c r="C272" s="473">
        <f ca="1">IF(ISERROR(VLOOKUP($A$286,INDIRECT("notes_"&amp;LEFT($A$286,3)),4,0)),0,VLOOKUP($A$286,INDIRECT("notes_"&amp;LEFT($A$286,3)),4,0))</f>
        <v>0</v>
      </c>
      <c r="H272" s="471">
        <v>2</v>
      </c>
      <c r="I272" s="471">
        <v>0</v>
      </c>
      <c r="J272" s="471" t="str">
        <f t="shared" si="33"/>
        <v>plan</v>
      </c>
      <c r="K272" s="471" t="str">
        <f t="shared" si="34"/>
        <v>tot-inc</v>
      </c>
      <c r="L272" s="599"/>
      <c r="M272" s="471" t="s">
        <v>4796</v>
      </c>
      <c r="N272" s="471" t="s">
        <v>446</v>
      </c>
      <c r="O272" s="471" t="s">
        <v>435</v>
      </c>
    </row>
    <row r="273" spans="1:15" x14ac:dyDescent="0.25">
      <c r="A273" s="471" t="s">
        <v>4890</v>
      </c>
      <c r="B273" s="1139">
        <f t="shared" ca="1" si="35"/>
        <v>0</v>
      </c>
      <c r="C273" s="473">
        <f ca="1">IF(ISERROR(VLOOKUP($A$287,INDIRECT("notes_"&amp;LEFT($A$287,3)),4,0)),0,VLOOKUP($A$287,INDIRECT("notes_"&amp;LEFT($A$287,3)),4,0))</f>
        <v>0</v>
      </c>
      <c r="H273" s="471">
        <v>2</v>
      </c>
      <c r="I273" s="471">
        <v>0</v>
      </c>
      <c r="J273" s="471" t="str">
        <f t="shared" si="33"/>
        <v>pol</v>
      </c>
      <c r="K273" s="471" t="str">
        <f t="shared" si="34"/>
        <v>tot-inc</v>
      </c>
      <c r="L273" s="599"/>
      <c r="M273" s="471" t="s">
        <v>4796</v>
      </c>
      <c r="N273" s="471" t="s">
        <v>446</v>
      </c>
      <c r="O273" s="471" t="s">
        <v>435</v>
      </c>
    </row>
    <row r="274" spans="1:15" x14ac:dyDescent="0.25">
      <c r="A274" s="471" t="s">
        <v>4891</v>
      </c>
      <c r="B274" s="1139">
        <f t="shared" ca="1" si="35"/>
        <v>0</v>
      </c>
      <c r="C274" s="473">
        <f ca="1">IF(ISERROR(VLOOKUP($A$288,INDIRECT("notes_"&amp;LEFT($A$288,3)),4,0)),0,VLOOKUP($A$288,INDIRECT("notes_"&amp;LEFT($A$288,3)),4,0))</f>
        <v>0</v>
      </c>
      <c r="H274" s="471">
        <v>2</v>
      </c>
      <c r="I274" s="471">
        <v>0</v>
      </c>
      <c r="J274" s="471" t="str">
        <f t="shared" si="33"/>
        <v>frs</v>
      </c>
      <c r="K274" s="471" t="str">
        <f t="shared" si="34"/>
        <v>tot-inc</v>
      </c>
      <c r="L274" s="599"/>
      <c r="M274" s="471" t="s">
        <v>4796</v>
      </c>
      <c r="N274" s="471" t="s">
        <v>446</v>
      </c>
      <c r="O274" s="471" t="s">
        <v>435</v>
      </c>
    </row>
    <row r="275" spans="1:15" x14ac:dyDescent="0.25">
      <c r="A275" s="471" t="s">
        <v>4892</v>
      </c>
      <c r="B275" s="1139">
        <f t="shared" ca="1" si="35"/>
        <v>0</v>
      </c>
      <c r="C275" s="473">
        <f ca="1">IF(ISERROR(VLOOKUP($A$289,INDIRECT("notes_"&amp;LEFT($A$289,3)),4,0)),0,VLOOKUP($A$289,INDIRECT("notes_"&amp;LEFT($A$289,3)),4,0))</f>
        <v>0</v>
      </c>
      <c r="H275" s="471">
        <v>2</v>
      </c>
      <c r="I275" s="471">
        <v>0</v>
      </c>
      <c r="J275" s="471" t="str">
        <f t="shared" si="33"/>
        <v>cen</v>
      </c>
      <c r="K275" s="471" t="str">
        <f t="shared" si="34"/>
        <v>tot-inc</v>
      </c>
      <c r="L275" s="599"/>
      <c r="M275" s="471" t="s">
        <v>4796</v>
      </c>
      <c r="N275" s="471" t="s">
        <v>446</v>
      </c>
      <c r="O275" s="471" t="s">
        <v>435</v>
      </c>
    </row>
    <row r="276" spans="1:15" x14ac:dyDescent="0.25">
      <c r="A276" s="471" t="s">
        <v>4893</v>
      </c>
      <c r="B276" s="1139">
        <f t="shared" ca="1" si="35"/>
        <v>0</v>
      </c>
      <c r="C276" s="473">
        <f ca="1">IF(ISERROR(VLOOKUP($A$290,INDIRECT("notes_"&amp;LEFT($A$290,3)),4,0)),0,VLOOKUP($A$290,INDIRECT("notes_"&amp;LEFT($A$290,3)),4,0))</f>
        <v>0</v>
      </c>
      <c r="H276" s="471">
        <v>2</v>
      </c>
      <c r="I276" s="471">
        <v>0</v>
      </c>
      <c r="J276" s="471" t="str">
        <f t="shared" si="33"/>
        <v>oth</v>
      </c>
      <c r="K276" s="471" t="str">
        <f t="shared" si="34"/>
        <v>tot-inc</v>
      </c>
      <c r="L276" s="599"/>
      <c r="M276" s="471" t="s">
        <v>4796</v>
      </c>
      <c r="N276" s="471" t="s">
        <v>446</v>
      </c>
      <c r="O276" s="471" t="s">
        <v>435</v>
      </c>
    </row>
    <row r="277" spans="1:15" x14ac:dyDescent="0.25">
      <c r="A277" s="471" t="s">
        <v>4894</v>
      </c>
      <c r="B277" s="1139">
        <f t="shared" ca="1" si="35"/>
        <v>0</v>
      </c>
      <c r="C277" s="473">
        <f ca="1">IF(ISERROR(VLOOKUP($A$291,INDIRECT("notes_"&amp;LEFT($A$291,3)),4,0)),0,VLOOKUP($A$291,INDIRECT("notes_"&amp;LEFT($A$291,3)),4,0))</f>
        <v>0</v>
      </c>
      <c r="H277" s="471">
        <v>2</v>
      </c>
      <c r="I277" s="471">
        <v>0</v>
      </c>
      <c r="J277" s="471" t="str">
        <f t="shared" si="33"/>
        <v>totsx</v>
      </c>
      <c r="K277" s="471" t="str">
        <f t="shared" si="34"/>
        <v>tot-inc</v>
      </c>
      <c r="L277" s="599"/>
      <c r="M277" s="471" t="s">
        <v>4796</v>
      </c>
      <c r="N277" s="471" t="s">
        <v>446</v>
      </c>
      <c r="O277" s="471" t="s">
        <v>435</v>
      </c>
    </row>
    <row r="278" spans="1:15" x14ac:dyDescent="0.25">
      <c r="A278" s="471" t="s">
        <v>1826</v>
      </c>
      <c r="B278" s="1139">
        <f t="shared" ca="1" si="35"/>
        <v>0</v>
      </c>
      <c r="C278" s="473">
        <f ca="1">IF(ISERROR(VLOOKUP($A$278,INDIRECT("notes_"&amp;LEFT($A$278,3)),4,0)),0,VLOOKUP($A$278,INDIRECT("notes_"&amp;LEFT($A$278,3)),4,0))</f>
        <v>0</v>
      </c>
      <c r="E278" s="471" t="str">
        <f>RSX!O32</f>
        <v/>
      </c>
      <c r="F278" s="471" t="str">
        <f>RSX!Q32</f>
        <v/>
      </c>
      <c r="H278" s="471">
        <v>2</v>
      </c>
      <c r="I278" s="471">
        <v>0</v>
      </c>
      <c r="J278" s="471" t="str">
        <f t="shared" si="33"/>
        <v>edu</v>
      </c>
      <c r="K278" s="471" t="str">
        <f t="shared" si="34"/>
        <v>net-cur-exp</v>
      </c>
      <c r="L278" s="599"/>
      <c r="M278" s="471" t="s">
        <v>4796</v>
      </c>
      <c r="N278" s="471" t="s">
        <v>446</v>
      </c>
      <c r="O278" s="471" t="s">
        <v>435</v>
      </c>
    </row>
    <row r="279" spans="1:15" x14ac:dyDescent="0.25">
      <c r="A279" s="471" t="s">
        <v>1827</v>
      </c>
      <c r="B279" s="1139">
        <f t="shared" ca="1" si="35"/>
        <v>0</v>
      </c>
      <c r="C279" s="473">
        <f ca="1">IF(ISERROR(VLOOKUP($A$279,INDIRECT("notes_"&amp;LEFT($A$279,3)),4,0)),0,VLOOKUP($A$279,INDIRECT("notes_"&amp;LEFT($A$279,3)),4,0))</f>
        <v>0</v>
      </c>
      <c r="E279" s="471" t="str">
        <f>RSX!O33</f>
        <v/>
      </c>
      <c r="F279" s="471" t="str">
        <f>RSX!Q33</f>
        <v/>
      </c>
      <c r="H279" s="471">
        <v>2</v>
      </c>
      <c r="I279" s="471">
        <v>0</v>
      </c>
      <c r="J279" s="471" t="str">
        <f t="shared" si="33"/>
        <v>trans</v>
      </c>
      <c r="K279" s="471" t="str">
        <f t="shared" si="34"/>
        <v>net-cur-exp</v>
      </c>
      <c r="L279" s="599"/>
      <c r="M279" s="471" t="s">
        <v>4796</v>
      </c>
      <c r="N279" s="471" t="s">
        <v>446</v>
      </c>
      <c r="O279" s="471" t="s">
        <v>435</v>
      </c>
    </row>
    <row r="280" spans="1:15" x14ac:dyDescent="0.25">
      <c r="A280" s="471" t="s">
        <v>1828</v>
      </c>
      <c r="B280" s="1139">
        <f t="shared" ca="1" si="35"/>
        <v>0</v>
      </c>
      <c r="C280" s="473">
        <f ca="1">IF(ISERROR(VLOOKUP($A$280,INDIRECT("notes_"&amp;LEFT($A$280,3)),4,0)),0,VLOOKUP($A$280,INDIRECT("notes_"&amp;LEFT($A$280,3)),4,0))</f>
        <v>0</v>
      </c>
      <c r="E280" s="471" t="str">
        <f>RSX!O34</f>
        <v/>
      </c>
      <c r="F280" s="471" t="str">
        <f>RSX!Q34</f>
        <v/>
      </c>
      <c r="H280" s="471">
        <v>2</v>
      </c>
      <c r="I280" s="471">
        <v>0</v>
      </c>
      <c r="J280" s="471" t="str">
        <f t="shared" si="33"/>
        <v>csc</v>
      </c>
      <c r="K280" s="471" t="str">
        <f t="shared" si="34"/>
        <v>net-cur-exp</v>
      </c>
      <c r="L280" s="599"/>
      <c r="M280" s="471" t="s">
        <v>4796</v>
      </c>
      <c r="N280" s="471" t="s">
        <v>446</v>
      </c>
      <c r="O280" s="471" t="s">
        <v>435</v>
      </c>
    </row>
    <row r="281" spans="1:15" x14ac:dyDescent="0.25">
      <c r="A281" s="471" t="s">
        <v>1829</v>
      </c>
      <c r="B281" s="1139">
        <f t="shared" ca="1" si="35"/>
        <v>0</v>
      </c>
      <c r="C281" s="473">
        <f ca="1">IF(ISERROR(VLOOKUP($A$281,INDIRECT("notes_"&amp;LEFT($A$281,3)),4,0)),0,VLOOKUP($A$281,INDIRECT("notes_"&amp;LEFT($A$281,3)),4,0))</f>
        <v>0</v>
      </c>
      <c r="E281" s="471" t="str">
        <f>RSX!O35</f>
        <v/>
      </c>
      <c r="F281" s="471" t="str">
        <f>RSX!Q35</f>
        <v/>
      </c>
      <c r="H281" s="471">
        <v>2</v>
      </c>
      <c r="I281" s="471">
        <v>0</v>
      </c>
      <c r="J281" s="471" t="str">
        <f t="shared" si="33"/>
        <v>asc</v>
      </c>
      <c r="K281" s="471" t="str">
        <f t="shared" si="34"/>
        <v>net-cur-exp</v>
      </c>
      <c r="L281" s="599"/>
      <c r="M281" s="471" t="s">
        <v>4796</v>
      </c>
      <c r="N281" s="471" t="s">
        <v>446</v>
      </c>
      <c r="O281" s="471" t="s">
        <v>435</v>
      </c>
    </row>
    <row r="282" spans="1:15" x14ac:dyDescent="0.25">
      <c r="A282" s="471" t="s">
        <v>1830</v>
      </c>
      <c r="B282" s="1139">
        <f t="shared" ca="1" si="35"/>
        <v>0</v>
      </c>
      <c r="C282" s="473">
        <f ca="1">IF(ISERROR(VLOOKUP($A$282,INDIRECT("notes_"&amp;LEFT($A$282,3)),4,0)),0,VLOOKUP($A$282,INDIRECT("notes_"&amp;LEFT($A$282,3)),4,0))</f>
        <v>0</v>
      </c>
      <c r="E282" s="471" t="str">
        <f>RSX!O36</f>
        <v/>
      </c>
      <c r="F282" s="471" t="str">
        <f>RSX!Q36</f>
        <v/>
      </c>
      <c r="H282" s="471">
        <v>2</v>
      </c>
      <c r="I282" s="471">
        <v>0</v>
      </c>
      <c r="J282" s="471" t="str">
        <f t="shared" si="33"/>
        <v>phs</v>
      </c>
      <c r="K282" s="471" t="str">
        <f t="shared" si="34"/>
        <v>net-cur-exp</v>
      </c>
      <c r="L282" s="599"/>
      <c r="M282" s="471" t="s">
        <v>4796</v>
      </c>
      <c r="N282" s="471" t="s">
        <v>446</v>
      </c>
      <c r="O282" s="471" t="s">
        <v>435</v>
      </c>
    </row>
    <row r="283" spans="1:15" x14ac:dyDescent="0.25">
      <c r="A283" s="471" t="s">
        <v>1831</v>
      </c>
      <c r="B283" s="1139">
        <f t="shared" ca="1" si="35"/>
        <v>0</v>
      </c>
      <c r="C283" s="473">
        <f ca="1">IF(ISERROR(VLOOKUP($A$283,INDIRECT("notes_"&amp;LEFT($A$283,3)),4,0)),0,VLOOKUP($A$283,INDIRECT("notes_"&amp;LEFT($A$283,3)),4,0))</f>
        <v>0</v>
      </c>
      <c r="E283" s="471" t="str">
        <f>RSX!O37</f>
        <v/>
      </c>
      <c r="F283" s="471" t="str">
        <f>RSX!Q37</f>
        <v/>
      </c>
      <c r="H283" s="471">
        <v>2</v>
      </c>
      <c r="I283" s="471">
        <v>0</v>
      </c>
      <c r="J283" s="471" t="str">
        <f t="shared" si="33"/>
        <v>hous</v>
      </c>
      <c r="K283" s="471" t="str">
        <f t="shared" si="34"/>
        <v>net-cur-exp</v>
      </c>
      <c r="L283" s="599"/>
      <c r="M283" s="471" t="s">
        <v>4796</v>
      </c>
      <c r="N283" s="471" t="s">
        <v>446</v>
      </c>
      <c r="O283" s="471" t="s">
        <v>435</v>
      </c>
    </row>
    <row r="284" spans="1:15" x14ac:dyDescent="0.25">
      <c r="A284" s="471" t="s">
        <v>1832</v>
      </c>
      <c r="B284" s="1139">
        <f t="shared" ca="1" si="35"/>
        <v>0</v>
      </c>
      <c r="C284" s="473">
        <f ca="1">IF(ISERROR(VLOOKUP($A$284,INDIRECT("notes_"&amp;LEFT($A$284,3)),4,0)),0,VLOOKUP($A$284,INDIRECT("notes_"&amp;LEFT($A$284,3)),4,0))</f>
        <v>0</v>
      </c>
      <c r="E284" s="471" t="str">
        <f>RSX!O38</f>
        <v/>
      </c>
      <c r="F284" s="471" t="str">
        <f>RSX!Q38</f>
        <v/>
      </c>
      <c r="H284" s="471">
        <v>2</v>
      </c>
      <c r="I284" s="471">
        <v>0</v>
      </c>
      <c r="J284" s="471" t="str">
        <f t="shared" si="33"/>
        <v>cul</v>
      </c>
      <c r="K284" s="471" t="str">
        <f t="shared" si="34"/>
        <v>net-cur-exp</v>
      </c>
      <c r="L284" s="599"/>
      <c r="M284" s="471" t="s">
        <v>4796</v>
      </c>
      <c r="N284" s="471" t="s">
        <v>446</v>
      </c>
      <c r="O284" s="471" t="s">
        <v>435</v>
      </c>
    </row>
    <row r="285" spans="1:15" x14ac:dyDescent="0.25">
      <c r="A285" s="471" t="s">
        <v>1833</v>
      </c>
      <c r="B285" s="1139">
        <f t="shared" ca="1" si="35"/>
        <v>0</v>
      </c>
      <c r="C285" s="473">
        <f ca="1">IF(ISERROR(VLOOKUP($A$285,INDIRECT("notes_"&amp;LEFT($A$285,3)),4,0)),0,VLOOKUP($A$285,INDIRECT("notes_"&amp;LEFT($A$285,3)),4,0))</f>
        <v>0</v>
      </c>
      <c r="E285" s="471" t="str">
        <f>RSX!O39</f>
        <v/>
      </c>
      <c r="F285" s="471" t="str">
        <f>RSX!Q39</f>
        <v/>
      </c>
      <c r="H285" s="471">
        <v>2</v>
      </c>
      <c r="I285" s="471">
        <v>0</v>
      </c>
      <c r="J285" s="471" t="str">
        <f t="shared" si="33"/>
        <v>env</v>
      </c>
      <c r="K285" s="471" t="str">
        <f t="shared" si="34"/>
        <v>net-cur-exp</v>
      </c>
      <c r="L285" s="599"/>
      <c r="M285" s="471" t="s">
        <v>4796</v>
      </c>
      <c r="N285" s="471" t="s">
        <v>446</v>
      </c>
      <c r="O285" s="471" t="s">
        <v>435</v>
      </c>
    </row>
    <row r="286" spans="1:15" x14ac:dyDescent="0.25">
      <c r="A286" s="471" t="s">
        <v>1834</v>
      </c>
      <c r="B286" s="1139">
        <f t="shared" ca="1" si="35"/>
        <v>0</v>
      </c>
      <c r="C286" s="473">
        <f ca="1">IF(ISERROR(VLOOKUP($A$286,INDIRECT("notes_"&amp;LEFT($A$286,3)),4,0)),0,VLOOKUP($A$286,INDIRECT("notes_"&amp;LEFT($A$286,3)),4,0))</f>
        <v>0</v>
      </c>
      <c r="E286" s="471" t="str">
        <f>RSX!O40</f>
        <v/>
      </c>
      <c r="F286" s="471" t="str">
        <f>RSX!Q40</f>
        <v/>
      </c>
      <c r="H286" s="471">
        <v>2</v>
      </c>
      <c r="I286" s="471">
        <v>0</v>
      </c>
      <c r="J286" s="471" t="str">
        <f t="shared" si="33"/>
        <v>plan</v>
      </c>
      <c r="K286" s="471" t="str">
        <f t="shared" si="34"/>
        <v>net-cur-exp</v>
      </c>
      <c r="L286" s="599"/>
      <c r="M286" s="471" t="s">
        <v>4796</v>
      </c>
      <c r="N286" s="471" t="s">
        <v>446</v>
      </c>
      <c r="O286" s="471" t="s">
        <v>435</v>
      </c>
    </row>
    <row r="287" spans="1:15" x14ac:dyDescent="0.25">
      <c r="A287" s="471" t="s">
        <v>1835</v>
      </c>
      <c r="B287" s="1139">
        <f t="shared" ca="1" si="35"/>
        <v>0</v>
      </c>
      <c r="C287" s="473">
        <f ca="1">IF(ISERROR(VLOOKUP($A$287,INDIRECT("notes_"&amp;LEFT($A$287,3)),4,0)),0,VLOOKUP($A$287,INDIRECT("notes_"&amp;LEFT($A$287,3)),4,0))</f>
        <v>0</v>
      </c>
      <c r="E287" s="471" t="str">
        <f>RSX!O41</f>
        <v/>
      </c>
      <c r="F287" s="471" t="str">
        <f>RSX!Q41</f>
        <v/>
      </c>
      <c r="H287" s="471">
        <v>2</v>
      </c>
      <c r="I287" s="471">
        <v>0</v>
      </c>
      <c r="J287" s="471" t="str">
        <f t="shared" si="33"/>
        <v>pol</v>
      </c>
      <c r="K287" s="471" t="str">
        <f t="shared" si="34"/>
        <v>net-cur-exp</v>
      </c>
      <c r="L287" s="599"/>
      <c r="M287" s="471" t="s">
        <v>4796</v>
      </c>
      <c r="N287" s="471" t="s">
        <v>446</v>
      </c>
      <c r="O287" s="471" t="s">
        <v>435</v>
      </c>
    </row>
    <row r="288" spans="1:15" x14ac:dyDescent="0.25">
      <c r="A288" s="471" t="s">
        <v>1836</v>
      </c>
      <c r="B288" s="1139">
        <f t="shared" ca="1" si="35"/>
        <v>0</v>
      </c>
      <c r="C288" s="473">
        <f ca="1">IF(ISERROR(VLOOKUP($A$288,INDIRECT("notes_"&amp;LEFT($A$288,3)),4,0)),0,VLOOKUP($A$288,INDIRECT("notes_"&amp;LEFT($A$288,3)),4,0))</f>
        <v>0</v>
      </c>
      <c r="E288" s="471" t="str">
        <f>RSX!O42</f>
        <v/>
      </c>
      <c r="F288" s="471" t="str">
        <f>RSX!Q42</f>
        <v/>
      </c>
      <c r="H288" s="471">
        <v>2</v>
      </c>
      <c r="I288" s="471">
        <v>0</v>
      </c>
      <c r="J288" s="471" t="str">
        <f t="shared" si="33"/>
        <v>frs</v>
      </c>
      <c r="K288" s="471" t="str">
        <f t="shared" si="34"/>
        <v>net-cur-exp</v>
      </c>
      <c r="L288" s="599"/>
      <c r="M288" s="471" t="s">
        <v>4796</v>
      </c>
      <c r="N288" s="471" t="s">
        <v>446</v>
      </c>
      <c r="O288" s="471" t="s">
        <v>435</v>
      </c>
    </row>
    <row r="289" spans="1:15" x14ac:dyDescent="0.25">
      <c r="A289" s="471" t="s">
        <v>1837</v>
      </c>
      <c r="B289" s="1139">
        <f t="shared" ca="1" si="35"/>
        <v>0</v>
      </c>
      <c r="C289" s="473">
        <f ca="1">IF(ISERROR(VLOOKUP($A$289,INDIRECT("notes_"&amp;LEFT($A$289,3)),4,0)),0,VLOOKUP($A$289,INDIRECT("notes_"&amp;LEFT($A$289,3)),4,0))</f>
        <v>0</v>
      </c>
      <c r="E289" s="471" t="str">
        <f>RSX!O43</f>
        <v/>
      </c>
      <c r="F289" s="471" t="str">
        <f>RSX!Q43</f>
        <v/>
      </c>
      <c r="H289" s="471">
        <v>2</v>
      </c>
      <c r="I289" s="471">
        <v>0</v>
      </c>
      <c r="J289" s="471" t="str">
        <f t="shared" si="33"/>
        <v>cen</v>
      </c>
      <c r="K289" s="471" t="str">
        <f t="shared" si="34"/>
        <v>net-cur-exp</v>
      </c>
      <c r="L289" s="599"/>
      <c r="M289" s="471" t="s">
        <v>4796</v>
      </c>
      <c r="N289" s="471" t="s">
        <v>446</v>
      </c>
      <c r="O289" s="471" t="s">
        <v>435</v>
      </c>
    </row>
    <row r="290" spans="1:15" x14ac:dyDescent="0.25">
      <c r="A290" s="471" t="s">
        <v>1838</v>
      </c>
      <c r="B290" s="1139">
        <f t="shared" ca="1" si="35"/>
        <v>0</v>
      </c>
      <c r="C290" s="473">
        <f ca="1">IF(ISERROR(VLOOKUP($A$290,INDIRECT("notes_"&amp;LEFT($A$290,3)),4,0)),0,VLOOKUP($A$290,INDIRECT("notes_"&amp;LEFT($A$290,3)),4,0))</f>
        <v>0</v>
      </c>
      <c r="E290" s="471" t="str">
        <f>RSX!O44</f>
        <v/>
      </c>
      <c r="F290" s="471" t="str">
        <f>RSX!Q44</f>
        <v/>
      </c>
      <c r="H290" s="471">
        <v>2</v>
      </c>
      <c r="I290" s="471">
        <v>0</v>
      </c>
      <c r="J290" s="471" t="str">
        <f t="shared" si="33"/>
        <v>oth</v>
      </c>
      <c r="K290" s="471" t="str">
        <f t="shared" si="34"/>
        <v>net-cur-exp</v>
      </c>
      <c r="L290" s="599"/>
      <c r="M290" s="471" t="s">
        <v>4796</v>
      </c>
      <c r="N290" s="471" t="s">
        <v>446</v>
      </c>
      <c r="O290" s="471" t="s">
        <v>435</v>
      </c>
    </row>
    <row r="291" spans="1:15" x14ac:dyDescent="0.25">
      <c r="A291" s="471" t="s">
        <v>1839</v>
      </c>
      <c r="B291" s="1139">
        <f t="shared" ca="1" si="35"/>
        <v>0</v>
      </c>
      <c r="C291" s="473">
        <f ca="1">IF(ISERROR(VLOOKUP($A$291,INDIRECT("notes_"&amp;LEFT($A$291,3)),4,0)),0,VLOOKUP($A$291,INDIRECT("notes_"&amp;LEFT($A$291,3)),4,0))</f>
        <v>0</v>
      </c>
      <c r="E291" s="471" t="str">
        <f>RSX!O45</f>
        <v/>
      </c>
      <c r="F291" s="471" t="str">
        <f>RSX!Q45</f>
        <v/>
      </c>
      <c r="H291" s="471">
        <v>2</v>
      </c>
      <c r="I291" s="471">
        <v>0</v>
      </c>
      <c r="J291" s="471" t="str">
        <f t="shared" si="33"/>
        <v>totsx</v>
      </c>
      <c r="K291" s="471" t="str">
        <f t="shared" si="34"/>
        <v>net-cur-exp</v>
      </c>
      <c r="L291" s="599"/>
      <c r="M291" s="471" t="s">
        <v>4796</v>
      </c>
      <c r="N291" s="471" t="s">
        <v>446</v>
      </c>
      <c r="O291" s="471" t="s">
        <v>435</v>
      </c>
    </row>
    <row r="292" spans="1:15" x14ac:dyDescent="0.25">
      <c r="A292" s="471" t="s">
        <v>4895</v>
      </c>
      <c r="B292" s="1139" t="str">
        <f t="shared" ca="1" si="35"/>
        <v>There are no outstanding errors or warnings with the RO1 section of the form. Thank you.</v>
      </c>
      <c r="C292" s="473"/>
      <c r="H292" s="471">
        <v>2</v>
      </c>
      <c r="I292" s="471">
        <v>0</v>
      </c>
      <c r="J292" s="471" t="str">
        <f t="shared" si="33"/>
        <v>edu</v>
      </c>
      <c r="K292" s="471" t="str">
        <f t="shared" si="34"/>
        <v>error</v>
      </c>
      <c r="L292" s="599"/>
      <c r="M292" s="471" t="s">
        <v>4896</v>
      </c>
      <c r="N292" s="471" t="s">
        <v>724</v>
      </c>
      <c r="O292" s="471" t="s">
        <v>722</v>
      </c>
    </row>
    <row r="293" spans="1:15" x14ac:dyDescent="0.25">
      <c r="A293" s="471" t="s">
        <v>4897</v>
      </c>
      <c r="B293" s="1139">
        <f t="shared" ca="1" si="35"/>
        <v>0</v>
      </c>
      <c r="C293" s="473">
        <f ca="1">IF(ISERROR(VLOOKUP($A$344,INDIRECT("notes_"&amp;LEFT($A$344,3)),4,0)),0,VLOOKUP($A$344,INDIRECT("notes_"&amp;LEFT($A$344,3)),4,0))</f>
        <v>0</v>
      </c>
      <c r="H293" s="471">
        <v>2</v>
      </c>
      <c r="I293" s="471">
        <v>0</v>
      </c>
      <c r="J293" s="471" t="str">
        <f t="shared" si="33"/>
        <v>eduerl</v>
      </c>
      <c r="K293" s="471" t="str">
        <f t="shared" si="34"/>
        <v>empl</v>
      </c>
      <c r="L293" s="599"/>
      <c r="M293" s="471" t="s">
        <v>4896</v>
      </c>
      <c r="N293" s="471" t="s">
        <v>724</v>
      </c>
      <c r="O293" s="471" t="s">
        <v>722</v>
      </c>
    </row>
    <row r="294" spans="1:15" x14ac:dyDescent="0.25">
      <c r="A294" s="471" t="s">
        <v>4898</v>
      </c>
      <c r="B294" s="1139">
        <f t="shared" ca="1" si="35"/>
        <v>0</v>
      </c>
      <c r="C294" s="473">
        <f ca="1">IF(ISERROR(VLOOKUP($A$345,INDIRECT("notes_"&amp;LEFT($A$345,3)),4,0)),0,VLOOKUP($A$345,INDIRECT("notes_"&amp;LEFT($A$345,3)),4,0))</f>
        <v>0</v>
      </c>
      <c r="H294" s="471">
        <v>2</v>
      </c>
      <c r="I294" s="471">
        <v>0</v>
      </c>
      <c r="J294" s="471" t="str">
        <f t="shared" si="33"/>
        <v>eduprm</v>
      </c>
      <c r="K294" s="471" t="str">
        <f t="shared" si="34"/>
        <v>empl</v>
      </c>
      <c r="L294" s="599"/>
      <c r="M294" s="471" t="s">
        <v>4896</v>
      </c>
      <c r="N294" s="471" t="s">
        <v>724</v>
      </c>
      <c r="O294" s="471" t="s">
        <v>722</v>
      </c>
    </row>
    <row r="295" spans="1:15" x14ac:dyDescent="0.25">
      <c r="A295" s="471" t="s">
        <v>4899</v>
      </c>
      <c r="B295" s="1139">
        <f t="shared" ca="1" si="35"/>
        <v>0</v>
      </c>
      <c r="C295" s="473">
        <f ca="1">IF(ISERROR(VLOOKUP($A$346,INDIRECT("notes_"&amp;LEFT($A$346,3)),4,0)),0,VLOOKUP($A$346,INDIRECT("notes_"&amp;LEFT($A$346,3)),4,0))</f>
        <v>0</v>
      </c>
      <c r="H295" s="471">
        <v>2</v>
      </c>
      <c r="I295" s="471">
        <v>0</v>
      </c>
      <c r="J295" s="471" t="str">
        <f t="shared" si="33"/>
        <v>eduscn</v>
      </c>
      <c r="K295" s="471" t="str">
        <f t="shared" si="34"/>
        <v>empl</v>
      </c>
      <c r="L295" s="599"/>
      <c r="M295" s="471" t="s">
        <v>4896</v>
      </c>
      <c r="N295" s="471" t="s">
        <v>724</v>
      </c>
      <c r="O295" s="471" t="s">
        <v>722</v>
      </c>
    </row>
    <row r="296" spans="1:15" x14ac:dyDescent="0.25">
      <c r="A296" s="471" t="s">
        <v>4900</v>
      </c>
      <c r="B296" s="1139">
        <f t="shared" ca="1" si="35"/>
        <v>0</v>
      </c>
      <c r="C296" s="473">
        <f ca="1">IF(ISERROR(VLOOKUP($A$347,INDIRECT("notes_"&amp;LEFT($A$347,3)),4,0)),0,VLOOKUP($A$347,INDIRECT("notes_"&amp;LEFT($A$347,3)),4,0))</f>
        <v>0</v>
      </c>
      <c r="H296" s="471">
        <v>2</v>
      </c>
      <c r="I296" s="471">
        <v>0</v>
      </c>
      <c r="J296" s="471" t="str">
        <f t="shared" si="33"/>
        <v>eduspc</v>
      </c>
      <c r="K296" s="471" t="str">
        <f t="shared" si="34"/>
        <v>empl</v>
      </c>
      <c r="L296" s="599"/>
      <c r="M296" s="471" t="s">
        <v>4896</v>
      </c>
      <c r="N296" s="471" t="s">
        <v>724</v>
      </c>
      <c r="O296" s="471" t="s">
        <v>722</v>
      </c>
    </row>
    <row r="297" spans="1:15" x14ac:dyDescent="0.25">
      <c r="A297" s="471" t="s">
        <v>4901</v>
      </c>
      <c r="B297" s="1139">
        <f t="shared" ca="1" si="35"/>
        <v>0</v>
      </c>
      <c r="C297" s="473">
        <f ca="1">IF(ISERROR(VLOOKUP($A$348,INDIRECT("notes_"&amp;LEFT($A$348,3)),4,0)),0,VLOOKUP($A$348,INDIRECT("notes_"&amp;LEFT($A$348,3)),4,0))</f>
        <v>0</v>
      </c>
      <c r="H297" s="471">
        <v>2</v>
      </c>
      <c r="I297" s="471">
        <v>0</v>
      </c>
      <c r="J297" s="471" t="str">
        <f t="shared" si="33"/>
        <v>edupst</v>
      </c>
      <c r="K297" s="471" t="str">
        <f t="shared" si="34"/>
        <v>empl</v>
      </c>
      <c r="L297" s="599"/>
      <c r="M297" s="471" t="s">
        <v>4896</v>
      </c>
      <c r="N297" s="471" t="s">
        <v>724</v>
      </c>
      <c r="O297" s="471" t="s">
        <v>722</v>
      </c>
    </row>
    <row r="298" spans="1:15" x14ac:dyDescent="0.25">
      <c r="A298" s="471" t="s">
        <v>4902</v>
      </c>
      <c r="B298" s="1139">
        <f t="shared" ca="1" si="35"/>
        <v>0</v>
      </c>
      <c r="C298" s="473">
        <f ca="1">IF(ISERROR(VLOOKUP($A$349,INDIRECT("notes_"&amp;LEFT($A$349,3)),4,0)),0,VLOOKUP($A$349,INDIRECT("notes_"&amp;LEFT($A$349,3)),4,0))</f>
        <v>0</v>
      </c>
      <c r="H298" s="471">
        <v>2</v>
      </c>
      <c r="I298" s="471">
        <v>0</v>
      </c>
      <c r="J298" s="471" t="str">
        <f t="shared" si="33"/>
        <v>eduoth</v>
      </c>
      <c r="K298" s="471" t="str">
        <f t="shared" si="34"/>
        <v>empl</v>
      </c>
      <c r="L298" s="599"/>
      <c r="M298" s="471" t="s">
        <v>4896</v>
      </c>
      <c r="N298" s="471" t="s">
        <v>724</v>
      </c>
      <c r="O298" s="471" t="s">
        <v>722</v>
      </c>
    </row>
    <row r="299" spans="1:15" x14ac:dyDescent="0.25">
      <c r="A299" s="471" t="s">
        <v>4903</v>
      </c>
      <c r="B299" s="1139">
        <f t="shared" ca="1" si="35"/>
        <v>0</v>
      </c>
      <c r="C299" s="473">
        <f ca="1">IF(ISERROR(VLOOKUP($A$350,INDIRECT("notes_"&amp;LEFT($A$350,3)),4,0)),0,VLOOKUP($A$350,INDIRECT("notes_"&amp;LEFT($A$350,3)),4,0))</f>
        <v>0</v>
      </c>
      <c r="H299" s="471">
        <v>2</v>
      </c>
      <c r="I299" s="471">
        <v>0</v>
      </c>
      <c r="J299" s="471" t="str">
        <f t="shared" si="33"/>
        <v>edutot</v>
      </c>
      <c r="K299" s="471" t="str">
        <f t="shared" si="34"/>
        <v>empl</v>
      </c>
      <c r="L299" s="599"/>
      <c r="M299" s="471" t="s">
        <v>4896</v>
      </c>
      <c r="N299" s="471" t="s">
        <v>724</v>
      </c>
      <c r="O299" s="471" t="s">
        <v>722</v>
      </c>
    </row>
    <row r="300" spans="1:15" x14ac:dyDescent="0.25">
      <c r="A300" s="471" t="s">
        <v>4904</v>
      </c>
      <c r="B300" s="1139">
        <f t="shared" ca="1" si="35"/>
        <v>0</v>
      </c>
      <c r="C300" s="473">
        <f ca="1">IF(ISERROR(VLOOKUP($A$344,INDIRECT("notes_"&amp;LEFT($A$344,3)),4,0)),0,VLOOKUP($A$344,INDIRECT("notes_"&amp;LEFT($A$344,3)),4,0))</f>
        <v>0</v>
      </c>
      <c r="H300" s="471">
        <v>2</v>
      </c>
      <c r="I300" s="471">
        <v>0</v>
      </c>
      <c r="J300" s="471" t="str">
        <f t="shared" si="33"/>
        <v>eduerl</v>
      </c>
      <c r="K300" s="471" t="str">
        <f t="shared" si="34"/>
        <v>run-exp</v>
      </c>
      <c r="L300" s="599"/>
      <c r="M300" s="471" t="s">
        <v>4896</v>
      </c>
      <c r="N300" s="471" t="s">
        <v>724</v>
      </c>
      <c r="O300" s="471" t="s">
        <v>722</v>
      </c>
    </row>
    <row r="301" spans="1:15" x14ac:dyDescent="0.25">
      <c r="A301" s="471" t="s">
        <v>4905</v>
      </c>
      <c r="B301" s="1139">
        <f t="shared" ca="1" si="35"/>
        <v>0</v>
      </c>
      <c r="C301" s="473">
        <f ca="1">IF(ISERROR(VLOOKUP($A$345,INDIRECT("notes_"&amp;LEFT($A$345,3)),4,0)),0,VLOOKUP($A$345,INDIRECT("notes_"&amp;LEFT($A$345,3)),4,0))</f>
        <v>0</v>
      </c>
      <c r="H301" s="471">
        <v>2</v>
      </c>
      <c r="I301" s="471">
        <v>0</v>
      </c>
      <c r="J301" s="471" t="str">
        <f t="shared" si="33"/>
        <v>eduprm</v>
      </c>
      <c r="K301" s="471" t="str">
        <f t="shared" si="34"/>
        <v>run-exp</v>
      </c>
      <c r="L301" s="599"/>
      <c r="M301" s="471" t="s">
        <v>4896</v>
      </c>
      <c r="N301" s="471" t="s">
        <v>724</v>
      </c>
      <c r="O301" s="471" t="s">
        <v>722</v>
      </c>
    </row>
    <row r="302" spans="1:15" x14ac:dyDescent="0.25">
      <c r="A302" s="471" t="s">
        <v>4906</v>
      </c>
      <c r="B302" s="1139">
        <f t="shared" ca="1" si="35"/>
        <v>0</v>
      </c>
      <c r="C302" s="473">
        <f ca="1">IF(ISERROR(VLOOKUP($A$346,INDIRECT("notes_"&amp;LEFT($A$346,3)),4,0)),0,VLOOKUP($A$346,INDIRECT("notes_"&amp;LEFT($A$346,3)),4,0))</f>
        <v>0</v>
      </c>
      <c r="H302" s="471">
        <v>2</v>
      </c>
      <c r="I302" s="471">
        <v>0</v>
      </c>
      <c r="J302" s="471" t="str">
        <f t="shared" si="33"/>
        <v>eduscn</v>
      </c>
      <c r="K302" s="471" t="str">
        <f t="shared" si="34"/>
        <v>run-exp</v>
      </c>
      <c r="L302" s="599"/>
      <c r="M302" s="471" t="s">
        <v>4896</v>
      </c>
      <c r="N302" s="471" t="s">
        <v>724</v>
      </c>
      <c r="O302" s="471" t="s">
        <v>722</v>
      </c>
    </row>
    <row r="303" spans="1:15" x14ac:dyDescent="0.25">
      <c r="A303" s="471" t="s">
        <v>4907</v>
      </c>
      <c r="B303" s="1139">
        <f t="shared" ca="1" si="35"/>
        <v>0</v>
      </c>
      <c r="C303" s="473">
        <f ca="1">IF(ISERROR(VLOOKUP($A$347,INDIRECT("notes_"&amp;LEFT($A$347,3)),4,0)),0,VLOOKUP($A$347,INDIRECT("notes_"&amp;LEFT($A$347,3)),4,0))</f>
        <v>0</v>
      </c>
      <c r="H303" s="471">
        <v>2</v>
      </c>
      <c r="I303" s="471">
        <v>0</v>
      </c>
      <c r="J303" s="471" t="str">
        <f t="shared" si="33"/>
        <v>eduspc</v>
      </c>
      <c r="K303" s="471" t="str">
        <f t="shared" si="34"/>
        <v>run-exp</v>
      </c>
      <c r="L303" s="599"/>
      <c r="M303" s="471" t="s">
        <v>4896</v>
      </c>
      <c r="N303" s="471" t="s">
        <v>724</v>
      </c>
      <c r="O303" s="471" t="s">
        <v>722</v>
      </c>
    </row>
    <row r="304" spans="1:15" x14ac:dyDescent="0.25">
      <c r="A304" s="471" t="s">
        <v>4908</v>
      </c>
      <c r="B304" s="1139">
        <f t="shared" ca="1" si="35"/>
        <v>0</v>
      </c>
      <c r="C304" s="473">
        <f ca="1">IF(ISERROR(VLOOKUP($A$348,INDIRECT("notes_"&amp;LEFT($A$348,3)),4,0)),0,VLOOKUP($A$348,INDIRECT("notes_"&amp;LEFT($A$348,3)),4,0))</f>
        <v>0</v>
      </c>
      <c r="H304" s="471">
        <v>2</v>
      </c>
      <c r="I304" s="471">
        <v>0</v>
      </c>
      <c r="J304" s="471" t="str">
        <f t="shared" ref="J304:J308" si="36">MID($A304,SEARCH("-",$A304)+1,SEARCH("#",SUBSTITUTE($A304,"-","#",H304),1)-(SEARCH("-",$A304)+1))</f>
        <v>edupst</v>
      </c>
      <c r="K304" s="471" t="str">
        <f t="shared" ref="K304:K308" si="37">RIGHT($A304,LEN($A304)-SEARCH("#",SUBSTITUTE($A304,"-","#",H304),1))</f>
        <v>run-exp</v>
      </c>
      <c r="L304" s="599"/>
      <c r="M304" s="471" t="s">
        <v>4896</v>
      </c>
      <c r="N304" s="471" t="s">
        <v>724</v>
      </c>
      <c r="O304" s="471" t="s">
        <v>722</v>
      </c>
    </row>
    <row r="305" spans="1:15" x14ac:dyDescent="0.25">
      <c r="A305" s="471" t="s">
        <v>4909</v>
      </c>
      <c r="B305" s="1139">
        <f t="shared" ca="1" si="35"/>
        <v>0</v>
      </c>
      <c r="C305" s="473">
        <f ca="1">IF(ISERROR(VLOOKUP($A$349,INDIRECT("notes_"&amp;LEFT($A$349,3)),4,0)),0,VLOOKUP($A$349,INDIRECT("notes_"&amp;LEFT($A$349,3)),4,0))</f>
        <v>0</v>
      </c>
      <c r="H305" s="471">
        <v>2</v>
      </c>
      <c r="I305" s="471">
        <v>0</v>
      </c>
      <c r="J305" s="471" t="str">
        <f t="shared" si="36"/>
        <v>eduoth</v>
      </c>
      <c r="K305" s="471" t="str">
        <f t="shared" si="37"/>
        <v>run-exp</v>
      </c>
      <c r="L305" s="599"/>
      <c r="M305" s="471" t="s">
        <v>4896</v>
      </c>
      <c r="N305" s="471" t="s">
        <v>724</v>
      </c>
      <c r="O305" s="471" t="s">
        <v>722</v>
      </c>
    </row>
    <row r="306" spans="1:15" x14ac:dyDescent="0.25">
      <c r="A306" s="471" t="s">
        <v>4910</v>
      </c>
      <c r="B306" s="1139">
        <f t="shared" ca="1" si="35"/>
        <v>0</v>
      </c>
      <c r="C306" s="473">
        <f ca="1">IF(ISERROR(VLOOKUP($A$350,INDIRECT("notes_"&amp;LEFT($A$350,3)),4,0)),0,VLOOKUP($A$350,INDIRECT("notes_"&amp;LEFT($A$350,3)),4,0))</f>
        <v>0</v>
      </c>
      <c r="H306" s="471">
        <v>2</v>
      </c>
      <c r="I306" s="471">
        <v>0</v>
      </c>
      <c r="J306" s="471" t="str">
        <f t="shared" si="36"/>
        <v>edutot</v>
      </c>
      <c r="K306" s="471" t="str">
        <f t="shared" si="37"/>
        <v>run-exp</v>
      </c>
      <c r="L306" s="599"/>
      <c r="M306" s="471" t="s">
        <v>4896</v>
      </c>
      <c r="N306" s="471" t="s">
        <v>724</v>
      </c>
      <c r="O306" s="471" t="s">
        <v>722</v>
      </c>
    </row>
    <row r="307" spans="1:15" x14ac:dyDescent="0.25">
      <c r="A307" s="471" t="s">
        <v>2008</v>
      </c>
      <c r="B307" s="1139">
        <f t="shared" ca="1" si="35"/>
        <v>0</v>
      </c>
      <c r="C307" s="473">
        <f ca="1">IF(ISERROR(VLOOKUP($A$307,INDIRECT("notes_"&amp;LEFT($A$307,3)),4,0)),0,VLOOKUP($A$307,INDIRECT("notes_"&amp;LEFT($A$307,3)),4,0))</f>
        <v>0</v>
      </c>
      <c r="H307" s="471">
        <v>2</v>
      </c>
      <c r="I307" s="471">
        <v>0</v>
      </c>
      <c r="J307" s="471" t="str">
        <f t="shared" si="36"/>
        <v>edusvmem</v>
      </c>
      <c r="K307" s="471" t="str">
        <f t="shared" si="37"/>
        <v>run-exp</v>
      </c>
      <c r="L307" s="599"/>
      <c r="M307" s="471" t="s">
        <v>4896</v>
      </c>
      <c r="N307" s="471" t="s">
        <v>724</v>
      </c>
      <c r="O307" s="471" t="s">
        <v>722</v>
      </c>
    </row>
    <row r="308" spans="1:15" x14ac:dyDescent="0.25">
      <c r="A308" s="471" t="s">
        <v>4911</v>
      </c>
      <c r="B308" s="1139">
        <f t="shared" ca="1" si="35"/>
        <v>0</v>
      </c>
      <c r="C308" s="473">
        <f ca="1">IF(ISERROR(VLOOKUP($A$344,INDIRECT("notes_"&amp;LEFT($A$344,3)),4,0)),0,VLOOKUP($A$344,INDIRECT("notes_"&amp;LEFT($A$344,3)),4,0))</f>
        <v>0</v>
      </c>
      <c r="H308" s="471">
        <v>2</v>
      </c>
      <c r="I308" s="471">
        <v>0</v>
      </c>
      <c r="J308" s="471" t="str">
        <f t="shared" si="36"/>
        <v>eduerl</v>
      </c>
      <c r="K308" s="471" t="str">
        <f t="shared" si="37"/>
        <v>tot-exp</v>
      </c>
      <c r="L308" s="599"/>
      <c r="M308" s="471" t="s">
        <v>4896</v>
      </c>
      <c r="N308" s="471" t="s">
        <v>724</v>
      </c>
      <c r="O308" s="471" t="s">
        <v>722</v>
      </c>
    </row>
    <row r="309" spans="1:15" x14ac:dyDescent="0.25">
      <c r="A309" s="471" t="s">
        <v>4912</v>
      </c>
      <c r="B309" s="1139">
        <f t="shared" ca="1" si="35"/>
        <v>0</v>
      </c>
      <c r="C309" s="473">
        <f ca="1">IF(ISERROR(VLOOKUP($A$345,INDIRECT("notes_"&amp;LEFT($A$345,3)),4,0)),0,VLOOKUP($A$345,INDIRECT("notes_"&amp;LEFT($A$345,3)),4,0))</f>
        <v>0</v>
      </c>
      <c r="H309" s="471">
        <v>2</v>
      </c>
      <c r="I309" s="471">
        <v>0</v>
      </c>
      <c r="J309" s="471" t="str">
        <f t="shared" ref="J309:J313" si="38">MID($A309,SEARCH("-",$A309)+1,SEARCH("#",SUBSTITUTE($A309,"-","#",H309),1)-(SEARCH("-",$A309)+1))</f>
        <v>eduprm</v>
      </c>
      <c r="K309" s="471" t="str">
        <f t="shared" ref="K309:K313" si="39">RIGHT($A309,LEN($A309)-SEARCH("#",SUBSTITUTE($A309,"-","#",H309),1))</f>
        <v>tot-exp</v>
      </c>
      <c r="L309" s="599"/>
      <c r="M309" s="471" t="s">
        <v>4896</v>
      </c>
      <c r="N309" s="471" t="s">
        <v>724</v>
      </c>
      <c r="O309" s="471" t="s">
        <v>722</v>
      </c>
    </row>
    <row r="310" spans="1:15" x14ac:dyDescent="0.25">
      <c r="A310" s="471" t="s">
        <v>4913</v>
      </c>
      <c r="B310" s="1139">
        <f t="shared" ca="1" si="35"/>
        <v>0</v>
      </c>
      <c r="C310" s="473">
        <f ca="1">IF(ISERROR(VLOOKUP($A$346,INDIRECT("notes_"&amp;LEFT($A$346,3)),4,0)),0,VLOOKUP($A$346,INDIRECT("notes_"&amp;LEFT($A$346,3)),4,0))</f>
        <v>0</v>
      </c>
      <c r="H310" s="471">
        <v>2</v>
      </c>
      <c r="I310" s="471">
        <v>0</v>
      </c>
      <c r="J310" s="471" t="str">
        <f t="shared" si="38"/>
        <v>eduscn</v>
      </c>
      <c r="K310" s="471" t="str">
        <f t="shared" si="39"/>
        <v>tot-exp</v>
      </c>
      <c r="L310" s="599"/>
      <c r="M310" s="471" t="s">
        <v>4896</v>
      </c>
      <c r="N310" s="471" t="s">
        <v>724</v>
      </c>
      <c r="O310" s="471" t="s">
        <v>722</v>
      </c>
    </row>
    <row r="311" spans="1:15" x14ac:dyDescent="0.25">
      <c r="A311" s="471" t="s">
        <v>4914</v>
      </c>
      <c r="B311" s="1139">
        <f t="shared" ca="1" si="35"/>
        <v>0</v>
      </c>
      <c r="C311" s="473">
        <f ca="1">IF(ISERROR(VLOOKUP($A$347,INDIRECT("notes_"&amp;LEFT($A$347,3)),4,0)),0,VLOOKUP($A$347,INDIRECT("notes_"&amp;LEFT($A$347,3)),4,0))</f>
        <v>0</v>
      </c>
      <c r="H311" s="471">
        <v>2</v>
      </c>
      <c r="I311" s="471">
        <v>0</v>
      </c>
      <c r="J311" s="471" t="str">
        <f t="shared" si="38"/>
        <v>eduspc</v>
      </c>
      <c r="K311" s="471" t="str">
        <f t="shared" si="39"/>
        <v>tot-exp</v>
      </c>
      <c r="L311" s="599"/>
      <c r="M311" s="471" t="s">
        <v>4896</v>
      </c>
      <c r="N311" s="471" t="s">
        <v>724</v>
      </c>
      <c r="O311" s="471" t="s">
        <v>722</v>
      </c>
    </row>
    <row r="312" spans="1:15" x14ac:dyDescent="0.25">
      <c r="A312" s="471" t="s">
        <v>4915</v>
      </c>
      <c r="B312" s="1139">
        <f t="shared" ca="1" si="35"/>
        <v>0</v>
      </c>
      <c r="C312" s="473">
        <f ca="1">IF(ISERROR(VLOOKUP($A$348,INDIRECT("notes_"&amp;LEFT($A$348,3)),4,0)),0,VLOOKUP($A$348,INDIRECT("notes_"&amp;LEFT($A$348,3)),4,0))</f>
        <v>0</v>
      </c>
      <c r="H312" s="471">
        <v>2</v>
      </c>
      <c r="I312" s="471">
        <v>0</v>
      </c>
      <c r="J312" s="471" t="str">
        <f t="shared" si="38"/>
        <v>edupst</v>
      </c>
      <c r="K312" s="471" t="str">
        <f t="shared" si="39"/>
        <v>tot-exp</v>
      </c>
      <c r="L312" s="599"/>
      <c r="M312" s="471" t="s">
        <v>4896</v>
      </c>
      <c r="N312" s="471" t="s">
        <v>724</v>
      </c>
      <c r="O312" s="471" t="s">
        <v>722</v>
      </c>
    </row>
    <row r="313" spans="1:15" x14ac:dyDescent="0.25">
      <c r="A313" s="471" t="s">
        <v>4916</v>
      </c>
      <c r="B313" s="1139">
        <f t="shared" ca="1" si="35"/>
        <v>0</v>
      </c>
      <c r="C313" s="473">
        <f ca="1">IF(ISERROR(VLOOKUP($A$349,INDIRECT("notes_"&amp;LEFT($A$349,3)),4,0)),0,VLOOKUP($A$349,INDIRECT("notes_"&amp;LEFT($A$349,3)),4,0))</f>
        <v>0</v>
      </c>
      <c r="H313" s="471">
        <v>2</v>
      </c>
      <c r="I313" s="471">
        <v>0</v>
      </c>
      <c r="J313" s="471" t="str">
        <f t="shared" si="38"/>
        <v>eduoth</v>
      </c>
      <c r="K313" s="471" t="str">
        <f t="shared" si="39"/>
        <v>tot-exp</v>
      </c>
      <c r="L313" s="599"/>
      <c r="M313" s="471" t="s">
        <v>4896</v>
      </c>
      <c r="N313" s="471" t="s">
        <v>724</v>
      </c>
      <c r="O313" s="471" t="s">
        <v>722</v>
      </c>
    </row>
    <row r="314" spans="1:15" x14ac:dyDescent="0.25">
      <c r="A314" s="471" t="s">
        <v>4917</v>
      </c>
      <c r="B314" s="1139">
        <f t="shared" ca="1" si="35"/>
        <v>0</v>
      </c>
      <c r="C314" s="473">
        <f ca="1">IF(ISERROR(VLOOKUP($A$350,INDIRECT("notes_"&amp;LEFT($A$350,3)),4,0)),0,VLOOKUP($A$350,INDIRECT("notes_"&amp;LEFT($A$350,3)),4,0))</f>
        <v>0</v>
      </c>
      <c r="H314" s="471">
        <v>2</v>
      </c>
      <c r="I314" s="471">
        <v>0</v>
      </c>
      <c r="J314" s="471" t="str">
        <f t="shared" ref="J314:J350" si="40">MID($A314,SEARCH("-",$A314)+1,SEARCH("#",SUBSTITUTE($A314,"-","#",H314),1)-(SEARCH("-",$A314)+1))</f>
        <v>edutot</v>
      </c>
      <c r="K314" s="471" t="str">
        <f t="shared" ref="K314:K350" si="41">RIGHT($A314,LEN($A314)-SEARCH("#",SUBSTITUTE($A314,"-","#",H314),1))</f>
        <v>tot-exp</v>
      </c>
      <c r="L314" s="599"/>
      <c r="M314" s="471" t="s">
        <v>4896</v>
      </c>
      <c r="N314" s="471" t="s">
        <v>724</v>
      </c>
      <c r="O314" s="471" t="s">
        <v>722</v>
      </c>
    </row>
    <row r="315" spans="1:15" x14ac:dyDescent="0.25">
      <c r="A315" s="1205" t="s">
        <v>4918</v>
      </c>
      <c r="B315" s="1202">
        <f t="shared" ca="1" si="35"/>
        <v>0</v>
      </c>
      <c r="C315" s="1203">
        <f ca="1">IF(ISERROR(VLOOKUP($A$344,INDIRECT("notes_"&amp;LEFT($A$344,3)),4,0)),0,VLOOKUP($A$344,INDIRECT("notes_"&amp;LEFT($A$344,3)),4,0))</f>
        <v>0</v>
      </c>
      <c r="H315" s="1201">
        <v>2</v>
      </c>
      <c r="I315" s="1201">
        <v>0</v>
      </c>
      <c r="J315" s="1201" t="str">
        <f t="shared" si="40"/>
        <v>eduerl</v>
      </c>
      <c r="K315" s="1201" t="str">
        <f t="shared" si="41"/>
        <v>mss</v>
      </c>
      <c r="L315" s="1204"/>
      <c r="M315" s="1201" t="s">
        <v>4896</v>
      </c>
      <c r="N315" s="1201" t="s">
        <v>724</v>
      </c>
      <c r="O315" s="1201" t="s">
        <v>722</v>
      </c>
    </row>
    <row r="316" spans="1:15" x14ac:dyDescent="0.25">
      <c r="A316" s="1205" t="s">
        <v>4919</v>
      </c>
      <c r="B316" s="1202">
        <f t="shared" ca="1" si="35"/>
        <v>0</v>
      </c>
      <c r="C316" s="1203">
        <f ca="1">IF(ISERROR(VLOOKUP($A$345,INDIRECT("notes_"&amp;LEFT($A$345,3)),4,0)),0,VLOOKUP($A$345,INDIRECT("notes_"&amp;LEFT($A$345,3)),4,0))</f>
        <v>0</v>
      </c>
      <c r="H316" s="1201">
        <v>2</v>
      </c>
      <c r="I316" s="1201">
        <v>0</v>
      </c>
      <c r="J316" s="1201" t="str">
        <f t="shared" si="40"/>
        <v>eduprm</v>
      </c>
      <c r="K316" s="1201" t="str">
        <f t="shared" si="41"/>
        <v>mss</v>
      </c>
      <c r="L316" s="1204"/>
      <c r="M316" s="1201" t="s">
        <v>4896</v>
      </c>
      <c r="N316" s="1201" t="s">
        <v>724</v>
      </c>
      <c r="O316" s="1201" t="s">
        <v>722</v>
      </c>
    </row>
    <row r="317" spans="1:15" x14ac:dyDescent="0.25">
      <c r="A317" s="1205" t="s">
        <v>4920</v>
      </c>
      <c r="B317" s="1202">
        <f t="shared" ca="1" si="35"/>
        <v>0</v>
      </c>
      <c r="C317" s="1203">
        <f ca="1">IF(ISERROR(VLOOKUP($A$346,INDIRECT("notes_"&amp;LEFT($A$346,3)),4,0)),0,VLOOKUP($A$346,INDIRECT("notes_"&amp;LEFT($A$346,3)),4,0))</f>
        <v>0</v>
      </c>
      <c r="H317" s="1201">
        <v>2</v>
      </c>
      <c r="I317" s="1201">
        <v>0</v>
      </c>
      <c r="J317" s="1201" t="str">
        <f t="shared" si="40"/>
        <v>eduscn</v>
      </c>
      <c r="K317" s="1201" t="str">
        <f t="shared" si="41"/>
        <v>mss</v>
      </c>
      <c r="L317" s="1204"/>
      <c r="M317" s="1201" t="s">
        <v>4896</v>
      </c>
      <c r="N317" s="1201" t="s">
        <v>724</v>
      </c>
      <c r="O317" s="1201" t="s">
        <v>722</v>
      </c>
    </row>
    <row r="318" spans="1:15" x14ac:dyDescent="0.25">
      <c r="A318" s="1205" t="s">
        <v>4921</v>
      </c>
      <c r="B318" s="1202">
        <f t="shared" ca="1" si="35"/>
        <v>0</v>
      </c>
      <c r="C318" s="1203">
        <f ca="1">IF(ISERROR(VLOOKUP($A$347,INDIRECT("notes_"&amp;LEFT($A$347,3)),4,0)),0,VLOOKUP($A$347,INDIRECT("notes_"&amp;LEFT($A$347,3)),4,0))</f>
        <v>0</v>
      </c>
      <c r="H318" s="1201">
        <v>2</v>
      </c>
      <c r="I318" s="1201">
        <v>0</v>
      </c>
      <c r="J318" s="1201" t="str">
        <f t="shared" si="40"/>
        <v>eduspc</v>
      </c>
      <c r="K318" s="1201" t="str">
        <f t="shared" si="41"/>
        <v>mss</v>
      </c>
      <c r="L318" s="1204"/>
      <c r="M318" s="1201" t="s">
        <v>4896</v>
      </c>
      <c r="N318" s="1201" t="s">
        <v>724</v>
      </c>
      <c r="O318" s="1201" t="s">
        <v>722</v>
      </c>
    </row>
    <row r="319" spans="1:15" x14ac:dyDescent="0.25">
      <c r="A319" s="1205" t="s">
        <v>4922</v>
      </c>
      <c r="B319" s="1202">
        <f t="shared" ca="1" si="35"/>
        <v>0</v>
      </c>
      <c r="C319" s="1203">
        <f ca="1">IF(ISERROR(VLOOKUP($A$348,INDIRECT("notes_"&amp;LEFT($A$348,3)),4,0)),0,VLOOKUP($A$348,INDIRECT("notes_"&amp;LEFT($A$348,3)),4,0))</f>
        <v>0</v>
      </c>
      <c r="H319" s="1201">
        <v>2</v>
      </c>
      <c r="I319" s="1201">
        <v>0</v>
      </c>
      <c r="J319" s="1201" t="str">
        <f t="shared" si="40"/>
        <v>edupst</v>
      </c>
      <c r="K319" s="1201" t="str">
        <f t="shared" si="41"/>
        <v>mss</v>
      </c>
      <c r="L319" s="1204"/>
      <c r="M319" s="1201" t="s">
        <v>4896</v>
      </c>
      <c r="N319" s="1201" t="s">
        <v>724</v>
      </c>
      <c r="O319" s="1201" t="s">
        <v>722</v>
      </c>
    </row>
    <row r="320" spans="1:15" x14ac:dyDescent="0.25">
      <c r="A320" s="1205" t="s">
        <v>4923</v>
      </c>
      <c r="B320" s="1202">
        <f t="shared" ca="1" si="35"/>
        <v>0</v>
      </c>
      <c r="C320" s="1203">
        <f ca="1">IF(ISERROR(VLOOKUP($A$349,INDIRECT("notes_"&amp;LEFT($A$349,3)),4,0)),0,VLOOKUP($A$349,INDIRECT("notes_"&amp;LEFT($A$349,3)),4,0))</f>
        <v>0</v>
      </c>
      <c r="H320" s="1201">
        <v>2</v>
      </c>
      <c r="I320" s="1201">
        <v>0</v>
      </c>
      <c r="J320" s="1201" t="str">
        <f t="shared" si="40"/>
        <v>eduoth</v>
      </c>
      <c r="K320" s="1201" t="str">
        <f t="shared" si="41"/>
        <v>mss</v>
      </c>
      <c r="L320" s="1204"/>
      <c r="M320" s="1201" t="s">
        <v>4896</v>
      </c>
      <c r="N320" s="1201" t="s">
        <v>724</v>
      </c>
      <c r="O320" s="1201" t="s">
        <v>722</v>
      </c>
    </row>
    <row r="321" spans="1:15" x14ac:dyDescent="0.25">
      <c r="A321" s="1205" t="s">
        <v>4924</v>
      </c>
      <c r="B321" s="1202">
        <f t="shared" ca="1" si="35"/>
        <v>0</v>
      </c>
      <c r="C321" s="1203">
        <f ca="1">IF(ISERROR(VLOOKUP($A$350,INDIRECT("notes_"&amp;LEFT($A$350,3)),4,0)),0,VLOOKUP($A$350,INDIRECT("notes_"&amp;LEFT($A$350,3)),4,0))</f>
        <v>0</v>
      </c>
      <c r="H321" s="1201">
        <v>2</v>
      </c>
      <c r="I321" s="1201">
        <v>0</v>
      </c>
      <c r="J321" s="1201" t="str">
        <f t="shared" si="40"/>
        <v>edutot</v>
      </c>
      <c r="K321" s="1201" t="str">
        <f t="shared" si="41"/>
        <v>mss</v>
      </c>
      <c r="L321" s="1204"/>
      <c r="M321" s="1201" t="s">
        <v>4896</v>
      </c>
      <c r="N321" s="1201" t="s">
        <v>724</v>
      </c>
      <c r="O321" s="1201" t="s">
        <v>722</v>
      </c>
    </row>
    <row r="322" spans="1:15" x14ac:dyDescent="0.25">
      <c r="A322" s="471" t="s">
        <v>4925</v>
      </c>
      <c r="B322" s="1139">
        <f t="shared" ca="1" si="35"/>
        <v>0</v>
      </c>
      <c r="C322" s="473">
        <f ca="1">IF(ISERROR(VLOOKUP($A$344,INDIRECT("notes_"&amp;LEFT($A$344,3)),4,0)),0,VLOOKUP($A$344,INDIRECT("notes_"&amp;LEFT($A$344,3)),4,0))</f>
        <v>0</v>
      </c>
      <c r="H322" s="471">
        <v>2</v>
      </c>
      <c r="I322" s="471">
        <v>0</v>
      </c>
      <c r="J322" s="471" t="str">
        <f t="shared" si="40"/>
        <v>eduerl</v>
      </c>
      <c r="K322" s="471" t="str">
        <f t="shared" si="41"/>
        <v>sfc</v>
      </c>
      <c r="L322" s="599"/>
      <c r="M322" s="471" t="s">
        <v>4896</v>
      </c>
      <c r="N322" s="471" t="s">
        <v>724</v>
      </c>
      <c r="O322" s="471" t="s">
        <v>722</v>
      </c>
    </row>
    <row r="323" spans="1:15" x14ac:dyDescent="0.25">
      <c r="A323" s="471" t="s">
        <v>4926</v>
      </c>
      <c r="B323" s="1139">
        <f t="shared" ca="1" si="35"/>
        <v>0</v>
      </c>
      <c r="C323" s="473">
        <f ca="1">IF(ISERROR(VLOOKUP($A$345,INDIRECT("notes_"&amp;LEFT($A$345,3)),4,0)),0,VLOOKUP($A$345,INDIRECT("notes_"&amp;LEFT($A$345,3)),4,0))</f>
        <v>0</v>
      </c>
      <c r="H323" s="471">
        <v>2</v>
      </c>
      <c r="I323" s="471">
        <v>0</v>
      </c>
      <c r="J323" s="471" t="str">
        <f t="shared" si="40"/>
        <v>eduprm</v>
      </c>
      <c r="K323" s="471" t="str">
        <f t="shared" si="41"/>
        <v>sfc</v>
      </c>
      <c r="L323" s="599"/>
      <c r="M323" s="471" t="s">
        <v>4896</v>
      </c>
      <c r="N323" s="471" t="s">
        <v>724</v>
      </c>
      <c r="O323" s="471" t="s">
        <v>722</v>
      </c>
    </row>
    <row r="324" spans="1:15" x14ac:dyDescent="0.25">
      <c r="A324" s="471" t="s">
        <v>4927</v>
      </c>
      <c r="B324" s="1139">
        <f t="shared" ca="1" si="35"/>
        <v>0</v>
      </c>
      <c r="C324" s="473">
        <f ca="1">IF(ISERROR(VLOOKUP($A$346,INDIRECT("notes_"&amp;LEFT($A$346,3)),4,0)),0,VLOOKUP($A$346,INDIRECT("notes_"&amp;LEFT($A$346,3)),4,0))</f>
        <v>0</v>
      </c>
      <c r="H324" s="471">
        <v>2</v>
      </c>
      <c r="I324" s="471">
        <v>0</v>
      </c>
      <c r="J324" s="471" t="str">
        <f t="shared" si="40"/>
        <v>eduscn</v>
      </c>
      <c r="K324" s="471" t="str">
        <f t="shared" si="41"/>
        <v>sfc</v>
      </c>
      <c r="L324" s="599"/>
      <c r="M324" s="471" t="s">
        <v>4896</v>
      </c>
      <c r="N324" s="471" t="s">
        <v>724</v>
      </c>
      <c r="O324" s="471" t="s">
        <v>722</v>
      </c>
    </row>
    <row r="325" spans="1:15" x14ac:dyDescent="0.25">
      <c r="A325" s="471" t="s">
        <v>4928</v>
      </c>
      <c r="B325" s="1139">
        <f t="shared" ref="B325:B397" ca="1" si="42">INDEX(INDIRECT(LEFT($A325,SEARCH("-",$A325,1)-1)&amp;"_data"),MATCH(MID($A325,SEARCH("-",$A325)+1,SEARCH("#",SUBSTITUTE($A325,"-","#",H325),1)-(SEARCH("-",$A325)+1)),INDIRECT(LEFT($A325,SEARCH("-",$A325,1)-1)&amp;"_rows"),0),MATCH(RIGHT($A325,LEN($A325)-LEN(LEFT($A325,SEARCH("#",SUBSTITUTE($A325,"-","#",H325),1)))),INDIRECT(LEFT($A325,SEARCH("-",$A325,1)-1)&amp;"_Header"),0))</f>
        <v>0</v>
      </c>
      <c r="C325" s="473">
        <f ca="1">IF(ISERROR(VLOOKUP($A$347,INDIRECT("notes_"&amp;LEFT($A$347,3)),4,0)),0,VLOOKUP($A$347,INDIRECT("notes_"&amp;LEFT($A$347,3)),4,0))</f>
        <v>0</v>
      </c>
      <c r="H325" s="471">
        <v>2</v>
      </c>
      <c r="I325" s="471">
        <v>0</v>
      </c>
      <c r="J325" s="471" t="str">
        <f t="shared" si="40"/>
        <v>eduspc</v>
      </c>
      <c r="K325" s="471" t="str">
        <f t="shared" si="41"/>
        <v>sfc</v>
      </c>
      <c r="L325" s="599"/>
      <c r="M325" s="471" t="s">
        <v>4896</v>
      </c>
      <c r="N325" s="471" t="s">
        <v>724</v>
      </c>
      <c r="O325" s="471" t="s">
        <v>722</v>
      </c>
    </row>
    <row r="326" spans="1:15" x14ac:dyDescent="0.25">
      <c r="A326" s="471" t="s">
        <v>4929</v>
      </c>
      <c r="B326" s="1139">
        <f t="shared" ca="1" si="42"/>
        <v>0</v>
      </c>
      <c r="C326" s="473">
        <f ca="1">IF(ISERROR(VLOOKUP($A$348,INDIRECT("notes_"&amp;LEFT($A$348,3)),4,0)),0,VLOOKUP($A$348,INDIRECT("notes_"&amp;LEFT($A$348,3)),4,0))</f>
        <v>0</v>
      </c>
      <c r="H326" s="471">
        <v>2</v>
      </c>
      <c r="I326" s="471">
        <v>0</v>
      </c>
      <c r="J326" s="471" t="str">
        <f t="shared" si="40"/>
        <v>edupst</v>
      </c>
      <c r="K326" s="471" t="str">
        <f t="shared" si="41"/>
        <v>sfc</v>
      </c>
      <c r="L326" s="599"/>
      <c r="M326" s="471" t="s">
        <v>4896</v>
      </c>
      <c r="N326" s="471" t="s">
        <v>724</v>
      </c>
      <c r="O326" s="471" t="s">
        <v>722</v>
      </c>
    </row>
    <row r="327" spans="1:15" x14ac:dyDescent="0.25">
      <c r="A327" s="471" t="s">
        <v>4930</v>
      </c>
      <c r="B327" s="1139">
        <f t="shared" ca="1" si="42"/>
        <v>0</v>
      </c>
      <c r="C327" s="473">
        <f ca="1">IF(ISERROR(VLOOKUP($A$349,INDIRECT("notes_"&amp;LEFT($A$349,3)),4,0)),0,VLOOKUP($A$349,INDIRECT("notes_"&amp;LEFT($A$349,3)),4,0))</f>
        <v>0</v>
      </c>
      <c r="H327" s="471">
        <v>2</v>
      </c>
      <c r="I327" s="471">
        <v>0</v>
      </c>
      <c r="J327" s="471" t="str">
        <f t="shared" si="40"/>
        <v>eduoth</v>
      </c>
      <c r="K327" s="471" t="str">
        <f t="shared" si="41"/>
        <v>sfc</v>
      </c>
      <c r="L327" s="599"/>
      <c r="M327" s="471" t="s">
        <v>4896</v>
      </c>
      <c r="N327" s="471" t="s">
        <v>724</v>
      </c>
      <c r="O327" s="471" t="s">
        <v>722</v>
      </c>
    </row>
    <row r="328" spans="1:15" x14ac:dyDescent="0.25">
      <c r="A328" s="471" t="s">
        <v>4931</v>
      </c>
      <c r="B328" s="1139">
        <f t="shared" ca="1" si="42"/>
        <v>0</v>
      </c>
      <c r="C328" s="473">
        <f ca="1">IF(ISERROR(VLOOKUP($A$350,INDIRECT("notes_"&amp;LEFT($A$350,3)),4,0)),0,VLOOKUP($A$350,INDIRECT("notes_"&amp;LEFT($A$350,3)),4,0))</f>
        <v>0</v>
      </c>
      <c r="H328" s="471">
        <v>2</v>
      </c>
      <c r="I328" s="471">
        <v>0</v>
      </c>
      <c r="J328" s="471" t="str">
        <f t="shared" si="40"/>
        <v>edutot</v>
      </c>
      <c r="K328" s="471" t="str">
        <f t="shared" si="41"/>
        <v>sfc</v>
      </c>
      <c r="L328" s="599"/>
      <c r="M328" s="471" t="s">
        <v>4896</v>
      </c>
      <c r="N328" s="471" t="s">
        <v>724</v>
      </c>
      <c r="O328" s="471" t="s">
        <v>722</v>
      </c>
    </row>
    <row r="329" spans="1:15" x14ac:dyDescent="0.25">
      <c r="A329" s="471" t="s">
        <v>4932</v>
      </c>
      <c r="B329" s="1139">
        <f t="shared" ca="1" si="42"/>
        <v>0</v>
      </c>
      <c r="C329" s="473">
        <f ca="1">IF(ISERROR(VLOOKUP($A$344,INDIRECT("notes_"&amp;LEFT($A$344,3)),4,0)),0,VLOOKUP($A$344,INDIRECT("notes_"&amp;LEFT($A$344,3)),4,0))</f>
        <v>0</v>
      </c>
      <c r="H329" s="471">
        <v>2</v>
      </c>
      <c r="I329" s="471">
        <v>0</v>
      </c>
      <c r="J329" s="471" t="str">
        <f t="shared" si="40"/>
        <v>eduerl</v>
      </c>
      <c r="K329" s="471" t="str">
        <f t="shared" si="41"/>
        <v>oth-inc</v>
      </c>
      <c r="L329" s="599"/>
      <c r="M329" s="471" t="s">
        <v>4896</v>
      </c>
      <c r="N329" s="471" t="s">
        <v>724</v>
      </c>
      <c r="O329" s="471" t="s">
        <v>722</v>
      </c>
    </row>
    <row r="330" spans="1:15" x14ac:dyDescent="0.25">
      <c r="A330" s="471" t="s">
        <v>4933</v>
      </c>
      <c r="B330" s="1139">
        <f t="shared" ca="1" si="42"/>
        <v>0</v>
      </c>
      <c r="C330" s="473">
        <f ca="1">IF(ISERROR(VLOOKUP($A$345,INDIRECT("notes_"&amp;LEFT($A$345,3)),4,0)),0,VLOOKUP($A$345,INDIRECT("notes_"&amp;LEFT($A$345,3)),4,0))</f>
        <v>0</v>
      </c>
      <c r="H330" s="471">
        <v>2</v>
      </c>
      <c r="I330" s="471">
        <v>0</v>
      </c>
      <c r="J330" s="471" t="str">
        <f t="shared" si="40"/>
        <v>eduprm</v>
      </c>
      <c r="K330" s="471" t="str">
        <f t="shared" si="41"/>
        <v>oth-inc</v>
      </c>
      <c r="L330" s="599"/>
      <c r="M330" s="471" t="s">
        <v>4896</v>
      </c>
      <c r="N330" s="471" t="s">
        <v>724</v>
      </c>
      <c r="O330" s="471" t="s">
        <v>722</v>
      </c>
    </row>
    <row r="331" spans="1:15" x14ac:dyDescent="0.25">
      <c r="A331" s="471" t="s">
        <v>4934</v>
      </c>
      <c r="B331" s="1139">
        <f t="shared" ca="1" si="42"/>
        <v>0</v>
      </c>
      <c r="C331" s="473">
        <f ca="1">IF(ISERROR(VLOOKUP($A$346,INDIRECT("notes_"&amp;LEFT($A$346,3)),4,0)),0,VLOOKUP($A$346,INDIRECT("notes_"&amp;LEFT($A$346,3)),4,0))</f>
        <v>0</v>
      </c>
      <c r="H331" s="471">
        <v>2</v>
      </c>
      <c r="I331" s="471">
        <v>0</v>
      </c>
      <c r="J331" s="471" t="str">
        <f t="shared" si="40"/>
        <v>eduscn</v>
      </c>
      <c r="K331" s="471" t="str">
        <f t="shared" si="41"/>
        <v>oth-inc</v>
      </c>
      <c r="L331" s="599"/>
      <c r="M331" s="471" t="s">
        <v>4896</v>
      </c>
      <c r="N331" s="471" t="s">
        <v>724</v>
      </c>
      <c r="O331" s="471" t="s">
        <v>722</v>
      </c>
    </row>
    <row r="332" spans="1:15" x14ac:dyDescent="0.25">
      <c r="A332" s="471" t="s">
        <v>4935</v>
      </c>
      <c r="B332" s="1139">
        <f t="shared" ca="1" si="42"/>
        <v>0</v>
      </c>
      <c r="C332" s="473">
        <f ca="1">IF(ISERROR(VLOOKUP($A$347,INDIRECT("notes_"&amp;LEFT($A$347,3)),4,0)),0,VLOOKUP($A$347,INDIRECT("notes_"&amp;LEFT($A$347,3)),4,0))</f>
        <v>0</v>
      </c>
      <c r="H332" s="471">
        <v>2</v>
      </c>
      <c r="I332" s="471">
        <v>0</v>
      </c>
      <c r="J332" s="471" t="str">
        <f t="shared" si="40"/>
        <v>eduspc</v>
      </c>
      <c r="K332" s="471" t="str">
        <f t="shared" si="41"/>
        <v>oth-inc</v>
      </c>
      <c r="L332" s="599"/>
      <c r="M332" s="471" t="s">
        <v>4896</v>
      </c>
      <c r="N332" s="471" t="s">
        <v>724</v>
      </c>
      <c r="O332" s="471" t="s">
        <v>722</v>
      </c>
    </row>
    <row r="333" spans="1:15" x14ac:dyDescent="0.25">
      <c r="A333" s="471" t="s">
        <v>4936</v>
      </c>
      <c r="B333" s="1139">
        <f t="shared" ca="1" si="42"/>
        <v>0</v>
      </c>
      <c r="C333" s="473">
        <f ca="1">IF(ISERROR(VLOOKUP($A$348,INDIRECT("notes_"&amp;LEFT($A$348,3)),4,0)),0,VLOOKUP($A$348,INDIRECT("notes_"&amp;LEFT($A$348,3)),4,0))</f>
        <v>0</v>
      </c>
      <c r="H333" s="471">
        <v>2</v>
      </c>
      <c r="I333" s="471">
        <v>0</v>
      </c>
      <c r="J333" s="471" t="str">
        <f t="shared" si="40"/>
        <v>edupst</v>
      </c>
      <c r="K333" s="471" t="str">
        <f t="shared" si="41"/>
        <v>oth-inc</v>
      </c>
      <c r="L333" s="599"/>
      <c r="M333" s="471" t="s">
        <v>4896</v>
      </c>
      <c r="N333" s="471" t="s">
        <v>724</v>
      </c>
      <c r="O333" s="471" t="s">
        <v>722</v>
      </c>
    </row>
    <row r="334" spans="1:15" x14ac:dyDescent="0.25">
      <c r="A334" s="471" t="s">
        <v>4937</v>
      </c>
      <c r="B334" s="1139">
        <f t="shared" ca="1" si="42"/>
        <v>0</v>
      </c>
      <c r="C334" s="473">
        <f ca="1">IF(ISERROR(VLOOKUP($A$349,INDIRECT("notes_"&amp;LEFT($A$349,3)),4,0)),0,VLOOKUP($A$349,INDIRECT("notes_"&amp;LEFT($A$349,3)),4,0))</f>
        <v>0</v>
      </c>
      <c r="H334" s="471">
        <v>2</v>
      </c>
      <c r="I334" s="471">
        <v>0</v>
      </c>
      <c r="J334" s="471" t="str">
        <f t="shared" si="40"/>
        <v>eduoth</v>
      </c>
      <c r="K334" s="471" t="str">
        <f t="shared" si="41"/>
        <v>oth-inc</v>
      </c>
      <c r="L334" s="599"/>
      <c r="M334" s="471" t="s">
        <v>4896</v>
      </c>
      <c r="N334" s="471" t="s">
        <v>724</v>
      </c>
      <c r="O334" s="471" t="s">
        <v>722</v>
      </c>
    </row>
    <row r="335" spans="1:15" x14ac:dyDescent="0.25">
      <c r="A335" s="1205" t="s">
        <v>4938</v>
      </c>
      <c r="B335" s="1139">
        <f t="shared" ref="B335" ca="1" si="43">INDEX(INDIRECT(LEFT($A335,SEARCH("-",$A335,1)-1)&amp;"_data"),MATCH(MID($A335,SEARCH("-",$A335)+1,SEARCH("#",SUBSTITUTE($A335,"-","#",H335),1)-(SEARCH("-",$A335)+1)),INDIRECT(LEFT($A335,SEARCH("-",$A335,1)-1)&amp;"_rows"),0),MATCH(RIGHT($A335,LEN($A335)-LEN(LEFT($A335,SEARCH("#",SUBSTITUTE($A335,"-","#",H335),1)))),INDIRECT(LEFT($A335,SEARCH("-",$A335,1)-1)&amp;"_Header"),0))</f>
        <v>0</v>
      </c>
      <c r="C335" s="473">
        <f ca="1">IF(ISERROR(VLOOKUP($A$335,INDIRECT("notes_"&amp;LEFT($A$335,3)),4,0)),0,VLOOKUP($A$335,INDIRECT("notes_"&amp;LEFT($A$335,3)),4,0))</f>
        <v>0</v>
      </c>
      <c r="H335" s="471">
        <v>2</v>
      </c>
      <c r="I335" s="471">
        <v>0</v>
      </c>
      <c r="J335" s="471" t="str">
        <f t="shared" si="40"/>
        <v>edusvmemrec</v>
      </c>
      <c r="K335" s="471" t="str">
        <f t="shared" si="41"/>
        <v>oth-inc</v>
      </c>
      <c r="L335" s="599"/>
      <c r="M335" s="471" t="s">
        <v>4896</v>
      </c>
      <c r="N335" s="471" t="s">
        <v>724</v>
      </c>
      <c r="O335" s="471" t="s">
        <v>722</v>
      </c>
    </row>
    <row r="336" spans="1:15" x14ac:dyDescent="0.25">
      <c r="A336" s="471" t="s">
        <v>4939</v>
      </c>
      <c r="B336" s="1139">
        <f t="shared" ca="1" si="42"/>
        <v>0</v>
      </c>
      <c r="C336" s="473">
        <f ca="1">IF(ISERROR(VLOOKUP($A$350,INDIRECT("notes_"&amp;LEFT($A$350,3)),4,0)),0,VLOOKUP($A$350,INDIRECT("notes_"&amp;LEFT($A$350,3)),4,0))</f>
        <v>0</v>
      </c>
      <c r="H336" s="471">
        <v>2</v>
      </c>
      <c r="I336" s="471">
        <v>0</v>
      </c>
      <c r="J336" s="471" t="str">
        <f t="shared" si="40"/>
        <v>edutot</v>
      </c>
      <c r="K336" s="471" t="str">
        <f t="shared" si="41"/>
        <v>oth-inc</v>
      </c>
      <c r="L336" s="599"/>
      <c r="M336" s="471" t="s">
        <v>4896</v>
      </c>
      <c r="N336" s="471" t="s">
        <v>724</v>
      </c>
      <c r="O336" s="471" t="s">
        <v>722</v>
      </c>
    </row>
    <row r="337" spans="1:15" x14ac:dyDescent="0.25">
      <c r="A337" s="471" t="s">
        <v>4940</v>
      </c>
      <c r="B337" s="1139">
        <f t="shared" ca="1" si="42"/>
        <v>0</v>
      </c>
      <c r="C337" s="473">
        <f ca="1">IF(ISERROR(VLOOKUP($A$344,INDIRECT("notes_"&amp;LEFT($A$344,3)),4,0)),0,VLOOKUP($A$344,INDIRECT("notes_"&amp;LEFT($A$344,3)),4,0))</f>
        <v>0</v>
      </c>
      <c r="H337" s="471">
        <v>2</v>
      </c>
      <c r="I337" s="471">
        <v>0</v>
      </c>
      <c r="J337" s="471" t="str">
        <f t="shared" si="40"/>
        <v>eduerl</v>
      </c>
      <c r="K337" s="471" t="str">
        <f t="shared" si="41"/>
        <v>tot-inc</v>
      </c>
      <c r="L337" s="599"/>
      <c r="M337" s="471" t="s">
        <v>4896</v>
      </c>
      <c r="N337" s="471" t="s">
        <v>724</v>
      </c>
      <c r="O337" s="471" t="s">
        <v>722</v>
      </c>
    </row>
    <row r="338" spans="1:15" x14ac:dyDescent="0.25">
      <c r="A338" s="471" t="s">
        <v>4941</v>
      </c>
      <c r="B338" s="1139">
        <f t="shared" ca="1" si="42"/>
        <v>0</v>
      </c>
      <c r="C338" s="473">
        <f ca="1">IF(ISERROR(VLOOKUP($A$345,INDIRECT("notes_"&amp;LEFT($A$345,3)),4,0)),0,VLOOKUP($A$345,INDIRECT("notes_"&amp;LEFT($A$345,3)),4,0))</f>
        <v>0</v>
      </c>
      <c r="H338" s="471">
        <v>2</v>
      </c>
      <c r="I338" s="471">
        <v>0</v>
      </c>
      <c r="J338" s="471" t="str">
        <f t="shared" si="40"/>
        <v>eduprm</v>
      </c>
      <c r="K338" s="471" t="str">
        <f t="shared" si="41"/>
        <v>tot-inc</v>
      </c>
      <c r="L338" s="599"/>
      <c r="M338" s="471" t="s">
        <v>4896</v>
      </c>
      <c r="N338" s="471" t="s">
        <v>724</v>
      </c>
      <c r="O338" s="471" t="s">
        <v>722</v>
      </c>
    </row>
    <row r="339" spans="1:15" x14ac:dyDescent="0.25">
      <c r="A339" s="471" t="s">
        <v>4942</v>
      </c>
      <c r="B339" s="1139">
        <f t="shared" ca="1" si="42"/>
        <v>0</v>
      </c>
      <c r="C339" s="473">
        <f ca="1">IF(ISERROR(VLOOKUP($A$346,INDIRECT("notes_"&amp;LEFT($A$346,3)),4,0)),0,VLOOKUP($A$346,INDIRECT("notes_"&amp;LEFT($A$346,3)),4,0))</f>
        <v>0</v>
      </c>
      <c r="H339" s="471">
        <v>2</v>
      </c>
      <c r="I339" s="471">
        <v>0</v>
      </c>
      <c r="J339" s="471" t="str">
        <f t="shared" si="40"/>
        <v>eduscn</v>
      </c>
      <c r="K339" s="471" t="str">
        <f t="shared" si="41"/>
        <v>tot-inc</v>
      </c>
      <c r="L339" s="599"/>
      <c r="M339" s="471" t="s">
        <v>4896</v>
      </c>
      <c r="N339" s="471" t="s">
        <v>724</v>
      </c>
      <c r="O339" s="471" t="s">
        <v>722</v>
      </c>
    </row>
    <row r="340" spans="1:15" x14ac:dyDescent="0.25">
      <c r="A340" s="471" t="s">
        <v>4943</v>
      </c>
      <c r="B340" s="1139">
        <f t="shared" ca="1" si="42"/>
        <v>0</v>
      </c>
      <c r="C340" s="473">
        <f ca="1">IF(ISERROR(VLOOKUP($A$347,INDIRECT("notes_"&amp;LEFT($A$347,3)),4,0)),0,VLOOKUP($A$347,INDIRECT("notes_"&amp;LEFT($A$347,3)),4,0))</f>
        <v>0</v>
      </c>
      <c r="H340" s="471">
        <v>2</v>
      </c>
      <c r="I340" s="471">
        <v>0</v>
      </c>
      <c r="J340" s="471" t="str">
        <f t="shared" si="40"/>
        <v>eduspc</v>
      </c>
      <c r="K340" s="471" t="str">
        <f t="shared" si="41"/>
        <v>tot-inc</v>
      </c>
      <c r="L340" s="599"/>
      <c r="M340" s="471" t="s">
        <v>4896</v>
      </c>
      <c r="N340" s="471" t="s">
        <v>724</v>
      </c>
      <c r="O340" s="471" t="s">
        <v>722</v>
      </c>
    </row>
    <row r="341" spans="1:15" x14ac:dyDescent="0.25">
      <c r="A341" s="471" t="s">
        <v>4944</v>
      </c>
      <c r="B341" s="1139">
        <f t="shared" ca="1" si="42"/>
        <v>0</v>
      </c>
      <c r="C341" s="473">
        <f ca="1">IF(ISERROR(VLOOKUP($A$348,INDIRECT("notes_"&amp;LEFT($A$348,3)),4,0)),0,VLOOKUP($A$348,INDIRECT("notes_"&amp;LEFT($A$348,3)),4,0))</f>
        <v>0</v>
      </c>
      <c r="H341" s="471">
        <v>2</v>
      </c>
      <c r="I341" s="471">
        <v>0</v>
      </c>
      <c r="J341" s="471" t="str">
        <f t="shared" si="40"/>
        <v>edupst</v>
      </c>
      <c r="K341" s="471" t="str">
        <f t="shared" si="41"/>
        <v>tot-inc</v>
      </c>
      <c r="L341" s="599"/>
      <c r="M341" s="471" t="s">
        <v>4896</v>
      </c>
      <c r="N341" s="471" t="s">
        <v>724</v>
      </c>
      <c r="O341" s="471" t="s">
        <v>722</v>
      </c>
    </row>
    <row r="342" spans="1:15" x14ac:dyDescent="0.25">
      <c r="A342" s="471" t="s">
        <v>4945</v>
      </c>
      <c r="B342" s="1139">
        <f t="shared" ca="1" si="42"/>
        <v>0</v>
      </c>
      <c r="C342" s="473">
        <f ca="1">IF(ISERROR(VLOOKUP($A$349,INDIRECT("notes_"&amp;LEFT($A$349,3)),4,0)),0,VLOOKUP($A$349,INDIRECT("notes_"&amp;LEFT($A$349,3)),4,0))</f>
        <v>0</v>
      </c>
      <c r="H342" s="471">
        <v>2</v>
      </c>
      <c r="I342" s="471">
        <v>0</v>
      </c>
      <c r="J342" s="471" t="str">
        <f t="shared" si="40"/>
        <v>eduoth</v>
      </c>
      <c r="K342" s="471" t="str">
        <f t="shared" si="41"/>
        <v>tot-inc</v>
      </c>
      <c r="L342" s="599"/>
      <c r="M342" s="471" t="s">
        <v>4896</v>
      </c>
      <c r="N342" s="471" t="s">
        <v>724</v>
      </c>
      <c r="O342" s="471" t="s">
        <v>722</v>
      </c>
    </row>
    <row r="343" spans="1:15" x14ac:dyDescent="0.25">
      <c r="A343" s="471" t="s">
        <v>4946</v>
      </c>
      <c r="B343" s="1139">
        <f t="shared" ca="1" si="42"/>
        <v>0</v>
      </c>
      <c r="C343" s="473">
        <f ca="1">IF(ISERROR(VLOOKUP($A$350,INDIRECT("notes_"&amp;LEFT($A$350,3)),4,0)),0,VLOOKUP($A$350,INDIRECT("notes_"&amp;LEFT($A$350,3)),4,0))</f>
        <v>0</v>
      </c>
      <c r="H343" s="471">
        <v>2</v>
      </c>
      <c r="I343" s="471">
        <v>0</v>
      </c>
      <c r="J343" s="471" t="str">
        <f t="shared" si="40"/>
        <v>edutot</v>
      </c>
      <c r="K343" s="471" t="str">
        <f t="shared" si="41"/>
        <v>tot-inc</v>
      </c>
      <c r="L343" s="599"/>
      <c r="M343" s="471" t="s">
        <v>4896</v>
      </c>
      <c r="N343" s="471" t="s">
        <v>724</v>
      </c>
      <c r="O343" s="471" t="s">
        <v>722</v>
      </c>
    </row>
    <row r="344" spans="1:15" x14ac:dyDescent="0.25">
      <c r="A344" s="471" t="s">
        <v>2000</v>
      </c>
      <c r="B344" s="1139">
        <f t="shared" ca="1" si="42"/>
        <v>0</v>
      </c>
      <c r="C344" s="473">
        <f ca="1">IF(ISERROR(VLOOKUP($A$344,INDIRECT("notes_"&amp;LEFT($A$344,3)),4,0)),0,VLOOKUP($A$344,INDIRECT("notes_"&amp;LEFT($A$344,3)),4,0))</f>
        <v>0</v>
      </c>
      <c r="D344" s="472" t="str">
        <f>'RO1'!N32</f>
        <v/>
      </c>
      <c r="E344" s="472" t="str">
        <f>'RO1'!O32</f>
        <v/>
      </c>
      <c r="F344" s="472" t="str">
        <f>'RO1'!Q32</f>
        <v/>
      </c>
      <c r="H344" s="471">
        <v>2</v>
      </c>
      <c r="I344" s="471">
        <v>0</v>
      </c>
      <c r="J344" s="471" t="str">
        <f t="shared" si="40"/>
        <v>eduerl</v>
      </c>
      <c r="K344" s="471" t="str">
        <f t="shared" si="41"/>
        <v>net-cur-exp</v>
      </c>
      <c r="L344" s="599"/>
      <c r="M344" s="471" t="s">
        <v>4896</v>
      </c>
      <c r="N344" s="471" t="s">
        <v>724</v>
      </c>
      <c r="O344" s="471" t="s">
        <v>722</v>
      </c>
    </row>
    <row r="345" spans="1:15" x14ac:dyDescent="0.25">
      <c r="A345" s="471" t="s">
        <v>2002</v>
      </c>
      <c r="B345" s="1139">
        <f t="shared" ca="1" si="42"/>
        <v>0</v>
      </c>
      <c r="C345" s="473">
        <f ca="1">IF(ISERROR(VLOOKUP($A$345,INDIRECT("notes_"&amp;LEFT($A$345,3)),4,0)),0,VLOOKUP($A$345,INDIRECT("notes_"&amp;LEFT($A$345,3)),4,0))</f>
        <v>0</v>
      </c>
      <c r="D345" s="472" t="str">
        <f>'RO1'!N33</f>
        <v/>
      </c>
      <c r="E345" s="472" t="str">
        <f>'RO1'!O33</f>
        <v/>
      </c>
      <c r="F345" s="472" t="str">
        <f>'RO1'!Q33</f>
        <v/>
      </c>
      <c r="H345" s="471">
        <v>2</v>
      </c>
      <c r="I345" s="471">
        <v>0</v>
      </c>
      <c r="J345" s="471" t="str">
        <f t="shared" si="40"/>
        <v>eduprm</v>
      </c>
      <c r="K345" s="471" t="str">
        <f t="shared" si="41"/>
        <v>net-cur-exp</v>
      </c>
      <c r="L345" s="599"/>
      <c r="M345" s="471" t="s">
        <v>4896</v>
      </c>
      <c r="N345" s="471" t="s">
        <v>724</v>
      </c>
      <c r="O345" s="471" t="s">
        <v>722</v>
      </c>
    </row>
    <row r="346" spans="1:15" x14ac:dyDescent="0.25">
      <c r="A346" s="471" t="s">
        <v>2003</v>
      </c>
      <c r="B346" s="1139">
        <f t="shared" ca="1" si="42"/>
        <v>0</v>
      </c>
      <c r="C346" s="473">
        <f ca="1">IF(ISERROR(VLOOKUP($A$346,INDIRECT("notes_"&amp;LEFT($A$346,3)),4,0)),0,VLOOKUP($A$346,INDIRECT("notes_"&amp;LEFT($A$346,3)),4,0))</f>
        <v>0</v>
      </c>
      <c r="D346" s="472" t="str">
        <f>'RO1'!N34</f>
        <v/>
      </c>
      <c r="E346" s="472" t="str">
        <f>'RO1'!O34</f>
        <v/>
      </c>
      <c r="F346" s="472" t="str">
        <f>'RO1'!Q34</f>
        <v/>
      </c>
      <c r="H346" s="471">
        <v>2</v>
      </c>
      <c r="I346" s="471">
        <v>0</v>
      </c>
      <c r="J346" s="471" t="str">
        <f t="shared" si="40"/>
        <v>eduscn</v>
      </c>
      <c r="K346" s="471" t="str">
        <f t="shared" si="41"/>
        <v>net-cur-exp</v>
      </c>
      <c r="L346" s="599"/>
      <c r="M346" s="471" t="s">
        <v>4896</v>
      </c>
      <c r="N346" s="471" t="s">
        <v>724</v>
      </c>
      <c r="O346" s="471" t="s">
        <v>722</v>
      </c>
    </row>
    <row r="347" spans="1:15" x14ac:dyDescent="0.25">
      <c r="A347" s="471" t="s">
        <v>2004</v>
      </c>
      <c r="B347" s="1139">
        <f t="shared" ca="1" si="42"/>
        <v>0</v>
      </c>
      <c r="C347" s="473">
        <f ca="1">IF(ISERROR(VLOOKUP($A$347,INDIRECT("notes_"&amp;LEFT($A$347,3)),4,0)),0,VLOOKUP($A$347,INDIRECT("notes_"&amp;LEFT($A$347,3)),4,0))</f>
        <v>0</v>
      </c>
      <c r="D347" s="472" t="str">
        <f>'RO1'!N35</f>
        <v/>
      </c>
      <c r="E347" s="472" t="str">
        <f>'RO1'!O35</f>
        <v/>
      </c>
      <c r="F347" s="472" t="str">
        <f>'RO1'!Q35</f>
        <v/>
      </c>
      <c r="H347" s="471">
        <v>2</v>
      </c>
      <c r="I347" s="471">
        <v>0</v>
      </c>
      <c r="J347" s="471" t="str">
        <f t="shared" si="40"/>
        <v>eduspc</v>
      </c>
      <c r="K347" s="471" t="str">
        <f t="shared" si="41"/>
        <v>net-cur-exp</v>
      </c>
      <c r="L347" s="599"/>
      <c r="M347" s="471" t="s">
        <v>4896</v>
      </c>
      <c r="N347" s="471" t="s">
        <v>724</v>
      </c>
      <c r="O347" s="471" t="s">
        <v>722</v>
      </c>
    </row>
    <row r="348" spans="1:15" x14ac:dyDescent="0.25">
      <c r="A348" s="471" t="s">
        <v>2005</v>
      </c>
      <c r="B348" s="1139">
        <f t="shared" ca="1" si="42"/>
        <v>0</v>
      </c>
      <c r="C348" s="473">
        <f ca="1">IF(ISERROR(VLOOKUP($A$348,INDIRECT("notes_"&amp;LEFT($A$348,3)),4,0)),0,VLOOKUP($A$348,INDIRECT("notes_"&amp;LEFT($A$348,3)),4,0))</f>
        <v>0</v>
      </c>
      <c r="D348" s="472" t="str">
        <f>'RO1'!N37</f>
        <v/>
      </c>
      <c r="E348" s="472" t="str">
        <f>'RO1'!O37</f>
        <v/>
      </c>
      <c r="F348" s="472" t="str">
        <f>'RO1'!Q37</f>
        <v/>
      </c>
      <c r="H348" s="471">
        <v>2</v>
      </c>
      <c r="I348" s="471">
        <v>0</v>
      </c>
      <c r="J348" s="471" t="str">
        <f t="shared" si="40"/>
        <v>edupst</v>
      </c>
      <c r="K348" s="471" t="str">
        <f t="shared" si="41"/>
        <v>net-cur-exp</v>
      </c>
      <c r="L348" s="599"/>
      <c r="M348" s="471" t="s">
        <v>4896</v>
      </c>
      <c r="N348" s="471" t="s">
        <v>724</v>
      </c>
      <c r="O348" s="471" t="s">
        <v>722</v>
      </c>
    </row>
    <row r="349" spans="1:15" x14ac:dyDescent="0.25">
      <c r="A349" s="471" t="s">
        <v>2006</v>
      </c>
      <c r="B349" s="1139">
        <f t="shared" ca="1" si="42"/>
        <v>0</v>
      </c>
      <c r="C349" s="473">
        <f ca="1">IF(ISERROR(VLOOKUP($A$349,INDIRECT("notes_"&amp;LEFT($A$349,3)),4,0)),0,VLOOKUP($A$349,INDIRECT("notes_"&amp;LEFT($A$349,3)),4,0))</f>
        <v>0</v>
      </c>
      <c r="D349" s="472" t="str">
        <f>'RO1'!N38</f>
        <v/>
      </c>
      <c r="E349" s="472" t="str">
        <f>'RO1'!O38</f>
        <v/>
      </c>
      <c r="F349" s="472" t="str">
        <f>'RO1'!Q38</f>
        <v/>
      </c>
      <c r="H349" s="471">
        <v>2</v>
      </c>
      <c r="I349" s="471">
        <v>0</v>
      </c>
      <c r="J349" s="471" t="str">
        <f t="shared" si="40"/>
        <v>eduoth</v>
      </c>
      <c r="K349" s="471" t="str">
        <f t="shared" si="41"/>
        <v>net-cur-exp</v>
      </c>
      <c r="L349" s="599"/>
      <c r="M349" s="471" t="s">
        <v>4896</v>
      </c>
      <c r="N349" s="471" t="s">
        <v>724</v>
      </c>
      <c r="O349" s="471" t="s">
        <v>722</v>
      </c>
    </row>
    <row r="350" spans="1:15" x14ac:dyDescent="0.25">
      <c r="A350" s="471" t="s">
        <v>2007</v>
      </c>
      <c r="B350" s="1139">
        <f t="shared" ca="1" si="42"/>
        <v>0</v>
      </c>
      <c r="C350" s="473">
        <f ca="1">IF(ISERROR(VLOOKUP($A$350,INDIRECT("notes_"&amp;LEFT($A$350,3)),4,0)),0,VLOOKUP($A$350,INDIRECT("notes_"&amp;LEFT($A$350,3)),4,0))</f>
        <v>0</v>
      </c>
      <c r="D350" s="472" t="str">
        <f>'RO1'!N41</f>
        <v/>
      </c>
      <c r="E350" s="472" t="str">
        <f>'RO1'!O41</f>
        <v/>
      </c>
      <c r="F350" s="472" t="str">
        <f>'RO1'!Q41</f>
        <v/>
      </c>
      <c r="H350" s="471">
        <v>2</v>
      </c>
      <c r="I350" s="471">
        <v>0</v>
      </c>
      <c r="J350" s="471" t="str">
        <f t="shared" si="40"/>
        <v>edutot</v>
      </c>
      <c r="K350" s="471" t="str">
        <f t="shared" si="41"/>
        <v>net-cur-exp</v>
      </c>
      <c r="L350" s="599"/>
      <c r="M350" s="471" t="s">
        <v>4896</v>
      </c>
      <c r="N350" s="471" t="s">
        <v>724</v>
      </c>
      <c r="O350" s="471" t="s">
        <v>722</v>
      </c>
    </row>
    <row r="351" spans="1:15" x14ac:dyDescent="0.25">
      <c r="A351" s="701" t="s">
        <v>4947</v>
      </c>
      <c r="B351" s="1140" t="str">
        <f ca="1">INDEX(INDIRECT(LEFT($A351,SEARCH("-",$A351,1)-1)&amp;"_data"),MATCH(J351,INDIRECT(LEFT($A351,SEARCH("-",$A351,1)-1)&amp;"_rows"),0),MATCH(RIGHT($A351,LEN($A351)-LEN(LEFT($A351,SEARCH("#",SUBSTITUTE($A351,"-","#",H351),1)))),INDIRECT(LEFT($A351,SEARCH("-",$A351,1)-1)&amp;"_Header"),0))</f>
        <v>There are no outstanding errors or warnings with the RG section of the form. Thank you.</v>
      </c>
      <c r="C351" s="701"/>
      <c r="D351" s="701"/>
      <c r="E351" s="701"/>
      <c r="F351" s="701"/>
      <c r="G351" s="701"/>
      <c r="H351" s="701">
        <v>1</v>
      </c>
      <c r="I351" s="701">
        <v>0</v>
      </c>
      <c r="J351" s="701" t="s">
        <v>475</v>
      </c>
      <c r="K351" s="701" t="str">
        <f t="shared" ref="K351:K383" si="44">RIGHT($A351,LEN($A351)-SEARCH("#",SUBSTITUTE($A351,"-","#",H351),1))</f>
        <v>error</v>
      </c>
      <c r="L351" s="701" t="s">
        <v>4740</v>
      </c>
      <c r="M351" s="471" t="s">
        <v>4948</v>
      </c>
      <c r="N351" s="471" t="s">
        <v>4949</v>
      </c>
      <c r="O351" s="471" t="s">
        <v>4950</v>
      </c>
    </row>
    <row r="352" spans="1:15" x14ac:dyDescent="0.25">
      <c r="A352" s="471" t="s">
        <v>1840</v>
      </c>
      <c r="B352" s="1139" t="e">
        <f t="shared" ca="1" si="42"/>
        <v>#N/A</v>
      </c>
      <c r="C352" s="473">
        <f t="shared" ref="C352:C402" ca="1" si="45">IF(ISERROR(VLOOKUP(A352,INDIRECT("notes_"&amp;LEFT(A352,2)),4,0)),0,VLOOKUP(A352,INDIRECT("notes_"&amp;LEFT(A352,2)),4,0))</f>
        <v>0</v>
      </c>
      <c r="D352" s="472"/>
      <c r="E352" s="472" t="e">
        <f>RG!J29</f>
        <v>#N/A</v>
      </c>
      <c r="F352" s="472" t="e">
        <f>RG!K29</f>
        <v>#N/A</v>
      </c>
      <c r="H352" s="471">
        <v>2</v>
      </c>
      <c r="I352" s="471">
        <v>0</v>
      </c>
      <c r="J352" s="471" t="str">
        <f t="shared" ref="J352:J383" si="46">MID($A352,SEARCH("-",$A352)+1,SEARCH("#",SUBSTITUTE($A352,"-","#",H352),1)-(SEARCH("-",$A352)+1))</f>
        <v>grantindsg</v>
      </c>
      <c r="K352" s="471" t="str">
        <f t="shared" si="44"/>
        <v>tot-grant</v>
      </c>
      <c r="L352" s="599"/>
      <c r="M352" s="471" t="s">
        <v>4948</v>
      </c>
      <c r="N352" s="471" t="s">
        <v>4949</v>
      </c>
      <c r="O352" s="471" t="s">
        <v>4950</v>
      </c>
    </row>
    <row r="353" spans="1:15" x14ac:dyDescent="0.25">
      <c r="A353" s="471" t="s">
        <v>1841</v>
      </c>
      <c r="B353" s="1139">
        <f t="shared" ca="1" si="42"/>
        <v>0</v>
      </c>
      <c r="C353" s="473">
        <f t="shared" ca="1" si="45"/>
        <v>0</v>
      </c>
      <c r="E353" s="471">
        <f>RG!J30</f>
        <v>0</v>
      </c>
      <c r="F353" s="471">
        <f>RG!K30</f>
        <v>0</v>
      </c>
      <c r="H353" s="471">
        <v>2</v>
      </c>
      <c r="I353" s="471">
        <v>0</v>
      </c>
      <c r="J353" s="471" t="str">
        <f t="shared" si="46"/>
        <v>grantinppg</v>
      </c>
      <c r="K353" s="471" t="str">
        <f t="shared" si="44"/>
        <v>tot-grant</v>
      </c>
      <c r="L353" s="599"/>
      <c r="M353" s="471" t="s">
        <v>4948</v>
      </c>
      <c r="N353" s="471" t="s">
        <v>4949</v>
      </c>
      <c r="O353" s="471" t="s">
        <v>4950</v>
      </c>
    </row>
    <row r="354" spans="1:15" x14ac:dyDescent="0.25">
      <c r="A354" s="471" t="s">
        <v>1842</v>
      </c>
      <c r="B354" s="1139">
        <f t="shared" ca="1" si="42"/>
        <v>0</v>
      </c>
      <c r="C354" s="473">
        <f t="shared" ca="1" si="45"/>
        <v>0</v>
      </c>
      <c r="E354" s="471">
        <f>RG!J31</f>
        <v>0</v>
      </c>
      <c r="F354" s="471">
        <f>RG!K31</f>
        <v>0</v>
      </c>
      <c r="H354" s="471">
        <v>2</v>
      </c>
      <c r="I354" s="471">
        <v>0</v>
      </c>
      <c r="J354" s="471" t="str">
        <f t="shared" si="46"/>
        <v>grantinusm</v>
      </c>
      <c r="K354" s="471" t="str">
        <f t="shared" si="44"/>
        <v>tot-grant</v>
      </c>
      <c r="L354" s="599"/>
      <c r="M354" s="471" t="s">
        <v>4948</v>
      </c>
      <c r="N354" s="471" t="s">
        <v>4949</v>
      </c>
      <c r="O354" s="471" t="s">
        <v>4950</v>
      </c>
    </row>
    <row r="355" spans="1:15" x14ac:dyDescent="0.25">
      <c r="A355" s="1120" t="s">
        <v>1843</v>
      </c>
      <c r="B355" s="1139">
        <f t="shared" ref="B355" ca="1" si="47">INDEX(INDIRECT(LEFT($A355,SEARCH("-",$A355,1)-1)&amp;"_data"),MATCH(MID($A355,SEARCH("-",$A355)+1,SEARCH("#",SUBSTITUTE($A355,"-","#",H355),1)-(SEARCH("-",$A355)+1)),INDIRECT(LEFT($A355,SEARCH("-",$A355,1)-1)&amp;"_rows"),0),MATCH(RIGHT($A355,LEN($A355)-LEN(LEFT($A355,SEARCH("#",SUBSTITUTE($A355,"-","#",H355),1)))),INDIRECT(LEFT($A355,SEARCH("-",$A355,1)-1)&amp;"_Header"),0))</f>
        <v>0</v>
      </c>
      <c r="C355" s="473">
        <f t="shared" ref="C355" ca="1" si="48">IF(ISERROR(VLOOKUP(A355,INDIRECT("notes_"&amp;LEFT(A355,2)),4,0)),0,VLOOKUP(A355,INDIRECT("notes_"&amp;LEFT(A355,2)),4,0))</f>
        <v>0</v>
      </c>
      <c r="E355" s="471">
        <f>RG!J32</f>
        <v>0</v>
      </c>
      <c r="F355" s="471">
        <f>RG!K32</f>
        <v>0</v>
      </c>
      <c r="H355" s="471">
        <v>2</v>
      </c>
      <c r="I355" s="471">
        <v>0</v>
      </c>
      <c r="J355" s="471" t="str">
        <f t="shared" ref="J355" si="49">MID($A355,SEARCH("-",$A355)+1,SEARCH("#",SUBSTITUTE($A355,"-","#",H355),1)-(SEARCH("-",$A355)+1))</f>
        <v>grantincsbg</v>
      </c>
      <c r="K355" s="471" t="str">
        <f t="shared" ref="K355" si="50">RIGHT($A355,LEN($A355)-SEARCH("#",SUBSTITUTE($A355,"-","#",H355),1))</f>
        <v>tot-grant</v>
      </c>
      <c r="L355" s="599"/>
      <c r="M355" s="471" t="s">
        <v>4948</v>
      </c>
      <c r="N355" s="471" t="s">
        <v>4949</v>
      </c>
      <c r="O355" s="471" t="s">
        <v>4950</v>
      </c>
    </row>
    <row r="356" spans="1:15" x14ac:dyDescent="0.25">
      <c r="A356" s="1120" t="s">
        <v>1844</v>
      </c>
      <c r="B356" s="1139">
        <f t="shared" ref="B356" ca="1" si="51">INDEX(INDIRECT(LEFT($A356,SEARCH("-",$A356,1)-1)&amp;"_data"),MATCH(MID($A356,SEARCH("-",$A356)+1,SEARCH("#",SUBSTITUTE($A356,"-","#",H356),1)-(SEARCH("-",$A356)+1)),INDIRECT(LEFT($A356,SEARCH("-",$A356,1)-1)&amp;"_rows"),0),MATCH(RIGHT($A356,LEN($A356)-LEN(LEFT($A356,SEARCH("#",SUBSTITUTE($A356,"-","#",H356),1)))),INDIRECT(LEFT($A356,SEARCH("-",$A356,1)-1)&amp;"_Header"),0))</f>
        <v>0</v>
      </c>
      <c r="C356" s="473">
        <f t="shared" ref="C356" ca="1" si="52">IF(ISERROR(VLOOKUP(A356,INDIRECT("notes_"&amp;LEFT(A356,2)),4,0)),0,VLOOKUP(A356,INDIRECT("notes_"&amp;LEFT(A356,2)),4,0))</f>
        <v>0</v>
      </c>
      <c r="E356" s="471">
        <f>RG!J33</f>
        <v>0</v>
      </c>
      <c r="F356" s="471">
        <f>RG!K33</f>
        <v>0</v>
      </c>
      <c r="H356" s="471">
        <v>2</v>
      </c>
      <c r="I356" s="471">
        <v>0</v>
      </c>
      <c r="J356" s="471" t="str">
        <f t="shared" ref="J356" si="53">MID($A356,SEARCH("-",$A356)+1,SEARCH("#",SUBSTITUTE($A356,"-","#",H356),1)-(SEARCH("-",$A356)+1))</f>
        <v>grantinholfd</v>
      </c>
      <c r="K356" s="471" t="str">
        <f t="shared" ref="K356" si="54">RIGHT($A356,LEN($A356)-SEARCH("#",SUBSTITUTE($A356,"-","#",H356),1))</f>
        <v>tot-grant</v>
      </c>
      <c r="L356" s="599"/>
      <c r="M356" s="471" t="s">
        <v>4948</v>
      </c>
      <c r="N356" s="471" t="s">
        <v>4949</v>
      </c>
      <c r="O356" s="471" t="s">
        <v>4950</v>
      </c>
    </row>
    <row r="357" spans="1:15" x14ac:dyDescent="0.25">
      <c r="A357" s="1120" t="s">
        <v>1845</v>
      </c>
      <c r="B357" s="1139">
        <f t="shared" ref="B357" ca="1" si="55">INDEX(INDIRECT(LEFT($A357,SEARCH("-",$A357,1)-1)&amp;"_data"),MATCH(MID($A357,SEARCH("-",$A357)+1,SEARCH("#",SUBSTITUTE($A357,"-","#",H357),1)-(SEARCH("-",$A357)+1)),INDIRECT(LEFT($A357,SEARCH("-",$A357,1)-1)&amp;"_rows"),0),MATCH(RIGHT($A357,LEN($A357)-LEN(LEFT($A357,SEARCH("#",SUBSTITUTE($A357,"-","#",H357),1)))),INDIRECT(LEFT($A357,SEARCH("-",$A357,1)-1)&amp;"_Header"),0))</f>
        <v>0</v>
      </c>
      <c r="C357" s="473">
        <f t="shared" ref="C357" ca="1" si="56">IF(ISERROR(VLOOKUP(A357,INDIRECT("notes_"&amp;LEFT(A357,2)),4,0)),0,VLOOKUP(A357,INDIRECT("notes_"&amp;LEFT(A357,2)),4,0))</f>
        <v>0</v>
      </c>
      <c r="E357" s="471">
        <f>RG!J34</f>
        <v>0</v>
      </c>
      <c r="F357" s="471">
        <f>RG!K34</f>
        <v>0</v>
      </c>
      <c r="H357" s="471">
        <v>2</v>
      </c>
      <c r="I357" s="471">
        <v>0</v>
      </c>
      <c r="J357" s="471" t="str">
        <f t="shared" ref="J357" si="57">MID($A357,SEARCH("-",$A357)+1,SEARCH("#",SUBSTITUTE($A357,"-","#",H357),1)-(SEARCH("-",$A357)+1))</f>
        <v>grantinbsip</v>
      </c>
      <c r="K357" s="471" t="str">
        <f t="shared" ref="K357" si="58">RIGHT($A357,LEN($A357)-SEARCH("#",SUBSTITUTE($A357,"-","#",H357),1))</f>
        <v>tot-grant</v>
      </c>
      <c r="L357" s="599"/>
      <c r="M357" s="471" t="s">
        <v>4948</v>
      </c>
      <c r="N357" s="471" t="s">
        <v>4949</v>
      </c>
      <c r="O357" s="471" t="s">
        <v>4950</v>
      </c>
    </row>
    <row r="358" spans="1:15" x14ac:dyDescent="0.25">
      <c r="A358" s="471" t="s">
        <v>1846</v>
      </c>
      <c r="B358" s="1139" t="e">
        <f t="shared" ca="1" si="42"/>
        <v>#N/A</v>
      </c>
      <c r="C358" s="473">
        <f t="shared" ca="1" si="45"/>
        <v>0</v>
      </c>
      <c r="D358" s="472"/>
      <c r="E358" s="472" t="e">
        <f>RG!J35</f>
        <v>#N/A</v>
      </c>
      <c r="F358" s="472" t="e">
        <f>RG!K35</f>
        <v>#N/A</v>
      </c>
      <c r="H358" s="471">
        <v>2</v>
      </c>
      <c r="I358" s="471">
        <v>0</v>
      </c>
      <c r="J358" s="471" t="str">
        <f t="shared" si="46"/>
        <v>grantinph</v>
      </c>
      <c r="K358" s="471" t="str">
        <f t="shared" si="44"/>
        <v>tot-grant</v>
      </c>
      <c r="L358" s="599"/>
      <c r="M358" s="471" t="s">
        <v>4948</v>
      </c>
      <c r="N358" s="471" t="s">
        <v>4949</v>
      </c>
      <c r="O358" s="471" t="s">
        <v>4950</v>
      </c>
    </row>
    <row r="359" spans="1:15" x14ac:dyDescent="0.25">
      <c r="A359" s="471" t="s">
        <v>1847</v>
      </c>
      <c r="B359" s="1139" t="e">
        <f t="shared" ca="1" si="42"/>
        <v>#N/A</v>
      </c>
      <c r="C359" s="473">
        <f t="shared" ca="1" si="45"/>
        <v>0</v>
      </c>
      <c r="D359" s="472"/>
      <c r="E359" s="472" t="e">
        <f>RG!J36</f>
        <v>#N/A</v>
      </c>
      <c r="F359" s="472" t="e">
        <f>RG!K36</f>
        <v>#N/A</v>
      </c>
      <c r="H359" s="471">
        <v>2</v>
      </c>
      <c r="I359" s="471">
        <v>0</v>
      </c>
      <c r="J359" s="471" t="str">
        <f t="shared" si="46"/>
        <v>grantinscs</v>
      </c>
      <c r="K359" s="471" t="str">
        <f t="shared" si="44"/>
        <v>tot-grant</v>
      </c>
      <c r="L359" s="599"/>
      <c r="M359" s="471" t="s">
        <v>4948</v>
      </c>
      <c r="N359" s="471" t="s">
        <v>4949</v>
      </c>
      <c r="O359" s="471" t="s">
        <v>4950</v>
      </c>
    </row>
    <row r="360" spans="1:15" x14ac:dyDescent="0.25">
      <c r="A360" s="471" t="s">
        <v>4951</v>
      </c>
      <c r="B360" s="1139" t="e">
        <f t="shared" ca="1" si="42"/>
        <v>#N/A</v>
      </c>
      <c r="C360" s="473">
        <f t="shared" ca="1" si="45"/>
        <v>0</v>
      </c>
      <c r="D360" s="472"/>
      <c r="E360" s="472" t="e">
        <f>RG!J37</f>
        <v>#N/A</v>
      </c>
      <c r="F360" s="472" t="e">
        <f>RG!K37</f>
        <v>#N/A</v>
      </c>
      <c r="H360" s="471">
        <v>2</v>
      </c>
      <c r="I360" s="471">
        <v>0</v>
      </c>
      <c r="J360" s="471" t="str">
        <f t="shared" si="46"/>
        <v>grantindasa</v>
      </c>
      <c r="K360" s="471" t="str">
        <f t="shared" si="44"/>
        <v>tot-grant</v>
      </c>
      <c r="L360" s="599"/>
      <c r="M360" s="471" t="s">
        <v>4948</v>
      </c>
      <c r="N360" s="471" t="s">
        <v>4949</v>
      </c>
      <c r="O360" s="471" t="s">
        <v>4950</v>
      </c>
    </row>
    <row r="361" spans="1:15" x14ac:dyDescent="0.25">
      <c r="A361" s="471" t="s">
        <v>1849</v>
      </c>
      <c r="B361" s="1139" t="e">
        <f t="shared" ca="1" si="42"/>
        <v>#N/A</v>
      </c>
      <c r="C361" s="473">
        <f t="shared" ca="1" si="45"/>
        <v>0</v>
      </c>
      <c r="E361" s="472" t="e">
        <f>RG!J38</f>
        <v>#N/A</v>
      </c>
      <c r="F361" s="472" t="e">
        <f>RG!K38</f>
        <v>#N/A</v>
      </c>
      <c r="H361" s="471">
        <v>2</v>
      </c>
      <c r="I361" s="471">
        <v>0</v>
      </c>
      <c r="J361" s="471" t="str">
        <f t="shared" si="46"/>
        <v>grantinibcf</v>
      </c>
      <c r="K361" s="471" t="str">
        <f t="shared" si="44"/>
        <v>tot-grant</v>
      </c>
      <c r="L361" s="599"/>
      <c r="M361" s="471" t="s">
        <v>4948</v>
      </c>
      <c r="N361" s="471" t="s">
        <v>4949</v>
      </c>
      <c r="O361" s="471" t="s">
        <v>4950</v>
      </c>
    </row>
    <row r="362" spans="1:15" x14ac:dyDescent="0.25">
      <c r="A362" s="471" t="s">
        <v>4952</v>
      </c>
      <c r="B362" s="1139" t="e">
        <f t="shared" ref="B362:B363" ca="1" si="59">INDEX(INDIRECT(LEFT($A362,SEARCH("-",$A362,1)-1)&amp;"_data"),MATCH(MID($A362,SEARCH("-",$A362)+1,SEARCH("#",SUBSTITUTE($A362,"-","#",H362),1)-(SEARCH("-",$A362)+1)),INDIRECT(LEFT($A362,SEARCH("-",$A362,1)-1)&amp;"_rows"),0),MATCH(RIGHT($A362,LEN($A362)-LEN(LEFT($A362,SEARCH("#",SUBSTITUTE($A362,"-","#",H362),1)))),INDIRECT(LEFT($A362,SEARCH("-",$A362,1)-1)&amp;"_Header"),0))</f>
        <v>#N/A</v>
      </c>
      <c r="C362" s="473">
        <f t="shared" ref="C362:C363" ca="1" si="60">IF(ISERROR(VLOOKUP(A362,INDIRECT("notes_"&amp;LEFT(A362,2)),4,0)),0,VLOOKUP(A362,INDIRECT("notes_"&amp;LEFT(A362,2)),4,0))</f>
        <v>0</v>
      </c>
      <c r="E362" s="472" t="e">
        <f>RG!J39</f>
        <v>#N/A</v>
      </c>
      <c r="F362" s="472" t="e">
        <f>RG!K39</f>
        <v>#N/A</v>
      </c>
      <c r="H362" s="471">
        <v>2</v>
      </c>
      <c r="I362" s="471">
        <v>0</v>
      </c>
      <c r="J362" s="471" t="str">
        <f t="shared" si="46"/>
        <v>grantincscp</v>
      </c>
      <c r="K362" s="471" t="str">
        <f t="shared" si="44"/>
        <v>tot-grant</v>
      </c>
      <c r="L362" s="599"/>
      <c r="M362" s="471" t="s">
        <v>4948</v>
      </c>
      <c r="N362" s="471" t="s">
        <v>4949</v>
      </c>
      <c r="O362" s="471" t="s">
        <v>4950</v>
      </c>
    </row>
    <row r="363" spans="1:15" x14ac:dyDescent="0.25">
      <c r="A363" s="471" t="s">
        <v>4953</v>
      </c>
      <c r="B363" s="1139" t="e">
        <f t="shared" ca="1" si="59"/>
        <v>#N/A</v>
      </c>
      <c r="C363" s="473">
        <f t="shared" ca="1" si="60"/>
        <v>0</v>
      </c>
      <c r="E363" s="472" t="e">
        <f>RG!J40</f>
        <v>#N/A</v>
      </c>
      <c r="F363" s="472" t="e">
        <f>RG!K40</f>
        <v>#N/A</v>
      </c>
      <c r="H363" s="471">
        <v>2</v>
      </c>
      <c r="I363" s="471">
        <v>0</v>
      </c>
      <c r="J363" s="471" t="str">
        <f t="shared" si="46"/>
        <v>grantinrec</v>
      </c>
      <c r="K363" s="471" t="str">
        <f t="shared" si="44"/>
        <v>tot-grant</v>
      </c>
      <c r="L363" s="599"/>
      <c r="M363" s="471" t="s">
        <v>4948</v>
      </c>
      <c r="N363" s="471" t="s">
        <v>4949</v>
      </c>
      <c r="O363" s="471" t="s">
        <v>4950</v>
      </c>
    </row>
    <row r="364" spans="1:15" x14ac:dyDescent="0.25">
      <c r="A364" s="1120" t="s">
        <v>1850</v>
      </c>
      <c r="B364" s="1139">
        <f t="shared" ref="B364" ca="1" si="61">INDEX(INDIRECT(LEFT($A364,SEARCH("-",$A364,1)-1)&amp;"_data"),MATCH(MID($A364,SEARCH("-",$A364)+1,SEARCH("#",SUBSTITUTE($A364,"-","#",H364),1)-(SEARCH("-",$A364)+1)),INDIRECT(LEFT($A364,SEARCH("-",$A364,1)-1)&amp;"_rows"),0),MATCH(RIGHT($A364,LEN($A364)-LEN(LEFT($A364,SEARCH("#",SUBSTITUTE($A364,"-","#",H364),1)))),INDIRECT(LEFT($A364,SEARCH("-",$A364,1)-1)&amp;"_Header"),0))</f>
        <v>0</v>
      </c>
      <c r="C364" s="473">
        <f t="shared" ref="C364" ca="1" si="62">IF(ISERROR(VLOOKUP(A364,INDIRECT("notes_"&amp;LEFT(A364,2)),4,0)),0,VLOOKUP(A364,INDIRECT("notes_"&amp;LEFT(A364,2)),4,0))</f>
        <v>0</v>
      </c>
      <c r="E364" s="472">
        <f>RG!J41</f>
        <v>0</v>
      </c>
      <c r="F364" s="472">
        <f>RG!K41</f>
        <v>0</v>
      </c>
      <c r="H364" s="471">
        <v>2</v>
      </c>
      <c r="I364" s="471">
        <v>0</v>
      </c>
      <c r="J364" s="471" t="str">
        <f t="shared" ref="J364" si="63">MID($A364,SEARCH("-",$A364)+1,SEARCH("#",SUBSTITUTE($A364,"-","#",H364),1)-(SEARCH("-",$A364)+1))</f>
        <v>grantinhsf</v>
      </c>
      <c r="K364" s="471" t="str">
        <f t="shared" ref="K364" si="64">RIGHT($A364,LEN($A364)-SEARCH("#",SUBSTITUTE($A364,"-","#",H364),1))</f>
        <v>tot-grant</v>
      </c>
      <c r="L364" s="599"/>
      <c r="M364" s="471" t="s">
        <v>4948</v>
      </c>
      <c r="N364" s="471" t="s">
        <v>4949</v>
      </c>
      <c r="O364" s="471" t="s">
        <v>4950</v>
      </c>
    </row>
    <row r="365" spans="1:15" x14ac:dyDescent="0.25">
      <c r="A365" s="471" t="s">
        <v>1851</v>
      </c>
      <c r="B365" s="1139" t="e">
        <f t="shared" ca="1" si="42"/>
        <v>#N/A</v>
      </c>
      <c r="C365" s="473">
        <f t="shared" ca="1" si="45"/>
        <v>0</v>
      </c>
      <c r="E365" s="472" t="e">
        <f>RG!J42</f>
        <v>#N/A</v>
      </c>
      <c r="F365" s="472" t="e">
        <f>RG!K42</f>
        <v>#N/A</v>
      </c>
      <c r="H365" s="471">
        <v>2</v>
      </c>
      <c r="I365" s="471">
        <v>0</v>
      </c>
      <c r="J365" s="471" t="str">
        <f t="shared" si="46"/>
        <v>grantinmkt</v>
      </c>
      <c r="K365" s="471" t="str">
        <f t="shared" si="44"/>
        <v>tot-grant</v>
      </c>
      <c r="L365" s="599"/>
      <c r="M365" s="471" t="s">
        <v>4948</v>
      </c>
      <c r="N365" s="471" t="s">
        <v>4949</v>
      </c>
      <c r="O365" s="471" t="s">
        <v>4950</v>
      </c>
    </row>
    <row r="366" spans="1:15" x14ac:dyDescent="0.25">
      <c r="A366" s="1120" t="s">
        <v>1852</v>
      </c>
      <c r="B366" s="1139">
        <f t="shared" ref="B366" ca="1" si="65">INDEX(INDIRECT(LEFT($A366,SEARCH("-",$A366,1)-1)&amp;"_data"),MATCH(MID($A366,SEARCH("-",$A366)+1,SEARCH("#",SUBSTITUTE($A366,"-","#",H366),1)-(SEARCH("-",$A366)+1)),INDIRECT(LEFT($A366,SEARCH("-",$A366,1)-1)&amp;"_rows"),0),MATCH(RIGHT($A366,LEN($A366)-LEN(LEFT($A366,SEARCH("#",SUBSTITUTE($A366,"-","#",H366),1)))),INDIRECT(LEFT($A366,SEARCH("-",$A366,1)-1)&amp;"_Header"),0))</f>
        <v>0</v>
      </c>
      <c r="C366" s="473">
        <f t="shared" ref="C366" ca="1" si="66">IF(ISERROR(VLOOKUP(A366,INDIRECT("notes_"&amp;LEFT(A366,2)),4,0)),0,VLOOKUP(A366,INDIRECT("notes_"&amp;LEFT(A366,2)),4,0))</f>
        <v>0</v>
      </c>
      <c r="E366" s="472">
        <f>RG!J43</f>
        <v>0</v>
      </c>
      <c r="F366" s="472">
        <f>RG!K43</f>
        <v>0</v>
      </c>
      <c r="H366" s="471">
        <v>2</v>
      </c>
      <c r="I366" s="471">
        <v>0</v>
      </c>
      <c r="J366" s="471" t="str">
        <f t="shared" ref="J366" si="67">MID($A366,SEARCH("-",$A366)+1,SEARCH("#",SUBSTITUTE($A366,"-","#",H366),1)-(SEARCH("-",$A366)+1))</f>
        <v>grantinukprsp</v>
      </c>
      <c r="K366" s="471" t="str">
        <f t="shared" ref="K366" si="68">RIGHT($A366,LEN($A366)-SEARCH("#",SUBSTITUTE($A366,"-","#",H366),1))</f>
        <v>tot-grant</v>
      </c>
      <c r="L366" s="599"/>
      <c r="M366" s="471" t="s">
        <v>4948</v>
      </c>
      <c r="N366" s="471" t="s">
        <v>4949</v>
      </c>
      <c r="O366" s="471" t="s">
        <v>4950</v>
      </c>
    </row>
    <row r="367" spans="1:15" x14ac:dyDescent="0.25">
      <c r="A367" s="471" t="s">
        <v>1853</v>
      </c>
      <c r="B367" s="1139" t="e">
        <f t="shared" ref="B367:B368" ca="1" si="69">INDEX(INDIRECT(LEFT($A367,SEARCH("-",$A367,1)-1)&amp;"_data"),MATCH(MID($A367,SEARCH("-",$A367)+1,SEARCH("#",SUBSTITUTE($A367,"-","#",H367),1)-(SEARCH("-",$A367)+1)),INDIRECT(LEFT($A367,SEARCH("-",$A367,1)-1)&amp;"_rows"),0),MATCH(RIGHT($A367,LEN($A367)-LEN(LEFT($A367,SEARCH("#",SUBSTITUTE($A367,"-","#",H367),1)))),INDIRECT(LEFT($A367,SEARCH("-",$A367,1)-1)&amp;"_Header"),0))</f>
        <v>#N/A</v>
      </c>
      <c r="C367" s="473">
        <f t="shared" ref="C367:C368" ca="1" si="70">IF(ISERROR(VLOOKUP(A367,INDIRECT("notes_"&amp;LEFT(A367,2)),4,0)),0,VLOOKUP(A367,INDIRECT("notes_"&amp;LEFT(A367,2)),4,0))</f>
        <v>0</v>
      </c>
      <c r="E367" s="472" t="e">
        <f>RG!J44</f>
        <v>#N/A</v>
      </c>
      <c r="F367" s="472" t="e">
        <f>RG!K44</f>
        <v>#N/A</v>
      </c>
      <c r="H367" s="471">
        <v>2</v>
      </c>
      <c r="J367" s="471" t="str">
        <f t="shared" si="46"/>
        <v>grantinfndfl</v>
      </c>
      <c r="K367" s="471" t="str">
        <f t="shared" si="44"/>
        <v>tot-grant</v>
      </c>
      <c r="L367" s="599"/>
      <c r="M367" s="471" t="s">
        <v>4948</v>
      </c>
      <c r="N367" s="471" t="s">
        <v>4949</v>
      </c>
      <c r="O367" s="471" t="s">
        <v>4950</v>
      </c>
    </row>
    <row r="368" spans="1:15" x14ac:dyDescent="0.25">
      <c r="A368" s="471" t="s">
        <v>4954</v>
      </c>
      <c r="B368" s="1139" t="e">
        <f t="shared" ca="1" si="69"/>
        <v>#N/A</v>
      </c>
      <c r="C368" s="473">
        <f t="shared" ca="1" si="70"/>
        <v>0</v>
      </c>
      <c r="E368" s="472" t="e">
        <f>RG!J45</f>
        <v>#N/A</v>
      </c>
      <c r="F368" s="472" t="e">
        <f>RG!K45</f>
        <v>#N/A</v>
      </c>
      <c r="H368" s="471">
        <v>2</v>
      </c>
      <c r="J368" s="471" t="str">
        <f t="shared" si="46"/>
        <v>grantinnics</v>
      </c>
      <c r="K368" s="471" t="str">
        <f t="shared" si="44"/>
        <v>tot-grant</v>
      </c>
      <c r="L368" s="599"/>
      <c r="M368" s="471" t="s">
        <v>4948</v>
      </c>
      <c r="N368" s="471" t="s">
        <v>4949</v>
      </c>
      <c r="O368" s="471" t="s">
        <v>4950</v>
      </c>
    </row>
    <row r="369" spans="1:15" x14ac:dyDescent="0.25">
      <c r="A369" s="471" t="s">
        <v>1854</v>
      </c>
      <c r="B369" s="1139" t="e">
        <f t="shared" ca="1" si="42"/>
        <v>#N/A</v>
      </c>
      <c r="C369" s="473">
        <f t="shared" ca="1" si="45"/>
        <v>0</v>
      </c>
      <c r="E369" s="472" t="e">
        <f>RG!J46</f>
        <v>#N/A</v>
      </c>
      <c r="F369" s="472" t="e">
        <f>RG!K46</f>
        <v>#N/A</v>
      </c>
      <c r="H369" s="471">
        <v>2</v>
      </c>
      <c r="I369" s="471">
        <v>0</v>
      </c>
      <c r="J369" s="471" t="str">
        <f t="shared" si="46"/>
        <v>grantinfhs</v>
      </c>
      <c r="K369" s="471" t="str">
        <f t="shared" si="44"/>
        <v>tot-grant</v>
      </c>
      <c r="L369" s="599"/>
      <c r="M369" s="471" t="s">
        <v>4948</v>
      </c>
      <c r="N369" s="471" t="s">
        <v>4949</v>
      </c>
      <c r="O369" s="471" t="s">
        <v>4950</v>
      </c>
    </row>
    <row r="370" spans="1:15" x14ac:dyDescent="0.25">
      <c r="A370" s="471" t="s">
        <v>1855</v>
      </c>
      <c r="B370" s="1139" t="e">
        <f t="shared" ca="1" si="42"/>
        <v>#N/A</v>
      </c>
      <c r="C370" s="473">
        <f t="shared" ca="1" si="45"/>
        <v>0</v>
      </c>
      <c r="E370" s="472" t="e">
        <f>RG!J47</f>
        <v>#N/A</v>
      </c>
      <c r="F370" s="472" t="e">
        <f>RG!K47</f>
        <v>#N/A</v>
      </c>
      <c r="H370" s="471">
        <v>2</v>
      </c>
      <c r="I370" s="471">
        <v>0</v>
      </c>
      <c r="J370" s="471" t="str">
        <f t="shared" si="46"/>
        <v>grantinhbs</v>
      </c>
      <c r="K370" s="471" t="str">
        <f t="shared" si="44"/>
        <v>tot-grant</v>
      </c>
      <c r="L370" s="599"/>
      <c r="M370" s="471" t="s">
        <v>4948</v>
      </c>
      <c r="N370" s="471" t="s">
        <v>4949</v>
      </c>
      <c r="O370" s="471" t="s">
        <v>4950</v>
      </c>
    </row>
    <row r="371" spans="1:15" x14ac:dyDescent="0.25">
      <c r="A371" s="471" t="s">
        <v>1856</v>
      </c>
      <c r="B371" s="1139" t="e">
        <f t="shared" ca="1" si="42"/>
        <v>#N/A</v>
      </c>
      <c r="C371" s="473">
        <f t="shared" ca="1" si="45"/>
        <v>0</v>
      </c>
      <c r="E371" s="472" t="e">
        <f>RG!J48</f>
        <v>#N/A</v>
      </c>
      <c r="F371" s="472" t="e">
        <f>RG!K48</f>
        <v>#N/A</v>
      </c>
      <c r="H371" s="471">
        <v>2</v>
      </c>
      <c r="I371" s="471">
        <v>0</v>
      </c>
      <c r="J371" s="471" t="str">
        <f t="shared" si="46"/>
        <v>grantinnhb</v>
      </c>
      <c r="K371" s="471" t="str">
        <f t="shared" si="44"/>
        <v>tot-grant</v>
      </c>
      <c r="L371" s="599"/>
      <c r="M371" s="471" t="s">
        <v>4948</v>
      </c>
      <c r="N371" s="471" t="s">
        <v>4949</v>
      </c>
      <c r="O371" s="471" t="s">
        <v>4950</v>
      </c>
    </row>
    <row r="372" spans="1:15" x14ac:dyDescent="0.25">
      <c r="A372" s="1120" t="s">
        <v>1857</v>
      </c>
      <c r="B372" s="1139">
        <f t="shared" ref="B372" ca="1" si="71">INDEX(INDIRECT(LEFT($A372,SEARCH("-",$A372,1)-1)&amp;"_data"),MATCH(MID($A372,SEARCH("-",$A372)+1,SEARCH("#",SUBSTITUTE($A372,"-","#",H372),1)-(SEARCH("-",$A372)+1)),INDIRECT(LEFT($A372,SEARCH("-",$A372,1)-1)&amp;"_rows"),0),MATCH(RIGHT($A372,LEN($A372)-LEN(LEFT($A372,SEARCH("#",SUBSTITUTE($A372,"-","#",H372),1)))),INDIRECT(LEFT($A372,SEARCH("-",$A372,1)-1)&amp;"_Header"),0))</f>
        <v>0</v>
      </c>
      <c r="C372" s="473">
        <f t="shared" ref="C372" ca="1" si="72">IF(ISERROR(VLOOKUP(A372,INDIRECT("notes_"&amp;LEFT(A372,2)),4,0)),0,VLOOKUP(A372,INDIRECT("notes_"&amp;LEFT(A372,2)),4,0))</f>
        <v>0</v>
      </c>
      <c r="E372" s="472">
        <f>RG!J49</f>
        <v>0</v>
      </c>
      <c r="F372" s="472">
        <f>RG!K49</f>
        <v>0</v>
      </c>
      <c r="H372" s="471">
        <v>2</v>
      </c>
      <c r="I372" s="471">
        <v>0</v>
      </c>
      <c r="J372" s="471" t="str">
        <f t="shared" ref="J372" si="73">MID($A372,SEARCH("-",$A372)+1,SEARCH("#",SUBSTITUTE($A372,"-","#",H372),1)-(SEARCH("-",$A372)+1))</f>
        <v>grantinhmukr</v>
      </c>
      <c r="K372" s="471" t="str">
        <f t="shared" ref="K372" si="74">RIGHT($A372,LEN($A372)-SEARCH("#",SUBSTITUTE($A372,"-","#",H372),1))</f>
        <v>tot-grant</v>
      </c>
      <c r="L372" s="599"/>
      <c r="M372" s="471" t="s">
        <v>4948</v>
      </c>
      <c r="N372" s="471" t="s">
        <v>4949</v>
      </c>
      <c r="O372" s="471" t="s">
        <v>4950</v>
      </c>
    </row>
    <row r="373" spans="1:15" x14ac:dyDescent="0.25">
      <c r="A373" s="471" t="s">
        <v>1858</v>
      </c>
      <c r="B373" s="1139">
        <f t="shared" ca="1" si="42"/>
        <v>0</v>
      </c>
      <c r="C373" s="473">
        <f t="shared" ca="1" si="45"/>
        <v>0</v>
      </c>
      <c r="H373" s="471">
        <v>2</v>
      </c>
      <c r="I373" s="471">
        <v>0</v>
      </c>
      <c r="J373" s="471" t="str">
        <f t="shared" si="46"/>
        <v>grantinpfi</v>
      </c>
      <c r="K373" s="471" t="str">
        <f t="shared" si="44"/>
        <v>tot-grant</v>
      </c>
      <c r="L373" s="599"/>
      <c r="M373" s="471" t="s">
        <v>4948</v>
      </c>
      <c r="N373" s="471" t="s">
        <v>4949</v>
      </c>
      <c r="O373" s="471" t="s">
        <v>4950</v>
      </c>
    </row>
    <row r="374" spans="1:15" x14ac:dyDescent="0.25">
      <c r="A374" s="471" t="s">
        <v>1859</v>
      </c>
      <c r="B374" s="1139" t="e">
        <f t="shared" ref="B374" ca="1" si="75">INDEX(INDIRECT(LEFT($A374,SEARCH("-",$A374,1)-1)&amp;"_data"),MATCH(MID($A374,SEARCH("-",$A374)+1,SEARCH("#",SUBSTITUTE($A374,"-","#",H374),1)-(SEARCH("-",$A374)+1)),INDIRECT(LEFT($A374,SEARCH("-",$A374,1)-1)&amp;"_rows"),0),MATCH(RIGHT($A374,LEN($A374)-LEN(LEFT($A374,SEARCH("#",SUBSTITUTE($A374,"-","#",H374),1)))),INDIRECT(LEFT($A374,SEARCH("-",$A374,1)-1)&amp;"_Header"),0))</f>
        <v>#N/A</v>
      </c>
      <c r="C374" s="473">
        <f t="shared" ref="C374" ca="1" si="76">IF(ISERROR(VLOOKUP(A374,INDIRECT("notes_"&amp;LEFT(A374,2)),4,0)),0,VLOOKUP(A374,INDIRECT("notes_"&amp;LEFT(A374,2)),4,0))</f>
        <v>0</v>
      </c>
      <c r="H374" s="471">
        <v>2</v>
      </c>
      <c r="I374" s="471">
        <v>0</v>
      </c>
      <c r="J374" s="471" t="str">
        <f t="shared" ref="J374" si="77">MID($A374,SEARCH("-",$A374)+1,SEARCH("#",SUBSTITUTE($A374,"-","#",H374),1)-(SEARCH("-",$A374)+1))</f>
        <v>grantinslpprvrec</v>
      </c>
      <c r="K374" s="471" t="str">
        <f t="shared" ref="K374" si="78">RIGHT($A374,LEN($A374)-SEARCH("#",SUBSTITUTE($A374,"-","#",H374),1))</f>
        <v>tot-grant</v>
      </c>
      <c r="L374" s="599"/>
      <c r="M374" s="471" t="s">
        <v>4948</v>
      </c>
      <c r="N374" s="471" t="s">
        <v>4949</v>
      </c>
      <c r="O374" s="471" t="s">
        <v>4950</v>
      </c>
    </row>
    <row r="375" spans="1:15" x14ac:dyDescent="0.25">
      <c r="A375" s="471" t="s">
        <v>1860</v>
      </c>
      <c r="B375" s="1139" t="e">
        <f t="shared" ca="1" si="42"/>
        <v>#N/A</v>
      </c>
      <c r="C375" s="473">
        <f t="shared" ca="1" si="45"/>
        <v>0</v>
      </c>
      <c r="H375" s="471">
        <v>2</v>
      </c>
      <c r="I375" s="471">
        <v>0</v>
      </c>
      <c r="J375" s="471" t="str">
        <f t="shared" si="46"/>
        <v>grantinpolup</v>
      </c>
      <c r="K375" s="471" t="str">
        <f t="shared" si="44"/>
        <v>tot-grant</v>
      </c>
      <c r="L375" s="599"/>
      <c r="M375" s="471" t="s">
        <v>4948</v>
      </c>
      <c r="N375" s="471" t="s">
        <v>4949</v>
      </c>
      <c r="O375" s="471" t="s">
        <v>4950</v>
      </c>
    </row>
    <row r="376" spans="1:15" x14ac:dyDescent="0.25">
      <c r="A376" s="471" t="s">
        <v>4955</v>
      </c>
      <c r="B376" s="1139" t="e">
        <f t="shared" ref="B376:B377" ca="1" si="79">INDEX(INDIRECT(LEFT($A376,SEARCH("-",$A376,1)-1)&amp;"_data"),MATCH(MID($A376,SEARCH("-",$A376)+1,SEARCH("#",SUBSTITUTE($A376,"-","#",H376),1)-(SEARCH("-",$A376)+1)),INDIRECT(LEFT($A376,SEARCH("-",$A376,1)-1)&amp;"_rows"),0),MATCH(RIGHT($A376,LEN($A376)-LEN(LEFT($A376,SEARCH("#",SUBSTITUTE($A376,"-","#",H376),1)))),INDIRECT(LEFT($A376,SEARCH("-",$A376,1)-1)&amp;"_Header"),0))</f>
        <v>#N/A</v>
      </c>
      <c r="C376" s="473">
        <f t="shared" ref="C376:C377" ca="1" si="80">IF(ISERROR(VLOOKUP(A376,INDIRECT("notes_"&amp;LEFT(A376,2)),4,0)),0,VLOOKUP(A376,INDIRECT("notes_"&amp;LEFT(A376,2)),4,0))</f>
        <v>0</v>
      </c>
      <c r="H376" s="471">
        <v>2</v>
      </c>
      <c r="I376" s="471">
        <v>0</v>
      </c>
      <c r="J376" s="471" t="str">
        <f t="shared" ref="J376:J377" si="81">MID($A376,SEARCH("-",$A376)+1,SEARCH("#",SUBSTITUTE($A376,"-","#",H376),1)-(SEARCH("-",$A376)+1))</f>
        <v>grantinneig</v>
      </c>
      <c r="K376" s="471" t="str">
        <f t="shared" ref="K376:K377" si="82">RIGHT($A376,LEN($A376)-SEARCH("#",SUBSTITUTE($A376,"-","#",H376),1))</f>
        <v>tot-grant</v>
      </c>
      <c r="L376" s="599"/>
      <c r="M376" s="471" t="s">
        <v>4948</v>
      </c>
      <c r="N376" s="471" t="s">
        <v>4949</v>
      </c>
      <c r="O376" s="471" t="s">
        <v>4950</v>
      </c>
    </row>
    <row r="377" spans="1:15" x14ac:dyDescent="0.25">
      <c r="A377" s="471" t="s">
        <v>4956</v>
      </c>
      <c r="B377" s="1139" t="e">
        <f t="shared" ca="1" si="79"/>
        <v>#N/A</v>
      </c>
      <c r="C377" s="473">
        <f t="shared" ca="1" si="80"/>
        <v>0</v>
      </c>
      <c r="H377" s="471">
        <v>2</v>
      </c>
      <c r="I377" s="471">
        <v>0</v>
      </c>
      <c r="J377" s="471" t="str">
        <f t="shared" si="81"/>
        <v>grantinpolnic</v>
      </c>
      <c r="K377" s="471" t="str">
        <f t="shared" si="82"/>
        <v>tot-grant</v>
      </c>
      <c r="L377" s="599"/>
      <c r="M377" s="471" t="s">
        <v>4948</v>
      </c>
      <c r="N377" s="471" t="s">
        <v>4949</v>
      </c>
      <c r="O377" s="471" t="s">
        <v>4950</v>
      </c>
    </row>
    <row r="378" spans="1:15" x14ac:dyDescent="0.25">
      <c r="A378" s="471" t="s">
        <v>1861</v>
      </c>
      <c r="B378" s="1139">
        <f t="shared" ca="1" si="42"/>
        <v>0</v>
      </c>
      <c r="C378" s="473">
        <f t="shared" ca="1" si="45"/>
        <v>0</v>
      </c>
      <c r="H378" s="471">
        <v>2</v>
      </c>
      <c r="I378" s="471">
        <v>0</v>
      </c>
      <c r="J378" s="471" t="str">
        <f t="shared" si="46"/>
        <v>grantinoth</v>
      </c>
      <c r="K378" s="471" t="str">
        <f t="shared" si="44"/>
        <v>tot-grant</v>
      </c>
      <c r="L378" s="599"/>
      <c r="M378" s="471" t="s">
        <v>4948</v>
      </c>
      <c r="N378" s="471" t="s">
        <v>4949</v>
      </c>
      <c r="O378" s="471" t="s">
        <v>4950</v>
      </c>
    </row>
    <row r="379" spans="1:15" x14ac:dyDescent="0.25">
      <c r="A379" s="471" t="s">
        <v>1862</v>
      </c>
      <c r="B379" s="1139" t="e">
        <f t="shared" ca="1" si="42"/>
        <v>#N/A</v>
      </c>
      <c r="C379" s="473">
        <f t="shared" ca="1" si="45"/>
        <v>0</v>
      </c>
      <c r="H379" s="471">
        <v>2</v>
      </c>
      <c r="I379" s="471">
        <v>0</v>
      </c>
      <c r="J379" s="471" t="str">
        <f t="shared" si="46"/>
        <v>grantintot</v>
      </c>
      <c r="K379" s="471" t="str">
        <f t="shared" si="44"/>
        <v>tot-grant</v>
      </c>
      <c r="L379" s="599"/>
      <c r="M379" s="471" t="s">
        <v>4948</v>
      </c>
      <c r="N379" s="471" t="s">
        <v>4949</v>
      </c>
      <c r="O379" s="471" t="s">
        <v>4950</v>
      </c>
    </row>
    <row r="380" spans="1:15" x14ac:dyDescent="0.25">
      <c r="A380" s="471" t="s">
        <v>1863</v>
      </c>
      <c r="B380" s="1139">
        <f t="shared" ca="1" si="42"/>
        <v>0</v>
      </c>
      <c r="C380" s="473">
        <f t="shared" ca="1" si="45"/>
        <v>0</v>
      </c>
      <c r="H380" s="471">
        <v>2</v>
      </c>
      <c r="I380" s="471">
        <v>0</v>
      </c>
      <c r="J380" s="471" t="str">
        <f t="shared" si="46"/>
        <v>grantoutacomm</v>
      </c>
      <c r="K380" s="471" t="str">
        <f t="shared" si="44"/>
        <v>tot-grant</v>
      </c>
      <c r="L380" s="599"/>
      <c r="M380" s="471" t="s">
        <v>4948</v>
      </c>
      <c r="N380" s="471" t="s">
        <v>4949</v>
      </c>
      <c r="O380" s="471" t="s">
        <v>4950</v>
      </c>
    </row>
    <row r="381" spans="1:15" x14ac:dyDescent="0.25">
      <c r="A381" s="471" t="s">
        <v>1864</v>
      </c>
      <c r="B381" s="1139">
        <f t="shared" ca="1" si="42"/>
        <v>0</v>
      </c>
      <c r="C381" s="473">
        <f t="shared" ca="1" si="45"/>
        <v>0</v>
      </c>
      <c r="H381" s="471">
        <v>2</v>
      </c>
      <c r="I381" s="471">
        <v>0</v>
      </c>
      <c r="J381" s="471" t="str">
        <f t="shared" si="46"/>
        <v>grantoutsixth</v>
      </c>
      <c r="K381" s="471" t="str">
        <f t="shared" si="44"/>
        <v>tot-grant</v>
      </c>
      <c r="L381" s="599"/>
      <c r="M381" s="471" t="s">
        <v>4948</v>
      </c>
      <c r="N381" s="471" t="s">
        <v>4949</v>
      </c>
      <c r="O381" s="471" t="s">
        <v>4950</v>
      </c>
    </row>
    <row r="382" spans="1:15" x14ac:dyDescent="0.25">
      <c r="A382" s="471" t="s">
        <v>1865</v>
      </c>
      <c r="B382" s="1139">
        <f t="shared" ca="1" si="42"/>
        <v>0</v>
      </c>
      <c r="C382" s="473">
        <f t="shared" ca="1" si="45"/>
        <v>0</v>
      </c>
      <c r="D382" s="472"/>
      <c r="E382" s="472" t="str">
        <f>RG!J62</f>
        <v/>
      </c>
      <c r="F382" s="472" t="str">
        <f>RG!K62</f>
        <v/>
      </c>
      <c r="H382" s="471">
        <v>2</v>
      </c>
      <c r="I382" s="471">
        <v>0</v>
      </c>
      <c r="J382" s="471" t="str">
        <f t="shared" si="46"/>
        <v>grantouthbrent</v>
      </c>
      <c r="K382" s="471" t="str">
        <f t="shared" si="44"/>
        <v>tot-grant</v>
      </c>
      <c r="L382" s="599"/>
      <c r="M382" s="471" t="s">
        <v>4948</v>
      </c>
      <c r="N382" s="471" t="s">
        <v>4949</v>
      </c>
      <c r="O382" s="471" t="s">
        <v>4950</v>
      </c>
    </row>
    <row r="383" spans="1:15" x14ac:dyDescent="0.25">
      <c r="A383" s="471" t="s">
        <v>1866</v>
      </c>
      <c r="B383" s="1139">
        <f t="shared" ca="1" si="42"/>
        <v>0</v>
      </c>
      <c r="C383" s="473">
        <f t="shared" ca="1" si="45"/>
        <v>0</v>
      </c>
      <c r="D383" s="472"/>
      <c r="E383" s="472" t="str">
        <f>RG!J63</f>
        <v/>
      </c>
      <c r="F383" s="472" t="str">
        <f>RG!K63</f>
        <v/>
      </c>
      <c r="H383" s="471">
        <v>2</v>
      </c>
      <c r="I383" s="471">
        <v>0</v>
      </c>
      <c r="J383" s="471" t="str">
        <f t="shared" si="46"/>
        <v>grantouthbnreb</v>
      </c>
      <c r="K383" s="471" t="str">
        <f t="shared" si="44"/>
        <v>tot-grant</v>
      </c>
      <c r="L383" s="599"/>
      <c r="M383" s="471" t="s">
        <v>4948</v>
      </c>
      <c r="N383" s="471" t="s">
        <v>4949</v>
      </c>
      <c r="O383" s="471" t="s">
        <v>4950</v>
      </c>
    </row>
    <row r="384" spans="1:15" x14ac:dyDescent="0.25">
      <c r="A384" s="471" t="s">
        <v>1867</v>
      </c>
      <c r="B384" s="1139">
        <f t="shared" ca="1" si="42"/>
        <v>0</v>
      </c>
      <c r="C384" s="473">
        <f t="shared" ca="1" si="45"/>
        <v>0</v>
      </c>
      <c r="D384" s="472"/>
      <c r="E384" s="472" t="str">
        <f>RG!J64</f>
        <v/>
      </c>
      <c r="F384" s="472" t="str">
        <f>RG!K64</f>
        <v/>
      </c>
      <c r="H384" s="471">
        <v>2</v>
      </c>
      <c r="I384" s="471">
        <v>0</v>
      </c>
      <c r="J384" s="471" t="str">
        <f t="shared" ref="J384:J385" si="83">MID($A384,SEARCH("-",$A384)+1,SEARCH("#",SUBSTITUTE($A384,"-","#",H384),1)-(SEARCH("-",$A384)+1))</f>
        <v>grantouthbhreb</v>
      </c>
      <c r="K384" s="471" t="str">
        <f t="shared" ref="K384:K385" si="84">RIGHT($A384,LEN($A384)-SEARCH("#",SUBSTITUTE($A384,"-","#",H384),1))</f>
        <v>tot-grant</v>
      </c>
      <c r="L384" s="599"/>
      <c r="M384" s="471" t="s">
        <v>4948</v>
      </c>
      <c r="N384" s="471" t="s">
        <v>4949</v>
      </c>
      <c r="O384" s="471" t="s">
        <v>4950</v>
      </c>
    </row>
    <row r="385" spans="1:15" x14ac:dyDescent="0.25">
      <c r="A385" s="471" t="s">
        <v>1868</v>
      </c>
      <c r="B385" s="1139">
        <f t="shared" ca="1" si="42"/>
        <v>0</v>
      </c>
      <c r="C385" s="473">
        <f t="shared" ca="1" si="45"/>
        <v>0</v>
      </c>
      <c r="H385" s="471">
        <v>2</v>
      </c>
      <c r="I385" s="471">
        <v>0</v>
      </c>
      <c r="J385" s="471" t="str">
        <f t="shared" si="83"/>
        <v>grantoutoth</v>
      </c>
      <c r="K385" s="471" t="str">
        <f t="shared" si="84"/>
        <v>tot-grant</v>
      </c>
      <c r="L385" s="599"/>
      <c r="M385" s="471" t="s">
        <v>4948</v>
      </c>
      <c r="N385" s="471" t="s">
        <v>4949</v>
      </c>
      <c r="O385" s="471" t="s">
        <v>4950</v>
      </c>
    </row>
    <row r="386" spans="1:15" x14ac:dyDescent="0.25">
      <c r="A386" s="471" t="s">
        <v>1869</v>
      </c>
      <c r="B386" s="1139">
        <f t="shared" ca="1" si="42"/>
        <v>0</v>
      </c>
      <c r="C386" s="473">
        <f t="shared" ca="1" si="45"/>
        <v>0</v>
      </c>
      <c r="H386" s="471">
        <f t="shared" ref="H386:H400" si="85">LEN(A386)-LEN(SUBSTITUTE(A386,"-",""))-I386</f>
        <v>2</v>
      </c>
      <c r="I386" s="471">
        <v>1</v>
      </c>
      <c r="J386" s="471" t="str">
        <f t="shared" ref="J386:J400" si="86">MID($A386,SEARCH("-",$A386)+1,SEARCH("#",SUBSTITUTE($A386,"-","#",H386),1)-(SEARCH("-",$A386)+1))</f>
        <v>grantouttot</v>
      </c>
      <c r="K386" s="471" t="str">
        <f t="shared" ref="K386:K387" si="87">RIGHT($A386,LEN($A386)-SEARCH("-",$A386,SEARCH("-",$A386)+1))</f>
        <v>tot-grant</v>
      </c>
      <c r="L386" s="599"/>
      <c r="M386" s="471" t="s">
        <v>4948</v>
      </c>
      <c r="N386" s="471" t="s">
        <v>4949</v>
      </c>
      <c r="O386" s="471" t="s">
        <v>4950</v>
      </c>
    </row>
    <row r="387" spans="1:15" x14ac:dyDescent="0.25">
      <c r="A387" s="471" t="s">
        <v>1870</v>
      </c>
      <c r="B387" s="1139" t="e">
        <f t="shared" ca="1" si="42"/>
        <v>#N/A</v>
      </c>
      <c r="C387" s="473">
        <f t="shared" ca="1" si="45"/>
        <v>0</v>
      </c>
      <c r="H387" s="471">
        <f t="shared" si="85"/>
        <v>2</v>
      </c>
      <c r="I387" s="471">
        <v>1</v>
      </c>
      <c r="J387" s="471" t="str">
        <f t="shared" si="86"/>
        <v>granttot</v>
      </c>
      <c r="K387" s="471" t="str">
        <f t="shared" si="87"/>
        <v>tot-grant</v>
      </c>
      <c r="L387" s="599"/>
      <c r="M387" s="471" t="s">
        <v>4948</v>
      </c>
      <c r="N387" s="471" t="s">
        <v>4949</v>
      </c>
      <c r="O387" s="471" t="s">
        <v>4950</v>
      </c>
    </row>
    <row r="388" spans="1:15" x14ac:dyDescent="0.25">
      <c r="A388" s="471" t="s">
        <v>1871</v>
      </c>
      <c r="B388" s="1139">
        <f t="shared" ca="1" si="42"/>
        <v>0</v>
      </c>
      <c r="C388" s="473">
        <f t="shared" ca="1" si="45"/>
        <v>0</v>
      </c>
      <c r="H388" s="471">
        <f t="shared" si="85"/>
        <v>5</v>
      </c>
      <c r="I388" s="471">
        <v>1</v>
      </c>
      <c r="J388" s="471" t="str">
        <f t="shared" si="86"/>
        <v>grantinoth-prm-spr-oth</v>
      </c>
      <c r="K388" s="471" t="str">
        <f t="shared" ref="K388:K400" si="88">RIGHT($A388,LEN($A388)-SEARCH("#",SUBSTITUTE($A388,"-","#",H388),1))</f>
        <v>tot-grant</v>
      </c>
      <c r="L388" s="599"/>
      <c r="M388" s="471" t="s">
        <v>4948</v>
      </c>
      <c r="N388" s="471" t="s">
        <v>4949</v>
      </c>
      <c r="O388" s="471" t="s">
        <v>4950</v>
      </c>
    </row>
    <row r="389" spans="1:15" x14ac:dyDescent="0.25">
      <c r="A389" s="471" t="s">
        <v>1872</v>
      </c>
      <c r="B389" s="1139">
        <f t="shared" ca="1" si="42"/>
        <v>0</v>
      </c>
      <c r="C389" s="473">
        <f t="shared" ca="1" si="45"/>
        <v>0</v>
      </c>
      <c r="H389" s="471">
        <f t="shared" si="85"/>
        <v>5</v>
      </c>
      <c r="I389" s="471">
        <v>1</v>
      </c>
      <c r="J389" s="471" t="str">
        <f t="shared" si="86"/>
        <v>grantinoth-prd-cs-oth</v>
      </c>
      <c r="K389" s="471" t="str">
        <f t="shared" si="88"/>
        <v>tot-grant</v>
      </c>
      <c r="L389" s="599"/>
      <c r="M389" s="471" t="s">
        <v>4948</v>
      </c>
      <c r="N389" s="471" t="s">
        <v>4949</v>
      </c>
      <c r="O389" s="471" t="s">
        <v>4950</v>
      </c>
    </row>
    <row r="390" spans="1:15" x14ac:dyDescent="0.25">
      <c r="A390" s="471" t="s">
        <v>1873</v>
      </c>
      <c r="B390" s="1139">
        <f t="shared" ca="1" si="42"/>
        <v>0</v>
      </c>
      <c r="C390" s="473">
        <f t="shared" ca="1" si="45"/>
        <v>0</v>
      </c>
      <c r="H390" s="471">
        <f t="shared" si="85"/>
        <v>5</v>
      </c>
      <c r="I390" s="471">
        <v>1</v>
      </c>
      <c r="J390" s="471" t="str">
        <f t="shared" si="86"/>
        <v>grantinoth-ks2-mm-oth</v>
      </c>
      <c r="K390" s="471" t="str">
        <f t="shared" si="88"/>
        <v>tot-grant</v>
      </c>
      <c r="L390" s="599"/>
      <c r="M390" s="471" t="s">
        <v>4948</v>
      </c>
      <c r="N390" s="471" t="s">
        <v>4949</v>
      </c>
      <c r="O390" s="471" t="s">
        <v>4950</v>
      </c>
    </row>
    <row r="391" spans="1:15" x14ac:dyDescent="0.25">
      <c r="A391" s="471" t="s">
        <v>1874</v>
      </c>
      <c r="B391" s="1139">
        <f t="shared" ca="1" si="42"/>
        <v>0</v>
      </c>
      <c r="C391" s="473">
        <f t="shared" ca="1" si="45"/>
        <v>0</v>
      </c>
      <c r="H391" s="471">
        <f t="shared" si="85"/>
        <v>4</v>
      </c>
      <c r="I391" s="471">
        <v>1</v>
      </c>
      <c r="J391" s="471" t="str">
        <f t="shared" si="86"/>
        <v>grantinoth-spg-oth</v>
      </c>
      <c r="K391" s="471" t="str">
        <f t="shared" si="88"/>
        <v>tot-grant</v>
      </c>
      <c r="L391" s="599"/>
      <c r="M391" s="471" t="s">
        <v>4948</v>
      </c>
      <c r="N391" s="471" t="s">
        <v>4949</v>
      </c>
      <c r="O391" s="471" t="s">
        <v>4950</v>
      </c>
    </row>
    <row r="392" spans="1:15" x14ac:dyDescent="0.25">
      <c r="A392" s="471" t="s">
        <v>1875</v>
      </c>
      <c r="B392" s="1139">
        <f t="shared" ca="1" si="42"/>
        <v>0</v>
      </c>
      <c r="C392" s="473">
        <f t="shared" ca="1" si="45"/>
        <v>0</v>
      </c>
      <c r="H392" s="471">
        <f t="shared" si="85"/>
        <v>6</v>
      </c>
      <c r="I392" s="471">
        <v>1</v>
      </c>
      <c r="J392" s="471" t="str">
        <f t="shared" si="86"/>
        <v>grantinoth-met-rail-srv-oth</v>
      </c>
      <c r="K392" s="471" t="str">
        <f t="shared" si="88"/>
        <v>tot-grant</v>
      </c>
      <c r="L392" s="599"/>
      <c r="M392" s="471" t="s">
        <v>4948</v>
      </c>
      <c r="N392" s="471" t="s">
        <v>4949</v>
      </c>
      <c r="O392" s="471" t="s">
        <v>4950</v>
      </c>
    </row>
    <row r="393" spans="1:15" x14ac:dyDescent="0.25">
      <c r="A393" s="471" t="s">
        <v>1876</v>
      </c>
      <c r="B393" s="1139">
        <f t="shared" ca="1" si="42"/>
        <v>0</v>
      </c>
      <c r="C393" s="473">
        <f t="shared" ca="1" si="45"/>
        <v>0</v>
      </c>
      <c r="H393" s="471">
        <f t="shared" si="85"/>
        <v>5</v>
      </c>
      <c r="I393" s="471">
        <v>1</v>
      </c>
      <c r="J393" s="471" t="str">
        <f t="shared" si="86"/>
        <v>grantinoth-mrsy-trvl-oth</v>
      </c>
      <c r="K393" s="471" t="str">
        <f t="shared" si="88"/>
        <v>tot-grant</v>
      </c>
      <c r="L393" s="599"/>
      <c r="M393" s="471" t="s">
        <v>4948</v>
      </c>
      <c r="N393" s="471" t="s">
        <v>4949</v>
      </c>
      <c r="O393" s="471" t="s">
        <v>4950</v>
      </c>
    </row>
    <row r="394" spans="1:15" x14ac:dyDescent="0.25">
      <c r="A394" s="471" t="s">
        <v>1877</v>
      </c>
      <c r="B394" s="1139">
        <f t="shared" ca="1" si="42"/>
        <v>0</v>
      </c>
      <c r="C394" s="473">
        <f t="shared" ca="1" si="45"/>
        <v>0</v>
      </c>
      <c r="H394" s="471">
        <f t="shared" si="85"/>
        <v>5</v>
      </c>
      <c r="I394" s="471">
        <v>1</v>
      </c>
      <c r="J394" s="471" t="str">
        <f t="shared" si="86"/>
        <v>grantinoth-acc-fnd-oth</v>
      </c>
      <c r="K394" s="471" t="str">
        <f t="shared" si="88"/>
        <v>tot-grant</v>
      </c>
      <c r="L394" s="599"/>
      <c r="M394" s="471" t="s">
        <v>4948</v>
      </c>
      <c r="N394" s="471" t="s">
        <v>4949</v>
      </c>
      <c r="O394" s="471" t="s">
        <v>4950</v>
      </c>
    </row>
    <row r="395" spans="1:15" x14ac:dyDescent="0.25">
      <c r="A395" s="471" t="s">
        <v>1878</v>
      </c>
      <c r="B395" s="1139">
        <f t="shared" ca="1" si="42"/>
        <v>0</v>
      </c>
      <c r="C395" s="473">
        <f t="shared" ca="1" si="45"/>
        <v>0</v>
      </c>
      <c r="H395" s="471">
        <f t="shared" si="85"/>
        <v>4</v>
      </c>
      <c r="I395" s="471">
        <v>1</v>
      </c>
      <c r="J395" s="471" t="str">
        <f t="shared" si="86"/>
        <v>grantinoth-bso-oth</v>
      </c>
      <c r="K395" s="471" t="str">
        <f t="shared" si="88"/>
        <v>tot-grant</v>
      </c>
      <c r="L395" s="599"/>
      <c r="M395" s="471" t="s">
        <v>4948</v>
      </c>
      <c r="N395" s="471" t="s">
        <v>4949</v>
      </c>
      <c r="O395" s="471" t="s">
        <v>4950</v>
      </c>
    </row>
    <row r="396" spans="1:15" x14ac:dyDescent="0.25">
      <c r="A396" s="471" t="s">
        <v>1879</v>
      </c>
      <c r="B396" s="1139">
        <f t="shared" ca="1" si="42"/>
        <v>0</v>
      </c>
      <c r="C396" s="473">
        <f t="shared" ca="1" si="45"/>
        <v>0</v>
      </c>
      <c r="H396" s="471">
        <f t="shared" si="85"/>
        <v>5</v>
      </c>
      <c r="I396" s="471">
        <v>1</v>
      </c>
      <c r="J396" s="471" t="str">
        <f t="shared" si="86"/>
        <v>grantinoth-lcl-rfrm-oth</v>
      </c>
      <c r="K396" s="471" t="str">
        <f t="shared" si="88"/>
        <v>tot-grant</v>
      </c>
      <c r="L396" s="599"/>
      <c r="M396" s="471" t="s">
        <v>4948</v>
      </c>
      <c r="N396" s="471" t="s">
        <v>4949</v>
      </c>
      <c r="O396" s="471" t="s">
        <v>4950</v>
      </c>
    </row>
    <row r="397" spans="1:15" x14ac:dyDescent="0.25">
      <c r="A397" s="471" t="s">
        <v>1880</v>
      </c>
      <c r="B397" s="1139">
        <f t="shared" ca="1" si="42"/>
        <v>0</v>
      </c>
      <c r="C397" s="473">
        <f t="shared" ca="1" si="45"/>
        <v>0</v>
      </c>
      <c r="H397" s="471">
        <f t="shared" si="85"/>
        <v>5</v>
      </c>
      <c r="I397" s="471">
        <v>1</v>
      </c>
      <c r="J397" s="471" t="str">
        <f t="shared" si="86"/>
        <v>grantinoth-hb-rfr-oth</v>
      </c>
      <c r="K397" s="471" t="str">
        <f t="shared" si="88"/>
        <v>tot-grant</v>
      </c>
      <c r="L397" s="599"/>
      <c r="M397" s="471" t="s">
        <v>4948</v>
      </c>
      <c r="N397" s="471" t="s">
        <v>4949</v>
      </c>
      <c r="O397" s="471" t="s">
        <v>4950</v>
      </c>
    </row>
    <row r="398" spans="1:15" x14ac:dyDescent="0.25">
      <c r="A398" s="471" t="s">
        <v>1881</v>
      </c>
      <c r="B398" s="1139">
        <f t="shared" ref="B398:B409" ca="1" si="89">INDEX(INDIRECT(LEFT($A398,SEARCH("-",$A398,1)-1)&amp;"_data"),MATCH(MID($A398,SEARCH("-",$A398)+1,SEARCH("#",SUBSTITUTE($A398,"-","#",H398),1)-(SEARCH("-",$A398)+1)),INDIRECT(LEFT($A398,SEARCH("-",$A398,1)-1)&amp;"_rows"),0),MATCH(RIGHT($A398,LEN($A398)-LEN(LEFT($A398,SEARCH("#",SUBSTITUTE($A398,"-","#",H398),1)))),INDIRECT(LEFT($A398,SEARCH("-",$A398,1)-1)&amp;"_Header"),0))</f>
        <v>0</v>
      </c>
      <c r="C398" s="473">
        <f t="shared" ca="1" si="45"/>
        <v>0</v>
      </c>
      <c r="H398" s="471">
        <f t="shared" si="85"/>
        <v>4</v>
      </c>
      <c r="I398" s="471">
        <v>1</v>
      </c>
      <c r="J398" s="471" t="str">
        <f t="shared" si="86"/>
        <v>grantinoth-sfa-oth</v>
      </c>
      <c r="K398" s="471" t="str">
        <f t="shared" si="88"/>
        <v>tot-grant</v>
      </c>
      <c r="L398" s="599"/>
      <c r="M398" s="471" t="s">
        <v>4948</v>
      </c>
      <c r="N398" s="471" t="s">
        <v>4949</v>
      </c>
      <c r="O398" s="471" t="s">
        <v>4950</v>
      </c>
    </row>
    <row r="399" spans="1:15" x14ac:dyDescent="0.25">
      <c r="A399" s="471" t="s">
        <v>1882</v>
      </c>
      <c r="B399" s="1139">
        <f t="shared" ca="1" si="89"/>
        <v>0</v>
      </c>
      <c r="C399" s="473">
        <f t="shared" ca="1" si="45"/>
        <v>0</v>
      </c>
      <c r="H399" s="471">
        <f t="shared" si="85"/>
        <v>5</v>
      </c>
      <c r="I399" s="471">
        <v>1</v>
      </c>
      <c r="J399" s="471" t="str">
        <f t="shared" si="86"/>
        <v>grantinoth-gla-stt-oth</v>
      </c>
      <c r="K399" s="471" t="str">
        <f t="shared" si="88"/>
        <v>tot-grant</v>
      </c>
      <c r="L399" s="599"/>
      <c r="M399" s="471" t="s">
        <v>4948</v>
      </c>
      <c r="N399" s="471" t="s">
        <v>4949</v>
      </c>
      <c r="O399" s="471" t="s">
        <v>4950</v>
      </c>
    </row>
    <row r="400" spans="1:15" x14ac:dyDescent="0.25">
      <c r="A400" s="471" t="s">
        <v>1883</v>
      </c>
      <c r="B400" s="1139">
        <f t="shared" ca="1" si="89"/>
        <v>0</v>
      </c>
      <c r="C400" s="473">
        <f t="shared" ca="1" si="45"/>
        <v>0</v>
      </c>
      <c r="H400" s="471">
        <f t="shared" si="85"/>
        <v>5</v>
      </c>
      <c r="I400" s="471">
        <v>1</v>
      </c>
      <c r="J400" s="471" t="str">
        <f t="shared" si="86"/>
        <v>grantinoth-trb-fml-oth</v>
      </c>
      <c r="K400" s="471" t="str">
        <f t="shared" si="88"/>
        <v>tot-grant</v>
      </c>
      <c r="L400" s="599"/>
      <c r="M400" s="471" t="s">
        <v>4948</v>
      </c>
      <c r="N400" s="471" t="s">
        <v>4949</v>
      </c>
      <c r="O400" s="471" t="s">
        <v>4950</v>
      </c>
    </row>
    <row r="401" spans="1:15" x14ac:dyDescent="0.25">
      <c r="A401" s="471" t="s">
        <v>1884</v>
      </c>
      <c r="B401" s="1139">
        <f t="shared" ca="1" si="89"/>
        <v>0</v>
      </c>
      <c r="C401" s="473">
        <f t="shared" ca="1" si="45"/>
        <v>0</v>
      </c>
      <c r="H401" s="471">
        <f t="shared" ref="H401:H516" si="90">LEN(A401)-LEN(SUBSTITUTE(A401,"-",""))-I401</f>
        <v>5</v>
      </c>
      <c r="I401" s="471">
        <v>1</v>
      </c>
      <c r="J401" s="471" t="str">
        <f t="shared" ref="J401:J424" si="91">MID($A401,SEARCH("-",$A401)+1,SEARCH("#",SUBSTITUTE($A401,"-","#",H401),1)-(SEARCH("-",$A401)+1))</f>
        <v>grantinoth-ntn-prk-oth</v>
      </c>
      <c r="K401" s="471" t="str">
        <f t="shared" ref="K401:K427" si="92">RIGHT($A401,LEN($A401)-SEARCH("#",SUBSTITUTE($A401,"-","#",H401),1))</f>
        <v>tot-grant</v>
      </c>
      <c r="L401" s="599"/>
      <c r="M401" s="471" t="s">
        <v>4948</v>
      </c>
      <c r="N401" s="471" t="s">
        <v>4949</v>
      </c>
      <c r="O401" s="471" t="s">
        <v>4950</v>
      </c>
    </row>
    <row r="402" spans="1:15" x14ac:dyDescent="0.25">
      <c r="A402" s="471" t="s">
        <v>1885</v>
      </c>
      <c r="B402" s="1139">
        <f t="shared" ca="1" si="89"/>
        <v>0</v>
      </c>
      <c r="C402" s="473">
        <f t="shared" ca="1" si="45"/>
        <v>0</v>
      </c>
      <c r="H402" s="471">
        <f t="shared" si="90"/>
        <v>4</v>
      </c>
      <c r="I402" s="471">
        <v>1</v>
      </c>
      <c r="J402" s="471" t="str">
        <f t="shared" si="91"/>
        <v>grantinoth-asy-oth</v>
      </c>
      <c r="K402" s="471" t="str">
        <f t="shared" si="92"/>
        <v>tot-grant</v>
      </c>
      <c r="L402" s="599"/>
      <c r="M402" s="471" t="s">
        <v>4948</v>
      </c>
      <c r="N402" s="471" t="s">
        <v>4949</v>
      </c>
      <c r="O402" s="471" t="s">
        <v>4950</v>
      </c>
    </row>
    <row r="403" spans="1:15" x14ac:dyDescent="0.25">
      <c r="A403" s="471" t="s">
        <v>1886</v>
      </c>
      <c r="B403" s="1139">
        <f t="shared" ca="1" si="89"/>
        <v>0</v>
      </c>
      <c r="C403" s="473">
        <f t="shared" ref="C403:C515" ca="1" si="93">IF(ISERROR(VLOOKUP(A403,INDIRECT("notes_"&amp;LEFT(A403,2)),4,0)),0,VLOOKUP(A403,INDIRECT("notes_"&amp;LEFT(A403,2)),4,0))</f>
        <v>0</v>
      </c>
      <c r="H403" s="471">
        <f t="shared" si="90"/>
        <v>4</v>
      </c>
      <c r="I403" s="471">
        <v>1</v>
      </c>
      <c r="J403" s="471" t="str">
        <f t="shared" si="91"/>
        <v>grantinoth-ct-oth</v>
      </c>
      <c r="K403" s="471" t="str">
        <f t="shared" si="92"/>
        <v>tot-grant</v>
      </c>
      <c r="L403" s="599"/>
      <c r="M403" s="471" t="s">
        <v>4948</v>
      </c>
      <c r="N403" s="471" t="s">
        <v>4949</v>
      </c>
      <c r="O403" s="471" t="s">
        <v>4950</v>
      </c>
    </row>
    <row r="404" spans="1:15" x14ac:dyDescent="0.25">
      <c r="A404" s="471" t="s">
        <v>1887</v>
      </c>
      <c r="B404" s="1139">
        <f t="shared" ca="1" si="89"/>
        <v>0</v>
      </c>
      <c r="C404" s="473">
        <f t="shared" ca="1" si="93"/>
        <v>0</v>
      </c>
      <c r="G404" s="471">
        <f>RG!C90</f>
        <v>0</v>
      </c>
      <c r="H404" s="471">
        <v>4</v>
      </c>
      <c r="I404" s="471">
        <v>1</v>
      </c>
      <c r="J404" s="471" t="str">
        <f t="shared" si="91"/>
        <v>grantinoth1-name-oth</v>
      </c>
      <c r="K404" s="471" t="str">
        <f t="shared" si="92"/>
        <v>tot-grant</v>
      </c>
      <c r="L404" s="599"/>
      <c r="M404" s="471" t="s">
        <v>4948</v>
      </c>
      <c r="N404" s="471" t="s">
        <v>4949</v>
      </c>
      <c r="O404" s="471" t="s">
        <v>4950</v>
      </c>
    </row>
    <row r="405" spans="1:15" x14ac:dyDescent="0.25">
      <c r="A405" s="471" t="s">
        <v>1888</v>
      </c>
      <c r="B405" s="1139">
        <f t="shared" ca="1" si="89"/>
        <v>0</v>
      </c>
      <c r="C405" s="473">
        <f t="shared" ca="1" si="93"/>
        <v>0</v>
      </c>
      <c r="G405" s="471">
        <f>RG!C91</f>
        <v>0</v>
      </c>
      <c r="H405" s="471">
        <f t="shared" si="90"/>
        <v>4</v>
      </c>
      <c r="I405" s="471">
        <v>1</v>
      </c>
      <c r="J405" s="471" t="str">
        <f t="shared" si="91"/>
        <v>grantinoth2-name-oth</v>
      </c>
      <c r="K405" s="471" t="str">
        <f t="shared" si="92"/>
        <v>tot-grant</v>
      </c>
      <c r="L405" s="599"/>
      <c r="M405" s="471" t="s">
        <v>4948</v>
      </c>
      <c r="N405" s="471" t="s">
        <v>4949</v>
      </c>
      <c r="O405" s="471" t="s">
        <v>4950</v>
      </c>
    </row>
    <row r="406" spans="1:15" x14ac:dyDescent="0.25">
      <c r="A406" s="471" t="s">
        <v>1889</v>
      </c>
      <c r="B406" s="1139">
        <f t="shared" ca="1" si="89"/>
        <v>0</v>
      </c>
      <c r="C406" s="473">
        <f t="shared" ca="1" si="93"/>
        <v>0</v>
      </c>
      <c r="G406" s="471">
        <f>RG!C92</f>
        <v>0</v>
      </c>
      <c r="H406" s="471">
        <f t="shared" si="90"/>
        <v>4</v>
      </c>
      <c r="I406" s="471">
        <v>1</v>
      </c>
      <c r="J406" s="471" t="str">
        <f t="shared" si="91"/>
        <v>grantinoth3-name-oth</v>
      </c>
      <c r="K406" s="471" t="str">
        <f t="shared" si="92"/>
        <v>tot-grant</v>
      </c>
      <c r="L406" s="599"/>
      <c r="M406" s="471" t="s">
        <v>4948</v>
      </c>
      <c r="N406" s="471" t="s">
        <v>4949</v>
      </c>
      <c r="O406" s="471" t="s">
        <v>4950</v>
      </c>
    </row>
    <row r="407" spans="1:15" x14ac:dyDescent="0.25">
      <c r="A407" s="471" t="s">
        <v>1890</v>
      </c>
      <c r="B407" s="1139">
        <f t="shared" ca="1" si="89"/>
        <v>0</v>
      </c>
      <c r="C407" s="473">
        <f t="shared" ca="1" si="93"/>
        <v>0</v>
      </c>
      <c r="G407" s="471">
        <f>RG!C93</f>
        <v>0</v>
      </c>
      <c r="H407" s="471">
        <f t="shared" si="90"/>
        <v>4</v>
      </c>
      <c r="I407" s="471">
        <v>1</v>
      </c>
      <c r="J407" s="471" t="str">
        <f t="shared" si="91"/>
        <v>grantinoth4-name-oth</v>
      </c>
      <c r="K407" s="471" t="str">
        <f t="shared" si="92"/>
        <v>tot-grant</v>
      </c>
      <c r="L407" s="599"/>
      <c r="M407" s="471" t="s">
        <v>4948</v>
      </c>
      <c r="N407" s="471" t="s">
        <v>4949</v>
      </c>
      <c r="O407" s="471" t="s">
        <v>4950</v>
      </c>
    </row>
    <row r="408" spans="1:15" x14ac:dyDescent="0.25">
      <c r="A408" s="471" t="s">
        <v>1891</v>
      </c>
      <c r="B408" s="1139">
        <f t="shared" ca="1" si="89"/>
        <v>0</v>
      </c>
      <c r="C408" s="473">
        <f t="shared" ca="1" si="93"/>
        <v>0</v>
      </c>
      <c r="G408" s="471">
        <f>RG!C94</f>
        <v>0</v>
      </c>
      <c r="H408" s="471">
        <f t="shared" si="90"/>
        <v>4</v>
      </c>
      <c r="I408" s="471">
        <v>1</v>
      </c>
      <c r="J408" s="471" t="str">
        <f t="shared" si="91"/>
        <v>grantinoth5-name-oth</v>
      </c>
      <c r="K408" s="471" t="str">
        <f t="shared" si="92"/>
        <v>tot-grant</v>
      </c>
      <c r="L408" s="599"/>
      <c r="M408" s="471" t="s">
        <v>4948</v>
      </c>
      <c r="N408" s="471" t="s">
        <v>4949</v>
      </c>
      <c r="O408" s="471" t="s">
        <v>4950</v>
      </c>
    </row>
    <row r="409" spans="1:15" x14ac:dyDescent="0.25">
      <c r="A409" s="471" t="s">
        <v>1892</v>
      </c>
      <c r="B409" s="1139">
        <f t="shared" ca="1" si="89"/>
        <v>0</v>
      </c>
      <c r="C409" s="473">
        <f t="shared" ca="1" si="93"/>
        <v>0</v>
      </c>
      <c r="G409" s="471">
        <f>RG!C95</f>
        <v>0</v>
      </c>
      <c r="H409" s="471">
        <f t="shared" si="90"/>
        <v>4</v>
      </c>
      <c r="I409" s="471">
        <v>1</v>
      </c>
      <c r="J409" s="471" t="str">
        <f t="shared" si="91"/>
        <v>grantinoth6-name-oth</v>
      </c>
      <c r="K409" s="471" t="str">
        <f t="shared" si="92"/>
        <v>tot-grant</v>
      </c>
      <c r="L409" s="599"/>
      <c r="M409" s="471" t="s">
        <v>4948</v>
      </c>
      <c r="N409" s="471" t="s">
        <v>4949</v>
      </c>
      <c r="O409" s="471" t="s">
        <v>4950</v>
      </c>
    </row>
    <row r="410" spans="1:15" x14ac:dyDescent="0.25">
      <c r="A410" s="471" t="s">
        <v>1893</v>
      </c>
      <c r="B410" s="1139">
        <f ca="1">INDEX(INDIRECT(LEFT($A410,SEARCH("-",$A410,1)-1)&amp;"_data"),MATCH(MID($A410,SEARCH("-",$A410)+1,SEARCH("#",SUBSTITUTE($A410,"-","#",H410),1)-(SEARCH("-",$A410)+1)),INDIRECT(LEFT($A410,SEARCH("-",$A410,1)-1)&amp;"_rows"),0),MATCH(RIGHT($A410,LEN($A410)-LEN(LEFT($A410,SEARCH("#",SUBSTITUTE($A410,"-","#",H410),1)))),INDIRECT(LEFT($A410,SEARCH("-",$A410,1)-1)&amp;"_Header"),0))</f>
        <v>0</v>
      </c>
      <c r="C410" s="473">
        <f t="shared" ca="1" si="93"/>
        <v>0</v>
      </c>
      <c r="G410" s="471">
        <f>RG!C96</f>
        <v>0</v>
      </c>
      <c r="H410" s="471">
        <f t="shared" si="90"/>
        <v>4</v>
      </c>
      <c r="I410" s="471">
        <v>1</v>
      </c>
      <c r="J410" s="471" t="str">
        <f t="shared" si="91"/>
        <v>grantinoth7-name-oth</v>
      </c>
      <c r="K410" s="471" t="str">
        <f t="shared" si="92"/>
        <v>tot-grant</v>
      </c>
      <c r="L410" s="599"/>
      <c r="M410" s="471" t="s">
        <v>4948</v>
      </c>
      <c r="N410" s="471" t="s">
        <v>4949</v>
      </c>
      <c r="O410" s="471" t="s">
        <v>4950</v>
      </c>
    </row>
    <row r="411" spans="1:15" x14ac:dyDescent="0.25">
      <c r="A411" s="471" t="s">
        <v>1894</v>
      </c>
      <c r="B411" s="1139">
        <f t="shared" ref="B411:B418" ca="1" si="94">INDEX(INDIRECT(LEFT($A411,SEARCH("-",$A411,1)-1)&amp;"_data"),MATCH(MID($A411,SEARCH("-",$A411)+1,SEARCH("#",SUBSTITUTE($A411,"-","#",H411),1)-(SEARCH("-",$A411)+1)),INDIRECT(LEFT($A411,SEARCH("-",$A411,1)-1)&amp;"_rows"),0),MATCH(RIGHT($A411,LEN($A411)-LEN(LEFT($A411,SEARCH("#",SUBSTITUTE($A411,"-","#",H411),1)))),INDIRECT(LEFT($A411,SEARCH("-",$A411,1)-1)&amp;"_Header"),0))</f>
        <v>0</v>
      </c>
      <c r="C411" s="473">
        <f t="shared" ca="1" si="93"/>
        <v>0</v>
      </c>
      <c r="G411" s="471">
        <f>RG!C97</f>
        <v>0</v>
      </c>
      <c r="H411" s="471">
        <f t="shared" si="90"/>
        <v>4</v>
      </c>
      <c r="I411" s="471">
        <v>1</v>
      </c>
      <c r="J411" s="471" t="str">
        <f t="shared" si="91"/>
        <v>grantinoth8-name-oth</v>
      </c>
      <c r="K411" s="471" t="str">
        <f t="shared" si="92"/>
        <v>tot-grant</v>
      </c>
      <c r="L411" s="599"/>
      <c r="M411" s="471" t="s">
        <v>4948</v>
      </c>
      <c r="N411" s="471" t="s">
        <v>4949</v>
      </c>
      <c r="O411" s="471" t="s">
        <v>4950</v>
      </c>
    </row>
    <row r="412" spans="1:15" x14ac:dyDescent="0.25">
      <c r="A412" s="471" t="s">
        <v>1895</v>
      </c>
      <c r="B412" s="1139">
        <f t="shared" ca="1" si="94"/>
        <v>0</v>
      </c>
      <c r="C412" s="473">
        <f t="shared" ca="1" si="93"/>
        <v>0</v>
      </c>
      <c r="G412" s="471">
        <f>RG!C98</f>
        <v>0</v>
      </c>
      <c r="H412" s="471">
        <f t="shared" si="90"/>
        <v>4</v>
      </c>
      <c r="I412" s="471">
        <v>1</v>
      </c>
      <c r="J412" s="471" t="str">
        <f t="shared" si="91"/>
        <v>grantinoth9-name-oth</v>
      </c>
      <c r="K412" s="471" t="str">
        <f t="shared" si="92"/>
        <v>tot-grant</v>
      </c>
      <c r="L412" s="599"/>
      <c r="M412" s="471" t="s">
        <v>4948</v>
      </c>
      <c r="N412" s="471" t="s">
        <v>4949</v>
      </c>
      <c r="O412" s="471" t="s">
        <v>4950</v>
      </c>
    </row>
    <row r="413" spans="1:15" x14ac:dyDescent="0.25">
      <c r="A413" s="471" t="s">
        <v>1896</v>
      </c>
      <c r="B413" s="1139">
        <f t="shared" ca="1" si="94"/>
        <v>0</v>
      </c>
      <c r="C413" s="473">
        <f t="shared" ca="1" si="93"/>
        <v>0</v>
      </c>
      <c r="G413" s="471">
        <f>RG!C99</f>
        <v>0</v>
      </c>
      <c r="H413" s="471">
        <f t="shared" si="90"/>
        <v>4</v>
      </c>
      <c r="I413" s="471">
        <v>1</v>
      </c>
      <c r="J413" s="471" t="str">
        <f t="shared" si="91"/>
        <v>grantinoth10-name-oth</v>
      </c>
      <c r="K413" s="471" t="str">
        <f t="shared" si="92"/>
        <v>tot-grant</v>
      </c>
      <c r="L413" s="599"/>
      <c r="M413" s="471" t="s">
        <v>4948</v>
      </c>
      <c r="N413" s="471" t="s">
        <v>4949</v>
      </c>
      <c r="O413" s="471" t="s">
        <v>4950</v>
      </c>
    </row>
    <row r="414" spans="1:15" x14ac:dyDescent="0.25">
      <c r="A414" s="471" t="s">
        <v>1897</v>
      </c>
      <c r="B414" s="1139">
        <f t="shared" ca="1" si="94"/>
        <v>0</v>
      </c>
      <c r="C414" s="473">
        <f t="shared" ca="1" si="93"/>
        <v>0</v>
      </c>
      <c r="G414" s="471">
        <f>RG!C100</f>
        <v>0</v>
      </c>
      <c r="H414" s="471">
        <f t="shared" si="90"/>
        <v>4</v>
      </c>
      <c r="I414" s="471">
        <v>1</v>
      </c>
      <c r="J414" s="471" t="str">
        <f t="shared" si="91"/>
        <v>grantinoth11-name-oth</v>
      </c>
      <c r="K414" s="471" t="str">
        <f t="shared" si="92"/>
        <v>tot-grant</v>
      </c>
      <c r="L414" s="599"/>
      <c r="M414" s="471" t="s">
        <v>4948</v>
      </c>
      <c r="N414" s="471" t="s">
        <v>4949</v>
      </c>
      <c r="O414" s="471" t="s">
        <v>4950</v>
      </c>
    </row>
    <row r="415" spans="1:15" x14ac:dyDescent="0.25">
      <c r="A415" s="471" t="s">
        <v>1898</v>
      </c>
      <c r="B415" s="1139">
        <f t="shared" ca="1" si="94"/>
        <v>0</v>
      </c>
      <c r="C415" s="473">
        <f t="shared" ca="1" si="93"/>
        <v>0</v>
      </c>
      <c r="G415" s="471">
        <f>RG!C101</f>
        <v>0</v>
      </c>
      <c r="H415" s="471">
        <f t="shared" si="90"/>
        <v>4</v>
      </c>
      <c r="I415" s="471">
        <v>1</v>
      </c>
      <c r="J415" s="471" t="str">
        <f t="shared" si="91"/>
        <v>grantinoth12-name-oth</v>
      </c>
      <c r="K415" s="471" t="str">
        <f t="shared" si="92"/>
        <v>tot-grant</v>
      </c>
      <c r="L415" s="599"/>
      <c r="M415" s="471" t="s">
        <v>4948</v>
      </c>
      <c r="N415" s="471" t="s">
        <v>4949</v>
      </c>
      <c r="O415" s="471" t="s">
        <v>4950</v>
      </c>
    </row>
    <row r="416" spans="1:15" x14ac:dyDescent="0.25">
      <c r="A416" s="471" t="s">
        <v>1899</v>
      </c>
      <c r="B416" s="1139">
        <f t="shared" ca="1" si="94"/>
        <v>0</v>
      </c>
      <c r="C416" s="473">
        <f t="shared" ca="1" si="93"/>
        <v>0</v>
      </c>
      <c r="G416" s="471">
        <f>RG!C102</f>
        <v>0</v>
      </c>
      <c r="H416" s="471">
        <f t="shared" si="90"/>
        <v>4</v>
      </c>
      <c r="I416" s="471">
        <v>1</v>
      </c>
      <c r="J416" s="471" t="str">
        <f t="shared" si="91"/>
        <v>grantinoth13-name-oth</v>
      </c>
      <c r="K416" s="471" t="str">
        <f t="shared" si="92"/>
        <v>tot-grant</v>
      </c>
      <c r="L416" s="599"/>
      <c r="M416" s="471" t="s">
        <v>4948</v>
      </c>
      <c r="N416" s="471" t="s">
        <v>4949</v>
      </c>
      <c r="O416" s="471" t="s">
        <v>4950</v>
      </c>
    </row>
    <row r="417" spans="1:15" x14ac:dyDescent="0.25">
      <c r="A417" s="471" t="s">
        <v>1900</v>
      </c>
      <c r="B417" s="1139">
        <f t="shared" ca="1" si="94"/>
        <v>0</v>
      </c>
      <c r="C417" s="473">
        <f t="shared" ca="1" si="93"/>
        <v>0</v>
      </c>
      <c r="G417" s="471">
        <f>RG!C103</f>
        <v>0</v>
      </c>
      <c r="H417" s="471">
        <f t="shared" si="90"/>
        <v>4</v>
      </c>
      <c r="I417" s="471">
        <v>1</v>
      </c>
      <c r="J417" s="471" t="str">
        <f t="shared" si="91"/>
        <v>grantinoth14-name-oth</v>
      </c>
      <c r="K417" s="471" t="str">
        <f t="shared" si="92"/>
        <v>tot-grant</v>
      </c>
      <c r="L417" s="599"/>
      <c r="M417" s="471" t="s">
        <v>4948</v>
      </c>
      <c r="N417" s="471" t="s">
        <v>4949</v>
      </c>
      <c r="O417" s="471" t="s">
        <v>4950</v>
      </c>
    </row>
    <row r="418" spans="1:15" x14ac:dyDescent="0.25">
      <c r="A418" s="471" t="s">
        <v>1901</v>
      </c>
      <c r="B418" s="1139">
        <f t="shared" ca="1" si="94"/>
        <v>0</v>
      </c>
      <c r="C418" s="473">
        <f t="shared" ca="1" si="93"/>
        <v>0</v>
      </c>
      <c r="G418" s="471">
        <f>RG!C104</f>
        <v>0</v>
      </c>
      <c r="H418" s="471">
        <f t="shared" si="90"/>
        <v>4</v>
      </c>
      <c r="I418" s="471">
        <v>1</v>
      </c>
      <c r="J418" s="471" t="str">
        <f t="shared" si="91"/>
        <v>grantinoth15-name-oth</v>
      </c>
      <c r="K418" s="471" t="str">
        <f t="shared" si="92"/>
        <v>tot-grant</v>
      </c>
      <c r="L418" s="599"/>
      <c r="M418" s="471" t="s">
        <v>4948</v>
      </c>
      <c r="N418" s="471" t="s">
        <v>4949</v>
      </c>
      <c r="O418" s="471" t="s">
        <v>4950</v>
      </c>
    </row>
    <row r="419" spans="1:15" x14ac:dyDescent="0.25">
      <c r="A419" s="471" t="s">
        <v>1902</v>
      </c>
      <c r="B419" s="1139">
        <f t="shared" ref="B419:B473" ca="1" si="95">INDEX(INDIRECT(LEFT($A419,SEARCH("-",$A419,1)-1)&amp;"_data"),MATCH(MID($A419,SEARCH("-",$A419)+1,SEARCH("#",SUBSTITUTE($A419,"-","#",H419),1)-(SEARCH("-",$A419)+1)),INDIRECT(LEFT($A419,SEARCH("-",$A419,1)-1)&amp;"_rows"),0),MATCH(RIGHT($A419,LEN($A419)-LEN(LEFT($A419,SEARCH("#",SUBSTITUTE($A419,"-","#",H419),1)))),INDIRECT(LEFT($A419,SEARCH("-",$A419,1)-1)&amp;"_Header"),0))</f>
        <v>0</v>
      </c>
      <c r="C419" s="473">
        <f t="shared" ca="1" si="93"/>
        <v>0</v>
      </c>
      <c r="G419" s="471">
        <f>RG!C105</f>
        <v>0</v>
      </c>
      <c r="H419" s="471">
        <f t="shared" si="90"/>
        <v>4</v>
      </c>
      <c r="I419" s="471">
        <v>1</v>
      </c>
      <c r="J419" s="471" t="str">
        <f t="shared" si="91"/>
        <v>grantinoth16-name-oth</v>
      </c>
      <c r="K419" s="471" t="str">
        <f t="shared" si="92"/>
        <v>tot-grant</v>
      </c>
      <c r="L419" s="599"/>
      <c r="M419" s="471" t="s">
        <v>4948</v>
      </c>
      <c r="N419" s="471" t="s">
        <v>4949</v>
      </c>
      <c r="O419" s="471" t="s">
        <v>4950</v>
      </c>
    </row>
    <row r="420" spans="1:15" x14ac:dyDescent="0.25">
      <c r="A420" s="471" t="s">
        <v>1903</v>
      </c>
      <c r="B420" s="1139">
        <f t="shared" ca="1" si="95"/>
        <v>0</v>
      </c>
      <c r="C420" s="473">
        <f t="shared" ca="1" si="93"/>
        <v>0</v>
      </c>
      <c r="G420" s="471">
        <f>RG!C106</f>
        <v>0</v>
      </c>
      <c r="H420" s="471">
        <f t="shared" si="90"/>
        <v>4</v>
      </c>
      <c r="I420" s="471">
        <v>1</v>
      </c>
      <c r="J420" s="471" t="str">
        <f t="shared" si="91"/>
        <v>grantinoth17-name-oth</v>
      </c>
      <c r="K420" s="471" t="str">
        <f t="shared" si="92"/>
        <v>tot-grant</v>
      </c>
      <c r="L420" s="599"/>
      <c r="M420" s="471" t="s">
        <v>4948</v>
      </c>
      <c r="N420" s="471" t="s">
        <v>4949</v>
      </c>
      <c r="O420" s="471" t="s">
        <v>4950</v>
      </c>
    </row>
    <row r="421" spans="1:15" x14ac:dyDescent="0.25">
      <c r="A421" s="471" t="s">
        <v>1904</v>
      </c>
      <c r="B421" s="1139">
        <f t="shared" ca="1" si="95"/>
        <v>0</v>
      </c>
      <c r="C421" s="473">
        <f t="shared" ca="1" si="93"/>
        <v>0</v>
      </c>
      <c r="G421" s="471">
        <f>RG!C107</f>
        <v>0</v>
      </c>
      <c r="H421" s="471">
        <f t="shared" si="90"/>
        <v>4</v>
      </c>
      <c r="I421" s="471">
        <v>1</v>
      </c>
      <c r="J421" s="471" t="str">
        <f t="shared" si="91"/>
        <v>grantinoth18-name-oth</v>
      </c>
      <c r="K421" s="471" t="str">
        <f t="shared" si="92"/>
        <v>tot-grant</v>
      </c>
      <c r="L421" s="599"/>
      <c r="M421" s="471" t="s">
        <v>4948</v>
      </c>
      <c r="N421" s="471" t="s">
        <v>4949</v>
      </c>
      <c r="O421" s="471" t="s">
        <v>4950</v>
      </c>
    </row>
    <row r="422" spans="1:15" x14ac:dyDescent="0.25">
      <c r="A422" s="471" t="s">
        <v>1905</v>
      </c>
      <c r="B422" s="1139">
        <f t="shared" ca="1" si="95"/>
        <v>0</v>
      </c>
      <c r="C422" s="473">
        <f t="shared" ca="1" si="93"/>
        <v>0</v>
      </c>
      <c r="G422" s="471">
        <f>RG!C108</f>
        <v>0</v>
      </c>
      <c r="H422" s="471">
        <f t="shared" si="90"/>
        <v>4</v>
      </c>
      <c r="I422" s="471">
        <v>1</v>
      </c>
      <c r="J422" s="471" t="str">
        <f t="shared" si="91"/>
        <v>grantinoth19-name-oth</v>
      </c>
      <c r="K422" s="471" t="str">
        <f t="shared" si="92"/>
        <v>tot-grant</v>
      </c>
      <c r="L422" s="599"/>
      <c r="M422" s="471" t="s">
        <v>4948</v>
      </c>
      <c r="N422" s="471" t="s">
        <v>4949</v>
      </c>
      <c r="O422" s="471" t="s">
        <v>4950</v>
      </c>
    </row>
    <row r="423" spans="1:15" x14ac:dyDescent="0.25">
      <c r="A423" s="471" t="s">
        <v>1906</v>
      </c>
      <c r="B423" s="1139">
        <f t="shared" ca="1" si="95"/>
        <v>0</v>
      </c>
      <c r="C423" s="473">
        <f t="shared" ca="1" si="93"/>
        <v>0</v>
      </c>
      <c r="G423" s="471">
        <f>RG!C109</f>
        <v>0</v>
      </c>
      <c r="H423" s="471">
        <f t="shared" si="90"/>
        <v>4</v>
      </c>
      <c r="I423" s="471">
        <v>1</v>
      </c>
      <c r="J423" s="471" t="str">
        <f t="shared" si="91"/>
        <v>grantinoth20-name-oth</v>
      </c>
      <c r="K423" s="471" t="str">
        <f t="shared" si="92"/>
        <v>tot-grant</v>
      </c>
      <c r="L423" s="599"/>
      <c r="M423" s="471" t="s">
        <v>4948</v>
      </c>
      <c r="N423" s="471" t="s">
        <v>4949</v>
      </c>
      <c r="O423" s="471" t="s">
        <v>4950</v>
      </c>
    </row>
    <row r="424" spans="1:15" x14ac:dyDescent="0.25">
      <c r="A424" s="471" t="s">
        <v>1907</v>
      </c>
      <c r="B424" s="1139">
        <f t="shared" ca="1" si="95"/>
        <v>0</v>
      </c>
      <c r="C424" s="473">
        <f t="shared" ca="1" si="93"/>
        <v>0</v>
      </c>
      <c r="G424" s="471">
        <f>RG!C110</f>
        <v>0</v>
      </c>
      <c r="H424" s="471">
        <f t="shared" si="90"/>
        <v>4</v>
      </c>
      <c r="I424" s="471">
        <v>1</v>
      </c>
      <c r="J424" s="471" t="str">
        <f t="shared" si="91"/>
        <v>grantinoth21-name-oth</v>
      </c>
      <c r="K424" s="471" t="str">
        <f t="shared" si="92"/>
        <v>tot-grant</v>
      </c>
      <c r="L424" s="599"/>
      <c r="M424" s="471" t="s">
        <v>4948</v>
      </c>
      <c r="N424" s="471" t="s">
        <v>4949</v>
      </c>
      <c r="O424" s="471" t="s">
        <v>4950</v>
      </c>
    </row>
    <row r="425" spans="1:15" x14ac:dyDescent="0.25">
      <c r="A425" s="471" t="s">
        <v>1908</v>
      </c>
      <c r="B425" s="1139">
        <f t="shared" ca="1" si="95"/>
        <v>0</v>
      </c>
      <c r="C425" s="473">
        <f t="shared" ca="1" si="93"/>
        <v>0</v>
      </c>
      <c r="G425" s="471">
        <f>RG!C111</f>
        <v>0</v>
      </c>
      <c r="H425" s="471">
        <f t="shared" si="90"/>
        <v>4</v>
      </c>
      <c r="I425" s="471">
        <v>1</v>
      </c>
      <c r="J425" s="471" t="str">
        <f t="shared" ref="J425:J479" si="96">MID($A425,SEARCH("-",$A425)+1,SEARCH("#",SUBSTITUTE($A425,"-","#",H425),1)-(SEARCH("-",$A425)+1))</f>
        <v>grantinoth22-name-oth</v>
      </c>
      <c r="K425" s="471" t="str">
        <f t="shared" si="92"/>
        <v>tot-grant</v>
      </c>
      <c r="L425" s="599"/>
      <c r="M425" s="471" t="s">
        <v>4948</v>
      </c>
      <c r="N425" s="471" t="s">
        <v>4949</v>
      </c>
      <c r="O425" s="471" t="s">
        <v>4950</v>
      </c>
    </row>
    <row r="426" spans="1:15" x14ac:dyDescent="0.25">
      <c r="A426" s="471" t="s">
        <v>1909</v>
      </c>
      <c r="B426" s="1139">
        <f t="shared" ca="1" si="95"/>
        <v>0</v>
      </c>
      <c r="C426" s="473">
        <f t="shared" ca="1" si="93"/>
        <v>0</v>
      </c>
      <c r="G426" s="471">
        <f>RG!C112</f>
        <v>0</v>
      </c>
      <c r="H426" s="471">
        <f t="shared" si="90"/>
        <v>4</v>
      </c>
      <c r="I426" s="471">
        <v>1</v>
      </c>
      <c r="J426" s="471" t="str">
        <f t="shared" si="96"/>
        <v>grantinoth23-name-oth</v>
      </c>
      <c r="K426" s="471" t="str">
        <f t="shared" si="92"/>
        <v>tot-grant</v>
      </c>
      <c r="L426" s="599"/>
      <c r="M426" s="471" t="s">
        <v>4948</v>
      </c>
      <c r="N426" s="471" t="s">
        <v>4949</v>
      </c>
      <c r="O426" s="471" t="s">
        <v>4950</v>
      </c>
    </row>
    <row r="427" spans="1:15" x14ac:dyDescent="0.25">
      <c r="A427" s="471" t="s">
        <v>1910</v>
      </c>
      <c r="B427" s="1139">
        <f t="shared" ca="1" si="95"/>
        <v>0</v>
      </c>
      <c r="C427" s="473">
        <f t="shared" ca="1" si="93"/>
        <v>0</v>
      </c>
      <c r="G427" s="471">
        <f>RG!C113</f>
        <v>0</v>
      </c>
      <c r="H427" s="471">
        <f t="shared" si="90"/>
        <v>4</v>
      </c>
      <c r="I427" s="471">
        <v>1</v>
      </c>
      <c r="J427" s="471" t="str">
        <f t="shared" si="96"/>
        <v>grantinoth24-name-oth</v>
      </c>
      <c r="K427" s="471" t="str">
        <f t="shared" si="92"/>
        <v>tot-grant</v>
      </c>
      <c r="L427" s="599"/>
      <c r="M427" s="471" t="s">
        <v>4948</v>
      </c>
      <c r="N427" s="471" t="s">
        <v>4949</v>
      </c>
      <c r="O427" s="471" t="s">
        <v>4950</v>
      </c>
    </row>
    <row r="428" spans="1:15" x14ac:dyDescent="0.25">
      <c r="A428" s="471" t="s">
        <v>1911</v>
      </c>
      <c r="B428" s="1139">
        <f t="shared" ca="1" si="95"/>
        <v>0</v>
      </c>
      <c r="C428" s="473">
        <f t="shared" ca="1" si="93"/>
        <v>0</v>
      </c>
      <c r="G428" s="471">
        <f>RG!C114</f>
        <v>0</v>
      </c>
      <c r="H428" s="471">
        <f t="shared" si="90"/>
        <v>4</v>
      </c>
      <c r="I428" s="471">
        <v>1</v>
      </c>
      <c r="J428" s="471" t="str">
        <f t="shared" si="96"/>
        <v>grantinoth25-name-oth</v>
      </c>
      <c r="K428" s="471" t="str">
        <f t="shared" ref="K428:K520" si="97">RIGHT($A428,LEN($A428)-SEARCH("#",SUBSTITUTE($A428,"-","#",H428),1))</f>
        <v>tot-grant</v>
      </c>
      <c r="L428" s="599"/>
      <c r="M428" s="471" t="s">
        <v>4948</v>
      </c>
      <c r="N428" s="471" t="s">
        <v>4949</v>
      </c>
      <c r="O428" s="471" t="s">
        <v>4950</v>
      </c>
    </row>
    <row r="429" spans="1:15" x14ac:dyDescent="0.25">
      <c r="A429" s="471" t="s">
        <v>1912</v>
      </c>
      <c r="B429" s="1139">
        <f t="shared" ca="1" si="95"/>
        <v>0</v>
      </c>
      <c r="C429" s="473">
        <f t="shared" ca="1" si="93"/>
        <v>0</v>
      </c>
      <c r="G429" s="471">
        <f>RG!C115</f>
        <v>0</v>
      </c>
      <c r="H429" s="471">
        <f t="shared" si="90"/>
        <v>4</v>
      </c>
      <c r="I429" s="471">
        <v>1</v>
      </c>
      <c r="J429" s="471" t="str">
        <f t="shared" si="96"/>
        <v>grantinoth26-name-oth</v>
      </c>
      <c r="K429" s="471" t="str">
        <f t="shared" si="97"/>
        <v>tot-grant</v>
      </c>
      <c r="L429" s="599"/>
      <c r="M429" s="471" t="s">
        <v>4948</v>
      </c>
      <c r="N429" s="471" t="s">
        <v>4949</v>
      </c>
      <c r="O429" s="471" t="s">
        <v>4950</v>
      </c>
    </row>
    <row r="430" spans="1:15" x14ac:dyDescent="0.25">
      <c r="A430" s="471" t="s">
        <v>1913</v>
      </c>
      <c r="B430" s="1139">
        <f t="shared" ca="1" si="95"/>
        <v>0</v>
      </c>
      <c r="C430" s="473">
        <f t="shared" ca="1" si="93"/>
        <v>0</v>
      </c>
      <c r="G430" s="471">
        <f>RG!C116</f>
        <v>0</v>
      </c>
      <c r="H430" s="471">
        <f t="shared" si="90"/>
        <v>4</v>
      </c>
      <c r="I430" s="471">
        <v>1</v>
      </c>
      <c r="J430" s="471" t="str">
        <f t="shared" si="96"/>
        <v>grantinoth27-name-oth</v>
      </c>
      <c r="K430" s="471" t="str">
        <f t="shared" si="97"/>
        <v>tot-grant</v>
      </c>
      <c r="L430" s="599"/>
      <c r="M430" s="471" t="s">
        <v>4948</v>
      </c>
      <c r="N430" s="471" t="s">
        <v>4949</v>
      </c>
      <c r="O430" s="471" t="s">
        <v>4950</v>
      </c>
    </row>
    <row r="431" spans="1:15" x14ac:dyDescent="0.25">
      <c r="A431" s="471" t="s">
        <v>1914</v>
      </c>
      <c r="B431" s="1139">
        <f ca="1">INDEX(INDIRECT(LEFT($A431,SEARCH("-",$A431,1)-1)&amp;"_data"),MATCH(MID($A431,SEARCH("-",$A431)+1,SEARCH("#",SUBSTITUTE($A431,"-","#",H431),1)-(SEARCH("-",$A431)+1)),INDIRECT(LEFT($A431,SEARCH("-",$A431,1)-1)&amp;"_rows"),0),MATCH(RIGHT($A431,LEN($A431)-LEN(LEFT($A431,SEARCH("#",SUBSTITUTE($A431,"-","#",H431),1)))),INDIRECT(LEFT($A431,SEARCH("-",$A431,1)-1)&amp;"_Header"),0))</f>
        <v>0</v>
      </c>
      <c r="C431" s="474">
        <f ca="1">IF(ISERROR(VLOOKUP(A431,INDIRECT("notes_"&amp;LEFT(A431,2)),4,0)),0,VLOOKUP(A431,INDIRECT("notes_"&amp;LEFT(A431,2)),4,0))</f>
        <v>0</v>
      </c>
      <c r="G431" s="471">
        <f>RG!C117</f>
        <v>0</v>
      </c>
      <c r="H431" s="471">
        <f>LEN(A431)-LEN(SUBSTITUTE(A431,"-",""))-I431</f>
        <v>4</v>
      </c>
      <c r="I431" s="471">
        <v>1</v>
      </c>
      <c r="J431" s="471" t="str">
        <f>MID($A431,SEARCH("-",$A431)+1,SEARCH("#",SUBSTITUTE($A431,"-","#",H431),1)-(SEARCH("-",$A431)+1))</f>
        <v>grantinoth28-name-oth</v>
      </c>
      <c r="K431" s="471" t="str">
        <f>RIGHT($A431,LEN($A431)-SEARCH("#",SUBSTITUTE($A431,"-","#",H431),1))</f>
        <v>tot-grant</v>
      </c>
      <c r="L431" s="599"/>
      <c r="M431" s="471" t="s">
        <v>4948</v>
      </c>
      <c r="N431" s="471" t="s">
        <v>4949</v>
      </c>
      <c r="O431" s="471" t="s">
        <v>4950</v>
      </c>
    </row>
    <row r="432" spans="1:15" x14ac:dyDescent="0.25">
      <c r="A432" s="471" t="s">
        <v>1915</v>
      </c>
      <c r="B432" s="1139">
        <f ca="1">INDEX(INDIRECT(LEFT($A432,SEARCH("-",$A432,1)-1)&amp;"_data"),MATCH(MID($A432,SEARCH("-",$A432)+1,SEARCH("#",SUBSTITUTE($A432,"-","#",H432),1)-(SEARCH("-",$A432)+1)),INDIRECT(LEFT($A432,SEARCH("-",$A432,1)-1)&amp;"_rows"),0),MATCH(RIGHT($A432,LEN($A432)-LEN(LEFT($A432,SEARCH("#",SUBSTITUTE($A432,"-","#",H432),1)))),INDIRECT(LEFT($A432,SEARCH("-",$A432,1)-1)&amp;"_Header"),0))</f>
        <v>0</v>
      </c>
      <c r="C432" s="474">
        <f ca="1">IF(ISERROR(VLOOKUP(A432,INDIRECT("notes_"&amp;LEFT(A432,2)),4,0)),0,VLOOKUP(A432,INDIRECT("notes_"&amp;LEFT(A432,2)),4,0))</f>
        <v>0</v>
      </c>
      <c r="G432" s="471">
        <f>RG!C118</f>
        <v>0</v>
      </c>
      <c r="H432" s="471">
        <f>LEN(A432)-LEN(SUBSTITUTE(A432,"-",""))-I432</f>
        <v>4</v>
      </c>
      <c r="I432" s="471">
        <v>1</v>
      </c>
      <c r="J432" s="471" t="str">
        <f>MID($A432,SEARCH("-",$A432)+1,SEARCH("#",SUBSTITUTE($A432,"-","#",H432),1)-(SEARCH("-",$A432)+1))</f>
        <v>grantinoth29-name-oth</v>
      </c>
      <c r="K432" s="471" t="str">
        <f>RIGHT($A432,LEN($A432)-SEARCH("#",SUBSTITUTE($A432,"-","#",H432),1))</f>
        <v>tot-grant</v>
      </c>
      <c r="L432" s="599"/>
      <c r="M432" s="471" t="s">
        <v>4948</v>
      </c>
      <c r="N432" s="471" t="s">
        <v>4949</v>
      </c>
      <c r="O432" s="471" t="s">
        <v>4950</v>
      </c>
    </row>
    <row r="433" spans="1:15" x14ac:dyDescent="0.25">
      <c r="A433" s="471" t="s">
        <v>1916</v>
      </c>
      <c r="B433" s="1139">
        <f t="shared" ref="B433:B434" ca="1" si="98">INDEX(INDIRECT(LEFT($A433,SEARCH("-",$A433,1)-1)&amp;"_data"),MATCH(MID($A433,SEARCH("-",$A433)+1,SEARCH("#",SUBSTITUTE($A433,"-","#",H433),1)-(SEARCH("-",$A433)+1)),INDIRECT(LEFT($A433,SEARCH("-",$A433,1)-1)&amp;"_rows"),0),MATCH(RIGHT($A433,LEN($A433)-LEN(LEFT($A433,SEARCH("#",SUBSTITUTE($A433,"-","#",H433),1)))),INDIRECT(LEFT($A433,SEARCH("-",$A433,1)-1)&amp;"_Header"),0))</f>
        <v>0</v>
      </c>
      <c r="C433" s="474">
        <f t="shared" ref="C433:C434" ca="1" si="99">IF(ISERROR(VLOOKUP(A433,INDIRECT("notes_"&amp;LEFT(A433,2)),4,0)),0,VLOOKUP(A433,INDIRECT("notes_"&amp;LEFT(A433,2)),4,0))</f>
        <v>0</v>
      </c>
      <c r="G433" s="471">
        <f>RG!C119</f>
        <v>0</v>
      </c>
      <c r="H433" s="471">
        <f t="shared" ref="H433:H434" si="100">LEN(A433)-LEN(SUBSTITUTE(A433,"-",""))-I433</f>
        <v>4</v>
      </c>
      <c r="I433" s="471">
        <v>1</v>
      </c>
      <c r="J433" s="471" t="str">
        <f t="shared" ref="J433:J434" si="101">MID($A433,SEARCH("-",$A433)+1,SEARCH("#",SUBSTITUTE($A433,"-","#",H433),1)-(SEARCH("-",$A433)+1))</f>
        <v>grantinoth30-name-oth</v>
      </c>
      <c r="K433" s="471" t="str">
        <f t="shared" ref="K433:K434" si="102">RIGHT($A433,LEN($A433)-SEARCH("#",SUBSTITUTE($A433,"-","#",H433),1))</f>
        <v>tot-grant</v>
      </c>
      <c r="L433" s="599"/>
      <c r="M433" s="471" t="s">
        <v>4948</v>
      </c>
      <c r="N433" s="471" t="s">
        <v>4949</v>
      </c>
      <c r="O433" s="471" t="s">
        <v>4950</v>
      </c>
    </row>
    <row r="434" spans="1:15" x14ac:dyDescent="0.25">
      <c r="A434" s="471" t="s">
        <v>1917</v>
      </c>
      <c r="B434" s="1139">
        <f t="shared" ca="1" si="98"/>
        <v>0</v>
      </c>
      <c r="C434" s="474">
        <f t="shared" ca="1" si="99"/>
        <v>0</v>
      </c>
      <c r="G434" s="471">
        <f>RG!C120</f>
        <v>0</v>
      </c>
      <c r="H434" s="471">
        <f t="shared" si="100"/>
        <v>4</v>
      </c>
      <c r="I434" s="471">
        <v>1</v>
      </c>
      <c r="J434" s="471" t="str">
        <f t="shared" si="101"/>
        <v>grantinoth31-name-oth</v>
      </c>
      <c r="K434" s="471" t="str">
        <f t="shared" si="102"/>
        <v>tot-grant</v>
      </c>
      <c r="L434" s="599"/>
      <c r="M434" s="471" t="s">
        <v>4948</v>
      </c>
      <c r="N434" s="471" t="s">
        <v>4949</v>
      </c>
      <c r="O434" s="471" t="s">
        <v>4950</v>
      </c>
    </row>
    <row r="435" spans="1:15" x14ac:dyDescent="0.25">
      <c r="A435" s="471" t="s">
        <v>1918</v>
      </c>
      <c r="B435" s="1139">
        <f t="shared" ref="B435:B437" ca="1" si="103">INDEX(INDIRECT(LEFT($A435,SEARCH("-",$A435,1)-1)&amp;"_data"),MATCH(MID($A435,SEARCH("-",$A435)+1,SEARCH("#",SUBSTITUTE($A435,"-","#",H435),1)-(SEARCH("-",$A435)+1)),INDIRECT(LEFT($A435,SEARCH("-",$A435,1)-1)&amp;"_rows"),0),MATCH(RIGHT($A435,LEN($A435)-LEN(LEFT($A435,SEARCH("#",SUBSTITUTE($A435,"-","#",H435),1)))),INDIRECT(LEFT($A435,SEARCH("-",$A435,1)-1)&amp;"_Header"),0))</f>
        <v>0</v>
      </c>
      <c r="C435" s="474">
        <f t="shared" ref="C435:C437" ca="1" si="104">IF(ISERROR(VLOOKUP(A435,INDIRECT("notes_"&amp;LEFT(A435,2)),4,0)),0,VLOOKUP(A435,INDIRECT("notes_"&amp;LEFT(A435,2)),4,0))</f>
        <v>0</v>
      </c>
      <c r="G435" s="471">
        <f>RG!C121</f>
        <v>0</v>
      </c>
      <c r="H435" s="471">
        <f t="shared" ref="H435:H437" si="105">LEN(A435)-LEN(SUBSTITUTE(A435,"-",""))-I435</f>
        <v>4</v>
      </c>
      <c r="I435" s="471">
        <v>1</v>
      </c>
      <c r="J435" s="471" t="str">
        <f t="shared" ref="J435:J437" si="106">MID($A435,SEARCH("-",$A435)+1,SEARCH("#",SUBSTITUTE($A435,"-","#",H435),1)-(SEARCH("-",$A435)+1))</f>
        <v>grantinoth32-name-oth</v>
      </c>
      <c r="K435" s="471" t="str">
        <f t="shared" ref="K435:K437" si="107">RIGHT($A435,LEN($A435)-SEARCH("#",SUBSTITUTE($A435,"-","#",H435),1))</f>
        <v>tot-grant</v>
      </c>
      <c r="L435" s="599"/>
      <c r="M435" s="471" t="s">
        <v>4948</v>
      </c>
      <c r="N435" s="471" t="s">
        <v>4949</v>
      </c>
      <c r="O435" s="471" t="s">
        <v>4950</v>
      </c>
    </row>
    <row r="436" spans="1:15" x14ac:dyDescent="0.25">
      <c r="A436" s="471" t="s">
        <v>1919</v>
      </c>
      <c r="B436" s="1139">
        <f t="shared" ca="1" si="103"/>
        <v>0</v>
      </c>
      <c r="C436" s="474">
        <f t="shared" ca="1" si="104"/>
        <v>0</v>
      </c>
      <c r="G436" s="471">
        <f>RG!C122</f>
        <v>0</v>
      </c>
      <c r="H436" s="471">
        <f t="shared" si="105"/>
        <v>4</v>
      </c>
      <c r="I436" s="471">
        <v>1</v>
      </c>
      <c r="J436" s="471" t="str">
        <f t="shared" si="106"/>
        <v>grantinoth33-name-oth</v>
      </c>
      <c r="K436" s="471" t="str">
        <f t="shared" si="107"/>
        <v>tot-grant</v>
      </c>
      <c r="L436" s="599"/>
      <c r="M436" s="471" t="s">
        <v>4948</v>
      </c>
      <c r="N436" s="471" t="s">
        <v>4949</v>
      </c>
      <c r="O436" s="471" t="s">
        <v>4950</v>
      </c>
    </row>
    <row r="437" spans="1:15" x14ac:dyDescent="0.25">
      <c r="A437" s="471" t="s">
        <v>1920</v>
      </c>
      <c r="B437" s="1139">
        <f t="shared" ca="1" si="103"/>
        <v>0</v>
      </c>
      <c r="C437" s="474">
        <f t="shared" ca="1" si="104"/>
        <v>0</v>
      </c>
      <c r="G437" s="471">
        <f>RG!C123</f>
        <v>0</v>
      </c>
      <c r="H437" s="471">
        <f t="shared" si="105"/>
        <v>4</v>
      </c>
      <c r="I437" s="471">
        <v>1</v>
      </c>
      <c r="J437" s="471" t="str">
        <f t="shared" si="106"/>
        <v>grantinoth34-name-oth</v>
      </c>
      <c r="K437" s="471" t="str">
        <f t="shared" si="107"/>
        <v>tot-grant</v>
      </c>
      <c r="L437" s="599"/>
      <c r="M437" s="471" t="s">
        <v>4948</v>
      </c>
      <c r="N437" s="471" t="s">
        <v>4949</v>
      </c>
      <c r="O437" s="471" t="s">
        <v>4950</v>
      </c>
    </row>
    <row r="438" spans="1:15" x14ac:dyDescent="0.25">
      <c r="A438" s="471" t="s">
        <v>1921</v>
      </c>
      <c r="B438" s="1139">
        <f t="shared" ref="B438:B441" ca="1" si="108">INDEX(INDIRECT(LEFT($A438,SEARCH("-",$A438,1)-1)&amp;"_data"),MATCH(MID($A438,SEARCH("-",$A438)+1,SEARCH("#",SUBSTITUTE($A438,"-","#",H438),1)-(SEARCH("-",$A438)+1)),INDIRECT(LEFT($A438,SEARCH("-",$A438,1)-1)&amp;"_rows"),0),MATCH(RIGHT($A438,LEN($A438)-LEN(LEFT($A438,SEARCH("#",SUBSTITUTE($A438,"-","#",H438),1)))),INDIRECT(LEFT($A438,SEARCH("-",$A438,1)-1)&amp;"_Header"),0))</f>
        <v>0</v>
      </c>
      <c r="C438" s="474">
        <f t="shared" ref="C438:C441" ca="1" si="109">IF(ISERROR(VLOOKUP(A438,INDIRECT("notes_"&amp;LEFT(A438,2)),4,0)),0,VLOOKUP(A438,INDIRECT("notes_"&amp;LEFT(A438,2)),4,0))</f>
        <v>0</v>
      </c>
      <c r="G438" s="471">
        <f>RG!C124</f>
        <v>0</v>
      </c>
      <c r="H438" s="471">
        <f t="shared" ref="H438:H441" si="110">LEN(A438)-LEN(SUBSTITUTE(A438,"-",""))-I438</f>
        <v>4</v>
      </c>
      <c r="I438" s="471">
        <v>1</v>
      </c>
      <c r="J438" s="471" t="str">
        <f t="shared" ref="J438:J441" si="111">MID($A438,SEARCH("-",$A438)+1,SEARCH("#",SUBSTITUTE($A438,"-","#",H438),1)-(SEARCH("-",$A438)+1))</f>
        <v>grantinoth35-name-oth</v>
      </c>
      <c r="K438" s="471" t="str">
        <f t="shared" ref="K438:K441" si="112">RIGHT($A438,LEN($A438)-SEARCH("#",SUBSTITUTE($A438,"-","#",H438),1))</f>
        <v>tot-grant</v>
      </c>
      <c r="L438" s="599"/>
      <c r="M438" s="471" t="s">
        <v>4948</v>
      </c>
      <c r="N438" s="471" t="s">
        <v>4949</v>
      </c>
      <c r="O438" s="471" t="s">
        <v>4950</v>
      </c>
    </row>
    <row r="439" spans="1:15" x14ac:dyDescent="0.25">
      <c r="A439" s="471" t="s">
        <v>1922</v>
      </c>
      <c r="B439" s="1139">
        <f t="shared" ca="1" si="108"/>
        <v>0</v>
      </c>
      <c r="C439" s="474">
        <f t="shared" ca="1" si="109"/>
        <v>0</v>
      </c>
      <c r="G439" s="471">
        <f>RG!C125</f>
        <v>0</v>
      </c>
      <c r="H439" s="471">
        <f t="shared" si="110"/>
        <v>4</v>
      </c>
      <c r="I439" s="471">
        <v>1</v>
      </c>
      <c r="J439" s="471" t="str">
        <f t="shared" si="111"/>
        <v>grantinoth36-name-oth</v>
      </c>
      <c r="K439" s="471" t="str">
        <f t="shared" si="112"/>
        <v>tot-grant</v>
      </c>
      <c r="L439" s="599"/>
      <c r="M439" s="471" t="s">
        <v>4948</v>
      </c>
      <c r="N439" s="471" t="s">
        <v>4949</v>
      </c>
      <c r="O439" s="471" t="s">
        <v>4950</v>
      </c>
    </row>
    <row r="440" spans="1:15" x14ac:dyDescent="0.25">
      <c r="A440" s="471" t="s">
        <v>1923</v>
      </c>
      <c r="B440" s="1139">
        <f t="shared" ca="1" si="108"/>
        <v>0</v>
      </c>
      <c r="C440" s="474">
        <f t="shared" ca="1" si="109"/>
        <v>0</v>
      </c>
      <c r="G440" s="471">
        <f>RG!C126</f>
        <v>0</v>
      </c>
      <c r="H440" s="471">
        <f t="shared" si="110"/>
        <v>4</v>
      </c>
      <c r="I440" s="471">
        <v>1</v>
      </c>
      <c r="J440" s="471" t="str">
        <f t="shared" si="111"/>
        <v>grantinoth37-name-oth</v>
      </c>
      <c r="K440" s="471" t="str">
        <f t="shared" si="112"/>
        <v>tot-grant</v>
      </c>
      <c r="L440" s="599"/>
      <c r="M440" s="471" t="s">
        <v>4948</v>
      </c>
      <c r="N440" s="471" t="s">
        <v>4949</v>
      </c>
      <c r="O440" s="471" t="s">
        <v>4950</v>
      </c>
    </row>
    <row r="441" spans="1:15" x14ac:dyDescent="0.25">
      <c r="A441" s="471" t="s">
        <v>1924</v>
      </c>
      <c r="B441" s="1139">
        <f t="shared" ca="1" si="108"/>
        <v>0</v>
      </c>
      <c r="C441" s="474">
        <f t="shared" ca="1" si="109"/>
        <v>0</v>
      </c>
      <c r="G441" s="471">
        <f>RG!C127</f>
        <v>0</v>
      </c>
      <c r="H441" s="471">
        <f t="shared" si="110"/>
        <v>4</v>
      </c>
      <c r="I441" s="471">
        <v>1</v>
      </c>
      <c r="J441" s="471" t="str">
        <f t="shared" si="111"/>
        <v>grantinoth38-name-oth</v>
      </c>
      <c r="K441" s="471" t="str">
        <f t="shared" si="112"/>
        <v>tot-grant</v>
      </c>
      <c r="L441" s="599"/>
      <c r="M441" s="471" t="s">
        <v>4948</v>
      </c>
      <c r="N441" s="471" t="s">
        <v>4949</v>
      </c>
      <c r="O441" s="471" t="s">
        <v>4950</v>
      </c>
    </row>
    <row r="442" spans="1:15" x14ac:dyDescent="0.25">
      <c r="A442" s="471" t="s">
        <v>1925</v>
      </c>
      <c r="B442" s="1139">
        <f t="shared" ref="B442:B446" ca="1" si="113">INDEX(INDIRECT(LEFT($A442,SEARCH("-",$A442,1)-1)&amp;"_data"),MATCH(MID($A442,SEARCH("-",$A442)+1,SEARCH("#",SUBSTITUTE($A442,"-","#",H442),1)-(SEARCH("-",$A442)+1)),INDIRECT(LEFT($A442,SEARCH("-",$A442,1)-1)&amp;"_rows"),0),MATCH(RIGHT($A442,LEN($A442)-LEN(LEFT($A442,SEARCH("#",SUBSTITUTE($A442,"-","#",H442),1)))),INDIRECT(LEFT($A442,SEARCH("-",$A442,1)-1)&amp;"_Header"),0))</f>
        <v>0</v>
      </c>
      <c r="C442" s="474">
        <f t="shared" ref="C442:C446" ca="1" si="114">IF(ISERROR(VLOOKUP(A442,INDIRECT("notes_"&amp;LEFT(A442,2)),4,0)),0,VLOOKUP(A442,INDIRECT("notes_"&amp;LEFT(A442,2)),4,0))</f>
        <v>0</v>
      </c>
      <c r="G442" s="471">
        <f>RG!C128</f>
        <v>0</v>
      </c>
      <c r="H442" s="471">
        <f t="shared" ref="H442:H446" si="115">LEN(A442)-LEN(SUBSTITUTE(A442,"-",""))-I442</f>
        <v>4</v>
      </c>
      <c r="I442" s="471">
        <v>1</v>
      </c>
      <c r="J442" s="471" t="str">
        <f t="shared" ref="J442:J446" si="116">MID($A442,SEARCH("-",$A442)+1,SEARCH("#",SUBSTITUTE($A442,"-","#",H442),1)-(SEARCH("-",$A442)+1))</f>
        <v>grantinoth39-name-oth</v>
      </c>
      <c r="K442" s="471" t="str">
        <f t="shared" ref="K442:K446" si="117">RIGHT($A442,LEN($A442)-SEARCH("#",SUBSTITUTE($A442,"-","#",H442),1))</f>
        <v>tot-grant</v>
      </c>
      <c r="L442" s="599"/>
      <c r="M442" s="471" t="s">
        <v>4948</v>
      </c>
      <c r="N442" s="471" t="s">
        <v>4949</v>
      </c>
      <c r="O442" s="471" t="s">
        <v>4950</v>
      </c>
    </row>
    <row r="443" spans="1:15" x14ac:dyDescent="0.25">
      <c r="A443" s="471" t="s">
        <v>1926</v>
      </c>
      <c r="B443" s="1139">
        <f t="shared" ca="1" si="113"/>
        <v>0</v>
      </c>
      <c r="C443" s="474">
        <f t="shared" ca="1" si="114"/>
        <v>0</v>
      </c>
      <c r="G443" s="471">
        <f>RG!C129</f>
        <v>0</v>
      </c>
      <c r="H443" s="471">
        <f t="shared" si="115"/>
        <v>4</v>
      </c>
      <c r="I443" s="471">
        <v>1</v>
      </c>
      <c r="J443" s="471" t="str">
        <f t="shared" si="116"/>
        <v>grantinoth40-name-oth</v>
      </c>
      <c r="K443" s="471" t="str">
        <f t="shared" si="117"/>
        <v>tot-grant</v>
      </c>
      <c r="L443" s="599"/>
      <c r="M443" s="471" t="s">
        <v>4948</v>
      </c>
      <c r="N443" s="471" t="s">
        <v>4949</v>
      </c>
      <c r="O443" s="471" t="s">
        <v>4950</v>
      </c>
    </row>
    <row r="444" spans="1:15" x14ac:dyDescent="0.25">
      <c r="A444" s="471" t="s">
        <v>1927</v>
      </c>
      <c r="B444" s="1139">
        <f t="shared" ca="1" si="113"/>
        <v>0</v>
      </c>
      <c r="C444" s="474">
        <f t="shared" ca="1" si="114"/>
        <v>0</v>
      </c>
      <c r="G444" s="471">
        <f>RG!C130</f>
        <v>0</v>
      </c>
      <c r="H444" s="471">
        <f t="shared" si="115"/>
        <v>4</v>
      </c>
      <c r="I444" s="471">
        <v>1</v>
      </c>
      <c r="J444" s="471" t="str">
        <f t="shared" si="116"/>
        <v>grantinoth41-name-oth</v>
      </c>
      <c r="K444" s="471" t="str">
        <f t="shared" si="117"/>
        <v>tot-grant</v>
      </c>
      <c r="L444" s="599"/>
      <c r="M444" s="471" t="s">
        <v>4948</v>
      </c>
      <c r="N444" s="471" t="s">
        <v>4949</v>
      </c>
      <c r="O444" s="471" t="s">
        <v>4950</v>
      </c>
    </row>
    <row r="445" spans="1:15" x14ac:dyDescent="0.25">
      <c r="A445" s="471" t="s">
        <v>1928</v>
      </c>
      <c r="B445" s="1139">
        <f t="shared" ca="1" si="113"/>
        <v>0</v>
      </c>
      <c r="C445" s="474">
        <f t="shared" ca="1" si="114"/>
        <v>0</v>
      </c>
      <c r="G445" s="471">
        <f>RG!C131</f>
        <v>0</v>
      </c>
      <c r="H445" s="471">
        <f t="shared" si="115"/>
        <v>4</v>
      </c>
      <c r="I445" s="471">
        <v>1</v>
      </c>
      <c r="J445" s="471" t="str">
        <f t="shared" si="116"/>
        <v>grantinoth42-name-oth</v>
      </c>
      <c r="K445" s="471" t="str">
        <f t="shared" si="117"/>
        <v>tot-grant</v>
      </c>
      <c r="L445" s="599"/>
      <c r="M445" s="471" t="s">
        <v>4948</v>
      </c>
      <c r="N445" s="471" t="s">
        <v>4949</v>
      </c>
      <c r="O445" s="471" t="s">
        <v>4950</v>
      </c>
    </row>
    <row r="446" spans="1:15" x14ac:dyDescent="0.25">
      <c r="A446" s="471" t="s">
        <v>1929</v>
      </c>
      <c r="B446" s="1139">
        <f t="shared" ca="1" si="113"/>
        <v>0</v>
      </c>
      <c r="C446" s="474">
        <f t="shared" ca="1" si="114"/>
        <v>0</v>
      </c>
      <c r="G446" s="471">
        <f>RG!C132</f>
        <v>0</v>
      </c>
      <c r="H446" s="471">
        <f t="shared" si="115"/>
        <v>4</v>
      </c>
      <c r="I446" s="471">
        <v>1</v>
      </c>
      <c r="J446" s="471" t="str">
        <f t="shared" si="116"/>
        <v>grantinoth43-name-oth</v>
      </c>
      <c r="K446" s="471" t="str">
        <f t="shared" si="117"/>
        <v>tot-grant</v>
      </c>
      <c r="L446" s="599"/>
      <c r="M446" s="471" t="s">
        <v>4948</v>
      </c>
      <c r="N446" s="471" t="s">
        <v>4949</v>
      </c>
      <c r="O446" s="471" t="s">
        <v>4950</v>
      </c>
    </row>
    <row r="447" spans="1:15" x14ac:dyDescent="0.25">
      <c r="A447" s="471" t="s">
        <v>1930</v>
      </c>
      <c r="B447" s="1139">
        <f t="shared" ref="B447:B452" ca="1" si="118">INDEX(INDIRECT(LEFT($A447,SEARCH("-",$A447,1)-1)&amp;"_data"),MATCH(MID($A447,SEARCH("-",$A447)+1,SEARCH("#",SUBSTITUTE($A447,"-","#",H447),1)-(SEARCH("-",$A447)+1)),INDIRECT(LEFT($A447,SEARCH("-",$A447,1)-1)&amp;"_rows"),0),MATCH(RIGHT($A447,LEN($A447)-LEN(LEFT($A447,SEARCH("#",SUBSTITUTE($A447,"-","#",H447),1)))),INDIRECT(LEFT($A447,SEARCH("-",$A447,1)-1)&amp;"_Header"),0))</f>
        <v>0</v>
      </c>
      <c r="C447" s="474">
        <f t="shared" ref="C447:C452" ca="1" si="119">IF(ISERROR(VLOOKUP(A447,INDIRECT("notes_"&amp;LEFT(A447,2)),4,0)),0,VLOOKUP(A447,INDIRECT("notes_"&amp;LEFT(A447,2)),4,0))</f>
        <v>0</v>
      </c>
      <c r="G447" s="471">
        <f>RG!C133</f>
        <v>0</v>
      </c>
      <c r="H447" s="471">
        <f t="shared" ref="H447:H452" si="120">LEN(A447)-LEN(SUBSTITUTE(A447,"-",""))-I447</f>
        <v>4</v>
      </c>
      <c r="I447" s="471">
        <v>1</v>
      </c>
      <c r="J447" s="471" t="str">
        <f t="shared" ref="J447:J452" si="121">MID($A447,SEARCH("-",$A447)+1,SEARCH("#",SUBSTITUTE($A447,"-","#",H447),1)-(SEARCH("-",$A447)+1))</f>
        <v>grantinoth44-name-oth</v>
      </c>
      <c r="K447" s="471" t="str">
        <f t="shared" ref="K447:K452" si="122">RIGHT($A447,LEN($A447)-SEARCH("#",SUBSTITUTE($A447,"-","#",H447),1))</f>
        <v>tot-grant</v>
      </c>
      <c r="L447" s="599"/>
      <c r="M447" s="471" t="s">
        <v>4948</v>
      </c>
      <c r="N447" s="471" t="s">
        <v>4949</v>
      </c>
      <c r="O447" s="471" t="s">
        <v>4950</v>
      </c>
    </row>
    <row r="448" spans="1:15" x14ac:dyDescent="0.25">
      <c r="A448" s="471" t="s">
        <v>1931</v>
      </c>
      <c r="B448" s="1139">
        <f t="shared" ca="1" si="118"/>
        <v>0</v>
      </c>
      <c r="C448" s="474">
        <f t="shared" ca="1" si="119"/>
        <v>0</v>
      </c>
      <c r="G448" s="471">
        <f>RG!C134</f>
        <v>0</v>
      </c>
      <c r="H448" s="471">
        <f t="shared" si="120"/>
        <v>4</v>
      </c>
      <c r="I448" s="471">
        <v>1</v>
      </c>
      <c r="J448" s="471" t="str">
        <f t="shared" si="121"/>
        <v>grantinoth45-name-oth</v>
      </c>
      <c r="K448" s="471" t="str">
        <f t="shared" si="122"/>
        <v>tot-grant</v>
      </c>
      <c r="L448" s="599"/>
      <c r="M448" s="471" t="s">
        <v>4948</v>
      </c>
      <c r="N448" s="471" t="s">
        <v>4949</v>
      </c>
      <c r="O448" s="471" t="s">
        <v>4950</v>
      </c>
    </row>
    <row r="449" spans="1:15" x14ac:dyDescent="0.25">
      <c r="A449" s="471" t="s">
        <v>1932</v>
      </c>
      <c r="B449" s="1139">
        <f t="shared" ca="1" si="118"/>
        <v>0</v>
      </c>
      <c r="C449" s="474">
        <f t="shared" ca="1" si="119"/>
        <v>0</v>
      </c>
      <c r="G449" s="471">
        <f>RG!C135</f>
        <v>0</v>
      </c>
      <c r="H449" s="471">
        <f t="shared" si="120"/>
        <v>4</v>
      </c>
      <c r="I449" s="471">
        <v>1</v>
      </c>
      <c r="J449" s="471" t="str">
        <f t="shared" si="121"/>
        <v>grantinoth46-name-oth</v>
      </c>
      <c r="K449" s="471" t="str">
        <f t="shared" si="122"/>
        <v>tot-grant</v>
      </c>
      <c r="L449" s="599"/>
      <c r="M449" s="471" t="s">
        <v>4948</v>
      </c>
      <c r="N449" s="471" t="s">
        <v>4949</v>
      </c>
      <c r="O449" s="471" t="s">
        <v>4950</v>
      </c>
    </row>
    <row r="450" spans="1:15" x14ac:dyDescent="0.25">
      <c r="A450" s="471" t="s">
        <v>1933</v>
      </c>
      <c r="B450" s="1139">
        <f t="shared" ca="1" si="118"/>
        <v>0</v>
      </c>
      <c r="C450" s="474">
        <f t="shared" ca="1" si="119"/>
        <v>0</v>
      </c>
      <c r="G450" s="471">
        <f>RG!C136</f>
        <v>0</v>
      </c>
      <c r="H450" s="471">
        <f t="shared" si="120"/>
        <v>4</v>
      </c>
      <c r="I450" s="471">
        <v>1</v>
      </c>
      <c r="J450" s="471" t="str">
        <f t="shared" si="121"/>
        <v>grantinoth47-name-oth</v>
      </c>
      <c r="K450" s="471" t="str">
        <f t="shared" si="122"/>
        <v>tot-grant</v>
      </c>
      <c r="L450" s="599"/>
      <c r="M450" s="471" t="s">
        <v>4948</v>
      </c>
      <c r="N450" s="471" t="s">
        <v>4949</v>
      </c>
      <c r="O450" s="471" t="s">
        <v>4950</v>
      </c>
    </row>
    <row r="451" spans="1:15" x14ac:dyDescent="0.25">
      <c r="A451" s="471" t="s">
        <v>1934</v>
      </c>
      <c r="B451" s="1139">
        <f t="shared" ca="1" si="118"/>
        <v>0</v>
      </c>
      <c r="C451" s="474">
        <f t="shared" ca="1" si="119"/>
        <v>0</v>
      </c>
      <c r="G451" s="471">
        <f>RG!C137</f>
        <v>0</v>
      </c>
      <c r="H451" s="471">
        <f t="shared" si="120"/>
        <v>4</v>
      </c>
      <c r="I451" s="471">
        <v>1</v>
      </c>
      <c r="J451" s="471" t="str">
        <f t="shared" si="121"/>
        <v>grantinoth48-name-oth</v>
      </c>
      <c r="K451" s="471" t="str">
        <f t="shared" si="122"/>
        <v>tot-grant</v>
      </c>
      <c r="L451" s="599"/>
      <c r="M451" s="471" t="s">
        <v>4948</v>
      </c>
      <c r="N451" s="471" t="s">
        <v>4949</v>
      </c>
      <c r="O451" s="471" t="s">
        <v>4950</v>
      </c>
    </row>
    <row r="452" spans="1:15" x14ac:dyDescent="0.25">
      <c r="A452" s="471" t="s">
        <v>1935</v>
      </c>
      <c r="B452" s="1139">
        <f t="shared" ca="1" si="118"/>
        <v>0</v>
      </c>
      <c r="C452" s="474">
        <f t="shared" ca="1" si="119"/>
        <v>0</v>
      </c>
      <c r="G452" s="471">
        <f>RG!C138</f>
        <v>0</v>
      </c>
      <c r="H452" s="471">
        <f t="shared" si="120"/>
        <v>4</v>
      </c>
      <c r="I452" s="471">
        <v>1</v>
      </c>
      <c r="J452" s="471" t="str">
        <f t="shared" si="121"/>
        <v>grantinoth49-name-oth</v>
      </c>
      <c r="K452" s="471" t="str">
        <f t="shared" si="122"/>
        <v>tot-grant</v>
      </c>
      <c r="L452" s="599"/>
      <c r="M452" s="471" t="s">
        <v>4948</v>
      </c>
      <c r="N452" s="471" t="s">
        <v>4949</v>
      </c>
      <c r="O452" s="471" t="s">
        <v>4950</v>
      </c>
    </row>
    <row r="453" spans="1:15" x14ac:dyDescent="0.25">
      <c r="A453" s="471" t="s">
        <v>1936</v>
      </c>
      <c r="B453" s="1139">
        <f t="shared" ref="B453:B458" ca="1" si="123">INDEX(INDIRECT(LEFT($A453,SEARCH("-",$A453,1)-1)&amp;"_data"),MATCH(MID($A453,SEARCH("-",$A453)+1,SEARCH("#",SUBSTITUTE($A453,"-","#",H453),1)-(SEARCH("-",$A453)+1)),INDIRECT(LEFT($A453,SEARCH("-",$A453,1)-1)&amp;"_rows"),0),MATCH(RIGHT($A453,LEN($A453)-LEN(LEFT($A453,SEARCH("#",SUBSTITUTE($A453,"-","#",H453),1)))),INDIRECT(LEFT($A453,SEARCH("-",$A453,1)-1)&amp;"_Header"),0))</f>
        <v>0</v>
      </c>
      <c r="C453" s="474">
        <f t="shared" ref="C453:C458" ca="1" si="124">IF(ISERROR(VLOOKUP(A453,INDIRECT("notes_"&amp;LEFT(A453,2)),4,0)),0,VLOOKUP(A453,INDIRECT("notes_"&amp;LEFT(A453,2)),4,0))</f>
        <v>0</v>
      </c>
      <c r="G453" s="471">
        <f>RG!C139</f>
        <v>0</v>
      </c>
      <c r="H453" s="471">
        <f t="shared" ref="H453:H458" si="125">LEN(A453)-LEN(SUBSTITUTE(A453,"-",""))-I453</f>
        <v>4</v>
      </c>
      <c r="I453" s="471">
        <v>1</v>
      </c>
      <c r="J453" s="471" t="str">
        <f t="shared" ref="J453:J458" si="126">MID($A453,SEARCH("-",$A453)+1,SEARCH("#",SUBSTITUTE($A453,"-","#",H453),1)-(SEARCH("-",$A453)+1))</f>
        <v>grantinoth50-name-oth</v>
      </c>
      <c r="K453" s="471" t="str">
        <f t="shared" ref="K453:K458" si="127">RIGHT($A453,LEN($A453)-SEARCH("#",SUBSTITUTE($A453,"-","#",H453),1))</f>
        <v>tot-grant</v>
      </c>
      <c r="L453" s="599"/>
      <c r="M453" s="471" t="s">
        <v>4948</v>
      </c>
      <c r="N453" s="471" t="s">
        <v>4949</v>
      </c>
      <c r="O453" s="471" t="s">
        <v>4950</v>
      </c>
    </row>
    <row r="454" spans="1:15" x14ac:dyDescent="0.25">
      <c r="A454" s="471" t="s">
        <v>1937</v>
      </c>
      <c r="B454" s="1139">
        <f t="shared" ca="1" si="123"/>
        <v>0</v>
      </c>
      <c r="C454" s="474">
        <f t="shared" ca="1" si="124"/>
        <v>0</v>
      </c>
      <c r="G454" s="471">
        <f>RG!C140</f>
        <v>0</v>
      </c>
      <c r="H454" s="471">
        <f t="shared" si="125"/>
        <v>4</v>
      </c>
      <c r="I454" s="471">
        <v>1</v>
      </c>
      <c r="J454" s="471" t="str">
        <f t="shared" si="126"/>
        <v>grantinoth51-name-oth</v>
      </c>
      <c r="K454" s="471" t="str">
        <f t="shared" si="127"/>
        <v>tot-grant</v>
      </c>
      <c r="L454" s="599"/>
      <c r="M454" s="471" t="s">
        <v>4948</v>
      </c>
      <c r="N454" s="471" t="s">
        <v>4949</v>
      </c>
      <c r="O454" s="471" t="s">
        <v>4950</v>
      </c>
    </row>
    <row r="455" spans="1:15" x14ac:dyDescent="0.25">
      <c r="A455" s="471" t="s">
        <v>1938</v>
      </c>
      <c r="B455" s="1139">
        <f t="shared" ca="1" si="123"/>
        <v>0</v>
      </c>
      <c r="C455" s="474">
        <f t="shared" ca="1" si="124"/>
        <v>0</v>
      </c>
      <c r="G455" s="471">
        <f>RG!C141</f>
        <v>0</v>
      </c>
      <c r="H455" s="471">
        <f t="shared" si="125"/>
        <v>4</v>
      </c>
      <c r="I455" s="471">
        <v>1</v>
      </c>
      <c r="J455" s="471" t="str">
        <f t="shared" si="126"/>
        <v>grantinoth52-name-oth</v>
      </c>
      <c r="K455" s="471" t="str">
        <f t="shared" si="127"/>
        <v>tot-grant</v>
      </c>
      <c r="L455" s="599"/>
      <c r="M455" s="471" t="s">
        <v>4948</v>
      </c>
      <c r="N455" s="471" t="s">
        <v>4949</v>
      </c>
      <c r="O455" s="471" t="s">
        <v>4950</v>
      </c>
    </row>
    <row r="456" spans="1:15" x14ac:dyDescent="0.25">
      <c r="A456" s="471" t="s">
        <v>1939</v>
      </c>
      <c r="B456" s="1139">
        <f t="shared" ca="1" si="123"/>
        <v>0</v>
      </c>
      <c r="C456" s="474">
        <f t="shared" ca="1" si="124"/>
        <v>0</v>
      </c>
      <c r="G456" s="471">
        <f>RG!C142</f>
        <v>0</v>
      </c>
      <c r="H456" s="471">
        <f t="shared" si="125"/>
        <v>4</v>
      </c>
      <c r="I456" s="471">
        <v>1</v>
      </c>
      <c r="J456" s="471" t="str">
        <f t="shared" si="126"/>
        <v>grantinoth53-name-oth</v>
      </c>
      <c r="K456" s="471" t="str">
        <f t="shared" si="127"/>
        <v>tot-grant</v>
      </c>
      <c r="L456" s="599"/>
      <c r="M456" s="471" t="s">
        <v>4948</v>
      </c>
      <c r="N456" s="471" t="s">
        <v>4949</v>
      </c>
      <c r="O456" s="471" t="s">
        <v>4950</v>
      </c>
    </row>
    <row r="457" spans="1:15" x14ac:dyDescent="0.25">
      <c r="A457" s="471" t="s">
        <v>1940</v>
      </c>
      <c r="B457" s="1139">
        <f t="shared" ca="1" si="123"/>
        <v>0</v>
      </c>
      <c r="C457" s="474">
        <f t="shared" ca="1" si="124"/>
        <v>0</v>
      </c>
      <c r="G457" s="471">
        <f>RG!C143</f>
        <v>0</v>
      </c>
      <c r="H457" s="471">
        <f t="shared" si="125"/>
        <v>4</v>
      </c>
      <c r="I457" s="471">
        <v>1</v>
      </c>
      <c r="J457" s="471" t="str">
        <f t="shared" si="126"/>
        <v>grantinoth54-name-oth</v>
      </c>
      <c r="K457" s="471" t="str">
        <f t="shared" si="127"/>
        <v>tot-grant</v>
      </c>
      <c r="L457" s="599"/>
      <c r="M457" s="471" t="s">
        <v>4948</v>
      </c>
      <c r="N457" s="471" t="s">
        <v>4949</v>
      </c>
      <c r="O457" s="471" t="s">
        <v>4950</v>
      </c>
    </row>
    <row r="458" spans="1:15" x14ac:dyDescent="0.25">
      <c r="A458" s="471" t="s">
        <v>1941</v>
      </c>
      <c r="B458" s="1139">
        <f t="shared" ca="1" si="123"/>
        <v>0</v>
      </c>
      <c r="C458" s="474">
        <f t="shared" ca="1" si="124"/>
        <v>0</v>
      </c>
      <c r="G458" s="471">
        <f>RG!C144</f>
        <v>0</v>
      </c>
      <c r="H458" s="471">
        <f t="shared" si="125"/>
        <v>4</v>
      </c>
      <c r="I458" s="471">
        <v>1</v>
      </c>
      <c r="J458" s="471" t="str">
        <f t="shared" si="126"/>
        <v>grantinoth55-name-oth</v>
      </c>
      <c r="K458" s="471" t="str">
        <f t="shared" si="127"/>
        <v>tot-grant</v>
      </c>
      <c r="L458" s="599"/>
      <c r="M458" s="471" t="s">
        <v>4948</v>
      </c>
      <c r="N458" s="471" t="s">
        <v>4949</v>
      </c>
      <c r="O458" s="471" t="s">
        <v>4950</v>
      </c>
    </row>
    <row r="459" spans="1:15" x14ac:dyDescent="0.25">
      <c r="A459" s="471" t="s">
        <v>1942</v>
      </c>
      <c r="B459" s="1139">
        <f t="shared" ca="1" si="95"/>
        <v>0</v>
      </c>
      <c r="C459" s="473">
        <f t="shared" ca="1" si="93"/>
        <v>0</v>
      </c>
      <c r="H459" s="471">
        <f t="shared" si="90"/>
        <v>4</v>
      </c>
      <c r="I459" s="471">
        <v>1</v>
      </c>
      <c r="J459" s="471" t="str">
        <f t="shared" si="96"/>
        <v>grantinothadd-name-oth</v>
      </c>
      <c r="K459" s="471" t="str">
        <f t="shared" si="97"/>
        <v>tot-grant</v>
      </c>
      <c r="L459" s="599"/>
      <c r="M459" s="471" t="s">
        <v>4948</v>
      </c>
      <c r="N459" s="471" t="s">
        <v>4949</v>
      </c>
      <c r="O459" s="471" t="s">
        <v>4950</v>
      </c>
    </row>
    <row r="460" spans="1:15" x14ac:dyDescent="0.25">
      <c r="A460" s="471" t="s">
        <v>1943</v>
      </c>
      <c r="B460" s="1139">
        <f t="shared" ca="1" si="95"/>
        <v>0</v>
      </c>
      <c r="C460" s="473">
        <f t="shared" ca="1" si="93"/>
        <v>0</v>
      </c>
      <c r="H460" s="471">
        <f t="shared" si="90"/>
        <v>4</v>
      </c>
      <c r="I460" s="471">
        <v>1</v>
      </c>
      <c r="J460" s="471" t="str">
        <f t="shared" si="96"/>
        <v>grantinoth-tot-oth</v>
      </c>
      <c r="K460" s="471" t="str">
        <f t="shared" si="97"/>
        <v>tot-grant</v>
      </c>
      <c r="L460" s="599"/>
      <c r="M460" s="471" t="s">
        <v>4948</v>
      </c>
      <c r="N460" s="471" t="s">
        <v>4949</v>
      </c>
      <c r="O460" s="471" t="s">
        <v>4950</v>
      </c>
    </row>
    <row r="461" spans="1:15" x14ac:dyDescent="0.25">
      <c r="A461" s="471" t="s">
        <v>1944</v>
      </c>
      <c r="B461" s="1139">
        <f t="shared" ca="1" si="95"/>
        <v>0</v>
      </c>
      <c r="C461" s="473">
        <f t="shared" ca="1" si="93"/>
        <v>0</v>
      </c>
      <c r="H461" s="471">
        <f t="shared" si="90"/>
        <v>5</v>
      </c>
      <c r="I461" s="471">
        <v>1</v>
      </c>
      <c r="J461" s="471" t="str">
        <f t="shared" si="96"/>
        <v>grantoth-1619-brs-oth</v>
      </c>
      <c r="K461" s="471" t="str">
        <f t="shared" si="97"/>
        <v>tot-grant</v>
      </c>
      <c r="L461" s="599"/>
      <c r="M461" s="471" t="s">
        <v>4948</v>
      </c>
      <c r="N461" s="471" t="s">
        <v>4949</v>
      </c>
      <c r="O461" s="471" t="s">
        <v>4950</v>
      </c>
    </row>
    <row r="462" spans="1:15" x14ac:dyDescent="0.25">
      <c r="A462" s="471" t="s">
        <v>1945</v>
      </c>
      <c r="B462" s="1139">
        <f t="shared" ca="1" si="95"/>
        <v>0</v>
      </c>
      <c r="C462" s="473">
        <f t="shared" ca="1" si="93"/>
        <v>0</v>
      </c>
      <c r="H462" s="471">
        <f t="shared" si="90"/>
        <v>4</v>
      </c>
      <c r="I462" s="471">
        <v>1</v>
      </c>
      <c r="J462" s="471" t="str">
        <f t="shared" si="96"/>
        <v>grantoth-dhp-oth</v>
      </c>
      <c r="K462" s="471" t="str">
        <f t="shared" si="97"/>
        <v>tot-grant</v>
      </c>
      <c r="L462" s="599"/>
      <c r="M462" s="471" t="s">
        <v>4948</v>
      </c>
      <c r="N462" s="471" t="s">
        <v>4949</v>
      </c>
      <c r="O462" s="471" t="s">
        <v>4950</v>
      </c>
    </row>
    <row r="463" spans="1:15" x14ac:dyDescent="0.25">
      <c r="A463" s="471" t="s">
        <v>1946</v>
      </c>
      <c r="B463" s="1139">
        <f t="shared" ca="1" si="95"/>
        <v>0</v>
      </c>
      <c r="C463" s="473">
        <f t="shared" ca="1" si="93"/>
        <v>0</v>
      </c>
      <c r="H463" s="471">
        <f t="shared" si="90"/>
        <v>4</v>
      </c>
      <c r="I463" s="471">
        <v>1</v>
      </c>
      <c r="J463" s="471" t="str">
        <f t="shared" si="96"/>
        <v>grantoth-feffa-oth</v>
      </c>
      <c r="K463" s="471" t="str">
        <f t="shared" si="97"/>
        <v>tot-grant</v>
      </c>
      <c r="L463" s="599"/>
      <c r="M463" s="471" t="s">
        <v>4948</v>
      </c>
      <c r="N463" s="471" t="s">
        <v>4949</v>
      </c>
      <c r="O463" s="471" t="s">
        <v>4950</v>
      </c>
    </row>
    <row r="464" spans="1:15" x14ac:dyDescent="0.25">
      <c r="A464" s="471" t="s">
        <v>1947</v>
      </c>
      <c r="B464" s="1139">
        <f t="shared" ca="1" si="95"/>
        <v>0</v>
      </c>
      <c r="C464" s="473">
        <f t="shared" ca="1" si="93"/>
        <v>0</v>
      </c>
      <c r="G464" s="471">
        <f>RG!C155</f>
        <v>0</v>
      </c>
      <c r="H464" s="471">
        <f t="shared" si="90"/>
        <v>4</v>
      </c>
      <c r="I464" s="471">
        <v>1</v>
      </c>
      <c r="J464" s="471" t="str">
        <f t="shared" si="96"/>
        <v>grantoutoth1-name-oth</v>
      </c>
      <c r="K464" s="471" t="str">
        <f t="shared" si="97"/>
        <v>tot-grant</v>
      </c>
      <c r="L464" s="599"/>
      <c r="M464" s="471" t="s">
        <v>4948</v>
      </c>
      <c r="N464" s="471" t="s">
        <v>4949</v>
      </c>
      <c r="O464" s="471" t="s">
        <v>4950</v>
      </c>
    </row>
    <row r="465" spans="1:15" x14ac:dyDescent="0.25">
      <c r="A465" s="471" t="s">
        <v>1948</v>
      </c>
      <c r="B465" s="1139">
        <f t="shared" ca="1" si="95"/>
        <v>0</v>
      </c>
      <c r="C465" s="473">
        <f t="shared" ca="1" si="93"/>
        <v>0</v>
      </c>
      <c r="G465" s="471">
        <f>RG!C156</f>
        <v>0</v>
      </c>
      <c r="H465" s="471">
        <f t="shared" si="90"/>
        <v>4</v>
      </c>
      <c r="I465" s="471">
        <v>1</v>
      </c>
      <c r="J465" s="471" t="str">
        <f t="shared" si="96"/>
        <v>grantoutoth2-name-oth</v>
      </c>
      <c r="K465" s="471" t="str">
        <f t="shared" si="97"/>
        <v>tot-grant</v>
      </c>
      <c r="L465" s="599"/>
      <c r="M465" s="471" t="s">
        <v>4948</v>
      </c>
      <c r="N465" s="471" t="s">
        <v>4949</v>
      </c>
      <c r="O465" s="471" t="s">
        <v>4950</v>
      </c>
    </row>
    <row r="466" spans="1:15" x14ac:dyDescent="0.25">
      <c r="A466" s="471" t="s">
        <v>1949</v>
      </c>
      <c r="B466" s="1139">
        <f t="shared" ca="1" si="95"/>
        <v>0</v>
      </c>
      <c r="C466" s="473">
        <f t="shared" ca="1" si="93"/>
        <v>0</v>
      </c>
      <c r="G466" s="471">
        <f>RG!C157</f>
        <v>0</v>
      </c>
      <c r="H466" s="471">
        <f t="shared" si="90"/>
        <v>4</v>
      </c>
      <c r="I466" s="471">
        <v>1</v>
      </c>
      <c r="J466" s="471" t="str">
        <f t="shared" si="96"/>
        <v>grantoutoth3-name-oth</v>
      </c>
      <c r="K466" s="471" t="str">
        <f t="shared" si="97"/>
        <v>tot-grant</v>
      </c>
      <c r="L466" s="599"/>
      <c r="M466" s="471" t="s">
        <v>4948</v>
      </c>
      <c r="N466" s="471" t="s">
        <v>4949</v>
      </c>
      <c r="O466" s="471" t="s">
        <v>4950</v>
      </c>
    </row>
    <row r="467" spans="1:15" x14ac:dyDescent="0.25">
      <c r="A467" s="471" t="s">
        <v>1950</v>
      </c>
      <c r="B467" s="1139">
        <f t="shared" ca="1" si="95"/>
        <v>0</v>
      </c>
      <c r="C467" s="473">
        <f t="shared" ca="1" si="93"/>
        <v>0</v>
      </c>
      <c r="G467" s="471">
        <f>RG!C158</f>
        <v>0</v>
      </c>
      <c r="H467" s="471">
        <f t="shared" si="90"/>
        <v>4</v>
      </c>
      <c r="I467" s="471">
        <v>1</v>
      </c>
      <c r="J467" s="471" t="str">
        <f t="shared" si="96"/>
        <v>grantoutoth4-name-oth</v>
      </c>
      <c r="K467" s="471" t="str">
        <f t="shared" si="97"/>
        <v>tot-grant</v>
      </c>
      <c r="L467" s="599"/>
      <c r="M467" s="471" t="s">
        <v>4948</v>
      </c>
      <c r="N467" s="471" t="s">
        <v>4949</v>
      </c>
      <c r="O467" s="471" t="s">
        <v>4950</v>
      </c>
    </row>
    <row r="468" spans="1:15" x14ac:dyDescent="0.25">
      <c r="A468" s="471" t="s">
        <v>1951</v>
      </c>
      <c r="B468" s="1139">
        <f t="shared" ca="1" si="95"/>
        <v>0</v>
      </c>
      <c r="C468" s="473">
        <f t="shared" ca="1" si="93"/>
        <v>0</v>
      </c>
      <c r="G468" s="471">
        <f>RG!C159</f>
        <v>0</v>
      </c>
      <c r="H468" s="471">
        <f t="shared" si="90"/>
        <v>4</v>
      </c>
      <c r="I468" s="471">
        <v>1</v>
      </c>
      <c r="J468" s="471" t="str">
        <f t="shared" si="96"/>
        <v>grantoutoth5-name-oth</v>
      </c>
      <c r="K468" s="471" t="str">
        <f t="shared" si="97"/>
        <v>tot-grant</v>
      </c>
      <c r="L468" s="599"/>
      <c r="M468" s="471" t="s">
        <v>4948</v>
      </c>
      <c r="N468" s="471" t="s">
        <v>4949</v>
      </c>
      <c r="O468" s="471" t="s">
        <v>4950</v>
      </c>
    </row>
    <row r="469" spans="1:15" x14ac:dyDescent="0.25">
      <c r="A469" s="471" t="s">
        <v>1952</v>
      </c>
      <c r="B469" s="1139">
        <f t="shared" ca="1" si="95"/>
        <v>0</v>
      </c>
      <c r="C469" s="473">
        <f t="shared" ca="1" si="93"/>
        <v>0</v>
      </c>
      <c r="G469" s="471">
        <f>RG!C160</f>
        <v>0</v>
      </c>
      <c r="H469" s="471">
        <f t="shared" si="90"/>
        <v>4</v>
      </c>
      <c r="I469" s="471">
        <v>1</v>
      </c>
      <c r="J469" s="471" t="str">
        <f t="shared" si="96"/>
        <v>grantoutoth6-name-oth</v>
      </c>
      <c r="K469" s="471" t="str">
        <f t="shared" si="97"/>
        <v>tot-grant</v>
      </c>
      <c r="L469" s="599"/>
      <c r="M469" s="471" t="s">
        <v>4948</v>
      </c>
      <c r="N469" s="471" t="s">
        <v>4949</v>
      </c>
      <c r="O469" s="471" t="s">
        <v>4950</v>
      </c>
    </row>
    <row r="470" spans="1:15" x14ac:dyDescent="0.25">
      <c r="A470" s="471" t="s">
        <v>1953</v>
      </c>
      <c r="B470" s="1139">
        <f t="shared" ca="1" si="95"/>
        <v>0</v>
      </c>
      <c r="C470" s="473">
        <f t="shared" ca="1" si="93"/>
        <v>0</v>
      </c>
      <c r="G470" s="471">
        <f>RG!C161</f>
        <v>0</v>
      </c>
      <c r="H470" s="471">
        <f t="shared" si="90"/>
        <v>4</v>
      </c>
      <c r="I470" s="471">
        <v>1</v>
      </c>
      <c r="J470" s="471" t="str">
        <f t="shared" si="96"/>
        <v>grantoutoth7-name-oth</v>
      </c>
      <c r="K470" s="471" t="str">
        <f t="shared" si="97"/>
        <v>tot-grant</v>
      </c>
      <c r="L470" s="599"/>
      <c r="M470" s="471" t="s">
        <v>4948</v>
      </c>
      <c r="N470" s="471" t="s">
        <v>4949</v>
      </c>
      <c r="O470" s="471" t="s">
        <v>4950</v>
      </c>
    </row>
    <row r="471" spans="1:15" x14ac:dyDescent="0.25">
      <c r="A471" s="471" t="s">
        <v>1954</v>
      </c>
      <c r="B471" s="1139">
        <f t="shared" ca="1" si="95"/>
        <v>0</v>
      </c>
      <c r="C471" s="473">
        <f t="shared" ca="1" si="93"/>
        <v>0</v>
      </c>
      <c r="G471" s="471">
        <f>RG!C162</f>
        <v>0</v>
      </c>
      <c r="H471" s="471">
        <f t="shared" si="90"/>
        <v>4</v>
      </c>
      <c r="I471" s="471">
        <v>1</v>
      </c>
      <c r="J471" s="471" t="str">
        <f t="shared" si="96"/>
        <v>grantoutoth8-name-oth</v>
      </c>
      <c r="K471" s="471" t="str">
        <f t="shared" si="97"/>
        <v>tot-grant</v>
      </c>
      <c r="L471" s="599"/>
      <c r="M471" s="471" t="s">
        <v>4948</v>
      </c>
      <c r="N471" s="471" t="s">
        <v>4949</v>
      </c>
      <c r="O471" s="471" t="s">
        <v>4950</v>
      </c>
    </row>
    <row r="472" spans="1:15" x14ac:dyDescent="0.25">
      <c r="A472" s="471" t="s">
        <v>1955</v>
      </c>
      <c r="B472" s="1139">
        <f t="shared" ca="1" si="95"/>
        <v>0</v>
      </c>
      <c r="C472" s="473">
        <f t="shared" ca="1" si="93"/>
        <v>0</v>
      </c>
      <c r="G472" s="471">
        <f>RG!C163</f>
        <v>0</v>
      </c>
      <c r="H472" s="471">
        <f t="shared" si="90"/>
        <v>4</v>
      </c>
      <c r="I472" s="471">
        <v>1</v>
      </c>
      <c r="J472" s="471" t="str">
        <f t="shared" si="96"/>
        <v>grantoutoth9-name-oth</v>
      </c>
      <c r="K472" s="471" t="str">
        <f t="shared" si="97"/>
        <v>tot-grant</v>
      </c>
      <c r="L472" s="599"/>
      <c r="M472" s="471" t="s">
        <v>4948</v>
      </c>
      <c r="N472" s="471" t="s">
        <v>4949</v>
      </c>
      <c r="O472" s="471" t="s">
        <v>4950</v>
      </c>
    </row>
    <row r="473" spans="1:15" x14ac:dyDescent="0.25">
      <c r="A473" s="471" t="s">
        <v>1956</v>
      </c>
      <c r="B473" s="1139">
        <f t="shared" ca="1" si="95"/>
        <v>0</v>
      </c>
      <c r="C473" s="473">
        <f t="shared" ca="1" si="93"/>
        <v>0</v>
      </c>
      <c r="G473" s="471">
        <f>RG!C164</f>
        <v>0</v>
      </c>
      <c r="H473" s="471">
        <f t="shared" si="90"/>
        <v>4</v>
      </c>
      <c r="I473" s="471">
        <v>1</v>
      </c>
      <c r="J473" s="471" t="str">
        <f t="shared" si="96"/>
        <v>grantoutoth10-name-oth</v>
      </c>
      <c r="K473" s="471" t="str">
        <f t="shared" si="97"/>
        <v>tot-grant</v>
      </c>
      <c r="L473" s="599"/>
      <c r="M473" s="471" t="s">
        <v>4948</v>
      </c>
      <c r="N473" s="471" t="s">
        <v>4949</v>
      </c>
      <c r="O473" s="471" t="s">
        <v>4950</v>
      </c>
    </row>
    <row r="474" spans="1:15" x14ac:dyDescent="0.25">
      <c r="A474" s="471" t="s">
        <v>1957</v>
      </c>
      <c r="B474" s="1139">
        <f t="shared" ref="B474:B517" ca="1" si="128">INDEX(INDIRECT(LEFT($A474,SEARCH("-",$A474,1)-1)&amp;"_data"),MATCH(MID($A474,SEARCH("-",$A474)+1,SEARCH("#",SUBSTITUTE($A474,"-","#",H474),1)-(SEARCH("-",$A474)+1)),INDIRECT(LEFT($A474,SEARCH("-",$A474,1)-1)&amp;"_rows"),0),MATCH(RIGHT($A474,LEN($A474)-LEN(LEFT($A474,SEARCH("#",SUBSTITUTE($A474,"-","#",H474),1)))),INDIRECT(LEFT($A474,SEARCH("-",$A474,1)-1)&amp;"_Header"),0))</f>
        <v>0</v>
      </c>
      <c r="C474" s="473">
        <f t="shared" ca="1" si="93"/>
        <v>0</v>
      </c>
      <c r="G474" s="471">
        <f>RG!C165</f>
        <v>0</v>
      </c>
      <c r="H474" s="471">
        <f t="shared" si="90"/>
        <v>4</v>
      </c>
      <c r="I474" s="471">
        <v>1</v>
      </c>
      <c r="J474" s="471" t="str">
        <f t="shared" si="96"/>
        <v>grantoutoth11-name-oth</v>
      </c>
      <c r="K474" s="471" t="str">
        <f t="shared" si="97"/>
        <v>tot-grant</v>
      </c>
      <c r="L474" s="599"/>
      <c r="M474" s="471" t="s">
        <v>4948</v>
      </c>
      <c r="N474" s="471" t="s">
        <v>4949</v>
      </c>
      <c r="O474" s="471" t="s">
        <v>4950</v>
      </c>
    </row>
    <row r="475" spans="1:15" x14ac:dyDescent="0.25">
      <c r="A475" s="471" t="s">
        <v>1958</v>
      </c>
      <c r="B475" s="1139">
        <f t="shared" ca="1" si="128"/>
        <v>0</v>
      </c>
      <c r="C475" s="473">
        <f t="shared" ca="1" si="93"/>
        <v>0</v>
      </c>
      <c r="G475" s="471">
        <f>RG!C166</f>
        <v>0</v>
      </c>
      <c r="H475" s="471">
        <f t="shared" si="90"/>
        <v>4</v>
      </c>
      <c r="I475" s="471">
        <v>1</v>
      </c>
      <c r="J475" s="471" t="str">
        <f t="shared" si="96"/>
        <v>grantoutoth12-name-oth</v>
      </c>
      <c r="K475" s="471" t="str">
        <f t="shared" si="97"/>
        <v>tot-grant</v>
      </c>
      <c r="L475" s="599"/>
      <c r="M475" s="471" t="s">
        <v>4948</v>
      </c>
      <c r="N475" s="471" t="s">
        <v>4949</v>
      </c>
      <c r="O475" s="471" t="s">
        <v>4950</v>
      </c>
    </row>
    <row r="476" spans="1:15" x14ac:dyDescent="0.25">
      <c r="A476" s="471" t="s">
        <v>1959</v>
      </c>
      <c r="B476" s="1139">
        <f t="shared" ca="1" si="128"/>
        <v>0</v>
      </c>
      <c r="C476" s="473">
        <f t="shared" ca="1" si="93"/>
        <v>0</v>
      </c>
      <c r="G476" s="471">
        <f>RG!C167</f>
        <v>0</v>
      </c>
      <c r="H476" s="471">
        <f t="shared" si="90"/>
        <v>4</v>
      </c>
      <c r="I476" s="471">
        <v>1</v>
      </c>
      <c r="J476" s="471" t="str">
        <f t="shared" si="96"/>
        <v>grantoutoth13-name-oth</v>
      </c>
      <c r="K476" s="471" t="str">
        <f t="shared" si="97"/>
        <v>tot-grant</v>
      </c>
      <c r="L476" s="599"/>
      <c r="M476" s="471" t="s">
        <v>4948</v>
      </c>
      <c r="N476" s="471" t="s">
        <v>4949</v>
      </c>
      <c r="O476" s="471" t="s">
        <v>4950</v>
      </c>
    </row>
    <row r="477" spans="1:15" x14ac:dyDescent="0.25">
      <c r="A477" s="471" t="s">
        <v>1960</v>
      </c>
      <c r="B477" s="1139">
        <f t="shared" ca="1" si="128"/>
        <v>0</v>
      </c>
      <c r="C477" s="473">
        <f t="shared" ca="1" si="93"/>
        <v>0</v>
      </c>
      <c r="G477" s="471">
        <f>RG!C168</f>
        <v>0</v>
      </c>
      <c r="H477" s="471">
        <f t="shared" si="90"/>
        <v>4</v>
      </c>
      <c r="I477" s="471">
        <v>1</v>
      </c>
      <c r="J477" s="471" t="str">
        <f t="shared" si="96"/>
        <v>grantoutoth14-name-oth</v>
      </c>
      <c r="K477" s="471" t="str">
        <f t="shared" si="97"/>
        <v>tot-grant</v>
      </c>
      <c r="L477" s="599"/>
      <c r="M477" s="471" t="s">
        <v>4948</v>
      </c>
      <c r="N477" s="471" t="s">
        <v>4949</v>
      </c>
      <c r="O477" s="471" t="s">
        <v>4950</v>
      </c>
    </row>
    <row r="478" spans="1:15" x14ac:dyDescent="0.25">
      <c r="A478" s="471" t="s">
        <v>1961</v>
      </c>
      <c r="B478" s="1139">
        <f t="shared" ca="1" si="128"/>
        <v>0</v>
      </c>
      <c r="C478" s="473">
        <f t="shared" ca="1" si="93"/>
        <v>0</v>
      </c>
      <c r="G478" s="471">
        <f>RG!C169</f>
        <v>0</v>
      </c>
      <c r="H478" s="471">
        <f t="shared" si="90"/>
        <v>4</v>
      </c>
      <c r="I478" s="471">
        <v>1</v>
      </c>
      <c r="J478" s="471" t="str">
        <f t="shared" si="96"/>
        <v>grantoutoth15-name-oth</v>
      </c>
      <c r="K478" s="471" t="str">
        <f t="shared" si="97"/>
        <v>tot-grant</v>
      </c>
      <c r="L478" s="599"/>
      <c r="M478" s="471" t="s">
        <v>4948</v>
      </c>
      <c r="N478" s="471" t="s">
        <v>4949</v>
      </c>
      <c r="O478" s="471" t="s">
        <v>4950</v>
      </c>
    </row>
    <row r="479" spans="1:15" x14ac:dyDescent="0.25">
      <c r="A479" s="471" t="s">
        <v>1962</v>
      </c>
      <c r="B479" s="1139">
        <f t="shared" ca="1" si="128"/>
        <v>0</v>
      </c>
      <c r="C479" s="473">
        <f t="shared" ca="1" si="93"/>
        <v>0</v>
      </c>
      <c r="G479" s="471">
        <f>RG!C170</f>
        <v>0</v>
      </c>
      <c r="H479" s="471">
        <f t="shared" si="90"/>
        <v>4</v>
      </c>
      <c r="I479" s="471">
        <v>1</v>
      </c>
      <c r="J479" s="471" t="str">
        <f t="shared" si="96"/>
        <v>grantoutoth16-name-oth</v>
      </c>
      <c r="K479" s="471" t="str">
        <f t="shared" si="97"/>
        <v>tot-grant</v>
      </c>
      <c r="L479" s="599"/>
      <c r="M479" s="471" t="s">
        <v>4948</v>
      </c>
      <c r="N479" s="471" t="s">
        <v>4949</v>
      </c>
      <c r="O479" s="471" t="s">
        <v>4950</v>
      </c>
    </row>
    <row r="480" spans="1:15" x14ac:dyDescent="0.25">
      <c r="A480" s="471" t="s">
        <v>1963</v>
      </c>
      <c r="B480" s="1139">
        <f t="shared" ref="B480" ca="1" si="129">INDEX(INDIRECT(LEFT($A480,SEARCH("-",$A480,1)-1)&amp;"_data"),MATCH(MID($A480,SEARCH("-",$A480)+1,SEARCH("#",SUBSTITUTE($A480,"-","#",H480),1)-(SEARCH("-",$A480)+1)),INDIRECT(LEFT($A480,SEARCH("-",$A480,1)-1)&amp;"_rows"),0),MATCH(RIGHT($A480,LEN($A480)-LEN(LEFT($A480,SEARCH("#",SUBSTITUTE($A480,"-","#",H480),1)))),INDIRECT(LEFT($A480,SEARCH("-",$A480,1)-1)&amp;"_Header"),0))</f>
        <v>0</v>
      </c>
      <c r="C480" s="473">
        <f t="shared" ref="C480" ca="1" si="130">IF(ISERROR(VLOOKUP(A480,INDIRECT("notes_"&amp;LEFT(A480,2)),4,0)),0,VLOOKUP(A480,INDIRECT("notes_"&amp;LEFT(A480,2)),4,0))</f>
        <v>0</v>
      </c>
      <c r="G480" s="471">
        <f>RG!C171</f>
        <v>0</v>
      </c>
      <c r="H480" s="471">
        <f t="shared" ref="H480" si="131">LEN(A480)-LEN(SUBSTITUTE(A480,"-",""))-I480</f>
        <v>4</v>
      </c>
      <c r="I480" s="471">
        <v>1</v>
      </c>
      <c r="J480" s="471" t="str">
        <f t="shared" ref="J480" si="132">MID($A480,SEARCH("-",$A480)+1,SEARCH("#",SUBSTITUTE($A480,"-","#",H480),1)-(SEARCH("-",$A480)+1))</f>
        <v>grantoutoth17-name-oth</v>
      </c>
      <c r="K480" s="471" t="str">
        <f t="shared" ref="K480" si="133">RIGHT($A480,LEN($A480)-SEARCH("#",SUBSTITUTE($A480,"-","#",H480),1))</f>
        <v>tot-grant</v>
      </c>
      <c r="L480" s="599"/>
      <c r="M480" s="471" t="s">
        <v>4948</v>
      </c>
      <c r="N480" s="471" t="s">
        <v>4949</v>
      </c>
      <c r="O480" s="471" t="s">
        <v>4950</v>
      </c>
    </row>
    <row r="481" spans="1:15" x14ac:dyDescent="0.25">
      <c r="A481" s="471" t="s">
        <v>1964</v>
      </c>
      <c r="B481" s="1139">
        <f t="shared" ref="B481:B482" ca="1" si="134">INDEX(INDIRECT(LEFT($A481,SEARCH("-",$A481,1)-1)&amp;"_data"),MATCH(MID($A481,SEARCH("-",$A481)+1,SEARCH("#",SUBSTITUTE($A481,"-","#",H481),1)-(SEARCH("-",$A481)+1)),INDIRECT(LEFT($A481,SEARCH("-",$A481,1)-1)&amp;"_rows"),0),MATCH(RIGHT($A481,LEN($A481)-LEN(LEFT($A481,SEARCH("#",SUBSTITUTE($A481,"-","#",H481),1)))),INDIRECT(LEFT($A481,SEARCH("-",$A481,1)-1)&amp;"_Header"),0))</f>
        <v>0</v>
      </c>
      <c r="C481" s="473">
        <f t="shared" ref="C481:C482" ca="1" si="135">IF(ISERROR(VLOOKUP(A481,INDIRECT("notes_"&amp;LEFT(A481,2)),4,0)),0,VLOOKUP(A481,INDIRECT("notes_"&amp;LEFT(A481,2)),4,0))</f>
        <v>0</v>
      </c>
      <c r="G481" s="471">
        <f>RG!C172</f>
        <v>0</v>
      </c>
      <c r="H481" s="471">
        <f t="shared" ref="H481:H482" si="136">LEN(A481)-LEN(SUBSTITUTE(A481,"-",""))-I481</f>
        <v>4</v>
      </c>
      <c r="I481" s="471">
        <v>1</v>
      </c>
      <c r="J481" s="471" t="str">
        <f t="shared" ref="J481:J482" si="137">MID($A481,SEARCH("-",$A481)+1,SEARCH("#",SUBSTITUTE($A481,"-","#",H481),1)-(SEARCH("-",$A481)+1))</f>
        <v>grantoutoth18-name-oth</v>
      </c>
      <c r="K481" s="471" t="str">
        <f t="shared" ref="K481:K482" si="138">RIGHT($A481,LEN($A481)-SEARCH("#",SUBSTITUTE($A481,"-","#",H481),1))</f>
        <v>tot-grant</v>
      </c>
      <c r="L481" s="599"/>
      <c r="M481" s="471" t="s">
        <v>4948</v>
      </c>
      <c r="N481" s="471" t="s">
        <v>4949</v>
      </c>
      <c r="O481" s="471" t="s">
        <v>4950</v>
      </c>
    </row>
    <row r="482" spans="1:15" x14ac:dyDescent="0.25">
      <c r="A482" s="471" t="s">
        <v>1965</v>
      </c>
      <c r="B482" s="1139">
        <f t="shared" ca="1" si="134"/>
        <v>0</v>
      </c>
      <c r="C482" s="473">
        <f t="shared" ca="1" si="135"/>
        <v>0</v>
      </c>
      <c r="G482" s="471">
        <f>RG!C173</f>
        <v>0</v>
      </c>
      <c r="H482" s="471">
        <f t="shared" si="136"/>
        <v>4</v>
      </c>
      <c r="I482" s="471">
        <v>1</v>
      </c>
      <c r="J482" s="471" t="str">
        <f t="shared" si="137"/>
        <v>grantoutoth19-name-oth</v>
      </c>
      <c r="K482" s="471" t="str">
        <f t="shared" si="138"/>
        <v>tot-grant</v>
      </c>
      <c r="L482" s="599"/>
      <c r="M482" s="471" t="s">
        <v>4948</v>
      </c>
      <c r="N482" s="471" t="s">
        <v>4949</v>
      </c>
      <c r="O482" s="471" t="s">
        <v>4950</v>
      </c>
    </row>
    <row r="483" spans="1:15" x14ac:dyDescent="0.25">
      <c r="A483" s="471" t="s">
        <v>1966</v>
      </c>
      <c r="B483" s="1139">
        <f t="shared" ref="B483:B485" ca="1" si="139">INDEX(INDIRECT(LEFT($A483,SEARCH("-",$A483,1)-1)&amp;"_data"),MATCH(MID($A483,SEARCH("-",$A483)+1,SEARCH("#",SUBSTITUTE($A483,"-","#",H483),1)-(SEARCH("-",$A483)+1)),INDIRECT(LEFT($A483,SEARCH("-",$A483,1)-1)&amp;"_rows"),0),MATCH(RIGHT($A483,LEN($A483)-LEN(LEFT($A483,SEARCH("#",SUBSTITUTE($A483,"-","#",H483),1)))),INDIRECT(LEFT($A483,SEARCH("-",$A483,1)-1)&amp;"_Header"),0))</f>
        <v>0</v>
      </c>
      <c r="C483" s="473">
        <f t="shared" ref="C483:C485" ca="1" si="140">IF(ISERROR(VLOOKUP(A483,INDIRECT("notes_"&amp;LEFT(A483,2)),4,0)),0,VLOOKUP(A483,INDIRECT("notes_"&amp;LEFT(A483,2)),4,0))</f>
        <v>0</v>
      </c>
      <c r="G483" s="471">
        <f>RG!C174</f>
        <v>0</v>
      </c>
      <c r="H483" s="471">
        <f t="shared" ref="H483:H485" si="141">LEN(A483)-LEN(SUBSTITUTE(A483,"-",""))-I483</f>
        <v>4</v>
      </c>
      <c r="I483" s="471">
        <v>1</v>
      </c>
      <c r="J483" s="471" t="str">
        <f t="shared" ref="J483:J485" si="142">MID($A483,SEARCH("-",$A483)+1,SEARCH("#",SUBSTITUTE($A483,"-","#",H483),1)-(SEARCH("-",$A483)+1))</f>
        <v>grantoutoth20-name-oth</v>
      </c>
      <c r="K483" s="471" t="str">
        <f t="shared" ref="K483:K485" si="143">RIGHT($A483,LEN($A483)-SEARCH("#",SUBSTITUTE($A483,"-","#",H483),1))</f>
        <v>tot-grant</v>
      </c>
      <c r="L483" s="599"/>
      <c r="M483" s="471" t="s">
        <v>4948</v>
      </c>
      <c r="N483" s="471" t="s">
        <v>4949</v>
      </c>
      <c r="O483" s="471" t="s">
        <v>4950</v>
      </c>
    </row>
    <row r="484" spans="1:15" x14ac:dyDescent="0.25">
      <c r="A484" s="471" t="s">
        <v>1967</v>
      </c>
      <c r="B484" s="1139">
        <f t="shared" ca="1" si="139"/>
        <v>0</v>
      </c>
      <c r="C484" s="473">
        <f t="shared" ca="1" si="140"/>
        <v>0</v>
      </c>
      <c r="G484" s="471">
        <f>RG!C175</f>
        <v>0</v>
      </c>
      <c r="H484" s="471">
        <f t="shared" si="141"/>
        <v>4</v>
      </c>
      <c r="I484" s="471">
        <v>1</v>
      </c>
      <c r="J484" s="471" t="str">
        <f t="shared" si="142"/>
        <v>grantoutoth21-name-oth</v>
      </c>
      <c r="K484" s="471" t="str">
        <f t="shared" si="143"/>
        <v>tot-grant</v>
      </c>
      <c r="L484" s="599"/>
      <c r="M484" s="471" t="s">
        <v>4948</v>
      </c>
      <c r="N484" s="471" t="s">
        <v>4949</v>
      </c>
      <c r="O484" s="471" t="s">
        <v>4950</v>
      </c>
    </row>
    <row r="485" spans="1:15" x14ac:dyDescent="0.25">
      <c r="A485" s="471" t="s">
        <v>1968</v>
      </c>
      <c r="B485" s="1139">
        <f t="shared" ca="1" si="139"/>
        <v>0</v>
      </c>
      <c r="C485" s="473">
        <f t="shared" ca="1" si="140"/>
        <v>0</v>
      </c>
      <c r="G485" s="471">
        <f>RG!C176</f>
        <v>0</v>
      </c>
      <c r="H485" s="471">
        <f t="shared" si="141"/>
        <v>4</v>
      </c>
      <c r="I485" s="471">
        <v>1</v>
      </c>
      <c r="J485" s="471" t="str">
        <f t="shared" si="142"/>
        <v>grantoutoth22-name-oth</v>
      </c>
      <c r="K485" s="471" t="str">
        <f t="shared" si="143"/>
        <v>tot-grant</v>
      </c>
      <c r="L485" s="599"/>
      <c r="M485" s="471" t="s">
        <v>4948</v>
      </c>
      <c r="N485" s="471" t="s">
        <v>4949</v>
      </c>
      <c r="O485" s="471" t="s">
        <v>4950</v>
      </c>
    </row>
    <row r="486" spans="1:15" x14ac:dyDescent="0.25">
      <c r="A486" s="471" t="s">
        <v>1969</v>
      </c>
      <c r="B486" s="1139">
        <f t="shared" ref="B486:B514" ca="1" si="144">INDEX(INDIRECT(LEFT($A486,SEARCH("-",$A486,1)-1)&amp;"_data"),MATCH(MID($A486,SEARCH("-",$A486)+1,SEARCH("#",SUBSTITUTE($A486,"-","#",H486),1)-(SEARCH("-",$A486)+1)),INDIRECT(LEFT($A486,SEARCH("-",$A486,1)-1)&amp;"_rows"),0),MATCH(RIGHT($A486,LEN($A486)-LEN(LEFT($A486,SEARCH("#",SUBSTITUTE($A486,"-","#",H486),1)))),INDIRECT(LEFT($A486,SEARCH("-",$A486,1)-1)&amp;"_Header"),0))</f>
        <v>0</v>
      </c>
      <c r="C486" s="473">
        <f t="shared" ref="C486:C514" ca="1" si="145">IF(ISERROR(VLOOKUP(A486,INDIRECT("notes_"&amp;LEFT(A486,2)),4,0)),0,VLOOKUP(A486,INDIRECT("notes_"&amp;LEFT(A486,2)),4,0))</f>
        <v>0</v>
      </c>
      <c r="G486" s="471">
        <f>RG!C177</f>
        <v>0</v>
      </c>
      <c r="H486" s="471">
        <f t="shared" ref="H486:H514" si="146">LEN(A486)-LEN(SUBSTITUTE(A486,"-",""))-I486</f>
        <v>4</v>
      </c>
      <c r="I486" s="471">
        <v>1</v>
      </c>
      <c r="J486" s="471" t="str">
        <f t="shared" ref="J486:J514" si="147">MID($A486,SEARCH("-",$A486)+1,SEARCH("#",SUBSTITUTE($A486,"-","#",H486),1)-(SEARCH("-",$A486)+1))</f>
        <v>grantoutoth23-name-oth</v>
      </c>
      <c r="K486" s="471" t="str">
        <f t="shared" ref="K486:K514" si="148">RIGHT($A486,LEN($A486)-SEARCH("#",SUBSTITUTE($A486,"-","#",H486),1))</f>
        <v>tot-grant</v>
      </c>
      <c r="L486" s="599"/>
      <c r="M486" s="471" t="s">
        <v>4948</v>
      </c>
      <c r="N486" s="471" t="s">
        <v>4949</v>
      </c>
      <c r="O486" s="471" t="s">
        <v>4950</v>
      </c>
    </row>
    <row r="487" spans="1:15" x14ac:dyDescent="0.25">
      <c r="A487" s="471" t="s">
        <v>1970</v>
      </c>
      <c r="B487" s="1139">
        <f t="shared" ca="1" si="144"/>
        <v>0</v>
      </c>
      <c r="C487" s="473">
        <f t="shared" ca="1" si="145"/>
        <v>0</v>
      </c>
      <c r="G487" s="471">
        <f>RG!C178</f>
        <v>0</v>
      </c>
      <c r="H487" s="471">
        <f t="shared" si="146"/>
        <v>4</v>
      </c>
      <c r="I487" s="471">
        <v>1</v>
      </c>
      <c r="J487" s="471" t="str">
        <f t="shared" si="147"/>
        <v>grantoutoth24-name-oth</v>
      </c>
      <c r="K487" s="471" t="str">
        <f t="shared" si="148"/>
        <v>tot-grant</v>
      </c>
      <c r="L487" s="599"/>
      <c r="M487" s="471" t="s">
        <v>4948</v>
      </c>
      <c r="N487" s="471" t="s">
        <v>4949</v>
      </c>
      <c r="O487" s="471" t="s">
        <v>4950</v>
      </c>
    </row>
    <row r="488" spans="1:15" x14ac:dyDescent="0.25">
      <c r="A488" s="471" t="s">
        <v>1971</v>
      </c>
      <c r="B488" s="1139">
        <f t="shared" ca="1" si="144"/>
        <v>0</v>
      </c>
      <c r="C488" s="473">
        <f t="shared" ca="1" si="145"/>
        <v>0</v>
      </c>
      <c r="G488" s="471">
        <f>RG!C179</f>
        <v>0</v>
      </c>
      <c r="H488" s="471">
        <f t="shared" si="146"/>
        <v>4</v>
      </c>
      <c r="I488" s="471">
        <v>1</v>
      </c>
      <c r="J488" s="471" t="str">
        <f t="shared" si="147"/>
        <v>grantoutoth25-name-oth</v>
      </c>
      <c r="K488" s="471" t="str">
        <f t="shared" si="148"/>
        <v>tot-grant</v>
      </c>
      <c r="L488" s="599"/>
      <c r="M488" s="471" t="s">
        <v>4948</v>
      </c>
      <c r="N488" s="471" t="s">
        <v>4949</v>
      </c>
      <c r="O488" s="471" t="s">
        <v>4950</v>
      </c>
    </row>
    <row r="489" spans="1:15" x14ac:dyDescent="0.25">
      <c r="A489" s="471" t="s">
        <v>1972</v>
      </c>
      <c r="B489" s="1139">
        <f t="shared" ca="1" si="144"/>
        <v>0</v>
      </c>
      <c r="C489" s="473">
        <f t="shared" ca="1" si="145"/>
        <v>0</v>
      </c>
      <c r="G489" s="471">
        <f>RG!C180</f>
        <v>0</v>
      </c>
      <c r="H489" s="471">
        <f t="shared" si="146"/>
        <v>4</v>
      </c>
      <c r="I489" s="471">
        <v>1</v>
      </c>
      <c r="J489" s="471" t="str">
        <f t="shared" si="147"/>
        <v>grantoutoth26-name-oth</v>
      </c>
      <c r="K489" s="471" t="str">
        <f t="shared" si="148"/>
        <v>tot-grant</v>
      </c>
      <c r="L489" s="599"/>
      <c r="M489" s="471" t="s">
        <v>4948</v>
      </c>
      <c r="N489" s="471" t="s">
        <v>4949</v>
      </c>
      <c r="O489" s="471" t="s">
        <v>4950</v>
      </c>
    </row>
    <row r="490" spans="1:15" x14ac:dyDescent="0.25">
      <c r="A490" s="471" t="s">
        <v>1973</v>
      </c>
      <c r="B490" s="1139">
        <f t="shared" ca="1" si="144"/>
        <v>0</v>
      </c>
      <c r="C490" s="473">
        <f t="shared" ca="1" si="145"/>
        <v>0</v>
      </c>
      <c r="G490" s="471">
        <f>RG!C181</f>
        <v>0</v>
      </c>
      <c r="H490" s="471">
        <f t="shared" si="146"/>
        <v>4</v>
      </c>
      <c r="I490" s="471">
        <v>1</v>
      </c>
      <c r="J490" s="471" t="str">
        <f t="shared" si="147"/>
        <v>grantoutoth27-name-oth</v>
      </c>
      <c r="K490" s="471" t="str">
        <f t="shared" si="148"/>
        <v>tot-grant</v>
      </c>
      <c r="L490" s="599"/>
      <c r="M490" s="471" t="s">
        <v>4948</v>
      </c>
      <c r="N490" s="471" t="s">
        <v>4949</v>
      </c>
      <c r="O490" s="471" t="s">
        <v>4950</v>
      </c>
    </row>
    <row r="491" spans="1:15" x14ac:dyDescent="0.25">
      <c r="A491" s="471" t="s">
        <v>1974</v>
      </c>
      <c r="B491" s="1139">
        <f t="shared" ca="1" si="144"/>
        <v>0</v>
      </c>
      <c r="C491" s="473">
        <f t="shared" ca="1" si="145"/>
        <v>0</v>
      </c>
      <c r="G491" s="471">
        <f>RG!C182</f>
        <v>0</v>
      </c>
      <c r="H491" s="471">
        <f t="shared" si="146"/>
        <v>4</v>
      </c>
      <c r="I491" s="471">
        <v>1</v>
      </c>
      <c r="J491" s="471" t="str">
        <f t="shared" si="147"/>
        <v>grantoutoth28-name-oth</v>
      </c>
      <c r="K491" s="471" t="str">
        <f t="shared" si="148"/>
        <v>tot-grant</v>
      </c>
      <c r="L491" s="599"/>
      <c r="M491" s="471" t="s">
        <v>4948</v>
      </c>
      <c r="N491" s="471" t="s">
        <v>4949</v>
      </c>
      <c r="O491" s="471" t="s">
        <v>4950</v>
      </c>
    </row>
    <row r="492" spans="1:15" x14ac:dyDescent="0.25">
      <c r="A492" s="471" t="s">
        <v>1975</v>
      </c>
      <c r="B492" s="1139">
        <f t="shared" ca="1" si="144"/>
        <v>0</v>
      </c>
      <c r="C492" s="473">
        <f t="shared" ca="1" si="145"/>
        <v>0</v>
      </c>
      <c r="G492" s="471">
        <f>RG!C183</f>
        <v>0</v>
      </c>
      <c r="H492" s="471">
        <f t="shared" si="146"/>
        <v>4</v>
      </c>
      <c r="I492" s="471">
        <v>1</v>
      </c>
      <c r="J492" s="471" t="str">
        <f t="shared" si="147"/>
        <v>grantoutoth29-name-oth</v>
      </c>
      <c r="K492" s="471" t="str">
        <f t="shared" si="148"/>
        <v>tot-grant</v>
      </c>
      <c r="L492" s="599"/>
      <c r="M492" s="471" t="s">
        <v>4948</v>
      </c>
      <c r="N492" s="471" t="s">
        <v>4949</v>
      </c>
      <c r="O492" s="471" t="s">
        <v>4950</v>
      </c>
    </row>
    <row r="493" spans="1:15" x14ac:dyDescent="0.25">
      <c r="A493" s="471" t="s">
        <v>1976</v>
      </c>
      <c r="B493" s="1139">
        <f t="shared" ca="1" si="144"/>
        <v>0</v>
      </c>
      <c r="C493" s="473">
        <f t="shared" ca="1" si="145"/>
        <v>0</v>
      </c>
      <c r="G493" s="471">
        <f>RG!C184</f>
        <v>0</v>
      </c>
      <c r="H493" s="471">
        <f t="shared" si="146"/>
        <v>4</v>
      </c>
      <c r="I493" s="471">
        <v>1</v>
      </c>
      <c r="J493" s="471" t="str">
        <f t="shared" si="147"/>
        <v>grantoutoth30-name-oth</v>
      </c>
      <c r="K493" s="471" t="str">
        <f t="shared" si="148"/>
        <v>tot-grant</v>
      </c>
      <c r="L493" s="599"/>
      <c r="M493" s="471" t="s">
        <v>4948</v>
      </c>
      <c r="N493" s="471" t="s">
        <v>4949</v>
      </c>
      <c r="O493" s="471" t="s">
        <v>4950</v>
      </c>
    </row>
    <row r="494" spans="1:15" x14ac:dyDescent="0.25">
      <c r="A494" s="471" t="s">
        <v>1977</v>
      </c>
      <c r="B494" s="1139">
        <f t="shared" ca="1" si="144"/>
        <v>0</v>
      </c>
      <c r="C494" s="473">
        <f t="shared" ca="1" si="145"/>
        <v>0</v>
      </c>
      <c r="G494" s="471">
        <f>RG!C185</f>
        <v>0</v>
      </c>
      <c r="H494" s="471">
        <f t="shared" si="146"/>
        <v>4</v>
      </c>
      <c r="I494" s="471">
        <v>1</v>
      </c>
      <c r="J494" s="471" t="str">
        <f t="shared" si="147"/>
        <v>grantoutoth31-name-oth</v>
      </c>
      <c r="K494" s="471" t="str">
        <f t="shared" si="148"/>
        <v>tot-grant</v>
      </c>
      <c r="L494" s="599"/>
      <c r="M494" s="471" t="s">
        <v>4948</v>
      </c>
      <c r="N494" s="471" t="s">
        <v>4949</v>
      </c>
      <c r="O494" s="471" t="s">
        <v>4950</v>
      </c>
    </row>
    <row r="495" spans="1:15" x14ac:dyDescent="0.25">
      <c r="A495" s="471" t="s">
        <v>1978</v>
      </c>
      <c r="B495" s="1139">
        <f t="shared" ca="1" si="144"/>
        <v>0</v>
      </c>
      <c r="C495" s="473">
        <f t="shared" ca="1" si="145"/>
        <v>0</v>
      </c>
      <c r="G495" s="471">
        <f>RG!C186</f>
        <v>0</v>
      </c>
      <c r="H495" s="471">
        <f t="shared" si="146"/>
        <v>4</v>
      </c>
      <c r="I495" s="471">
        <v>1</v>
      </c>
      <c r="J495" s="471" t="str">
        <f t="shared" si="147"/>
        <v>grantoutoth32-name-oth</v>
      </c>
      <c r="K495" s="471" t="str">
        <f t="shared" si="148"/>
        <v>tot-grant</v>
      </c>
      <c r="L495" s="599"/>
      <c r="M495" s="471" t="s">
        <v>4948</v>
      </c>
      <c r="N495" s="471" t="s">
        <v>4949</v>
      </c>
      <c r="O495" s="471" t="s">
        <v>4950</v>
      </c>
    </row>
    <row r="496" spans="1:15" x14ac:dyDescent="0.25">
      <c r="A496" s="471" t="s">
        <v>1979</v>
      </c>
      <c r="B496" s="1139">
        <f t="shared" ca="1" si="144"/>
        <v>0</v>
      </c>
      <c r="C496" s="473">
        <f t="shared" ca="1" si="145"/>
        <v>0</v>
      </c>
      <c r="G496" s="471">
        <f>RG!C187</f>
        <v>0</v>
      </c>
      <c r="H496" s="471">
        <f t="shared" si="146"/>
        <v>4</v>
      </c>
      <c r="I496" s="471">
        <v>1</v>
      </c>
      <c r="J496" s="471" t="str">
        <f t="shared" si="147"/>
        <v>grantoutoth33-name-oth</v>
      </c>
      <c r="K496" s="471" t="str">
        <f t="shared" si="148"/>
        <v>tot-grant</v>
      </c>
      <c r="L496" s="599"/>
      <c r="M496" s="471" t="s">
        <v>4948</v>
      </c>
      <c r="N496" s="471" t="s">
        <v>4949</v>
      </c>
      <c r="O496" s="471" t="s">
        <v>4950</v>
      </c>
    </row>
    <row r="497" spans="1:15" x14ac:dyDescent="0.25">
      <c r="A497" s="471" t="s">
        <v>1980</v>
      </c>
      <c r="B497" s="1139">
        <f t="shared" ca="1" si="144"/>
        <v>0</v>
      </c>
      <c r="C497" s="473">
        <f t="shared" ca="1" si="145"/>
        <v>0</v>
      </c>
      <c r="G497" s="471">
        <f>RG!C188</f>
        <v>0</v>
      </c>
      <c r="H497" s="471">
        <f t="shared" si="146"/>
        <v>4</v>
      </c>
      <c r="I497" s="471">
        <v>1</v>
      </c>
      <c r="J497" s="471" t="str">
        <f t="shared" si="147"/>
        <v>grantoutoth34-name-oth</v>
      </c>
      <c r="K497" s="471" t="str">
        <f t="shared" si="148"/>
        <v>tot-grant</v>
      </c>
      <c r="L497" s="599"/>
      <c r="M497" s="471" t="s">
        <v>4948</v>
      </c>
      <c r="N497" s="471" t="s">
        <v>4949</v>
      </c>
      <c r="O497" s="471" t="s">
        <v>4950</v>
      </c>
    </row>
    <row r="498" spans="1:15" x14ac:dyDescent="0.25">
      <c r="A498" s="471" t="s">
        <v>1981</v>
      </c>
      <c r="B498" s="1139">
        <f t="shared" ca="1" si="144"/>
        <v>0</v>
      </c>
      <c r="C498" s="473">
        <f t="shared" ca="1" si="145"/>
        <v>0</v>
      </c>
      <c r="G498" s="471">
        <f>RG!C189</f>
        <v>0</v>
      </c>
      <c r="H498" s="471">
        <f t="shared" si="146"/>
        <v>4</v>
      </c>
      <c r="I498" s="471">
        <v>1</v>
      </c>
      <c r="J498" s="471" t="str">
        <f t="shared" si="147"/>
        <v>grantoutoth35-name-oth</v>
      </c>
      <c r="K498" s="471" t="str">
        <f t="shared" si="148"/>
        <v>tot-grant</v>
      </c>
      <c r="L498" s="599"/>
      <c r="M498" s="471" t="s">
        <v>4948</v>
      </c>
      <c r="N498" s="471" t="s">
        <v>4949</v>
      </c>
      <c r="O498" s="471" t="s">
        <v>4950</v>
      </c>
    </row>
    <row r="499" spans="1:15" x14ac:dyDescent="0.25">
      <c r="A499" s="471" t="s">
        <v>1982</v>
      </c>
      <c r="B499" s="1139">
        <f t="shared" ca="1" si="144"/>
        <v>0</v>
      </c>
      <c r="C499" s="473">
        <f t="shared" ca="1" si="145"/>
        <v>0</v>
      </c>
      <c r="G499" s="471">
        <f>RG!C190</f>
        <v>0</v>
      </c>
      <c r="H499" s="471">
        <f t="shared" si="146"/>
        <v>4</v>
      </c>
      <c r="I499" s="471">
        <v>1</v>
      </c>
      <c r="J499" s="471" t="str">
        <f t="shared" si="147"/>
        <v>grantoutoth36-name-oth</v>
      </c>
      <c r="K499" s="471" t="str">
        <f t="shared" si="148"/>
        <v>tot-grant</v>
      </c>
      <c r="L499" s="599"/>
      <c r="M499" s="471" t="s">
        <v>4948</v>
      </c>
      <c r="N499" s="471" t="s">
        <v>4949</v>
      </c>
      <c r="O499" s="471" t="s">
        <v>4950</v>
      </c>
    </row>
    <row r="500" spans="1:15" x14ac:dyDescent="0.25">
      <c r="A500" s="471" t="s">
        <v>1983</v>
      </c>
      <c r="B500" s="1139">
        <f t="shared" ca="1" si="144"/>
        <v>0</v>
      </c>
      <c r="C500" s="473">
        <f t="shared" ca="1" si="145"/>
        <v>0</v>
      </c>
      <c r="G500" s="471">
        <f>RG!C191</f>
        <v>0</v>
      </c>
      <c r="H500" s="471">
        <f t="shared" si="146"/>
        <v>4</v>
      </c>
      <c r="I500" s="471">
        <v>1</v>
      </c>
      <c r="J500" s="471" t="str">
        <f t="shared" si="147"/>
        <v>grantoutoth37-name-oth</v>
      </c>
      <c r="K500" s="471" t="str">
        <f t="shared" si="148"/>
        <v>tot-grant</v>
      </c>
      <c r="L500" s="599"/>
      <c r="M500" s="471" t="s">
        <v>4948</v>
      </c>
      <c r="N500" s="471" t="s">
        <v>4949</v>
      </c>
      <c r="O500" s="471" t="s">
        <v>4950</v>
      </c>
    </row>
    <row r="501" spans="1:15" x14ac:dyDescent="0.25">
      <c r="A501" s="471" t="s">
        <v>1984</v>
      </c>
      <c r="B501" s="1139">
        <f t="shared" ca="1" si="144"/>
        <v>0</v>
      </c>
      <c r="C501" s="473">
        <f t="shared" ca="1" si="145"/>
        <v>0</v>
      </c>
      <c r="G501" s="471">
        <f>RG!C192</f>
        <v>0</v>
      </c>
      <c r="H501" s="471">
        <f t="shared" si="146"/>
        <v>4</v>
      </c>
      <c r="I501" s="471">
        <v>1</v>
      </c>
      <c r="J501" s="471" t="str">
        <f t="shared" si="147"/>
        <v>grantoutoth38-name-oth</v>
      </c>
      <c r="K501" s="471" t="str">
        <f t="shared" si="148"/>
        <v>tot-grant</v>
      </c>
      <c r="L501" s="599"/>
      <c r="M501" s="471" t="s">
        <v>4948</v>
      </c>
      <c r="N501" s="471" t="s">
        <v>4949</v>
      </c>
      <c r="O501" s="471" t="s">
        <v>4950</v>
      </c>
    </row>
    <row r="502" spans="1:15" x14ac:dyDescent="0.25">
      <c r="A502" s="471" t="s">
        <v>1985</v>
      </c>
      <c r="B502" s="1139">
        <f t="shared" ca="1" si="144"/>
        <v>0</v>
      </c>
      <c r="C502" s="473">
        <f t="shared" ca="1" si="145"/>
        <v>0</v>
      </c>
      <c r="G502" s="471">
        <f>RG!C193</f>
        <v>0</v>
      </c>
      <c r="H502" s="471">
        <f t="shared" si="146"/>
        <v>4</v>
      </c>
      <c r="I502" s="471">
        <v>1</v>
      </c>
      <c r="J502" s="471" t="str">
        <f t="shared" si="147"/>
        <v>grantoutoth39-name-oth</v>
      </c>
      <c r="K502" s="471" t="str">
        <f t="shared" si="148"/>
        <v>tot-grant</v>
      </c>
      <c r="L502" s="599"/>
      <c r="M502" s="471" t="s">
        <v>4948</v>
      </c>
      <c r="N502" s="471" t="s">
        <v>4949</v>
      </c>
      <c r="O502" s="471" t="s">
        <v>4950</v>
      </c>
    </row>
    <row r="503" spans="1:15" x14ac:dyDescent="0.25">
      <c r="A503" s="471" t="s">
        <v>1986</v>
      </c>
      <c r="B503" s="1139">
        <f t="shared" ca="1" si="144"/>
        <v>0</v>
      </c>
      <c r="C503" s="473">
        <f t="shared" ca="1" si="145"/>
        <v>0</v>
      </c>
      <c r="G503" s="471">
        <f>RG!C194</f>
        <v>0</v>
      </c>
      <c r="H503" s="471">
        <f t="shared" si="146"/>
        <v>4</v>
      </c>
      <c r="I503" s="471">
        <v>1</v>
      </c>
      <c r="J503" s="471" t="str">
        <f t="shared" si="147"/>
        <v>grantoutoth40-name-oth</v>
      </c>
      <c r="K503" s="471" t="str">
        <f t="shared" si="148"/>
        <v>tot-grant</v>
      </c>
      <c r="L503" s="599"/>
      <c r="M503" s="471" t="s">
        <v>4948</v>
      </c>
      <c r="N503" s="471" t="s">
        <v>4949</v>
      </c>
      <c r="O503" s="471" t="s">
        <v>4950</v>
      </c>
    </row>
    <row r="504" spans="1:15" x14ac:dyDescent="0.25">
      <c r="A504" s="471" t="s">
        <v>1987</v>
      </c>
      <c r="B504" s="1139">
        <f t="shared" ca="1" si="144"/>
        <v>0</v>
      </c>
      <c r="C504" s="473">
        <f t="shared" ca="1" si="145"/>
        <v>0</v>
      </c>
      <c r="G504" s="471">
        <f>RG!C195</f>
        <v>0</v>
      </c>
      <c r="H504" s="471">
        <f t="shared" si="146"/>
        <v>4</v>
      </c>
      <c r="I504" s="471">
        <v>1</v>
      </c>
      <c r="J504" s="471" t="str">
        <f t="shared" si="147"/>
        <v>grantoutoth41-name-oth</v>
      </c>
      <c r="K504" s="471" t="str">
        <f t="shared" si="148"/>
        <v>tot-grant</v>
      </c>
      <c r="L504" s="599"/>
      <c r="M504" s="471" t="s">
        <v>4948</v>
      </c>
      <c r="N504" s="471" t="s">
        <v>4949</v>
      </c>
      <c r="O504" s="471" t="s">
        <v>4950</v>
      </c>
    </row>
    <row r="505" spans="1:15" x14ac:dyDescent="0.25">
      <c r="A505" s="471" t="s">
        <v>1988</v>
      </c>
      <c r="B505" s="1139">
        <f t="shared" ca="1" si="144"/>
        <v>0</v>
      </c>
      <c r="C505" s="473">
        <f t="shared" ca="1" si="145"/>
        <v>0</v>
      </c>
      <c r="G505" s="471">
        <f>RG!C196</f>
        <v>0</v>
      </c>
      <c r="H505" s="471">
        <f t="shared" si="146"/>
        <v>4</v>
      </c>
      <c r="I505" s="471">
        <v>1</v>
      </c>
      <c r="J505" s="471" t="str">
        <f t="shared" si="147"/>
        <v>grantoutoth42-name-oth</v>
      </c>
      <c r="K505" s="471" t="str">
        <f t="shared" si="148"/>
        <v>tot-grant</v>
      </c>
      <c r="L505" s="599"/>
      <c r="M505" s="471" t="s">
        <v>4948</v>
      </c>
      <c r="N505" s="471" t="s">
        <v>4949</v>
      </c>
      <c r="O505" s="471" t="s">
        <v>4950</v>
      </c>
    </row>
    <row r="506" spans="1:15" x14ac:dyDescent="0.25">
      <c r="A506" s="471" t="s">
        <v>1989</v>
      </c>
      <c r="B506" s="1139">
        <f t="shared" ca="1" si="144"/>
        <v>0</v>
      </c>
      <c r="C506" s="473">
        <f t="shared" ca="1" si="145"/>
        <v>0</v>
      </c>
      <c r="G506" s="471">
        <f>RG!C197</f>
        <v>0</v>
      </c>
      <c r="H506" s="471">
        <f t="shared" si="146"/>
        <v>4</v>
      </c>
      <c r="I506" s="471">
        <v>1</v>
      </c>
      <c r="J506" s="471" t="str">
        <f t="shared" si="147"/>
        <v>grantoutoth43-name-oth</v>
      </c>
      <c r="K506" s="471" t="str">
        <f t="shared" si="148"/>
        <v>tot-grant</v>
      </c>
      <c r="L506" s="599"/>
      <c r="M506" s="471" t="s">
        <v>4948</v>
      </c>
      <c r="N506" s="471" t="s">
        <v>4949</v>
      </c>
      <c r="O506" s="471" t="s">
        <v>4950</v>
      </c>
    </row>
    <row r="507" spans="1:15" x14ac:dyDescent="0.25">
      <c r="A507" s="471" t="s">
        <v>1990</v>
      </c>
      <c r="B507" s="1139">
        <f t="shared" ca="1" si="144"/>
        <v>0</v>
      </c>
      <c r="C507" s="473">
        <f t="shared" ca="1" si="145"/>
        <v>0</v>
      </c>
      <c r="G507" s="471">
        <f>RG!C198</f>
        <v>0</v>
      </c>
      <c r="H507" s="471">
        <f t="shared" si="146"/>
        <v>4</v>
      </c>
      <c r="I507" s="471">
        <v>1</v>
      </c>
      <c r="J507" s="471" t="str">
        <f t="shared" si="147"/>
        <v>grantoutoth44-name-oth</v>
      </c>
      <c r="K507" s="471" t="str">
        <f t="shared" si="148"/>
        <v>tot-grant</v>
      </c>
      <c r="L507" s="599"/>
      <c r="M507" s="471" t="s">
        <v>4948</v>
      </c>
      <c r="N507" s="471" t="s">
        <v>4949</v>
      </c>
      <c r="O507" s="471" t="s">
        <v>4950</v>
      </c>
    </row>
    <row r="508" spans="1:15" x14ac:dyDescent="0.25">
      <c r="A508" s="471" t="s">
        <v>1991</v>
      </c>
      <c r="B508" s="1139">
        <f t="shared" ca="1" si="144"/>
        <v>0</v>
      </c>
      <c r="C508" s="473">
        <f t="shared" ca="1" si="145"/>
        <v>0</v>
      </c>
      <c r="G508" s="471">
        <f>RG!C199</f>
        <v>0</v>
      </c>
      <c r="H508" s="471">
        <f t="shared" si="146"/>
        <v>4</v>
      </c>
      <c r="I508" s="471">
        <v>1</v>
      </c>
      <c r="J508" s="471" t="str">
        <f t="shared" si="147"/>
        <v>grantoutoth45-name-oth</v>
      </c>
      <c r="K508" s="471" t="str">
        <f t="shared" si="148"/>
        <v>tot-grant</v>
      </c>
      <c r="L508" s="599"/>
      <c r="M508" s="471" t="s">
        <v>4948</v>
      </c>
      <c r="N508" s="471" t="s">
        <v>4949</v>
      </c>
      <c r="O508" s="471" t="s">
        <v>4950</v>
      </c>
    </row>
    <row r="509" spans="1:15" x14ac:dyDescent="0.25">
      <c r="A509" s="471" t="s">
        <v>1992</v>
      </c>
      <c r="B509" s="1139">
        <f t="shared" ca="1" si="144"/>
        <v>0</v>
      </c>
      <c r="C509" s="473">
        <f t="shared" ca="1" si="145"/>
        <v>0</v>
      </c>
      <c r="G509" s="471">
        <f>RG!C200</f>
        <v>0</v>
      </c>
      <c r="H509" s="471">
        <f t="shared" si="146"/>
        <v>4</v>
      </c>
      <c r="I509" s="471">
        <v>1</v>
      </c>
      <c r="J509" s="471" t="str">
        <f t="shared" si="147"/>
        <v>grantoutoth46-name-oth</v>
      </c>
      <c r="K509" s="471" t="str">
        <f t="shared" si="148"/>
        <v>tot-grant</v>
      </c>
      <c r="L509" s="599"/>
      <c r="M509" s="471" t="s">
        <v>4948</v>
      </c>
      <c r="N509" s="471" t="s">
        <v>4949</v>
      </c>
      <c r="O509" s="471" t="s">
        <v>4950</v>
      </c>
    </row>
    <row r="510" spans="1:15" x14ac:dyDescent="0.25">
      <c r="A510" s="471" t="s">
        <v>1993</v>
      </c>
      <c r="B510" s="1139">
        <f t="shared" ca="1" si="144"/>
        <v>0</v>
      </c>
      <c r="C510" s="473">
        <f t="shared" ca="1" si="145"/>
        <v>0</v>
      </c>
      <c r="G510" s="471">
        <f>RG!C201</f>
        <v>0</v>
      </c>
      <c r="H510" s="471">
        <f t="shared" si="146"/>
        <v>4</v>
      </c>
      <c r="I510" s="471">
        <v>1</v>
      </c>
      <c r="J510" s="471" t="str">
        <f t="shared" si="147"/>
        <v>grantoutoth47-name-oth</v>
      </c>
      <c r="K510" s="471" t="str">
        <f t="shared" si="148"/>
        <v>tot-grant</v>
      </c>
      <c r="L510" s="599"/>
      <c r="M510" s="471" t="s">
        <v>4948</v>
      </c>
      <c r="N510" s="471" t="s">
        <v>4949</v>
      </c>
      <c r="O510" s="471" t="s">
        <v>4950</v>
      </c>
    </row>
    <row r="511" spans="1:15" x14ac:dyDescent="0.25">
      <c r="A511" s="471" t="s">
        <v>1994</v>
      </c>
      <c r="B511" s="1139">
        <f t="shared" ca="1" si="144"/>
        <v>0</v>
      </c>
      <c r="C511" s="473">
        <f t="shared" ca="1" si="145"/>
        <v>0</v>
      </c>
      <c r="G511" s="471">
        <f>RG!C202</f>
        <v>0</v>
      </c>
      <c r="H511" s="471">
        <f t="shared" si="146"/>
        <v>4</v>
      </c>
      <c r="I511" s="471">
        <v>1</v>
      </c>
      <c r="J511" s="471" t="str">
        <f t="shared" si="147"/>
        <v>grantoutoth48-name-oth</v>
      </c>
      <c r="K511" s="471" t="str">
        <f t="shared" si="148"/>
        <v>tot-grant</v>
      </c>
      <c r="L511" s="599"/>
      <c r="M511" s="471" t="s">
        <v>4948</v>
      </c>
      <c r="N511" s="471" t="s">
        <v>4949</v>
      </c>
      <c r="O511" s="471" t="s">
        <v>4950</v>
      </c>
    </row>
    <row r="512" spans="1:15" x14ac:dyDescent="0.25">
      <c r="A512" s="471" t="s">
        <v>1995</v>
      </c>
      <c r="B512" s="1139">
        <f t="shared" ca="1" si="144"/>
        <v>0</v>
      </c>
      <c r="C512" s="473">
        <f t="shared" ca="1" si="145"/>
        <v>0</v>
      </c>
      <c r="G512" s="471">
        <f>RG!C203</f>
        <v>0</v>
      </c>
      <c r="H512" s="471">
        <f t="shared" si="146"/>
        <v>4</v>
      </c>
      <c r="I512" s="471">
        <v>1</v>
      </c>
      <c r="J512" s="471" t="str">
        <f t="shared" si="147"/>
        <v>grantoutoth49-name-oth</v>
      </c>
      <c r="K512" s="471" t="str">
        <f t="shared" si="148"/>
        <v>tot-grant</v>
      </c>
      <c r="L512" s="599"/>
      <c r="M512" s="471" t="s">
        <v>4948</v>
      </c>
      <c r="N512" s="471" t="s">
        <v>4949</v>
      </c>
      <c r="O512" s="471" t="s">
        <v>4950</v>
      </c>
    </row>
    <row r="513" spans="1:15" x14ac:dyDescent="0.25">
      <c r="A513" s="471" t="s">
        <v>1996</v>
      </c>
      <c r="B513" s="1139">
        <f t="shared" ca="1" si="144"/>
        <v>0</v>
      </c>
      <c r="C513" s="473">
        <f t="shared" ca="1" si="145"/>
        <v>0</v>
      </c>
      <c r="G513" s="471">
        <f>RG!C204</f>
        <v>0</v>
      </c>
      <c r="H513" s="471">
        <f t="shared" si="146"/>
        <v>4</v>
      </c>
      <c r="I513" s="471">
        <v>1</v>
      </c>
      <c r="J513" s="471" t="str">
        <f t="shared" si="147"/>
        <v>grantoutoth50-name-oth</v>
      </c>
      <c r="K513" s="471" t="str">
        <f t="shared" si="148"/>
        <v>tot-grant</v>
      </c>
      <c r="L513" s="599"/>
      <c r="M513" s="471" t="s">
        <v>4948</v>
      </c>
      <c r="N513" s="471" t="s">
        <v>4949</v>
      </c>
      <c r="O513" s="471" t="s">
        <v>4950</v>
      </c>
    </row>
    <row r="514" spans="1:15" x14ac:dyDescent="0.25">
      <c r="A514" s="471" t="s">
        <v>1997</v>
      </c>
      <c r="B514" s="1139">
        <f t="shared" ca="1" si="144"/>
        <v>0</v>
      </c>
      <c r="C514" s="473">
        <f t="shared" ca="1" si="145"/>
        <v>0</v>
      </c>
      <c r="G514" s="471">
        <f>RG!C205</f>
        <v>0</v>
      </c>
      <c r="H514" s="471">
        <f t="shared" si="146"/>
        <v>4</v>
      </c>
      <c r="I514" s="471">
        <v>1</v>
      </c>
      <c r="J514" s="471" t="str">
        <f t="shared" si="147"/>
        <v>grantoutoth51-name-oth</v>
      </c>
      <c r="K514" s="471" t="str">
        <f t="shared" si="148"/>
        <v>tot-grant</v>
      </c>
      <c r="L514" s="599"/>
      <c r="M514" s="471" t="s">
        <v>4948</v>
      </c>
      <c r="N514" s="471" t="s">
        <v>4949</v>
      </c>
      <c r="O514" s="471" t="s">
        <v>4950</v>
      </c>
    </row>
    <row r="515" spans="1:15" x14ac:dyDescent="0.25">
      <c r="A515" s="471" t="s">
        <v>1998</v>
      </c>
      <c r="B515" s="1139">
        <f t="shared" ca="1" si="128"/>
        <v>0</v>
      </c>
      <c r="C515" s="473">
        <f t="shared" ca="1" si="93"/>
        <v>0</v>
      </c>
      <c r="H515" s="471">
        <f t="shared" si="90"/>
        <v>4</v>
      </c>
      <c r="I515" s="471">
        <v>1</v>
      </c>
      <c r="J515" s="471" t="str">
        <f t="shared" ref="J515:J520" si="149">MID($A515,SEARCH("-",$A515)+1,SEARCH("#",SUBSTITUTE($A515,"-","#",H515),1)-(SEARCH("-",$A515)+1))</f>
        <v>grantoutothadd-name-oth</v>
      </c>
      <c r="K515" s="471" t="str">
        <f t="shared" si="97"/>
        <v>tot-grant</v>
      </c>
      <c r="L515" s="599"/>
      <c r="M515" s="471" t="s">
        <v>4948</v>
      </c>
      <c r="N515" s="471" t="s">
        <v>4949</v>
      </c>
      <c r="O515" s="471" t="s">
        <v>4950</v>
      </c>
    </row>
    <row r="516" spans="1:15" x14ac:dyDescent="0.25">
      <c r="A516" s="471" t="s">
        <v>1999</v>
      </c>
      <c r="B516" s="1139">
        <f t="shared" ca="1" si="128"/>
        <v>0</v>
      </c>
      <c r="C516" s="474">
        <f ca="1">IF(ISERROR(VLOOKUP(A516,INDIRECT("notes_"&amp;LEFT(A516,2)),4,0)),0,VLOOKUP(A516,INDIRECT("notes_"&amp;LEFT(A516,2)),4,0))</f>
        <v>0</v>
      </c>
      <c r="H516" s="471">
        <f t="shared" si="90"/>
        <v>4</v>
      </c>
      <c r="I516" s="471">
        <v>1</v>
      </c>
      <c r="J516" s="471" t="str">
        <f t="shared" si="149"/>
        <v>grantoutoth-tot-oth</v>
      </c>
      <c r="K516" s="471" t="str">
        <f t="shared" si="97"/>
        <v>tot-grant</v>
      </c>
      <c r="L516" s="599"/>
      <c r="M516" s="471" t="s">
        <v>4948</v>
      </c>
      <c r="N516" s="471" t="s">
        <v>4949</v>
      </c>
      <c r="O516" s="471" t="s">
        <v>4950</v>
      </c>
    </row>
    <row r="517" spans="1:15" x14ac:dyDescent="0.25">
      <c r="A517" s="471" t="s">
        <v>4957</v>
      </c>
      <c r="B517" s="1128" t="str">
        <f t="shared" ca="1" si="128"/>
        <v>There are no outstanding errors or warnings with the RO2 section of the form. Thank you.</v>
      </c>
      <c r="C517" s="471">
        <f ca="1">IF(ISERROR(VLOOKUP(A517,INDIRECT("notes_"&amp;LEFT(A517,2)),4,0)),0,VLOOKUP(A517,INDIRECT("notes_"&amp;LEFT(A517,2)),4,0))</f>
        <v>0</v>
      </c>
      <c r="H517" s="471">
        <f t="shared" ref="H517:H580" si="150">LEN(A517)-LEN(SUBSTITUTE(A517,"-",""))-I517</f>
        <v>2</v>
      </c>
      <c r="J517" s="471" t="str">
        <f t="shared" si="149"/>
        <v>trans</v>
      </c>
      <c r="K517" s="471" t="str">
        <f t="shared" si="97"/>
        <v>error</v>
      </c>
      <c r="L517" s="599"/>
      <c r="M517" s="471" t="s">
        <v>4958</v>
      </c>
      <c r="N517" s="471" t="s">
        <v>753</v>
      </c>
      <c r="O517" s="471" t="s">
        <v>751</v>
      </c>
    </row>
    <row r="518" spans="1:15" x14ac:dyDescent="0.25">
      <c r="A518" s="471" t="s">
        <v>4959</v>
      </c>
      <c r="B518" s="1139">
        <f t="shared" ref="B518:B581" ca="1" si="151">INDEX(INDIRECT(LEFT($A518,SEARCH("-",$A518,1)-1)&amp;"_data"),MATCH(MID($A518,SEARCH("-",$A518)+1,SEARCH("#",SUBSTITUTE($A518,"-","#",H518),1)-(SEARCH("-",$A518)+1)),INDIRECT(LEFT($A518,SEARCH("-",$A518,1)-1)&amp;"_rows"),0),MATCH(RIGHT($A518,LEN($A518)-LEN(LEFT($A518,SEARCH("#",SUBSTITUTE($A518,"-","#",H518),1)))),INDIRECT(LEFT($A518,SEARCH("-",$A518,1)-1)&amp;"_Header"),0))</f>
        <v>0</v>
      </c>
      <c r="C518" s="471">
        <f ca="1">IF(ISERROR(VLOOKUP(A518,INDIRECT("notes_"&amp;LEFT(A518,2)),4,0)),0,VLOOKUP(A518,INDIRECT("notes_"&amp;LEFT(A518,2)),4,0))</f>
        <v>0</v>
      </c>
      <c r="H518" s="471">
        <f t="shared" si="150"/>
        <v>4</v>
      </c>
      <c r="I518" s="471">
        <v>0</v>
      </c>
      <c r="J518" s="471" t="str">
        <f t="shared" si="149"/>
        <v>transpln-hghwys-mnt</v>
      </c>
      <c r="K518" s="471" t="str">
        <f t="shared" si="97"/>
        <v>empl</v>
      </c>
      <c r="L518" s="599"/>
      <c r="M518" s="471" t="s">
        <v>4958</v>
      </c>
      <c r="N518" s="471" t="s">
        <v>753</v>
      </c>
      <c r="O518" s="471" t="s">
        <v>751</v>
      </c>
    </row>
    <row r="519" spans="1:15" x14ac:dyDescent="0.25">
      <c r="A519" s="471" t="s">
        <v>4960</v>
      </c>
      <c r="B519" s="1139">
        <f t="shared" ca="1" si="151"/>
        <v>0</v>
      </c>
      <c r="C519" s="471">
        <f ca="1">IF(ISERROR(VLOOKUP($A$714,INDIRECT("notes_"&amp;LEFT($A$714,3)),4,0)),0,VLOOKUP($A$714,INDIRECT("notes_"&amp;LEFT($A$714,3)),4,0))</f>
        <v>0</v>
      </c>
      <c r="H519" s="471">
        <f t="shared" si="150"/>
        <v>4</v>
      </c>
      <c r="I519" s="471">
        <v>0</v>
      </c>
      <c r="J519" s="471" t="str">
        <f t="shared" si="149"/>
        <v>transpln-pub-oth</v>
      </c>
      <c r="K519" s="471" t="str">
        <f t="shared" si="97"/>
        <v>empl</v>
      </c>
      <c r="L519" s="599"/>
      <c r="M519" s="471" t="s">
        <v>4958</v>
      </c>
      <c r="N519" s="471" t="s">
        <v>753</v>
      </c>
      <c r="O519" s="471" t="s">
        <v>751</v>
      </c>
    </row>
    <row r="520" spans="1:15" x14ac:dyDescent="0.25">
      <c r="A520" s="471" t="s">
        <v>4961</v>
      </c>
      <c r="B520" s="1139">
        <f t="shared" ca="1" si="151"/>
        <v>0</v>
      </c>
      <c r="C520" s="471">
        <f ca="1">IF(ISERROR(VLOOKUP($A$715,INDIRECT("notes_"&amp;LEFT($A$715,3)),4,0)),0,VLOOKUP($A$715,INDIRECT("notes_"&amp;LEFT($A$715,3)),4,0))</f>
        <v>0</v>
      </c>
      <c r="H520" s="471">
        <f t="shared" si="150"/>
        <v>4</v>
      </c>
      <c r="I520" s="471">
        <v>0</v>
      </c>
      <c r="J520" s="471" t="str">
        <f t="shared" si="149"/>
        <v>transrdsmnt-prn-rds</v>
      </c>
      <c r="K520" s="471" t="str">
        <f t="shared" si="97"/>
        <v>empl</v>
      </c>
      <c r="L520" s="599"/>
      <c r="M520" s="471" t="s">
        <v>4958</v>
      </c>
      <c r="N520" s="471" t="s">
        <v>753</v>
      </c>
      <c r="O520" s="471" t="s">
        <v>751</v>
      </c>
    </row>
    <row r="521" spans="1:15" x14ac:dyDescent="0.25">
      <c r="A521" s="471" t="s">
        <v>4962</v>
      </c>
      <c r="B521" s="1139">
        <f t="shared" ca="1" si="151"/>
        <v>0</v>
      </c>
      <c r="C521" s="471">
        <f ca="1">IF(ISERROR(VLOOKUP($A$716,INDIRECT("notes_"&amp;LEFT($A$716,3)),4,0)),0,VLOOKUP($A$716,INDIRECT("notes_"&amp;LEFT($A$716,3)),4,0))</f>
        <v>0</v>
      </c>
      <c r="H521" s="471">
        <f t="shared" si="150"/>
        <v>4</v>
      </c>
      <c r="I521" s="471">
        <v>0</v>
      </c>
      <c r="J521" s="471" t="str">
        <f t="shared" ref="J521:J584" si="152">MID($A521,SEARCH("-",$A521)+1,SEARCH("#",SUBSTITUTE($A521,"-","#",H521),1)-(SEARCH("-",$A521)+1))</f>
        <v>transrdsmnt-oth-rds</v>
      </c>
      <c r="K521" s="471" t="str">
        <f t="shared" ref="K521:K584" si="153">RIGHT($A521,LEN($A521)-SEARCH("#",SUBSTITUTE($A521,"-","#",H521),1))</f>
        <v>empl</v>
      </c>
      <c r="L521" s="599"/>
      <c r="M521" s="471" t="s">
        <v>4958</v>
      </c>
      <c r="N521" s="471" t="s">
        <v>753</v>
      </c>
      <c r="O521" s="471" t="s">
        <v>751</v>
      </c>
    </row>
    <row r="522" spans="1:15" x14ac:dyDescent="0.25">
      <c r="A522" s="471" t="s">
        <v>4963</v>
      </c>
      <c r="B522" s="1139">
        <f t="shared" ca="1" si="151"/>
        <v>0</v>
      </c>
      <c r="C522" s="473">
        <f ca="1">IF(ISERROR(VLOOKUP($A$717,INDIRECT("notes_"&amp;LEFT($A$717,3)),4,0)),0,VLOOKUP($A$717,INDIRECT("notes_"&amp;LEFT($A$717,3)),4,0))</f>
        <v>0</v>
      </c>
      <c r="H522" s="471">
        <f t="shared" si="150"/>
        <v>3</v>
      </c>
      <c r="I522" s="471">
        <v>0</v>
      </c>
      <c r="J522" s="471" t="str">
        <f t="shared" si="152"/>
        <v>transrdsmnt-brd</v>
      </c>
      <c r="K522" s="471" t="str">
        <f t="shared" si="153"/>
        <v>empl</v>
      </c>
      <c r="L522" s="599"/>
      <c r="M522" s="471" t="s">
        <v>4958</v>
      </c>
      <c r="N522" s="471" t="s">
        <v>753</v>
      </c>
      <c r="O522" s="471" t="s">
        <v>751</v>
      </c>
    </row>
    <row r="523" spans="1:15" x14ac:dyDescent="0.25">
      <c r="A523" s="471" t="s">
        <v>4964</v>
      </c>
      <c r="B523" s="1139">
        <f t="shared" ca="1" si="151"/>
        <v>0</v>
      </c>
      <c r="C523" s="473">
        <f ca="1">IF(ISERROR(VLOOKUP($A$718,INDIRECT("notes_"&amp;LEFT($A$718,3)),4,0)),0,VLOOKUP($A$718,INDIRECT("notes_"&amp;LEFT($A$718,3)),4,0))</f>
        <v>0</v>
      </c>
      <c r="H523" s="471">
        <f t="shared" si="150"/>
        <v>4</v>
      </c>
      <c r="I523" s="471">
        <v>0</v>
      </c>
      <c r="J523" s="471" t="str">
        <f t="shared" si="152"/>
        <v>transrdsenv-prn-rds</v>
      </c>
      <c r="K523" s="471" t="str">
        <f t="shared" si="153"/>
        <v>empl</v>
      </c>
      <c r="L523" s="599"/>
      <c r="M523" s="471" t="s">
        <v>4958</v>
      </c>
      <c r="N523" s="471" t="s">
        <v>753</v>
      </c>
      <c r="O523" s="471" t="s">
        <v>751</v>
      </c>
    </row>
    <row r="524" spans="1:15" x14ac:dyDescent="0.25">
      <c r="A524" s="471" t="s">
        <v>4965</v>
      </c>
      <c r="B524" s="1139">
        <f t="shared" ca="1" si="151"/>
        <v>0</v>
      </c>
      <c r="C524" s="473">
        <f ca="1">IF(ISERROR(VLOOKUP($A$719,INDIRECT("notes_"&amp;LEFT($A$719,3)),4,0)),0,VLOOKUP($A$719,INDIRECT("notes_"&amp;LEFT($A$719,3)),4,0))</f>
        <v>0</v>
      </c>
      <c r="H524" s="471">
        <f t="shared" si="150"/>
        <v>4</v>
      </c>
      <c r="I524" s="471">
        <v>0</v>
      </c>
      <c r="J524" s="471" t="str">
        <f t="shared" si="152"/>
        <v>transrdsenv-oth-rds</v>
      </c>
      <c r="K524" s="471" t="str">
        <f t="shared" si="153"/>
        <v>empl</v>
      </c>
      <c r="L524" s="599"/>
      <c r="M524" s="471" t="s">
        <v>4958</v>
      </c>
      <c r="N524" s="471" t="s">
        <v>753</v>
      </c>
      <c r="O524" s="471" t="s">
        <v>751</v>
      </c>
    </row>
    <row r="525" spans="1:15" x14ac:dyDescent="0.25">
      <c r="A525" s="471" t="s">
        <v>4966</v>
      </c>
      <c r="B525" s="1139">
        <f t="shared" ca="1" si="151"/>
        <v>0</v>
      </c>
      <c r="C525" s="473">
        <f ca="1">IF(ISERROR(VLOOKUP($A$720,INDIRECT("notes_"&amp;LEFT($A$720,3)),4,0)),0,VLOOKUP($A$720,INDIRECT("notes_"&amp;LEFT($A$720,3)),4,0))</f>
        <v>0</v>
      </c>
      <c r="H525" s="471">
        <f t="shared" si="150"/>
        <v>2</v>
      </c>
      <c r="I525" s="471">
        <v>0</v>
      </c>
      <c r="J525" s="471" t="str">
        <f t="shared" si="152"/>
        <v>transrdswnt</v>
      </c>
      <c r="K525" s="471" t="str">
        <f t="shared" si="153"/>
        <v>empl</v>
      </c>
      <c r="L525" s="599"/>
      <c r="M525" s="471" t="s">
        <v>4958</v>
      </c>
      <c r="N525" s="471" t="s">
        <v>753</v>
      </c>
      <c r="O525" s="471" t="s">
        <v>751</v>
      </c>
    </row>
    <row r="526" spans="1:15" x14ac:dyDescent="0.25">
      <c r="A526" s="471" t="s">
        <v>4967</v>
      </c>
      <c r="B526" s="1139">
        <f t="shared" ca="1" si="151"/>
        <v>0</v>
      </c>
      <c r="C526" s="473">
        <f ca="1">IF(ISERROR(VLOOKUP($A$721,INDIRECT("notes_"&amp;LEFT($A$721,3)),4,0)),0,VLOOKUP($A$721,INDIRECT("notes_"&amp;LEFT($A$721,3)),4,0))</f>
        <v>0</v>
      </c>
      <c r="H526" s="471">
        <f t="shared" si="150"/>
        <v>2</v>
      </c>
      <c r="I526" s="471">
        <v>0</v>
      </c>
      <c r="J526" s="471" t="str">
        <f t="shared" si="152"/>
        <v>transrdslgh</v>
      </c>
      <c r="K526" s="471" t="str">
        <f t="shared" si="153"/>
        <v>empl</v>
      </c>
      <c r="L526" s="599"/>
      <c r="M526" s="471" t="s">
        <v>4958</v>
      </c>
      <c r="N526" s="471" t="s">
        <v>753</v>
      </c>
      <c r="O526" s="471" t="s">
        <v>751</v>
      </c>
    </row>
    <row r="527" spans="1:15" x14ac:dyDescent="0.25">
      <c r="A527" s="471" t="s">
        <v>4968</v>
      </c>
      <c r="B527" s="1139">
        <f t="shared" ca="1" si="151"/>
        <v>0</v>
      </c>
      <c r="C527" s="473">
        <f ca="1">IF(ISERROR(VLOOKUP($A$722,INDIRECT("notes_"&amp;LEFT($A$722,3)),4,0)),0,VLOOKUP($A$722,INDIRECT("notes_"&amp;LEFT($A$722,3)),4,0))</f>
        <v>0</v>
      </c>
      <c r="H527" s="471">
        <f t="shared" si="150"/>
        <v>2</v>
      </c>
      <c r="I527" s="471">
        <v>0</v>
      </c>
      <c r="J527" s="471" t="str">
        <f t="shared" si="152"/>
        <v>transrdstrfcng</v>
      </c>
      <c r="K527" s="471" t="str">
        <f t="shared" si="153"/>
        <v>empl</v>
      </c>
      <c r="L527" s="599"/>
      <c r="M527" s="471" t="s">
        <v>4958</v>
      </c>
      <c r="N527" s="471" t="s">
        <v>753</v>
      </c>
      <c r="O527" s="471" t="s">
        <v>751</v>
      </c>
    </row>
    <row r="528" spans="1:15" x14ac:dyDescent="0.25">
      <c r="A528" s="471" t="s">
        <v>4969</v>
      </c>
      <c r="B528" s="1139">
        <f t="shared" ca="1" si="151"/>
        <v>0</v>
      </c>
      <c r="C528" s="473">
        <f ca="1">IF(ISERROR(VLOOKUP($A$723,INDIRECT("notes_"&amp;LEFT($A$723,3)),4,0)),0,VLOOKUP($A$723,INDIRECT("notes_"&amp;LEFT($A$723,3)),4,0))</f>
        <v>0</v>
      </c>
      <c r="H528" s="471">
        <f t="shared" si="150"/>
        <v>2</v>
      </c>
      <c r="I528" s="471">
        <v>0</v>
      </c>
      <c r="J528" s="471" t="str">
        <f t="shared" si="152"/>
        <v>transrdstrfbs</v>
      </c>
      <c r="K528" s="471" t="str">
        <f t="shared" si="153"/>
        <v>empl</v>
      </c>
      <c r="L528" s="599"/>
      <c r="M528" s="471" t="s">
        <v>4958</v>
      </c>
      <c r="N528" s="471" t="s">
        <v>753</v>
      </c>
      <c r="O528" s="471" t="s">
        <v>751</v>
      </c>
    </row>
    <row r="529" spans="1:15" x14ac:dyDescent="0.25">
      <c r="A529" s="471" t="s">
        <v>4970</v>
      </c>
      <c r="B529" s="1139">
        <f t="shared" ca="1" si="151"/>
        <v>0</v>
      </c>
      <c r="C529" s="473">
        <f ca="1">IF(ISERROR(VLOOKUP($A$724,INDIRECT("notes_"&amp;LEFT($A$724,3)),4,0)),0,VLOOKUP($A$724,INDIRECT("notes_"&amp;LEFT($A$724,3)),4,0))</f>
        <v>0</v>
      </c>
      <c r="H529" s="471">
        <f t="shared" si="150"/>
        <v>2</v>
      </c>
      <c r="I529" s="471">
        <v>0</v>
      </c>
      <c r="J529" s="471" t="str">
        <f t="shared" si="152"/>
        <v>transrdstrfsft</v>
      </c>
      <c r="K529" s="471" t="str">
        <f t="shared" si="153"/>
        <v>empl</v>
      </c>
      <c r="L529" s="599"/>
      <c r="M529" s="471" t="s">
        <v>4958</v>
      </c>
      <c r="N529" s="471" t="s">
        <v>753</v>
      </c>
      <c r="O529" s="471" t="s">
        <v>751</v>
      </c>
    </row>
    <row r="530" spans="1:15" x14ac:dyDescent="0.25">
      <c r="A530" s="471" t="s">
        <v>4971</v>
      </c>
      <c r="B530" s="1139">
        <f t="shared" ca="1" si="151"/>
        <v>0</v>
      </c>
      <c r="C530" s="473">
        <f ca="1">IF(ISERROR(VLOOKUP($A$725,INDIRECT("notes_"&amp;LEFT($A$725,3)),4,0)),0,VLOOKUP($A$725,INDIRECT("notes_"&amp;LEFT($A$725,3)),4,0))</f>
        <v>0</v>
      </c>
      <c r="H530" s="471">
        <f t="shared" si="150"/>
        <v>2</v>
      </c>
      <c r="I530" s="471">
        <v>0</v>
      </c>
      <c r="J530" s="471" t="str">
        <f t="shared" si="152"/>
        <v>transrdstrfoth</v>
      </c>
      <c r="K530" s="471" t="str">
        <f t="shared" si="153"/>
        <v>empl</v>
      </c>
      <c r="L530" s="599"/>
      <c r="M530" s="471" t="s">
        <v>4958</v>
      </c>
      <c r="N530" s="471" t="s">
        <v>753</v>
      </c>
      <c r="O530" s="471" t="s">
        <v>751</v>
      </c>
    </row>
    <row r="531" spans="1:15" x14ac:dyDescent="0.25">
      <c r="A531" s="471" t="s">
        <v>4972</v>
      </c>
      <c r="B531" s="1139">
        <f t="shared" ca="1" si="151"/>
        <v>0</v>
      </c>
      <c r="C531" s="473">
        <f ca="1">IF(ISERROR(VLOOKUP($A$726,INDIRECT("notes_"&amp;LEFT($A$726,3)),4,0)),0,VLOOKUP($A$726,INDIRECT("notes_"&amp;LEFT($A$726,3)),4,0))</f>
        <v>0</v>
      </c>
      <c r="H531" s="471">
        <f t="shared" si="150"/>
        <v>5</v>
      </c>
      <c r="I531" s="471">
        <v>0</v>
      </c>
      <c r="J531" s="471" t="str">
        <f t="shared" si="152"/>
        <v>transprk-on-str-prk</v>
      </c>
      <c r="K531" s="471" t="str">
        <f t="shared" si="153"/>
        <v>empl</v>
      </c>
      <c r="L531" s="599"/>
      <c r="M531" s="471" t="s">
        <v>4958</v>
      </c>
      <c r="N531" s="471" t="s">
        <v>753</v>
      </c>
      <c r="O531" s="471" t="s">
        <v>751</v>
      </c>
    </row>
    <row r="532" spans="1:15" x14ac:dyDescent="0.25">
      <c r="A532" s="471" t="s">
        <v>4973</v>
      </c>
      <c r="B532" s="1139">
        <f t="shared" ca="1" si="151"/>
        <v>0</v>
      </c>
      <c r="C532" s="473">
        <f ca="1">IF(ISERROR(VLOOKUP($A$727,INDIRECT("notes_"&amp;LEFT($A$727,3)),4,0)),0,VLOOKUP($A$727,INDIRECT("notes_"&amp;LEFT($A$727,3)),4,0))</f>
        <v>0</v>
      </c>
      <c r="H532" s="471">
        <f t="shared" si="150"/>
        <v>5</v>
      </c>
      <c r="I532" s="471">
        <v>0</v>
      </c>
      <c r="J532" s="471" t="str">
        <f t="shared" si="152"/>
        <v>transprk-off-str-prk</v>
      </c>
      <c r="K532" s="471" t="str">
        <f t="shared" si="153"/>
        <v>empl</v>
      </c>
      <c r="L532" s="599"/>
      <c r="M532" s="471" t="s">
        <v>4958</v>
      </c>
      <c r="N532" s="471" t="s">
        <v>753</v>
      </c>
      <c r="O532" s="471" t="s">
        <v>751</v>
      </c>
    </row>
    <row r="533" spans="1:15" x14ac:dyDescent="0.25">
      <c r="A533" s="471" t="s">
        <v>4974</v>
      </c>
      <c r="B533" s="1139">
        <f t="shared" ca="1" si="151"/>
        <v>0</v>
      </c>
      <c r="C533" s="473">
        <f ca="1">IF(ISERROR(VLOOKUP($A$728,INDIRECT("notes_"&amp;LEFT($A$728,3)),4,0)),0,VLOOKUP($A$728,INDIRECT("notes_"&amp;LEFT($A$728,3)),4,0))</f>
        <v>0</v>
      </c>
      <c r="H533" s="471">
        <f t="shared" si="150"/>
        <v>2</v>
      </c>
      <c r="I533" s="471">
        <v>0</v>
      </c>
      <c r="J533" s="471" t="str">
        <f t="shared" si="152"/>
        <v>transpblstt</v>
      </c>
      <c r="K533" s="471" t="str">
        <f t="shared" si="153"/>
        <v>empl</v>
      </c>
      <c r="L533" s="599"/>
      <c r="M533" s="471" t="s">
        <v>4958</v>
      </c>
      <c r="N533" s="471" t="s">
        <v>753</v>
      </c>
      <c r="O533" s="471" t="s">
        <v>751</v>
      </c>
    </row>
    <row r="534" spans="1:15" x14ac:dyDescent="0.25">
      <c r="A534" s="471" t="s">
        <v>4975</v>
      </c>
      <c r="B534" s="1139">
        <f t="shared" ca="1" si="151"/>
        <v>0</v>
      </c>
      <c r="C534" s="473">
        <f ca="1">IF(ISERROR(VLOOKUP($A$729,INDIRECT("notes_"&amp;LEFT($A$729,3)),4,0)),0,VLOOKUP($A$729,INDIRECT("notes_"&amp;LEFT($A$729,3)),4,0))</f>
        <v>0</v>
      </c>
      <c r="H534" s="471">
        <f t="shared" si="150"/>
        <v>2</v>
      </c>
      <c r="I534" s="471">
        <v>0</v>
      </c>
      <c r="J534" s="471" t="str">
        <f t="shared" si="152"/>
        <v>transpbldsc</v>
      </c>
      <c r="K534" s="471" t="str">
        <f t="shared" si="153"/>
        <v>empl</v>
      </c>
      <c r="L534" s="599"/>
      <c r="M534" s="471" t="s">
        <v>4958</v>
      </c>
      <c r="N534" s="471" t="s">
        <v>753</v>
      </c>
      <c r="O534" s="471" t="s">
        <v>751</v>
      </c>
    </row>
    <row r="535" spans="1:15" x14ac:dyDescent="0.25">
      <c r="A535" s="471" t="s">
        <v>4976</v>
      </c>
      <c r="B535" s="1139">
        <f t="shared" ca="1" si="151"/>
        <v>0</v>
      </c>
      <c r="C535" s="473">
        <f ca="1">IF(ISERROR(VLOOKUP($A$730,INDIRECT("notes_"&amp;LEFT($A$730,3)),4,0)),0,VLOOKUP($A$730,INDIRECT("notes_"&amp;LEFT($A$730,3)),4,0))</f>
        <v>0</v>
      </c>
      <c r="H535" s="471">
        <f t="shared" si="150"/>
        <v>3</v>
      </c>
      <c r="I535" s="471">
        <v>0</v>
      </c>
      <c r="J535" s="471" t="str">
        <f t="shared" si="152"/>
        <v>transpblopr-bus</v>
      </c>
      <c r="K535" s="471" t="str">
        <f t="shared" si="153"/>
        <v>empl</v>
      </c>
      <c r="L535" s="599"/>
      <c r="M535" s="471" t="s">
        <v>4958</v>
      </c>
      <c r="N535" s="471" t="s">
        <v>753</v>
      </c>
      <c r="O535" s="471" t="s">
        <v>751</v>
      </c>
    </row>
    <row r="536" spans="1:15" x14ac:dyDescent="0.25">
      <c r="A536" s="471" t="s">
        <v>4977</v>
      </c>
      <c r="B536" s="1139">
        <f t="shared" ca="1" si="151"/>
        <v>0</v>
      </c>
      <c r="C536" s="473">
        <f ca="1">IF(ISERROR(VLOOKUP($A$731,INDIRECT("notes_"&amp;LEFT($A$731,3)),4,0)),0,VLOOKUP($A$731,INDIRECT("notes_"&amp;LEFT($A$731,3)),4,0))</f>
        <v>0</v>
      </c>
      <c r="H536" s="471">
        <f t="shared" si="150"/>
        <v>3</v>
      </c>
      <c r="I536" s="471">
        <v>0</v>
      </c>
      <c r="J536" s="471" t="str">
        <f t="shared" si="152"/>
        <v>transpblopr-rail</v>
      </c>
      <c r="K536" s="471" t="str">
        <f t="shared" si="153"/>
        <v>empl</v>
      </c>
      <c r="L536" s="599"/>
      <c r="M536" s="471" t="s">
        <v>4958</v>
      </c>
      <c r="N536" s="471" t="s">
        <v>753</v>
      </c>
      <c r="O536" s="471" t="s">
        <v>751</v>
      </c>
    </row>
    <row r="537" spans="1:15" x14ac:dyDescent="0.25">
      <c r="A537" s="471" t="s">
        <v>4978</v>
      </c>
      <c r="B537" s="1139">
        <f t="shared" ca="1" si="151"/>
        <v>0</v>
      </c>
      <c r="C537" s="473">
        <f ca="1">IF(ISERROR(VLOOKUP($A$732,INDIRECT("notes_"&amp;LEFT($A$732,3)),4,0)),0,VLOOKUP($A$732,INDIRECT("notes_"&amp;LEFT($A$732,3)),4,0))</f>
        <v>0</v>
      </c>
      <c r="H537" s="471">
        <f t="shared" si="150"/>
        <v>3</v>
      </c>
      <c r="I537" s="471">
        <v>0</v>
      </c>
      <c r="J537" s="471" t="str">
        <f t="shared" si="152"/>
        <v>transpblopr-oth</v>
      </c>
      <c r="K537" s="471" t="str">
        <f t="shared" si="153"/>
        <v>empl</v>
      </c>
      <c r="L537" s="599"/>
      <c r="M537" s="471" t="s">
        <v>4958</v>
      </c>
      <c r="N537" s="471" t="s">
        <v>753</v>
      </c>
      <c r="O537" s="471" t="s">
        <v>751</v>
      </c>
    </row>
    <row r="538" spans="1:15" x14ac:dyDescent="0.25">
      <c r="A538" s="471" t="s">
        <v>4979</v>
      </c>
      <c r="B538" s="1139">
        <f t="shared" ca="1" si="151"/>
        <v>0</v>
      </c>
      <c r="C538" s="473">
        <f ca="1">IF(ISERROR(VLOOKUP($A$733,INDIRECT("notes_"&amp;LEFT($A$733,3)),4,0)),0,VLOOKUP($A$733,INDIRECT("notes_"&amp;LEFT($A$733,3)),4,0))</f>
        <v>0</v>
      </c>
      <c r="H538" s="471">
        <f t="shared" si="150"/>
        <v>2</v>
      </c>
      <c r="I538" s="471">
        <v>0</v>
      </c>
      <c r="J538" s="471" t="str">
        <f t="shared" si="152"/>
        <v>transpblcrd</v>
      </c>
      <c r="K538" s="471" t="str">
        <f t="shared" si="153"/>
        <v>empl</v>
      </c>
      <c r="L538" s="599"/>
      <c r="M538" s="471" t="s">
        <v>4958</v>
      </c>
      <c r="N538" s="471" t="s">
        <v>753</v>
      </c>
      <c r="O538" s="471" t="s">
        <v>751</v>
      </c>
    </row>
    <row r="539" spans="1:15" x14ac:dyDescent="0.25">
      <c r="A539" s="471" t="s">
        <v>4980</v>
      </c>
      <c r="B539" s="1139">
        <f t="shared" ca="1" si="151"/>
        <v>0</v>
      </c>
      <c r="C539" s="473">
        <f ca="1">IF(ISERROR(VLOOKUP($A$734,INDIRECT("notes_"&amp;LEFT($A$734,3)),4,0)),0,VLOOKUP($A$734,INDIRECT("notes_"&amp;LEFT($A$734,3)),4,0))</f>
        <v>0</v>
      </c>
      <c r="H539" s="471">
        <f t="shared" si="150"/>
        <v>2</v>
      </c>
      <c r="I539" s="471">
        <v>0</v>
      </c>
      <c r="J539" s="471" t="str">
        <f t="shared" si="152"/>
        <v>transaht</v>
      </c>
      <c r="K539" s="471" t="str">
        <f t="shared" si="153"/>
        <v>empl</v>
      </c>
      <c r="L539" s="599"/>
      <c r="M539" s="471" t="s">
        <v>4958</v>
      </c>
      <c r="N539" s="471" t="s">
        <v>753</v>
      </c>
      <c r="O539" s="471" t="s">
        <v>751</v>
      </c>
    </row>
    <row r="540" spans="1:15" x14ac:dyDescent="0.25">
      <c r="A540" s="471" t="s">
        <v>4981</v>
      </c>
      <c r="B540" s="1139">
        <f t="shared" ca="1" si="151"/>
        <v>0</v>
      </c>
      <c r="C540" s="473">
        <f ca="1">IF(ISERROR(VLOOKUP($A$735,INDIRECT("notes_"&amp;LEFT($A$735,3)),4,0)),0,VLOOKUP($A$735,INDIRECT("notes_"&amp;LEFT($A$735,3)),4,0))</f>
        <v>0</v>
      </c>
      <c r="H540" s="471">
        <f t="shared" si="150"/>
        <v>2</v>
      </c>
      <c r="I540" s="471">
        <v>0</v>
      </c>
      <c r="J540" s="471" t="str">
        <f t="shared" si="152"/>
        <v>transtot</v>
      </c>
      <c r="K540" s="471" t="str">
        <f t="shared" si="153"/>
        <v>empl</v>
      </c>
      <c r="L540" s="599"/>
      <c r="M540" s="471" t="s">
        <v>4958</v>
      </c>
      <c r="N540" s="471" t="s">
        <v>753</v>
      </c>
      <c r="O540" s="471" t="s">
        <v>751</v>
      </c>
    </row>
    <row r="541" spans="1:15" x14ac:dyDescent="0.25">
      <c r="A541" s="471" t="s">
        <v>4982</v>
      </c>
      <c r="B541" s="1139">
        <f t="shared" ca="1" si="151"/>
        <v>0</v>
      </c>
      <c r="C541" s="473">
        <f ca="1">IF(ISERROR(VLOOKUP($A$736,INDIRECT("notes_"&amp;LEFT($A$736,3)),4,0)),0,VLOOKUP($A$736,INDIRECT("notes_"&amp;LEFT($A$736,3)),4,0))</f>
        <v>0</v>
      </c>
      <c r="H541" s="471">
        <f t="shared" si="150"/>
        <v>4</v>
      </c>
      <c r="I541" s="471">
        <v>0</v>
      </c>
      <c r="J541" s="471" t="str">
        <f t="shared" si="152"/>
        <v>transthrprtlbtclm-str-mnt</v>
      </c>
      <c r="K541" s="471" t="str">
        <f t="shared" si="153"/>
        <v>empl</v>
      </c>
      <c r="L541" s="599"/>
      <c r="M541" s="471" t="s">
        <v>4958</v>
      </c>
      <c r="N541" s="471" t="s">
        <v>753</v>
      </c>
      <c r="O541" s="471" t="s">
        <v>751</v>
      </c>
    </row>
    <row r="542" spans="1:15" x14ac:dyDescent="0.25">
      <c r="A542" s="471" t="s">
        <v>4983</v>
      </c>
      <c r="B542" s="1139">
        <f t="shared" ca="1" si="151"/>
        <v>0</v>
      </c>
      <c r="C542" s="473">
        <f ca="1">IF(ISERROR(VLOOKUP($A$737,INDIRECT("notes_"&amp;LEFT($A$737,3)),4,0)),0,VLOOKUP($A$737,INDIRECT("notes_"&amp;LEFT($A$737,3)),4,0))</f>
        <v>0</v>
      </c>
      <c r="H542" s="471">
        <f t="shared" si="150"/>
        <v>4</v>
      </c>
      <c r="I542" s="471">
        <v>0</v>
      </c>
      <c r="J542" s="471" t="str">
        <f t="shared" si="152"/>
        <v>transpubsupopr-pym-bus</v>
      </c>
      <c r="K542" s="471" t="str">
        <f t="shared" si="153"/>
        <v>empl</v>
      </c>
      <c r="L542" s="599"/>
      <c r="M542" s="471" t="s">
        <v>4958</v>
      </c>
      <c r="N542" s="471" t="s">
        <v>753</v>
      </c>
      <c r="O542" s="471" t="s">
        <v>751</v>
      </c>
    </row>
    <row r="543" spans="1:15" x14ac:dyDescent="0.25">
      <c r="A543" s="471" t="s">
        <v>4984</v>
      </c>
      <c r="B543" s="1139">
        <f t="shared" ca="1" si="151"/>
        <v>0</v>
      </c>
      <c r="C543" s="473">
        <f ca="1">IF(ISERROR(VLOOKUP($A$738,INDIRECT("notes_"&amp;LEFT($A$738,3)),4,0)),0,VLOOKUP($A$738,INDIRECT("notes_"&amp;LEFT($A$738,3)),4,0))</f>
        <v>0</v>
      </c>
      <c r="H543" s="471">
        <f t="shared" si="150"/>
        <v>4</v>
      </c>
      <c r="I543" s="471">
        <v>0</v>
      </c>
      <c r="J543" s="471" t="str">
        <f t="shared" si="152"/>
        <v>transpubsupopr-pym-rail</v>
      </c>
      <c r="K543" s="471" t="str">
        <f t="shared" si="153"/>
        <v>empl</v>
      </c>
      <c r="L543" s="599"/>
      <c r="M543" s="471" t="s">
        <v>4958</v>
      </c>
      <c r="N543" s="471" t="s">
        <v>753</v>
      </c>
      <c r="O543" s="471" t="s">
        <v>751</v>
      </c>
    </row>
    <row r="544" spans="1:15" x14ac:dyDescent="0.25">
      <c r="A544" s="471" t="s">
        <v>4985</v>
      </c>
      <c r="B544" s="1139">
        <f t="shared" ca="1" si="151"/>
        <v>0</v>
      </c>
      <c r="C544" s="473">
        <f ca="1">IF(ISERROR(VLOOKUP($A$739,INDIRECT("notes_"&amp;LEFT($A$739,3)),4,0)),0,VLOOKUP($A$739,INDIRECT("notes_"&amp;LEFT($A$739,3)),4,0))</f>
        <v>0</v>
      </c>
      <c r="H544" s="471">
        <f t="shared" si="150"/>
        <v>4</v>
      </c>
      <c r="I544" s="471">
        <v>0</v>
      </c>
      <c r="J544" s="471" t="str">
        <f t="shared" si="152"/>
        <v>transpubsupopr-pym-oth</v>
      </c>
      <c r="K544" s="471" t="str">
        <f t="shared" si="153"/>
        <v>empl</v>
      </c>
      <c r="L544" s="599"/>
      <c r="M544" s="471" t="s">
        <v>4958</v>
      </c>
      <c r="N544" s="471" t="s">
        <v>753</v>
      </c>
      <c r="O544" s="471" t="s">
        <v>751</v>
      </c>
    </row>
    <row r="545" spans="1:15" x14ac:dyDescent="0.25">
      <c r="A545" s="471" t="s">
        <v>4986</v>
      </c>
      <c r="B545" s="1139">
        <f t="shared" ca="1" si="151"/>
        <v>0</v>
      </c>
      <c r="C545" s="473">
        <f ca="1">IF(ISERROR(VLOOKUP($A$713,INDIRECT("notes_"&amp;LEFT($A$713,3)),4,0)),0,VLOOKUP($A$713,INDIRECT("notes_"&amp;LEFT($A$713,3)),4,0))</f>
        <v>0</v>
      </c>
      <c r="H545" s="471">
        <f t="shared" si="150"/>
        <v>4</v>
      </c>
      <c r="I545" s="471">
        <v>1</v>
      </c>
      <c r="J545" s="471" t="str">
        <f t="shared" si="152"/>
        <v>transpln-hghwys-mnt</v>
      </c>
      <c r="K545" s="471" t="str">
        <f t="shared" si="153"/>
        <v>run-exp</v>
      </c>
      <c r="L545" s="599"/>
      <c r="M545" s="471" t="s">
        <v>4958</v>
      </c>
      <c r="N545" s="471" t="s">
        <v>753</v>
      </c>
      <c r="O545" s="471" t="s">
        <v>751</v>
      </c>
    </row>
    <row r="546" spans="1:15" x14ac:dyDescent="0.25">
      <c r="A546" s="471" t="s">
        <v>4987</v>
      </c>
      <c r="B546" s="1139">
        <f t="shared" ca="1" si="151"/>
        <v>0</v>
      </c>
      <c r="C546" s="473">
        <f ca="1">IF(ISERROR(VLOOKUP($A$714,INDIRECT("notes_"&amp;LEFT($A$714,3)),4,0)),0,VLOOKUP($A$714,INDIRECT("notes_"&amp;LEFT($A$714,3)),4,0))</f>
        <v>0</v>
      </c>
      <c r="H546" s="471">
        <f t="shared" si="150"/>
        <v>4</v>
      </c>
      <c r="I546" s="471">
        <v>1</v>
      </c>
      <c r="J546" s="471" t="str">
        <f t="shared" si="152"/>
        <v>transpln-pub-oth</v>
      </c>
      <c r="K546" s="471" t="str">
        <f t="shared" si="153"/>
        <v>run-exp</v>
      </c>
      <c r="L546" s="599"/>
      <c r="M546" s="471" t="s">
        <v>4958</v>
      </c>
      <c r="N546" s="471" t="s">
        <v>753</v>
      </c>
      <c r="O546" s="471" t="s">
        <v>751</v>
      </c>
    </row>
    <row r="547" spans="1:15" x14ac:dyDescent="0.25">
      <c r="A547" s="471" t="s">
        <v>4988</v>
      </c>
      <c r="B547" s="1139">
        <f t="shared" ca="1" si="151"/>
        <v>0</v>
      </c>
      <c r="C547" s="473">
        <f ca="1">IF(ISERROR(VLOOKUP($A$715,INDIRECT("notes_"&amp;LEFT($A$715,3)),4,0)),0,VLOOKUP($A$715,INDIRECT("notes_"&amp;LEFT($A$715,3)),4,0))</f>
        <v>0</v>
      </c>
      <c r="H547" s="471">
        <f t="shared" si="150"/>
        <v>4</v>
      </c>
      <c r="I547" s="471">
        <v>1</v>
      </c>
      <c r="J547" s="471" t="str">
        <f t="shared" si="152"/>
        <v>transrdsmnt-prn-rds</v>
      </c>
      <c r="K547" s="471" t="str">
        <f t="shared" si="153"/>
        <v>run-exp</v>
      </c>
      <c r="L547" s="599"/>
      <c r="M547" s="471" t="s">
        <v>4958</v>
      </c>
      <c r="N547" s="471" t="s">
        <v>753</v>
      </c>
      <c r="O547" s="471" t="s">
        <v>751</v>
      </c>
    </row>
    <row r="548" spans="1:15" x14ac:dyDescent="0.25">
      <c r="A548" s="471" t="s">
        <v>4989</v>
      </c>
      <c r="B548" s="1139">
        <f t="shared" ca="1" si="151"/>
        <v>0</v>
      </c>
      <c r="C548" s="473">
        <f ca="1">IF(ISERROR(VLOOKUP($A$716,INDIRECT("notes_"&amp;LEFT($A$716,3)),4,0)),0,VLOOKUP($A$716,INDIRECT("notes_"&amp;LEFT($A$716,3)),4,0))</f>
        <v>0</v>
      </c>
      <c r="H548" s="471">
        <f t="shared" si="150"/>
        <v>4</v>
      </c>
      <c r="I548" s="471">
        <v>1</v>
      </c>
      <c r="J548" s="471" t="str">
        <f t="shared" si="152"/>
        <v>transrdsmnt-oth-rds</v>
      </c>
      <c r="K548" s="471" t="str">
        <f t="shared" si="153"/>
        <v>run-exp</v>
      </c>
      <c r="L548" s="599"/>
      <c r="M548" s="471" t="s">
        <v>4958</v>
      </c>
      <c r="N548" s="471" t="s">
        <v>753</v>
      </c>
      <c r="O548" s="471" t="s">
        <v>751</v>
      </c>
    </row>
    <row r="549" spans="1:15" x14ac:dyDescent="0.25">
      <c r="A549" s="471" t="s">
        <v>4990</v>
      </c>
      <c r="B549" s="1139">
        <f t="shared" ca="1" si="151"/>
        <v>0</v>
      </c>
      <c r="C549" s="473">
        <f ca="1">IF(ISERROR(VLOOKUP($A$717,INDIRECT("notes_"&amp;LEFT($A$717,3)),4,0)),0,VLOOKUP($A$717,INDIRECT("notes_"&amp;LEFT($A$717,3)),4,0))</f>
        <v>0</v>
      </c>
      <c r="H549" s="471">
        <f t="shared" si="150"/>
        <v>3</v>
      </c>
      <c r="I549" s="471">
        <v>1</v>
      </c>
      <c r="J549" s="471" t="str">
        <f t="shared" si="152"/>
        <v>transrdsmnt-brd</v>
      </c>
      <c r="K549" s="471" t="str">
        <f t="shared" si="153"/>
        <v>run-exp</v>
      </c>
      <c r="L549" s="599"/>
      <c r="M549" s="471" t="s">
        <v>4958</v>
      </c>
      <c r="N549" s="471" t="s">
        <v>753</v>
      </c>
      <c r="O549" s="471" t="s">
        <v>751</v>
      </c>
    </row>
    <row r="550" spans="1:15" x14ac:dyDescent="0.25">
      <c r="A550" s="471" t="s">
        <v>4991</v>
      </c>
      <c r="B550" s="1139">
        <f t="shared" ca="1" si="151"/>
        <v>0</v>
      </c>
      <c r="C550" s="473">
        <f ca="1">IF(ISERROR(VLOOKUP($A$718,INDIRECT("notes_"&amp;LEFT($A$718,3)),4,0)),0,VLOOKUP($A$718,INDIRECT("notes_"&amp;LEFT($A$718,3)),4,0))</f>
        <v>0</v>
      </c>
      <c r="H550" s="471">
        <f t="shared" si="150"/>
        <v>4</v>
      </c>
      <c r="I550" s="471">
        <v>1</v>
      </c>
      <c r="J550" s="471" t="str">
        <f t="shared" si="152"/>
        <v>transrdsenv-prn-rds</v>
      </c>
      <c r="K550" s="471" t="str">
        <f t="shared" si="153"/>
        <v>run-exp</v>
      </c>
      <c r="L550" s="599"/>
      <c r="M550" s="471" t="s">
        <v>4958</v>
      </c>
      <c r="N550" s="471" t="s">
        <v>753</v>
      </c>
      <c r="O550" s="471" t="s">
        <v>751</v>
      </c>
    </row>
    <row r="551" spans="1:15" x14ac:dyDescent="0.25">
      <c r="A551" s="471" t="s">
        <v>4992</v>
      </c>
      <c r="B551" s="1139">
        <f t="shared" ca="1" si="151"/>
        <v>0</v>
      </c>
      <c r="C551" s="473">
        <f ca="1">IF(ISERROR(VLOOKUP($A$719,INDIRECT("notes_"&amp;LEFT($A$719,3)),4,0)),0,VLOOKUP($A$719,INDIRECT("notes_"&amp;LEFT($A$719,3)),4,0))</f>
        <v>0</v>
      </c>
      <c r="H551" s="471">
        <f t="shared" si="150"/>
        <v>4</v>
      </c>
      <c r="I551" s="471">
        <v>1</v>
      </c>
      <c r="J551" s="471" t="str">
        <f t="shared" si="152"/>
        <v>transrdsenv-oth-rds</v>
      </c>
      <c r="K551" s="471" t="str">
        <f t="shared" si="153"/>
        <v>run-exp</v>
      </c>
      <c r="L551" s="599"/>
      <c r="M551" s="471" t="s">
        <v>4958</v>
      </c>
      <c r="N551" s="471" t="s">
        <v>753</v>
      </c>
      <c r="O551" s="471" t="s">
        <v>751</v>
      </c>
    </row>
    <row r="552" spans="1:15" x14ac:dyDescent="0.25">
      <c r="A552" s="471" t="s">
        <v>4993</v>
      </c>
      <c r="B552" s="1139">
        <f t="shared" ca="1" si="151"/>
        <v>0</v>
      </c>
      <c r="C552" s="473">
        <f ca="1">IF(ISERROR(VLOOKUP($A$720,INDIRECT("notes_"&amp;LEFT($A$720,3)),4,0)),0,VLOOKUP($A$720,INDIRECT("notes_"&amp;LEFT($A$720,3)),4,0))</f>
        <v>0</v>
      </c>
      <c r="H552" s="471">
        <f t="shared" si="150"/>
        <v>2</v>
      </c>
      <c r="I552" s="471">
        <v>1</v>
      </c>
      <c r="J552" s="471" t="str">
        <f t="shared" si="152"/>
        <v>transrdswnt</v>
      </c>
      <c r="K552" s="471" t="str">
        <f t="shared" si="153"/>
        <v>run-exp</v>
      </c>
      <c r="L552" s="599"/>
      <c r="M552" s="471" t="s">
        <v>4958</v>
      </c>
      <c r="N552" s="471" t="s">
        <v>753</v>
      </c>
      <c r="O552" s="471" t="s">
        <v>751</v>
      </c>
    </row>
    <row r="553" spans="1:15" x14ac:dyDescent="0.25">
      <c r="A553" s="471" t="s">
        <v>4994</v>
      </c>
      <c r="B553" s="1139">
        <f t="shared" ca="1" si="151"/>
        <v>0</v>
      </c>
      <c r="C553" s="473">
        <f ca="1">IF(ISERROR(VLOOKUP($A$721,INDIRECT("notes_"&amp;LEFT($A$721,3)),4,0)),0,VLOOKUP($A$721,INDIRECT("notes_"&amp;LEFT($A$721,3)),4,0))</f>
        <v>0</v>
      </c>
      <c r="H553" s="471">
        <f t="shared" si="150"/>
        <v>2</v>
      </c>
      <c r="I553" s="471">
        <v>1</v>
      </c>
      <c r="J553" s="471" t="str">
        <f t="shared" si="152"/>
        <v>transrdslgh</v>
      </c>
      <c r="K553" s="471" t="str">
        <f t="shared" si="153"/>
        <v>run-exp</v>
      </c>
      <c r="L553" s="599"/>
      <c r="M553" s="471" t="s">
        <v>4958</v>
      </c>
      <c r="N553" s="471" t="s">
        <v>753</v>
      </c>
      <c r="O553" s="471" t="s">
        <v>751</v>
      </c>
    </row>
    <row r="554" spans="1:15" x14ac:dyDescent="0.25">
      <c r="A554" s="471" t="s">
        <v>4995</v>
      </c>
      <c r="B554" s="1139">
        <f t="shared" ca="1" si="151"/>
        <v>0</v>
      </c>
      <c r="C554" s="473">
        <f ca="1">IF(ISERROR(VLOOKUP($A$722,INDIRECT("notes_"&amp;LEFT($A$722,3)),4,0)),0,VLOOKUP($A$722,INDIRECT("notes_"&amp;LEFT($A$722,3)),4,0))</f>
        <v>0</v>
      </c>
      <c r="H554" s="471">
        <f t="shared" si="150"/>
        <v>2</v>
      </c>
      <c r="I554" s="471">
        <v>1</v>
      </c>
      <c r="J554" s="471" t="str">
        <f t="shared" si="152"/>
        <v>transrdstrfcng</v>
      </c>
      <c r="K554" s="471" t="str">
        <f t="shared" si="153"/>
        <v>run-exp</v>
      </c>
      <c r="L554" s="599"/>
      <c r="M554" s="471" t="s">
        <v>4958</v>
      </c>
      <c r="N554" s="471" t="s">
        <v>753</v>
      </c>
      <c r="O554" s="471" t="s">
        <v>751</v>
      </c>
    </row>
    <row r="555" spans="1:15" x14ac:dyDescent="0.25">
      <c r="A555" s="471" t="s">
        <v>4996</v>
      </c>
      <c r="B555" s="1139">
        <f t="shared" ca="1" si="151"/>
        <v>0</v>
      </c>
      <c r="C555" s="473">
        <f ca="1">IF(ISERROR(VLOOKUP($A$723,INDIRECT("notes_"&amp;LEFT($A$723,3)),4,0)),0,VLOOKUP($A$723,INDIRECT("notes_"&amp;LEFT($A$723,3)),4,0))</f>
        <v>0</v>
      </c>
      <c r="H555" s="471">
        <f t="shared" si="150"/>
        <v>2</v>
      </c>
      <c r="I555" s="471">
        <v>1</v>
      </c>
      <c r="J555" s="471" t="str">
        <f t="shared" si="152"/>
        <v>transrdstrfbs</v>
      </c>
      <c r="K555" s="471" t="str">
        <f t="shared" si="153"/>
        <v>run-exp</v>
      </c>
      <c r="L555" s="599"/>
      <c r="M555" s="471" t="s">
        <v>4958</v>
      </c>
      <c r="N555" s="471" t="s">
        <v>753</v>
      </c>
      <c r="O555" s="471" t="s">
        <v>751</v>
      </c>
    </row>
    <row r="556" spans="1:15" x14ac:dyDescent="0.25">
      <c r="A556" s="471" t="s">
        <v>4997</v>
      </c>
      <c r="B556" s="1139">
        <f t="shared" ca="1" si="151"/>
        <v>0</v>
      </c>
      <c r="C556" s="473">
        <f ca="1">IF(ISERROR(VLOOKUP($A$724,INDIRECT("notes_"&amp;LEFT($A$724,3)),4,0)),0,VLOOKUP($A$724,INDIRECT("notes_"&amp;LEFT($A$724,3)),4,0))</f>
        <v>0</v>
      </c>
      <c r="H556" s="471">
        <f t="shared" si="150"/>
        <v>2</v>
      </c>
      <c r="I556" s="471">
        <v>1</v>
      </c>
      <c r="J556" s="471" t="str">
        <f t="shared" si="152"/>
        <v>transrdstrfsft</v>
      </c>
      <c r="K556" s="471" t="str">
        <f t="shared" si="153"/>
        <v>run-exp</v>
      </c>
      <c r="L556" s="599"/>
      <c r="M556" s="471" t="s">
        <v>4958</v>
      </c>
      <c r="N556" s="471" t="s">
        <v>753</v>
      </c>
      <c r="O556" s="471" t="s">
        <v>751</v>
      </c>
    </row>
    <row r="557" spans="1:15" x14ac:dyDescent="0.25">
      <c r="A557" s="471" t="s">
        <v>4998</v>
      </c>
      <c r="B557" s="1139">
        <f t="shared" ca="1" si="151"/>
        <v>0</v>
      </c>
      <c r="C557" s="473">
        <f ca="1">IF(ISERROR(VLOOKUP($A$725,INDIRECT("notes_"&amp;LEFT($A$725,3)),4,0)),0,VLOOKUP($A$725,INDIRECT("notes_"&amp;LEFT($A$725,3)),4,0))</f>
        <v>0</v>
      </c>
      <c r="H557" s="471">
        <f t="shared" si="150"/>
        <v>2</v>
      </c>
      <c r="I557" s="471">
        <v>1</v>
      </c>
      <c r="J557" s="471" t="str">
        <f t="shared" si="152"/>
        <v>transrdstrfoth</v>
      </c>
      <c r="K557" s="471" t="str">
        <f t="shared" si="153"/>
        <v>run-exp</v>
      </c>
      <c r="L557" s="599"/>
      <c r="M557" s="471" t="s">
        <v>4958</v>
      </c>
      <c r="N557" s="471" t="s">
        <v>753</v>
      </c>
      <c r="O557" s="471" t="s">
        <v>751</v>
      </c>
    </row>
    <row r="558" spans="1:15" x14ac:dyDescent="0.25">
      <c r="A558" s="471" t="s">
        <v>4999</v>
      </c>
      <c r="B558" s="1139">
        <f t="shared" ca="1" si="151"/>
        <v>0</v>
      </c>
      <c r="C558" s="473">
        <f ca="1">IF(ISERROR(VLOOKUP($A$726,INDIRECT("notes_"&amp;LEFT($A$726,3)),4,0)),0,VLOOKUP($A$726,INDIRECT("notes_"&amp;LEFT($A$726,3)),4,0))</f>
        <v>0</v>
      </c>
      <c r="H558" s="471">
        <f t="shared" si="150"/>
        <v>5</v>
      </c>
      <c r="I558" s="471">
        <v>1</v>
      </c>
      <c r="J558" s="471" t="str">
        <f t="shared" si="152"/>
        <v>transprk-on-str-prk</v>
      </c>
      <c r="K558" s="471" t="str">
        <f t="shared" si="153"/>
        <v>run-exp</v>
      </c>
      <c r="L558" s="599"/>
      <c r="M558" s="471" t="s">
        <v>4958</v>
      </c>
      <c r="N558" s="471" t="s">
        <v>753</v>
      </c>
      <c r="O558" s="471" t="s">
        <v>751</v>
      </c>
    </row>
    <row r="559" spans="1:15" x14ac:dyDescent="0.25">
      <c r="A559" s="471" t="s">
        <v>5000</v>
      </c>
      <c r="B559" s="1139">
        <f t="shared" ca="1" si="151"/>
        <v>0</v>
      </c>
      <c r="C559" s="473">
        <f ca="1">IF(ISERROR(VLOOKUP($A$727,INDIRECT("notes_"&amp;LEFT($A$727,3)),4,0)),0,VLOOKUP($A$727,INDIRECT("notes_"&amp;LEFT($A$727,3)),4,0))</f>
        <v>0</v>
      </c>
      <c r="H559" s="471">
        <f t="shared" si="150"/>
        <v>5</v>
      </c>
      <c r="I559" s="471">
        <v>1</v>
      </c>
      <c r="J559" s="471" t="str">
        <f t="shared" si="152"/>
        <v>transprk-off-str-prk</v>
      </c>
      <c r="K559" s="471" t="str">
        <f t="shared" si="153"/>
        <v>run-exp</v>
      </c>
      <c r="L559" s="599"/>
      <c r="M559" s="471" t="s">
        <v>4958</v>
      </c>
      <c r="N559" s="471" t="s">
        <v>753</v>
      </c>
      <c r="O559" s="471" t="s">
        <v>751</v>
      </c>
    </row>
    <row r="560" spans="1:15" x14ac:dyDescent="0.25">
      <c r="A560" s="471" t="s">
        <v>5001</v>
      </c>
      <c r="B560" s="1139">
        <f t="shared" ca="1" si="151"/>
        <v>0</v>
      </c>
      <c r="C560" s="473">
        <f ca="1">IF(ISERROR(VLOOKUP($A$728,INDIRECT("notes_"&amp;LEFT($A$728,3)),4,0)),0,VLOOKUP($A$728,INDIRECT("notes_"&amp;LEFT($A$728,3)),4,0))</f>
        <v>0</v>
      </c>
      <c r="H560" s="471">
        <f t="shared" si="150"/>
        <v>2</v>
      </c>
      <c r="I560" s="471">
        <v>1</v>
      </c>
      <c r="J560" s="471" t="str">
        <f t="shared" si="152"/>
        <v>transpblstt</v>
      </c>
      <c r="K560" s="471" t="str">
        <f t="shared" si="153"/>
        <v>run-exp</v>
      </c>
      <c r="L560" s="599"/>
      <c r="M560" s="471" t="s">
        <v>4958</v>
      </c>
      <c r="N560" s="471" t="s">
        <v>753</v>
      </c>
      <c r="O560" s="471" t="s">
        <v>751</v>
      </c>
    </row>
    <row r="561" spans="1:15" x14ac:dyDescent="0.25">
      <c r="A561" s="471" t="s">
        <v>5002</v>
      </c>
      <c r="B561" s="1139">
        <f t="shared" ca="1" si="151"/>
        <v>0</v>
      </c>
      <c r="C561" s="473">
        <f ca="1">IF(ISERROR(VLOOKUP($A$729,INDIRECT("notes_"&amp;LEFT($A$729,3)),4,0)),0,VLOOKUP($A$729,INDIRECT("notes_"&amp;LEFT($A$729,3)),4,0))</f>
        <v>0</v>
      </c>
      <c r="H561" s="471">
        <f t="shared" si="150"/>
        <v>2</v>
      </c>
      <c r="I561" s="471">
        <v>1</v>
      </c>
      <c r="J561" s="471" t="str">
        <f t="shared" si="152"/>
        <v>transpbldsc</v>
      </c>
      <c r="K561" s="471" t="str">
        <f t="shared" si="153"/>
        <v>run-exp</v>
      </c>
      <c r="L561" s="599"/>
      <c r="M561" s="471" t="s">
        <v>4958</v>
      </c>
      <c r="N561" s="471" t="s">
        <v>753</v>
      </c>
      <c r="O561" s="471" t="s">
        <v>751</v>
      </c>
    </row>
    <row r="562" spans="1:15" x14ac:dyDescent="0.25">
      <c r="A562" s="471" t="s">
        <v>5003</v>
      </c>
      <c r="B562" s="1139">
        <f t="shared" ca="1" si="151"/>
        <v>0</v>
      </c>
      <c r="C562" s="473">
        <f ca="1">IF(ISERROR(VLOOKUP($A$730,INDIRECT("notes_"&amp;LEFT($A$730,3)),4,0)),0,VLOOKUP($A$730,INDIRECT("notes_"&amp;LEFT($A$730,3)),4,0))</f>
        <v>0</v>
      </c>
      <c r="H562" s="471">
        <f t="shared" si="150"/>
        <v>3</v>
      </c>
      <c r="I562" s="471">
        <v>1</v>
      </c>
      <c r="J562" s="471" t="str">
        <f t="shared" si="152"/>
        <v>transpblopr-bus</v>
      </c>
      <c r="K562" s="471" t="str">
        <f t="shared" si="153"/>
        <v>run-exp</v>
      </c>
      <c r="L562" s="599"/>
      <c r="M562" s="471" t="s">
        <v>4958</v>
      </c>
      <c r="N562" s="471" t="s">
        <v>753</v>
      </c>
      <c r="O562" s="471" t="s">
        <v>751</v>
      </c>
    </row>
    <row r="563" spans="1:15" x14ac:dyDescent="0.25">
      <c r="A563" s="471" t="s">
        <v>5004</v>
      </c>
      <c r="B563" s="1139">
        <f t="shared" ca="1" si="151"/>
        <v>0</v>
      </c>
      <c r="C563" s="473">
        <f ca="1">IF(ISERROR(VLOOKUP($A$731,INDIRECT("notes_"&amp;LEFT($A$731,3)),4,0)),0,VLOOKUP($A$731,INDIRECT("notes_"&amp;LEFT($A$731,3)),4,0))</f>
        <v>0</v>
      </c>
      <c r="H563" s="471">
        <f t="shared" si="150"/>
        <v>3</v>
      </c>
      <c r="I563" s="471">
        <v>1</v>
      </c>
      <c r="J563" s="471" t="str">
        <f t="shared" si="152"/>
        <v>transpblopr-rail</v>
      </c>
      <c r="K563" s="471" t="str">
        <f t="shared" si="153"/>
        <v>run-exp</v>
      </c>
      <c r="L563" s="599"/>
      <c r="M563" s="471" t="s">
        <v>4958</v>
      </c>
      <c r="N563" s="471" t="s">
        <v>753</v>
      </c>
      <c r="O563" s="471" t="s">
        <v>751</v>
      </c>
    </row>
    <row r="564" spans="1:15" x14ac:dyDescent="0.25">
      <c r="A564" s="471" t="s">
        <v>5005</v>
      </c>
      <c r="B564" s="1139">
        <f t="shared" ca="1" si="151"/>
        <v>0</v>
      </c>
      <c r="C564" s="473">
        <f ca="1">IF(ISERROR(VLOOKUP($A$732,INDIRECT("notes_"&amp;LEFT($A$732,3)),4,0)),0,VLOOKUP($A$732,INDIRECT("notes_"&amp;LEFT($A$732,3)),4,0))</f>
        <v>0</v>
      </c>
      <c r="H564" s="471">
        <f t="shared" si="150"/>
        <v>3</v>
      </c>
      <c r="I564" s="471">
        <v>1</v>
      </c>
      <c r="J564" s="471" t="str">
        <f t="shared" si="152"/>
        <v>transpblopr-oth</v>
      </c>
      <c r="K564" s="471" t="str">
        <f t="shared" si="153"/>
        <v>run-exp</v>
      </c>
      <c r="L564" s="599"/>
      <c r="M564" s="471" t="s">
        <v>4958</v>
      </c>
      <c r="N564" s="471" t="s">
        <v>753</v>
      </c>
      <c r="O564" s="471" t="s">
        <v>751</v>
      </c>
    </row>
    <row r="565" spans="1:15" x14ac:dyDescent="0.25">
      <c r="A565" s="471" t="s">
        <v>5006</v>
      </c>
      <c r="B565" s="1139">
        <f t="shared" ca="1" si="151"/>
        <v>0</v>
      </c>
      <c r="C565" s="473">
        <f ca="1">IF(ISERROR(VLOOKUP($A$733,INDIRECT("notes_"&amp;LEFT($A$733,3)),4,0)),0,VLOOKUP($A$733,INDIRECT("notes_"&amp;LEFT($A$733,3)),4,0))</f>
        <v>0</v>
      </c>
      <c r="H565" s="471">
        <f t="shared" si="150"/>
        <v>2</v>
      </c>
      <c r="I565" s="471">
        <v>1</v>
      </c>
      <c r="J565" s="471" t="str">
        <f t="shared" si="152"/>
        <v>transpblcrd</v>
      </c>
      <c r="K565" s="471" t="str">
        <f t="shared" si="153"/>
        <v>run-exp</v>
      </c>
      <c r="L565" s="599"/>
      <c r="M565" s="471" t="s">
        <v>4958</v>
      </c>
      <c r="N565" s="471" t="s">
        <v>753</v>
      </c>
      <c r="O565" s="471" t="s">
        <v>751</v>
      </c>
    </row>
    <row r="566" spans="1:15" x14ac:dyDescent="0.25">
      <c r="A566" s="471" t="s">
        <v>5007</v>
      </c>
      <c r="B566" s="1139">
        <f t="shared" ca="1" si="151"/>
        <v>0</v>
      </c>
      <c r="C566" s="473">
        <f ca="1">IF(ISERROR(VLOOKUP($A$734,INDIRECT("notes_"&amp;LEFT($A$734,3)),4,0)),0,VLOOKUP($A$734,INDIRECT("notes_"&amp;LEFT($A$734,3)),4,0))</f>
        <v>0</v>
      </c>
      <c r="H566" s="471">
        <f t="shared" si="150"/>
        <v>2</v>
      </c>
      <c r="I566" s="471">
        <v>1</v>
      </c>
      <c r="J566" s="471" t="str">
        <f t="shared" si="152"/>
        <v>transaht</v>
      </c>
      <c r="K566" s="471" t="str">
        <f t="shared" si="153"/>
        <v>run-exp</v>
      </c>
      <c r="L566" s="599"/>
      <c r="M566" s="471" t="s">
        <v>4958</v>
      </c>
      <c r="N566" s="471" t="s">
        <v>753</v>
      </c>
      <c r="O566" s="471" t="s">
        <v>751</v>
      </c>
    </row>
    <row r="567" spans="1:15" x14ac:dyDescent="0.25">
      <c r="A567" s="471" t="s">
        <v>5008</v>
      </c>
      <c r="B567" s="1139">
        <f t="shared" ca="1" si="151"/>
        <v>0</v>
      </c>
      <c r="C567" s="473">
        <f ca="1">IF(ISERROR(VLOOKUP($A$735,INDIRECT("notes_"&amp;LEFT($A$735,3)),4,0)),0,VLOOKUP($A$735,INDIRECT("notes_"&amp;LEFT($A$735,3)),4,0))</f>
        <v>0</v>
      </c>
      <c r="H567" s="471">
        <f t="shared" si="150"/>
        <v>2</v>
      </c>
      <c r="I567" s="471">
        <v>1</v>
      </c>
      <c r="J567" s="471" t="str">
        <f t="shared" si="152"/>
        <v>transtot</v>
      </c>
      <c r="K567" s="471" t="str">
        <f t="shared" si="153"/>
        <v>run-exp</v>
      </c>
      <c r="L567" s="599"/>
      <c r="M567" s="471" t="s">
        <v>4958</v>
      </c>
      <c r="N567" s="471" t="s">
        <v>753</v>
      </c>
      <c r="O567" s="471" t="s">
        <v>751</v>
      </c>
    </row>
    <row r="568" spans="1:15" x14ac:dyDescent="0.25">
      <c r="A568" s="471" t="s">
        <v>2045</v>
      </c>
      <c r="B568" s="1139">
        <f t="shared" ca="1" si="151"/>
        <v>0</v>
      </c>
      <c r="C568" s="473">
        <f ca="1">IF(ISERROR(VLOOKUP($A$568,INDIRECT("notes_"&amp;LEFT($A$568,3)),4,0)),0,VLOOKUP($A$568,INDIRECT("notes_"&amp;LEFT($A$568,3)),4,0))</f>
        <v>0</v>
      </c>
      <c r="H568" s="471">
        <f t="shared" si="150"/>
        <v>2</v>
      </c>
      <c r="I568" s="471">
        <v>1</v>
      </c>
      <c r="J568" s="471" t="str">
        <f t="shared" si="152"/>
        <v>transsvmem</v>
      </c>
      <c r="K568" s="471" t="str">
        <f t="shared" si="153"/>
        <v>run-exp</v>
      </c>
      <c r="L568" s="599"/>
      <c r="M568" s="471" t="s">
        <v>4958</v>
      </c>
      <c r="N568" s="471" t="s">
        <v>753</v>
      </c>
      <c r="O568" s="471" t="s">
        <v>751</v>
      </c>
    </row>
    <row r="569" spans="1:15" x14ac:dyDescent="0.25">
      <c r="A569" s="471" t="s">
        <v>5009</v>
      </c>
      <c r="B569" s="1139">
        <f t="shared" ca="1" si="151"/>
        <v>0</v>
      </c>
      <c r="C569" s="473">
        <f ca="1">IF(ISERROR(VLOOKUP($A$736,INDIRECT("notes_"&amp;LEFT($A$736,3)),4,0)),0,VLOOKUP($A$736,INDIRECT("notes_"&amp;LEFT($A$736,3)),4,0))</f>
        <v>0</v>
      </c>
      <c r="H569" s="471">
        <f t="shared" si="150"/>
        <v>4</v>
      </c>
      <c r="I569" s="471">
        <v>1</v>
      </c>
      <c r="J569" s="471" t="str">
        <f t="shared" si="152"/>
        <v>transthrprtlbtclm-str-mnt</v>
      </c>
      <c r="K569" s="471" t="str">
        <f t="shared" si="153"/>
        <v>run-exp</v>
      </c>
      <c r="L569" s="599"/>
      <c r="M569" s="471" t="s">
        <v>4958</v>
      </c>
      <c r="N569" s="471" t="s">
        <v>753</v>
      </c>
      <c r="O569" s="471" t="s">
        <v>751</v>
      </c>
    </row>
    <row r="570" spans="1:15" x14ac:dyDescent="0.25">
      <c r="A570" s="471" t="s">
        <v>2037</v>
      </c>
      <c r="B570" s="1139">
        <f t="shared" ca="1" si="151"/>
        <v>0</v>
      </c>
      <c r="C570" s="473">
        <f ca="1">IF(ISERROR(VLOOKUP(A570,INDIRECT("notes_"&amp;LEFT(A570,3)),4,0)),0,VLOOKUP(A570,INDIRECT("notes_"&amp;LEFT(A570,3)),4,0))</f>
        <v>0</v>
      </c>
      <c r="D570" s="472" t="str">
        <f>'RO2'!N87</f>
        <v/>
      </c>
      <c r="E570" s="472" t="str">
        <f>'RO2'!O87</f>
        <v/>
      </c>
      <c r="F570" s="472" t="str">
        <f>'RO2'!Q87</f>
        <v/>
      </c>
      <c r="H570" s="471">
        <f t="shared" si="150"/>
        <v>5</v>
      </c>
      <c r="I570" s="471">
        <v>1</v>
      </c>
      <c r="J570" s="471" t="str">
        <f t="shared" si="152"/>
        <v>transunpptcmnt-env-prn-rds</v>
      </c>
      <c r="K570" s="471" t="str">
        <f t="shared" si="153"/>
        <v>run-exp</v>
      </c>
      <c r="L570" s="599"/>
      <c r="M570" s="471" t="s">
        <v>4958</v>
      </c>
      <c r="N570" s="471" t="s">
        <v>753</v>
      </c>
      <c r="O570" s="471" t="s">
        <v>751</v>
      </c>
    </row>
    <row r="571" spans="1:15" x14ac:dyDescent="0.25">
      <c r="A571" s="471" t="s">
        <v>2038</v>
      </c>
      <c r="B571" s="1139">
        <f t="shared" ca="1" si="151"/>
        <v>0</v>
      </c>
      <c r="C571" s="473">
        <f ca="1">IF(ISERROR(VLOOKUP(A571,INDIRECT("notes_"&amp;LEFT(A571,3)),4,0)),0,VLOOKUP(A571,INDIRECT("notes_"&amp;LEFT(A571,3)),4,0))</f>
        <v>0</v>
      </c>
      <c r="D571" s="472" t="str">
        <f>'RO2'!N88</f>
        <v/>
      </c>
      <c r="E571" s="472" t="str">
        <f>'RO2'!O88</f>
        <v/>
      </c>
      <c r="F571" s="472" t="str">
        <f>'RO2'!Q88</f>
        <v/>
      </c>
      <c r="H571" s="471">
        <f t="shared" si="150"/>
        <v>5</v>
      </c>
      <c r="I571" s="471">
        <v>1</v>
      </c>
      <c r="J571" s="471" t="str">
        <f t="shared" si="152"/>
        <v>transunpptcmnt-env-oth-rds</v>
      </c>
      <c r="K571" s="471" t="str">
        <f t="shared" si="153"/>
        <v>run-exp</v>
      </c>
      <c r="L571" s="599"/>
      <c r="M571" s="471" t="s">
        <v>4958</v>
      </c>
      <c r="N571" s="471" t="s">
        <v>753</v>
      </c>
      <c r="O571" s="471" t="s">
        <v>751</v>
      </c>
    </row>
    <row r="572" spans="1:15" x14ac:dyDescent="0.25">
      <c r="A572" s="471" t="s">
        <v>5010</v>
      </c>
      <c r="B572" s="1139">
        <f t="shared" ca="1" si="151"/>
        <v>0</v>
      </c>
      <c r="C572" s="473">
        <f ca="1">IF(ISERROR(VLOOKUP($A$737,INDIRECT("notes_"&amp;LEFT($A$737,3)),4,0)),0,VLOOKUP($A$737,INDIRECT("notes_"&amp;LEFT($A$737,3)),4,0))</f>
        <v>0</v>
      </c>
      <c r="H572" s="471">
        <f t="shared" si="150"/>
        <v>4</v>
      </c>
      <c r="I572" s="471">
        <v>1</v>
      </c>
      <c r="J572" s="471" t="str">
        <f t="shared" si="152"/>
        <v>transpubsupopr-pym-bus</v>
      </c>
      <c r="K572" s="471" t="str">
        <f t="shared" si="153"/>
        <v>run-exp</v>
      </c>
      <c r="L572" s="599"/>
      <c r="M572" s="471" t="s">
        <v>4958</v>
      </c>
      <c r="N572" s="471" t="s">
        <v>753</v>
      </c>
      <c r="O572" s="471" t="s">
        <v>751</v>
      </c>
    </row>
    <row r="573" spans="1:15" x14ac:dyDescent="0.25">
      <c r="A573" s="471" t="s">
        <v>5011</v>
      </c>
      <c r="B573" s="1139">
        <f t="shared" ca="1" si="151"/>
        <v>0</v>
      </c>
      <c r="C573" s="473">
        <f ca="1">IF(ISERROR(VLOOKUP($A$738,INDIRECT("notes_"&amp;LEFT($A$738,3)),4,0)),0,VLOOKUP($A$738,INDIRECT("notes_"&amp;LEFT($A$738,3)),4,0))</f>
        <v>0</v>
      </c>
      <c r="H573" s="471">
        <f t="shared" si="150"/>
        <v>4</v>
      </c>
      <c r="I573" s="471">
        <v>1</v>
      </c>
      <c r="J573" s="471" t="str">
        <f t="shared" si="152"/>
        <v>transpubsupopr-pym-rail</v>
      </c>
      <c r="K573" s="471" t="str">
        <f t="shared" si="153"/>
        <v>run-exp</v>
      </c>
      <c r="L573" s="599"/>
      <c r="M573" s="471" t="s">
        <v>4958</v>
      </c>
      <c r="N573" s="471" t="s">
        <v>753</v>
      </c>
      <c r="O573" s="471" t="s">
        <v>751</v>
      </c>
    </row>
    <row r="574" spans="1:15" x14ac:dyDescent="0.25">
      <c r="A574" s="471" t="s">
        <v>5012</v>
      </c>
      <c r="B574" s="1139">
        <f t="shared" ca="1" si="151"/>
        <v>0</v>
      </c>
      <c r="C574" s="473">
        <f ca="1">IF(ISERROR(VLOOKUP($A$739,INDIRECT("notes_"&amp;LEFT($A$739,3)),4,0)),0,VLOOKUP($A$739,INDIRECT("notes_"&amp;LEFT($A$739,3)),4,0))</f>
        <v>0</v>
      </c>
      <c r="H574" s="471">
        <f t="shared" si="150"/>
        <v>4</v>
      </c>
      <c r="I574" s="471">
        <v>1</v>
      </c>
      <c r="J574" s="471" t="str">
        <f t="shared" si="152"/>
        <v>transpubsupopr-pym-oth</v>
      </c>
      <c r="K574" s="471" t="str">
        <f t="shared" si="153"/>
        <v>run-exp</v>
      </c>
      <c r="L574" s="599"/>
      <c r="M574" s="471" t="s">
        <v>4958</v>
      </c>
      <c r="N574" s="471" t="s">
        <v>753</v>
      </c>
      <c r="O574" s="471" t="s">
        <v>751</v>
      </c>
    </row>
    <row r="575" spans="1:15" x14ac:dyDescent="0.25">
      <c r="A575" s="471" t="s">
        <v>5013</v>
      </c>
      <c r="B575" s="1139">
        <f t="shared" ca="1" si="151"/>
        <v>0</v>
      </c>
      <c r="C575" s="473">
        <f ca="1">IF(ISERROR(VLOOKUP($A$713,INDIRECT("notes_"&amp;LEFT($A$713,3)),4,0)),0,VLOOKUP($A$713,INDIRECT("notes_"&amp;LEFT($A$713,3)),4,0))</f>
        <v>0</v>
      </c>
      <c r="H575" s="471">
        <f t="shared" si="150"/>
        <v>4</v>
      </c>
      <c r="I575" s="471">
        <v>1</v>
      </c>
      <c r="J575" s="471" t="str">
        <f t="shared" si="152"/>
        <v>transpln-hghwys-mnt</v>
      </c>
      <c r="K575" s="471" t="str">
        <f t="shared" si="153"/>
        <v>tot-exp</v>
      </c>
      <c r="L575" s="599"/>
      <c r="M575" s="471" t="s">
        <v>4958</v>
      </c>
      <c r="N575" s="471" t="s">
        <v>753</v>
      </c>
      <c r="O575" s="471" t="s">
        <v>751</v>
      </c>
    </row>
    <row r="576" spans="1:15" x14ac:dyDescent="0.25">
      <c r="A576" s="471" t="s">
        <v>5014</v>
      </c>
      <c r="B576" s="1139">
        <f t="shared" ca="1" si="151"/>
        <v>0</v>
      </c>
      <c r="C576" s="473">
        <f ca="1">IF(ISERROR(VLOOKUP($A$714,INDIRECT("notes_"&amp;LEFT($A$714,3)),4,0)),0,VLOOKUP($A$714,INDIRECT("notes_"&amp;LEFT($A$714,3)),4,0))</f>
        <v>0</v>
      </c>
      <c r="H576" s="471">
        <f t="shared" si="150"/>
        <v>4</v>
      </c>
      <c r="I576" s="471">
        <v>1</v>
      </c>
      <c r="J576" s="471" t="str">
        <f t="shared" si="152"/>
        <v>transpln-pub-oth</v>
      </c>
      <c r="K576" s="471" t="str">
        <f t="shared" si="153"/>
        <v>tot-exp</v>
      </c>
      <c r="L576" s="599"/>
      <c r="M576" s="471" t="s">
        <v>4958</v>
      </c>
      <c r="N576" s="471" t="s">
        <v>753</v>
      </c>
      <c r="O576" s="471" t="s">
        <v>751</v>
      </c>
    </row>
    <row r="577" spans="1:15" x14ac:dyDescent="0.25">
      <c r="A577" s="471" t="s">
        <v>5015</v>
      </c>
      <c r="B577" s="1139">
        <f t="shared" ca="1" si="151"/>
        <v>0</v>
      </c>
      <c r="C577" s="473">
        <f ca="1">IF(ISERROR(VLOOKUP($A$715,INDIRECT("notes_"&amp;LEFT($A$715,3)),4,0)),0,VLOOKUP($A$715,INDIRECT("notes_"&amp;LEFT($A$715,3)),4,0))</f>
        <v>0</v>
      </c>
      <c r="H577" s="471">
        <f t="shared" si="150"/>
        <v>4</v>
      </c>
      <c r="I577" s="471">
        <v>1</v>
      </c>
      <c r="J577" s="471" t="str">
        <f t="shared" si="152"/>
        <v>transrdsmnt-prn-rds</v>
      </c>
      <c r="K577" s="471" t="str">
        <f t="shared" si="153"/>
        <v>tot-exp</v>
      </c>
      <c r="L577" s="599"/>
      <c r="M577" s="471" t="s">
        <v>4958</v>
      </c>
      <c r="N577" s="471" t="s">
        <v>753</v>
      </c>
      <c r="O577" s="471" t="s">
        <v>751</v>
      </c>
    </row>
    <row r="578" spans="1:15" x14ac:dyDescent="0.25">
      <c r="A578" s="471" t="s">
        <v>5016</v>
      </c>
      <c r="B578" s="1139">
        <f t="shared" ca="1" si="151"/>
        <v>0</v>
      </c>
      <c r="C578" s="473">
        <f ca="1">IF(ISERROR(VLOOKUP($A$716,INDIRECT("notes_"&amp;LEFT($A$716,3)),4,0)),0,VLOOKUP($A$716,INDIRECT("notes_"&amp;LEFT($A$716,3)),4,0))</f>
        <v>0</v>
      </c>
      <c r="H578" s="471">
        <f t="shared" si="150"/>
        <v>4</v>
      </c>
      <c r="I578" s="471">
        <v>1</v>
      </c>
      <c r="J578" s="471" t="str">
        <f t="shared" si="152"/>
        <v>transrdsmnt-oth-rds</v>
      </c>
      <c r="K578" s="471" t="str">
        <f t="shared" si="153"/>
        <v>tot-exp</v>
      </c>
      <c r="L578" s="599"/>
      <c r="M578" s="471" t="s">
        <v>4958</v>
      </c>
      <c r="N578" s="471" t="s">
        <v>753</v>
      </c>
      <c r="O578" s="471" t="s">
        <v>751</v>
      </c>
    </row>
    <row r="579" spans="1:15" x14ac:dyDescent="0.25">
      <c r="A579" s="471" t="s">
        <v>5017</v>
      </c>
      <c r="B579" s="1139">
        <f t="shared" ca="1" si="151"/>
        <v>0</v>
      </c>
      <c r="C579" s="473">
        <f ca="1">IF(ISERROR(VLOOKUP($A$717,INDIRECT("notes_"&amp;LEFT($A$717,3)),4,0)),0,VLOOKUP($A$717,INDIRECT("notes_"&amp;LEFT($A$717,3)),4,0))</f>
        <v>0</v>
      </c>
      <c r="H579" s="471">
        <f t="shared" si="150"/>
        <v>3</v>
      </c>
      <c r="I579" s="471">
        <v>1</v>
      </c>
      <c r="J579" s="471" t="str">
        <f t="shared" si="152"/>
        <v>transrdsmnt-brd</v>
      </c>
      <c r="K579" s="471" t="str">
        <f t="shared" si="153"/>
        <v>tot-exp</v>
      </c>
      <c r="L579" s="599"/>
      <c r="M579" s="471" t="s">
        <v>4958</v>
      </c>
      <c r="N579" s="471" t="s">
        <v>753</v>
      </c>
      <c r="O579" s="471" t="s">
        <v>751</v>
      </c>
    </row>
    <row r="580" spans="1:15" x14ac:dyDescent="0.25">
      <c r="A580" s="471" t="s">
        <v>5018</v>
      </c>
      <c r="B580" s="1139">
        <f t="shared" ca="1" si="151"/>
        <v>0</v>
      </c>
      <c r="C580" s="473">
        <f ca="1">IF(ISERROR(VLOOKUP($A$718,INDIRECT("notes_"&amp;LEFT($A$718,3)),4,0)),0,VLOOKUP($A$718,INDIRECT("notes_"&amp;LEFT($A$718,3)),4,0))</f>
        <v>0</v>
      </c>
      <c r="H580" s="471">
        <f t="shared" si="150"/>
        <v>4</v>
      </c>
      <c r="I580" s="471">
        <v>1</v>
      </c>
      <c r="J580" s="471" t="str">
        <f t="shared" si="152"/>
        <v>transrdsenv-prn-rds</v>
      </c>
      <c r="K580" s="471" t="str">
        <f t="shared" si="153"/>
        <v>tot-exp</v>
      </c>
      <c r="L580" s="599"/>
      <c r="M580" s="471" t="s">
        <v>4958</v>
      </c>
      <c r="N580" s="471" t="s">
        <v>753</v>
      </c>
      <c r="O580" s="471" t="s">
        <v>751</v>
      </c>
    </row>
    <row r="581" spans="1:15" x14ac:dyDescent="0.25">
      <c r="A581" s="471" t="s">
        <v>5019</v>
      </c>
      <c r="B581" s="1139">
        <f t="shared" ca="1" si="151"/>
        <v>0</v>
      </c>
      <c r="C581" s="473">
        <f ca="1">IF(ISERROR(VLOOKUP($A$719,INDIRECT("notes_"&amp;LEFT($A$719,3)),4,0)),0,VLOOKUP($A$719,INDIRECT("notes_"&amp;LEFT($A$719,3)),4,0))</f>
        <v>0</v>
      </c>
      <c r="H581" s="471">
        <f t="shared" ref="H581:H667" si="154">LEN(A581)-LEN(SUBSTITUTE(A581,"-",""))-I581</f>
        <v>4</v>
      </c>
      <c r="I581" s="471">
        <v>1</v>
      </c>
      <c r="J581" s="471" t="str">
        <f t="shared" si="152"/>
        <v>transrdsenv-oth-rds</v>
      </c>
      <c r="K581" s="471" t="str">
        <f t="shared" si="153"/>
        <v>tot-exp</v>
      </c>
      <c r="L581" s="599"/>
      <c r="M581" s="471" t="s">
        <v>4958</v>
      </c>
      <c r="N581" s="471" t="s">
        <v>753</v>
      </c>
      <c r="O581" s="471" t="s">
        <v>751</v>
      </c>
    </row>
    <row r="582" spans="1:15" x14ac:dyDescent="0.25">
      <c r="A582" s="471" t="s">
        <v>5020</v>
      </c>
      <c r="B582" s="1139">
        <f t="shared" ref="B582:B668" ca="1" si="155">INDEX(INDIRECT(LEFT($A582,SEARCH("-",$A582,1)-1)&amp;"_data"),MATCH(MID($A582,SEARCH("-",$A582)+1,SEARCH("#",SUBSTITUTE($A582,"-","#",H582),1)-(SEARCH("-",$A582)+1)),INDIRECT(LEFT($A582,SEARCH("-",$A582,1)-1)&amp;"_rows"),0),MATCH(RIGHT($A582,LEN($A582)-LEN(LEFT($A582,SEARCH("#",SUBSTITUTE($A582,"-","#",H582),1)))),INDIRECT(LEFT($A582,SEARCH("-",$A582,1)-1)&amp;"_Header"),0))</f>
        <v>0</v>
      </c>
      <c r="C582" s="473">
        <f ca="1">IF(ISERROR(VLOOKUP($A$720,INDIRECT("notes_"&amp;LEFT($A$720,3)),4,0)),0,VLOOKUP($A$720,INDIRECT("notes_"&amp;LEFT($A$720,3)),4,0))</f>
        <v>0</v>
      </c>
      <c r="H582" s="471">
        <f t="shared" si="154"/>
        <v>2</v>
      </c>
      <c r="I582" s="471">
        <v>1</v>
      </c>
      <c r="J582" s="471" t="str">
        <f t="shared" si="152"/>
        <v>transrdswnt</v>
      </c>
      <c r="K582" s="471" t="str">
        <f t="shared" si="153"/>
        <v>tot-exp</v>
      </c>
      <c r="L582" s="599"/>
      <c r="M582" s="471" t="s">
        <v>4958</v>
      </c>
      <c r="N582" s="471" t="s">
        <v>753</v>
      </c>
      <c r="O582" s="471" t="s">
        <v>751</v>
      </c>
    </row>
    <row r="583" spans="1:15" x14ac:dyDescent="0.25">
      <c r="A583" s="471" t="s">
        <v>5021</v>
      </c>
      <c r="B583" s="1139">
        <f t="shared" ca="1" si="155"/>
        <v>0</v>
      </c>
      <c r="C583" s="473">
        <f ca="1">IF(ISERROR(VLOOKUP($A$721,INDIRECT("notes_"&amp;LEFT($A$721,3)),4,0)),0,VLOOKUP($A$721,INDIRECT("notes_"&amp;LEFT($A$721,3)),4,0))</f>
        <v>0</v>
      </c>
      <c r="H583" s="471">
        <f t="shared" si="154"/>
        <v>2</v>
      </c>
      <c r="I583" s="471">
        <v>1</v>
      </c>
      <c r="J583" s="471" t="str">
        <f t="shared" si="152"/>
        <v>transrdslgh</v>
      </c>
      <c r="K583" s="471" t="str">
        <f t="shared" si="153"/>
        <v>tot-exp</v>
      </c>
      <c r="L583" s="599"/>
      <c r="M583" s="471" t="s">
        <v>4958</v>
      </c>
      <c r="N583" s="471" t="s">
        <v>753</v>
      </c>
      <c r="O583" s="471" t="s">
        <v>751</v>
      </c>
    </row>
    <row r="584" spans="1:15" x14ac:dyDescent="0.25">
      <c r="A584" s="471" t="s">
        <v>5022</v>
      </c>
      <c r="B584" s="1139">
        <f t="shared" ca="1" si="155"/>
        <v>0</v>
      </c>
      <c r="C584" s="473">
        <f ca="1">IF(ISERROR(VLOOKUP($A$722,INDIRECT("notes_"&amp;LEFT($A$722,3)),4,0)),0,VLOOKUP($A$722,INDIRECT("notes_"&amp;LEFT($A$722,3)),4,0))</f>
        <v>0</v>
      </c>
      <c r="H584" s="471">
        <f t="shared" si="154"/>
        <v>2</v>
      </c>
      <c r="I584" s="471">
        <v>1</v>
      </c>
      <c r="J584" s="471" t="str">
        <f t="shared" si="152"/>
        <v>transrdstrfcng</v>
      </c>
      <c r="K584" s="471" t="str">
        <f t="shared" si="153"/>
        <v>tot-exp</v>
      </c>
      <c r="L584" s="599"/>
      <c r="M584" s="471" t="s">
        <v>4958</v>
      </c>
      <c r="N584" s="471" t="s">
        <v>753</v>
      </c>
      <c r="O584" s="471" t="s">
        <v>751</v>
      </c>
    </row>
    <row r="585" spans="1:15" x14ac:dyDescent="0.25">
      <c r="A585" s="471" t="s">
        <v>5023</v>
      </c>
      <c r="B585" s="1139">
        <f t="shared" ca="1" si="155"/>
        <v>0</v>
      </c>
      <c r="C585" s="473">
        <f ca="1">IF(ISERROR(VLOOKUP($A$723,INDIRECT("notes_"&amp;LEFT($A$723,3)),4,0)),0,VLOOKUP($A$723,INDIRECT("notes_"&amp;LEFT($A$723,3)),4,0))</f>
        <v>0</v>
      </c>
      <c r="H585" s="471">
        <f t="shared" si="154"/>
        <v>2</v>
      </c>
      <c r="I585" s="471">
        <v>1</v>
      </c>
      <c r="J585" s="471" t="str">
        <f t="shared" ref="J585:J671" si="156">MID($A585,SEARCH("-",$A585)+1,SEARCH("#",SUBSTITUTE($A585,"-","#",H585),1)-(SEARCH("-",$A585)+1))</f>
        <v>transrdstrfbs</v>
      </c>
      <c r="K585" s="471" t="str">
        <f t="shared" ref="K585:K671" si="157">RIGHT($A585,LEN($A585)-SEARCH("#",SUBSTITUTE($A585,"-","#",H585),1))</f>
        <v>tot-exp</v>
      </c>
      <c r="L585" s="599"/>
      <c r="M585" s="471" t="s">
        <v>4958</v>
      </c>
      <c r="N585" s="471" t="s">
        <v>753</v>
      </c>
      <c r="O585" s="471" t="s">
        <v>751</v>
      </c>
    </row>
    <row r="586" spans="1:15" x14ac:dyDescent="0.25">
      <c r="A586" s="471" t="s">
        <v>5024</v>
      </c>
      <c r="B586" s="1139">
        <f t="shared" ca="1" si="155"/>
        <v>0</v>
      </c>
      <c r="C586" s="473">
        <f ca="1">IF(ISERROR(VLOOKUP($A$724,INDIRECT("notes_"&amp;LEFT($A$724,3)),4,0)),0,VLOOKUP($A$724,INDIRECT("notes_"&amp;LEFT($A$724,3)),4,0))</f>
        <v>0</v>
      </c>
      <c r="H586" s="471">
        <f t="shared" si="154"/>
        <v>2</v>
      </c>
      <c r="I586" s="471">
        <v>1</v>
      </c>
      <c r="J586" s="471" t="str">
        <f t="shared" si="156"/>
        <v>transrdstrfsft</v>
      </c>
      <c r="K586" s="471" t="str">
        <f t="shared" si="157"/>
        <v>tot-exp</v>
      </c>
      <c r="L586" s="599"/>
      <c r="M586" s="471" t="s">
        <v>4958</v>
      </c>
      <c r="N586" s="471" t="s">
        <v>753</v>
      </c>
      <c r="O586" s="471" t="s">
        <v>751</v>
      </c>
    </row>
    <row r="587" spans="1:15" x14ac:dyDescent="0.25">
      <c r="A587" s="471" t="s">
        <v>5025</v>
      </c>
      <c r="B587" s="1139">
        <f t="shared" ca="1" si="155"/>
        <v>0</v>
      </c>
      <c r="C587" s="473">
        <f ca="1">IF(ISERROR(VLOOKUP($A$725,INDIRECT("notes_"&amp;LEFT($A$725,3)),4,0)),0,VLOOKUP($A$725,INDIRECT("notes_"&amp;LEFT($A$725,3)),4,0))</f>
        <v>0</v>
      </c>
      <c r="H587" s="471">
        <f t="shared" si="154"/>
        <v>2</v>
      </c>
      <c r="I587" s="471">
        <v>1</v>
      </c>
      <c r="J587" s="471" t="str">
        <f t="shared" si="156"/>
        <v>transrdstrfoth</v>
      </c>
      <c r="K587" s="471" t="str">
        <f t="shared" si="157"/>
        <v>tot-exp</v>
      </c>
      <c r="L587" s="599"/>
      <c r="M587" s="471" t="s">
        <v>4958</v>
      </c>
      <c r="N587" s="471" t="s">
        <v>753</v>
      </c>
      <c r="O587" s="471" t="s">
        <v>751</v>
      </c>
    </row>
    <row r="588" spans="1:15" x14ac:dyDescent="0.25">
      <c r="A588" s="471" t="s">
        <v>5026</v>
      </c>
      <c r="B588" s="1139">
        <f t="shared" ca="1" si="155"/>
        <v>0</v>
      </c>
      <c r="C588" s="473">
        <f ca="1">IF(ISERROR(VLOOKUP($A$726,INDIRECT("notes_"&amp;LEFT($A$726,3)),4,0)),0,VLOOKUP($A$726,INDIRECT("notes_"&amp;LEFT($A$726,3)),4,0))</f>
        <v>0</v>
      </c>
      <c r="H588" s="471">
        <f t="shared" si="154"/>
        <v>5</v>
      </c>
      <c r="I588" s="471">
        <v>1</v>
      </c>
      <c r="J588" s="471" t="str">
        <f t="shared" si="156"/>
        <v>transprk-on-str-prk</v>
      </c>
      <c r="K588" s="471" t="str">
        <f t="shared" si="157"/>
        <v>tot-exp</v>
      </c>
      <c r="L588" s="599"/>
      <c r="M588" s="471" t="s">
        <v>4958</v>
      </c>
      <c r="N588" s="471" t="s">
        <v>753</v>
      </c>
      <c r="O588" s="471" t="s">
        <v>751</v>
      </c>
    </row>
    <row r="589" spans="1:15" x14ac:dyDescent="0.25">
      <c r="A589" s="471" t="s">
        <v>5027</v>
      </c>
      <c r="B589" s="1139">
        <f t="shared" ca="1" si="155"/>
        <v>0</v>
      </c>
      <c r="C589" s="473">
        <f ca="1">IF(ISERROR(VLOOKUP($A$727,INDIRECT("notes_"&amp;LEFT($A$727,3)),4,0)),0,VLOOKUP($A$727,INDIRECT("notes_"&amp;LEFT($A$727,3)),4,0))</f>
        <v>0</v>
      </c>
      <c r="H589" s="471">
        <f t="shared" si="154"/>
        <v>5</v>
      </c>
      <c r="I589" s="471">
        <v>1</v>
      </c>
      <c r="J589" s="471" t="str">
        <f t="shared" si="156"/>
        <v>transprk-off-str-prk</v>
      </c>
      <c r="K589" s="471" t="str">
        <f t="shared" si="157"/>
        <v>tot-exp</v>
      </c>
      <c r="L589" s="599"/>
      <c r="M589" s="471" t="s">
        <v>4958</v>
      </c>
      <c r="N589" s="471" t="s">
        <v>753</v>
      </c>
      <c r="O589" s="471" t="s">
        <v>751</v>
      </c>
    </row>
    <row r="590" spans="1:15" x14ac:dyDescent="0.25">
      <c r="A590" s="471" t="s">
        <v>5028</v>
      </c>
      <c r="B590" s="1139">
        <f t="shared" ca="1" si="155"/>
        <v>0</v>
      </c>
      <c r="C590" s="473">
        <f ca="1">IF(ISERROR(VLOOKUP($A$728,INDIRECT("notes_"&amp;LEFT($A$728,3)),4,0)),0,VLOOKUP($A$728,INDIRECT("notes_"&amp;LEFT($A$728,3)),4,0))</f>
        <v>0</v>
      </c>
      <c r="H590" s="471">
        <f t="shared" si="154"/>
        <v>2</v>
      </c>
      <c r="I590" s="471">
        <v>1</v>
      </c>
      <c r="J590" s="471" t="str">
        <f t="shared" si="156"/>
        <v>transpblstt</v>
      </c>
      <c r="K590" s="471" t="str">
        <f t="shared" si="157"/>
        <v>tot-exp</v>
      </c>
      <c r="L590" s="599"/>
      <c r="M590" s="471" t="s">
        <v>4958</v>
      </c>
      <c r="N590" s="471" t="s">
        <v>753</v>
      </c>
      <c r="O590" s="471" t="s">
        <v>751</v>
      </c>
    </row>
    <row r="591" spans="1:15" x14ac:dyDescent="0.25">
      <c r="A591" s="471" t="s">
        <v>5029</v>
      </c>
      <c r="B591" s="1139">
        <f t="shared" ca="1" si="155"/>
        <v>0</v>
      </c>
      <c r="C591" s="473">
        <f ca="1">IF(ISERROR(VLOOKUP($A$729,INDIRECT("notes_"&amp;LEFT($A$729,3)),4,0)),0,VLOOKUP($A$729,INDIRECT("notes_"&amp;LEFT($A$729,3)),4,0))</f>
        <v>0</v>
      </c>
      <c r="H591" s="471">
        <f t="shared" si="154"/>
        <v>2</v>
      </c>
      <c r="I591" s="471">
        <v>1</v>
      </c>
      <c r="J591" s="471" t="str">
        <f t="shared" si="156"/>
        <v>transpbldsc</v>
      </c>
      <c r="K591" s="471" t="str">
        <f t="shared" si="157"/>
        <v>tot-exp</v>
      </c>
      <c r="L591" s="599"/>
      <c r="M591" s="471" t="s">
        <v>4958</v>
      </c>
      <c r="N591" s="471" t="s">
        <v>753</v>
      </c>
      <c r="O591" s="471" t="s">
        <v>751</v>
      </c>
    </row>
    <row r="592" spans="1:15" x14ac:dyDescent="0.25">
      <c r="A592" s="471" t="s">
        <v>5030</v>
      </c>
      <c r="B592" s="1139">
        <f t="shared" ca="1" si="155"/>
        <v>0</v>
      </c>
      <c r="C592" s="473">
        <f ca="1">IF(ISERROR(VLOOKUP($A$730,INDIRECT("notes_"&amp;LEFT($A$730,3)),4,0)),0,VLOOKUP($A$730,INDIRECT("notes_"&amp;LEFT($A$730,3)),4,0))</f>
        <v>0</v>
      </c>
      <c r="H592" s="471">
        <f t="shared" si="154"/>
        <v>3</v>
      </c>
      <c r="I592" s="471">
        <v>1</v>
      </c>
      <c r="J592" s="471" t="str">
        <f t="shared" si="156"/>
        <v>transpblopr-bus</v>
      </c>
      <c r="K592" s="471" t="str">
        <f t="shared" si="157"/>
        <v>tot-exp</v>
      </c>
      <c r="L592" s="599"/>
      <c r="M592" s="471" t="s">
        <v>4958</v>
      </c>
      <c r="N592" s="471" t="s">
        <v>753</v>
      </c>
      <c r="O592" s="471" t="s">
        <v>751</v>
      </c>
    </row>
    <row r="593" spans="1:15" x14ac:dyDescent="0.25">
      <c r="A593" s="471" t="s">
        <v>5031</v>
      </c>
      <c r="B593" s="1139">
        <f t="shared" ca="1" si="155"/>
        <v>0</v>
      </c>
      <c r="C593" s="473">
        <f ca="1">IF(ISERROR(VLOOKUP($A$731,INDIRECT("notes_"&amp;LEFT($A$731,3)),4,0)),0,VLOOKUP($A$731,INDIRECT("notes_"&amp;LEFT($A$731,3)),4,0))</f>
        <v>0</v>
      </c>
      <c r="H593" s="471">
        <f t="shared" si="154"/>
        <v>3</v>
      </c>
      <c r="I593" s="471">
        <v>1</v>
      </c>
      <c r="J593" s="471" t="str">
        <f t="shared" si="156"/>
        <v>transpblopr-rail</v>
      </c>
      <c r="K593" s="471" t="str">
        <f t="shared" si="157"/>
        <v>tot-exp</v>
      </c>
      <c r="L593" s="599"/>
      <c r="M593" s="471" t="s">
        <v>4958</v>
      </c>
      <c r="N593" s="471" t="s">
        <v>753</v>
      </c>
      <c r="O593" s="471" t="s">
        <v>751</v>
      </c>
    </row>
    <row r="594" spans="1:15" x14ac:dyDescent="0.25">
      <c r="A594" s="471" t="s">
        <v>5032</v>
      </c>
      <c r="B594" s="1139">
        <f t="shared" ca="1" si="155"/>
        <v>0</v>
      </c>
      <c r="C594" s="473">
        <f ca="1">IF(ISERROR(VLOOKUP($A$732,INDIRECT("notes_"&amp;LEFT($A$732,3)),4,0)),0,VLOOKUP($A$732,INDIRECT("notes_"&amp;LEFT($A$732,3)),4,0))</f>
        <v>0</v>
      </c>
      <c r="H594" s="471">
        <f t="shared" si="154"/>
        <v>3</v>
      </c>
      <c r="I594" s="471">
        <v>1</v>
      </c>
      <c r="J594" s="471" t="str">
        <f t="shared" si="156"/>
        <v>transpblopr-oth</v>
      </c>
      <c r="K594" s="471" t="str">
        <f t="shared" si="157"/>
        <v>tot-exp</v>
      </c>
      <c r="L594" s="599"/>
      <c r="M594" s="471" t="s">
        <v>4958</v>
      </c>
      <c r="N594" s="471" t="s">
        <v>753</v>
      </c>
      <c r="O594" s="471" t="s">
        <v>751</v>
      </c>
    </row>
    <row r="595" spans="1:15" x14ac:dyDescent="0.25">
      <c r="A595" s="471" t="s">
        <v>5033</v>
      </c>
      <c r="B595" s="1139">
        <f t="shared" ca="1" si="155"/>
        <v>0</v>
      </c>
      <c r="C595" s="473">
        <f ca="1">IF(ISERROR(VLOOKUP($A$733,INDIRECT("notes_"&amp;LEFT($A$733,3)),4,0)),0,VLOOKUP($A$733,INDIRECT("notes_"&amp;LEFT($A$733,3)),4,0))</f>
        <v>0</v>
      </c>
      <c r="H595" s="471">
        <f t="shared" si="154"/>
        <v>2</v>
      </c>
      <c r="I595" s="471">
        <v>1</v>
      </c>
      <c r="J595" s="471" t="str">
        <f t="shared" si="156"/>
        <v>transpblcrd</v>
      </c>
      <c r="K595" s="471" t="str">
        <f t="shared" si="157"/>
        <v>tot-exp</v>
      </c>
      <c r="L595" s="599"/>
      <c r="M595" s="471" t="s">
        <v>4958</v>
      </c>
      <c r="N595" s="471" t="s">
        <v>753</v>
      </c>
      <c r="O595" s="471" t="s">
        <v>751</v>
      </c>
    </row>
    <row r="596" spans="1:15" x14ac:dyDescent="0.25">
      <c r="A596" s="471" t="s">
        <v>5034</v>
      </c>
      <c r="B596" s="1139">
        <f t="shared" ca="1" si="155"/>
        <v>0</v>
      </c>
      <c r="C596" s="473">
        <f ca="1">IF(ISERROR(VLOOKUP($A$734,INDIRECT("notes_"&amp;LEFT($A$734,3)),4,0)),0,VLOOKUP($A$734,INDIRECT("notes_"&amp;LEFT($A$734,3)),4,0))</f>
        <v>0</v>
      </c>
      <c r="H596" s="471">
        <f t="shared" si="154"/>
        <v>2</v>
      </c>
      <c r="I596" s="471">
        <v>1</v>
      </c>
      <c r="J596" s="471" t="str">
        <f t="shared" si="156"/>
        <v>transaht</v>
      </c>
      <c r="K596" s="471" t="str">
        <f t="shared" si="157"/>
        <v>tot-exp</v>
      </c>
      <c r="L596" s="599"/>
      <c r="M596" s="471" t="s">
        <v>4958</v>
      </c>
      <c r="N596" s="471" t="s">
        <v>753</v>
      </c>
      <c r="O596" s="471" t="s">
        <v>751</v>
      </c>
    </row>
    <row r="597" spans="1:15" x14ac:dyDescent="0.25">
      <c r="A597" s="471" t="s">
        <v>5035</v>
      </c>
      <c r="B597" s="1139">
        <f t="shared" ca="1" si="155"/>
        <v>0</v>
      </c>
      <c r="C597" s="473">
        <f ca="1">IF(ISERROR(VLOOKUP($A$735,INDIRECT("notes_"&amp;LEFT($A$735,3)),4,0)),0,VLOOKUP($A$735,INDIRECT("notes_"&amp;LEFT($A$735,3)),4,0))</f>
        <v>0</v>
      </c>
      <c r="H597" s="471">
        <f t="shared" si="154"/>
        <v>2</v>
      </c>
      <c r="I597" s="471">
        <v>1</v>
      </c>
      <c r="J597" s="471" t="str">
        <f t="shared" si="156"/>
        <v>transtot</v>
      </c>
      <c r="K597" s="471" t="str">
        <f t="shared" si="157"/>
        <v>tot-exp</v>
      </c>
      <c r="L597" s="599"/>
      <c r="M597" s="471" t="s">
        <v>4958</v>
      </c>
      <c r="N597" s="471" t="s">
        <v>753</v>
      </c>
      <c r="O597" s="471" t="s">
        <v>751</v>
      </c>
    </row>
    <row r="598" spans="1:15" x14ac:dyDescent="0.25">
      <c r="A598" s="471" t="s">
        <v>5036</v>
      </c>
      <c r="B598" s="1139">
        <f t="shared" ca="1" si="155"/>
        <v>0</v>
      </c>
      <c r="C598" s="473">
        <f ca="1">IF(ISERROR(VLOOKUP($A$736,INDIRECT("notes_"&amp;LEFT($A$736,3)),4,0)),0,VLOOKUP($A$736,INDIRECT("notes_"&amp;LEFT($A$736,3)),4,0))</f>
        <v>0</v>
      </c>
      <c r="H598" s="471">
        <f t="shared" si="154"/>
        <v>4</v>
      </c>
      <c r="I598" s="471">
        <v>1</v>
      </c>
      <c r="J598" s="471" t="str">
        <f t="shared" si="156"/>
        <v>transthrprtlbtclm-str-mnt</v>
      </c>
      <c r="K598" s="471" t="str">
        <f t="shared" si="157"/>
        <v>tot-exp</v>
      </c>
      <c r="L598" s="599"/>
      <c r="M598" s="471" t="s">
        <v>4958</v>
      </c>
      <c r="N598" s="471" t="s">
        <v>753</v>
      </c>
      <c r="O598" s="471" t="s">
        <v>751</v>
      </c>
    </row>
    <row r="599" spans="1:15" x14ac:dyDescent="0.25">
      <c r="A599" s="471" t="s">
        <v>5037</v>
      </c>
      <c r="B599" s="1139">
        <f t="shared" ca="1" si="155"/>
        <v>0</v>
      </c>
      <c r="C599" s="473">
        <f ca="1">IF(ISERROR(VLOOKUP($A$737,INDIRECT("notes_"&amp;LEFT($A$737,3)),4,0)),0,VLOOKUP($A$737,INDIRECT("notes_"&amp;LEFT($A$737,3)),4,0))</f>
        <v>0</v>
      </c>
      <c r="H599" s="471">
        <f t="shared" si="154"/>
        <v>4</v>
      </c>
      <c r="I599" s="471">
        <v>1</v>
      </c>
      <c r="J599" s="471" t="str">
        <f t="shared" si="156"/>
        <v>transpubsupopr-pym-bus</v>
      </c>
      <c r="K599" s="471" t="str">
        <f t="shared" si="157"/>
        <v>tot-exp</v>
      </c>
      <c r="L599" s="599"/>
      <c r="M599" s="471" t="s">
        <v>4958</v>
      </c>
      <c r="N599" s="471" t="s">
        <v>753</v>
      </c>
      <c r="O599" s="471" t="s">
        <v>751</v>
      </c>
    </row>
    <row r="600" spans="1:15" x14ac:dyDescent="0.25">
      <c r="A600" s="471" t="s">
        <v>5038</v>
      </c>
      <c r="B600" s="1139">
        <f t="shared" ca="1" si="155"/>
        <v>0</v>
      </c>
      <c r="C600" s="473">
        <f ca="1">IF(ISERROR(VLOOKUP($A$738,INDIRECT("notes_"&amp;LEFT($A$738,3)),4,0)),0,VLOOKUP($A$738,INDIRECT("notes_"&amp;LEFT($A$738,3)),4,0))</f>
        <v>0</v>
      </c>
      <c r="H600" s="471">
        <f t="shared" si="154"/>
        <v>4</v>
      </c>
      <c r="I600" s="471">
        <v>1</v>
      </c>
      <c r="J600" s="471" t="str">
        <f t="shared" si="156"/>
        <v>transpubsupopr-pym-rail</v>
      </c>
      <c r="K600" s="471" t="str">
        <f t="shared" si="157"/>
        <v>tot-exp</v>
      </c>
      <c r="L600" s="599"/>
      <c r="M600" s="471" t="s">
        <v>4958</v>
      </c>
      <c r="N600" s="471" t="s">
        <v>753</v>
      </c>
      <c r="O600" s="471" t="s">
        <v>751</v>
      </c>
    </row>
    <row r="601" spans="1:15" x14ac:dyDescent="0.25">
      <c r="A601" s="471" t="s">
        <v>5039</v>
      </c>
      <c r="B601" s="1139">
        <f t="shared" ca="1" si="155"/>
        <v>0</v>
      </c>
      <c r="C601" s="473">
        <f ca="1">IF(ISERROR(VLOOKUP($A$739,INDIRECT("notes_"&amp;LEFT($A$739,3)),4,0)),0,VLOOKUP($A$739,INDIRECT("notes_"&amp;LEFT($A$739,3)),4,0))</f>
        <v>0</v>
      </c>
      <c r="H601" s="471">
        <f t="shared" si="154"/>
        <v>4</v>
      </c>
      <c r="I601" s="471">
        <v>1</v>
      </c>
      <c r="J601" s="471" t="str">
        <f t="shared" si="156"/>
        <v>transpubsupopr-pym-oth</v>
      </c>
      <c r="K601" s="471" t="str">
        <f t="shared" si="157"/>
        <v>tot-exp</v>
      </c>
      <c r="L601" s="599"/>
      <c r="M601" s="471" t="s">
        <v>4958</v>
      </c>
      <c r="N601" s="471" t="s">
        <v>753</v>
      </c>
      <c r="O601" s="471" t="s">
        <v>751</v>
      </c>
    </row>
    <row r="602" spans="1:15" x14ac:dyDescent="0.25">
      <c r="A602" s="1205" t="s">
        <v>5040</v>
      </c>
      <c r="B602" s="1202">
        <f t="shared" ca="1" si="155"/>
        <v>0</v>
      </c>
      <c r="C602" s="1203">
        <f ca="1">IF(ISERROR(VLOOKUP($A$713,INDIRECT("notes_"&amp;LEFT($A$713,3)),4,0)),0,VLOOKUP($A$713,INDIRECT("notes_"&amp;LEFT($A$713,3)),4,0))</f>
        <v>0</v>
      </c>
      <c r="H602" s="1201">
        <f t="shared" si="154"/>
        <v>4</v>
      </c>
      <c r="I602" s="1201">
        <v>0</v>
      </c>
      <c r="J602" s="1201" t="str">
        <f t="shared" si="156"/>
        <v>transpln-hghwys-mnt</v>
      </c>
      <c r="K602" s="1201" t="str">
        <f t="shared" si="157"/>
        <v>mss</v>
      </c>
      <c r="L602" s="599"/>
      <c r="M602" s="1201" t="s">
        <v>4958</v>
      </c>
      <c r="N602" s="1201" t="s">
        <v>753</v>
      </c>
      <c r="O602" s="1201" t="s">
        <v>751</v>
      </c>
    </row>
    <row r="603" spans="1:15" x14ac:dyDescent="0.25">
      <c r="A603" s="1205" t="s">
        <v>5041</v>
      </c>
      <c r="B603" s="1202">
        <f t="shared" ca="1" si="155"/>
        <v>0</v>
      </c>
      <c r="C603" s="1203">
        <f ca="1">IF(ISERROR(VLOOKUP($A$714,INDIRECT("notes_"&amp;LEFT($A$714,3)),4,0)),0,VLOOKUP($A$714,INDIRECT("notes_"&amp;LEFT($A$714,3)),4,0))</f>
        <v>0</v>
      </c>
      <c r="H603" s="1201">
        <f t="shared" si="154"/>
        <v>4</v>
      </c>
      <c r="I603" s="1201">
        <v>0</v>
      </c>
      <c r="J603" s="1201" t="str">
        <f t="shared" si="156"/>
        <v>transpln-pub-oth</v>
      </c>
      <c r="K603" s="1201" t="str">
        <f t="shared" si="157"/>
        <v>mss</v>
      </c>
      <c r="L603" s="599"/>
      <c r="M603" s="1201" t="s">
        <v>4958</v>
      </c>
      <c r="N603" s="1201" t="s">
        <v>753</v>
      </c>
      <c r="O603" s="1201" t="s">
        <v>751</v>
      </c>
    </row>
    <row r="604" spans="1:15" x14ac:dyDescent="0.25">
      <c r="A604" s="1205" t="s">
        <v>5042</v>
      </c>
      <c r="B604" s="1202">
        <f t="shared" ca="1" si="155"/>
        <v>0</v>
      </c>
      <c r="C604" s="1203">
        <f ca="1">IF(ISERROR(VLOOKUP($A$715,INDIRECT("notes_"&amp;LEFT($A$715,3)),4,0)),0,VLOOKUP($A$715,INDIRECT("notes_"&amp;LEFT($A$715,3)),4,0))</f>
        <v>0</v>
      </c>
      <c r="H604" s="1201">
        <f t="shared" si="154"/>
        <v>4</v>
      </c>
      <c r="I604" s="1201">
        <v>0</v>
      </c>
      <c r="J604" s="1201" t="str">
        <f t="shared" si="156"/>
        <v>transrdsmnt-prn-rds</v>
      </c>
      <c r="K604" s="1201" t="str">
        <f t="shared" si="157"/>
        <v>mss</v>
      </c>
      <c r="L604" s="599"/>
      <c r="M604" s="1201" t="s">
        <v>4958</v>
      </c>
      <c r="N604" s="1201" t="s">
        <v>753</v>
      </c>
      <c r="O604" s="1201" t="s">
        <v>751</v>
      </c>
    </row>
    <row r="605" spans="1:15" x14ac:dyDescent="0.25">
      <c r="A605" s="1205" t="s">
        <v>5043</v>
      </c>
      <c r="B605" s="1202">
        <f t="shared" ca="1" si="155"/>
        <v>0</v>
      </c>
      <c r="C605" s="1203">
        <f ca="1">IF(ISERROR(VLOOKUP($A$716,INDIRECT("notes_"&amp;LEFT($A$716,3)),4,0)),0,VLOOKUP($A$716,INDIRECT("notes_"&amp;LEFT($A$716,3)),4,0))</f>
        <v>0</v>
      </c>
      <c r="H605" s="1201">
        <f t="shared" si="154"/>
        <v>4</v>
      </c>
      <c r="I605" s="1201">
        <v>0</v>
      </c>
      <c r="J605" s="1201" t="str">
        <f t="shared" si="156"/>
        <v>transrdsmnt-oth-rds</v>
      </c>
      <c r="K605" s="1201" t="str">
        <f t="shared" si="157"/>
        <v>mss</v>
      </c>
      <c r="L605" s="599"/>
      <c r="M605" s="1201" t="s">
        <v>4958</v>
      </c>
      <c r="N605" s="1201" t="s">
        <v>753</v>
      </c>
      <c r="O605" s="1201" t="s">
        <v>751</v>
      </c>
    </row>
    <row r="606" spans="1:15" x14ac:dyDescent="0.25">
      <c r="A606" s="1205" t="s">
        <v>5044</v>
      </c>
      <c r="B606" s="1202">
        <f t="shared" ca="1" si="155"/>
        <v>0</v>
      </c>
      <c r="C606" s="1203">
        <f ca="1">IF(ISERROR(VLOOKUP($A$717,INDIRECT("notes_"&amp;LEFT($A$717,3)),4,0)),0,VLOOKUP($A$717,INDIRECT("notes_"&amp;LEFT($A$717,3)),4,0))</f>
        <v>0</v>
      </c>
      <c r="H606" s="1201">
        <f t="shared" si="154"/>
        <v>3</v>
      </c>
      <c r="I606" s="1201">
        <v>0</v>
      </c>
      <c r="J606" s="1201" t="str">
        <f t="shared" si="156"/>
        <v>transrdsmnt-brd</v>
      </c>
      <c r="K606" s="1201" t="str">
        <f t="shared" si="157"/>
        <v>mss</v>
      </c>
      <c r="L606" s="599"/>
      <c r="M606" s="1201" t="s">
        <v>4958</v>
      </c>
      <c r="N606" s="1201" t="s">
        <v>753</v>
      </c>
      <c r="O606" s="1201" t="s">
        <v>751</v>
      </c>
    </row>
    <row r="607" spans="1:15" x14ac:dyDescent="0.25">
      <c r="A607" s="1205" t="s">
        <v>5045</v>
      </c>
      <c r="B607" s="1202">
        <f t="shared" ca="1" si="155"/>
        <v>0</v>
      </c>
      <c r="C607" s="1203">
        <f ca="1">IF(ISERROR(VLOOKUP($A$718,INDIRECT("notes_"&amp;LEFT($A$718,3)),4,0)),0,VLOOKUP($A$718,INDIRECT("notes_"&amp;LEFT($A$718,3)),4,0))</f>
        <v>0</v>
      </c>
      <c r="H607" s="1201">
        <f t="shared" si="154"/>
        <v>4</v>
      </c>
      <c r="I607" s="1201">
        <v>0</v>
      </c>
      <c r="J607" s="1201" t="str">
        <f t="shared" si="156"/>
        <v>transrdsenv-prn-rds</v>
      </c>
      <c r="K607" s="1201" t="str">
        <f t="shared" si="157"/>
        <v>mss</v>
      </c>
      <c r="L607" s="599"/>
      <c r="M607" s="1201" t="s">
        <v>4958</v>
      </c>
      <c r="N607" s="1201" t="s">
        <v>753</v>
      </c>
      <c r="O607" s="1201" t="s">
        <v>751</v>
      </c>
    </row>
    <row r="608" spans="1:15" x14ac:dyDescent="0.25">
      <c r="A608" s="1205" t="s">
        <v>5046</v>
      </c>
      <c r="B608" s="1202">
        <f t="shared" ca="1" si="155"/>
        <v>0</v>
      </c>
      <c r="C608" s="1203">
        <f ca="1">IF(ISERROR(VLOOKUP($A$719,INDIRECT("notes_"&amp;LEFT($A$719,3)),4,0)),0,VLOOKUP($A$719,INDIRECT("notes_"&amp;LEFT($A$719,3)),4,0))</f>
        <v>0</v>
      </c>
      <c r="H608" s="1201">
        <f t="shared" ref="H608:H624" si="158">LEN(A608)-LEN(SUBSTITUTE(A608,"-",""))-I608</f>
        <v>4</v>
      </c>
      <c r="I608" s="1201">
        <v>0</v>
      </c>
      <c r="J608" s="1201" t="str">
        <f t="shared" si="156"/>
        <v>transrdsenv-oth-rds</v>
      </c>
      <c r="K608" s="1201" t="str">
        <f t="shared" si="157"/>
        <v>mss</v>
      </c>
      <c r="L608" s="599"/>
      <c r="M608" s="1201" t="s">
        <v>4958</v>
      </c>
      <c r="N608" s="1201" t="s">
        <v>753</v>
      </c>
      <c r="O608" s="1201" t="s">
        <v>751</v>
      </c>
    </row>
    <row r="609" spans="1:15" x14ac:dyDescent="0.25">
      <c r="A609" s="1205" t="s">
        <v>5047</v>
      </c>
      <c r="B609" s="1202">
        <f t="shared" ref="B609:B624" ca="1" si="159">INDEX(INDIRECT(LEFT($A609,SEARCH("-",$A609,1)-1)&amp;"_data"),MATCH(MID($A609,SEARCH("-",$A609)+1,SEARCH("#",SUBSTITUTE($A609,"-","#",H609),1)-(SEARCH("-",$A609)+1)),INDIRECT(LEFT($A609,SEARCH("-",$A609,1)-1)&amp;"_rows"),0),MATCH(RIGHT($A609,LEN($A609)-LEN(LEFT($A609,SEARCH("#",SUBSTITUTE($A609,"-","#",H609),1)))),INDIRECT(LEFT($A609,SEARCH("-",$A609,1)-1)&amp;"_Header"),0))</f>
        <v>0</v>
      </c>
      <c r="C609" s="1203">
        <f ca="1">IF(ISERROR(VLOOKUP($A$720,INDIRECT("notes_"&amp;LEFT($A$720,3)),4,0)),0,VLOOKUP($A$720,INDIRECT("notes_"&amp;LEFT($A$720,3)),4,0))</f>
        <v>0</v>
      </c>
      <c r="H609" s="1201">
        <f t="shared" si="158"/>
        <v>2</v>
      </c>
      <c r="I609" s="1201">
        <v>0</v>
      </c>
      <c r="J609" s="1201" t="str">
        <f t="shared" si="156"/>
        <v>transrdswnt</v>
      </c>
      <c r="K609" s="1201" t="str">
        <f t="shared" si="157"/>
        <v>mss</v>
      </c>
      <c r="L609" s="599"/>
      <c r="M609" s="1201" t="s">
        <v>4958</v>
      </c>
      <c r="N609" s="1201" t="s">
        <v>753</v>
      </c>
      <c r="O609" s="1201" t="s">
        <v>751</v>
      </c>
    </row>
    <row r="610" spans="1:15" x14ac:dyDescent="0.25">
      <c r="A610" s="1205" t="s">
        <v>5048</v>
      </c>
      <c r="B610" s="1202">
        <f t="shared" ca="1" si="159"/>
        <v>0</v>
      </c>
      <c r="C610" s="1203">
        <f ca="1">IF(ISERROR(VLOOKUP($A$721,INDIRECT("notes_"&amp;LEFT($A$721,3)),4,0)),0,VLOOKUP($A$721,INDIRECT("notes_"&amp;LEFT($A$721,3)),4,0))</f>
        <v>0</v>
      </c>
      <c r="H610" s="1201">
        <f t="shared" si="158"/>
        <v>2</v>
      </c>
      <c r="I610" s="1201">
        <v>0</v>
      </c>
      <c r="J610" s="1201" t="str">
        <f t="shared" si="156"/>
        <v>transrdslgh</v>
      </c>
      <c r="K610" s="1201" t="str">
        <f t="shared" si="157"/>
        <v>mss</v>
      </c>
      <c r="L610" s="599"/>
      <c r="M610" s="1201" t="s">
        <v>4958</v>
      </c>
      <c r="N610" s="1201" t="s">
        <v>753</v>
      </c>
      <c r="O610" s="1201" t="s">
        <v>751</v>
      </c>
    </row>
    <row r="611" spans="1:15" x14ac:dyDescent="0.25">
      <c r="A611" s="1205" t="s">
        <v>5049</v>
      </c>
      <c r="B611" s="1202">
        <f t="shared" ca="1" si="159"/>
        <v>0</v>
      </c>
      <c r="C611" s="1203">
        <f ca="1">IF(ISERROR(VLOOKUP($A$722,INDIRECT("notes_"&amp;LEFT($A$722,3)),4,0)),0,VLOOKUP($A$722,INDIRECT("notes_"&amp;LEFT($A$722,3)),4,0))</f>
        <v>0</v>
      </c>
      <c r="H611" s="1201">
        <f t="shared" si="158"/>
        <v>2</v>
      </c>
      <c r="I611" s="1201">
        <v>0</v>
      </c>
      <c r="J611" s="1201" t="str">
        <f t="shared" si="156"/>
        <v>transrdstrfcng</v>
      </c>
      <c r="K611" s="1201" t="str">
        <f t="shared" si="157"/>
        <v>mss</v>
      </c>
      <c r="L611" s="599"/>
      <c r="M611" s="1201" t="s">
        <v>4958</v>
      </c>
      <c r="N611" s="1201" t="s">
        <v>753</v>
      </c>
      <c r="O611" s="1201" t="s">
        <v>751</v>
      </c>
    </row>
    <row r="612" spans="1:15" x14ac:dyDescent="0.25">
      <c r="A612" s="1205" t="s">
        <v>5050</v>
      </c>
      <c r="B612" s="1202">
        <f t="shared" ca="1" si="159"/>
        <v>0</v>
      </c>
      <c r="C612" s="1203">
        <f ca="1">IF(ISERROR(VLOOKUP($A$723,INDIRECT("notes_"&amp;LEFT($A$723,3)),4,0)),0,VLOOKUP($A$723,INDIRECT("notes_"&amp;LEFT($A$723,3)),4,0))</f>
        <v>0</v>
      </c>
      <c r="H612" s="1201">
        <f t="shared" si="158"/>
        <v>2</v>
      </c>
      <c r="I612" s="1201">
        <v>0</v>
      </c>
      <c r="J612" s="1201" t="str">
        <f t="shared" si="156"/>
        <v>transrdstrfbs</v>
      </c>
      <c r="K612" s="1201" t="str">
        <f t="shared" si="157"/>
        <v>mss</v>
      </c>
      <c r="L612" s="599"/>
      <c r="M612" s="1201" t="s">
        <v>4958</v>
      </c>
      <c r="N612" s="1201" t="s">
        <v>753</v>
      </c>
      <c r="O612" s="1201" t="s">
        <v>751</v>
      </c>
    </row>
    <row r="613" spans="1:15" x14ac:dyDescent="0.25">
      <c r="A613" s="1205" t="s">
        <v>5051</v>
      </c>
      <c r="B613" s="1202">
        <f t="shared" ca="1" si="159"/>
        <v>0</v>
      </c>
      <c r="C613" s="1203">
        <f ca="1">IF(ISERROR(VLOOKUP($A$724,INDIRECT("notes_"&amp;LEFT($A$724,3)),4,0)),0,VLOOKUP($A$724,INDIRECT("notes_"&amp;LEFT($A$724,3)),4,0))</f>
        <v>0</v>
      </c>
      <c r="H613" s="1201">
        <f t="shared" si="158"/>
        <v>2</v>
      </c>
      <c r="I613" s="1201">
        <v>0</v>
      </c>
      <c r="J613" s="1201" t="str">
        <f t="shared" si="156"/>
        <v>transrdstrfsft</v>
      </c>
      <c r="K613" s="1201" t="str">
        <f t="shared" si="157"/>
        <v>mss</v>
      </c>
      <c r="L613" s="599"/>
      <c r="M613" s="1201" t="s">
        <v>4958</v>
      </c>
      <c r="N613" s="1201" t="s">
        <v>753</v>
      </c>
      <c r="O613" s="1201" t="s">
        <v>751</v>
      </c>
    </row>
    <row r="614" spans="1:15" x14ac:dyDescent="0.25">
      <c r="A614" s="1205" t="s">
        <v>5052</v>
      </c>
      <c r="B614" s="1202">
        <f t="shared" ca="1" si="159"/>
        <v>0</v>
      </c>
      <c r="C614" s="1203">
        <f ca="1">IF(ISERROR(VLOOKUP($A$725,INDIRECT("notes_"&amp;LEFT($A$725,3)),4,0)),0,VLOOKUP($A$725,INDIRECT("notes_"&amp;LEFT($A$725,3)),4,0))</f>
        <v>0</v>
      </c>
      <c r="H614" s="1201">
        <f t="shared" si="158"/>
        <v>2</v>
      </c>
      <c r="I614" s="1201">
        <v>0</v>
      </c>
      <c r="J614" s="1201" t="str">
        <f t="shared" si="156"/>
        <v>transrdstrfoth</v>
      </c>
      <c r="K614" s="1201" t="str">
        <f t="shared" si="157"/>
        <v>mss</v>
      </c>
      <c r="L614" s="599"/>
      <c r="M614" s="1201" t="s">
        <v>4958</v>
      </c>
      <c r="N614" s="1201" t="s">
        <v>753</v>
      </c>
      <c r="O614" s="1201" t="s">
        <v>751</v>
      </c>
    </row>
    <row r="615" spans="1:15" x14ac:dyDescent="0.25">
      <c r="A615" s="1205" t="s">
        <v>5053</v>
      </c>
      <c r="B615" s="1202">
        <f t="shared" ca="1" si="159"/>
        <v>0</v>
      </c>
      <c r="C615" s="1203">
        <f ca="1">IF(ISERROR(VLOOKUP($A$726,INDIRECT("notes_"&amp;LEFT($A$726,3)),4,0)),0,VLOOKUP($A$726,INDIRECT("notes_"&amp;LEFT($A$726,3)),4,0))</f>
        <v>0</v>
      </c>
      <c r="H615" s="1201">
        <f t="shared" si="158"/>
        <v>5</v>
      </c>
      <c r="I615" s="1201">
        <v>0</v>
      </c>
      <c r="J615" s="1201" t="str">
        <f t="shared" si="156"/>
        <v>transprk-on-str-prk</v>
      </c>
      <c r="K615" s="1201" t="str">
        <f t="shared" si="157"/>
        <v>mss</v>
      </c>
      <c r="L615" s="599"/>
      <c r="M615" s="1201" t="s">
        <v>4958</v>
      </c>
      <c r="N615" s="1201" t="s">
        <v>753</v>
      </c>
      <c r="O615" s="1201" t="s">
        <v>751</v>
      </c>
    </row>
    <row r="616" spans="1:15" x14ac:dyDescent="0.25">
      <c r="A616" s="1205" t="s">
        <v>5054</v>
      </c>
      <c r="B616" s="1202">
        <f t="shared" ca="1" si="159"/>
        <v>0</v>
      </c>
      <c r="C616" s="1203">
        <f ca="1">IF(ISERROR(VLOOKUP($A$727,INDIRECT("notes_"&amp;LEFT($A$727,3)),4,0)),0,VLOOKUP($A$727,INDIRECT("notes_"&amp;LEFT($A$727,3)),4,0))</f>
        <v>0</v>
      </c>
      <c r="H616" s="1201">
        <f t="shared" si="158"/>
        <v>5</v>
      </c>
      <c r="I616" s="1201">
        <v>0</v>
      </c>
      <c r="J616" s="1201" t="str">
        <f t="shared" si="156"/>
        <v>transprk-off-str-prk</v>
      </c>
      <c r="K616" s="1201" t="str">
        <f t="shared" si="157"/>
        <v>mss</v>
      </c>
      <c r="L616" s="599"/>
      <c r="M616" s="1201" t="s">
        <v>4958</v>
      </c>
      <c r="N616" s="1201" t="s">
        <v>753</v>
      </c>
      <c r="O616" s="1201" t="s">
        <v>751</v>
      </c>
    </row>
    <row r="617" spans="1:15" x14ac:dyDescent="0.25">
      <c r="A617" s="1205" t="s">
        <v>5055</v>
      </c>
      <c r="B617" s="1202">
        <f t="shared" ca="1" si="159"/>
        <v>0</v>
      </c>
      <c r="C617" s="1203">
        <f ca="1">IF(ISERROR(VLOOKUP($A$728,INDIRECT("notes_"&amp;LEFT($A$728,3)),4,0)),0,VLOOKUP($A$728,INDIRECT("notes_"&amp;LEFT($A$728,3)),4,0))</f>
        <v>0</v>
      </c>
      <c r="H617" s="1201">
        <f t="shared" si="158"/>
        <v>2</v>
      </c>
      <c r="I617" s="1201">
        <v>0</v>
      </c>
      <c r="J617" s="1201" t="str">
        <f t="shared" si="156"/>
        <v>transpblstt</v>
      </c>
      <c r="K617" s="1201" t="str">
        <f t="shared" si="157"/>
        <v>mss</v>
      </c>
      <c r="L617" s="599"/>
      <c r="M617" s="1201" t="s">
        <v>4958</v>
      </c>
      <c r="N617" s="1201" t="s">
        <v>753</v>
      </c>
      <c r="O617" s="1201" t="s">
        <v>751</v>
      </c>
    </row>
    <row r="618" spans="1:15" x14ac:dyDescent="0.25">
      <c r="A618" s="1205" t="s">
        <v>5056</v>
      </c>
      <c r="B618" s="1202">
        <f t="shared" ca="1" si="159"/>
        <v>0</v>
      </c>
      <c r="C618" s="1203">
        <f ca="1">IF(ISERROR(VLOOKUP($A$729,INDIRECT("notes_"&amp;LEFT($A$729,3)),4,0)),0,VLOOKUP($A$729,INDIRECT("notes_"&amp;LEFT($A$729,3)),4,0))</f>
        <v>0</v>
      </c>
      <c r="H618" s="1201">
        <f t="shared" si="158"/>
        <v>2</v>
      </c>
      <c r="I618" s="1201">
        <v>0</v>
      </c>
      <c r="J618" s="1201" t="str">
        <f t="shared" si="156"/>
        <v>transpbldsc</v>
      </c>
      <c r="K618" s="1201" t="str">
        <f t="shared" si="157"/>
        <v>mss</v>
      </c>
      <c r="L618" s="599"/>
      <c r="M618" s="1201" t="s">
        <v>4958</v>
      </c>
      <c r="N618" s="1201" t="s">
        <v>753</v>
      </c>
      <c r="O618" s="1201" t="s">
        <v>751</v>
      </c>
    </row>
    <row r="619" spans="1:15" x14ac:dyDescent="0.25">
      <c r="A619" s="1205" t="s">
        <v>5057</v>
      </c>
      <c r="B619" s="1202">
        <f t="shared" ca="1" si="159"/>
        <v>0</v>
      </c>
      <c r="C619" s="1203">
        <f ca="1">IF(ISERROR(VLOOKUP($A$730,INDIRECT("notes_"&amp;LEFT($A$730,3)),4,0)),0,VLOOKUP($A$730,INDIRECT("notes_"&amp;LEFT($A$730,3)),4,0))</f>
        <v>0</v>
      </c>
      <c r="H619" s="1201">
        <f t="shared" si="158"/>
        <v>3</v>
      </c>
      <c r="I619" s="1201">
        <v>0</v>
      </c>
      <c r="J619" s="1201" t="str">
        <f t="shared" si="156"/>
        <v>transpblopr-bus</v>
      </c>
      <c r="K619" s="1201" t="str">
        <f t="shared" si="157"/>
        <v>mss</v>
      </c>
      <c r="L619" s="599"/>
      <c r="M619" s="1201" t="s">
        <v>4958</v>
      </c>
      <c r="N619" s="1201" t="s">
        <v>753</v>
      </c>
      <c r="O619" s="1201" t="s">
        <v>751</v>
      </c>
    </row>
    <row r="620" spans="1:15" x14ac:dyDescent="0.25">
      <c r="A620" s="1205" t="s">
        <v>5058</v>
      </c>
      <c r="B620" s="1202">
        <f t="shared" ca="1" si="159"/>
        <v>0</v>
      </c>
      <c r="C620" s="1203">
        <f ca="1">IF(ISERROR(VLOOKUP($A$731,INDIRECT("notes_"&amp;LEFT($A$731,3)),4,0)),0,VLOOKUP($A$731,INDIRECT("notes_"&amp;LEFT($A$731,3)),4,0))</f>
        <v>0</v>
      </c>
      <c r="H620" s="1201">
        <f t="shared" si="158"/>
        <v>3</v>
      </c>
      <c r="I620" s="1201">
        <v>0</v>
      </c>
      <c r="J620" s="1201" t="str">
        <f t="shared" si="156"/>
        <v>transpblopr-rail</v>
      </c>
      <c r="K620" s="1201" t="str">
        <f t="shared" si="157"/>
        <v>mss</v>
      </c>
      <c r="L620" s="599"/>
      <c r="M620" s="1201" t="s">
        <v>4958</v>
      </c>
      <c r="N620" s="1201" t="s">
        <v>753</v>
      </c>
      <c r="O620" s="1201" t="s">
        <v>751</v>
      </c>
    </row>
    <row r="621" spans="1:15" x14ac:dyDescent="0.25">
      <c r="A621" s="1205" t="s">
        <v>5059</v>
      </c>
      <c r="B621" s="1202">
        <f t="shared" ca="1" si="159"/>
        <v>0</v>
      </c>
      <c r="C621" s="1203">
        <f ca="1">IF(ISERROR(VLOOKUP($A$732,INDIRECT("notes_"&amp;LEFT($A$732,3)),4,0)),0,VLOOKUP($A$732,INDIRECT("notes_"&amp;LEFT($A$732,3)),4,0))</f>
        <v>0</v>
      </c>
      <c r="H621" s="1201">
        <f t="shared" si="158"/>
        <v>3</v>
      </c>
      <c r="I621" s="1201">
        <v>0</v>
      </c>
      <c r="J621" s="1201" t="str">
        <f t="shared" si="156"/>
        <v>transpblopr-oth</v>
      </c>
      <c r="K621" s="1201" t="str">
        <f t="shared" si="157"/>
        <v>mss</v>
      </c>
      <c r="L621" s="599"/>
      <c r="M621" s="1201" t="s">
        <v>4958</v>
      </c>
      <c r="N621" s="1201" t="s">
        <v>753</v>
      </c>
      <c r="O621" s="1201" t="s">
        <v>751</v>
      </c>
    </row>
    <row r="622" spans="1:15" x14ac:dyDescent="0.25">
      <c r="A622" s="1205" t="s">
        <v>5060</v>
      </c>
      <c r="B622" s="1202">
        <f t="shared" ca="1" si="159"/>
        <v>0</v>
      </c>
      <c r="C622" s="1203">
        <f ca="1">IF(ISERROR(VLOOKUP($A$733,INDIRECT("notes_"&amp;LEFT($A$733,3)),4,0)),0,VLOOKUP($A$733,INDIRECT("notes_"&amp;LEFT($A$733,3)),4,0))</f>
        <v>0</v>
      </c>
      <c r="H622" s="1201">
        <f t="shared" si="158"/>
        <v>2</v>
      </c>
      <c r="I622" s="1201">
        <v>0</v>
      </c>
      <c r="J622" s="1201" t="str">
        <f t="shared" si="156"/>
        <v>transpblcrd</v>
      </c>
      <c r="K622" s="1201" t="str">
        <f t="shared" si="157"/>
        <v>mss</v>
      </c>
      <c r="L622" s="599"/>
      <c r="M622" s="1201" t="s">
        <v>4958</v>
      </c>
      <c r="N622" s="1201" t="s">
        <v>753</v>
      </c>
      <c r="O622" s="1201" t="s">
        <v>751</v>
      </c>
    </row>
    <row r="623" spans="1:15" x14ac:dyDescent="0.25">
      <c r="A623" s="1205" t="s">
        <v>5061</v>
      </c>
      <c r="B623" s="1202">
        <f t="shared" ca="1" si="159"/>
        <v>0</v>
      </c>
      <c r="C623" s="1203">
        <f ca="1">IF(ISERROR(VLOOKUP($A$734,INDIRECT("notes_"&amp;LEFT($A$734,3)),4,0)),0,VLOOKUP($A$734,INDIRECT("notes_"&amp;LEFT($A$734,3)),4,0))</f>
        <v>0</v>
      </c>
      <c r="H623" s="1201">
        <f t="shared" si="158"/>
        <v>2</v>
      </c>
      <c r="I623" s="1201">
        <v>0</v>
      </c>
      <c r="J623" s="1201" t="str">
        <f t="shared" si="156"/>
        <v>transaht</v>
      </c>
      <c r="K623" s="1201" t="str">
        <f t="shared" si="157"/>
        <v>mss</v>
      </c>
      <c r="L623" s="599"/>
      <c r="M623" s="1201" t="s">
        <v>4958</v>
      </c>
      <c r="N623" s="1201" t="s">
        <v>753</v>
      </c>
      <c r="O623" s="1201" t="s">
        <v>751</v>
      </c>
    </row>
    <row r="624" spans="1:15" x14ac:dyDescent="0.25">
      <c r="A624" s="1205" t="s">
        <v>5062</v>
      </c>
      <c r="B624" s="1202">
        <f t="shared" ca="1" si="159"/>
        <v>0</v>
      </c>
      <c r="C624" s="1203">
        <f ca="1">IF(ISERROR(VLOOKUP($A$735,INDIRECT("notes_"&amp;LEFT($A$735,3)),4,0)),0,VLOOKUP($A$735,INDIRECT("notes_"&amp;LEFT($A$735,3)),4,0))</f>
        <v>0</v>
      </c>
      <c r="H624" s="1201">
        <f t="shared" si="158"/>
        <v>2</v>
      </c>
      <c r="I624" s="1201">
        <v>0</v>
      </c>
      <c r="J624" s="1201" t="str">
        <f t="shared" si="156"/>
        <v>transtot</v>
      </c>
      <c r="K624" s="1201" t="str">
        <f t="shared" si="157"/>
        <v>mss</v>
      </c>
      <c r="L624" s="599"/>
      <c r="M624" s="1201" t="s">
        <v>4958</v>
      </c>
      <c r="N624" s="1201" t="s">
        <v>753</v>
      </c>
      <c r="O624" s="1201" t="s">
        <v>751</v>
      </c>
    </row>
    <row r="625" spans="1:15" x14ac:dyDescent="0.25">
      <c r="A625" s="471" t="s">
        <v>5063</v>
      </c>
      <c r="B625" s="1139">
        <f t="shared" ca="1" si="155"/>
        <v>0</v>
      </c>
      <c r="C625" s="473">
        <f ca="1">IF(ISERROR(VLOOKUP($A$713,INDIRECT("notes_"&amp;LEFT($A$713,3)),4,0)),0,VLOOKUP($A$713,INDIRECT("notes_"&amp;LEFT($A$713,3)),4,0))</f>
        <v>0</v>
      </c>
      <c r="H625" s="471">
        <f t="shared" si="154"/>
        <v>4</v>
      </c>
      <c r="I625" s="471">
        <v>0</v>
      </c>
      <c r="J625" s="471" t="str">
        <f t="shared" si="156"/>
        <v>transpln-hghwys-mnt</v>
      </c>
      <c r="K625" s="471" t="str">
        <f t="shared" si="157"/>
        <v>sfc</v>
      </c>
      <c r="L625" s="599"/>
      <c r="M625" s="471" t="s">
        <v>4958</v>
      </c>
      <c r="N625" s="471" t="s">
        <v>753</v>
      </c>
      <c r="O625" s="471" t="s">
        <v>751</v>
      </c>
    </row>
    <row r="626" spans="1:15" x14ac:dyDescent="0.25">
      <c r="A626" s="471" t="s">
        <v>5064</v>
      </c>
      <c r="B626" s="1139">
        <f t="shared" ca="1" si="155"/>
        <v>0</v>
      </c>
      <c r="C626" s="473">
        <f ca="1">IF(ISERROR(VLOOKUP($A$714,INDIRECT("notes_"&amp;LEFT($A$714,3)),4,0)),0,VLOOKUP($A$714,INDIRECT("notes_"&amp;LEFT($A$714,3)),4,0))</f>
        <v>0</v>
      </c>
      <c r="H626" s="471">
        <f t="shared" si="154"/>
        <v>4</v>
      </c>
      <c r="I626" s="471">
        <v>0</v>
      </c>
      <c r="J626" s="471" t="str">
        <f t="shared" si="156"/>
        <v>transpln-pub-oth</v>
      </c>
      <c r="K626" s="471" t="str">
        <f t="shared" si="157"/>
        <v>sfc</v>
      </c>
      <c r="L626" s="599"/>
      <c r="M626" s="471" t="s">
        <v>4958</v>
      </c>
      <c r="N626" s="471" t="s">
        <v>753</v>
      </c>
      <c r="O626" s="471" t="s">
        <v>751</v>
      </c>
    </row>
    <row r="627" spans="1:15" x14ac:dyDescent="0.25">
      <c r="A627" s="471" t="s">
        <v>5065</v>
      </c>
      <c r="B627" s="1139">
        <f t="shared" ca="1" si="155"/>
        <v>0</v>
      </c>
      <c r="C627" s="473">
        <f ca="1">IF(ISERROR(VLOOKUP($A$715,INDIRECT("notes_"&amp;LEFT($A$715,3)),4,0)),0,VLOOKUP($A$715,INDIRECT("notes_"&amp;LEFT($A$715,3)),4,0))</f>
        <v>0</v>
      </c>
      <c r="H627" s="471">
        <f t="shared" si="154"/>
        <v>4</v>
      </c>
      <c r="I627" s="471">
        <v>0</v>
      </c>
      <c r="J627" s="471" t="str">
        <f t="shared" si="156"/>
        <v>transrdsmnt-prn-rds</v>
      </c>
      <c r="K627" s="471" t="str">
        <f t="shared" si="157"/>
        <v>sfc</v>
      </c>
      <c r="L627" s="599"/>
      <c r="M627" s="471" t="s">
        <v>4958</v>
      </c>
      <c r="N627" s="471" t="s">
        <v>753</v>
      </c>
      <c r="O627" s="471" t="s">
        <v>751</v>
      </c>
    </row>
    <row r="628" spans="1:15" x14ac:dyDescent="0.25">
      <c r="A628" s="471" t="s">
        <v>5066</v>
      </c>
      <c r="B628" s="1139">
        <f t="shared" ca="1" si="155"/>
        <v>0</v>
      </c>
      <c r="C628" s="473">
        <f ca="1">IF(ISERROR(VLOOKUP($A$716,INDIRECT("notes_"&amp;LEFT($A$716,3)),4,0)),0,VLOOKUP($A$716,INDIRECT("notes_"&amp;LEFT($A$716,3)),4,0))</f>
        <v>0</v>
      </c>
      <c r="H628" s="471">
        <f t="shared" si="154"/>
        <v>4</v>
      </c>
      <c r="I628" s="471">
        <v>0</v>
      </c>
      <c r="J628" s="471" t="str">
        <f t="shared" si="156"/>
        <v>transrdsmnt-oth-rds</v>
      </c>
      <c r="K628" s="471" t="str">
        <f t="shared" si="157"/>
        <v>sfc</v>
      </c>
      <c r="L628" s="599"/>
      <c r="M628" s="471" t="s">
        <v>4958</v>
      </c>
      <c r="N628" s="471" t="s">
        <v>753</v>
      </c>
      <c r="O628" s="471" t="s">
        <v>751</v>
      </c>
    </row>
    <row r="629" spans="1:15" x14ac:dyDescent="0.25">
      <c r="A629" s="471" t="s">
        <v>5067</v>
      </c>
      <c r="B629" s="1139">
        <f t="shared" ca="1" si="155"/>
        <v>0</v>
      </c>
      <c r="C629" s="473">
        <f ca="1">IF(ISERROR(VLOOKUP($A$717,INDIRECT("notes_"&amp;LEFT($A$717,3)),4,0)),0,VLOOKUP($A$717,INDIRECT("notes_"&amp;LEFT($A$717,3)),4,0))</f>
        <v>0</v>
      </c>
      <c r="H629" s="471">
        <f t="shared" si="154"/>
        <v>3</v>
      </c>
      <c r="I629" s="471">
        <v>0</v>
      </c>
      <c r="J629" s="471" t="str">
        <f t="shared" si="156"/>
        <v>transrdsmnt-brd</v>
      </c>
      <c r="K629" s="471" t="str">
        <f t="shared" si="157"/>
        <v>sfc</v>
      </c>
      <c r="L629" s="599"/>
      <c r="M629" s="471" t="s">
        <v>4958</v>
      </c>
      <c r="N629" s="471" t="s">
        <v>753</v>
      </c>
      <c r="O629" s="471" t="s">
        <v>751</v>
      </c>
    </row>
    <row r="630" spans="1:15" x14ac:dyDescent="0.25">
      <c r="A630" s="471" t="s">
        <v>5068</v>
      </c>
      <c r="B630" s="1139">
        <f t="shared" ca="1" si="155"/>
        <v>0</v>
      </c>
      <c r="C630" s="473">
        <f ca="1">IF(ISERROR(VLOOKUP($A$718,INDIRECT("notes_"&amp;LEFT($A$718,3)),4,0)),0,VLOOKUP($A$718,INDIRECT("notes_"&amp;LEFT($A$718,3)),4,0))</f>
        <v>0</v>
      </c>
      <c r="H630" s="471">
        <f t="shared" si="154"/>
        <v>4</v>
      </c>
      <c r="I630" s="471">
        <v>0</v>
      </c>
      <c r="J630" s="471" t="str">
        <f t="shared" si="156"/>
        <v>transrdsenv-prn-rds</v>
      </c>
      <c r="K630" s="471" t="str">
        <f t="shared" si="157"/>
        <v>sfc</v>
      </c>
      <c r="L630" s="599"/>
      <c r="M630" s="471" t="s">
        <v>4958</v>
      </c>
      <c r="N630" s="471" t="s">
        <v>753</v>
      </c>
      <c r="O630" s="471" t="s">
        <v>751</v>
      </c>
    </row>
    <row r="631" spans="1:15" x14ac:dyDescent="0.25">
      <c r="A631" s="471" t="s">
        <v>5069</v>
      </c>
      <c r="B631" s="1139">
        <f t="shared" ca="1" si="155"/>
        <v>0</v>
      </c>
      <c r="C631" s="473">
        <f ca="1">IF(ISERROR(VLOOKUP($A$719,INDIRECT("notes_"&amp;LEFT($A$719,3)),4,0)),0,VLOOKUP($A$719,INDIRECT("notes_"&amp;LEFT($A$719,3)),4,0))</f>
        <v>0</v>
      </c>
      <c r="H631" s="471">
        <f t="shared" si="154"/>
        <v>4</v>
      </c>
      <c r="I631" s="471">
        <v>0</v>
      </c>
      <c r="J631" s="471" t="str">
        <f t="shared" si="156"/>
        <v>transrdsenv-oth-rds</v>
      </c>
      <c r="K631" s="471" t="str">
        <f t="shared" si="157"/>
        <v>sfc</v>
      </c>
      <c r="L631" s="599"/>
      <c r="M631" s="471" t="s">
        <v>4958</v>
      </c>
      <c r="N631" s="471" t="s">
        <v>753</v>
      </c>
      <c r="O631" s="471" t="s">
        <v>751</v>
      </c>
    </row>
    <row r="632" spans="1:15" x14ac:dyDescent="0.25">
      <c r="A632" s="471" t="s">
        <v>5070</v>
      </c>
      <c r="B632" s="1139">
        <f t="shared" ca="1" si="155"/>
        <v>0</v>
      </c>
      <c r="C632" s="473">
        <f ca="1">IF(ISERROR(VLOOKUP($A$720,INDIRECT("notes_"&amp;LEFT($A$720,3)),4,0)),0,VLOOKUP($A$720,INDIRECT("notes_"&amp;LEFT($A$720,3)),4,0))</f>
        <v>0</v>
      </c>
      <c r="H632" s="471">
        <f t="shared" si="154"/>
        <v>2</v>
      </c>
      <c r="I632" s="471">
        <v>0</v>
      </c>
      <c r="J632" s="471" t="str">
        <f t="shared" si="156"/>
        <v>transrdswnt</v>
      </c>
      <c r="K632" s="471" t="str">
        <f t="shared" si="157"/>
        <v>sfc</v>
      </c>
      <c r="L632" s="599"/>
      <c r="M632" s="471" t="s">
        <v>4958</v>
      </c>
      <c r="N632" s="471" t="s">
        <v>753</v>
      </c>
      <c r="O632" s="471" t="s">
        <v>751</v>
      </c>
    </row>
    <row r="633" spans="1:15" x14ac:dyDescent="0.25">
      <c r="A633" s="471" t="s">
        <v>5071</v>
      </c>
      <c r="B633" s="1139">
        <f t="shared" ca="1" si="155"/>
        <v>0</v>
      </c>
      <c r="C633" s="473">
        <f ca="1">IF(ISERROR(VLOOKUP($A$721,INDIRECT("notes_"&amp;LEFT($A$721,3)),4,0)),0,VLOOKUP($A$721,INDIRECT("notes_"&amp;LEFT($A$721,3)),4,0))</f>
        <v>0</v>
      </c>
      <c r="H633" s="471">
        <f t="shared" si="154"/>
        <v>2</v>
      </c>
      <c r="I633" s="471">
        <v>0</v>
      </c>
      <c r="J633" s="471" t="str">
        <f t="shared" si="156"/>
        <v>transrdslgh</v>
      </c>
      <c r="K633" s="471" t="str">
        <f t="shared" si="157"/>
        <v>sfc</v>
      </c>
      <c r="L633" s="599"/>
      <c r="M633" s="471" t="s">
        <v>4958</v>
      </c>
      <c r="N633" s="471" t="s">
        <v>753</v>
      </c>
      <c r="O633" s="471" t="s">
        <v>751</v>
      </c>
    </row>
    <row r="634" spans="1:15" x14ac:dyDescent="0.25">
      <c r="A634" s="471" t="s">
        <v>5072</v>
      </c>
      <c r="B634" s="1139">
        <f t="shared" ca="1" si="155"/>
        <v>0</v>
      </c>
      <c r="C634" s="473">
        <f ca="1">IF(ISERROR(VLOOKUP($A$722,INDIRECT("notes_"&amp;LEFT($A$722,3)),4,0)),0,VLOOKUP($A$722,INDIRECT("notes_"&amp;LEFT($A$722,3)),4,0))</f>
        <v>0</v>
      </c>
      <c r="H634" s="471">
        <f t="shared" si="154"/>
        <v>2</v>
      </c>
      <c r="I634" s="471">
        <v>0</v>
      </c>
      <c r="J634" s="471" t="str">
        <f t="shared" si="156"/>
        <v>transrdstrfcng</v>
      </c>
      <c r="K634" s="471" t="str">
        <f t="shared" si="157"/>
        <v>sfc</v>
      </c>
      <c r="L634" s="599"/>
      <c r="M634" s="471" t="s">
        <v>4958</v>
      </c>
      <c r="N634" s="471" t="s">
        <v>753</v>
      </c>
      <c r="O634" s="471" t="s">
        <v>751</v>
      </c>
    </row>
    <row r="635" spans="1:15" x14ac:dyDescent="0.25">
      <c r="A635" s="471" t="s">
        <v>5073</v>
      </c>
      <c r="B635" s="1139">
        <f t="shared" ca="1" si="155"/>
        <v>0</v>
      </c>
      <c r="C635" s="473">
        <f ca="1">IF(ISERROR(VLOOKUP($A$723,INDIRECT("notes_"&amp;LEFT($A$723,3)),4,0)),0,VLOOKUP($A$723,INDIRECT("notes_"&amp;LEFT($A$723,3)),4,0))</f>
        <v>0</v>
      </c>
      <c r="H635" s="471">
        <f t="shared" si="154"/>
        <v>2</v>
      </c>
      <c r="I635" s="471">
        <v>0</v>
      </c>
      <c r="J635" s="471" t="str">
        <f t="shared" si="156"/>
        <v>transrdstrfbs</v>
      </c>
      <c r="K635" s="471" t="str">
        <f t="shared" si="157"/>
        <v>sfc</v>
      </c>
      <c r="L635" s="599"/>
      <c r="M635" s="471" t="s">
        <v>4958</v>
      </c>
      <c r="N635" s="471" t="s">
        <v>753</v>
      </c>
      <c r="O635" s="471" t="s">
        <v>751</v>
      </c>
    </row>
    <row r="636" spans="1:15" x14ac:dyDescent="0.25">
      <c r="A636" s="471" t="s">
        <v>5074</v>
      </c>
      <c r="B636" s="1139">
        <f t="shared" ca="1" si="155"/>
        <v>0</v>
      </c>
      <c r="C636" s="473">
        <f ca="1">IF(ISERROR(VLOOKUP($A$724,INDIRECT("notes_"&amp;LEFT($A$724,3)),4,0)),0,VLOOKUP($A$724,INDIRECT("notes_"&amp;LEFT($A$724,3)),4,0))</f>
        <v>0</v>
      </c>
      <c r="H636" s="471">
        <f t="shared" si="154"/>
        <v>2</v>
      </c>
      <c r="I636" s="471">
        <v>0</v>
      </c>
      <c r="J636" s="471" t="str">
        <f t="shared" si="156"/>
        <v>transrdstrfsft</v>
      </c>
      <c r="K636" s="471" t="str">
        <f t="shared" si="157"/>
        <v>sfc</v>
      </c>
      <c r="L636" s="599"/>
      <c r="M636" s="471" t="s">
        <v>4958</v>
      </c>
      <c r="N636" s="471" t="s">
        <v>753</v>
      </c>
      <c r="O636" s="471" t="s">
        <v>751</v>
      </c>
    </row>
    <row r="637" spans="1:15" x14ac:dyDescent="0.25">
      <c r="A637" s="471" t="s">
        <v>5075</v>
      </c>
      <c r="B637" s="1139">
        <f t="shared" ca="1" si="155"/>
        <v>0</v>
      </c>
      <c r="C637" s="473">
        <f ca="1">IF(ISERROR(VLOOKUP($A$725,INDIRECT("notes_"&amp;LEFT($A$725,3)),4,0)),0,VLOOKUP($A$725,INDIRECT("notes_"&amp;LEFT($A$725,3)),4,0))</f>
        <v>0</v>
      </c>
      <c r="H637" s="471">
        <f t="shared" si="154"/>
        <v>2</v>
      </c>
      <c r="I637" s="471">
        <v>0</v>
      </c>
      <c r="J637" s="471" t="str">
        <f t="shared" si="156"/>
        <v>transrdstrfoth</v>
      </c>
      <c r="K637" s="471" t="str">
        <f t="shared" si="157"/>
        <v>sfc</v>
      </c>
      <c r="L637" s="599"/>
      <c r="M637" s="471" t="s">
        <v>4958</v>
      </c>
      <c r="N637" s="471" t="s">
        <v>753</v>
      </c>
      <c r="O637" s="471" t="s">
        <v>751</v>
      </c>
    </row>
    <row r="638" spans="1:15" x14ac:dyDescent="0.25">
      <c r="A638" s="471" t="s">
        <v>5076</v>
      </c>
      <c r="B638" s="1139">
        <f t="shared" ca="1" si="155"/>
        <v>0</v>
      </c>
      <c r="C638" s="473">
        <f ca="1">IF(ISERROR(VLOOKUP($A$726,INDIRECT("notes_"&amp;LEFT($A$726,3)),4,0)),0,VLOOKUP($A$726,INDIRECT("notes_"&amp;LEFT($A$726,3)),4,0))</f>
        <v>0</v>
      </c>
      <c r="H638" s="471">
        <f t="shared" si="154"/>
        <v>5</v>
      </c>
      <c r="I638" s="471">
        <v>0</v>
      </c>
      <c r="J638" s="471" t="str">
        <f t="shared" si="156"/>
        <v>transprk-on-str-prk</v>
      </c>
      <c r="K638" s="471" t="str">
        <f t="shared" si="157"/>
        <v>sfc</v>
      </c>
      <c r="L638" s="599"/>
      <c r="M638" s="471" t="s">
        <v>4958</v>
      </c>
      <c r="N638" s="471" t="s">
        <v>753</v>
      </c>
      <c r="O638" s="471" t="s">
        <v>751</v>
      </c>
    </row>
    <row r="639" spans="1:15" x14ac:dyDescent="0.25">
      <c r="A639" s="471" t="s">
        <v>5077</v>
      </c>
      <c r="B639" s="1139">
        <f t="shared" ca="1" si="155"/>
        <v>0</v>
      </c>
      <c r="C639" s="473">
        <f ca="1">IF(ISERROR(VLOOKUP($A$727,INDIRECT("notes_"&amp;LEFT($A$727,3)),4,0)),0,VLOOKUP($A$727,INDIRECT("notes_"&amp;LEFT($A$727,3)),4,0))</f>
        <v>0</v>
      </c>
      <c r="H639" s="471">
        <f t="shared" si="154"/>
        <v>5</v>
      </c>
      <c r="I639" s="471">
        <v>0</v>
      </c>
      <c r="J639" s="471" t="str">
        <f t="shared" si="156"/>
        <v>transprk-off-str-prk</v>
      </c>
      <c r="K639" s="471" t="str">
        <f t="shared" si="157"/>
        <v>sfc</v>
      </c>
      <c r="L639" s="599"/>
      <c r="M639" s="471" t="s">
        <v>4958</v>
      </c>
      <c r="N639" s="471" t="s">
        <v>753</v>
      </c>
      <c r="O639" s="471" t="s">
        <v>751</v>
      </c>
    </row>
    <row r="640" spans="1:15" x14ac:dyDescent="0.25">
      <c r="A640" s="471" t="s">
        <v>5078</v>
      </c>
      <c r="B640" s="1139">
        <f t="shared" ca="1" si="155"/>
        <v>0</v>
      </c>
      <c r="C640" s="473">
        <f ca="1">IF(ISERROR(VLOOKUP($A$728,INDIRECT("notes_"&amp;LEFT($A$728,3)),4,0)),0,VLOOKUP($A$728,INDIRECT("notes_"&amp;LEFT($A$728,3)),4,0))</f>
        <v>0</v>
      </c>
      <c r="H640" s="471">
        <f t="shared" si="154"/>
        <v>2</v>
      </c>
      <c r="I640" s="471">
        <v>0</v>
      </c>
      <c r="J640" s="471" t="str">
        <f t="shared" si="156"/>
        <v>transpblstt</v>
      </c>
      <c r="K640" s="471" t="str">
        <f t="shared" si="157"/>
        <v>sfc</v>
      </c>
      <c r="L640" s="599"/>
      <c r="M640" s="471" t="s">
        <v>4958</v>
      </c>
      <c r="N640" s="471" t="s">
        <v>753</v>
      </c>
      <c r="O640" s="471" t="s">
        <v>751</v>
      </c>
    </row>
    <row r="641" spans="1:15" x14ac:dyDescent="0.25">
      <c r="A641" s="471" t="s">
        <v>5079</v>
      </c>
      <c r="B641" s="1139">
        <f t="shared" ca="1" si="155"/>
        <v>0</v>
      </c>
      <c r="C641" s="473">
        <f ca="1">IF(ISERROR(VLOOKUP($A$729,INDIRECT("notes_"&amp;LEFT($A$729,3)),4,0)),0,VLOOKUP($A$729,INDIRECT("notes_"&amp;LEFT($A$729,3)),4,0))</f>
        <v>0</v>
      </c>
      <c r="H641" s="471">
        <f t="shared" si="154"/>
        <v>2</v>
      </c>
      <c r="I641" s="471">
        <v>0</v>
      </c>
      <c r="J641" s="471" t="str">
        <f t="shared" si="156"/>
        <v>transpbldsc</v>
      </c>
      <c r="K641" s="471" t="str">
        <f t="shared" si="157"/>
        <v>sfc</v>
      </c>
      <c r="L641" s="599"/>
      <c r="M641" s="471" t="s">
        <v>4958</v>
      </c>
      <c r="N641" s="471" t="s">
        <v>753</v>
      </c>
      <c r="O641" s="471" t="s">
        <v>751</v>
      </c>
    </row>
    <row r="642" spans="1:15" x14ac:dyDescent="0.25">
      <c r="A642" s="471" t="s">
        <v>5080</v>
      </c>
      <c r="B642" s="1139">
        <f t="shared" ca="1" si="155"/>
        <v>0</v>
      </c>
      <c r="C642" s="473">
        <f ca="1">IF(ISERROR(VLOOKUP($A$730,INDIRECT("notes_"&amp;LEFT($A$730,3)),4,0)),0,VLOOKUP($A$730,INDIRECT("notes_"&amp;LEFT($A$730,3)),4,0))</f>
        <v>0</v>
      </c>
      <c r="H642" s="471">
        <f t="shared" si="154"/>
        <v>3</v>
      </c>
      <c r="I642" s="471">
        <v>0</v>
      </c>
      <c r="J642" s="471" t="str">
        <f t="shared" si="156"/>
        <v>transpblopr-bus</v>
      </c>
      <c r="K642" s="471" t="str">
        <f t="shared" si="157"/>
        <v>sfc</v>
      </c>
      <c r="L642" s="599"/>
      <c r="M642" s="471" t="s">
        <v>4958</v>
      </c>
      <c r="N642" s="471" t="s">
        <v>753</v>
      </c>
      <c r="O642" s="471" t="s">
        <v>751</v>
      </c>
    </row>
    <row r="643" spans="1:15" x14ac:dyDescent="0.25">
      <c r="A643" s="471" t="s">
        <v>5081</v>
      </c>
      <c r="B643" s="1139">
        <f t="shared" ca="1" si="155"/>
        <v>0</v>
      </c>
      <c r="C643" s="473">
        <f ca="1">IF(ISERROR(VLOOKUP($A$731,INDIRECT("notes_"&amp;LEFT($A$731,3)),4,0)),0,VLOOKUP($A$731,INDIRECT("notes_"&amp;LEFT($A$731,3)),4,0))</f>
        <v>0</v>
      </c>
      <c r="H643" s="471">
        <f t="shared" si="154"/>
        <v>3</v>
      </c>
      <c r="I643" s="471">
        <v>0</v>
      </c>
      <c r="J643" s="471" t="str">
        <f t="shared" si="156"/>
        <v>transpblopr-rail</v>
      </c>
      <c r="K643" s="471" t="str">
        <f t="shared" si="157"/>
        <v>sfc</v>
      </c>
      <c r="L643" s="599"/>
      <c r="M643" s="471" t="s">
        <v>4958</v>
      </c>
      <c r="N643" s="471" t="s">
        <v>753</v>
      </c>
      <c r="O643" s="471" t="s">
        <v>751</v>
      </c>
    </row>
    <row r="644" spans="1:15" x14ac:dyDescent="0.25">
      <c r="A644" s="471" t="s">
        <v>5082</v>
      </c>
      <c r="B644" s="1139">
        <f t="shared" ca="1" si="155"/>
        <v>0</v>
      </c>
      <c r="C644" s="473">
        <f ca="1">IF(ISERROR(VLOOKUP($A$732,INDIRECT("notes_"&amp;LEFT($A$732,3)),4,0)),0,VLOOKUP($A$732,INDIRECT("notes_"&amp;LEFT($A$732,3)),4,0))</f>
        <v>0</v>
      </c>
      <c r="H644" s="471">
        <f t="shared" si="154"/>
        <v>3</v>
      </c>
      <c r="I644" s="471">
        <v>0</v>
      </c>
      <c r="J644" s="471" t="str">
        <f t="shared" si="156"/>
        <v>transpblopr-oth</v>
      </c>
      <c r="K644" s="471" t="str">
        <f t="shared" si="157"/>
        <v>sfc</v>
      </c>
      <c r="L644" s="599"/>
      <c r="M644" s="471" t="s">
        <v>4958</v>
      </c>
      <c r="N644" s="471" t="s">
        <v>753</v>
      </c>
      <c r="O644" s="471" t="s">
        <v>751</v>
      </c>
    </row>
    <row r="645" spans="1:15" x14ac:dyDescent="0.25">
      <c r="A645" s="471" t="s">
        <v>5083</v>
      </c>
      <c r="B645" s="1139">
        <f t="shared" ca="1" si="155"/>
        <v>0</v>
      </c>
      <c r="C645" s="473">
        <f ca="1">IF(ISERROR(VLOOKUP($A$733,INDIRECT("notes_"&amp;LEFT($A$733,3)),4,0)),0,VLOOKUP($A$733,INDIRECT("notes_"&amp;LEFT($A$733,3)),4,0))</f>
        <v>0</v>
      </c>
      <c r="H645" s="471">
        <f t="shared" si="154"/>
        <v>2</v>
      </c>
      <c r="I645" s="471">
        <v>0</v>
      </c>
      <c r="J645" s="471" t="str">
        <f t="shared" si="156"/>
        <v>transpblcrd</v>
      </c>
      <c r="K645" s="471" t="str">
        <f t="shared" si="157"/>
        <v>sfc</v>
      </c>
      <c r="L645" s="599"/>
      <c r="M645" s="471" t="s">
        <v>4958</v>
      </c>
      <c r="N645" s="471" t="s">
        <v>753</v>
      </c>
      <c r="O645" s="471" t="s">
        <v>751</v>
      </c>
    </row>
    <row r="646" spans="1:15" x14ac:dyDescent="0.25">
      <c r="A646" s="471" t="s">
        <v>5084</v>
      </c>
      <c r="B646" s="1139">
        <f t="shared" ca="1" si="155"/>
        <v>0</v>
      </c>
      <c r="C646" s="473">
        <f ca="1">IF(ISERROR(VLOOKUP($A$734,INDIRECT("notes_"&amp;LEFT($A$734,3)),4,0)),0,VLOOKUP($A$734,INDIRECT("notes_"&amp;LEFT($A$734,3)),4,0))</f>
        <v>0</v>
      </c>
      <c r="H646" s="471">
        <f t="shared" si="154"/>
        <v>2</v>
      </c>
      <c r="I646" s="471">
        <v>0</v>
      </c>
      <c r="J646" s="471" t="str">
        <f t="shared" si="156"/>
        <v>transaht</v>
      </c>
      <c r="K646" s="471" t="str">
        <f t="shared" si="157"/>
        <v>sfc</v>
      </c>
      <c r="L646" s="599"/>
      <c r="M646" s="471" t="s">
        <v>4958</v>
      </c>
      <c r="N646" s="471" t="s">
        <v>753</v>
      </c>
      <c r="O646" s="471" t="s">
        <v>751</v>
      </c>
    </row>
    <row r="647" spans="1:15" x14ac:dyDescent="0.25">
      <c r="A647" s="471" t="s">
        <v>5085</v>
      </c>
      <c r="B647" s="1139">
        <f t="shared" ca="1" si="155"/>
        <v>0</v>
      </c>
      <c r="C647" s="473">
        <f ca="1">IF(ISERROR(VLOOKUP($A$735,INDIRECT("notes_"&amp;LEFT($A$735,3)),4,0)),0,VLOOKUP($A$735,INDIRECT("notes_"&amp;LEFT($A$735,3)),4,0))</f>
        <v>0</v>
      </c>
      <c r="H647" s="471">
        <f t="shared" si="154"/>
        <v>2</v>
      </c>
      <c r="I647" s="471">
        <v>0</v>
      </c>
      <c r="J647" s="471" t="str">
        <f t="shared" si="156"/>
        <v>transtot</v>
      </c>
      <c r="K647" s="471" t="str">
        <f t="shared" si="157"/>
        <v>sfc</v>
      </c>
      <c r="L647" s="599"/>
      <c r="M647" s="471" t="s">
        <v>4958</v>
      </c>
      <c r="N647" s="471" t="s">
        <v>753</v>
      </c>
      <c r="O647" s="471" t="s">
        <v>751</v>
      </c>
    </row>
    <row r="648" spans="1:15" x14ac:dyDescent="0.25">
      <c r="A648" s="471" t="s">
        <v>5086</v>
      </c>
      <c r="B648" s="1139">
        <f t="shared" ca="1" si="155"/>
        <v>0</v>
      </c>
      <c r="C648" s="473">
        <f ca="1">IF(ISERROR(VLOOKUP($A$736,INDIRECT("notes_"&amp;LEFT($A$736,3)),4,0)),0,VLOOKUP($A$736,INDIRECT("notes_"&amp;LEFT($A$736,3)),4,0))</f>
        <v>0</v>
      </c>
      <c r="H648" s="471">
        <f t="shared" si="154"/>
        <v>4</v>
      </c>
      <c r="I648" s="471">
        <v>0</v>
      </c>
      <c r="J648" s="471" t="str">
        <f t="shared" si="156"/>
        <v>transthrprtlbtclm-str-mnt</v>
      </c>
      <c r="K648" s="471" t="str">
        <f t="shared" si="157"/>
        <v>sfc</v>
      </c>
      <c r="L648" s="599"/>
      <c r="M648" s="471" t="s">
        <v>4958</v>
      </c>
      <c r="N648" s="471" t="s">
        <v>753</v>
      </c>
      <c r="O648" s="471" t="s">
        <v>751</v>
      </c>
    </row>
    <row r="649" spans="1:15" x14ac:dyDescent="0.25">
      <c r="A649" s="471" t="s">
        <v>2039</v>
      </c>
      <c r="B649" s="1139">
        <f t="shared" ca="1" si="155"/>
        <v>0</v>
      </c>
      <c r="C649" s="473">
        <f ca="1">IF(ISERROR(VLOOKUP(A649,INDIRECT("notes_"&amp;LEFT(A649,3)),4,0)),0,VLOOKUP(A649,INDIRECT("notes_"&amp;LEFT(A649,3)),4,0))</f>
        <v>0</v>
      </c>
      <c r="D649" s="472"/>
      <c r="E649" s="472"/>
      <c r="F649" s="472"/>
      <c r="H649" s="471">
        <f t="shared" si="154"/>
        <v>6</v>
      </c>
      <c r="I649" s="471">
        <v>0</v>
      </c>
      <c r="J649" s="471" t="str">
        <f t="shared" si="156"/>
        <v>transonstrfeechr-on-str-prk-pcn</v>
      </c>
      <c r="K649" s="471" t="str">
        <f t="shared" si="157"/>
        <v>sfc</v>
      </c>
      <c r="L649" s="599"/>
      <c r="M649" s="471" t="s">
        <v>4958</v>
      </c>
      <c r="N649" s="471" t="s">
        <v>753</v>
      </c>
      <c r="O649" s="471" t="s">
        <v>751</v>
      </c>
    </row>
    <row r="650" spans="1:15" x14ac:dyDescent="0.25">
      <c r="A650" s="471" t="s">
        <v>2040</v>
      </c>
      <c r="B650" s="1139">
        <f t="shared" ca="1" si="155"/>
        <v>0</v>
      </c>
      <c r="C650" s="473">
        <f ca="1">IF(ISERROR(VLOOKUP(A650,INDIRECT("notes_"&amp;LEFT(A650,3)),4,0)),0,VLOOKUP(A650,INDIRECT("notes_"&amp;LEFT(A650,3)),4,0))</f>
        <v>0</v>
      </c>
      <c r="D650" s="472"/>
      <c r="E650" s="472"/>
      <c r="F650" s="472"/>
      <c r="H650" s="471">
        <f t="shared" si="154"/>
        <v>6</v>
      </c>
      <c r="I650" s="471">
        <v>0</v>
      </c>
      <c r="J650" s="471" t="str">
        <f t="shared" si="156"/>
        <v>transonstrfeechr-on-str-prk-oth</v>
      </c>
      <c r="K650" s="471" t="str">
        <f t="shared" si="157"/>
        <v>sfc</v>
      </c>
      <c r="L650" s="599"/>
      <c r="M650" s="471" t="s">
        <v>4958</v>
      </c>
      <c r="N650" s="471" t="s">
        <v>753</v>
      </c>
      <c r="O650" s="471" t="s">
        <v>751</v>
      </c>
    </row>
    <row r="651" spans="1:15" x14ac:dyDescent="0.25">
      <c r="A651" s="471" t="s">
        <v>5087</v>
      </c>
      <c r="B651" s="1139">
        <f t="shared" ca="1" si="155"/>
        <v>0</v>
      </c>
      <c r="C651" s="473">
        <f ca="1">IF(ISERROR(VLOOKUP($A$737,INDIRECT("notes_"&amp;LEFT($A$737,3)),4,0)),0,VLOOKUP($A$737,INDIRECT("notes_"&amp;LEFT($A$737,3)),4,0))</f>
        <v>0</v>
      </c>
      <c r="H651" s="471">
        <f t="shared" si="154"/>
        <v>4</v>
      </c>
      <c r="I651" s="471">
        <v>0</v>
      </c>
      <c r="J651" s="471" t="str">
        <f t="shared" si="156"/>
        <v>transpubsupopr-pym-bus</v>
      </c>
      <c r="K651" s="471" t="str">
        <f t="shared" si="157"/>
        <v>sfc</v>
      </c>
      <c r="L651" s="599"/>
      <c r="M651" s="471" t="s">
        <v>4958</v>
      </c>
      <c r="N651" s="471" t="s">
        <v>753</v>
      </c>
      <c r="O651" s="471" t="s">
        <v>751</v>
      </c>
    </row>
    <row r="652" spans="1:15" x14ac:dyDescent="0.25">
      <c r="A652" s="471" t="s">
        <v>5088</v>
      </c>
      <c r="B652" s="1139">
        <f t="shared" ca="1" si="155"/>
        <v>0</v>
      </c>
      <c r="C652" s="473">
        <f ca="1">IF(ISERROR(VLOOKUP($A$738,INDIRECT("notes_"&amp;LEFT($A$738,3)),4,0)),0,VLOOKUP($A$738,INDIRECT("notes_"&amp;LEFT($A$738,3)),4,0))</f>
        <v>0</v>
      </c>
      <c r="H652" s="471">
        <f t="shared" si="154"/>
        <v>4</v>
      </c>
      <c r="I652" s="471">
        <v>0</v>
      </c>
      <c r="J652" s="471" t="str">
        <f t="shared" si="156"/>
        <v>transpubsupopr-pym-rail</v>
      </c>
      <c r="K652" s="471" t="str">
        <f t="shared" si="157"/>
        <v>sfc</v>
      </c>
      <c r="L652" s="599"/>
      <c r="M652" s="471" t="s">
        <v>4958</v>
      </c>
      <c r="N652" s="471" t="s">
        <v>753</v>
      </c>
      <c r="O652" s="471" t="s">
        <v>751</v>
      </c>
    </row>
    <row r="653" spans="1:15" x14ac:dyDescent="0.25">
      <c r="A653" s="471" t="s">
        <v>5089</v>
      </c>
      <c r="B653" s="1139">
        <f t="shared" ca="1" si="155"/>
        <v>0</v>
      </c>
      <c r="C653" s="473">
        <f ca="1">IF(ISERROR(VLOOKUP($A$739,INDIRECT("notes_"&amp;LEFT($A$739,3)),4,0)),0,VLOOKUP($A$739,INDIRECT("notes_"&amp;LEFT($A$739,3)),4,0))</f>
        <v>0</v>
      </c>
      <c r="H653" s="471">
        <f t="shared" si="154"/>
        <v>4</v>
      </c>
      <c r="I653" s="471">
        <v>0</v>
      </c>
      <c r="J653" s="471" t="str">
        <f t="shared" si="156"/>
        <v>transpubsupopr-pym-oth</v>
      </c>
      <c r="K653" s="471" t="str">
        <f t="shared" si="157"/>
        <v>sfc</v>
      </c>
      <c r="L653" s="599"/>
      <c r="M653" s="471" t="s">
        <v>4958</v>
      </c>
      <c r="N653" s="471" t="s">
        <v>753</v>
      </c>
      <c r="O653" s="471" t="s">
        <v>751</v>
      </c>
    </row>
    <row r="654" spans="1:15" x14ac:dyDescent="0.25">
      <c r="A654" s="471" t="s">
        <v>5090</v>
      </c>
      <c r="B654" s="1139">
        <f t="shared" ca="1" si="155"/>
        <v>0</v>
      </c>
      <c r="C654" s="473">
        <f ca="1">IF(ISERROR(VLOOKUP($A$713,INDIRECT("notes_"&amp;LEFT($A$713,3)),4,0)),0,VLOOKUP($A$713,INDIRECT("notes_"&amp;LEFT($A$713,3)),4,0))</f>
        <v>0</v>
      </c>
      <c r="H654" s="471">
        <f t="shared" si="154"/>
        <v>4</v>
      </c>
      <c r="I654" s="471">
        <v>1</v>
      </c>
      <c r="J654" s="471" t="str">
        <f t="shared" si="156"/>
        <v>transpln-hghwys-mnt</v>
      </c>
      <c r="K654" s="471" t="str">
        <f t="shared" si="157"/>
        <v>oth-inc</v>
      </c>
      <c r="L654" s="599"/>
      <c r="M654" s="471" t="s">
        <v>4958</v>
      </c>
      <c r="N654" s="471" t="s">
        <v>753</v>
      </c>
      <c r="O654" s="471" t="s">
        <v>751</v>
      </c>
    </row>
    <row r="655" spans="1:15" x14ac:dyDescent="0.25">
      <c r="A655" s="471" t="s">
        <v>5091</v>
      </c>
      <c r="B655" s="1139">
        <f t="shared" ca="1" si="155"/>
        <v>0</v>
      </c>
      <c r="C655" s="473">
        <f ca="1">IF(ISERROR(VLOOKUP($A$714,INDIRECT("notes_"&amp;LEFT($A$714,3)),4,0)),0,VLOOKUP($A$714,INDIRECT("notes_"&amp;LEFT($A$714,3)),4,0))</f>
        <v>0</v>
      </c>
      <c r="H655" s="471">
        <f t="shared" si="154"/>
        <v>4</v>
      </c>
      <c r="I655" s="471">
        <v>1</v>
      </c>
      <c r="J655" s="471" t="str">
        <f t="shared" si="156"/>
        <v>transpln-pub-oth</v>
      </c>
      <c r="K655" s="471" t="str">
        <f t="shared" si="157"/>
        <v>oth-inc</v>
      </c>
      <c r="L655" s="599"/>
      <c r="M655" s="471" t="s">
        <v>4958</v>
      </c>
      <c r="N655" s="471" t="s">
        <v>753</v>
      </c>
      <c r="O655" s="471" t="s">
        <v>751</v>
      </c>
    </row>
    <row r="656" spans="1:15" x14ac:dyDescent="0.25">
      <c r="A656" s="471" t="s">
        <v>5092</v>
      </c>
      <c r="B656" s="1139">
        <f t="shared" ca="1" si="155"/>
        <v>0</v>
      </c>
      <c r="C656" s="473">
        <f ca="1">IF(ISERROR(VLOOKUP($A$715,INDIRECT("notes_"&amp;LEFT($A$715,3)),4,0)),0,VLOOKUP($A$715,INDIRECT("notes_"&amp;LEFT($A$715,3)),4,0))</f>
        <v>0</v>
      </c>
      <c r="H656" s="471">
        <f t="shared" si="154"/>
        <v>4</v>
      </c>
      <c r="I656" s="471">
        <v>1</v>
      </c>
      <c r="J656" s="471" t="str">
        <f t="shared" si="156"/>
        <v>transrdsmnt-prn-rds</v>
      </c>
      <c r="K656" s="471" t="str">
        <f t="shared" si="157"/>
        <v>oth-inc</v>
      </c>
      <c r="L656" s="599"/>
      <c r="M656" s="471" t="s">
        <v>4958</v>
      </c>
      <c r="N656" s="471" t="s">
        <v>753</v>
      </c>
      <c r="O656" s="471" t="s">
        <v>751</v>
      </c>
    </row>
    <row r="657" spans="1:15" x14ac:dyDescent="0.25">
      <c r="A657" s="471" t="s">
        <v>5093</v>
      </c>
      <c r="B657" s="1139">
        <f t="shared" ca="1" si="155"/>
        <v>0</v>
      </c>
      <c r="C657" s="473">
        <f ca="1">IF(ISERROR(VLOOKUP($A$716,INDIRECT("notes_"&amp;LEFT($A$716,3)),4,0)),0,VLOOKUP($A$716,INDIRECT("notes_"&amp;LEFT($A$716,3)),4,0))</f>
        <v>0</v>
      </c>
      <c r="H657" s="471">
        <f t="shared" si="154"/>
        <v>4</v>
      </c>
      <c r="I657" s="471">
        <v>1</v>
      </c>
      <c r="J657" s="471" t="str">
        <f t="shared" si="156"/>
        <v>transrdsmnt-oth-rds</v>
      </c>
      <c r="K657" s="471" t="str">
        <f t="shared" si="157"/>
        <v>oth-inc</v>
      </c>
      <c r="L657" s="599"/>
      <c r="M657" s="471" t="s">
        <v>4958</v>
      </c>
      <c r="N657" s="471" t="s">
        <v>753</v>
      </c>
      <c r="O657" s="471" t="s">
        <v>751</v>
      </c>
    </row>
    <row r="658" spans="1:15" x14ac:dyDescent="0.25">
      <c r="A658" s="471" t="s">
        <v>5094</v>
      </c>
      <c r="B658" s="1139">
        <f t="shared" ca="1" si="155"/>
        <v>0</v>
      </c>
      <c r="C658" s="473">
        <f ca="1">IF(ISERROR(VLOOKUP($A$717,INDIRECT("notes_"&amp;LEFT($A$717,3)),4,0)),0,VLOOKUP($A$717,INDIRECT("notes_"&amp;LEFT($A$717,3)),4,0))</f>
        <v>0</v>
      </c>
      <c r="H658" s="471">
        <f t="shared" si="154"/>
        <v>3</v>
      </c>
      <c r="I658" s="471">
        <v>1</v>
      </c>
      <c r="J658" s="471" t="str">
        <f t="shared" si="156"/>
        <v>transrdsmnt-brd</v>
      </c>
      <c r="K658" s="471" t="str">
        <f t="shared" si="157"/>
        <v>oth-inc</v>
      </c>
      <c r="L658" s="599"/>
      <c r="M658" s="471" t="s">
        <v>4958</v>
      </c>
      <c r="N658" s="471" t="s">
        <v>753</v>
      </c>
      <c r="O658" s="471" t="s">
        <v>751</v>
      </c>
    </row>
    <row r="659" spans="1:15" x14ac:dyDescent="0.25">
      <c r="A659" s="471" t="s">
        <v>5095</v>
      </c>
      <c r="B659" s="1139">
        <f t="shared" ca="1" si="155"/>
        <v>0</v>
      </c>
      <c r="C659" s="473">
        <f ca="1">IF(ISERROR(VLOOKUP($A$718,INDIRECT("notes_"&amp;LEFT($A$718,3)),4,0)),0,VLOOKUP($A$718,INDIRECT("notes_"&amp;LEFT($A$718,3)),4,0))</f>
        <v>0</v>
      </c>
      <c r="H659" s="471">
        <f t="shared" si="154"/>
        <v>4</v>
      </c>
      <c r="I659" s="471">
        <v>1</v>
      </c>
      <c r="J659" s="471" t="str">
        <f t="shared" si="156"/>
        <v>transrdsenv-prn-rds</v>
      </c>
      <c r="K659" s="471" t="str">
        <f t="shared" si="157"/>
        <v>oth-inc</v>
      </c>
      <c r="L659" s="599"/>
      <c r="M659" s="471" t="s">
        <v>4958</v>
      </c>
      <c r="N659" s="471" t="s">
        <v>753</v>
      </c>
      <c r="O659" s="471" t="s">
        <v>751</v>
      </c>
    </row>
    <row r="660" spans="1:15" x14ac:dyDescent="0.25">
      <c r="A660" s="471" t="s">
        <v>5096</v>
      </c>
      <c r="B660" s="1139">
        <f t="shared" ca="1" si="155"/>
        <v>0</v>
      </c>
      <c r="C660" s="473">
        <f ca="1">IF(ISERROR(VLOOKUP($A$719,INDIRECT("notes_"&amp;LEFT($A$719,3)),4,0)),0,VLOOKUP($A$719,INDIRECT("notes_"&amp;LEFT($A$719,3)),4,0))</f>
        <v>0</v>
      </c>
      <c r="H660" s="471">
        <f t="shared" si="154"/>
        <v>4</v>
      </c>
      <c r="I660" s="471">
        <v>1</v>
      </c>
      <c r="J660" s="471" t="str">
        <f t="shared" si="156"/>
        <v>transrdsenv-oth-rds</v>
      </c>
      <c r="K660" s="471" t="str">
        <f t="shared" si="157"/>
        <v>oth-inc</v>
      </c>
      <c r="L660" s="599"/>
      <c r="M660" s="471" t="s">
        <v>4958</v>
      </c>
      <c r="N660" s="471" t="s">
        <v>753</v>
      </c>
      <c r="O660" s="471" t="s">
        <v>751</v>
      </c>
    </row>
    <row r="661" spans="1:15" x14ac:dyDescent="0.25">
      <c r="A661" s="471" t="s">
        <v>5097</v>
      </c>
      <c r="B661" s="1139">
        <f t="shared" ca="1" si="155"/>
        <v>0</v>
      </c>
      <c r="C661" s="473">
        <f ca="1">IF(ISERROR(VLOOKUP($A$720,INDIRECT("notes_"&amp;LEFT($A$720,3)),4,0)),0,VLOOKUP($A$720,INDIRECT("notes_"&amp;LEFT($A$720,3)),4,0))</f>
        <v>0</v>
      </c>
      <c r="H661" s="471">
        <f t="shared" si="154"/>
        <v>2</v>
      </c>
      <c r="I661" s="471">
        <v>1</v>
      </c>
      <c r="J661" s="471" t="str">
        <f t="shared" si="156"/>
        <v>transrdswnt</v>
      </c>
      <c r="K661" s="471" t="str">
        <f t="shared" si="157"/>
        <v>oth-inc</v>
      </c>
      <c r="L661" s="599"/>
      <c r="M661" s="471" t="s">
        <v>4958</v>
      </c>
      <c r="N661" s="471" t="s">
        <v>753</v>
      </c>
      <c r="O661" s="471" t="s">
        <v>751</v>
      </c>
    </row>
    <row r="662" spans="1:15" x14ac:dyDescent="0.25">
      <c r="A662" s="471" t="s">
        <v>5098</v>
      </c>
      <c r="B662" s="1139">
        <f t="shared" ca="1" si="155"/>
        <v>0</v>
      </c>
      <c r="C662" s="473">
        <f ca="1">IF(ISERROR(VLOOKUP($A$721,INDIRECT("notes_"&amp;LEFT($A$721,3)),4,0)),0,VLOOKUP($A$721,INDIRECT("notes_"&amp;LEFT($A$721,3)),4,0))</f>
        <v>0</v>
      </c>
      <c r="H662" s="471">
        <f t="shared" si="154"/>
        <v>2</v>
      </c>
      <c r="I662" s="471">
        <v>1</v>
      </c>
      <c r="J662" s="471" t="str">
        <f t="shared" si="156"/>
        <v>transrdslgh</v>
      </c>
      <c r="K662" s="471" t="str">
        <f t="shared" si="157"/>
        <v>oth-inc</v>
      </c>
      <c r="L662" s="599"/>
      <c r="M662" s="471" t="s">
        <v>4958</v>
      </c>
      <c r="N662" s="471" t="s">
        <v>753</v>
      </c>
      <c r="O662" s="471" t="s">
        <v>751</v>
      </c>
    </row>
    <row r="663" spans="1:15" x14ac:dyDescent="0.25">
      <c r="A663" s="471" t="s">
        <v>5099</v>
      </c>
      <c r="B663" s="1139">
        <f t="shared" ca="1" si="155"/>
        <v>0</v>
      </c>
      <c r="C663" s="473">
        <f ca="1">IF(ISERROR(VLOOKUP($A$722,INDIRECT("notes_"&amp;LEFT($A$722,3)),4,0)),0,VLOOKUP($A$722,INDIRECT("notes_"&amp;LEFT($A$722,3)),4,0))</f>
        <v>0</v>
      </c>
      <c r="H663" s="471">
        <f t="shared" si="154"/>
        <v>2</v>
      </c>
      <c r="I663" s="471">
        <v>1</v>
      </c>
      <c r="J663" s="471" t="str">
        <f t="shared" si="156"/>
        <v>transrdstrfcng</v>
      </c>
      <c r="K663" s="471" t="str">
        <f t="shared" si="157"/>
        <v>oth-inc</v>
      </c>
      <c r="L663" s="599"/>
      <c r="M663" s="471" t="s">
        <v>4958</v>
      </c>
      <c r="N663" s="471" t="s">
        <v>753</v>
      </c>
      <c r="O663" s="471" t="s">
        <v>751</v>
      </c>
    </row>
    <row r="664" spans="1:15" x14ac:dyDescent="0.25">
      <c r="A664" s="471" t="s">
        <v>5100</v>
      </c>
      <c r="B664" s="1139">
        <f t="shared" ca="1" si="155"/>
        <v>0</v>
      </c>
      <c r="C664" s="473">
        <f ca="1">IF(ISERROR(VLOOKUP($A$723,INDIRECT("notes_"&amp;LEFT($A$723,3)),4,0)),0,VLOOKUP($A$723,INDIRECT("notes_"&amp;LEFT($A$723,3)),4,0))</f>
        <v>0</v>
      </c>
      <c r="H664" s="471">
        <f t="shared" si="154"/>
        <v>2</v>
      </c>
      <c r="I664" s="471">
        <v>1</v>
      </c>
      <c r="J664" s="471" t="str">
        <f t="shared" si="156"/>
        <v>transrdstrfbs</v>
      </c>
      <c r="K664" s="471" t="str">
        <f t="shared" si="157"/>
        <v>oth-inc</v>
      </c>
      <c r="L664" s="599"/>
      <c r="M664" s="471" t="s">
        <v>4958</v>
      </c>
      <c r="N664" s="471" t="s">
        <v>753</v>
      </c>
      <c r="O664" s="471" t="s">
        <v>751</v>
      </c>
    </row>
    <row r="665" spans="1:15" x14ac:dyDescent="0.25">
      <c r="A665" s="471" t="s">
        <v>5101</v>
      </c>
      <c r="B665" s="1139">
        <f t="shared" ca="1" si="155"/>
        <v>0</v>
      </c>
      <c r="C665" s="473">
        <f ca="1">IF(ISERROR(VLOOKUP($A$724,INDIRECT("notes_"&amp;LEFT($A$724,3)),4,0)),0,VLOOKUP($A$724,INDIRECT("notes_"&amp;LEFT($A$724,3)),4,0))</f>
        <v>0</v>
      </c>
      <c r="H665" s="471">
        <f t="shared" si="154"/>
        <v>2</v>
      </c>
      <c r="I665" s="471">
        <v>1</v>
      </c>
      <c r="J665" s="471" t="str">
        <f t="shared" si="156"/>
        <v>transrdstrfsft</v>
      </c>
      <c r="K665" s="471" t="str">
        <f t="shared" si="157"/>
        <v>oth-inc</v>
      </c>
      <c r="L665" s="599"/>
      <c r="M665" s="471" t="s">
        <v>4958</v>
      </c>
      <c r="N665" s="471" t="s">
        <v>753</v>
      </c>
      <c r="O665" s="471" t="s">
        <v>751</v>
      </c>
    </row>
    <row r="666" spans="1:15" x14ac:dyDescent="0.25">
      <c r="A666" s="471" t="s">
        <v>5102</v>
      </c>
      <c r="B666" s="1139">
        <f t="shared" ca="1" si="155"/>
        <v>0</v>
      </c>
      <c r="C666" s="473">
        <f ca="1">IF(ISERROR(VLOOKUP($A$725,INDIRECT("notes_"&amp;LEFT($A$725,3)),4,0)),0,VLOOKUP($A$725,INDIRECT("notes_"&amp;LEFT($A$725,3)),4,0))</f>
        <v>0</v>
      </c>
      <c r="H666" s="471">
        <f t="shared" si="154"/>
        <v>2</v>
      </c>
      <c r="I666" s="471">
        <v>1</v>
      </c>
      <c r="J666" s="471" t="str">
        <f t="shared" si="156"/>
        <v>transrdstrfoth</v>
      </c>
      <c r="K666" s="471" t="str">
        <f t="shared" si="157"/>
        <v>oth-inc</v>
      </c>
      <c r="L666" s="599"/>
      <c r="M666" s="471" t="s">
        <v>4958</v>
      </c>
      <c r="N666" s="471" t="s">
        <v>753</v>
      </c>
      <c r="O666" s="471" t="s">
        <v>751</v>
      </c>
    </row>
    <row r="667" spans="1:15" x14ac:dyDescent="0.25">
      <c r="A667" s="471" t="s">
        <v>5103</v>
      </c>
      <c r="B667" s="1139">
        <f t="shared" ca="1" si="155"/>
        <v>0</v>
      </c>
      <c r="C667" s="473">
        <f ca="1">IF(ISERROR(VLOOKUP($A$726,INDIRECT("notes_"&amp;LEFT($A$726,3)),4,0)),0,VLOOKUP($A$726,INDIRECT("notes_"&amp;LEFT($A$726,3)),4,0))</f>
        <v>0</v>
      </c>
      <c r="H667" s="471">
        <f t="shared" si="154"/>
        <v>5</v>
      </c>
      <c r="I667" s="471">
        <v>1</v>
      </c>
      <c r="J667" s="471" t="str">
        <f t="shared" si="156"/>
        <v>transprk-on-str-prk</v>
      </c>
      <c r="K667" s="471" t="str">
        <f t="shared" si="157"/>
        <v>oth-inc</v>
      </c>
      <c r="L667" s="599"/>
      <c r="M667" s="471" t="s">
        <v>4958</v>
      </c>
      <c r="N667" s="471" t="s">
        <v>753</v>
      </c>
      <c r="O667" s="471" t="s">
        <v>751</v>
      </c>
    </row>
    <row r="668" spans="1:15" x14ac:dyDescent="0.25">
      <c r="A668" s="471" t="s">
        <v>5104</v>
      </c>
      <c r="B668" s="1139">
        <f t="shared" ca="1" si="155"/>
        <v>0</v>
      </c>
      <c r="C668" s="473">
        <f ca="1">IF(ISERROR(VLOOKUP($A$727,INDIRECT("notes_"&amp;LEFT($A$727,3)),4,0)),0,VLOOKUP($A$727,INDIRECT("notes_"&amp;LEFT($A$727,3)),4,0))</f>
        <v>0</v>
      </c>
      <c r="H668" s="471">
        <f t="shared" ref="H668:H732" si="160">LEN(A668)-LEN(SUBSTITUTE(A668,"-",""))-I668</f>
        <v>5</v>
      </c>
      <c r="I668" s="471">
        <v>1</v>
      </c>
      <c r="J668" s="471" t="str">
        <f t="shared" si="156"/>
        <v>transprk-off-str-prk</v>
      </c>
      <c r="K668" s="471" t="str">
        <f t="shared" si="157"/>
        <v>oth-inc</v>
      </c>
      <c r="L668" s="599"/>
      <c r="M668" s="471" t="s">
        <v>4958</v>
      </c>
      <c r="N668" s="471" t="s">
        <v>753</v>
      </c>
      <c r="O668" s="471" t="s">
        <v>751</v>
      </c>
    </row>
    <row r="669" spans="1:15" x14ac:dyDescent="0.25">
      <c r="A669" s="471" t="s">
        <v>5105</v>
      </c>
      <c r="B669" s="1139">
        <f t="shared" ref="B669:B733" ca="1" si="161">INDEX(INDIRECT(LEFT($A669,SEARCH("-",$A669,1)-1)&amp;"_data"),MATCH(MID($A669,SEARCH("-",$A669)+1,SEARCH("#",SUBSTITUTE($A669,"-","#",H669),1)-(SEARCH("-",$A669)+1)),INDIRECT(LEFT($A669,SEARCH("-",$A669,1)-1)&amp;"_rows"),0),MATCH(RIGHT($A669,LEN($A669)-LEN(LEFT($A669,SEARCH("#",SUBSTITUTE($A669,"-","#",H669),1)))),INDIRECT(LEFT($A669,SEARCH("-",$A669,1)-1)&amp;"_Header"),0))</f>
        <v>0</v>
      </c>
      <c r="C669" s="473">
        <f ca="1">IF(ISERROR(VLOOKUP($A$728,INDIRECT("notes_"&amp;LEFT($A$728,3)),4,0)),0,VLOOKUP($A$728,INDIRECT("notes_"&amp;LEFT($A$728,3)),4,0))</f>
        <v>0</v>
      </c>
      <c r="H669" s="471">
        <f t="shared" si="160"/>
        <v>2</v>
      </c>
      <c r="I669" s="471">
        <v>1</v>
      </c>
      <c r="J669" s="471" t="str">
        <f t="shared" si="156"/>
        <v>transpblstt</v>
      </c>
      <c r="K669" s="471" t="str">
        <f t="shared" si="157"/>
        <v>oth-inc</v>
      </c>
      <c r="L669" s="599"/>
      <c r="M669" s="471" t="s">
        <v>4958</v>
      </c>
      <c r="N669" s="471" t="s">
        <v>753</v>
      </c>
      <c r="O669" s="471" t="s">
        <v>751</v>
      </c>
    </row>
    <row r="670" spans="1:15" x14ac:dyDescent="0.25">
      <c r="A670" s="471" t="s">
        <v>5106</v>
      </c>
      <c r="B670" s="1139">
        <f t="shared" ca="1" si="161"/>
        <v>0</v>
      </c>
      <c r="C670" s="473">
        <f ca="1">IF(ISERROR(VLOOKUP($A$729,INDIRECT("notes_"&amp;LEFT($A$729,3)),4,0)),0,VLOOKUP($A$729,INDIRECT("notes_"&amp;LEFT($A$729,3)),4,0))</f>
        <v>0</v>
      </c>
      <c r="H670" s="471">
        <f t="shared" si="160"/>
        <v>2</v>
      </c>
      <c r="I670" s="471">
        <v>1</v>
      </c>
      <c r="J670" s="471" t="str">
        <f t="shared" si="156"/>
        <v>transpbldsc</v>
      </c>
      <c r="K670" s="471" t="str">
        <f t="shared" si="157"/>
        <v>oth-inc</v>
      </c>
      <c r="L670" s="599"/>
      <c r="M670" s="471" t="s">
        <v>4958</v>
      </c>
      <c r="N670" s="471" t="s">
        <v>753</v>
      </c>
      <c r="O670" s="471" t="s">
        <v>751</v>
      </c>
    </row>
    <row r="671" spans="1:15" x14ac:dyDescent="0.25">
      <c r="A671" s="471" t="s">
        <v>5107</v>
      </c>
      <c r="B671" s="1139">
        <f t="shared" ca="1" si="161"/>
        <v>0</v>
      </c>
      <c r="C671" s="473">
        <f ca="1">IF(ISERROR(VLOOKUP($A$730,INDIRECT("notes_"&amp;LEFT($A$730,3)),4,0)),0,VLOOKUP($A$730,INDIRECT("notes_"&amp;LEFT($A$730,3)),4,0))</f>
        <v>0</v>
      </c>
      <c r="H671" s="471">
        <f t="shared" si="160"/>
        <v>3</v>
      </c>
      <c r="I671" s="471">
        <v>1</v>
      </c>
      <c r="J671" s="471" t="str">
        <f t="shared" si="156"/>
        <v>transpblopr-bus</v>
      </c>
      <c r="K671" s="471" t="str">
        <f t="shared" si="157"/>
        <v>oth-inc</v>
      </c>
      <c r="L671" s="599"/>
      <c r="M671" s="471" t="s">
        <v>4958</v>
      </c>
      <c r="N671" s="471" t="s">
        <v>753</v>
      </c>
      <c r="O671" s="471" t="s">
        <v>751</v>
      </c>
    </row>
    <row r="672" spans="1:15" x14ac:dyDescent="0.25">
      <c r="A672" s="471" t="s">
        <v>5108</v>
      </c>
      <c r="B672" s="1139">
        <f t="shared" ca="1" si="161"/>
        <v>0</v>
      </c>
      <c r="C672" s="473">
        <f ca="1">IF(ISERROR(VLOOKUP($A$731,INDIRECT("notes_"&amp;LEFT($A$731,3)),4,0)),0,VLOOKUP($A$731,INDIRECT("notes_"&amp;LEFT($A$731,3)),4,0))</f>
        <v>0</v>
      </c>
      <c r="H672" s="471">
        <f t="shared" si="160"/>
        <v>3</v>
      </c>
      <c r="I672" s="471">
        <v>1</v>
      </c>
      <c r="J672" s="471" t="str">
        <f t="shared" ref="J672:J736" si="162">MID($A672,SEARCH("-",$A672)+1,SEARCH("#",SUBSTITUTE($A672,"-","#",H672),1)-(SEARCH("-",$A672)+1))</f>
        <v>transpblopr-rail</v>
      </c>
      <c r="K672" s="471" t="str">
        <f t="shared" ref="K672:K736" si="163">RIGHT($A672,LEN($A672)-SEARCH("#",SUBSTITUTE($A672,"-","#",H672),1))</f>
        <v>oth-inc</v>
      </c>
      <c r="L672" s="599"/>
      <c r="M672" s="471" t="s">
        <v>4958</v>
      </c>
      <c r="N672" s="471" t="s">
        <v>753</v>
      </c>
      <c r="O672" s="471" t="s">
        <v>751</v>
      </c>
    </row>
    <row r="673" spans="1:15" x14ac:dyDescent="0.25">
      <c r="A673" s="471" t="s">
        <v>5109</v>
      </c>
      <c r="B673" s="1139">
        <f t="shared" ca="1" si="161"/>
        <v>0</v>
      </c>
      <c r="C673" s="473">
        <f ca="1">IF(ISERROR(VLOOKUP($A$732,INDIRECT("notes_"&amp;LEFT($A$732,3)),4,0)),0,VLOOKUP($A$732,INDIRECT("notes_"&amp;LEFT($A$732,3)),4,0))</f>
        <v>0</v>
      </c>
      <c r="H673" s="471">
        <f t="shared" si="160"/>
        <v>3</v>
      </c>
      <c r="I673" s="471">
        <v>1</v>
      </c>
      <c r="J673" s="471" t="str">
        <f t="shared" si="162"/>
        <v>transpblopr-oth</v>
      </c>
      <c r="K673" s="471" t="str">
        <f t="shared" si="163"/>
        <v>oth-inc</v>
      </c>
      <c r="L673" s="599"/>
      <c r="M673" s="471" t="s">
        <v>4958</v>
      </c>
      <c r="N673" s="471" t="s">
        <v>753</v>
      </c>
      <c r="O673" s="471" t="s">
        <v>751</v>
      </c>
    </row>
    <row r="674" spans="1:15" x14ac:dyDescent="0.25">
      <c r="A674" s="471" t="s">
        <v>5110</v>
      </c>
      <c r="B674" s="1139">
        <f t="shared" ca="1" si="161"/>
        <v>0</v>
      </c>
      <c r="C674" s="473">
        <f ca="1">IF(ISERROR(VLOOKUP($A$733,INDIRECT("notes_"&amp;LEFT($A$733,3)),4,0)),0,VLOOKUP($A$733,INDIRECT("notes_"&amp;LEFT($A$733,3)),4,0))</f>
        <v>0</v>
      </c>
      <c r="H674" s="471">
        <f t="shared" si="160"/>
        <v>2</v>
      </c>
      <c r="I674" s="471">
        <v>1</v>
      </c>
      <c r="J674" s="471" t="str">
        <f t="shared" si="162"/>
        <v>transpblcrd</v>
      </c>
      <c r="K674" s="471" t="str">
        <f t="shared" si="163"/>
        <v>oth-inc</v>
      </c>
      <c r="L674" s="599"/>
      <c r="M674" s="471" t="s">
        <v>4958</v>
      </c>
      <c r="N674" s="471" t="s">
        <v>753</v>
      </c>
      <c r="O674" s="471" t="s">
        <v>751</v>
      </c>
    </row>
    <row r="675" spans="1:15" x14ac:dyDescent="0.25">
      <c r="A675" s="471" t="s">
        <v>5111</v>
      </c>
      <c r="B675" s="1139">
        <f t="shared" ca="1" si="161"/>
        <v>0</v>
      </c>
      <c r="C675" s="473">
        <f ca="1">IF(ISERROR(VLOOKUP($A$734,INDIRECT("notes_"&amp;LEFT($A$734,3)),4,0)),0,VLOOKUP($A$734,INDIRECT("notes_"&amp;LEFT($A$734,3)),4,0))</f>
        <v>0</v>
      </c>
      <c r="H675" s="471">
        <f t="shared" si="160"/>
        <v>2</v>
      </c>
      <c r="I675" s="471">
        <v>1</v>
      </c>
      <c r="J675" s="471" t="str">
        <f t="shared" si="162"/>
        <v>transaht</v>
      </c>
      <c r="K675" s="471" t="str">
        <f t="shared" si="163"/>
        <v>oth-inc</v>
      </c>
      <c r="L675" s="599"/>
      <c r="M675" s="471" t="s">
        <v>4958</v>
      </c>
      <c r="N675" s="471" t="s">
        <v>753</v>
      </c>
      <c r="O675" s="471" t="s">
        <v>751</v>
      </c>
    </row>
    <row r="676" spans="1:15" x14ac:dyDescent="0.25">
      <c r="A676" s="471" t="s">
        <v>5112</v>
      </c>
      <c r="B676" s="1139">
        <f t="shared" ca="1" si="161"/>
        <v>0</v>
      </c>
      <c r="C676" s="473">
        <f ca="1">IF(ISERROR(VLOOKUP($A$735,INDIRECT("notes_"&amp;LEFT($A$735,3)),4,0)),0,VLOOKUP($A$735,INDIRECT("notes_"&amp;LEFT($A$735,3)),4,0))</f>
        <v>0</v>
      </c>
      <c r="H676" s="471">
        <f t="shared" si="160"/>
        <v>2</v>
      </c>
      <c r="I676" s="471">
        <v>1</v>
      </c>
      <c r="J676" s="471" t="str">
        <f t="shared" si="162"/>
        <v>transtot</v>
      </c>
      <c r="K676" s="471" t="str">
        <f t="shared" si="163"/>
        <v>oth-inc</v>
      </c>
      <c r="L676" s="599"/>
      <c r="M676" s="471" t="s">
        <v>4958</v>
      </c>
      <c r="N676" s="471" t="s">
        <v>753</v>
      </c>
      <c r="O676" s="471" t="s">
        <v>751</v>
      </c>
    </row>
    <row r="677" spans="1:15" x14ac:dyDescent="0.25">
      <c r="A677" s="1120" t="s">
        <v>5113</v>
      </c>
      <c r="B677" s="1139">
        <f t="shared" ref="B677" ca="1" si="164">INDEX(INDIRECT(LEFT($A677,SEARCH("-",$A677,1)-1)&amp;"_data"),MATCH(MID($A677,SEARCH("-",$A677)+1,SEARCH("#",SUBSTITUTE($A677,"-","#",H677),1)-(SEARCH("-",$A677)+1)),INDIRECT(LEFT($A677,SEARCH("-",$A677,1)-1)&amp;"_rows"),0),MATCH(RIGHT($A677,LEN($A677)-LEN(LEFT($A677,SEARCH("#",SUBSTITUTE($A677,"-","#",H677),1)))),INDIRECT(LEFT($A677,SEARCH("-",$A677,1)-1)&amp;"_Header"),0))</f>
        <v>0</v>
      </c>
      <c r="C677" s="473">
        <f ca="1">IF(ISERROR(VLOOKUP($A$677,INDIRECT("notes_"&amp;LEFT($A$677,3)),4,0)),0,VLOOKUP($A$677,INDIRECT("notes_"&amp;LEFT($A$677,3)),4,0))</f>
        <v>0</v>
      </c>
      <c r="H677" s="471">
        <f t="shared" si="160"/>
        <v>2</v>
      </c>
      <c r="I677" s="471">
        <v>1</v>
      </c>
      <c r="J677" s="471" t="str">
        <f t="shared" ref="J677" si="165">MID($A677,SEARCH("-",$A677)+1,SEARCH("#",SUBSTITUTE($A677,"-","#",H677),1)-(SEARCH("-",$A677)+1))</f>
        <v>transsvmemrec</v>
      </c>
      <c r="K677" s="471" t="str">
        <f t="shared" ref="K677" si="166">RIGHT($A677,LEN($A677)-SEARCH("#",SUBSTITUTE($A677,"-","#",H677),1))</f>
        <v>oth-inc</v>
      </c>
      <c r="L677" s="599"/>
      <c r="M677" s="471" t="s">
        <v>4958</v>
      </c>
      <c r="N677" s="471" t="s">
        <v>753</v>
      </c>
      <c r="O677" s="471" t="s">
        <v>751</v>
      </c>
    </row>
    <row r="678" spans="1:15" x14ac:dyDescent="0.25">
      <c r="A678" s="471" t="s">
        <v>2041</v>
      </c>
      <c r="B678" s="1139">
        <f t="shared" ca="1" si="161"/>
        <v>0</v>
      </c>
      <c r="C678" s="473">
        <f ca="1">IF(ISERROR(VLOOKUP(A678,INDIRECT("notes_"&amp;LEFT(A678,3)),4,0)),0,VLOOKUP(A678,INDIRECT("notes_"&amp;LEFT(A678,3)),4,0))</f>
        <v>0</v>
      </c>
      <c r="D678" s="472" t="str">
        <f>'RO2'!N77</f>
        <v/>
      </c>
      <c r="E678" s="472" t="str">
        <f>'RO2'!O77</f>
        <v/>
      </c>
      <c r="F678" s="472" t="str">
        <f>'RO2'!Q77</f>
        <v/>
      </c>
      <c r="H678" s="471">
        <f t="shared" si="160"/>
        <v>6</v>
      </c>
      <c r="I678" s="471">
        <v>1</v>
      </c>
      <c r="J678" s="471" t="str">
        <f t="shared" si="162"/>
        <v>transjntarrmnt-str-mnt-prn-rds</v>
      </c>
      <c r="K678" s="471" t="str">
        <f t="shared" si="163"/>
        <v>oth-inc</v>
      </c>
      <c r="L678" s="599"/>
      <c r="M678" s="471" t="s">
        <v>4958</v>
      </c>
      <c r="N678" s="471" t="s">
        <v>753</v>
      </c>
      <c r="O678" s="471" t="s">
        <v>751</v>
      </c>
    </row>
    <row r="679" spans="1:15" x14ac:dyDescent="0.25">
      <c r="A679" s="471" t="s">
        <v>2042</v>
      </c>
      <c r="B679" s="1139">
        <f t="shared" ca="1" si="161"/>
        <v>0</v>
      </c>
      <c r="C679" s="473">
        <f ca="1">IF(ISERROR(VLOOKUP(A679,INDIRECT("notes_"&amp;LEFT(A679,3)),4,0)),0,VLOOKUP(A679,INDIRECT("notes_"&amp;LEFT(A679,3)),4,0))</f>
        <v>0</v>
      </c>
      <c r="D679" s="472" t="str">
        <f>'RO2'!N78</f>
        <v/>
      </c>
      <c r="E679" s="472" t="str">
        <f>'RO2'!O78</f>
        <v/>
      </c>
      <c r="F679" s="472" t="str">
        <f>'RO2'!Q78</f>
        <v/>
      </c>
      <c r="H679" s="471">
        <f t="shared" si="160"/>
        <v>6</v>
      </c>
      <c r="I679" s="471">
        <v>1</v>
      </c>
      <c r="J679" s="471" t="str">
        <f t="shared" si="162"/>
        <v>transjntarrmnt-str-mnt-oth-rds</v>
      </c>
      <c r="K679" s="471" t="str">
        <f t="shared" si="163"/>
        <v>oth-inc</v>
      </c>
      <c r="L679" s="599"/>
      <c r="M679" s="471" t="s">
        <v>4958</v>
      </c>
      <c r="N679" s="471" t="s">
        <v>753</v>
      </c>
      <c r="O679" s="471" t="s">
        <v>751</v>
      </c>
    </row>
    <row r="680" spans="1:15" x14ac:dyDescent="0.25">
      <c r="A680" s="471" t="s">
        <v>2043</v>
      </c>
      <c r="B680" s="1139">
        <f t="shared" ca="1" si="161"/>
        <v>0</v>
      </c>
      <c r="C680" s="473">
        <f ca="1">IF(ISERROR(VLOOKUP(A680,INDIRECT("notes_"&amp;LEFT(A680,3)),4,0)),0,VLOOKUP(A680,INDIRECT("notes_"&amp;LEFT(A680,3)),4,0))</f>
        <v>0</v>
      </c>
      <c r="D680" s="472" t="str">
        <f>'RO2'!N79</f>
        <v/>
      </c>
      <c r="E680" s="472" t="str">
        <f>'RO2'!O79</f>
        <v/>
      </c>
      <c r="F680" s="472" t="str">
        <f>'RO2'!Q79</f>
        <v/>
      </c>
      <c r="H680" s="471">
        <f t="shared" si="160"/>
        <v>6</v>
      </c>
      <c r="I680" s="471">
        <v>1</v>
      </c>
      <c r="J680" s="471" t="str">
        <f t="shared" si="162"/>
        <v>transjntarrmnt-env-mnt-prn-rds</v>
      </c>
      <c r="K680" s="471" t="str">
        <f t="shared" si="163"/>
        <v>oth-inc</v>
      </c>
      <c r="L680" s="599"/>
      <c r="M680" s="471" t="s">
        <v>4958</v>
      </c>
      <c r="N680" s="471" t="s">
        <v>753</v>
      </c>
      <c r="O680" s="471" t="s">
        <v>751</v>
      </c>
    </row>
    <row r="681" spans="1:15" x14ac:dyDescent="0.25">
      <c r="A681" s="471" t="s">
        <v>2044</v>
      </c>
      <c r="B681" s="1139">
        <f t="shared" ca="1" si="161"/>
        <v>0</v>
      </c>
      <c r="C681" s="473">
        <f ca="1">IF(ISERROR(VLOOKUP(A681,INDIRECT("notes_"&amp;LEFT(A681,3)),4,0)),0,VLOOKUP(A681,INDIRECT("notes_"&amp;LEFT(A681,3)),4,0))</f>
        <v>0</v>
      </c>
      <c r="D681" s="472" t="str">
        <f>'RO2'!N80</f>
        <v/>
      </c>
      <c r="E681" s="472" t="str">
        <f>'RO2'!O80</f>
        <v/>
      </c>
      <c r="F681" s="472" t="str">
        <f>'RO2'!Q80</f>
        <v/>
      </c>
      <c r="H681" s="471">
        <f t="shared" si="160"/>
        <v>6</v>
      </c>
      <c r="I681" s="471">
        <v>1</v>
      </c>
      <c r="J681" s="471" t="str">
        <f t="shared" si="162"/>
        <v>transjntarrmnt-env-mnt-oth-rds</v>
      </c>
      <c r="K681" s="471" t="str">
        <f t="shared" si="163"/>
        <v>oth-inc</v>
      </c>
      <c r="L681" s="599"/>
      <c r="M681" s="471" t="s">
        <v>4958</v>
      </c>
      <c r="N681" s="471" t="s">
        <v>753</v>
      </c>
      <c r="O681" s="471" t="s">
        <v>751</v>
      </c>
    </row>
    <row r="682" spans="1:15" x14ac:dyDescent="0.25">
      <c r="A682" s="471" t="s">
        <v>5114</v>
      </c>
      <c r="B682" s="1139">
        <f t="shared" ca="1" si="161"/>
        <v>0</v>
      </c>
      <c r="C682" s="473">
        <f ca="1">IF(ISERROR(VLOOKUP($A$736,INDIRECT("notes_"&amp;LEFT($A$736,3)),4,0)),0,VLOOKUP($A$736,INDIRECT("notes_"&amp;LEFT($A$736,3)),4,0))</f>
        <v>0</v>
      </c>
      <c r="H682" s="471">
        <f t="shared" si="160"/>
        <v>4</v>
      </c>
      <c r="I682" s="471">
        <v>1</v>
      </c>
      <c r="J682" s="471" t="str">
        <f t="shared" si="162"/>
        <v>transthrprtlbtclm-str-mnt</v>
      </c>
      <c r="K682" s="471" t="str">
        <f t="shared" si="163"/>
        <v>oth-inc</v>
      </c>
      <c r="L682" s="599"/>
      <c r="M682" s="471" t="s">
        <v>4958</v>
      </c>
      <c r="N682" s="471" t="s">
        <v>753</v>
      </c>
      <c r="O682" s="471" t="s">
        <v>751</v>
      </c>
    </row>
    <row r="683" spans="1:15" x14ac:dyDescent="0.25">
      <c r="A683" s="471" t="s">
        <v>5115</v>
      </c>
      <c r="B683" s="1139">
        <f t="shared" ca="1" si="161"/>
        <v>0</v>
      </c>
      <c r="C683" s="473">
        <f ca="1">IF(ISERROR(VLOOKUP($A$737,INDIRECT("notes_"&amp;LEFT($A$737,3)),4,0)),0,VLOOKUP($A$737,INDIRECT("notes_"&amp;LEFT($A$737,3)),4,0))</f>
        <v>0</v>
      </c>
      <c r="H683" s="471">
        <f t="shared" si="160"/>
        <v>4</v>
      </c>
      <c r="I683" s="471">
        <v>1</v>
      </c>
      <c r="J683" s="471" t="str">
        <f t="shared" si="162"/>
        <v>transpubsupopr-pym-bus</v>
      </c>
      <c r="K683" s="471" t="str">
        <f t="shared" si="163"/>
        <v>oth-inc</v>
      </c>
      <c r="L683" s="599"/>
      <c r="M683" s="471" t="s">
        <v>4958</v>
      </c>
      <c r="N683" s="471" t="s">
        <v>753</v>
      </c>
      <c r="O683" s="471" t="s">
        <v>751</v>
      </c>
    </row>
    <row r="684" spans="1:15" x14ac:dyDescent="0.25">
      <c r="A684" s="471" t="s">
        <v>5116</v>
      </c>
      <c r="B684" s="1139">
        <f t="shared" ca="1" si="161"/>
        <v>0</v>
      </c>
      <c r="C684" s="473">
        <f ca="1">IF(ISERROR(VLOOKUP($A$738,INDIRECT("notes_"&amp;LEFT($A$738,3)),4,0)),0,VLOOKUP($A$738,INDIRECT("notes_"&amp;LEFT($A$738,3)),4,0))</f>
        <v>0</v>
      </c>
      <c r="H684" s="471">
        <f t="shared" si="160"/>
        <v>4</v>
      </c>
      <c r="I684" s="471">
        <v>1</v>
      </c>
      <c r="J684" s="471" t="str">
        <f t="shared" si="162"/>
        <v>transpubsupopr-pym-rail</v>
      </c>
      <c r="K684" s="471" t="str">
        <f t="shared" si="163"/>
        <v>oth-inc</v>
      </c>
      <c r="L684" s="599"/>
      <c r="M684" s="471" t="s">
        <v>4958</v>
      </c>
      <c r="N684" s="471" t="s">
        <v>753</v>
      </c>
      <c r="O684" s="471" t="s">
        <v>751</v>
      </c>
    </row>
    <row r="685" spans="1:15" x14ac:dyDescent="0.25">
      <c r="A685" s="471" t="s">
        <v>5117</v>
      </c>
      <c r="B685" s="1139">
        <f t="shared" ca="1" si="161"/>
        <v>0</v>
      </c>
      <c r="C685" s="473">
        <f ca="1">IF(ISERROR(VLOOKUP($A$739,INDIRECT("notes_"&amp;LEFT($A$739,3)),4,0)),0,VLOOKUP($A$739,INDIRECT("notes_"&amp;LEFT($A$739,3)),4,0))</f>
        <v>0</v>
      </c>
      <c r="H685" s="471">
        <f t="shared" si="160"/>
        <v>4</v>
      </c>
      <c r="I685" s="471">
        <v>1</v>
      </c>
      <c r="J685" s="471" t="str">
        <f t="shared" si="162"/>
        <v>transpubsupopr-pym-oth</v>
      </c>
      <c r="K685" s="471" t="str">
        <f t="shared" si="163"/>
        <v>oth-inc</v>
      </c>
      <c r="L685" s="599"/>
      <c r="M685" s="471" t="s">
        <v>4958</v>
      </c>
      <c r="N685" s="471" t="s">
        <v>753</v>
      </c>
      <c r="O685" s="471" t="s">
        <v>751</v>
      </c>
    </row>
    <row r="686" spans="1:15" x14ac:dyDescent="0.25">
      <c r="A686" s="471" t="s">
        <v>5118</v>
      </c>
      <c r="B686" s="1139">
        <f t="shared" ca="1" si="161"/>
        <v>0</v>
      </c>
      <c r="C686" s="473">
        <f ca="1">IF(ISERROR(VLOOKUP($A$713,INDIRECT("notes_"&amp;LEFT($A$713,3)),4,0)),0,VLOOKUP($A$713,INDIRECT("notes_"&amp;LEFT($A$713,3)),4,0))</f>
        <v>0</v>
      </c>
      <c r="H686" s="471">
        <f t="shared" si="160"/>
        <v>4</v>
      </c>
      <c r="I686" s="471">
        <v>1</v>
      </c>
      <c r="J686" s="471" t="str">
        <f t="shared" si="162"/>
        <v>transpln-hghwys-mnt</v>
      </c>
      <c r="K686" s="471" t="str">
        <f t="shared" si="163"/>
        <v>tot-inc</v>
      </c>
      <c r="L686" s="599"/>
      <c r="M686" s="471" t="s">
        <v>4958</v>
      </c>
      <c r="N686" s="471" t="s">
        <v>753</v>
      </c>
      <c r="O686" s="471" t="s">
        <v>751</v>
      </c>
    </row>
    <row r="687" spans="1:15" x14ac:dyDescent="0.25">
      <c r="A687" s="471" t="s">
        <v>5119</v>
      </c>
      <c r="B687" s="1139">
        <f t="shared" ca="1" si="161"/>
        <v>0</v>
      </c>
      <c r="C687" s="473">
        <f ca="1">IF(ISERROR(VLOOKUP($A$714,INDIRECT("notes_"&amp;LEFT($A$714,3)),4,0)),0,VLOOKUP($A$714,INDIRECT("notes_"&amp;LEFT($A$714,3)),4,0))</f>
        <v>0</v>
      </c>
      <c r="H687" s="471">
        <f t="shared" si="160"/>
        <v>4</v>
      </c>
      <c r="I687" s="471">
        <v>1</v>
      </c>
      <c r="J687" s="471" t="str">
        <f t="shared" si="162"/>
        <v>transpln-pub-oth</v>
      </c>
      <c r="K687" s="471" t="str">
        <f t="shared" si="163"/>
        <v>tot-inc</v>
      </c>
      <c r="L687" s="599"/>
      <c r="M687" s="471" t="s">
        <v>4958</v>
      </c>
      <c r="N687" s="471" t="s">
        <v>753</v>
      </c>
      <c r="O687" s="471" t="s">
        <v>751</v>
      </c>
    </row>
    <row r="688" spans="1:15" x14ac:dyDescent="0.25">
      <c r="A688" s="471" t="s">
        <v>5120</v>
      </c>
      <c r="B688" s="1139">
        <f t="shared" ca="1" si="161"/>
        <v>0</v>
      </c>
      <c r="C688" s="473">
        <f ca="1">IF(ISERROR(VLOOKUP($A$715,INDIRECT("notes_"&amp;LEFT($A$715,3)),4,0)),0,VLOOKUP($A$715,INDIRECT("notes_"&amp;LEFT($A$715,3)),4,0))</f>
        <v>0</v>
      </c>
      <c r="H688" s="471">
        <f t="shared" si="160"/>
        <v>4</v>
      </c>
      <c r="I688" s="471">
        <v>1</v>
      </c>
      <c r="J688" s="471" t="str">
        <f t="shared" si="162"/>
        <v>transrdsmnt-prn-rds</v>
      </c>
      <c r="K688" s="471" t="str">
        <f t="shared" si="163"/>
        <v>tot-inc</v>
      </c>
      <c r="L688" s="599"/>
      <c r="M688" s="471" t="s">
        <v>4958</v>
      </c>
      <c r="N688" s="471" t="s">
        <v>753</v>
      </c>
      <c r="O688" s="471" t="s">
        <v>751</v>
      </c>
    </row>
    <row r="689" spans="1:22" x14ac:dyDescent="0.25">
      <c r="A689" s="471" t="s">
        <v>5121</v>
      </c>
      <c r="B689" s="1139">
        <f t="shared" ca="1" si="161"/>
        <v>0</v>
      </c>
      <c r="C689" s="473">
        <f ca="1">IF(ISERROR(VLOOKUP($A$716,INDIRECT("notes_"&amp;LEFT($A$716,3)),4,0)),0,VLOOKUP($A$716,INDIRECT("notes_"&amp;LEFT($A$716,3)),4,0))</f>
        <v>0</v>
      </c>
      <c r="H689" s="471">
        <f t="shared" si="160"/>
        <v>4</v>
      </c>
      <c r="I689" s="471">
        <v>1</v>
      </c>
      <c r="J689" s="471" t="str">
        <f t="shared" si="162"/>
        <v>transrdsmnt-oth-rds</v>
      </c>
      <c r="K689" s="471" t="str">
        <f t="shared" si="163"/>
        <v>tot-inc</v>
      </c>
      <c r="L689" s="599"/>
      <c r="M689" s="471" t="s">
        <v>4958</v>
      </c>
      <c r="N689" s="471" t="s">
        <v>753</v>
      </c>
      <c r="O689" s="471" t="s">
        <v>751</v>
      </c>
    </row>
    <row r="690" spans="1:22" x14ac:dyDescent="0.25">
      <c r="A690" s="471" t="s">
        <v>5122</v>
      </c>
      <c r="B690" s="1139">
        <f t="shared" ca="1" si="161"/>
        <v>0</v>
      </c>
      <c r="C690" s="473">
        <f ca="1">IF(ISERROR(VLOOKUP($A$717,INDIRECT("notes_"&amp;LEFT($A$717,3)),4,0)),0,VLOOKUP($A$717,INDIRECT("notes_"&amp;LEFT($A$717,3)),4,0))</f>
        <v>0</v>
      </c>
      <c r="H690" s="471">
        <f t="shared" si="160"/>
        <v>3</v>
      </c>
      <c r="I690" s="471">
        <v>1</v>
      </c>
      <c r="J690" s="471" t="str">
        <f t="shared" si="162"/>
        <v>transrdsmnt-brd</v>
      </c>
      <c r="K690" s="471" t="str">
        <f t="shared" si="163"/>
        <v>tot-inc</v>
      </c>
      <c r="L690" s="599"/>
      <c r="M690" s="471" t="s">
        <v>4958</v>
      </c>
      <c r="N690" s="471" t="s">
        <v>753</v>
      </c>
      <c r="O690" s="471" t="s">
        <v>751</v>
      </c>
    </row>
    <row r="691" spans="1:22" x14ac:dyDescent="0.25">
      <c r="A691" s="471" t="s">
        <v>5123</v>
      </c>
      <c r="B691" s="1139">
        <f t="shared" ca="1" si="161"/>
        <v>0</v>
      </c>
      <c r="C691" s="473">
        <f ca="1">IF(ISERROR(VLOOKUP($A$718,INDIRECT("notes_"&amp;LEFT($A$718,3)),4,0)),0,VLOOKUP($A$718,INDIRECT("notes_"&amp;LEFT($A$718,3)),4,0))</f>
        <v>0</v>
      </c>
      <c r="H691" s="471">
        <f t="shared" si="160"/>
        <v>4</v>
      </c>
      <c r="I691" s="471">
        <v>1</v>
      </c>
      <c r="J691" s="471" t="str">
        <f t="shared" si="162"/>
        <v>transrdsenv-prn-rds</v>
      </c>
      <c r="K691" s="471" t="str">
        <f t="shared" si="163"/>
        <v>tot-inc</v>
      </c>
      <c r="L691" s="599"/>
      <c r="M691" s="471" t="s">
        <v>4958</v>
      </c>
      <c r="N691" s="471" t="s">
        <v>753</v>
      </c>
      <c r="O691" s="471" t="s">
        <v>751</v>
      </c>
    </row>
    <row r="692" spans="1:22" x14ac:dyDescent="0.25">
      <c r="A692" s="471" t="s">
        <v>5124</v>
      </c>
      <c r="B692" s="1139">
        <f t="shared" ca="1" si="161"/>
        <v>0</v>
      </c>
      <c r="C692" s="473">
        <f ca="1">IF(ISERROR(VLOOKUP($A$719,INDIRECT("notes_"&amp;LEFT($A$719,3)),4,0)),0,VLOOKUP($A$719,INDIRECT("notes_"&amp;LEFT($A$719,3)),4,0))</f>
        <v>0</v>
      </c>
      <c r="H692" s="471">
        <f t="shared" si="160"/>
        <v>4</v>
      </c>
      <c r="I692" s="471">
        <v>1</v>
      </c>
      <c r="J692" s="471" t="str">
        <f t="shared" si="162"/>
        <v>transrdsenv-oth-rds</v>
      </c>
      <c r="K692" s="471" t="str">
        <f t="shared" si="163"/>
        <v>tot-inc</v>
      </c>
      <c r="L692" s="599"/>
      <c r="M692" s="471" t="s">
        <v>4958</v>
      </c>
      <c r="N692" s="471" t="s">
        <v>753</v>
      </c>
      <c r="O692" s="471" t="s">
        <v>751</v>
      </c>
    </row>
    <row r="693" spans="1:22" x14ac:dyDescent="0.25">
      <c r="A693" s="471" t="s">
        <v>5125</v>
      </c>
      <c r="B693" s="1139">
        <f t="shared" ca="1" si="161"/>
        <v>0</v>
      </c>
      <c r="C693" s="473">
        <f ca="1">IF(ISERROR(VLOOKUP($A$720,INDIRECT("notes_"&amp;LEFT($A$720,3)),4,0)),0,VLOOKUP($A$720,INDIRECT("notes_"&amp;LEFT($A$720,3)),4,0))</f>
        <v>0</v>
      </c>
      <c r="H693" s="471">
        <f t="shared" si="160"/>
        <v>2</v>
      </c>
      <c r="I693" s="471">
        <v>1</v>
      </c>
      <c r="J693" s="471" t="str">
        <f t="shared" si="162"/>
        <v>transrdswnt</v>
      </c>
      <c r="K693" s="471" t="str">
        <f t="shared" si="163"/>
        <v>tot-inc</v>
      </c>
      <c r="L693" s="599"/>
      <c r="M693" s="471" t="s">
        <v>4958</v>
      </c>
      <c r="N693" s="471" t="s">
        <v>753</v>
      </c>
      <c r="O693" s="471" t="s">
        <v>751</v>
      </c>
    </row>
    <row r="694" spans="1:22" x14ac:dyDescent="0.25">
      <c r="A694" s="471" t="s">
        <v>5126</v>
      </c>
      <c r="B694" s="1139">
        <f t="shared" ca="1" si="161"/>
        <v>0</v>
      </c>
      <c r="C694" s="473">
        <f ca="1">IF(ISERROR(VLOOKUP($A$721,INDIRECT("notes_"&amp;LEFT($A$721,3)),4,0)),0,VLOOKUP($A$721,INDIRECT("notes_"&amp;LEFT($A$721,3)),4,0))</f>
        <v>0</v>
      </c>
      <c r="H694" s="471">
        <f t="shared" si="160"/>
        <v>2</v>
      </c>
      <c r="I694" s="471">
        <v>1</v>
      </c>
      <c r="J694" s="471" t="str">
        <f t="shared" si="162"/>
        <v>transrdslgh</v>
      </c>
      <c r="K694" s="471" t="str">
        <f t="shared" si="163"/>
        <v>tot-inc</v>
      </c>
      <c r="L694" s="599"/>
      <c r="M694" s="471" t="s">
        <v>4958</v>
      </c>
      <c r="N694" s="471" t="s">
        <v>753</v>
      </c>
      <c r="O694" s="471" t="s">
        <v>751</v>
      </c>
    </row>
    <row r="695" spans="1:22" x14ac:dyDescent="0.25">
      <c r="A695" s="471" t="s">
        <v>5127</v>
      </c>
      <c r="B695" s="1139">
        <f t="shared" ca="1" si="161"/>
        <v>0</v>
      </c>
      <c r="C695" s="473">
        <f ca="1">IF(ISERROR(VLOOKUP($A$722,INDIRECT("notes_"&amp;LEFT($A$722,3)),4,0)),0,VLOOKUP($A$722,INDIRECT("notes_"&amp;LEFT($A$722,3)),4,0))</f>
        <v>0</v>
      </c>
      <c r="H695" s="471">
        <f t="shared" si="160"/>
        <v>2</v>
      </c>
      <c r="I695" s="471">
        <v>1</v>
      </c>
      <c r="J695" s="471" t="str">
        <f t="shared" si="162"/>
        <v>transrdstrfcng</v>
      </c>
      <c r="K695" s="471" t="str">
        <f t="shared" si="163"/>
        <v>tot-inc</v>
      </c>
      <c r="L695" s="599"/>
      <c r="M695" s="471" t="s">
        <v>4958</v>
      </c>
      <c r="N695" s="471" t="s">
        <v>753</v>
      </c>
      <c r="O695" s="471" t="s">
        <v>751</v>
      </c>
    </row>
    <row r="696" spans="1:22" x14ac:dyDescent="0.25">
      <c r="A696" s="471" t="s">
        <v>5128</v>
      </c>
      <c r="B696" s="1139">
        <f t="shared" ca="1" si="161"/>
        <v>0</v>
      </c>
      <c r="C696" s="473">
        <f ca="1">IF(ISERROR(VLOOKUP($A$723,INDIRECT("notes_"&amp;LEFT($A$723,3)),4,0)),0,VLOOKUP($A$723,INDIRECT("notes_"&amp;LEFT($A$723,3)),4,0))</f>
        <v>0</v>
      </c>
      <c r="H696" s="471">
        <f t="shared" si="160"/>
        <v>2</v>
      </c>
      <c r="I696" s="471">
        <v>1</v>
      </c>
      <c r="J696" s="471" t="str">
        <f t="shared" si="162"/>
        <v>transrdstrfbs</v>
      </c>
      <c r="K696" s="471" t="str">
        <f t="shared" si="163"/>
        <v>tot-inc</v>
      </c>
      <c r="L696" s="599"/>
      <c r="M696" s="471" t="s">
        <v>4958</v>
      </c>
      <c r="N696" s="471" t="s">
        <v>753</v>
      </c>
      <c r="O696" s="471" t="s">
        <v>751</v>
      </c>
      <c r="V696" s="280"/>
    </row>
    <row r="697" spans="1:22" x14ac:dyDescent="0.25">
      <c r="A697" s="471" t="s">
        <v>5129</v>
      </c>
      <c r="B697" s="1139">
        <f t="shared" ca="1" si="161"/>
        <v>0</v>
      </c>
      <c r="C697" s="473">
        <f ca="1">IF(ISERROR(VLOOKUP($A$724,INDIRECT("notes_"&amp;LEFT($A$724,3)),4,0)),0,VLOOKUP($A$724,INDIRECT("notes_"&amp;LEFT($A$724,3)),4,0))</f>
        <v>0</v>
      </c>
      <c r="H697" s="471">
        <f t="shared" si="160"/>
        <v>2</v>
      </c>
      <c r="I697" s="471">
        <v>1</v>
      </c>
      <c r="J697" s="471" t="str">
        <f t="shared" si="162"/>
        <v>transrdstrfsft</v>
      </c>
      <c r="K697" s="471" t="str">
        <f t="shared" si="163"/>
        <v>tot-inc</v>
      </c>
      <c r="L697" s="599"/>
      <c r="M697" s="471" t="s">
        <v>4958</v>
      </c>
      <c r="N697" s="471" t="s">
        <v>753</v>
      </c>
      <c r="O697" s="471" t="s">
        <v>751</v>
      </c>
    </row>
    <row r="698" spans="1:22" x14ac:dyDescent="0.25">
      <c r="A698" s="471" t="s">
        <v>5130</v>
      </c>
      <c r="B698" s="1139">
        <f t="shared" ca="1" si="161"/>
        <v>0</v>
      </c>
      <c r="C698" s="473">
        <f ca="1">IF(ISERROR(VLOOKUP($A$725,INDIRECT("notes_"&amp;LEFT($A$725,3)),4,0)),0,VLOOKUP($A$725,INDIRECT("notes_"&amp;LEFT($A$725,3)),4,0))</f>
        <v>0</v>
      </c>
      <c r="H698" s="471">
        <f t="shared" si="160"/>
        <v>2</v>
      </c>
      <c r="I698" s="471">
        <v>1</v>
      </c>
      <c r="J698" s="471" t="str">
        <f t="shared" si="162"/>
        <v>transrdstrfoth</v>
      </c>
      <c r="K698" s="471" t="str">
        <f t="shared" si="163"/>
        <v>tot-inc</v>
      </c>
      <c r="L698" s="599"/>
      <c r="M698" s="471" t="s">
        <v>4958</v>
      </c>
      <c r="N698" s="471" t="s">
        <v>753</v>
      </c>
      <c r="O698" s="471" t="s">
        <v>751</v>
      </c>
    </row>
    <row r="699" spans="1:22" x14ac:dyDescent="0.25">
      <c r="A699" s="471" t="s">
        <v>5131</v>
      </c>
      <c r="B699" s="1139">
        <f t="shared" ca="1" si="161"/>
        <v>0</v>
      </c>
      <c r="C699" s="473">
        <f ca="1">IF(ISERROR(VLOOKUP($A$726,INDIRECT("notes_"&amp;LEFT($A$726,3)),4,0)),0,VLOOKUP($A$726,INDIRECT("notes_"&amp;LEFT($A$726,3)),4,0))</f>
        <v>0</v>
      </c>
      <c r="H699" s="471">
        <f t="shared" si="160"/>
        <v>5</v>
      </c>
      <c r="I699" s="471">
        <v>1</v>
      </c>
      <c r="J699" s="471" t="str">
        <f t="shared" si="162"/>
        <v>transprk-on-str-prk</v>
      </c>
      <c r="K699" s="471" t="str">
        <f t="shared" si="163"/>
        <v>tot-inc</v>
      </c>
      <c r="L699" s="599"/>
      <c r="M699" s="471" t="s">
        <v>4958</v>
      </c>
      <c r="N699" s="471" t="s">
        <v>753</v>
      </c>
      <c r="O699" s="471" t="s">
        <v>751</v>
      </c>
    </row>
    <row r="700" spans="1:22" x14ac:dyDescent="0.25">
      <c r="A700" s="471" t="s">
        <v>5132</v>
      </c>
      <c r="B700" s="1139">
        <f t="shared" ca="1" si="161"/>
        <v>0</v>
      </c>
      <c r="C700" s="473">
        <f ca="1">IF(ISERROR(VLOOKUP($A$727,INDIRECT("notes_"&amp;LEFT($A$727,3)),4,0)),0,VLOOKUP($A$727,INDIRECT("notes_"&amp;LEFT($A$727,3)),4,0))</f>
        <v>0</v>
      </c>
      <c r="H700" s="471">
        <f t="shared" si="160"/>
        <v>5</v>
      </c>
      <c r="I700" s="471">
        <v>1</v>
      </c>
      <c r="J700" s="471" t="str">
        <f t="shared" si="162"/>
        <v>transprk-off-str-prk</v>
      </c>
      <c r="K700" s="471" t="str">
        <f t="shared" si="163"/>
        <v>tot-inc</v>
      </c>
      <c r="L700" s="599"/>
      <c r="M700" s="471" t="s">
        <v>4958</v>
      </c>
      <c r="N700" s="471" t="s">
        <v>753</v>
      </c>
      <c r="O700" s="471" t="s">
        <v>751</v>
      </c>
    </row>
    <row r="701" spans="1:22" x14ac:dyDescent="0.25">
      <c r="A701" s="471" t="s">
        <v>5133</v>
      </c>
      <c r="B701" s="1139">
        <f t="shared" ca="1" si="161"/>
        <v>0</v>
      </c>
      <c r="C701" s="473">
        <f ca="1">IF(ISERROR(VLOOKUP($A$728,INDIRECT("notes_"&amp;LEFT($A$728,3)),4,0)),0,VLOOKUP($A$728,INDIRECT("notes_"&amp;LEFT($A$728,3)),4,0))</f>
        <v>0</v>
      </c>
      <c r="H701" s="471">
        <f t="shared" si="160"/>
        <v>2</v>
      </c>
      <c r="I701" s="471">
        <v>1</v>
      </c>
      <c r="J701" s="471" t="str">
        <f t="shared" si="162"/>
        <v>transpblstt</v>
      </c>
      <c r="K701" s="471" t="str">
        <f t="shared" si="163"/>
        <v>tot-inc</v>
      </c>
      <c r="L701" s="599"/>
      <c r="M701" s="471" t="s">
        <v>4958</v>
      </c>
      <c r="N701" s="471" t="s">
        <v>753</v>
      </c>
      <c r="O701" s="471" t="s">
        <v>751</v>
      </c>
    </row>
    <row r="702" spans="1:22" x14ac:dyDescent="0.25">
      <c r="A702" s="471" t="s">
        <v>5134</v>
      </c>
      <c r="B702" s="1139">
        <f t="shared" ca="1" si="161"/>
        <v>0</v>
      </c>
      <c r="C702" s="473">
        <f ca="1">IF(ISERROR(VLOOKUP($A$729,INDIRECT("notes_"&amp;LEFT($A$729,3)),4,0)),0,VLOOKUP($A$729,INDIRECT("notes_"&amp;LEFT($A$729,3)),4,0))</f>
        <v>0</v>
      </c>
      <c r="H702" s="471">
        <f t="shared" si="160"/>
        <v>2</v>
      </c>
      <c r="I702" s="471">
        <v>1</v>
      </c>
      <c r="J702" s="471" t="str">
        <f t="shared" si="162"/>
        <v>transpbldsc</v>
      </c>
      <c r="K702" s="471" t="str">
        <f t="shared" si="163"/>
        <v>tot-inc</v>
      </c>
      <c r="L702" s="599"/>
      <c r="M702" s="471" t="s">
        <v>4958</v>
      </c>
      <c r="N702" s="471" t="s">
        <v>753</v>
      </c>
      <c r="O702" s="471" t="s">
        <v>751</v>
      </c>
    </row>
    <row r="703" spans="1:22" x14ac:dyDescent="0.25">
      <c r="A703" s="471" t="s">
        <v>5135</v>
      </c>
      <c r="B703" s="1139">
        <f t="shared" ca="1" si="161"/>
        <v>0</v>
      </c>
      <c r="C703" s="473">
        <f ca="1">IF(ISERROR(VLOOKUP($A$730,INDIRECT("notes_"&amp;LEFT($A$730,3)),4,0)),0,VLOOKUP($A$730,INDIRECT("notes_"&amp;LEFT($A$730,3)),4,0))</f>
        <v>0</v>
      </c>
      <c r="H703" s="471">
        <f t="shared" si="160"/>
        <v>3</v>
      </c>
      <c r="I703" s="471">
        <v>1</v>
      </c>
      <c r="J703" s="471" t="str">
        <f t="shared" si="162"/>
        <v>transpblopr-bus</v>
      </c>
      <c r="K703" s="471" t="str">
        <f t="shared" si="163"/>
        <v>tot-inc</v>
      </c>
      <c r="L703" s="599"/>
      <c r="M703" s="471" t="s">
        <v>4958</v>
      </c>
      <c r="N703" s="471" t="s">
        <v>753</v>
      </c>
      <c r="O703" s="471" t="s">
        <v>751</v>
      </c>
    </row>
    <row r="704" spans="1:22" x14ac:dyDescent="0.25">
      <c r="A704" s="471" t="s">
        <v>5136</v>
      </c>
      <c r="B704" s="1139">
        <f t="shared" ca="1" si="161"/>
        <v>0</v>
      </c>
      <c r="C704" s="473">
        <f ca="1">IF(ISERROR(VLOOKUP($A$731,INDIRECT("notes_"&amp;LEFT($A$731,3)),4,0)),0,VLOOKUP($A$731,INDIRECT("notes_"&amp;LEFT($A$731,3)),4,0))</f>
        <v>0</v>
      </c>
      <c r="H704" s="471">
        <f t="shared" si="160"/>
        <v>3</v>
      </c>
      <c r="I704" s="471">
        <v>1</v>
      </c>
      <c r="J704" s="471" t="str">
        <f t="shared" si="162"/>
        <v>transpblopr-rail</v>
      </c>
      <c r="K704" s="471" t="str">
        <f t="shared" si="163"/>
        <v>tot-inc</v>
      </c>
      <c r="L704" s="599"/>
      <c r="M704" s="471" t="s">
        <v>4958</v>
      </c>
      <c r="N704" s="471" t="s">
        <v>753</v>
      </c>
      <c r="O704" s="471" t="s">
        <v>751</v>
      </c>
    </row>
    <row r="705" spans="1:15" x14ac:dyDescent="0.25">
      <c r="A705" s="471" t="s">
        <v>5137</v>
      </c>
      <c r="B705" s="1139">
        <f t="shared" ca="1" si="161"/>
        <v>0</v>
      </c>
      <c r="C705" s="473">
        <f ca="1">IF(ISERROR(VLOOKUP($A$732,INDIRECT("notes_"&amp;LEFT($A$732,3)),4,0)),0,VLOOKUP($A$732,INDIRECT("notes_"&amp;LEFT($A$732,3)),4,0))</f>
        <v>0</v>
      </c>
      <c r="H705" s="471">
        <f t="shared" si="160"/>
        <v>3</v>
      </c>
      <c r="I705" s="471">
        <v>1</v>
      </c>
      <c r="J705" s="471" t="str">
        <f t="shared" si="162"/>
        <v>transpblopr-oth</v>
      </c>
      <c r="K705" s="471" t="str">
        <f t="shared" si="163"/>
        <v>tot-inc</v>
      </c>
      <c r="L705" s="599"/>
      <c r="M705" s="471" t="s">
        <v>4958</v>
      </c>
      <c r="N705" s="471" t="s">
        <v>753</v>
      </c>
      <c r="O705" s="471" t="s">
        <v>751</v>
      </c>
    </row>
    <row r="706" spans="1:15" x14ac:dyDescent="0.25">
      <c r="A706" s="471" t="s">
        <v>5138</v>
      </c>
      <c r="B706" s="1139">
        <f t="shared" ca="1" si="161"/>
        <v>0</v>
      </c>
      <c r="C706" s="473">
        <f ca="1">IF(ISERROR(VLOOKUP($A$733,INDIRECT("notes_"&amp;LEFT($A$733,3)),4,0)),0,VLOOKUP($A$733,INDIRECT("notes_"&amp;LEFT($A$733,3)),4,0))</f>
        <v>0</v>
      </c>
      <c r="H706" s="471">
        <f t="shared" si="160"/>
        <v>2</v>
      </c>
      <c r="I706" s="471">
        <v>1</v>
      </c>
      <c r="J706" s="471" t="str">
        <f t="shared" si="162"/>
        <v>transpblcrd</v>
      </c>
      <c r="K706" s="471" t="str">
        <f t="shared" si="163"/>
        <v>tot-inc</v>
      </c>
      <c r="L706" s="599"/>
      <c r="M706" s="471" t="s">
        <v>4958</v>
      </c>
      <c r="N706" s="471" t="s">
        <v>753</v>
      </c>
      <c r="O706" s="471" t="s">
        <v>751</v>
      </c>
    </row>
    <row r="707" spans="1:15" x14ac:dyDescent="0.25">
      <c r="A707" s="471" t="s">
        <v>5139</v>
      </c>
      <c r="B707" s="1139">
        <f t="shared" ca="1" si="161"/>
        <v>0</v>
      </c>
      <c r="C707" s="473">
        <f ca="1">IF(ISERROR(VLOOKUP($A$734,INDIRECT("notes_"&amp;LEFT($A$734,3)),4,0)),0,VLOOKUP($A$734,INDIRECT("notes_"&amp;LEFT($A$734,3)),4,0))</f>
        <v>0</v>
      </c>
      <c r="H707" s="471">
        <f t="shared" si="160"/>
        <v>2</v>
      </c>
      <c r="I707" s="471">
        <v>1</v>
      </c>
      <c r="J707" s="471" t="str">
        <f t="shared" si="162"/>
        <v>transaht</v>
      </c>
      <c r="K707" s="471" t="str">
        <f t="shared" si="163"/>
        <v>tot-inc</v>
      </c>
      <c r="L707" s="599"/>
      <c r="M707" s="471" t="s">
        <v>4958</v>
      </c>
      <c r="N707" s="471" t="s">
        <v>753</v>
      </c>
      <c r="O707" s="471" t="s">
        <v>751</v>
      </c>
    </row>
    <row r="708" spans="1:15" x14ac:dyDescent="0.25">
      <c r="A708" s="471" t="s">
        <v>5140</v>
      </c>
      <c r="B708" s="1139">
        <f t="shared" ca="1" si="161"/>
        <v>0</v>
      </c>
      <c r="C708" s="473">
        <f ca="1">IF(ISERROR(VLOOKUP($A$735,INDIRECT("notes_"&amp;LEFT($A$735,3)),4,0)),0,VLOOKUP($A$735,INDIRECT("notes_"&amp;LEFT($A$735,3)),4,0))</f>
        <v>0</v>
      </c>
      <c r="H708" s="471">
        <f t="shared" si="160"/>
        <v>2</v>
      </c>
      <c r="I708" s="471">
        <v>1</v>
      </c>
      <c r="J708" s="471" t="str">
        <f t="shared" si="162"/>
        <v>transtot</v>
      </c>
      <c r="K708" s="471" t="str">
        <f t="shared" si="163"/>
        <v>tot-inc</v>
      </c>
      <c r="L708" s="599"/>
      <c r="M708" s="471" t="s">
        <v>4958</v>
      </c>
      <c r="N708" s="471" t="s">
        <v>753</v>
      </c>
      <c r="O708" s="471" t="s">
        <v>751</v>
      </c>
    </row>
    <row r="709" spans="1:15" x14ac:dyDescent="0.25">
      <c r="A709" s="471" t="s">
        <v>5141</v>
      </c>
      <c r="B709" s="1139">
        <f t="shared" ca="1" si="161"/>
        <v>0</v>
      </c>
      <c r="C709" s="473">
        <f ca="1">IF(ISERROR(VLOOKUP($A$736,INDIRECT("notes_"&amp;LEFT($A$736,3)),4,0)),0,VLOOKUP($A$736,INDIRECT("notes_"&amp;LEFT($A$736,3)),4,0))</f>
        <v>0</v>
      </c>
      <c r="H709" s="471">
        <f t="shared" si="160"/>
        <v>4</v>
      </c>
      <c r="I709" s="471">
        <v>1</v>
      </c>
      <c r="J709" s="471" t="str">
        <f t="shared" si="162"/>
        <v>transthrprtlbtclm-str-mnt</v>
      </c>
      <c r="K709" s="471" t="str">
        <f t="shared" si="163"/>
        <v>tot-inc</v>
      </c>
      <c r="L709" s="599"/>
      <c r="M709" s="471" t="s">
        <v>4958</v>
      </c>
      <c r="N709" s="471" t="s">
        <v>753</v>
      </c>
      <c r="O709" s="471" t="s">
        <v>751</v>
      </c>
    </row>
    <row r="710" spans="1:15" x14ac:dyDescent="0.25">
      <c r="A710" s="471" t="s">
        <v>5142</v>
      </c>
      <c r="B710" s="1139">
        <f t="shared" ca="1" si="161"/>
        <v>0</v>
      </c>
      <c r="C710" s="473">
        <f ca="1">IF(ISERROR(VLOOKUP($A$737,INDIRECT("notes_"&amp;LEFT($A$737,3)),4,0)),0,VLOOKUP($A$737,INDIRECT("notes_"&amp;LEFT($A$737,3)),4,0))</f>
        <v>0</v>
      </c>
      <c r="H710" s="471">
        <f t="shared" si="160"/>
        <v>4</v>
      </c>
      <c r="I710" s="471">
        <v>1</v>
      </c>
      <c r="J710" s="471" t="str">
        <f t="shared" si="162"/>
        <v>transpubsupopr-pym-bus</v>
      </c>
      <c r="K710" s="471" t="str">
        <f t="shared" si="163"/>
        <v>tot-inc</v>
      </c>
      <c r="L710" s="599"/>
      <c r="M710" s="471" t="s">
        <v>4958</v>
      </c>
      <c r="N710" s="471" t="s">
        <v>753</v>
      </c>
      <c r="O710" s="471" t="s">
        <v>751</v>
      </c>
    </row>
    <row r="711" spans="1:15" x14ac:dyDescent="0.25">
      <c r="A711" s="471" t="s">
        <v>5143</v>
      </c>
      <c r="B711" s="1139">
        <f t="shared" ca="1" si="161"/>
        <v>0</v>
      </c>
      <c r="C711" s="473">
        <f ca="1">IF(ISERROR(VLOOKUP($A$738,INDIRECT("notes_"&amp;LEFT($A$738,3)),4,0)),0,VLOOKUP($A$738,INDIRECT("notes_"&amp;LEFT($A$738,3)),4,0))</f>
        <v>0</v>
      </c>
      <c r="H711" s="471">
        <f t="shared" si="160"/>
        <v>4</v>
      </c>
      <c r="I711" s="471">
        <v>1</v>
      </c>
      <c r="J711" s="471" t="str">
        <f t="shared" si="162"/>
        <v>transpubsupopr-pym-rail</v>
      </c>
      <c r="K711" s="471" t="str">
        <f t="shared" si="163"/>
        <v>tot-inc</v>
      </c>
      <c r="L711" s="599"/>
      <c r="M711" s="471" t="s">
        <v>4958</v>
      </c>
      <c r="N711" s="471" t="s">
        <v>753</v>
      </c>
      <c r="O711" s="471" t="s">
        <v>751</v>
      </c>
    </row>
    <row r="712" spans="1:15" x14ac:dyDescent="0.25">
      <c r="A712" s="471" t="s">
        <v>5144</v>
      </c>
      <c r="B712" s="1139">
        <f t="shared" ca="1" si="161"/>
        <v>0</v>
      </c>
      <c r="C712" s="473">
        <f ca="1">IF(ISERROR(VLOOKUP($A$739,INDIRECT("notes_"&amp;LEFT($A$739,3)),4,0)),0,VLOOKUP($A$739,INDIRECT("notes_"&amp;LEFT($A$739,3)),4,0))</f>
        <v>0</v>
      </c>
      <c r="H712" s="471">
        <f t="shared" si="160"/>
        <v>4</v>
      </c>
      <c r="I712" s="471">
        <v>1</v>
      </c>
      <c r="J712" s="471" t="str">
        <f t="shared" si="162"/>
        <v>transpubsupopr-pym-oth</v>
      </c>
      <c r="K712" s="471" t="str">
        <f t="shared" si="163"/>
        <v>tot-inc</v>
      </c>
      <c r="L712" s="599"/>
      <c r="M712" s="471" t="s">
        <v>4958</v>
      </c>
      <c r="N712" s="471" t="s">
        <v>753</v>
      </c>
      <c r="O712" s="471" t="s">
        <v>751</v>
      </c>
    </row>
    <row r="713" spans="1:15" x14ac:dyDescent="0.25">
      <c r="A713" s="471" t="s">
        <v>2009</v>
      </c>
      <c r="B713" s="1139">
        <f t="shared" ca="1" si="161"/>
        <v>0</v>
      </c>
      <c r="C713" s="473">
        <f ca="1">IF(ISERROR(VLOOKUP($A$713,INDIRECT("notes_"&amp;LEFT($A$713,3)),4,0)),0,VLOOKUP($A$713,INDIRECT("notes_"&amp;LEFT($A$713,3)),4,0))</f>
        <v>0</v>
      </c>
      <c r="D713" s="472" t="str">
        <f>'RO2'!N32</f>
        <v/>
      </c>
      <c r="E713" s="472" t="str">
        <f>'RO2'!O32</f>
        <v/>
      </c>
      <c r="F713" s="472" t="str">
        <f>'RO2'!Q32</f>
        <v/>
      </c>
      <c r="H713" s="471">
        <f t="shared" si="160"/>
        <v>4</v>
      </c>
      <c r="I713" s="471">
        <v>2</v>
      </c>
      <c r="J713" s="471" t="str">
        <f t="shared" si="162"/>
        <v>transpln-hghwys-mnt</v>
      </c>
      <c r="K713" s="471" t="str">
        <f t="shared" si="163"/>
        <v>net-cur-exp</v>
      </c>
      <c r="L713" s="599"/>
      <c r="M713" s="471" t="s">
        <v>4958</v>
      </c>
      <c r="N713" s="471" t="s">
        <v>753</v>
      </c>
      <c r="O713" s="471" t="s">
        <v>751</v>
      </c>
    </row>
    <row r="714" spans="1:15" x14ac:dyDescent="0.25">
      <c r="A714" s="471" t="s">
        <v>2011</v>
      </c>
      <c r="B714" s="1139">
        <f t="shared" ca="1" si="161"/>
        <v>0</v>
      </c>
      <c r="C714" s="473">
        <f ca="1">IF(ISERROR(VLOOKUP($A$714,INDIRECT("notes_"&amp;LEFT($A$714,3)),4,0)),0,VLOOKUP($A$714,INDIRECT("notes_"&amp;LEFT($A$714,3)),4,0))</f>
        <v>0</v>
      </c>
      <c r="D714" s="472" t="str">
        <f>'RO2'!N33</f>
        <v/>
      </c>
      <c r="E714" s="472" t="str">
        <f>'RO2'!O33</f>
        <v/>
      </c>
      <c r="F714" s="472" t="str">
        <f>'RO2'!Q33</f>
        <v/>
      </c>
      <c r="H714" s="471">
        <f t="shared" si="160"/>
        <v>4</v>
      </c>
      <c r="I714" s="471">
        <v>2</v>
      </c>
      <c r="J714" s="471" t="str">
        <f t="shared" si="162"/>
        <v>transpln-pub-oth</v>
      </c>
      <c r="K714" s="471" t="str">
        <f t="shared" si="163"/>
        <v>net-cur-exp</v>
      </c>
      <c r="L714" s="599"/>
      <c r="M714" s="471" t="s">
        <v>4958</v>
      </c>
      <c r="N714" s="471" t="s">
        <v>753</v>
      </c>
      <c r="O714" s="471" t="s">
        <v>751</v>
      </c>
    </row>
    <row r="715" spans="1:15" x14ac:dyDescent="0.25">
      <c r="A715" s="471" t="s">
        <v>2012</v>
      </c>
      <c r="B715" s="1139">
        <f t="shared" ca="1" si="161"/>
        <v>0</v>
      </c>
      <c r="C715" s="473">
        <f ca="1">IF(ISERROR(VLOOKUP($A$715,INDIRECT("notes_"&amp;LEFT($A$715,3)),4,0)),0,VLOOKUP($A$715,INDIRECT("notes_"&amp;LEFT($A$715,3)),4,0))</f>
        <v>0</v>
      </c>
      <c r="D715" s="472" t="str">
        <f>'RO2'!N36</f>
        <v/>
      </c>
      <c r="E715" s="472" t="str">
        <f>'RO2'!O36</f>
        <v/>
      </c>
      <c r="F715" s="472" t="str">
        <f>'RO2'!Q36</f>
        <v/>
      </c>
      <c r="H715" s="471">
        <f t="shared" si="160"/>
        <v>4</v>
      </c>
      <c r="I715" s="471">
        <v>2</v>
      </c>
      <c r="J715" s="471" t="str">
        <f t="shared" si="162"/>
        <v>transrdsmnt-prn-rds</v>
      </c>
      <c r="K715" s="471" t="str">
        <f t="shared" si="163"/>
        <v>net-cur-exp</v>
      </c>
      <c r="L715" s="599"/>
      <c r="M715" s="471" t="s">
        <v>4958</v>
      </c>
      <c r="N715" s="471" t="s">
        <v>753</v>
      </c>
      <c r="O715" s="471" t="s">
        <v>751</v>
      </c>
    </row>
    <row r="716" spans="1:15" x14ac:dyDescent="0.25">
      <c r="A716" s="471" t="s">
        <v>2013</v>
      </c>
      <c r="B716" s="1139">
        <f t="shared" ca="1" si="161"/>
        <v>0</v>
      </c>
      <c r="C716" s="473">
        <f ca="1">IF(ISERROR(VLOOKUP($A$716,INDIRECT("notes_"&amp;LEFT($A$716,3)),4,0)),0,VLOOKUP($A$716,INDIRECT("notes_"&amp;LEFT($A$716,3)),4,0))</f>
        <v>0</v>
      </c>
      <c r="D716" s="472" t="str">
        <f>'RO2'!N37</f>
        <v/>
      </c>
      <c r="E716" s="472" t="str">
        <f>'RO2'!O37</f>
        <v/>
      </c>
      <c r="F716" s="472" t="str">
        <f>'RO2'!Q37</f>
        <v/>
      </c>
      <c r="H716" s="471">
        <f t="shared" si="160"/>
        <v>4</v>
      </c>
      <c r="I716" s="471">
        <v>2</v>
      </c>
      <c r="J716" s="471" t="str">
        <f t="shared" si="162"/>
        <v>transrdsmnt-oth-rds</v>
      </c>
      <c r="K716" s="471" t="str">
        <f t="shared" si="163"/>
        <v>net-cur-exp</v>
      </c>
      <c r="L716" s="599"/>
      <c r="M716" s="471" t="s">
        <v>4958</v>
      </c>
      <c r="N716" s="471" t="s">
        <v>753</v>
      </c>
      <c r="O716" s="471" t="s">
        <v>751</v>
      </c>
    </row>
    <row r="717" spans="1:15" x14ac:dyDescent="0.25">
      <c r="A717" s="471" t="s">
        <v>2014</v>
      </c>
      <c r="B717" s="1139">
        <f t="shared" ca="1" si="161"/>
        <v>0</v>
      </c>
      <c r="C717" s="473">
        <f ca="1">IF(ISERROR(VLOOKUP($A$717,INDIRECT("notes_"&amp;LEFT($A$717,3)),4,0)),0,VLOOKUP($A$717,INDIRECT("notes_"&amp;LEFT($A$717,3)),4,0))</f>
        <v>0</v>
      </c>
      <c r="D717" s="472" t="str">
        <f>'RO2'!N38</f>
        <v/>
      </c>
      <c r="E717" s="472" t="str">
        <f>'RO2'!O38</f>
        <v/>
      </c>
      <c r="F717" s="472" t="str">
        <f>'RO2'!Q38</f>
        <v/>
      </c>
      <c r="H717" s="471">
        <f t="shared" si="160"/>
        <v>3</v>
      </c>
      <c r="I717" s="471">
        <v>2</v>
      </c>
      <c r="J717" s="471" t="str">
        <f t="shared" si="162"/>
        <v>transrdsmnt-brd</v>
      </c>
      <c r="K717" s="471" t="str">
        <f t="shared" si="163"/>
        <v>net-cur-exp</v>
      </c>
      <c r="L717" s="599"/>
      <c r="M717" s="471" t="s">
        <v>4958</v>
      </c>
      <c r="N717" s="471" t="s">
        <v>753</v>
      </c>
      <c r="O717" s="471" t="s">
        <v>751</v>
      </c>
    </row>
    <row r="718" spans="1:15" ht="13" x14ac:dyDescent="0.3">
      <c r="A718" s="471" t="s">
        <v>5145</v>
      </c>
      <c r="B718" s="1139">
        <f t="shared" ca="1" si="161"/>
        <v>0</v>
      </c>
      <c r="C718" s="473">
        <f ca="1">IF(ISERROR(VLOOKUP($A$718,INDIRECT("notes_"&amp;LEFT($A$718,3)),4,0)),0,VLOOKUP($A$718,INDIRECT("notes_"&amp;LEFT($A$718,3)),4,0))</f>
        <v>0</v>
      </c>
      <c r="D718" s="472" t="str">
        <f>'RO2'!N39</f>
        <v/>
      </c>
      <c r="E718" s="472" t="str">
        <f>'RO2'!O39</f>
        <v/>
      </c>
      <c r="F718" s="472" t="str">
        <f>'RO2'!Q39</f>
        <v/>
      </c>
      <c r="H718" s="471">
        <f t="shared" si="160"/>
        <v>4</v>
      </c>
      <c r="I718" s="471">
        <v>2</v>
      </c>
      <c r="J718" s="471" t="str">
        <f t="shared" si="162"/>
        <v>transrdsenv-prn-rds</v>
      </c>
      <c r="K718" s="471" t="str">
        <f t="shared" si="163"/>
        <v>net-cur-exp</v>
      </c>
      <c r="L718" s="599"/>
      <c r="M718" s="471" t="s">
        <v>4958</v>
      </c>
      <c r="N718" s="471" t="s">
        <v>753</v>
      </c>
      <c r="O718" s="471" t="s">
        <v>751</v>
      </c>
    </row>
    <row r="719" spans="1:15" x14ac:dyDescent="0.25">
      <c r="A719" s="471" t="s">
        <v>2016</v>
      </c>
      <c r="B719" s="1139">
        <f t="shared" ca="1" si="161"/>
        <v>0</v>
      </c>
      <c r="C719" s="473">
        <f ca="1">IF(ISERROR(VLOOKUP($A$719,INDIRECT("notes_"&amp;LEFT($A$719,3)),4,0)),0,VLOOKUP($A$719,INDIRECT("notes_"&amp;LEFT($A$719,3)),4,0))</f>
        <v>0</v>
      </c>
      <c r="D719" s="472" t="str">
        <f>'RO2'!N40</f>
        <v/>
      </c>
      <c r="E719" s="472" t="str">
        <f>'RO2'!O40</f>
        <v/>
      </c>
      <c r="F719" s="472" t="str">
        <f>'RO2'!Q40</f>
        <v/>
      </c>
      <c r="H719" s="471">
        <f t="shared" si="160"/>
        <v>4</v>
      </c>
      <c r="I719" s="471">
        <v>2</v>
      </c>
      <c r="J719" s="471" t="str">
        <f t="shared" si="162"/>
        <v>transrdsenv-oth-rds</v>
      </c>
      <c r="K719" s="471" t="str">
        <f t="shared" si="163"/>
        <v>net-cur-exp</v>
      </c>
      <c r="L719" s="599"/>
      <c r="M719" s="471" t="s">
        <v>4958</v>
      </c>
      <c r="N719" s="471" t="s">
        <v>753</v>
      </c>
      <c r="O719" s="471" t="s">
        <v>751</v>
      </c>
    </row>
    <row r="720" spans="1:15" x14ac:dyDescent="0.25">
      <c r="A720" s="471" t="s">
        <v>2017</v>
      </c>
      <c r="B720" s="1139">
        <f t="shared" ca="1" si="161"/>
        <v>0</v>
      </c>
      <c r="C720" s="473">
        <f ca="1">IF(ISERROR(VLOOKUP($A$720,INDIRECT("notes_"&amp;LEFT($A$720,3)),4,0)),0,VLOOKUP($A$720,INDIRECT("notes_"&amp;LEFT($A$720,3)),4,0))</f>
        <v>0</v>
      </c>
      <c r="D720" s="472" t="str">
        <f>'RO2'!N41</f>
        <v/>
      </c>
      <c r="E720" s="472" t="str">
        <f>'RO2'!O41</f>
        <v/>
      </c>
      <c r="F720" s="472" t="str">
        <f>'RO2'!Q41</f>
        <v/>
      </c>
      <c r="H720" s="471">
        <f t="shared" si="160"/>
        <v>2</v>
      </c>
      <c r="I720" s="471">
        <v>2</v>
      </c>
      <c r="J720" s="471" t="str">
        <f t="shared" si="162"/>
        <v>transrdswnt</v>
      </c>
      <c r="K720" s="471" t="str">
        <f t="shared" si="163"/>
        <v>net-cur-exp</v>
      </c>
      <c r="L720" s="599"/>
      <c r="M720" s="471" t="s">
        <v>4958</v>
      </c>
      <c r="N720" s="471" t="s">
        <v>753</v>
      </c>
      <c r="O720" s="471" t="s">
        <v>751</v>
      </c>
    </row>
    <row r="721" spans="1:15" x14ac:dyDescent="0.25">
      <c r="A721" s="471" t="s">
        <v>2018</v>
      </c>
      <c r="B721" s="1139">
        <f t="shared" ca="1" si="161"/>
        <v>0</v>
      </c>
      <c r="C721" s="473">
        <f ca="1">IF(ISERROR(VLOOKUP($A$721,INDIRECT("notes_"&amp;LEFT($A$721,3)),4,0)),0,VLOOKUP($A$721,INDIRECT("notes_"&amp;LEFT($A$721,3)),4,0))</f>
        <v>0</v>
      </c>
      <c r="D721" s="472" t="str">
        <f>'RO2'!N42</f>
        <v/>
      </c>
      <c r="E721" s="472" t="str">
        <f>'RO2'!O42</f>
        <v/>
      </c>
      <c r="F721" s="472" t="str">
        <f>'RO2'!Q42</f>
        <v/>
      </c>
      <c r="H721" s="471">
        <f t="shared" si="160"/>
        <v>2</v>
      </c>
      <c r="I721" s="471">
        <v>2</v>
      </c>
      <c r="J721" s="471" t="str">
        <f t="shared" si="162"/>
        <v>transrdslgh</v>
      </c>
      <c r="K721" s="471" t="str">
        <f t="shared" si="163"/>
        <v>net-cur-exp</v>
      </c>
      <c r="L721" s="599"/>
      <c r="M721" s="471" t="s">
        <v>4958</v>
      </c>
      <c r="N721" s="471" t="s">
        <v>753</v>
      </c>
      <c r="O721" s="471" t="s">
        <v>751</v>
      </c>
    </row>
    <row r="722" spans="1:15" x14ac:dyDescent="0.25">
      <c r="A722" s="471" t="s">
        <v>2019</v>
      </c>
      <c r="B722" s="1139">
        <f t="shared" ca="1" si="161"/>
        <v>0</v>
      </c>
      <c r="C722" s="473">
        <f ca="1">IF(ISERROR(VLOOKUP($A$722,INDIRECT("notes_"&amp;LEFT($A$722,3)),4,0)),0,VLOOKUP($A$722,INDIRECT("notes_"&amp;LEFT($A$722,3)),4,0))</f>
        <v>0</v>
      </c>
      <c r="D722" s="472" t="str">
        <f>'RO2'!N46</f>
        <v/>
      </c>
      <c r="E722" s="472" t="str">
        <f>'RO2'!O46</f>
        <v/>
      </c>
      <c r="F722" s="472" t="str">
        <f>'RO2'!Q46</f>
        <v/>
      </c>
      <c r="H722" s="471">
        <f t="shared" si="160"/>
        <v>2</v>
      </c>
      <c r="I722" s="471">
        <v>2</v>
      </c>
      <c r="J722" s="471" t="str">
        <f t="shared" si="162"/>
        <v>transrdstrfcng</v>
      </c>
      <c r="K722" s="471" t="str">
        <f t="shared" si="163"/>
        <v>net-cur-exp</v>
      </c>
      <c r="L722" s="599"/>
      <c r="M722" s="471" t="s">
        <v>4958</v>
      </c>
      <c r="N722" s="471" t="s">
        <v>753</v>
      </c>
      <c r="O722" s="471" t="s">
        <v>751</v>
      </c>
    </row>
    <row r="723" spans="1:15" x14ac:dyDescent="0.25">
      <c r="A723" s="471" t="s">
        <v>2020</v>
      </c>
      <c r="B723" s="1139">
        <f t="shared" ca="1" si="161"/>
        <v>0</v>
      </c>
      <c r="C723" s="473">
        <f ca="1">IF(ISERROR(VLOOKUP($A$723,INDIRECT("notes_"&amp;LEFT($A$723,3)),4,0)),0,VLOOKUP($A$723,INDIRECT("notes_"&amp;LEFT($A$723,3)),4,0))</f>
        <v>0</v>
      </c>
      <c r="D723" s="472" t="str">
        <f>'RO2'!N47</f>
        <v/>
      </c>
      <c r="E723" s="472" t="str">
        <f>'RO2'!O47</f>
        <v/>
      </c>
      <c r="F723" s="472" t="str">
        <f>'RO2'!Q47</f>
        <v/>
      </c>
      <c r="H723" s="471">
        <f t="shared" si="160"/>
        <v>2</v>
      </c>
      <c r="I723" s="471">
        <v>2</v>
      </c>
      <c r="J723" s="471" t="str">
        <f t="shared" si="162"/>
        <v>transrdstrfbs</v>
      </c>
      <c r="K723" s="471" t="str">
        <f t="shared" si="163"/>
        <v>net-cur-exp</v>
      </c>
      <c r="L723" s="599"/>
      <c r="M723" s="471" t="s">
        <v>4958</v>
      </c>
      <c r="N723" s="471" t="s">
        <v>753</v>
      </c>
      <c r="O723" s="471" t="s">
        <v>751</v>
      </c>
    </row>
    <row r="724" spans="1:15" x14ac:dyDescent="0.25">
      <c r="A724" s="471" t="s">
        <v>2021</v>
      </c>
      <c r="B724" s="1139">
        <f t="shared" ca="1" si="161"/>
        <v>0</v>
      </c>
      <c r="C724" s="473">
        <f ca="1">IF(ISERROR(VLOOKUP($A$724,INDIRECT("notes_"&amp;LEFT($A$724,3)),4,0)),0,VLOOKUP($A$724,INDIRECT("notes_"&amp;LEFT($A$724,3)),4,0))</f>
        <v>0</v>
      </c>
      <c r="D724" s="472" t="str">
        <f>'RO2'!N48</f>
        <v/>
      </c>
      <c r="E724" s="472" t="str">
        <f>'RO2'!O48</f>
        <v/>
      </c>
      <c r="F724" s="472" t="str">
        <f>'RO2'!Q48</f>
        <v/>
      </c>
      <c r="H724" s="471">
        <f t="shared" si="160"/>
        <v>2</v>
      </c>
      <c r="I724" s="471">
        <v>2</v>
      </c>
      <c r="J724" s="471" t="str">
        <f t="shared" si="162"/>
        <v>transrdstrfsft</v>
      </c>
      <c r="K724" s="471" t="str">
        <f t="shared" si="163"/>
        <v>net-cur-exp</v>
      </c>
      <c r="L724" s="599"/>
      <c r="M724" s="471" t="s">
        <v>4958</v>
      </c>
      <c r="N724" s="471" t="s">
        <v>753</v>
      </c>
      <c r="O724" s="471" t="s">
        <v>751</v>
      </c>
    </row>
    <row r="725" spans="1:15" x14ac:dyDescent="0.25">
      <c r="A725" s="471" t="s">
        <v>2022</v>
      </c>
      <c r="B725" s="1139">
        <f t="shared" ca="1" si="161"/>
        <v>0</v>
      </c>
      <c r="C725" s="473">
        <f ca="1">IF(ISERROR(VLOOKUP($A$725,INDIRECT("notes_"&amp;LEFT($A$725,3)),4,0)),0,VLOOKUP($A$725,INDIRECT("notes_"&amp;LEFT($A$725,3)),4,0))</f>
        <v>0</v>
      </c>
      <c r="D725" s="472" t="str">
        <f>'RO2'!N49</f>
        <v/>
      </c>
      <c r="E725" s="472" t="str">
        <f>'RO2'!O49</f>
        <v/>
      </c>
      <c r="F725" s="472" t="str">
        <f>'RO2'!Q49</f>
        <v/>
      </c>
      <c r="H725" s="471">
        <f t="shared" si="160"/>
        <v>2</v>
      </c>
      <c r="I725" s="471">
        <v>2</v>
      </c>
      <c r="J725" s="471" t="str">
        <f t="shared" si="162"/>
        <v>transrdstrfoth</v>
      </c>
      <c r="K725" s="471" t="str">
        <f t="shared" si="163"/>
        <v>net-cur-exp</v>
      </c>
      <c r="L725" s="599"/>
      <c r="M725" s="471" t="s">
        <v>4958</v>
      </c>
      <c r="N725" s="471" t="s">
        <v>753</v>
      </c>
      <c r="O725" s="471" t="s">
        <v>751</v>
      </c>
    </row>
    <row r="726" spans="1:15" ht="13" x14ac:dyDescent="0.3">
      <c r="A726" s="471" t="s">
        <v>5146</v>
      </c>
      <c r="B726" s="1139">
        <f t="shared" ca="1" si="161"/>
        <v>0</v>
      </c>
      <c r="C726" s="473">
        <f ca="1">IF(ISERROR(VLOOKUP($A$726,INDIRECT("notes_"&amp;LEFT($A$726,3)),4,0)),0,VLOOKUP($A$726,INDIRECT("notes_"&amp;LEFT($A$726,3)),4,0))</f>
        <v>0</v>
      </c>
      <c r="D726" s="472" t="str">
        <f>'RO2'!N52</f>
        <v/>
      </c>
      <c r="E726" s="472" t="str">
        <f>'RO2'!O52</f>
        <v/>
      </c>
      <c r="F726" s="472" t="str">
        <f>'RO2'!Q52</f>
        <v/>
      </c>
      <c r="H726" s="471">
        <f t="shared" si="160"/>
        <v>5</v>
      </c>
      <c r="I726" s="471">
        <v>2</v>
      </c>
      <c r="J726" s="471" t="str">
        <f t="shared" si="162"/>
        <v>transprk-on-str-prk</v>
      </c>
      <c r="K726" s="471" t="str">
        <f t="shared" si="163"/>
        <v>net-cur-exp</v>
      </c>
      <c r="L726" s="599"/>
      <c r="M726" s="471" t="s">
        <v>4958</v>
      </c>
      <c r="N726" s="471" t="s">
        <v>753</v>
      </c>
      <c r="O726" s="471" t="s">
        <v>751</v>
      </c>
    </row>
    <row r="727" spans="1:15" ht="13" x14ac:dyDescent="0.3">
      <c r="A727" s="471" t="s">
        <v>5147</v>
      </c>
      <c r="B727" s="1139">
        <f t="shared" ca="1" si="161"/>
        <v>0</v>
      </c>
      <c r="C727" s="473">
        <f ca="1">IF(ISERROR(VLOOKUP($A$727,INDIRECT("notes_"&amp;LEFT($A$727,3)),4,0)),0,VLOOKUP($A$727,INDIRECT("notes_"&amp;LEFT($A$727,3)),4,0))</f>
        <v>0</v>
      </c>
      <c r="D727" s="472" t="str">
        <f>'RO2'!N53</f>
        <v/>
      </c>
      <c r="E727" s="472" t="str">
        <f>'RO2'!O53</f>
        <v/>
      </c>
      <c r="F727" s="472" t="str">
        <f>'RO2'!Q53</f>
        <v/>
      </c>
      <c r="H727" s="471">
        <f t="shared" si="160"/>
        <v>5</v>
      </c>
      <c r="I727" s="471">
        <v>2</v>
      </c>
      <c r="J727" s="471" t="str">
        <f t="shared" si="162"/>
        <v>transprk-off-str-prk</v>
      </c>
      <c r="K727" s="471" t="str">
        <f t="shared" si="163"/>
        <v>net-cur-exp</v>
      </c>
      <c r="L727" s="599"/>
      <c r="M727" s="471" t="s">
        <v>4958</v>
      </c>
      <c r="N727" s="471" t="s">
        <v>753</v>
      </c>
      <c r="O727" s="471" t="s">
        <v>751</v>
      </c>
    </row>
    <row r="728" spans="1:15" x14ac:dyDescent="0.25">
      <c r="A728" s="471" t="s">
        <v>2025</v>
      </c>
      <c r="B728" s="1139">
        <f t="shared" ca="1" si="161"/>
        <v>0</v>
      </c>
      <c r="C728" s="473">
        <f ca="1">IF(ISERROR(VLOOKUP($A$728,INDIRECT("notes_"&amp;LEFT($A$728,3)),4,0)),0,VLOOKUP($A$728,INDIRECT("notes_"&amp;LEFT($A$728,3)),4,0))</f>
        <v>0</v>
      </c>
      <c r="D728" s="472" t="str">
        <f>'RO2'!N56</f>
        <v/>
      </c>
      <c r="E728" s="472" t="str">
        <f>'RO2'!O56</f>
        <v/>
      </c>
      <c r="F728" s="472" t="str">
        <f>'RO2'!Q56</f>
        <v/>
      </c>
      <c r="H728" s="471">
        <f t="shared" si="160"/>
        <v>2</v>
      </c>
      <c r="I728" s="471">
        <v>2</v>
      </c>
      <c r="J728" s="471" t="str">
        <f t="shared" si="162"/>
        <v>transpblstt</v>
      </c>
      <c r="K728" s="471" t="str">
        <f t="shared" si="163"/>
        <v>net-cur-exp</v>
      </c>
      <c r="L728" s="599"/>
      <c r="M728" s="471" t="s">
        <v>4958</v>
      </c>
      <c r="N728" s="471" t="s">
        <v>753</v>
      </c>
      <c r="O728" s="471" t="s">
        <v>751</v>
      </c>
    </row>
    <row r="729" spans="1:15" x14ac:dyDescent="0.25">
      <c r="A729" s="471" t="s">
        <v>2026</v>
      </c>
      <c r="B729" s="1139">
        <f t="shared" ca="1" si="161"/>
        <v>0</v>
      </c>
      <c r="C729" s="473">
        <f ca="1">IF(ISERROR(VLOOKUP($A$729,INDIRECT("notes_"&amp;LEFT($A$729,3)),4,0)),0,VLOOKUP($A$729,INDIRECT("notes_"&amp;LEFT($A$729,3)),4,0))</f>
        <v>0</v>
      </c>
      <c r="D729" s="472" t="str">
        <f>'RO2'!N57</f>
        <v/>
      </c>
      <c r="E729" s="472" t="str">
        <f>'RO2'!O57</f>
        <v/>
      </c>
      <c r="F729" s="472" t="str">
        <f>'RO2'!Q57</f>
        <v/>
      </c>
      <c r="H729" s="471">
        <f t="shared" si="160"/>
        <v>2</v>
      </c>
      <c r="I729" s="471">
        <v>2</v>
      </c>
      <c r="J729" s="471" t="str">
        <f t="shared" si="162"/>
        <v>transpbldsc</v>
      </c>
      <c r="K729" s="471" t="str">
        <f t="shared" si="163"/>
        <v>net-cur-exp</v>
      </c>
      <c r="L729" s="599"/>
      <c r="M729" s="471" t="s">
        <v>4958</v>
      </c>
      <c r="N729" s="471" t="s">
        <v>753</v>
      </c>
      <c r="O729" s="471" t="s">
        <v>751</v>
      </c>
    </row>
    <row r="730" spans="1:15" ht="13" x14ac:dyDescent="0.3">
      <c r="A730" s="471" t="s">
        <v>5148</v>
      </c>
      <c r="B730" s="1139">
        <f t="shared" ca="1" si="161"/>
        <v>0</v>
      </c>
      <c r="C730" s="473">
        <f ca="1">IF(ISERROR(VLOOKUP($A$730,INDIRECT("notes_"&amp;LEFT($A$730,3)),4,0)),0,VLOOKUP($A$730,INDIRECT("notes_"&amp;LEFT($A$730,3)),4,0))</f>
        <v>0</v>
      </c>
      <c r="D730" s="472" t="str">
        <f>'RO2'!N58</f>
        <v/>
      </c>
      <c r="E730" s="472" t="str">
        <f>'RO2'!O58</f>
        <v/>
      </c>
      <c r="F730" s="472" t="str">
        <f>'RO2'!Q58</f>
        <v/>
      </c>
      <c r="H730" s="471">
        <f t="shared" si="160"/>
        <v>3</v>
      </c>
      <c r="I730" s="471">
        <v>2</v>
      </c>
      <c r="J730" s="471" t="str">
        <f t="shared" si="162"/>
        <v>transpblopr-bus</v>
      </c>
      <c r="K730" s="471" t="str">
        <f t="shared" si="163"/>
        <v>net-cur-exp</v>
      </c>
      <c r="L730" s="599"/>
      <c r="M730" s="471" t="s">
        <v>4958</v>
      </c>
      <c r="N730" s="471" t="s">
        <v>753</v>
      </c>
      <c r="O730" s="471" t="s">
        <v>751</v>
      </c>
    </row>
    <row r="731" spans="1:15" ht="13" x14ac:dyDescent="0.3">
      <c r="A731" s="471" t="s">
        <v>5149</v>
      </c>
      <c r="B731" s="1139">
        <f t="shared" ca="1" si="161"/>
        <v>0</v>
      </c>
      <c r="C731" s="473">
        <f ca="1">IF(ISERROR(VLOOKUP($A$731,INDIRECT("notes_"&amp;LEFT($A$731,3)),4,0)),0,VLOOKUP($A$731,INDIRECT("notes_"&amp;LEFT($A$731,3)),4,0))</f>
        <v>0</v>
      </c>
      <c r="D731" s="472" t="str">
        <f>'RO2'!N59</f>
        <v/>
      </c>
      <c r="E731" s="472" t="str">
        <f>'RO2'!O59</f>
        <v/>
      </c>
      <c r="F731" s="472" t="str">
        <f>'RO2'!Q59</f>
        <v/>
      </c>
      <c r="H731" s="471">
        <f t="shared" si="160"/>
        <v>3</v>
      </c>
      <c r="I731" s="471">
        <v>2</v>
      </c>
      <c r="J731" s="471" t="str">
        <f t="shared" si="162"/>
        <v>transpblopr-rail</v>
      </c>
      <c r="K731" s="471" t="str">
        <f t="shared" si="163"/>
        <v>net-cur-exp</v>
      </c>
      <c r="L731" s="599"/>
      <c r="M731" s="471" t="s">
        <v>4958</v>
      </c>
      <c r="N731" s="471" t="s">
        <v>753</v>
      </c>
      <c r="O731" s="471" t="s">
        <v>751</v>
      </c>
    </row>
    <row r="732" spans="1:15" x14ac:dyDescent="0.25">
      <c r="A732" s="471" t="s">
        <v>2029</v>
      </c>
      <c r="B732" s="1139">
        <f t="shared" ca="1" si="161"/>
        <v>0</v>
      </c>
      <c r="C732" s="473">
        <f ca="1">IF(ISERROR(VLOOKUP($A$732,INDIRECT("notes_"&amp;LEFT($A$732,3)),4,0)),0,VLOOKUP($A$732,INDIRECT("notes_"&amp;LEFT($A$732,3)),4,0))</f>
        <v>0</v>
      </c>
      <c r="D732" s="472" t="str">
        <f>'RO2'!N60</f>
        <v/>
      </c>
      <c r="E732" s="472" t="str">
        <f>'RO2'!O60</f>
        <v/>
      </c>
      <c r="F732" s="472" t="str">
        <f>'RO2'!Q60</f>
        <v/>
      </c>
      <c r="H732" s="471">
        <f t="shared" si="160"/>
        <v>3</v>
      </c>
      <c r="I732" s="471">
        <v>2</v>
      </c>
      <c r="J732" s="471" t="str">
        <f t="shared" si="162"/>
        <v>transpblopr-oth</v>
      </c>
      <c r="K732" s="471" t="str">
        <f t="shared" si="163"/>
        <v>net-cur-exp</v>
      </c>
      <c r="L732" s="599"/>
      <c r="M732" s="471" t="s">
        <v>4958</v>
      </c>
      <c r="N732" s="471" t="s">
        <v>753</v>
      </c>
      <c r="O732" s="471" t="s">
        <v>751</v>
      </c>
    </row>
    <row r="733" spans="1:15" x14ac:dyDescent="0.25">
      <c r="A733" s="471" t="s">
        <v>2030</v>
      </c>
      <c r="B733" s="1139">
        <f t="shared" ca="1" si="161"/>
        <v>0</v>
      </c>
      <c r="C733" s="473">
        <f ca="1">IF(ISERROR(VLOOKUP($A$733,INDIRECT("notes_"&amp;LEFT($A$733,3)),4,0)),0,VLOOKUP($A$733,INDIRECT("notes_"&amp;LEFT($A$733,3)),4,0))</f>
        <v>0</v>
      </c>
      <c r="D733" s="472" t="str">
        <f>'RO2'!N61</f>
        <v/>
      </c>
      <c r="E733" s="472" t="str">
        <f>'RO2'!O61</f>
        <v/>
      </c>
      <c r="F733" s="472" t="str">
        <f>'RO2'!Q61</f>
        <v/>
      </c>
      <c r="H733" s="471">
        <f t="shared" ref="H733:H794" si="167">LEN(A733)-LEN(SUBSTITUTE(A733,"-",""))-I733</f>
        <v>2</v>
      </c>
      <c r="I733" s="471">
        <v>2</v>
      </c>
      <c r="J733" s="471" t="str">
        <f t="shared" si="162"/>
        <v>transpblcrd</v>
      </c>
      <c r="K733" s="471" t="str">
        <f t="shared" si="163"/>
        <v>net-cur-exp</v>
      </c>
      <c r="L733" s="599"/>
      <c r="M733" s="471" t="s">
        <v>4958</v>
      </c>
      <c r="N733" s="471" t="s">
        <v>753</v>
      </c>
      <c r="O733" s="471" t="s">
        <v>751</v>
      </c>
    </row>
    <row r="734" spans="1:15" x14ac:dyDescent="0.25">
      <c r="A734" s="471" t="s">
        <v>2031</v>
      </c>
      <c r="B734" s="1139">
        <f t="shared" ref="B734:B794" ca="1" si="168">INDEX(INDIRECT(LEFT($A734,SEARCH("-",$A734,1)-1)&amp;"_data"),MATCH(MID($A734,SEARCH("-",$A734)+1,SEARCH("#",SUBSTITUTE($A734,"-","#",H734),1)-(SEARCH("-",$A734)+1)),INDIRECT(LEFT($A734,SEARCH("-",$A734,1)-1)&amp;"_rows"),0),MATCH(RIGHT($A734,LEN($A734)-LEN(LEFT($A734,SEARCH("#",SUBSTITUTE($A734,"-","#",H734),1)))),INDIRECT(LEFT($A734,SEARCH("-",$A734,1)-1)&amp;"_Header"),0))</f>
        <v>0</v>
      </c>
      <c r="C734" s="473">
        <f ca="1">IF(ISERROR(VLOOKUP($A$734,INDIRECT("notes_"&amp;LEFT($A$734,3)),4,0)),0,VLOOKUP($A$734,INDIRECT("notes_"&amp;LEFT($A$734,3)),4,0))</f>
        <v>0</v>
      </c>
      <c r="D734" s="472" t="str">
        <f>'RO2'!N63</f>
        <v/>
      </c>
      <c r="E734" s="472" t="str">
        <f>'RO2'!O63</f>
        <v/>
      </c>
      <c r="F734" s="472" t="str">
        <f>'RO2'!Q63</f>
        <v/>
      </c>
      <c r="H734" s="471">
        <f t="shared" si="167"/>
        <v>2</v>
      </c>
      <c r="I734" s="471">
        <v>2</v>
      </c>
      <c r="J734" s="471" t="str">
        <f t="shared" si="162"/>
        <v>transaht</v>
      </c>
      <c r="K734" s="471" t="str">
        <f t="shared" si="163"/>
        <v>net-cur-exp</v>
      </c>
      <c r="L734" s="599"/>
      <c r="M734" s="471" t="s">
        <v>4958</v>
      </c>
      <c r="N734" s="471" t="s">
        <v>753</v>
      </c>
      <c r="O734" s="471" t="s">
        <v>751</v>
      </c>
    </row>
    <row r="735" spans="1:15" x14ac:dyDescent="0.25">
      <c r="A735" s="471" t="s">
        <v>2032</v>
      </c>
      <c r="B735" s="1139">
        <f t="shared" ca="1" si="168"/>
        <v>0</v>
      </c>
      <c r="C735" s="473">
        <f ca="1">IF(ISERROR(VLOOKUP($A$735,INDIRECT("notes_"&amp;LEFT($A$735,3)),4,0)),0,VLOOKUP($A$735,INDIRECT("notes_"&amp;LEFT($A$735,3)),4,0))</f>
        <v>0</v>
      </c>
      <c r="D735" s="472" t="str">
        <f>'RO2'!N65</f>
        <v/>
      </c>
      <c r="E735" s="472" t="str">
        <f>'RO2'!O65</f>
        <v/>
      </c>
      <c r="F735" s="472" t="str">
        <f>'RO2'!Q65</f>
        <v/>
      </c>
      <c r="H735" s="471">
        <f t="shared" si="167"/>
        <v>2</v>
      </c>
      <c r="I735" s="471">
        <v>2</v>
      </c>
      <c r="J735" s="471" t="str">
        <f t="shared" si="162"/>
        <v>transtot</v>
      </c>
      <c r="K735" s="471" t="str">
        <f t="shared" si="163"/>
        <v>net-cur-exp</v>
      </c>
      <c r="L735" s="599"/>
      <c r="M735" s="471" t="s">
        <v>4958</v>
      </c>
      <c r="N735" s="471" t="s">
        <v>753</v>
      </c>
      <c r="O735" s="471" t="s">
        <v>751</v>
      </c>
    </row>
    <row r="736" spans="1:15" x14ac:dyDescent="0.25">
      <c r="A736" s="471" t="s">
        <v>2033</v>
      </c>
      <c r="B736" s="1139">
        <f t="shared" ca="1" si="168"/>
        <v>0</v>
      </c>
      <c r="C736" s="473">
        <f ca="1">IF(ISERROR(VLOOKUP($A$736,INDIRECT("notes_"&amp;LEFT($A$736,3)),4,0)),0,VLOOKUP($A$736,INDIRECT("notes_"&amp;LEFT($A$736,3)),4,0))</f>
        <v>0</v>
      </c>
      <c r="D736" s="472" t="str">
        <f>'RO2'!N84</f>
        <v/>
      </c>
      <c r="E736" s="472" t="str">
        <f>'RO2'!O84</f>
        <v/>
      </c>
      <c r="F736" s="472" t="str">
        <f>'RO2'!Q84</f>
        <v/>
      </c>
      <c r="H736" s="471">
        <f t="shared" si="167"/>
        <v>4</v>
      </c>
      <c r="I736" s="471">
        <v>2</v>
      </c>
      <c r="J736" s="471" t="str">
        <f t="shared" si="162"/>
        <v>transthrprtlbtclm-str-mnt</v>
      </c>
      <c r="K736" s="471" t="str">
        <f t="shared" si="163"/>
        <v>net-cur-exp</v>
      </c>
      <c r="L736" s="599"/>
      <c r="M736" s="471" t="s">
        <v>4958</v>
      </c>
      <c r="N736" s="471" t="s">
        <v>753</v>
      </c>
      <c r="O736" s="471" t="s">
        <v>751</v>
      </c>
    </row>
    <row r="737" spans="1:15" x14ac:dyDescent="0.25">
      <c r="A737" s="471" t="s">
        <v>2034</v>
      </c>
      <c r="B737" s="1139">
        <f t="shared" ca="1" si="168"/>
        <v>0</v>
      </c>
      <c r="C737" s="473">
        <f ca="1">IF(ISERROR(VLOOKUP($A$737,INDIRECT("notes_"&amp;LEFT($A$737,3)),4,0)),0,VLOOKUP($A$737,INDIRECT("notes_"&amp;LEFT($A$737,3)),4,0))</f>
        <v>0</v>
      </c>
      <c r="D737" s="472" t="str">
        <f>'RO2'!N96</f>
        <v/>
      </c>
      <c r="E737" s="472" t="str">
        <f>'RO2'!O96</f>
        <v/>
      </c>
      <c r="F737" s="472" t="str">
        <f>'RO2'!Q96</f>
        <v/>
      </c>
      <c r="H737" s="471">
        <f t="shared" si="167"/>
        <v>4</v>
      </c>
      <c r="I737" s="471">
        <v>2</v>
      </c>
      <c r="J737" s="471" t="str">
        <f t="shared" ref="J737:J796" si="169">MID($A737,SEARCH("-",$A737)+1,SEARCH("#",SUBSTITUTE($A737,"-","#",H737),1)-(SEARCH("-",$A737)+1))</f>
        <v>transpubsupopr-pym-bus</v>
      </c>
      <c r="K737" s="471" t="str">
        <f t="shared" ref="K737:K796" si="170">RIGHT($A737,LEN($A737)-SEARCH("#",SUBSTITUTE($A737,"-","#",H737),1))</f>
        <v>net-cur-exp</v>
      </c>
      <c r="L737" s="599"/>
      <c r="M737" s="471" t="s">
        <v>4958</v>
      </c>
      <c r="N737" s="471" t="s">
        <v>753</v>
      </c>
      <c r="O737" s="471" t="s">
        <v>751</v>
      </c>
    </row>
    <row r="738" spans="1:15" x14ac:dyDescent="0.25">
      <c r="A738" s="471" t="s">
        <v>2035</v>
      </c>
      <c r="B738" s="1139">
        <f t="shared" ca="1" si="168"/>
        <v>0</v>
      </c>
      <c r="C738" s="473">
        <f ca="1">IF(ISERROR(VLOOKUP($A$738,INDIRECT("notes_"&amp;LEFT($A$738,3)),4,0)),0,VLOOKUP($A$738,INDIRECT("notes_"&amp;LEFT($A$738,3)),4,0))</f>
        <v>0</v>
      </c>
      <c r="D738" s="472" t="str">
        <f>'RO2'!N97</f>
        <v/>
      </c>
      <c r="E738" s="472" t="str">
        <f>'RO2'!O97</f>
        <v/>
      </c>
      <c r="F738" s="472" t="str">
        <f>'RO2'!Q97</f>
        <v/>
      </c>
      <c r="H738" s="471">
        <f t="shared" si="167"/>
        <v>4</v>
      </c>
      <c r="I738" s="471">
        <v>2</v>
      </c>
      <c r="J738" s="471" t="str">
        <f t="shared" si="169"/>
        <v>transpubsupopr-pym-rail</v>
      </c>
      <c r="K738" s="471" t="str">
        <f t="shared" si="170"/>
        <v>net-cur-exp</v>
      </c>
      <c r="L738" s="599"/>
      <c r="M738" s="471" t="s">
        <v>4958</v>
      </c>
      <c r="N738" s="471" t="s">
        <v>753</v>
      </c>
      <c r="O738" s="471" t="s">
        <v>751</v>
      </c>
    </row>
    <row r="739" spans="1:15" x14ac:dyDescent="0.25">
      <c r="A739" s="471" t="s">
        <v>2036</v>
      </c>
      <c r="B739" s="1139">
        <f t="shared" ca="1" si="168"/>
        <v>0</v>
      </c>
      <c r="C739" s="473">
        <f ca="1">IF(ISERROR(VLOOKUP($A$739,INDIRECT("notes_"&amp;LEFT($A$739,3)),4,0)),0,VLOOKUP($A$739,INDIRECT("notes_"&amp;LEFT($A$739,3)),4,0))</f>
        <v>0</v>
      </c>
      <c r="D739" s="472" t="str">
        <f>'RO2'!N98</f>
        <v/>
      </c>
      <c r="E739" s="472" t="str">
        <f>'RO2'!O98</f>
        <v/>
      </c>
      <c r="F739" s="472" t="str">
        <f>'RO2'!Q98</f>
        <v/>
      </c>
      <c r="H739" s="471">
        <f t="shared" si="167"/>
        <v>4</v>
      </c>
      <c r="I739" s="471">
        <v>2</v>
      </c>
      <c r="J739" s="471" t="str">
        <f t="shared" si="169"/>
        <v>transpubsupopr-pym-oth</v>
      </c>
      <c r="K739" s="471" t="str">
        <f t="shared" si="170"/>
        <v>net-cur-exp</v>
      </c>
      <c r="L739" s="599"/>
      <c r="M739" s="471" t="s">
        <v>4958</v>
      </c>
      <c r="N739" s="471" t="s">
        <v>753</v>
      </c>
      <c r="O739" s="471" t="s">
        <v>751</v>
      </c>
    </row>
    <row r="740" spans="1:15" x14ac:dyDescent="0.25">
      <c r="A740" s="471" t="s">
        <v>5150</v>
      </c>
      <c r="B740" s="1139" t="str">
        <f t="shared" ca="1" si="168"/>
        <v>There are no outstanding errors or warnings with the RO3 section of the form. Thank you.</v>
      </c>
      <c r="C740" s="473"/>
      <c r="H740" s="471">
        <f t="shared" si="167"/>
        <v>2</v>
      </c>
      <c r="I740" s="471">
        <v>0</v>
      </c>
      <c r="J740" s="471" t="str">
        <f t="shared" si="169"/>
        <v>ph</v>
      </c>
      <c r="K740" s="471" t="str">
        <f t="shared" si="170"/>
        <v>error</v>
      </c>
      <c r="L740" s="599"/>
      <c r="M740" s="471" t="s">
        <v>5151</v>
      </c>
      <c r="N740" s="471" t="s">
        <v>5152</v>
      </c>
      <c r="O740" s="471" t="s">
        <v>5153</v>
      </c>
    </row>
    <row r="741" spans="1:15" x14ac:dyDescent="0.25">
      <c r="A741" s="471" t="s">
        <v>5154</v>
      </c>
      <c r="B741" s="1139">
        <f t="shared" ca="1" si="168"/>
        <v>0</v>
      </c>
      <c r="C741" s="473">
        <f ca="1">IF(ISERROR(VLOOKUP($A$1218,INDIRECT("notes_"&amp;LEFT($A$1218,3)),4,0)),0,VLOOKUP($A$1218,INDIRECT("notes_"&amp;LEFT($A$1218,3)),4,0))</f>
        <v>0</v>
      </c>
      <c r="H741" s="471">
        <f t="shared" si="167"/>
        <v>2</v>
      </c>
      <c r="I741" s="471">
        <v>0</v>
      </c>
      <c r="J741" s="471" t="str">
        <f t="shared" si="169"/>
        <v>cscsr</v>
      </c>
      <c r="K741" s="471" t="str">
        <f t="shared" si="170"/>
        <v>empl</v>
      </c>
      <c r="L741" s="599"/>
      <c r="M741" s="471" t="s">
        <v>5151</v>
      </c>
      <c r="N741" s="471" t="s">
        <v>5152</v>
      </c>
      <c r="O741" s="471" t="s">
        <v>5153</v>
      </c>
    </row>
    <row r="742" spans="1:15" x14ac:dyDescent="0.25">
      <c r="A742" s="471" t="s">
        <v>5155</v>
      </c>
      <c r="B742" s="1139">
        <f t="shared" ca="1" si="168"/>
        <v>0</v>
      </c>
      <c r="C742" s="473">
        <f ca="1">IF(ISERROR(VLOOKUP($A$1219,INDIRECT("notes_"&amp;LEFT($A$1219,3)),4,0)),0,VLOOKUP($A$1219,INDIRECT("notes_"&amp;LEFT($A$1219,3)),4,0))</f>
        <v>0</v>
      </c>
      <c r="H742" s="471">
        <f t="shared" si="167"/>
        <v>2</v>
      </c>
      <c r="I742" s="471">
        <v>0</v>
      </c>
      <c r="J742" s="471" t="str">
        <f t="shared" si="169"/>
        <v>csclkd</v>
      </c>
      <c r="K742" s="471" t="str">
        <f t="shared" si="170"/>
        <v>empl</v>
      </c>
      <c r="L742" s="599"/>
      <c r="M742" s="471" t="s">
        <v>5151</v>
      </c>
      <c r="N742" s="471" t="s">
        <v>5152</v>
      </c>
      <c r="O742" s="471" t="s">
        <v>5153</v>
      </c>
    </row>
    <row r="743" spans="1:15" x14ac:dyDescent="0.25">
      <c r="A743" s="471" t="s">
        <v>5156</v>
      </c>
      <c r="B743" s="1139">
        <f t="shared" ca="1" si="168"/>
        <v>0</v>
      </c>
      <c r="C743" s="473">
        <f ca="1">IF(ISERROR(VLOOKUP($A$1220,INDIRECT("notes_"&amp;LEFT($A$1220,3)),4,0)),0,VLOOKUP($A$1220,INDIRECT("notes_"&amp;LEFT($A$1220,3)),4,0))</f>
        <v>0</v>
      </c>
      <c r="H743" s="471">
        <f t="shared" si="167"/>
        <v>2</v>
      </c>
      <c r="I743" s="471">
        <v>0</v>
      </c>
      <c r="J743" s="471" t="str">
        <f t="shared" si="169"/>
        <v>csclkdres</v>
      </c>
      <c r="K743" s="471" t="str">
        <f t="shared" si="170"/>
        <v>empl</v>
      </c>
      <c r="L743" s="599"/>
      <c r="M743" s="471" t="s">
        <v>5151</v>
      </c>
      <c r="N743" s="471" t="s">
        <v>5152</v>
      </c>
      <c r="O743" s="471" t="s">
        <v>5153</v>
      </c>
    </row>
    <row r="744" spans="1:15" x14ac:dyDescent="0.25">
      <c r="A744" s="471" t="s">
        <v>5157</v>
      </c>
      <c r="B744" s="1139">
        <f t="shared" ca="1" si="168"/>
        <v>0</v>
      </c>
      <c r="C744" s="473">
        <f ca="1">IF(ISERROR(VLOOKUP($A$1221,INDIRECT("notes_"&amp;LEFT($A$1221,3)),4,0)),0,VLOOKUP($A$1221,INDIRECT("notes_"&amp;LEFT($A$1221,3)),4,0))</f>
        <v>0</v>
      </c>
      <c r="H744" s="471">
        <f t="shared" si="167"/>
        <v>2</v>
      </c>
      <c r="I744" s="471">
        <v>0</v>
      </c>
      <c r="J744" s="471" t="str">
        <f t="shared" si="169"/>
        <v>csclkdfos</v>
      </c>
      <c r="K744" s="471" t="str">
        <f t="shared" si="170"/>
        <v>empl</v>
      </c>
      <c r="L744" s="599"/>
      <c r="M744" s="471" t="s">
        <v>5151</v>
      </c>
      <c r="N744" s="471" t="s">
        <v>5152</v>
      </c>
      <c r="O744" s="471" t="s">
        <v>5153</v>
      </c>
    </row>
    <row r="745" spans="1:15" x14ac:dyDescent="0.25">
      <c r="A745" s="471" t="s">
        <v>5158</v>
      </c>
      <c r="B745" s="1139">
        <f t="shared" ca="1" si="168"/>
        <v>0</v>
      </c>
      <c r="C745" s="473">
        <f ca="1">IF(ISERROR(VLOOKUP($A$1222,INDIRECT("notes_"&amp;LEFT($A$1222,3)),4,0)),0,VLOOKUP($A$1222,INDIRECT("notes_"&amp;LEFT($A$1222,3)),4,0))</f>
        <v>0</v>
      </c>
      <c r="H745" s="471">
        <f t="shared" si="167"/>
        <v>2</v>
      </c>
      <c r="I745" s="471">
        <v>0</v>
      </c>
      <c r="J745" s="471" t="str">
        <f t="shared" si="169"/>
        <v>csclkdasy</v>
      </c>
      <c r="K745" s="471" t="str">
        <f t="shared" si="170"/>
        <v>empl</v>
      </c>
      <c r="L745" s="599"/>
      <c r="M745" s="471" t="s">
        <v>5151</v>
      </c>
      <c r="N745" s="471" t="s">
        <v>5152</v>
      </c>
      <c r="O745" s="471" t="s">
        <v>5153</v>
      </c>
    </row>
    <row r="746" spans="1:15" x14ac:dyDescent="0.25">
      <c r="A746" s="471" t="s">
        <v>5159</v>
      </c>
      <c r="B746" s="1139">
        <f t="shared" ca="1" si="168"/>
        <v>0</v>
      </c>
      <c r="C746" s="473">
        <f ca="1">IF(ISERROR(VLOOKUP($A$1223,INDIRECT("notes_"&amp;LEFT($A$1223,3)),4,0)),0,VLOOKUP($A$1223,INDIRECT("notes_"&amp;LEFT($A$1223,3)),4,0))</f>
        <v>0</v>
      </c>
      <c r="H746" s="471">
        <f t="shared" si="167"/>
        <v>2</v>
      </c>
      <c r="I746" s="471">
        <v>0</v>
      </c>
      <c r="J746" s="471" t="str">
        <f t="shared" si="169"/>
        <v>csclkdoth</v>
      </c>
      <c r="K746" s="471" t="str">
        <f t="shared" si="170"/>
        <v>empl</v>
      </c>
      <c r="L746" s="599"/>
      <c r="M746" s="471" t="s">
        <v>5151</v>
      </c>
      <c r="N746" s="471" t="s">
        <v>5152</v>
      </c>
      <c r="O746" s="471" t="s">
        <v>5153</v>
      </c>
    </row>
    <row r="747" spans="1:15" x14ac:dyDescent="0.25">
      <c r="A747" s="471" t="s">
        <v>5160</v>
      </c>
      <c r="B747" s="1139">
        <f t="shared" ca="1" si="168"/>
        <v>0</v>
      </c>
      <c r="C747" s="473">
        <f ca="1">IF(ISERROR(VLOOKUP($A$1224,INDIRECT("notes_"&amp;LEFT($A$1224,3)),4,0)),0,VLOOKUP($A$1224,INDIRECT("notes_"&amp;LEFT($A$1224,3)),4,0))</f>
        <v>0</v>
      </c>
      <c r="H747" s="471">
        <f t="shared" si="167"/>
        <v>2</v>
      </c>
      <c r="I747" s="471">
        <v>0</v>
      </c>
      <c r="J747" s="471" t="str">
        <f t="shared" si="169"/>
        <v>cscoth</v>
      </c>
      <c r="K747" s="471" t="str">
        <f t="shared" si="170"/>
        <v>empl</v>
      </c>
      <c r="L747" s="599"/>
      <c r="M747" s="471" t="s">
        <v>5151</v>
      </c>
      <c r="N747" s="471" t="s">
        <v>5152</v>
      </c>
      <c r="O747" s="471" t="s">
        <v>5153</v>
      </c>
    </row>
    <row r="748" spans="1:15" x14ac:dyDescent="0.25">
      <c r="A748" s="471" t="s">
        <v>5161</v>
      </c>
      <c r="B748" s="1139">
        <f t="shared" ca="1" si="168"/>
        <v>0</v>
      </c>
      <c r="C748" s="473">
        <f ca="1">IF(ISERROR(VLOOKUP($A$1225,INDIRECT("notes_"&amp;LEFT($A$1225,3)),4,0)),0,VLOOKUP($A$1225,INDIRECT("notes_"&amp;LEFT($A$1225,3)),4,0))</f>
        <v>0</v>
      </c>
      <c r="H748" s="471">
        <f t="shared" si="167"/>
        <v>2</v>
      </c>
      <c r="I748" s="471">
        <v>0</v>
      </c>
      <c r="J748" s="471" t="str">
        <f t="shared" si="169"/>
        <v>cscfml</v>
      </c>
      <c r="K748" s="471" t="str">
        <f t="shared" si="170"/>
        <v>empl</v>
      </c>
      <c r="L748" s="599"/>
      <c r="M748" s="471" t="s">
        <v>5151</v>
      </c>
      <c r="N748" s="471" t="s">
        <v>5152</v>
      </c>
      <c r="O748" s="471" t="s">
        <v>5153</v>
      </c>
    </row>
    <row r="749" spans="1:15" x14ac:dyDescent="0.25">
      <c r="A749" s="471" t="s">
        <v>5162</v>
      </c>
      <c r="B749" s="1139">
        <f t="shared" ca="1" si="168"/>
        <v>0</v>
      </c>
      <c r="C749" s="473">
        <f ca="1">IF(ISERROR(VLOOKUP($A$1226,INDIRECT("notes_"&amp;LEFT($A$1226,3)),4,0)),0,VLOOKUP($A$1226,INDIRECT("notes_"&amp;LEFT($A$1226,3)),4,0))</f>
        <v>0</v>
      </c>
      <c r="H749" s="471">
        <f t="shared" si="167"/>
        <v>2</v>
      </c>
      <c r="I749" s="471">
        <v>0</v>
      </c>
      <c r="J749" s="471" t="str">
        <f t="shared" si="169"/>
        <v>cscyth</v>
      </c>
      <c r="K749" s="471" t="str">
        <f t="shared" si="170"/>
        <v>empl</v>
      </c>
      <c r="L749" s="599"/>
      <c r="M749" s="471" t="s">
        <v>5151</v>
      </c>
      <c r="N749" s="471" t="s">
        <v>5152</v>
      </c>
      <c r="O749" s="471" t="s">
        <v>5153</v>
      </c>
    </row>
    <row r="750" spans="1:15" x14ac:dyDescent="0.25">
      <c r="A750" s="471" t="s">
        <v>5163</v>
      </c>
      <c r="B750" s="1139">
        <f t="shared" ca="1" si="168"/>
        <v>0</v>
      </c>
      <c r="C750" s="473">
        <f ca="1">IF(ISERROR(VLOOKUP($A$1227,INDIRECT("notes_"&amp;LEFT($A$1227,3)),4,0)),0,VLOOKUP($A$1227,INDIRECT("notes_"&amp;LEFT($A$1227,3)),4,0))</f>
        <v>0</v>
      </c>
      <c r="H750" s="471">
        <f t="shared" si="167"/>
        <v>2</v>
      </c>
      <c r="I750" s="471">
        <v>0</v>
      </c>
      <c r="J750" s="471" t="str">
        <f t="shared" si="169"/>
        <v>cscsfg</v>
      </c>
      <c r="K750" s="471" t="str">
        <f t="shared" si="170"/>
        <v>empl</v>
      </c>
      <c r="L750" s="599"/>
      <c r="M750" s="471" t="s">
        <v>5151</v>
      </c>
      <c r="N750" s="471" t="s">
        <v>5152</v>
      </c>
      <c r="O750" s="471" t="s">
        <v>5153</v>
      </c>
    </row>
    <row r="751" spans="1:15" x14ac:dyDescent="0.25">
      <c r="A751" s="471" t="s">
        <v>5164</v>
      </c>
      <c r="B751" s="1139">
        <f t="shared" ca="1" si="168"/>
        <v>0</v>
      </c>
      <c r="C751" s="473">
        <f ca="1">IF(ISERROR(VLOOKUP($A$1228,INDIRECT("notes_"&amp;LEFT($A$1228,3)),4,0)),0,VLOOKUP($A$1228,INDIRECT("notes_"&amp;LEFT($A$1228,3)),4,0))</f>
        <v>0</v>
      </c>
      <c r="H751" s="471">
        <f t="shared" si="167"/>
        <v>2</v>
      </c>
      <c r="I751" s="471">
        <v>0</v>
      </c>
      <c r="J751" s="471" t="str">
        <f t="shared" si="169"/>
        <v>cscasy</v>
      </c>
      <c r="K751" s="471" t="str">
        <f t="shared" si="170"/>
        <v>empl</v>
      </c>
      <c r="L751" s="599"/>
      <c r="M751" s="471" t="s">
        <v>5151</v>
      </c>
      <c r="N751" s="471" t="s">
        <v>5152</v>
      </c>
      <c r="O751" s="471" t="s">
        <v>5153</v>
      </c>
    </row>
    <row r="752" spans="1:15" x14ac:dyDescent="0.25">
      <c r="A752" s="471" t="s">
        <v>5165</v>
      </c>
      <c r="B752" s="1139">
        <f t="shared" ca="1" si="168"/>
        <v>0</v>
      </c>
      <c r="C752" s="473">
        <f ca="1">IF(ISERROR(VLOOKUP($A$1229,INDIRECT("notes_"&amp;LEFT($A$1229,3)),4,0)),0,VLOOKUP($A$1229,INDIRECT("notes_"&amp;LEFT($A$1229,3)),4,0))</f>
        <v>0</v>
      </c>
      <c r="H752" s="471">
        <f t="shared" si="167"/>
        <v>2</v>
      </c>
      <c r="I752" s="471">
        <v>0</v>
      </c>
      <c r="J752" s="471" t="str">
        <f t="shared" si="169"/>
        <v>cscsrv</v>
      </c>
      <c r="K752" s="471" t="str">
        <f t="shared" si="170"/>
        <v>empl</v>
      </c>
      <c r="L752" s="599"/>
      <c r="M752" s="471" t="s">
        <v>5151</v>
      </c>
      <c r="N752" s="471" t="s">
        <v>5152</v>
      </c>
      <c r="O752" s="471" t="s">
        <v>5153</v>
      </c>
    </row>
    <row r="753" spans="1:15" x14ac:dyDescent="0.25">
      <c r="A753" s="471" t="s">
        <v>5166</v>
      </c>
      <c r="B753" s="1139">
        <f t="shared" ca="1" si="168"/>
        <v>0</v>
      </c>
      <c r="C753" s="473">
        <f ca="1">IF(ISERROR(VLOOKUP($A$1230,INDIRECT("notes_"&amp;LEFT($A$1230,3)),4,0)),0,VLOOKUP($A$1230,INDIRECT("notes_"&amp;LEFT($A$1230,3)),4,0))</f>
        <v>0</v>
      </c>
      <c r="H753" s="471">
        <f t="shared" si="167"/>
        <v>2</v>
      </c>
      <c r="I753" s="471">
        <v>0</v>
      </c>
      <c r="J753" s="471" t="str">
        <f t="shared" si="169"/>
        <v>csctot</v>
      </c>
      <c r="K753" s="471" t="str">
        <f t="shared" si="170"/>
        <v>empl</v>
      </c>
      <c r="L753" s="599"/>
      <c r="M753" s="471" t="s">
        <v>5151</v>
      </c>
      <c r="N753" s="471" t="s">
        <v>5152</v>
      </c>
      <c r="O753" s="471" t="s">
        <v>5153</v>
      </c>
    </row>
    <row r="754" spans="1:15" x14ac:dyDescent="0.25">
      <c r="A754" s="471" t="s">
        <v>5167</v>
      </c>
      <c r="B754" s="1139">
        <f t="shared" ca="1" si="168"/>
        <v>0</v>
      </c>
      <c r="C754" s="473">
        <f ca="1">IF(ISERROR(VLOOKUP($A$1231,INDIRECT("notes_"&amp;LEFT($A$1231,3)),4,0)),0,VLOOKUP($A$1231,INDIRECT("notes_"&amp;LEFT($A$1231,3)),4,0))</f>
        <v>0</v>
      </c>
      <c r="H754" s="471">
        <f t="shared" si="167"/>
        <v>2</v>
      </c>
      <c r="I754" s="471">
        <v>0</v>
      </c>
      <c r="J754" s="471" t="str">
        <f t="shared" si="169"/>
        <v>ascphyadl</v>
      </c>
      <c r="K754" s="471" t="str">
        <f t="shared" si="170"/>
        <v>empl</v>
      </c>
      <c r="L754" s="599"/>
      <c r="M754" s="471" t="s">
        <v>5151</v>
      </c>
      <c r="N754" s="471" t="s">
        <v>5152</v>
      </c>
      <c r="O754" s="471" t="s">
        <v>5153</v>
      </c>
    </row>
    <row r="755" spans="1:15" x14ac:dyDescent="0.25">
      <c r="A755" s="471" t="s">
        <v>5168</v>
      </c>
      <c r="B755" s="1139">
        <f t="shared" ca="1" si="168"/>
        <v>0</v>
      </c>
      <c r="C755" s="473">
        <f ca="1">IF(ISERROR(VLOOKUP($A$1232,INDIRECT("notes_"&amp;LEFT($A$1232,3)),4,0)),0,VLOOKUP($A$1232,INDIRECT("notes_"&amp;LEFT($A$1232,3)),4,0))</f>
        <v>0</v>
      </c>
      <c r="H755" s="471">
        <f t="shared" si="167"/>
        <v>2</v>
      </c>
      <c r="I755" s="471">
        <v>0</v>
      </c>
      <c r="J755" s="471" t="str">
        <f t="shared" si="169"/>
        <v>ascphyold</v>
      </c>
      <c r="K755" s="471" t="str">
        <f t="shared" si="170"/>
        <v>empl</v>
      </c>
      <c r="L755" s="599"/>
      <c r="M755" s="471" t="s">
        <v>5151</v>
      </c>
      <c r="N755" s="471" t="s">
        <v>5152</v>
      </c>
      <c r="O755" s="471" t="s">
        <v>5153</v>
      </c>
    </row>
    <row r="756" spans="1:15" x14ac:dyDescent="0.25">
      <c r="A756" s="471" t="s">
        <v>5169</v>
      </c>
      <c r="B756" s="1139">
        <f t="shared" ca="1" si="168"/>
        <v>0</v>
      </c>
      <c r="C756" s="473">
        <f ca="1">IF(ISERROR(VLOOKUP($A$1233,INDIRECT("notes_"&amp;LEFT($A$1233,3)),4,0)),0,VLOOKUP($A$1233,INDIRECT("notes_"&amp;LEFT($A$1233,3)),4,0))</f>
        <v>0</v>
      </c>
      <c r="H756" s="471">
        <f t="shared" si="167"/>
        <v>2</v>
      </c>
      <c r="I756" s="471">
        <v>0</v>
      </c>
      <c r="J756" s="471" t="str">
        <f t="shared" si="169"/>
        <v>ascsnsadl</v>
      </c>
      <c r="K756" s="471" t="str">
        <f t="shared" si="170"/>
        <v>empl</v>
      </c>
      <c r="L756" s="599"/>
      <c r="M756" s="471" t="s">
        <v>5151</v>
      </c>
      <c r="N756" s="471" t="s">
        <v>5152</v>
      </c>
      <c r="O756" s="471" t="s">
        <v>5153</v>
      </c>
    </row>
    <row r="757" spans="1:15" x14ac:dyDescent="0.25">
      <c r="A757" s="471" t="s">
        <v>5170</v>
      </c>
      <c r="B757" s="1139">
        <f t="shared" ca="1" si="168"/>
        <v>0</v>
      </c>
      <c r="C757" s="473">
        <f ca="1">IF(ISERROR(VLOOKUP($A$1234,INDIRECT("notes_"&amp;LEFT($A$1234,3)),4,0)),0,VLOOKUP($A$1234,INDIRECT("notes_"&amp;LEFT($A$1234,3)),4,0))</f>
        <v>0</v>
      </c>
      <c r="H757" s="471">
        <f t="shared" si="167"/>
        <v>2</v>
      </c>
      <c r="I757" s="471">
        <v>0</v>
      </c>
      <c r="J757" s="471" t="str">
        <f t="shared" si="169"/>
        <v>ascsnsold</v>
      </c>
      <c r="K757" s="471" t="str">
        <f t="shared" si="170"/>
        <v>empl</v>
      </c>
      <c r="L757" s="599"/>
      <c r="M757" s="471" t="s">
        <v>5151</v>
      </c>
      <c r="N757" s="471" t="s">
        <v>5152</v>
      </c>
      <c r="O757" s="471" t="s">
        <v>5153</v>
      </c>
    </row>
    <row r="758" spans="1:15" x14ac:dyDescent="0.25">
      <c r="A758" s="471" t="s">
        <v>5171</v>
      </c>
      <c r="B758" s="1139">
        <f t="shared" ca="1" si="168"/>
        <v>0</v>
      </c>
      <c r="C758" s="473">
        <f ca="1">IF(ISERROR(VLOOKUP($A$1235,INDIRECT("notes_"&amp;LEFT($A$1235,3)),4,0)),0,VLOOKUP($A$1235,INDIRECT("notes_"&amp;LEFT($A$1235,3)),4,0))</f>
        <v>0</v>
      </c>
      <c r="H758" s="471">
        <f t="shared" si="167"/>
        <v>2</v>
      </c>
      <c r="I758" s="471">
        <v>0</v>
      </c>
      <c r="J758" s="471" t="str">
        <f t="shared" si="169"/>
        <v>ascmmradl</v>
      </c>
      <c r="K758" s="471" t="str">
        <f t="shared" si="170"/>
        <v>empl</v>
      </c>
      <c r="L758" s="599"/>
      <c r="M758" s="471" t="s">
        <v>5151</v>
      </c>
      <c r="N758" s="471" t="s">
        <v>5152</v>
      </c>
      <c r="O758" s="471" t="s">
        <v>5153</v>
      </c>
    </row>
    <row r="759" spans="1:15" x14ac:dyDescent="0.25">
      <c r="A759" s="471" t="s">
        <v>5172</v>
      </c>
      <c r="B759" s="1139">
        <f t="shared" ca="1" si="168"/>
        <v>0</v>
      </c>
      <c r="C759" s="473">
        <f ca="1">IF(ISERROR(VLOOKUP($A$1236,INDIRECT("notes_"&amp;LEFT($A$1236,3)),4,0)),0,VLOOKUP($A$1236,INDIRECT("notes_"&amp;LEFT($A$1236,3)),4,0))</f>
        <v>0</v>
      </c>
      <c r="H759" s="471">
        <f t="shared" si="167"/>
        <v>2</v>
      </c>
      <c r="I759" s="471">
        <v>0</v>
      </c>
      <c r="J759" s="471" t="str">
        <f t="shared" si="169"/>
        <v>ascmmrold</v>
      </c>
      <c r="K759" s="471" t="str">
        <f t="shared" si="170"/>
        <v>empl</v>
      </c>
      <c r="L759" s="599"/>
      <c r="M759" s="471" t="s">
        <v>5151</v>
      </c>
      <c r="N759" s="471" t="s">
        <v>5152</v>
      </c>
      <c r="O759" s="471" t="s">
        <v>5153</v>
      </c>
    </row>
    <row r="760" spans="1:15" x14ac:dyDescent="0.25">
      <c r="A760" s="471" t="s">
        <v>5173</v>
      </c>
      <c r="B760" s="1139">
        <f t="shared" ca="1" si="168"/>
        <v>0</v>
      </c>
      <c r="C760" s="473">
        <f ca="1">IF(ISERROR(VLOOKUP($A$1237,INDIRECT("notes_"&amp;LEFT($A$1237,3)),4,0)),0,VLOOKUP($A$1237,INDIRECT("notes_"&amp;LEFT($A$1237,3)),4,0))</f>
        <v>0</v>
      </c>
      <c r="H760" s="471">
        <f t="shared" si="167"/>
        <v>2</v>
      </c>
      <c r="I760" s="471">
        <v>0</v>
      </c>
      <c r="J760" s="471" t="str">
        <f t="shared" si="169"/>
        <v>asclrnadl</v>
      </c>
      <c r="K760" s="471" t="str">
        <f t="shared" si="170"/>
        <v>empl</v>
      </c>
      <c r="L760" s="599"/>
      <c r="M760" s="471" t="s">
        <v>5151</v>
      </c>
      <c r="N760" s="471" t="s">
        <v>5152</v>
      </c>
      <c r="O760" s="471" t="s">
        <v>5153</v>
      </c>
    </row>
    <row r="761" spans="1:15" x14ac:dyDescent="0.25">
      <c r="A761" s="471" t="s">
        <v>5174</v>
      </c>
      <c r="B761" s="1139">
        <f t="shared" ca="1" si="168"/>
        <v>0</v>
      </c>
      <c r="C761" s="473">
        <f ca="1">IF(ISERROR(VLOOKUP($A$1238,INDIRECT("notes_"&amp;LEFT($A$1238,3)),4,0)),0,VLOOKUP($A$1238,INDIRECT("notes_"&amp;LEFT($A$1238,3)),4,0))</f>
        <v>0</v>
      </c>
      <c r="H761" s="471">
        <f t="shared" si="167"/>
        <v>2</v>
      </c>
      <c r="I761" s="471">
        <v>0</v>
      </c>
      <c r="J761" s="471" t="str">
        <f t="shared" si="169"/>
        <v>asclrnold</v>
      </c>
      <c r="K761" s="471" t="str">
        <f t="shared" si="170"/>
        <v>empl</v>
      </c>
      <c r="L761" s="599"/>
      <c r="M761" s="471" t="s">
        <v>5151</v>
      </c>
      <c r="N761" s="471" t="s">
        <v>5152</v>
      </c>
      <c r="O761" s="471" t="s">
        <v>5153</v>
      </c>
    </row>
    <row r="762" spans="1:15" x14ac:dyDescent="0.25">
      <c r="A762" s="471" t="s">
        <v>5175</v>
      </c>
      <c r="B762" s="1139">
        <f t="shared" ca="1" si="168"/>
        <v>0</v>
      </c>
      <c r="C762" s="473">
        <f ca="1">IF(ISERROR(VLOOKUP($A$1239,INDIRECT("notes_"&amp;LEFT($A$1239,3)),4,0)),0,VLOOKUP($A$1239,INDIRECT("notes_"&amp;LEFT($A$1239,3)),4,0))</f>
        <v>0</v>
      </c>
      <c r="H762" s="471">
        <f t="shared" si="167"/>
        <v>2</v>
      </c>
      <c r="I762" s="471">
        <v>0</v>
      </c>
      <c r="J762" s="471" t="str">
        <f t="shared" si="169"/>
        <v>ascmntadl</v>
      </c>
      <c r="K762" s="471" t="str">
        <f t="shared" si="170"/>
        <v>empl</v>
      </c>
      <c r="L762" s="599"/>
      <c r="M762" s="471" t="s">
        <v>5151</v>
      </c>
      <c r="N762" s="471" t="s">
        <v>5152</v>
      </c>
      <c r="O762" s="471" t="s">
        <v>5153</v>
      </c>
    </row>
    <row r="763" spans="1:15" x14ac:dyDescent="0.25">
      <c r="A763" s="471" t="s">
        <v>5176</v>
      </c>
      <c r="B763" s="1139">
        <f t="shared" ca="1" si="168"/>
        <v>0</v>
      </c>
      <c r="C763" s="473">
        <f ca="1">IF(ISERROR(VLOOKUP($A$1240,INDIRECT("notes_"&amp;LEFT($A$1240,3)),4,0)),0,VLOOKUP($A$1240,INDIRECT("notes_"&amp;LEFT($A$1240,3)),4,0))</f>
        <v>0</v>
      </c>
      <c r="H763" s="471">
        <f t="shared" si="167"/>
        <v>2</v>
      </c>
      <c r="I763" s="471">
        <v>0</v>
      </c>
      <c r="J763" s="471" t="str">
        <f t="shared" si="169"/>
        <v>ascmntold</v>
      </c>
      <c r="K763" s="471" t="str">
        <f t="shared" si="170"/>
        <v>empl</v>
      </c>
      <c r="L763" s="599"/>
      <c r="M763" s="471" t="s">
        <v>5151</v>
      </c>
      <c r="N763" s="471" t="s">
        <v>5152</v>
      </c>
      <c r="O763" s="471" t="s">
        <v>5153</v>
      </c>
    </row>
    <row r="764" spans="1:15" x14ac:dyDescent="0.25">
      <c r="A764" s="471" t="s">
        <v>5177</v>
      </c>
      <c r="B764" s="1139">
        <f t="shared" ca="1" si="168"/>
        <v>0</v>
      </c>
      <c r="C764" s="473">
        <f ca="1">IF(ISERROR(VLOOKUP($A$1241,INDIRECT("notes_"&amp;LEFT($A$1241,3)),4,0)),0,VLOOKUP($A$1241,INDIRECT("notes_"&amp;LEFT($A$1241,3)),4,0))</f>
        <v>0</v>
      </c>
      <c r="H764" s="471">
        <f t="shared" si="167"/>
        <v>2</v>
      </c>
      <c r="I764" s="471">
        <v>0</v>
      </c>
      <c r="J764" s="471" t="str">
        <f t="shared" si="169"/>
        <v>ascsclsbs</v>
      </c>
      <c r="K764" s="471" t="str">
        <f t="shared" si="170"/>
        <v>empl</v>
      </c>
      <c r="L764" s="599"/>
      <c r="M764" s="471" t="s">
        <v>5151</v>
      </c>
      <c r="N764" s="471" t="s">
        <v>5152</v>
      </c>
      <c r="O764" s="471" t="s">
        <v>5153</v>
      </c>
    </row>
    <row r="765" spans="1:15" x14ac:dyDescent="0.25">
      <c r="A765" s="471" t="s">
        <v>5178</v>
      </c>
      <c r="B765" s="1139">
        <f t="shared" ca="1" si="168"/>
        <v>0</v>
      </c>
      <c r="C765" s="473">
        <f ca="1">IF(ISERROR(VLOOKUP($A$1242,INDIRECT("notes_"&amp;LEFT($A$1242,3)),4,0)),0,VLOOKUP($A$1242,INDIRECT("notes_"&amp;LEFT($A$1242,3)),4,0))</f>
        <v>0</v>
      </c>
      <c r="H765" s="471">
        <f t="shared" si="167"/>
        <v>2</v>
      </c>
      <c r="I765" s="471">
        <v>0</v>
      </c>
      <c r="J765" s="471" t="str">
        <f t="shared" si="169"/>
        <v>ascsclasy</v>
      </c>
      <c r="K765" s="471" t="str">
        <f t="shared" si="170"/>
        <v>empl</v>
      </c>
      <c r="L765" s="599"/>
      <c r="M765" s="471" t="s">
        <v>5151</v>
      </c>
      <c r="N765" s="471" t="s">
        <v>5152</v>
      </c>
      <c r="O765" s="471" t="s">
        <v>5153</v>
      </c>
    </row>
    <row r="766" spans="1:15" x14ac:dyDescent="0.25">
      <c r="A766" s="471" t="s">
        <v>5179</v>
      </c>
      <c r="B766" s="1139">
        <f t="shared" ca="1" si="168"/>
        <v>0</v>
      </c>
      <c r="C766" s="473">
        <f ca="1">IF(ISERROR(VLOOKUP($A$1243,INDIRECT("notes_"&amp;LEFT($A$1243,3)),4,0)),0,VLOOKUP($A$1243,INDIRECT("notes_"&amp;LEFT($A$1243,3)),4,0))</f>
        <v>0</v>
      </c>
      <c r="H766" s="471">
        <f t="shared" si="167"/>
        <v>2</v>
      </c>
      <c r="I766" s="471">
        <v>0</v>
      </c>
      <c r="J766" s="471" t="str">
        <f t="shared" si="169"/>
        <v>ascsclisl</v>
      </c>
      <c r="K766" s="471" t="str">
        <f t="shared" si="170"/>
        <v>empl</v>
      </c>
      <c r="L766" s="599"/>
      <c r="M766" s="471" t="s">
        <v>5151</v>
      </c>
      <c r="N766" s="471" t="s">
        <v>5152</v>
      </c>
      <c r="O766" s="471" t="s">
        <v>5153</v>
      </c>
    </row>
    <row r="767" spans="1:15" x14ac:dyDescent="0.25">
      <c r="A767" s="471" t="s">
        <v>5180</v>
      </c>
      <c r="B767" s="1139">
        <f t="shared" ca="1" si="168"/>
        <v>0</v>
      </c>
      <c r="C767" s="473">
        <f ca="1">IF(ISERROR(VLOOKUP($A$1244,INDIRECT("notes_"&amp;LEFT($A$1244,3)),4,0)),0,VLOOKUP($A$1244,INDIRECT("notes_"&amp;LEFT($A$1244,3)),4,0))</f>
        <v>0</v>
      </c>
      <c r="H767" s="471">
        <f t="shared" si="167"/>
        <v>2</v>
      </c>
      <c r="I767" s="471">
        <v>0</v>
      </c>
      <c r="J767" s="471" t="str">
        <f t="shared" si="169"/>
        <v>ascsclcrr</v>
      </c>
      <c r="K767" s="471" t="str">
        <f t="shared" si="170"/>
        <v>empl</v>
      </c>
      <c r="L767" s="599"/>
      <c r="M767" s="471" t="s">
        <v>5151</v>
      </c>
      <c r="N767" s="471" t="s">
        <v>5152</v>
      </c>
      <c r="O767" s="471" t="s">
        <v>5153</v>
      </c>
    </row>
    <row r="768" spans="1:15" x14ac:dyDescent="0.25">
      <c r="A768" s="1120" t="s">
        <v>5181</v>
      </c>
      <c r="B768" s="1139" t="str">
        <f t="shared" ca="1" si="168"/>
        <v/>
      </c>
      <c r="C768" s="473"/>
      <c r="H768" s="471">
        <f t="shared" si="167"/>
        <v>2</v>
      </c>
      <c r="I768" s="471">
        <v>0</v>
      </c>
      <c r="J768" s="471" t="str">
        <f t="shared" si="169"/>
        <v>ascsclcrradl</v>
      </c>
      <c r="K768" s="471" t="str">
        <f t="shared" si="170"/>
        <v>empl</v>
      </c>
      <c r="L768" s="599"/>
      <c r="M768" s="471" t="s">
        <v>5151</v>
      </c>
      <c r="N768" s="471" t="s">
        <v>5152</v>
      </c>
      <c r="O768" s="471" t="s">
        <v>5153</v>
      </c>
    </row>
    <row r="769" spans="1:15" x14ac:dyDescent="0.25">
      <c r="A769" s="1120" t="s">
        <v>5182</v>
      </c>
      <c r="B769" s="1139" t="str">
        <f t="shared" ca="1" si="168"/>
        <v/>
      </c>
      <c r="C769" s="473"/>
      <c r="H769" s="471">
        <f t="shared" si="167"/>
        <v>2</v>
      </c>
      <c r="I769" s="471">
        <v>0</v>
      </c>
      <c r="J769" s="471" t="str">
        <f t="shared" si="169"/>
        <v>ascsclcrrold</v>
      </c>
      <c r="K769" s="471" t="str">
        <f t="shared" si="170"/>
        <v>empl</v>
      </c>
      <c r="L769" s="599"/>
      <c r="M769" s="471" t="s">
        <v>5151</v>
      </c>
      <c r="N769" s="471" t="s">
        <v>5152</v>
      </c>
      <c r="O769" s="471" t="s">
        <v>5153</v>
      </c>
    </row>
    <row r="770" spans="1:15" x14ac:dyDescent="0.25">
      <c r="A770" s="471" t="s">
        <v>5183</v>
      </c>
      <c r="B770" s="1139">
        <f t="shared" ca="1" si="168"/>
        <v>0</v>
      </c>
      <c r="C770" s="473">
        <f ca="1">IF(ISERROR(VLOOKUP($A$1247,INDIRECT("notes_"&amp;LEFT($A$1247,3)),4,0)),0,VLOOKUP($A$1247,INDIRECT("notes_"&amp;LEFT($A$1247,3)),4,0))</f>
        <v>0</v>
      </c>
      <c r="H770" s="471">
        <f t="shared" si="167"/>
        <v>2</v>
      </c>
      <c r="I770" s="471">
        <v>0</v>
      </c>
      <c r="J770" s="471" t="str">
        <f t="shared" si="169"/>
        <v>ascass</v>
      </c>
      <c r="K770" s="471" t="str">
        <f t="shared" si="170"/>
        <v>empl</v>
      </c>
      <c r="L770" s="599"/>
      <c r="M770" s="471" t="s">
        <v>5151</v>
      </c>
      <c r="N770" s="471" t="s">
        <v>5152</v>
      </c>
      <c r="O770" s="471" t="s">
        <v>5153</v>
      </c>
    </row>
    <row r="771" spans="1:15" x14ac:dyDescent="0.25">
      <c r="A771" s="471" t="s">
        <v>5184</v>
      </c>
      <c r="B771" s="1139" t="str">
        <f t="shared" ca="1" si="168"/>
        <v/>
      </c>
      <c r="C771" s="473"/>
      <c r="H771" s="471">
        <f t="shared" si="167"/>
        <v>2</v>
      </c>
      <c r="I771" s="471">
        <v>0</v>
      </c>
      <c r="J771" s="471" t="str">
        <f t="shared" si="169"/>
        <v>ascassadl</v>
      </c>
      <c r="K771" s="471" t="str">
        <f t="shared" si="170"/>
        <v>empl</v>
      </c>
      <c r="L771" s="599"/>
      <c r="M771" s="471" t="s">
        <v>5151</v>
      </c>
      <c r="N771" s="471" t="s">
        <v>5152</v>
      </c>
      <c r="O771" s="471" t="s">
        <v>5153</v>
      </c>
    </row>
    <row r="772" spans="1:15" x14ac:dyDescent="0.25">
      <c r="A772" s="471" t="s">
        <v>5185</v>
      </c>
      <c r="B772" s="1139" t="str">
        <f t="shared" ca="1" si="168"/>
        <v/>
      </c>
      <c r="C772" s="473"/>
      <c r="H772" s="471">
        <f t="shared" si="167"/>
        <v>2</v>
      </c>
      <c r="I772" s="471">
        <v>0</v>
      </c>
      <c r="J772" s="471" t="str">
        <f t="shared" si="169"/>
        <v>ascassold</v>
      </c>
      <c r="K772" s="471" t="str">
        <f t="shared" si="170"/>
        <v>empl</v>
      </c>
      <c r="L772" s="599"/>
      <c r="M772" s="471" t="s">
        <v>5151</v>
      </c>
      <c r="N772" s="471" t="s">
        <v>5152</v>
      </c>
      <c r="O772" s="471" t="s">
        <v>5153</v>
      </c>
    </row>
    <row r="773" spans="1:15" x14ac:dyDescent="0.25">
      <c r="A773" s="471" t="s">
        <v>5186</v>
      </c>
      <c r="B773" s="1139">
        <f t="shared" ca="1" si="168"/>
        <v>0</v>
      </c>
      <c r="C773" s="473">
        <f ca="1">IF(ISERROR(VLOOKUP($A$1250,INDIRECT("notes_"&amp;LEFT($A$1250,3)),4,0)),0,VLOOKUP($A$1250,INDIRECT("notes_"&amp;LEFT($A$1250,3)),4,0))</f>
        <v>0</v>
      </c>
      <c r="H773" s="471">
        <f t="shared" si="167"/>
        <v>2</v>
      </c>
      <c r="I773" s="471">
        <v>0</v>
      </c>
      <c r="J773" s="471" t="str">
        <f t="shared" si="169"/>
        <v>asccrasssfg</v>
      </c>
      <c r="K773" s="471" t="str">
        <f t="shared" si="170"/>
        <v>empl</v>
      </c>
      <c r="L773" s="599"/>
      <c r="M773" s="471" t="s">
        <v>5151</v>
      </c>
      <c r="N773" s="471" t="s">
        <v>5152</v>
      </c>
      <c r="O773" s="471" t="s">
        <v>5153</v>
      </c>
    </row>
    <row r="774" spans="1:15" x14ac:dyDescent="0.25">
      <c r="A774" s="471" t="s">
        <v>5187</v>
      </c>
      <c r="B774" s="1139" t="str">
        <f t="shared" ca="1" si="168"/>
        <v/>
      </c>
      <c r="C774" s="473"/>
      <c r="H774" s="471">
        <f t="shared" si="167"/>
        <v>2</v>
      </c>
      <c r="I774" s="471">
        <v>0</v>
      </c>
      <c r="J774" s="471" t="str">
        <f t="shared" si="169"/>
        <v>asccrasssfgadl</v>
      </c>
      <c r="K774" s="471" t="str">
        <f t="shared" si="170"/>
        <v>empl</v>
      </c>
      <c r="L774" s="599"/>
      <c r="M774" s="471" t="s">
        <v>5151</v>
      </c>
      <c r="N774" s="471" t="s">
        <v>5152</v>
      </c>
      <c r="O774" s="471" t="s">
        <v>5153</v>
      </c>
    </row>
    <row r="775" spans="1:15" x14ac:dyDescent="0.25">
      <c r="A775" s="471" t="s">
        <v>5188</v>
      </c>
      <c r="B775" s="1139" t="str">
        <f t="shared" ca="1" si="168"/>
        <v/>
      </c>
      <c r="C775" s="473"/>
      <c r="H775" s="471">
        <f t="shared" si="167"/>
        <v>2</v>
      </c>
      <c r="I775" s="471">
        <v>0</v>
      </c>
      <c r="J775" s="471" t="str">
        <f t="shared" si="169"/>
        <v>asccrasssfgold</v>
      </c>
      <c r="K775" s="471" t="str">
        <f t="shared" si="170"/>
        <v>empl</v>
      </c>
      <c r="L775" s="599"/>
      <c r="M775" s="471" t="s">
        <v>5151</v>
      </c>
      <c r="N775" s="471" t="s">
        <v>5152</v>
      </c>
      <c r="O775" s="471" t="s">
        <v>5153</v>
      </c>
    </row>
    <row r="776" spans="1:15" x14ac:dyDescent="0.25">
      <c r="A776" s="471" t="s">
        <v>5189</v>
      </c>
      <c r="B776" s="1139">
        <f t="shared" ca="1" si="168"/>
        <v>0</v>
      </c>
      <c r="C776" s="473">
        <f ca="1">IF(ISERROR(VLOOKUP($A$1253,INDIRECT("notes_"&amp;LEFT($A$1253,3)),4,0)),0,VLOOKUP($A$1253,INDIRECT("notes_"&amp;LEFT($A$1253,3)),4,0))</f>
        <v>0</v>
      </c>
      <c r="H776" s="471">
        <f t="shared" si="167"/>
        <v>2</v>
      </c>
      <c r="I776" s="471">
        <v>0</v>
      </c>
      <c r="J776" s="471" t="str">
        <f t="shared" si="169"/>
        <v>ascinf</v>
      </c>
      <c r="K776" s="471" t="str">
        <f t="shared" si="170"/>
        <v>empl</v>
      </c>
      <c r="L776" s="599"/>
      <c r="M776" s="471" t="s">
        <v>5151</v>
      </c>
      <c r="N776" s="471" t="s">
        <v>5152</v>
      </c>
      <c r="O776" s="471" t="s">
        <v>5153</v>
      </c>
    </row>
    <row r="777" spans="1:15" x14ac:dyDescent="0.25">
      <c r="A777" s="471" t="s">
        <v>5190</v>
      </c>
      <c r="B777" s="1139" t="str">
        <f t="shared" ca="1" si="168"/>
        <v/>
      </c>
      <c r="C777" s="473"/>
      <c r="H777" s="471">
        <f t="shared" si="167"/>
        <v>2</v>
      </c>
      <c r="I777" s="471">
        <v>0</v>
      </c>
      <c r="J777" s="471" t="str">
        <f t="shared" si="169"/>
        <v>ascinfadl</v>
      </c>
      <c r="K777" s="471" t="str">
        <f t="shared" si="170"/>
        <v>empl</v>
      </c>
      <c r="L777" s="599"/>
      <c r="M777" s="471" t="s">
        <v>5151</v>
      </c>
      <c r="N777" s="471" t="s">
        <v>5152</v>
      </c>
      <c r="O777" s="471" t="s">
        <v>5153</v>
      </c>
    </row>
    <row r="778" spans="1:15" x14ac:dyDescent="0.25">
      <c r="A778" s="471" t="s">
        <v>5191</v>
      </c>
      <c r="B778" s="1139" t="str">
        <f t="shared" ca="1" si="168"/>
        <v/>
      </c>
      <c r="C778" s="473"/>
      <c r="H778" s="471">
        <f t="shared" si="167"/>
        <v>2</v>
      </c>
      <c r="I778" s="471">
        <v>0</v>
      </c>
      <c r="J778" s="471" t="str">
        <f t="shared" si="169"/>
        <v>ascinfold</v>
      </c>
      <c r="K778" s="471" t="str">
        <f t="shared" si="170"/>
        <v>empl</v>
      </c>
      <c r="L778" s="599"/>
      <c r="M778" s="471" t="s">
        <v>5151</v>
      </c>
      <c r="N778" s="471" t="s">
        <v>5152</v>
      </c>
      <c r="O778" s="471" t="s">
        <v>5153</v>
      </c>
    </row>
    <row r="779" spans="1:15" x14ac:dyDescent="0.25">
      <c r="A779" s="471" t="s">
        <v>5192</v>
      </c>
      <c r="B779" s="1139">
        <f t="shared" ca="1" si="168"/>
        <v>0</v>
      </c>
      <c r="C779" s="473">
        <f ca="1">IF(ISERROR(VLOOKUP($A$1256,INDIRECT("notes_"&amp;LEFT($A$1256,3)),4,0)),0,VLOOKUP($A$1256,INDIRECT("notes_"&amp;LEFT($A$1256,3)),4,0))</f>
        <v>0</v>
      </c>
      <c r="H779" s="471">
        <f t="shared" si="167"/>
        <v>2</v>
      </c>
      <c r="I779" s="471">
        <v>0</v>
      </c>
      <c r="J779" s="471" t="str">
        <f t="shared" si="169"/>
        <v>asccmstad</v>
      </c>
      <c r="K779" s="471" t="str">
        <f t="shared" si="170"/>
        <v>empl</v>
      </c>
      <c r="L779" s="599"/>
      <c r="M779" s="471" t="s">
        <v>5151</v>
      </c>
      <c r="N779" s="471" t="s">
        <v>5152</v>
      </c>
      <c r="O779" s="471" t="s">
        <v>5153</v>
      </c>
    </row>
    <row r="780" spans="1:15" x14ac:dyDescent="0.25">
      <c r="A780" s="471" t="s">
        <v>5193</v>
      </c>
      <c r="B780" s="1139" t="str">
        <f t="shared" ca="1" si="168"/>
        <v/>
      </c>
      <c r="C780" s="473"/>
      <c r="H780" s="471">
        <f t="shared" si="167"/>
        <v>2</v>
      </c>
      <c r="I780" s="471">
        <v>0</v>
      </c>
      <c r="J780" s="471" t="str">
        <f t="shared" si="169"/>
        <v>asccmstadadl</v>
      </c>
      <c r="K780" s="471" t="str">
        <f t="shared" si="170"/>
        <v>empl</v>
      </c>
      <c r="L780" s="599"/>
      <c r="M780" s="471" t="s">
        <v>5151</v>
      </c>
      <c r="N780" s="471" t="s">
        <v>5152</v>
      </c>
      <c r="O780" s="471" t="s">
        <v>5153</v>
      </c>
    </row>
    <row r="781" spans="1:15" x14ac:dyDescent="0.25">
      <c r="A781" s="471" t="s">
        <v>5194</v>
      </c>
      <c r="B781" s="1139" t="str">
        <f t="shared" ca="1" si="168"/>
        <v/>
      </c>
      <c r="C781" s="473"/>
      <c r="H781" s="471">
        <f t="shared" si="167"/>
        <v>2</v>
      </c>
      <c r="I781" s="471">
        <v>0</v>
      </c>
      <c r="J781" s="471" t="str">
        <f t="shared" si="169"/>
        <v>asccmstadold</v>
      </c>
      <c r="K781" s="471" t="str">
        <f t="shared" si="170"/>
        <v>empl</v>
      </c>
      <c r="L781" s="599"/>
      <c r="M781" s="471" t="s">
        <v>5151</v>
      </c>
      <c r="N781" s="471" t="s">
        <v>5152</v>
      </c>
      <c r="O781" s="471" t="s">
        <v>5153</v>
      </c>
    </row>
    <row r="782" spans="1:15" x14ac:dyDescent="0.25">
      <c r="A782" s="471" t="s">
        <v>5195</v>
      </c>
      <c r="B782" s="1139">
        <f t="shared" ca="1" si="168"/>
        <v>0</v>
      </c>
      <c r="C782" s="473">
        <f ca="1">IF(ISERROR(VLOOKUP($A$1259,INDIRECT("notes_"&amp;LEFT($A$1259,3)),4,0)),0,VLOOKUP($A$1259,INDIRECT("notes_"&amp;LEFT($A$1259,3)),4,0))</f>
        <v>0</v>
      </c>
      <c r="H782" s="471">
        <f t="shared" si="167"/>
        <v>2</v>
      </c>
      <c r="I782" s="471">
        <v>0</v>
      </c>
      <c r="J782" s="471" t="str">
        <f t="shared" si="169"/>
        <v>asctot</v>
      </c>
      <c r="K782" s="471" t="str">
        <f t="shared" si="170"/>
        <v>empl</v>
      </c>
      <c r="L782" s="599"/>
      <c r="M782" s="471" t="s">
        <v>5151</v>
      </c>
      <c r="N782" s="471" t="s">
        <v>5152</v>
      </c>
      <c r="O782" s="471" t="s">
        <v>5153</v>
      </c>
    </row>
    <row r="783" spans="1:15" x14ac:dyDescent="0.25">
      <c r="A783" s="471" t="s">
        <v>5196</v>
      </c>
      <c r="B783" s="1139">
        <f t="shared" ca="1" si="168"/>
        <v>0</v>
      </c>
      <c r="C783" s="473">
        <f ca="1">IF(ISERROR(VLOOKUP($A$1260,INDIRECT("notes_"&amp;LEFT($A$1260,3)),4,0)),0,VLOOKUP($A$1260,INDIRECT("notes_"&amp;LEFT($A$1260,3)),4,0))</f>
        <v>0</v>
      </c>
      <c r="H783" s="471">
        <f t="shared" si="167"/>
        <v>2</v>
      </c>
      <c r="I783" s="471">
        <v>0</v>
      </c>
      <c r="J783" s="471" t="str">
        <f t="shared" si="169"/>
        <v>phsxlsti</v>
      </c>
      <c r="K783" s="471" t="str">
        <f t="shared" si="170"/>
        <v>empl</v>
      </c>
      <c r="L783" s="599"/>
      <c r="M783" s="471" t="s">
        <v>5151</v>
      </c>
      <c r="N783" s="471" t="s">
        <v>5152</v>
      </c>
      <c r="O783" s="471" t="s">
        <v>5153</v>
      </c>
    </row>
    <row r="784" spans="1:15" x14ac:dyDescent="0.25">
      <c r="A784" s="471" t="s">
        <v>5197</v>
      </c>
      <c r="B784" s="1139">
        <f t="shared" ca="1" si="168"/>
        <v>0</v>
      </c>
      <c r="C784" s="473">
        <f ca="1">IF(ISERROR(VLOOKUP($A$1261,INDIRECT("notes_"&amp;LEFT($A$1261,3)),4,0)),0,VLOOKUP($A$1261,INDIRECT("notes_"&amp;LEFT($A$1261,3)),4,0))</f>
        <v>0</v>
      </c>
      <c r="H784" s="471">
        <f t="shared" si="167"/>
        <v>2</v>
      </c>
      <c r="I784" s="471">
        <v>0</v>
      </c>
      <c r="J784" s="471" t="str">
        <f t="shared" si="169"/>
        <v>phsxlcnt</v>
      </c>
      <c r="K784" s="471" t="str">
        <f t="shared" si="170"/>
        <v>empl</v>
      </c>
      <c r="L784" s="599"/>
      <c r="M784" s="471" t="s">
        <v>5151</v>
      </c>
      <c r="N784" s="471" t="s">
        <v>5152</v>
      </c>
      <c r="O784" s="471" t="s">
        <v>5153</v>
      </c>
    </row>
    <row r="785" spans="1:15" x14ac:dyDescent="0.25">
      <c r="A785" s="471" t="s">
        <v>5198</v>
      </c>
      <c r="B785" s="1139">
        <f t="shared" ca="1" si="168"/>
        <v>0</v>
      </c>
      <c r="C785" s="473">
        <f ca="1">IF(ISERROR(VLOOKUP($A$1262,INDIRECT("notes_"&amp;LEFT($A$1262,3)),4,0)),0,VLOOKUP($A$1262,INDIRECT("notes_"&amp;LEFT($A$1262,3)),4,0))</f>
        <v>0</v>
      </c>
      <c r="H785" s="471">
        <f t="shared" si="167"/>
        <v>2</v>
      </c>
      <c r="I785" s="471">
        <v>0</v>
      </c>
      <c r="J785" s="471" t="str">
        <f t="shared" si="169"/>
        <v>phsxlprm</v>
      </c>
      <c r="K785" s="471" t="str">
        <f t="shared" si="170"/>
        <v>empl</v>
      </c>
      <c r="L785" s="599"/>
      <c r="M785" s="471" t="s">
        <v>5151</v>
      </c>
      <c r="N785" s="471" t="s">
        <v>5152</v>
      </c>
      <c r="O785" s="471" t="s">
        <v>5153</v>
      </c>
    </row>
    <row r="786" spans="1:15" x14ac:dyDescent="0.25">
      <c r="A786" s="471" t="s">
        <v>5199</v>
      </c>
      <c r="B786" s="1139">
        <f t="shared" ca="1" si="168"/>
        <v>0</v>
      </c>
      <c r="C786" s="473">
        <f ca="1">IF(ISERROR(VLOOKUP($A$1263,INDIRECT("notes_"&amp;LEFT($A$1263,3)),4,0)),0,VLOOKUP($A$1263,INDIRECT("notes_"&amp;LEFT($A$1263,3)),4,0))</f>
        <v>0</v>
      </c>
      <c r="H786" s="471">
        <f t="shared" si="167"/>
        <v>2</v>
      </c>
      <c r="I786" s="471">
        <v>0</v>
      </c>
      <c r="J786" s="471" t="str">
        <f t="shared" si="169"/>
        <v>phhcp</v>
      </c>
      <c r="K786" s="471" t="str">
        <f t="shared" si="170"/>
        <v>empl</v>
      </c>
      <c r="L786" s="599"/>
      <c r="M786" s="471" t="s">
        <v>5151</v>
      </c>
      <c r="N786" s="471" t="s">
        <v>5152</v>
      </c>
      <c r="O786" s="471" t="s">
        <v>5153</v>
      </c>
    </row>
    <row r="787" spans="1:15" x14ac:dyDescent="0.25">
      <c r="A787" s="471" t="s">
        <v>5200</v>
      </c>
      <c r="B787" s="1139">
        <f t="shared" ca="1" si="168"/>
        <v>0</v>
      </c>
      <c r="C787" s="473">
        <f ca="1">IF(ISERROR(VLOOKUP($A$1264,INDIRECT("notes_"&amp;LEFT($A$1264,3)),4,0)),0,VLOOKUP($A$1264,INDIRECT("notes_"&amp;LEFT($A$1264,3)),4,0))</f>
        <v>0</v>
      </c>
      <c r="H787" s="471">
        <f t="shared" si="167"/>
        <v>2</v>
      </c>
      <c r="I787" s="471">
        <v>0</v>
      </c>
      <c r="J787" s="471" t="str">
        <f t="shared" si="169"/>
        <v>phprt</v>
      </c>
      <c r="K787" s="471" t="str">
        <f t="shared" si="170"/>
        <v>empl</v>
      </c>
      <c r="L787" s="599"/>
      <c r="M787" s="471" t="s">
        <v>5151</v>
      </c>
      <c r="N787" s="471" t="s">
        <v>5152</v>
      </c>
      <c r="O787" s="471" t="s">
        <v>5153</v>
      </c>
    </row>
    <row r="788" spans="1:15" x14ac:dyDescent="0.25">
      <c r="A788" s="471" t="s">
        <v>5201</v>
      </c>
      <c r="B788" s="1139">
        <f t="shared" ca="1" si="168"/>
        <v>0</v>
      </c>
      <c r="C788" s="473">
        <f ca="1">IF(ISERROR(VLOOKUP($A$1265,INDIRECT("notes_"&amp;LEFT($A$1265,3)),4,0)),0,VLOOKUP($A$1265,INDIRECT("notes_"&amp;LEFT($A$1265,3)),4,0))</f>
        <v>0</v>
      </c>
      <c r="H788" s="471">
        <f t="shared" si="167"/>
        <v>2</v>
      </c>
      <c r="I788" s="471">
        <v>0</v>
      </c>
      <c r="J788" s="471" t="str">
        <f t="shared" si="169"/>
        <v>phcmp</v>
      </c>
      <c r="K788" s="471" t="str">
        <f t="shared" si="170"/>
        <v>empl</v>
      </c>
      <c r="L788" s="599"/>
      <c r="M788" s="471" t="s">
        <v>5151</v>
      </c>
      <c r="N788" s="471" t="s">
        <v>5152</v>
      </c>
      <c r="O788" s="471" t="s">
        <v>5153</v>
      </c>
    </row>
    <row r="789" spans="1:15" x14ac:dyDescent="0.25">
      <c r="A789" s="471" t="s">
        <v>5202</v>
      </c>
      <c r="B789" s="1139">
        <f t="shared" ca="1" si="168"/>
        <v>0</v>
      </c>
      <c r="C789" s="473">
        <f ca="1">IF(ISERROR(VLOOKUP($A$1266,INDIRECT("notes_"&amp;LEFT($A$1266,3)),4,0)),0,VLOOKUP($A$1266,INDIRECT("notes_"&amp;LEFT($A$1266,3)),4,0))</f>
        <v>0</v>
      </c>
      <c r="H789" s="471">
        <f t="shared" si="167"/>
        <v>2</v>
      </c>
      <c r="I789" s="471">
        <v>0</v>
      </c>
      <c r="J789" s="471" t="str">
        <f t="shared" si="169"/>
        <v>phadv</v>
      </c>
      <c r="K789" s="471" t="str">
        <f t="shared" si="170"/>
        <v>empl</v>
      </c>
      <c r="L789" s="599"/>
      <c r="M789" s="471" t="s">
        <v>5151</v>
      </c>
      <c r="N789" s="471" t="s">
        <v>5152</v>
      </c>
      <c r="O789" s="471" t="s">
        <v>5153</v>
      </c>
    </row>
    <row r="790" spans="1:15" x14ac:dyDescent="0.25">
      <c r="A790" s="471" t="s">
        <v>5203</v>
      </c>
      <c r="B790" s="1139">
        <f t="shared" ca="1" si="168"/>
        <v>0</v>
      </c>
      <c r="C790" s="473">
        <f ca="1">IF(ISERROR(VLOOKUP($A$1267,INDIRECT("notes_"&amp;LEFT($A$1267,3)),4,0)),0,VLOOKUP($A$1267,INDIRECT("notes_"&amp;LEFT($A$1267,3)),4,0))</f>
        <v>0</v>
      </c>
      <c r="H790" s="471">
        <f t="shared" si="167"/>
        <v>2</v>
      </c>
      <c r="I790" s="471">
        <v>0</v>
      </c>
      <c r="J790" s="471" t="str">
        <f t="shared" si="169"/>
        <v>phobsadl</v>
      </c>
      <c r="K790" s="471" t="str">
        <f t="shared" si="170"/>
        <v>empl</v>
      </c>
      <c r="L790" s="599"/>
      <c r="M790" s="471" t="s">
        <v>5151</v>
      </c>
      <c r="N790" s="471" t="s">
        <v>5152</v>
      </c>
      <c r="O790" s="471" t="s">
        <v>5153</v>
      </c>
    </row>
    <row r="791" spans="1:15" x14ac:dyDescent="0.25">
      <c r="A791" s="471" t="s">
        <v>5204</v>
      </c>
      <c r="B791" s="1139">
        <f t="shared" ca="1" si="168"/>
        <v>0</v>
      </c>
      <c r="C791" s="473">
        <f ca="1">IF(ISERROR(VLOOKUP($A$1268,INDIRECT("notes_"&amp;LEFT($A$1268,3)),4,0)),0,VLOOKUP($A$1268,INDIRECT("notes_"&amp;LEFT($A$1268,3)),4,0))</f>
        <v>0</v>
      </c>
      <c r="H791" s="471">
        <f t="shared" si="167"/>
        <v>2</v>
      </c>
      <c r="I791" s="471">
        <v>0</v>
      </c>
      <c r="J791" s="471" t="str">
        <f t="shared" si="169"/>
        <v>phobschl</v>
      </c>
      <c r="K791" s="471" t="str">
        <f t="shared" si="170"/>
        <v>empl</v>
      </c>
      <c r="L791" s="599"/>
      <c r="M791" s="471" t="s">
        <v>5151</v>
      </c>
      <c r="N791" s="471" t="s">
        <v>5152</v>
      </c>
      <c r="O791" s="471" t="s">
        <v>5153</v>
      </c>
    </row>
    <row r="792" spans="1:15" x14ac:dyDescent="0.25">
      <c r="A792" s="471" t="s">
        <v>5205</v>
      </c>
      <c r="B792" s="1139">
        <f t="shared" ca="1" si="168"/>
        <v>0</v>
      </c>
      <c r="C792" s="473">
        <f ca="1">IF(ISERROR(VLOOKUP($A$1269,INDIRECT("notes_"&amp;LEFT($A$1269,3)),4,0)),0,VLOOKUP($A$1269,INDIRECT("notes_"&amp;LEFT($A$1269,3)),4,0))</f>
        <v>0</v>
      </c>
      <c r="H792" s="471">
        <f t="shared" si="167"/>
        <v>2</v>
      </c>
      <c r="I792" s="471">
        <v>0</v>
      </c>
      <c r="J792" s="471" t="str">
        <f t="shared" si="169"/>
        <v>phphyadl</v>
      </c>
      <c r="K792" s="471" t="str">
        <f t="shared" si="170"/>
        <v>empl</v>
      </c>
      <c r="L792" s="599"/>
      <c r="M792" s="471" t="s">
        <v>5151</v>
      </c>
      <c r="N792" s="471" t="s">
        <v>5152</v>
      </c>
      <c r="O792" s="471" t="s">
        <v>5153</v>
      </c>
    </row>
    <row r="793" spans="1:15" x14ac:dyDescent="0.25">
      <c r="A793" s="471" t="s">
        <v>5206</v>
      </c>
      <c r="B793" s="1139">
        <f t="shared" ca="1" si="168"/>
        <v>0</v>
      </c>
      <c r="C793" s="473">
        <f ca="1">IF(ISERROR(VLOOKUP($A$1270,INDIRECT("notes_"&amp;LEFT($A$1270,3)),4,0)),0,VLOOKUP($A$1270,INDIRECT("notes_"&amp;LEFT($A$1270,3)),4,0))</f>
        <v>0</v>
      </c>
      <c r="H793" s="471">
        <f t="shared" si="167"/>
        <v>2</v>
      </c>
      <c r="I793" s="471">
        <v>0</v>
      </c>
      <c r="J793" s="471" t="str">
        <f t="shared" si="169"/>
        <v>phphychl</v>
      </c>
      <c r="K793" s="471" t="str">
        <f t="shared" si="170"/>
        <v>empl</v>
      </c>
      <c r="L793" s="599"/>
      <c r="M793" s="471" t="s">
        <v>5151</v>
      </c>
      <c r="N793" s="471" t="s">
        <v>5152</v>
      </c>
      <c r="O793" s="471" t="s">
        <v>5153</v>
      </c>
    </row>
    <row r="794" spans="1:15" x14ac:dyDescent="0.25">
      <c r="A794" s="471" t="s">
        <v>5207</v>
      </c>
      <c r="B794" s="1139">
        <f t="shared" ca="1" si="168"/>
        <v>0</v>
      </c>
      <c r="C794" s="473">
        <f ca="1">IF(ISERROR(VLOOKUP($A$1271,INDIRECT("notes_"&amp;LEFT($A$1271,3)),4,0)),0,VLOOKUP($A$1271,INDIRECT("notes_"&amp;LEFT($A$1271,3)),4,0))</f>
        <v>0</v>
      </c>
      <c r="H794" s="471">
        <f t="shared" si="167"/>
        <v>2</v>
      </c>
      <c r="I794" s="471">
        <v>0</v>
      </c>
      <c r="J794" s="471" t="str">
        <f t="shared" si="169"/>
        <v>phsbstrtdrg</v>
      </c>
      <c r="K794" s="471" t="str">
        <f t="shared" si="170"/>
        <v>empl</v>
      </c>
      <c r="L794" s="599"/>
      <c r="M794" s="471" t="s">
        <v>5151</v>
      </c>
      <c r="N794" s="471" t="s">
        <v>5152</v>
      </c>
      <c r="O794" s="471" t="s">
        <v>5153</v>
      </c>
    </row>
    <row r="795" spans="1:15" x14ac:dyDescent="0.25">
      <c r="A795" s="471" t="s">
        <v>5208</v>
      </c>
      <c r="B795" s="1139">
        <f t="shared" ref="B795:B853" ca="1" si="171">INDEX(INDIRECT(LEFT($A795,SEARCH("-",$A795,1)-1)&amp;"_data"),MATCH(MID($A795,SEARCH("-",$A795)+1,SEARCH("#",SUBSTITUTE($A795,"-","#",H795),1)-(SEARCH("-",$A795)+1)),INDIRECT(LEFT($A795,SEARCH("-",$A795,1)-1)&amp;"_rows"),0),MATCH(RIGHT($A795,LEN($A795)-LEN(LEFT($A795,SEARCH("#",SUBSTITUTE($A795,"-","#",H795),1)))),INDIRECT(LEFT($A795,SEARCH("-",$A795,1)-1)&amp;"_Header"),0))</f>
        <v>0</v>
      </c>
      <c r="C795" s="473">
        <f ca="1">IF(ISERROR(VLOOKUP($A$1272,INDIRECT("notes_"&amp;LEFT($A$1272,3)),4,0)),0,VLOOKUP($A$1272,INDIRECT("notes_"&amp;LEFT($A$1272,3)),4,0))</f>
        <v>0</v>
      </c>
      <c r="H795" s="471">
        <f t="shared" ref="H795:H852" si="172">LEN(A795)-LEN(SUBSTITUTE(A795,"-",""))-I795</f>
        <v>2</v>
      </c>
      <c r="I795" s="471">
        <v>0</v>
      </c>
      <c r="J795" s="471" t="str">
        <f t="shared" si="169"/>
        <v>phsbsprvdrg</v>
      </c>
      <c r="K795" s="471" t="str">
        <f t="shared" si="170"/>
        <v>empl</v>
      </c>
      <c r="L795" s="599"/>
      <c r="M795" s="471" t="s">
        <v>5151</v>
      </c>
      <c r="N795" s="471" t="s">
        <v>5152</v>
      </c>
      <c r="O795" s="471" t="s">
        <v>5153</v>
      </c>
    </row>
    <row r="796" spans="1:15" x14ac:dyDescent="0.25">
      <c r="A796" s="471" t="s">
        <v>5209</v>
      </c>
      <c r="B796" s="1139">
        <f t="shared" ca="1" si="171"/>
        <v>0</v>
      </c>
      <c r="C796" s="473">
        <f ca="1">IF(ISERROR(VLOOKUP($A$1273,INDIRECT("notes_"&amp;LEFT($A$1273,3)),4,0)),0,VLOOKUP($A$1273,INDIRECT("notes_"&amp;LEFT($A$1273,3)),4,0))</f>
        <v>0</v>
      </c>
      <c r="H796" s="471">
        <f t="shared" si="172"/>
        <v>2</v>
      </c>
      <c r="I796" s="471">
        <v>0</v>
      </c>
      <c r="J796" s="471" t="str">
        <f t="shared" si="169"/>
        <v>phsbsspc</v>
      </c>
      <c r="K796" s="471" t="str">
        <f t="shared" si="170"/>
        <v>empl</v>
      </c>
      <c r="L796" s="599"/>
      <c r="M796" s="471" t="s">
        <v>5151</v>
      </c>
      <c r="N796" s="471" t="s">
        <v>5152</v>
      </c>
      <c r="O796" s="471" t="s">
        <v>5153</v>
      </c>
    </row>
    <row r="797" spans="1:15" x14ac:dyDescent="0.25">
      <c r="A797" s="471" t="s">
        <v>5210</v>
      </c>
      <c r="B797" s="1139">
        <f t="shared" ca="1" si="171"/>
        <v>0</v>
      </c>
      <c r="C797" s="473">
        <f ca="1">IF(ISERROR(VLOOKUP($A$1274,INDIRECT("notes_"&amp;LEFT($A$1274,3)),4,0)),0,VLOOKUP($A$1274,INDIRECT("notes_"&amp;LEFT($A$1274,3)),4,0))</f>
        <v>0</v>
      </c>
      <c r="H797" s="471">
        <f t="shared" si="172"/>
        <v>2</v>
      </c>
      <c r="I797" s="471">
        <v>0</v>
      </c>
      <c r="J797" s="471" t="str">
        <f t="shared" ref="J797:J856" si="173">MID($A797,SEARCH("-",$A797)+1,SEARCH("#",SUBSTITUTE($A797,"-","#",H797),1)-(SEARCH("-",$A797)+1))</f>
        <v>phsmkstp</v>
      </c>
      <c r="K797" s="471" t="str">
        <f t="shared" ref="K797:K856" si="174">RIGHT($A797,LEN($A797)-SEARCH("#",SUBSTITUTE($A797,"-","#",H797),1))</f>
        <v>empl</v>
      </c>
      <c r="L797" s="599"/>
      <c r="M797" s="471" t="s">
        <v>5151</v>
      </c>
      <c r="N797" s="471" t="s">
        <v>5152</v>
      </c>
      <c r="O797" s="471" t="s">
        <v>5153</v>
      </c>
    </row>
    <row r="798" spans="1:15" x14ac:dyDescent="0.25">
      <c r="A798" s="471" t="s">
        <v>5211</v>
      </c>
      <c r="B798" s="1139">
        <f t="shared" ca="1" si="171"/>
        <v>0</v>
      </c>
      <c r="C798" s="473">
        <f ca="1">IF(ISERROR(VLOOKUP($A$1275,INDIRECT("notes_"&amp;LEFT($A$1275,3)),4,0)),0,VLOOKUP($A$1275,INDIRECT("notes_"&amp;LEFT($A$1275,3)),4,0))</f>
        <v>0</v>
      </c>
      <c r="H798" s="471">
        <f t="shared" si="172"/>
        <v>2</v>
      </c>
      <c r="I798" s="471">
        <v>0</v>
      </c>
      <c r="J798" s="471" t="str">
        <f t="shared" si="173"/>
        <v>phsmkcnt</v>
      </c>
      <c r="K798" s="471" t="str">
        <f t="shared" si="174"/>
        <v>empl</v>
      </c>
      <c r="L798" s="599"/>
      <c r="M798" s="471" t="s">
        <v>5151</v>
      </c>
      <c r="N798" s="471" t="s">
        <v>5152</v>
      </c>
      <c r="O798" s="471" t="s">
        <v>5153</v>
      </c>
    </row>
    <row r="799" spans="1:15" x14ac:dyDescent="0.25">
      <c r="A799" s="471" t="s">
        <v>5212</v>
      </c>
      <c r="B799" s="1139">
        <f t="shared" ca="1" si="171"/>
        <v>0</v>
      </c>
      <c r="C799" s="473">
        <f ca="1">IF(ISERROR(VLOOKUP($A$1276,INDIRECT("notes_"&amp;LEFT($A$1276,3)),4,0)),0,VLOOKUP($A$1276,INDIRECT("notes_"&amp;LEFT($A$1276,3)),4,0))</f>
        <v>0</v>
      </c>
      <c r="H799" s="471">
        <f t="shared" si="172"/>
        <v>2</v>
      </c>
      <c r="I799" s="471">
        <v>0</v>
      </c>
      <c r="J799" s="471" t="str">
        <f t="shared" si="173"/>
        <v>phchl</v>
      </c>
      <c r="K799" s="471" t="str">
        <f t="shared" si="174"/>
        <v>empl</v>
      </c>
      <c r="L799" s="599"/>
      <c r="M799" s="471" t="s">
        <v>5151</v>
      </c>
      <c r="N799" s="471" t="s">
        <v>5152</v>
      </c>
      <c r="O799" s="471" t="s">
        <v>5153</v>
      </c>
    </row>
    <row r="800" spans="1:15" x14ac:dyDescent="0.25">
      <c r="A800" s="471" t="s">
        <v>5213</v>
      </c>
      <c r="B800" s="1139">
        <f t="shared" ca="1" si="171"/>
        <v>0</v>
      </c>
      <c r="C800" s="473">
        <f ca="1">IF(ISERROR(VLOOKUP($A$1277,INDIRECT("notes_"&amp;LEFT($A$1277,3)),4,0)),0,VLOOKUP($A$1277,INDIRECT("notes_"&amp;LEFT($A$1277,3)),4,0))</f>
        <v>0</v>
      </c>
      <c r="H800" s="471">
        <f t="shared" si="172"/>
        <v>2</v>
      </c>
      <c r="I800" s="471">
        <v>0</v>
      </c>
      <c r="J800" s="471" t="str">
        <f t="shared" si="173"/>
        <v>phbbymnd</v>
      </c>
      <c r="K800" s="471" t="str">
        <f t="shared" si="174"/>
        <v>empl</v>
      </c>
      <c r="L800" s="599"/>
      <c r="M800" s="471" t="s">
        <v>5151</v>
      </c>
      <c r="N800" s="471" t="s">
        <v>5152</v>
      </c>
      <c r="O800" s="471" t="s">
        <v>5153</v>
      </c>
    </row>
    <row r="801" spans="1:15" x14ac:dyDescent="0.25">
      <c r="A801" s="471" t="s">
        <v>5214</v>
      </c>
      <c r="B801" s="1139">
        <f t="shared" ca="1" si="171"/>
        <v>0</v>
      </c>
      <c r="C801" s="473">
        <f ca="1">IF(ISERROR(VLOOKUP($A$1278,INDIRECT("notes_"&amp;LEFT($A$1278,3)),4,0)),0,VLOOKUP($A$1278,INDIRECT("notes_"&amp;LEFT($A$1278,3)),4,0))</f>
        <v>0</v>
      </c>
      <c r="H801" s="471">
        <f t="shared" si="172"/>
        <v>2</v>
      </c>
      <c r="I801" s="471">
        <v>0</v>
      </c>
      <c r="J801" s="471" t="str">
        <f t="shared" si="173"/>
        <v>phbbyoth</v>
      </c>
      <c r="K801" s="471" t="str">
        <f t="shared" si="174"/>
        <v>empl</v>
      </c>
      <c r="L801" s="599"/>
      <c r="M801" s="471" t="s">
        <v>5151</v>
      </c>
      <c r="N801" s="471" t="s">
        <v>5152</v>
      </c>
      <c r="O801" s="471" t="s">
        <v>5153</v>
      </c>
    </row>
    <row r="802" spans="1:15" x14ac:dyDescent="0.25">
      <c r="A802" s="471" t="s">
        <v>5215</v>
      </c>
      <c r="B802" s="1139">
        <f t="shared" ca="1" si="171"/>
        <v>0</v>
      </c>
      <c r="C802" s="473">
        <f ca="1">IF(ISERROR(VLOOKUP($A$1279,INDIRECT("notes_"&amp;LEFT($A$1279,3)),4,0)),0,VLOOKUP($A$1279,INDIRECT("notes_"&amp;LEFT($A$1279,3)),4,0))</f>
        <v>0</v>
      </c>
      <c r="H802" s="471">
        <f t="shared" si="172"/>
        <v>2</v>
      </c>
      <c r="I802" s="471">
        <v>0</v>
      </c>
      <c r="J802" s="471" t="str">
        <f t="shared" si="173"/>
        <v>phwrk</v>
      </c>
      <c r="K802" s="471" t="str">
        <f t="shared" si="174"/>
        <v>empl</v>
      </c>
      <c r="L802" s="599"/>
      <c r="M802" s="471" t="s">
        <v>5151</v>
      </c>
      <c r="N802" s="471" t="s">
        <v>5152</v>
      </c>
      <c r="O802" s="471" t="s">
        <v>5153</v>
      </c>
    </row>
    <row r="803" spans="1:15" x14ac:dyDescent="0.25">
      <c r="A803" s="471" t="s">
        <v>5216</v>
      </c>
      <c r="B803" s="1139">
        <f t="shared" ca="1" si="171"/>
        <v>0</v>
      </c>
      <c r="C803" s="473">
        <f ca="1">IF(ISERROR(VLOOKUP($A$1280,INDIRECT("notes_"&amp;LEFT($A$1280,3)),4,0)),0,VLOOKUP($A$1280,INDIRECT("notes_"&amp;LEFT($A$1280,3)),4,0))</f>
        <v>0</v>
      </c>
      <c r="H803" s="471">
        <f t="shared" si="172"/>
        <v>2</v>
      </c>
      <c r="I803" s="471">
        <v>0</v>
      </c>
      <c r="J803" s="471" t="str">
        <f t="shared" si="173"/>
        <v>phmnt</v>
      </c>
      <c r="K803" s="471" t="str">
        <f t="shared" si="174"/>
        <v>empl</v>
      </c>
      <c r="L803" s="599"/>
      <c r="M803" s="471" t="s">
        <v>5151</v>
      </c>
      <c r="N803" s="471" t="s">
        <v>5152</v>
      </c>
      <c r="O803" s="471" t="s">
        <v>5153</v>
      </c>
    </row>
    <row r="804" spans="1:15" x14ac:dyDescent="0.25">
      <c r="A804" s="471" t="s">
        <v>5217</v>
      </c>
      <c r="B804" s="1139">
        <f t="shared" ca="1" si="171"/>
        <v>0</v>
      </c>
      <c r="C804" s="473">
        <f ca="1">IF(ISERROR(VLOOKUP($A$1281,INDIRECT("notes_"&amp;LEFT($A$1281,3)),4,0)),0,VLOOKUP($A$1281,INDIRECT("notes_"&amp;LEFT($A$1281,3)),4,0))</f>
        <v>0</v>
      </c>
      <c r="H804" s="471">
        <f t="shared" si="172"/>
        <v>2</v>
      </c>
      <c r="I804" s="471">
        <v>0</v>
      </c>
      <c r="J804" s="471" t="str">
        <f t="shared" si="173"/>
        <v>phmsc</v>
      </c>
      <c r="K804" s="471" t="str">
        <f t="shared" si="174"/>
        <v>empl</v>
      </c>
      <c r="L804" s="599"/>
      <c r="M804" s="471" t="s">
        <v>5151</v>
      </c>
      <c r="N804" s="471" t="s">
        <v>5152</v>
      </c>
      <c r="O804" s="471" t="s">
        <v>5153</v>
      </c>
    </row>
    <row r="805" spans="1:15" x14ac:dyDescent="0.25">
      <c r="A805" s="471" t="s">
        <v>5218</v>
      </c>
      <c r="B805" s="1139">
        <f t="shared" ca="1" si="171"/>
        <v>0</v>
      </c>
      <c r="C805" s="473">
        <f ca="1">IF(ISERROR(VLOOKUP($A$1282,INDIRECT("notes_"&amp;LEFT($A$1282,3)),4,0)),0,VLOOKUP($A$1282,INDIRECT("notes_"&amp;LEFT($A$1282,3)),4,0))</f>
        <v>0</v>
      </c>
      <c r="H805" s="471">
        <f t="shared" si="172"/>
        <v>2</v>
      </c>
      <c r="I805" s="471">
        <v>0</v>
      </c>
      <c r="J805" s="471" t="str">
        <f t="shared" si="173"/>
        <v>phtot</v>
      </c>
      <c r="K805" s="471" t="str">
        <f t="shared" si="174"/>
        <v>empl</v>
      </c>
      <c r="L805" s="599"/>
      <c r="M805" s="471" t="s">
        <v>5151</v>
      </c>
      <c r="N805" s="471" t="s">
        <v>5152</v>
      </c>
      <c r="O805" s="471" t="s">
        <v>5153</v>
      </c>
    </row>
    <row r="806" spans="1:15" x14ac:dyDescent="0.25">
      <c r="A806" s="471" t="s">
        <v>5219</v>
      </c>
      <c r="B806" s="1139">
        <f t="shared" ca="1" si="171"/>
        <v>0</v>
      </c>
      <c r="C806" s="473">
        <f ca="1">IF(ISERROR(VLOOKUP($A$1287,INDIRECT("notes_"&amp;LEFT($A$1287,3)),4,0)),0,VLOOKUP($A$1287,INDIRECT("notes_"&amp;LEFT($A$1287,3)),4,0))</f>
        <v>0</v>
      </c>
      <c r="H806" s="471">
        <f t="shared" si="172"/>
        <v>5</v>
      </c>
      <c r="I806" s="471">
        <v>0</v>
      </c>
      <c r="J806" s="471" t="str">
        <f t="shared" si="173"/>
        <v>phsup-anc-exp-csc</v>
      </c>
      <c r="K806" s="471" t="str">
        <f t="shared" si="174"/>
        <v>empl</v>
      </c>
      <c r="L806" s="599"/>
      <c r="M806" s="471" t="s">
        <v>5151</v>
      </c>
      <c r="N806" s="471" t="s">
        <v>5152</v>
      </c>
      <c r="O806" s="471" t="s">
        <v>5153</v>
      </c>
    </row>
    <row r="807" spans="1:15" x14ac:dyDescent="0.25">
      <c r="A807" s="471" t="s">
        <v>5220</v>
      </c>
      <c r="B807" s="1139">
        <f t="shared" ca="1" si="171"/>
        <v>0</v>
      </c>
      <c r="C807" s="473">
        <f ca="1">IF(ISERROR(VLOOKUP($A$1288,INDIRECT("notes_"&amp;LEFT($A$1288,3)),4,0)),0,VLOOKUP($A$1288,INDIRECT("notes_"&amp;LEFT($A$1288,3)),4,0))</f>
        <v>0</v>
      </c>
      <c r="H807" s="471">
        <f t="shared" si="172"/>
        <v>5</v>
      </c>
      <c r="I807" s="471">
        <v>0</v>
      </c>
      <c r="J807" s="471" t="str">
        <f t="shared" si="173"/>
        <v>phsup-anc-exp-asc</v>
      </c>
      <c r="K807" s="471" t="str">
        <f t="shared" si="174"/>
        <v>empl</v>
      </c>
      <c r="L807" s="599"/>
      <c r="M807" s="471" t="s">
        <v>5151</v>
      </c>
      <c r="N807" s="471" t="s">
        <v>5152</v>
      </c>
      <c r="O807" s="471" t="s">
        <v>5153</v>
      </c>
    </row>
    <row r="808" spans="1:15" x14ac:dyDescent="0.25">
      <c r="A808" s="471" t="s">
        <v>5221</v>
      </c>
      <c r="B808" s="1139">
        <f t="shared" ca="1" si="171"/>
        <v>0</v>
      </c>
      <c r="C808" s="473">
        <f ca="1">IF(ISERROR(VLOOKUP($A$1218,INDIRECT("notes_"&amp;LEFT($A$1218,3)),4,0)),0,VLOOKUP($A$1218,INDIRECT("notes_"&amp;LEFT($A$1218,3)),4,0))</f>
        <v>0</v>
      </c>
      <c r="H808" s="471">
        <f t="shared" si="172"/>
        <v>2</v>
      </c>
      <c r="I808" s="471">
        <v>1</v>
      </c>
      <c r="J808" s="471" t="str">
        <f t="shared" si="173"/>
        <v>cscsr</v>
      </c>
      <c r="K808" s="471" t="str">
        <f t="shared" si="174"/>
        <v>run-exp</v>
      </c>
      <c r="L808" s="599"/>
      <c r="M808" s="471" t="s">
        <v>5151</v>
      </c>
      <c r="N808" s="471" t="s">
        <v>5152</v>
      </c>
      <c r="O808" s="471" t="s">
        <v>5153</v>
      </c>
    </row>
    <row r="809" spans="1:15" x14ac:dyDescent="0.25">
      <c r="A809" s="471" t="s">
        <v>5222</v>
      </c>
      <c r="B809" s="1139">
        <f t="shared" ca="1" si="171"/>
        <v>0</v>
      </c>
      <c r="C809" s="473">
        <f ca="1">IF(ISERROR(VLOOKUP($A$1219,INDIRECT("notes_"&amp;LEFT($A$1219,3)),4,0)),0,VLOOKUP($A$1219,INDIRECT("notes_"&amp;LEFT($A$1219,3)),4,0))</f>
        <v>0</v>
      </c>
      <c r="H809" s="471">
        <f t="shared" si="172"/>
        <v>2</v>
      </c>
      <c r="I809" s="471">
        <v>1</v>
      </c>
      <c r="J809" s="471" t="str">
        <f t="shared" si="173"/>
        <v>csclkd</v>
      </c>
      <c r="K809" s="471" t="str">
        <f t="shared" si="174"/>
        <v>run-exp</v>
      </c>
      <c r="L809" s="599"/>
      <c r="M809" s="471" t="s">
        <v>5151</v>
      </c>
      <c r="N809" s="471" t="s">
        <v>5152</v>
      </c>
      <c r="O809" s="471" t="s">
        <v>5153</v>
      </c>
    </row>
    <row r="810" spans="1:15" x14ac:dyDescent="0.25">
      <c r="A810" s="471" t="s">
        <v>5223</v>
      </c>
      <c r="B810" s="1139">
        <f t="shared" ca="1" si="171"/>
        <v>0</v>
      </c>
      <c r="C810" s="473">
        <f ca="1">IF(ISERROR(VLOOKUP($A$1220,INDIRECT("notes_"&amp;LEFT($A$1220,3)),4,0)),0,VLOOKUP($A$1220,INDIRECT("notes_"&amp;LEFT($A$1220,3)),4,0))</f>
        <v>0</v>
      </c>
      <c r="H810" s="471">
        <f t="shared" si="172"/>
        <v>2</v>
      </c>
      <c r="I810" s="471">
        <v>1</v>
      </c>
      <c r="J810" s="471" t="str">
        <f t="shared" si="173"/>
        <v>csclkdres</v>
      </c>
      <c r="K810" s="471" t="str">
        <f t="shared" si="174"/>
        <v>run-exp</v>
      </c>
      <c r="L810" s="599"/>
      <c r="M810" s="471" t="s">
        <v>5151</v>
      </c>
      <c r="N810" s="471" t="s">
        <v>5152</v>
      </c>
      <c r="O810" s="471" t="s">
        <v>5153</v>
      </c>
    </row>
    <row r="811" spans="1:15" x14ac:dyDescent="0.25">
      <c r="A811" s="471" t="s">
        <v>5224</v>
      </c>
      <c r="B811" s="1139">
        <f t="shared" ca="1" si="171"/>
        <v>0</v>
      </c>
      <c r="C811" s="473">
        <f ca="1">IF(ISERROR(VLOOKUP($A$1221,INDIRECT("notes_"&amp;LEFT($A$1221,3)),4,0)),0,VLOOKUP($A$1221,INDIRECT("notes_"&amp;LEFT($A$1221,3)),4,0))</f>
        <v>0</v>
      </c>
      <c r="H811" s="471">
        <f t="shared" si="172"/>
        <v>2</v>
      </c>
      <c r="I811" s="471">
        <v>1</v>
      </c>
      <c r="J811" s="471" t="str">
        <f t="shared" si="173"/>
        <v>csclkdfos</v>
      </c>
      <c r="K811" s="471" t="str">
        <f t="shared" si="174"/>
        <v>run-exp</v>
      </c>
      <c r="L811" s="599"/>
      <c r="M811" s="471" t="s">
        <v>5151</v>
      </c>
      <c r="N811" s="471" t="s">
        <v>5152</v>
      </c>
      <c r="O811" s="471" t="s">
        <v>5153</v>
      </c>
    </row>
    <row r="812" spans="1:15" x14ac:dyDescent="0.25">
      <c r="A812" s="471" t="s">
        <v>5225</v>
      </c>
      <c r="B812" s="1139">
        <f t="shared" ca="1" si="171"/>
        <v>0</v>
      </c>
      <c r="C812" s="473">
        <f ca="1">IF(ISERROR(VLOOKUP($A$1222,INDIRECT("notes_"&amp;LEFT($A$1222,3)),4,0)),0,VLOOKUP($A$1222,INDIRECT("notes_"&amp;LEFT($A$1222,3)),4,0))</f>
        <v>0</v>
      </c>
      <c r="H812" s="471">
        <f t="shared" si="172"/>
        <v>2</v>
      </c>
      <c r="I812" s="471">
        <v>1</v>
      </c>
      <c r="J812" s="471" t="str">
        <f t="shared" si="173"/>
        <v>csclkdasy</v>
      </c>
      <c r="K812" s="471" t="str">
        <f t="shared" si="174"/>
        <v>run-exp</v>
      </c>
      <c r="L812" s="599"/>
      <c r="M812" s="471" t="s">
        <v>5151</v>
      </c>
      <c r="N812" s="471" t="s">
        <v>5152</v>
      </c>
      <c r="O812" s="471" t="s">
        <v>5153</v>
      </c>
    </row>
    <row r="813" spans="1:15" x14ac:dyDescent="0.25">
      <c r="A813" s="471" t="s">
        <v>5226</v>
      </c>
      <c r="B813" s="1139">
        <f t="shared" ca="1" si="171"/>
        <v>0</v>
      </c>
      <c r="C813" s="473">
        <f ca="1">IF(ISERROR(VLOOKUP($A$1223,INDIRECT("notes_"&amp;LEFT($A$1223,3)),4,0)),0,VLOOKUP($A$1223,INDIRECT("notes_"&amp;LEFT($A$1223,3)),4,0))</f>
        <v>0</v>
      </c>
      <c r="H813" s="471">
        <f t="shared" si="172"/>
        <v>2</v>
      </c>
      <c r="I813" s="471">
        <v>1</v>
      </c>
      <c r="J813" s="471" t="str">
        <f t="shared" si="173"/>
        <v>csclkdoth</v>
      </c>
      <c r="K813" s="471" t="str">
        <f t="shared" si="174"/>
        <v>run-exp</v>
      </c>
      <c r="L813" s="599"/>
      <c r="M813" s="471" t="s">
        <v>5151</v>
      </c>
      <c r="N813" s="471" t="s">
        <v>5152</v>
      </c>
      <c r="O813" s="471" t="s">
        <v>5153</v>
      </c>
    </row>
    <row r="814" spans="1:15" x14ac:dyDescent="0.25">
      <c r="A814" s="471" t="s">
        <v>5227</v>
      </c>
      <c r="B814" s="1139">
        <f t="shared" ca="1" si="171"/>
        <v>0</v>
      </c>
      <c r="C814" s="473">
        <f ca="1">IF(ISERROR(VLOOKUP($A$1224,INDIRECT("notes_"&amp;LEFT($A$1224,3)),4,0)),0,VLOOKUP($A$1224,INDIRECT("notes_"&amp;LEFT($A$1224,3)),4,0))</f>
        <v>0</v>
      </c>
      <c r="H814" s="471">
        <f t="shared" si="172"/>
        <v>2</v>
      </c>
      <c r="I814" s="471">
        <v>1</v>
      </c>
      <c r="J814" s="471" t="str">
        <f t="shared" si="173"/>
        <v>cscoth</v>
      </c>
      <c r="K814" s="471" t="str">
        <f t="shared" si="174"/>
        <v>run-exp</v>
      </c>
      <c r="L814" s="599"/>
      <c r="M814" s="471" t="s">
        <v>5151</v>
      </c>
      <c r="N814" s="471" t="s">
        <v>5152</v>
      </c>
      <c r="O814" s="471" t="s">
        <v>5153</v>
      </c>
    </row>
    <row r="815" spans="1:15" x14ac:dyDescent="0.25">
      <c r="A815" s="471" t="s">
        <v>5228</v>
      </c>
      <c r="B815" s="1139">
        <f t="shared" ca="1" si="171"/>
        <v>0</v>
      </c>
      <c r="C815" s="473">
        <f ca="1">IF(ISERROR(VLOOKUP($A$1225,INDIRECT("notes_"&amp;LEFT($A$1225,3)),4,0)),0,VLOOKUP($A$1225,INDIRECT("notes_"&amp;LEFT($A$1225,3)),4,0))</f>
        <v>0</v>
      </c>
      <c r="H815" s="471">
        <f t="shared" si="172"/>
        <v>2</v>
      </c>
      <c r="I815" s="471">
        <v>1</v>
      </c>
      <c r="J815" s="471" t="str">
        <f t="shared" si="173"/>
        <v>cscfml</v>
      </c>
      <c r="K815" s="471" t="str">
        <f t="shared" si="174"/>
        <v>run-exp</v>
      </c>
      <c r="L815" s="599"/>
      <c r="M815" s="471" t="s">
        <v>5151</v>
      </c>
      <c r="N815" s="471" t="s">
        <v>5152</v>
      </c>
      <c r="O815" s="471" t="s">
        <v>5153</v>
      </c>
    </row>
    <row r="816" spans="1:15" x14ac:dyDescent="0.25">
      <c r="A816" s="471" t="s">
        <v>5229</v>
      </c>
      <c r="B816" s="1139">
        <f t="shared" ca="1" si="171"/>
        <v>0</v>
      </c>
      <c r="C816" s="473">
        <f ca="1">IF(ISERROR(VLOOKUP($A$1226,INDIRECT("notes_"&amp;LEFT($A$1226,3)),4,0)),0,VLOOKUP($A$1226,INDIRECT("notes_"&amp;LEFT($A$1226,3)),4,0))</f>
        <v>0</v>
      </c>
      <c r="H816" s="471">
        <f t="shared" si="172"/>
        <v>2</v>
      </c>
      <c r="I816" s="471">
        <v>1</v>
      </c>
      <c r="J816" s="471" t="str">
        <f t="shared" si="173"/>
        <v>cscyth</v>
      </c>
      <c r="K816" s="471" t="str">
        <f t="shared" si="174"/>
        <v>run-exp</v>
      </c>
      <c r="L816" s="599"/>
      <c r="M816" s="471" t="s">
        <v>5151</v>
      </c>
      <c r="N816" s="471" t="s">
        <v>5152</v>
      </c>
      <c r="O816" s="471" t="s">
        <v>5153</v>
      </c>
    </row>
    <row r="817" spans="1:15" x14ac:dyDescent="0.25">
      <c r="A817" s="471" t="s">
        <v>5230</v>
      </c>
      <c r="B817" s="1139">
        <f t="shared" ca="1" si="171"/>
        <v>0</v>
      </c>
      <c r="C817" s="473">
        <f ca="1">IF(ISERROR(VLOOKUP($A$1227,INDIRECT("notes_"&amp;LEFT($A$1227,3)),4,0)),0,VLOOKUP($A$1227,INDIRECT("notes_"&amp;LEFT($A$1227,3)),4,0))</f>
        <v>0</v>
      </c>
      <c r="H817" s="471">
        <f t="shared" si="172"/>
        <v>2</v>
      </c>
      <c r="I817" s="471">
        <v>1</v>
      </c>
      <c r="J817" s="471" t="str">
        <f t="shared" si="173"/>
        <v>cscsfg</v>
      </c>
      <c r="K817" s="471" t="str">
        <f t="shared" si="174"/>
        <v>run-exp</v>
      </c>
      <c r="L817" s="599"/>
      <c r="M817" s="471" t="s">
        <v>5151</v>
      </c>
      <c r="N817" s="471" t="s">
        <v>5152</v>
      </c>
      <c r="O817" s="471" t="s">
        <v>5153</v>
      </c>
    </row>
    <row r="818" spans="1:15" x14ac:dyDescent="0.25">
      <c r="A818" s="471" t="s">
        <v>5231</v>
      </c>
      <c r="B818" s="1139">
        <f t="shared" ca="1" si="171"/>
        <v>0</v>
      </c>
      <c r="C818" s="473">
        <f ca="1">IF(ISERROR(VLOOKUP($A$1228,INDIRECT("notes_"&amp;LEFT($A$1228,3)),4,0)),0,VLOOKUP($A$1228,INDIRECT("notes_"&amp;LEFT($A$1228,3)),4,0))</f>
        <v>0</v>
      </c>
      <c r="H818" s="471">
        <f t="shared" si="172"/>
        <v>2</v>
      </c>
      <c r="I818" s="471">
        <v>1</v>
      </c>
      <c r="J818" s="471" t="str">
        <f t="shared" si="173"/>
        <v>cscasy</v>
      </c>
      <c r="K818" s="471" t="str">
        <f t="shared" si="174"/>
        <v>run-exp</v>
      </c>
      <c r="L818" s="599"/>
      <c r="M818" s="471" t="s">
        <v>5151</v>
      </c>
      <c r="N818" s="471" t="s">
        <v>5152</v>
      </c>
      <c r="O818" s="471" t="s">
        <v>5153</v>
      </c>
    </row>
    <row r="819" spans="1:15" x14ac:dyDescent="0.25">
      <c r="A819" s="471" t="s">
        <v>5232</v>
      </c>
      <c r="B819" s="1139">
        <f t="shared" ca="1" si="171"/>
        <v>0</v>
      </c>
      <c r="C819" s="473">
        <f ca="1">IF(ISERROR(VLOOKUP($A$1229,INDIRECT("notes_"&amp;LEFT($A$1229,3)),4,0)),0,VLOOKUP($A$1229,INDIRECT("notes_"&amp;LEFT($A$1229,3)),4,0))</f>
        <v>0</v>
      </c>
      <c r="H819" s="471">
        <f t="shared" si="172"/>
        <v>2</v>
      </c>
      <c r="I819" s="471">
        <v>1</v>
      </c>
      <c r="J819" s="471" t="str">
        <f t="shared" si="173"/>
        <v>cscsrv</v>
      </c>
      <c r="K819" s="471" t="str">
        <f t="shared" si="174"/>
        <v>run-exp</v>
      </c>
      <c r="L819" s="599"/>
      <c r="M819" s="471" t="s">
        <v>5151</v>
      </c>
      <c r="N819" s="471" t="s">
        <v>5152</v>
      </c>
      <c r="O819" s="471" t="s">
        <v>5153</v>
      </c>
    </row>
    <row r="820" spans="1:15" x14ac:dyDescent="0.25">
      <c r="A820" s="471" t="s">
        <v>5233</v>
      </c>
      <c r="B820" s="1139">
        <f t="shared" ca="1" si="171"/>
        <v>0</v>
      </c>
      <c r="C820" s="473">
        <f ca="1">IF(ISERROR(VLOOKUP($A$1230,INDIRECT("notes_"&amp;LEFT($A$1230,3)),4,0)),0,VLOOKUP($A$1230,INDIRECT("notes_"&amp;LEFT($A$1230,3)),4,0))</f>
        <v>0</v>
      </c>
      <c r="H820" s="471">
        <f t="shared" si="172"/>
        <v>2</v>
      </c>
      <c r="I820" s="471">
        <v>1</v>
      </c>
      <c r="J820" s="471" t="str">
        <f t="shared" si="173"/>
        <v>csctot</v>
      </c>
      <c r="K820" s="471" t="str">
        <f t="shared" si="174"/>
        <v>run-exp</v>
      </c>
      <c r="L820" s="599"/>
      <c r="M820" s="471" t="s">
        <v>5151</v>
      </c>
      <c r="N820" s="471" t="s">
        <v>5152</v>
      </c>
      <c r="O820" s="471" t="s">
        <v>5153</v>
      </c>
    </row>
    <row r="821" spans="1:15" x14ac:dyDescent="0.25">
      <c r="A821" s="471" t="s">
        <v>2060</v>
      </c>
      <c r="B821" s="1139">
        <f t="shared" ca="1" si="171"/>
        <v>0</v>
      </c>
      <c r="C821" s="473">
        <f ca="1">IF(ISERROR(VLOOKUP($A$821,INDIRECT("notes_"&amp;LEFT($A$821,3)),4,0)),0,VLOOKUP($A$821,INDIRECT("notes_"&amp;LEFT($A$821,3)),4,0))</f>
        <v>0</v>
      </c>
      <c r="H821" s="471">
        <f t="shared" si="172"/>
        <v>2</v>
      </c>
      <c r="I821" s="471">
        <v>1</v>
      </c>
      <c r="J821" s="471" t="str">
        <f t="shared" si="173"/>
        <v>cscsvmem</v>
      </c>
      <c r="K821" s="471" t="str">
        <f t="shared" si="174"/>
        <v>run-exp</v>
      </c>
      <c r="L821" s="599"/>
      <c r="M821" s="471" t="s">
        <v>5151</v>
      </c>
      <c r="N821" s="471" t="s">
        <v>5152</v>
      </c>
      <c r="O821" s="471" t="s">
        <v>5153</v>
      </c>
    </row>
    <row r="822" spans="1:15" x14ac:dyDescent="0.25">
      <c r="A822" s="471" t="s">
        <v>5234</v>
      </c>
      <c r="B822" s="1139">
        <f t="shared" ca="1" si="171"/>
        <v>0</v>
      </c>
      <c r="C822" s="473">
        <f ca="1">IF(ISERROR(VLOOKUP($A$1231,INDIRECT("notes_"&amp;LEFT($A$1231,3)),4,0)),0,VLOOKUP($A$1231,INDIRECT("notes_"&amp;LEFT($A$1231,3)),4,0))</f>
        <v>0</v>
      </c>
      <c r="H822" s="471">
        <f t="shared" si="172"/>
        <v>2</v>
      </c>
      <c r="I822" s="471">
        <v>1</v>
      </c>
      <c r="J822" s="471" t="str">
        <f t="shared" si="173"/>
        <v>ascphyadl</v>
      </c>
      <c r="K822" s="471" t="str">
        <f t="shared" si="174"/>
        <v>run-exp</v>
      </c>
      <c r="L822" s="599"/>
      <c r="M822" s="471" t="s">
        <v>5151</v>
      </c>
      <c r="N822" s="471" t="s">
        <v>5152</v>
      </c>
      <c r="O822" s="471" t="s">
        <v>5153</v>
      </c>
    </row>
    <row r="823" spans="1:15" x14ac:dyDescent="0.25">
      <c r="A823" s="471" t="s">
        <v>5235</v>
      </c>
      <c r="B823" s="1139">
        <f t="shared" ca="1" si="171"/>
        <v>0</v>
      </c>
      <c r="C823" s="473">
        <f ca="1">IF(ISERROR(VLOOKUP($A$1232,INDIRECT("notes_"&amp;LEFT($A$1232,3)),4,0)),0,VLOOKUP($A$1232,INDIRECT("notes_"&amp;LEFT($A$1232,3)),4,0))</f>
        <v>0</v>
      </c>
      <c r="H823" s="471">
        <f t="shared" si="172"/>
        <v>2</v>
      </c>
      <c r="I823" s="471">
        <v>1</v>
      </c>
      <c r="J823" s="471" t="str">
        <f t="shared" si="173"/>
        <v>ascphyold</v>
      </c>
      <c r="K823" s="471" t="str">
        <f t="shared" si="174"/>
        <v>run-exp</v>
      </c>
      <c r="L823" s="599"/>
      <c r="M823" s="471" t="s">
        <v>5151</v>
      </c>
      <c r="N823" s="471" t="s">
        <v>5152</v>
      </c>
      <c r="O823" s="471" t="s">
        <v>5153</v>
      </c>
    </row>
    <row r="824" spans="1:15" x14ac:dyDescent="0.25">
      <c r="A824" s="471" t="s">
        <v>5236</v>
      </c>
      <c r="B824" s="1139">
        <f t="shared" ca="1" si="171"/>
        <v>0</v>
      </c>
      <c r="C824" s="473">
        <f ca="1">IF(ISERROR(VLOOKUP($A$1233,INDIRECT("notes_"&amp;LEFT($A$1233,3)),4,0)),0,VLOOKUP($A$1233,INDIRECT("notes_"&amp;LEFT($A$1233,3)),4,0))</f>
        <v>0</v>
      </c>
      <c r="H824" s="471">
        <f t="shared" si="172"/>
        <v>2</v>
      </c>
      <c r="I824" s="471">
        <v>1</v>
      </c>
      <c r="J824" s="471" t="str">
        <f t="shared" si="173"/>
        <v>ascsnsadl</v>
      </c>
      <c r="K824" s="471" t="str">
        <f t="shared" si="174"/>
        <v>run-exp</v>
      </c>
      <c r="L824" s="599"/>
      <c r="M824" s="471" t="s">
        <v>5151</v>
      </c>
      <c r="N824" s="471" t="s">
        <v>5152</v>
      </c>
      <c r="O824" s="471" t="s">
        <v>5153</v>
      </c>
    </row>
    <row r="825" spans="1:15" x14ac:dyDescent="0.25">
      <c r="A825" s="471" t="s">
        <v>5237</v>
      </c>
      <c r="B825" s="1139">
        <f t="shared" ca="1" si="171"/>
        <v>0</v>
      </c>
      <c r="C825" s="473">
        <f ca="1">IF(ISERROR(VLOOKUP($A$1234,INDIRECT("notes_"&amp;LEFT($A$1234,3)),4,0)),0,VLOOKUP($A$1234,INDIRECT("notes_"&amp;LEFT($A$1234,3)),4,0))</f>
        <v>0</v>
      </c>
      <c r="H825" s="471">
        <f t="shared" si="172"/>
        <v>2</v>
      </c>
      <c r="I825" s="471">
        <v>1</v>
      </c>
      <c r="J825" s="471" t="str">
        <f t="shared" si="173"/>
        <v>ascsnsold</v>
      </c>
      <c r="K825" s="471" t="str">
        <f t="shared" si="174"/>
        <v>run-exp</v>
      </c>
      <c r="L825" s="599"/>
      <c r="M825" s="471" t="s">
        <v>5151</v>
      </c>
      <c r="N825" s="471" t="s">
        <v>5152</v>
      </c>
      <c r="O825" s="471" t="s">
        <v>5153</v>
      </c>
    </row>
    <row r="826" spans="1:15" x14ac:dyDescent="0.25">
      <c r="A826" s="471" t="s">
        <v>5238</v>
      </c>
      <c r="B826" s="1139">
        <f t="shared" ca="1" si="171"/>
        <v>0</v>
      </c>
      <c r="C826" s="473">
        <f ca="1">IF(ISERROR(VLOOKUP($A$1235,INDIRECT("notes_"&amp;LEFT($A$1235,3)),4,0)),0,VLOOKUP($A$1235,INDIRECT("notes_"&amp;LEFT($A$1235,3)),4,0))</f>
        <v>0</v>
      </c>
      <c r="H826" s="471">
        <f t="shared" si="172"/>
        <v>2</v>
      </c>
      <c r="I826" s="471">
        <v>1</v>
      </c>
      <c r="J826" s="471" t="str">
        <f t="shared" si="173"/>
        <v>ascmmradl</v>
      </c>
      <c r="K826" s="471" t="str">
        <f t="shared" si="174"/>
        <v>run-exp</v>
      </c>
      <c r="L826" s="599"/>
      <c r="M826" s="471" t="s">
        <v>5151</v>
      </c>
      <c r="N826" s="471" t="s">
        <v>5152</v>
      </c>
      <c r="O826" s="471" t="s">
        <v>5153</v>
      </c>
    </row>
    <row r="827" spans="1:15" x14ac:dyDescent="0.25">
      <c r="A827" s="471" t="s">
        <v>5239</v>
      </c>
      <c r="B827" s="1139">
        <f t="shared" ca="1" si="171"/>
        <v>0</v>
      </c>
      <c r="C827" s="473">
        <f ca="1">IF(ISERROR(VLOOKUP($A$1236,INDIRECT("notes_"&amp;LEFT($A$1236,3)),4,0)),0,VLOOKUP($A$1236,INDIRECT("notes_"&amp;LEFT($A$1236,3)),4,0))</f>
        <v>0</v>
      </c>
      <c r="H827" s="471">
        <f t="shared" si="172"/>
        <v>2</v>
      </c>
      <c r="I827" s="471">
        <v>1</v>
      </c>
      <c r="J827" s="471" t="str">
        <f t="shared" si="173"/>
        <v>ascmmrold</v>
      </c>
      <c r="K827" s="471" t="str">
        <f t="shared" si="174"/>
        <v>run-exp</v>
      </c>
      <c r="L827" s="599"/>
      <c r="M827" s="471" t="s">
        <v>5151</v>
      </c>
      <c r="N827" s="471" t="s">
        <v>5152</v>
      </c>
      <c r="O827" s="471" t="s">
        <v>5153</v>
      </c>
    </row>
    <row r="828" spans="1:15" x14ac:dyDescent="0.25">
      <c r="A828" s="471" t="s">
        <v>5240</v>
      </c>
      <c r="B828" s="1139">
        <f t="shared" ca="1" si="171"/>
        <v>0</v>
      </c>
      <c r="C828" s="473">
        <f ca="1">IF(ISERROR(VLOOKUP($A$1237,INDIRECT("notes_"&amp;LEFT($A$1237,3)),4,0)),0,VLOOKUP($A$1237,INDIRECT("notes_"&amp;LEFT($A$1237,3)),4,0))</f>
        <v>0</v>
      </c>
      <c r="H828" s="471">
        <f t="shared" si="172"/>
        <v>2</v>
      </c>
      <c r="I828" s="471">
        <v>1</v>
      </c>
      <c r="J828" s="471" t="str">
        <f t="shared" si="173"/>
        <v>asclrnadl</v>
      </c>
      <c r="K828" s="471" t="str">
        <f t="shared" si="174"/>
        <v>run-exp</v>
      </c>
      <c r="L828" s="599"/>
      <c r="M828" s="471" t="s">
        <v>5151</v>
      </c>
      <c r="N828" s="471" t="s">
        <v>5152</v>
      </c>
      <c r="O828" s="471" t="s">
        <v>5153</v>
      </c>
    </row>
    <row r="829" spans="1:15" x14ac:dyDescent="0.25">
      <c r="A829" s="471" t="s">
        <v>5241</v>
      </c>
      <c r="B829" s="1139">
        <f t="shared" ca="1" si="171"/>
        <v>0</v>
      </c>
      <c r="C829" s="473">
        <f ca="1">IF(ISERROR(VLOOKUP($A$1238,INDIRECT("notes_"&amp;LEFT($A$1238,3)),4,0)),0,VLOOKUP($A$1238,INDIRECT("notes_"&amp;LEFT($A$1238,3)),4,0))</f>
        <v>0</v>
      </c>
      <c r="H829" s="471">
        <f t="shared" si="172"/>
        <v>2</v>
      </c>
      <c r="I829" s="471">
        <v>1</v>
      </c>
      <c r="J829" s="471" t="str">
        <f t="shared" si="173"/>
        <v>asclrnold</v>
      </c>
      <c r="K829" s="471" t="str">
        <f t="shared" si="174"/>
        <v>run-exp</v>
      </c>
      <c r="L829" s="599"/>
      <c r="M829" s="471" t="s">
        <v>5151</v>
      </c>
      <c r="N829" s="471" t="s">
        <v>5152</v>
      </c>
      <c r="O829" s="471" t="s">
        <v>5153</v>
      </c>
    </row>
    <row r="830" spans="1:15" x14ac:dyDescent="0.25">
      <c r="A830" s="471" t="s">
        <v>5242</v>
      </c>
      <c r="B830" s="1139">
        <f t="shared" ca="1" si="171"/>
        <v>0</v>
      </c>
      <c r="C830" s="473">
        <f ca="1">IF(ISERROR(VLOOKUP($A$1239,INDIRECT("notes_"&amp;LEFT($A$1239,3)),4,0)),0,VLOOKUP($A$1239,INDIRECT("notes_"&amp;LEFT($A$1239,3)),4,0))</f>
        <v>0</v>
      </c>
      <c r="H830" s="471">
        <f t="shared" si="172"/>
        <v>2</v>
      </c>
      <c r="I830" s="471">
        <v>1</v>
      </c>
      <c r="J830" s="471" t="str">
        <f t="shared" si="173"/>
        <v>ascmntadl</v>
      </c>
      <c r="K830" s="471" t="str">
        <f t="shared" si="174"/>
        <v>run-exp</v>
      </c>
      <c r="L830" s="599"/>
      <c r="M830" s="471" t="s">
        <v>5151</v>
      </c>
      <c r="N830" s="471" t="s">
        <v>5152</v>
      </c>
      <c r="O830" s="471" t="s">
        <v>5153</v>
      </c>
    </row>
    <row r="831" spans="1:15" x14ac:dyDescent="0.25">
      <c r="A831" s="471" t="s">
        <v>5243</v>
      </c>
      <c r="B831" s="1139">
        <f t="shared" ca="1" si="171"/>
        <v>0</v>
      </c>
      <c r="C831" s="473">
        <f ca="1">IF(ISERROR(VLOOKUP($A$1240,INDIRECT("notes_"&amp;LEFT($A$1240,3)),4,0)),0,VLOOKUP($A$1240,INDIRECT("notes_"&amp;LEFT($A$1240,3)),4,0))</f>
        <v>0</v>
      </c>
      <c r="H831" s="471">
        <f t="shared" si="172"/>
        <v>2</v>
      </c>
      <c r="I831" s="471">
        <v>1</v>
      </c>
      <c r="J831" s="471" t="str">
        <f t="shared" si="173"/>
        <v>ascmntold</v>
      </c>
      <c r="K831" s="471" t="str">
        <f t="shared" si="174"/>
        <v>run-exp</v>
      </c>
      <c r="L831" s="599"/>
      <c r="M831" s="471" t="s">
        <v>5151</v>
      </c>
      <c r="N831" s="471" t="s">
        <v>5152</v>
      </c>
      <c r="O831" s="471" t="s">
        <v>5153</v>
      </c>
    </row>
    <row r="832" spans="1:15" x14ac:dyDescent="0.25">
      <c r="A832" s="471" t="s">
        <v>5244</v>
      </c>
      <c r="B832" s="1139">
        <f t="shared" ca="1" si="171"/>
        <v>0</v>
      </c>
      <c r="C832" s="473">
        <f ca="1">IF(ISERROR(VLOOKUP($A$1241,INDIRECT("notes_"&amp;LEFT($A$1241,3)),4,0)),0,VLOOKUP($A$1241,INDIRECT("notes_"&amp;LEFT($A$1241,3)),4,0))</f>
        <v>0</v>
      </c>
      <c r="H832" s="471">
        <f t="shared" si="172"/>
        <v>2</v>
      </c>
      <c r="I832" s="471">
        <v>1</v>
      </c>
      <c r="J832" s="471" t="str">
        <f t="shared" si="173"/>
        <v>ascsclsbs</v>
      </c>
      <c r="K832" s="471" t="str">
        <f t="shared" si="174"/>
        <v>run-exp</v>
      </c>
      <c r="L832" s="599"/>
      <c r="M832" s="471" t="s">
        <v>5151</v>
      </c>
      <c r="N832" s="471" t="s">
        <v>5152</v>
      </c>
      <c r="O832" s="471" t="s">
        <v>5153</v>
      </c>
    </row>
    <row r="833" spans="1:15" x14ac:dyDescent="0.25">
      <c r="A833" s="471" t="s">
        <v>5245</v>
      </c>
      <c r="B833" s="1139">
        <f t="shared" ca="1" si="171"/>
        <v>0</v>
      </c>
      <c r="C833" s="473">
        <f ca="1">IF(ISERROR(VLOOKUP($A$1242,INDIRECT("notes_"&amp;LEFT($A$1242,3)),4,0)),0,VLOOKUP($A$1242,INDIRECT("notes_"&amp;LEFT($A$1242,3)),4,0))</f>
        <v>0</v>
      </c>
      <c r="H833" s="471">
        <f t="shared" si="172"/>
        <v>2</v>
      </c>
      <c r="I833" s="471">
        <v>1</v>
      </c>
      <c r="J833" s="471" t="str">
        <f t="shared" si="173"/>
        <v>ascsclasy</v>
      </c>
      <c r="K833" s="471" t="str">
        <f t="shared" si="174"/>
        <v>run-exp</v>
      </c>
      <c r="L833" s="599"/>
      <c r="M833" s="471" t="s">
        <v>5151</v>
      </c>
      <c r="N833" s="471" t="s">
        <v>5152</v>
      </c>
      <c r="O833" s="471" t="s">
        <v>5153</v>
      </c>
    </row>
    <row r="834" spans="1:15" x14ac:dyDescent="0.25">
      <c r="A834" s="471" t="s">
        <v>5246</v>
      </c>
      <c r="B834" s="1139">
        <f t="shared" ca="1" si="171"/>
        <v>0</v>
      </c>
      <c r="C834" s="473">
        <f ca="1">IF(ISERROR(VLOOKUP($A$1243,INDIRECT("notes_"&amp;LEFT($A$1243,3)),4,0)),0,VLOOKUP($A$1243,INDIRECT("notes_"&amp;LEFT($A$1243,3)),4,0))</f>
        <v>0</v>
      </c>
      <c r="H834" s="471">
        <f t="shared" si="172"/>
        <v>2</v>
      </c>
      <c r="I834" s="471">
        <v>1</v>
      </c>
      <c r="J834" s="471" t="str">
        <f t="shared" si="173"/>
        <v>ascsclisl</v>
      </c>
      <c r="K834" s="471" t="str">
        <f t="shared" si="174"/>
        <v>run-exp</v>
      </c>
      <c r="L834" s="599"/>
      <c r="M834" s="471" t="s">
        <v>5151</v>
      </c>
      <c r="N834" s="471" t="s">
        <v>5152</v>
      </c>
      <c r="O834" s="471" t="s">
        <v>5153</v>
      </c>
    </row>
    <row r="835" spans="1:15" x14ac:dyDescent="0.25">
      <c r="A835" s="471" t="s">
        <v>5247</v>
      </c>
      <c r="B835" s="1139">
        <f t="shared" ca="1" si="171"/>
        <v>0</v>
      </c>
      <c r="C835" s="473">
        <f ca="1">IF(ISERROR(VLOOKUP($A$1244,INDIRECT("notes_"&amp;LEFT($A$1244,3)),4,0)),0,VLOOKUP($A$1244,INDIRECT("notes_"&amp;LEFT($A$1244,3)),4,0))</f>
        <v>0</v>
      </c>
      <c r="H835" s="471">
        <f t="shared" si="172"/>
        <v>2</v>
      </c>
      <c r="I835" s="471">
        <v>1</v>
      </c>
      <c r="J835" s="471" t="str">
        <f t="shared" si="173"/>
        <v>ascsclcrr</v>
      </c>
      <c r="K835" s="471" t="str">
        <f t="shared" si="174"/>
        <v>run-exp</v>
      </c>
      <c r="L835" s="599"/>
      <c r="M835" s="471" t="s">
        <v>5151</v>
      </c>
      <c r="N835" s="471" t="s">
        <v>5152</v>
      </c>
      <c r="O835" s="471" t="s">
        <v>5153</v>
      </c>
    </row>
    <row r="836" spans="1:15" x14ac:dyDescent="0.25">
      <c r="A836" s="1120" t="s">
        <v>5248</v>
      </c>
      <c r="B836" s="1139" t="str">
        <f t="shared" ca="1" si="171"/>
        <v/>
      </c>
      <c r="C836" s="473"/>
      <c r="H836" s="471">
        <f t="shared" si="172"/>
        <v>2</v>
      </c>
      <c r="I836" s="471">
        <v>1</v>
      </c>
      <c r="J836" s="471" t="str">
        <f t="shared" si="173"/>
        <v>ascsclcrradl</v>
      </c>
      <c r="K836" s="471" t="str">
        <f t="shared" si="174"/>
        <v>run-exp</v>
      </c>
      <c r="L836" s="599"/>
      <c r="M836" s="471" t="s">
        <v>5151</v>
      </c>
      <c r="N836" s="471" t="s">
        <v>5152</v>
      </c>
      <c r="O836" s="471" t="s">
        <v>5153</v>
      </c>
    </row>
    <row r="837" spans="1:15" x14ac:dyDescent="0.25">
      <c r="A837" s="1120" t="s">
        <v>5249</v>
      </c>
      <c r="B837" s="1139" t="str">
        <f t="shared" ca="1" si="171"/>
        <v/>
      </c>
      <c r="C837" s="473"/>
      <c r="H837" s="471">
        <f t="shared" si="172"/>
        <v>2</v>
      </c>
      <c r="I837" s="471">
        <v>1</v>
      </c>
      <c r="J837" s="471" t="str">
        <f t="shared" si="173"/>
        <v>ascsclcrrold</v>
      </c>
      <c r="K837" s="471" t="str">
        <f t="shared" si="174"/>
        <v>run-exp</v>
      </c>
      <c r="L837" s="599"/>
      <c r="M837" s="471" t="s">
        <v>5151</v>
      </c>
      <c r="N837" s="471" t="s">
        <v>5152</v>
      </c>
      <c r="O837" s="471" t="s">
        <v>5153</v>
      </c>
    </row>
    <row r="838" spans="1:15" x14ac:dyDescent="0.25">
      <c r="A838" s="471" t="s">
        <v>5250</v>
      </c>
      <c r="B838" s="1139">
        <f t="shared" ca="1" si="171"/>
        <v>0</v>
      </c>
      <c r="C838" s="473">
        <f ca="1">IF(ISERROR(VLOOKUP($A$1247,INDIRECT("notes_"&amp;LEFT($A$1247,3)),4,0)),0,VLOOKUP($A$1247,INDIRECT("notes_"&amp;LEFT($A$1247,3)),4,0))</f>
        <v>0</v>
      </c>
      <c r="H838" s="471">
        <f t="shared" si="172"/>
        <v>2</v>
      </c>
      <c r="I838" s="471">
        <v>1</v>
      </c>
      <c r="J838" s="471" t="str">
        <f t="shared" si="173"/>
        <v>ascass</v>
      </c>
      <c r="K838" s="471" t="str">
        <f t="shared" si="174"/>
        <v>run-exp</v>
      </c>
      <c r="L838" s="599"/>
      <c r="M838" s="471" t="s">
        <v>5151</v>
      </c>
      <c r="N838" s="471" t="s">
        <v>5152</v>
      </c>
      <c r="O838" s="471" t="s">
        <v>5153</v>
      </c>
    </row>
    <row r="839" spans="1:15" x14ac:dyDescent="0.25">
      <c r="A839" s="471" t="s">
        <v>5251</v>
      </c>
      <c r="B839" s="1139" t="str">
        <f t="shared" ca="1" si="171"/>
        <v/>
      </c>
      <c r="C839" s="473"/>
      <c r="H839" s="471">
        <f t="shared" si="172"/>
        <v>2</v>
      </c>
      <c r="I839" s="471">
        <v>1</v>
      </c>
      <c r="J839" s="471" t="str">
        <f t="shared" si="173"/>
        <v>ascassadl</v>
      </c>
      <c r="K839" s="471" t="str">
        <f t="shared" si="174"/>
        <v>run-exp</v>
      </c>
      <c r="L839" s="599"/>
      <c r="M839" s="471" t="s">
        <v>5151</v>
      </c>
      <c r="N839" s="471" t="s">
        <v>5152</v>
      </c>
      <c r="O839" s="471" t="s">
        <v>5153</v>
      </c>
    </row>
    <row r="840" spans="1:15" x14ac:dyDescent="0.25">
      <c r="A840" s="471" t="s">
        <v>5252</v>
      </c>
      <c r="B840" s="1139" t="str">
        <f t="shared" ca="1" si="171"/>
        <v/>
      </c>
      <c r="C840" s="473"/>
      <c r="H840" s="471">
        <f t="shared" si="172"/>
        <v>2</v>
      </c>
      <c r="I840" s="471">
        <v>1</v>
      </c>
      <c r="J840" s="471" t="str">
        <f t="shared" si="173"/>
        <v>ascassold</v>
      </c>
      <c r="K840" s="471" t="str">
        <f t="shared" si="174"/>
        <v>run-exp</v>
      </c>
      <c r="L840" s="599"/>
      <c r="M840" s="471" t="s">
        <v>5151</v>
      </c>
      <c r="N840" s="471" t="s">
        <v>5152</v>
      </c>
      <c r="O840" s="471" t="s">
        <v>5153</v>
      </c>
    </row>
    <row r="841" spans="1:15" x14ac:dyDescent="0.25">
      <c r="A841" s="471" t="s">
        <v>5253</v>
      </c>
      <c r="B841" s="1139">
        <f t="shared" ca="1" si="171"/>
        <v>0</v>
      </c>
      <c r="C841" s="473">
        <f ca="1">IF(ISERROR(VLOOKUP($A$1250,INDIRECT("notes_"&amp;LEFT($A$1250,3)),4,0)),0,VLOOKUP($A$1250,INDIRECT("notes_"&amp;LEFT($A$1250,3)),4,0))</f>
        <v>0</v>
      </c>
      <c r="H841" s="471">
        <f t="shared" si="172"/>
        <v>2</v>
      </c>
      <c r="I841" s="471">
        <v>1</v>
      </c>
      <c r="J841" s="471" t="str">
        <f t="shared" si="173"/>
        <v>asccrasssfg</v>
      </c>
      <c r="K841" s="471" t="str">
        <f t="shared" si="174"/>
        <v>run-exp</v>
      </c>
      <c r="L841" s="599"/>
      <c r="M841" s="471" t="s">
        <v>5151</v>
      </c>
      <c r="N841" s="471" t="s">
        <v>5152</v>
      </c>
      <c r="O841" s="471" t="s">
        <v>5153</v>
      </c>
    </row>
    <row r="842" spans="1:15" x14ac:dyDescent="0.25">
      <c r="A842" s="471" t="s">
        <v>5254</v>
      </c>
      <c r="B842" s="1139" t="str">
        <f t="shared" ca="1" si="171"/>
        <v/>
      </c>
      <c r="C842" s="473"/>
      <c r="H842" s="471">
        <f t="shared" si="172"/>
        <v>2</v>
      </c>
      <c r="I842" s="471">
        <v>1</v>
      </c>
      <c r="J842" s="471" t="str">
        <f t="shared" si="173"/>
        <v>asccrasssfgadl</v>
      </c>
      <c r="K842" s="471" t="str">
        <f t="shared" si="174"/>
        <v>run-exp</v>
      </c>
      <c r="L842" s="599"/>
      <c r="M842" s="471" t="s">
        <v>5151</v>
      </c>
      <c r="N842" s="471" t="s">
        <v>5152</v>
      </c>
      <c r="O842" s="471" t="s">
        <v>5153</v>
      </c>
    </row>
    <row r="843" spans="1:15" x14ac:dyDescent="0.25">
      <c r="A843" s="471" t="s">
        <v>5255</v>
      </c>
      <c r="B843" s="1139" t="str">
        <f t="shared" ca="1" si="171"/>
        <v/>
      </c>
      <c r="C843" s="473"/>
      <c r="H843" s="471">
        <f t="shared" si="172"/>
        <v>2</v>
      </c>
      <c r="I843" s="471">
        <v>1</v>
      </c>
      <c r="J843" s="471" t="str">
        <f t="shared" si="173"/>
        <v>asccrasssfgold</v>
      </c>
      <c r="K843" s="471" t="str">
        <f t="shared" si="174"/>
        <v>run-exp</v>
      </c>
      <c r="L843" s="599"/>
      <c r="M843" s="471" t="s">
        <v>5151</v>
      </c>
      <c r="N843" s="471" t="s">
        <v>5152</v>
      </c>
      <c r="O843" s="471" t="s">
        <v>5153</v>
      </c>
    </row>
    <row r="844" spans="1:15" x14ac:dyDescent="0.25">
      <c r="A844" s="471" t="s">
        <v>5256</v>
      </c>
      <c r="B844" s="1139">
        <f t="shared" ca="1" si="171"/>
        <v>0</v>
      </c>
      <c r="C844" s="473">
        <f ca="1">IF(ISERROR(VLOOKUP($A$1253,INDIRECT("notes_"&amp;LEFT($A$1253,3)),4,0)),0,VLOOKUP($A$1253,INDIRECT("notes_"&amp;LEFT($A$1253,3)),4,0))</f>
        <v>0</v>
      </c>
      <c r="H844" s="471">
        <f t="shared" si="172"/>
        <v>2</v>
      </c>
      <c r="I844" s="471">
        <v>1</v>
      </c>
      <c r="J844" s="471" t="str">
        <f t="shared" si="173"/>
        <v>ascinf</v>
      </c>
      <c r="K844" s="471" t="str">
        <f t="shared" si="174"/>
        <v>run-exp</v>
      </c>
      <c r="L844" s="599"/>
      <c r="M844" s="471" t="s">
        <v>5151</v>
      </c>
      <c r="N844" s="471" t="s">
        <v>5152</v>
      </c>
      <c r="O844" s="471" t="s">
        <v>5153</v>
      </c>
    </row>
    <row r="845" spans="1:15" x14ac:dyDescent="0.25">
      <c r="A845" s="471" t="s">
        <v>5257</v>
      </c>
      <c r="B845" s="1139" t="str">
        <f t="shared" ca="1" si="171"/>
        <v/>
      </c>
      <c r="C845" s="473"/>
      <c r="H845" s="471">
        <f t="shared" si="172"/>
        <v>2</v>
      </c>
      <c r="I845" s="471">
        <v>1</v>
      </c>
      <c r="J845" s="471" t="str">
        <f t="shared" si="173"/>
        <v>ascinfadl</v>
      </c>
      <c r="K845" s="471" t="str">
        <f t="shared" si="174"/>
        <v>run-exp</v>
      </c>
      <c r="L845" s="599"/>
      <c r="M845" s="471" t="s">
        <v>5151</v>
      </c>
      <c r="N845" s="471" t="s">
        <v>5152</v>
      </c>
      <c r="O845" s="471" t="s">
        <v>5153</v>
      </c>
    </row>
    <row r="846" spans="1:15" x14ac:dyDescent="0.25">
      <c r="A846" s="471" t="s">
        <v>5258</v>
      </c>
      <c r="B846" s="1139" t="str">
        <f t="shared" ca="1" si="171"/>
        <v/>
      </c>
      <c r="C846" s="473"/>
      <c r="H846" s="471">
        <f t="shared" si="172"/>
        <v>2</v>
      </c>
      <c r="I846" s="471">
        <v>1</v>
      </c>
      <c r="J846" s="471" t="str">
        <f t="shared" si="173"/>
        <v>ascinfold</v>
      </c>
      <c r="K846" s="471" t="str">
        <f t="shared" si="174"/>
        <v>run-exp</v>
      </c>
      <c r="L846" s="599"/>
      <c r="M846" s="471" t="s">
        <v>5151</v>
      </c>
      <c r="N846" s="471" t="s">
        <v>5152</v>
      </c>
      <c r="O846" s="471" t="s">
        <v>5153</v>
      </c>
    </row>
    <row r="847" spans="1:15" x14ac:dyDescent="0.25">
      <c r="A847" s="471" t="s">
        <v>5259</v>
      </c>
      <c r="B847" s="1139">
        <f t="shared" ca="1" si="171"/>
        <v>0</v>
      </c>
      <c r="C847" s="473">
        <f ca="1">IF(ISERROR(VLOOKUP($A$1256,INDIRECT("notes_"&amp;LEFT($A$1256,3)),4,0)),0,VLOOKUP($A$1256,INDIRECT("notes_"&amp;LEFT($A$1256,3)),4,0))</f>
        <v>0</v>
      </c>
      <c r="H847" s="471">
        <f t="shared" si="172"/>
        <v>2</v>
      </c>
      <c r="I847" s="471">
        <v>1</v>
      </c>
      <c r="J847" s="471" t="str">
        <f t="shared" si="173"/>
        <v>asccmstad</v>
      </c>
      <c r="K847" s="471" t="str">
        <f t="shared" si="174"/>
        <v>run-exp</v>
      </c>
      <c r="L847" s="599"/>
      <c r="M847" s="471" t="s">
        <v>5151</v>
      </c>
      <c r="N847" s="471" t="s">
        <v>5152</v>
      </c>
      <c r="O847" s="471" t="s">
        <v>5153</v>
      </c>
    </row>
    <row r="848" spans="1:15" x14ac:dyDescent="0.25">
      <c r="A848" s="471" t="s">
        <v>5260</v>
      </c>
      <c r="B848" s="1139" t="str">
        <f t="shared" ca="1" si="171"/>
        <v/>
      </c>
      <c r="C848" s="473"/>
      <c r="H848" s="471">
        <f t="shared" si="172"/>
        <v>2</v>
      </c>
      <c r="I848" s="471">
        <v>1</v>
      </c>
      <c r="J848" s="471" t="str">
        <f t="shared" si="173"/>
        <v>asccmstadadl</v>
      </c>
      <c r="K848" s="471" t="str">
        <f t="shared" si="174"/>
        <v>run-exp</v>
      </c>
      <c r="L848" s="599"/>
      <c r="M848" s="471" t="s">
        <v>5151</v>
      </c>
      <c r="N848" s="471" t="s">
        <v>5152</v>
      </c>
      <c r="O848" s="471" t="s">
        <v>5153</v>
      </c>
    </row>
    <row r="849" spans="1:15" x14ac:dyDescent="0.25">
      <c r="A849" s="471" t="s">
        <v>5261</v>
      </c>
      <c r="B849" s="1139" t="str">
        <f t="shared" ca="1" si="171"/>
        <v/>
      </c>
      <c r="C849" s="473"/>
      <c r="H849" s="471">
        <f t="shared" si="172"/>
        <v>2</v>
      </c>
      <c r="I849" s="471">
        <v>1</v>
      </c>
      <c r="J849" s="471" t="str">
        <f t="shared" si="173"/>
        <v>asccmstadold</v>
      </c>
      <c r="K849" s="471" t="str">
        <f t="shared" si="174"/>
        <v>run-exp</v>
      </c>
      <c r="L849" s="599"/>
      <c r="M849" s="471" t="s">
        <v>5151</v>
      </c>
      <c r="N849" s="471" t="s">
        <v>5152</v>
      </c>
      <c r="O849" s="471" t="s">
        <v>5153</v>
      </c>
    </row>
    <row r="850" spans="1:15" x14ac:dyDescent="0.25">
      <c r="A850" s="471" t="s">
        <v>5262</v>
      </c>
      <c r="B850" s="1139">
        <f t="shared" ca="1" si="171"/>
        <v>0</v>
      </c>
      <c r="C850" s="473">
        <f ca="1">IF(ISERROR(VLOOKUP($A$1259,INDIRECT("notes_"&amp;LEFT($A$1259,3)),4,0)),0,VLOOKUP($A$1259,INDIRECT("notes_"&amp;LEFT($A$1259,3)),4,0))</f>
        <v>0</v>
      </c>
      <c r="H850" s="471">
        <f t="shared" si="172"/>
        <v>2</v>
      </c>
      <c r="I850" s="471">
        <v>1</v>
      </c>
      <c r="J850" s="471" t="str">
        <f t="shared" si="173"/>
        <v>asctot</v>
      </c>
      <c r="K850" s="471" t="str">
        <f t="shared" si="174"/>
        <v>run-exp</v>
      </c>
      <c r="L850" s="599"/>
      <c r="M850" s="471" t="s">
        <v>5151</v>
      </c>
      <c r="N850" s="471" t="s">
        <v>5152</v>
      </c>
      <c r="O850" s="471" t="s">
        <v>5153</v>
      </c>
    </row>
    <row r="851" spans="1:15" x14ac:dyDescent="0.25">
      <c r="A851" s="471" t="s">
        <v>2080</v>
      </c>
      <c r="B851" s="1139">
        <f ca="1">INDEX(INDIRECT(LEFT($A851,SEARCH("-",$A851,1)-1)&amp;"_data"),MATCH(MID($A851,SEARCH("-",$A851)+1,SEARCH("#",SUBSTITUTE($A851,"-","#",H851),1)-(SEARCH("-",$A851)+1)),INDIRECT(LEFT($A851,SEARCH("-",$A851,1)-1)&amp;"_rows"),0),MATCH(RIGHT($A851,LEN($A851)-LEN(LEFT($A851,SEARCH("#",SUBSTITUTE($A851,"-","#",H851),1)))),INDIRECT(LEFT($A851,SEARCH("-",$A851,1)-1)&amp;"_Header"),0))</f>
        <v>0</v>
      </c>
      <c r="C851" s="473">
        <f ca="1">IF(ISERROR(VLOOKUP($A$851,INDIRECT("notes_"&amp;LEFT($A$851,3)),4,0)),0,VLOOKUP($A$851,INDIRECT("notes_"&amp;LEFT($A$851,3)),4,0))</f>
        <v>0</v>
      </c>
      <c r="H851" s="471">
        <f t="shared" si="172"/>
        <v>2</v>
      </c>
      <c r="I851" s="471">
        <v>1</v>
      </c>
      <c r="J851" s="471" t="str">
        <f t="shared" si="173"/>
        <v>ascsvmem</v>
      </c>
      <c r="K851" s="471" t="str">
        <f t="shared" si="174"/>
        <v>run-exp</v>
      </c>
      <c r="L851" s="599"/>
      <c r="M851" s="471" t="s">
        <v>5151</v>
      </c>
      <c r="N851" s="471" t="s">
        <v>5152</v>
      </c>
      <c r="O851" s="471" t="s">
        <v>5153</v>
      </c>
    </row>
    <row r="852" spans="1:15" x14ac:dyDescent="0.25">
      <c r="A852" s="471" t="s">
        <v>5263</v>
      </c>
      <c r="B852" s="1139">
        <f t="shared" ca="1" si="171"/>
        <v>0</v>
      </c>
      <c r="C852" s="473">
        <f ca="1">IF(ISERROR(VLOOKUP($A$1260,INDIRECT("notes_"&amp;LEFT($A$1260,3)),4,0)),0,VLOOKUP($A$1260,INDIRECT("notes_"&amp;LEFT($A$1260,3)),4,0))</f>
        <v>0</v>
      </c>
      <c r="H852" s="471">
        <f t="shared" si="172"/>
        <v>2</v>
      </c>
      <c r="I852" s="471">
        <v>1</v>
      </c>
      <c r="J852" s="471" t="str">
        <f t="shared" si="173"/>
        <v>phsxlsti</v>
      </c>
      <c r="K852" s="471" t="str">
        <f t="shared" si="174"/>
        <v>run-exp</v>
      </c>
      <c r="L852" s="599"/>
      <c r="M852" s="471" t="s">
        <v>5151</v>
      </c>
      <c r="N852" s="471" t="s">
        <v>5152</v>
      </c>
      <c r="O852" s="471" t="s">
        <v>5153</v>
      </c>
    </row>
    <row r="853" spans="1:15" x14ac:dyDescent="0.25">
      <c r="A853" s="471" t="s">
        <v>5264</v>
      </c>
      <c r="B853" s="1139">
        <f t="shared" ca="1" si="171"/>
        <v>0</v>
      </c>
      <c r="C853" s="473">
        <f ca="1">IF(ISERROR(VLOOKUP($A$1261,INDIRECT("notes_"&amp;LEFT($A$1261,3)),4,0)),0,VLOOKUP($A$1261,INDIRECT("notes_"&amp;LEFT($A$1261,3)),4,0))</f>
        <v>0</v>
      </c>
      <c r="H853" s="471">
        <f t="shared" ref="H853:H912" si="175">LEN(A853)-LEN(SUBSTITUTE(A853,"-",""))-I853</f>
        <v>2</v>
      </c>
      <c r="I853" s="471">
        <v>1</v>
      </c>
      <c r="J853" s="471" t="str">
        <f t="shared" si="173"/>
        <v>phsxlcnt</v>
      </c>
      <c r="K853" s="471" t="str">
        <f t="shared" si="174"/>
        <v>run-exp</v>
      </c>
      <c r="L853" s="599"/>
      <c r="M853" s="471" t="s">
        <v>5151</v>
      </c>
      <c r="N853" s="471" t="s">
        <v>5152</v>
      </c>
      <c r="O853" s="471" t="s">
        <v>5153</v>
      </c>
    </row>
    <row r="854" spans="1:15" x14ac:dyDescent="0.25">
      <c r="A854" s="471" t="s">
        <v>5265</v>
      </c>
      <c r="B854" s="1139">
        <f t="shared" ref="B854:B913" ca="1" si="176">INDEX(INDIRECT(LEFT($A854,SEARCH("-",$A854,1)-1)&amp;"_data"),MATCH(MID($A854,SEARCH("-",$A854)+1,SEARCH("#",SUBSTITUTE($A854,"-","#",H854),1)-(SEARCH("-",$A854)+1)),INDIRECT(LEFT($A854,SEARCH("-",$A854,1)-1)&amp;"_rows"),0),MATCH(RIGHT($A854,LEN($A854)-LEN(LEFT($A854,SEARCH("#",SUBSTITUTE($A854,"-","#",H854),1)))),INDIRECT(LEFT($A854,SEARCH("-",$A854,1)-1)&amp;"_Header"),0))</f>
        <v>0</v>
      </c>
      <c r="C854" s="473">
        <f ca="1">IF(ISERROR(VLOOKUP($A$1262,INDIRECT("notes_"&amp;LEFT($A$1262,3)),4,0)),0,VLOOKUP($A$1262,INDIRECT("notes_"&amp;LEFT($A$1262,3)),4,0))</f>
        <v>0</v>
      </c>
      <c r="H854" s="471">
        <f t="shared" si="175"/>
        <v>2</v>
      </c>
      <c r="I854" s="471">
        <v>1</v>
      </c>
      <c r="J854" s="471" t="str">
        <f t="shared" si="173"/>
        <v>phsxlprm</v>
      </c>
      <c r="K854" s="471" t="str">
        <f t="shared" si="174"/>
        <v>run-exp</v>
      </c>
      <c r="L854" s="599"/>
      <c r="M854" s="471" t="s">
        <v>5151</v>
      </c>
      <c r="N854" s="471" t="s">
        <v>5152</v>
      </c>
      <c r="O854" s="471" t="s">
        <v>5153</v>
      </c>
    </row>
    <row r="855" spans="1:15" x14ac:dyDescent="0.25">
      <c r="A855" s="471" t="s">
        <v>5266</v>
      </c>
      <c r="B855" s="1139">
        <f t="shared" ca="1" si="176"/>
        <v>0</v>
      </c>
      <c r="C855" s="473">
        <f ca="1">IF(ISERROR(VLOOKUP($A$1263,INDIRECT("notes_"&amp;LEFT($A$1263,3)),4,0)),0,VLOOKUP($A$1263,INDIRECT("notes_"&amp;LEFT($A$1263,3)),4,0))</f>
        <v>0</v>
      </c>
      <c r="H855" s="471">
        <f t="shared" si="175"/>
        <v>2</v>
      </c>
      <c r="I855" s="471">
        <v>1</v>
      </c>
      <c r="J855" s="471" t="str">
        <f t="shared" si="173"/>
        <v>phhcp</v>
      </c>
      <c r="K855" s="471" t="str">
        <f t="shared" si="174"/>
        <v>run-exp</v>
      </c>
      <c r="L855" s="599"/>
      <c r="M855" s="471" t="s">
        <v>5151</v>
      </c>
      <c r="N855" s="471" t="s">
        <v>5152</v>
      </c>
      <c r="O855" s="471" t="s">
        <v>5153</v>
      </c>
    </row>
    <row r="856" spans="1:15" x14ac:dyDescent="0.25">
      <c r="A856" s="471" t="s">
        <v>5267</v>
      </c>
      <c r="B856" s="1139">
        <f t="shared" ca="1" si="176"/>
        <v>0</v>
      </c>
      <c r="C856" s="473">
        <f ca="1">IF(ISERROR(VLOOKUP($A$1264,INDIRECT("notes_"&amp;LEFT($A$1264,3)),4,0)),0,VLOOKUP($A$1264,INDIRECT("notes_"&amp;LEFT($A$1264,3)),4,0))</f>
        <v>0</v>
      </c>
      <c r="H856" s="471">
        <f t="shared" si="175"/>
        <v>2</v>
      </c>
      <c r="I856" s="471">
        <v>1</v>
      </c>
      <c r="J856" s="471" t="str">
        <f t="shared" si="173"/>
        <v>phprt</v>
      </c>
      <c r="K856" s="471" t="str">
        <f t="shared" si="174"/>
        <v>run-exp</v>
      </c>
      <c r="L856" s="599"/>
      <c r="M856" s="471" t="s">
        <v>5151</v>
      </c>
      <c r="N856" s="471" t="s">
        <v>5152</v>
      </c>
      <c r="O856" s="471" t="s">
        <v>5153</v>
      </c>
    </row>
    <row r="857" spans="1:15" x14ac:dyDescent="0.25">
      <c r="A857" s="471" t="s">
        <v>5268</v>
      </c>
      <c r="B857" s="1139">
        <f t="shared" ca="1" si="176"/>
        <v>0</v>
      </c>
      <c r="C857" s="473">
        <f ca="1">IF(ISERROR(VLOOKUP($A$1265,INDIRECT("notes_"&amp;LEFT($A$1265,3)),4,0)),0,VLOOKUP($A$1265,INDIRECT("notes_"&amp;LEFT($A$1265,3)),4,0))</f>
        <v>0</v>
      </c>
      <c r="H857" s="471">
        <f t="shared" si="175"/>
        <v>2</v>
      </c>
      <c r="I857" s="471">
        <v>1</v>
      </c>
      <c r="J857" s="471" t="str">
        <f t="shared" ref="J857:J916" si="177">MID($A857,SEARCH("-",$A857)+1,SEARCH("#",SUBSTITUTE($A857,"-","#",H857),1)-(SEARCH("-",$A857)+1))</f>
        <v>phcmp</v>
      </c>
      <c r="K857" s="471" t="str">
        <f t="shared" ref="K857:K916" si="178">RIGHT($A857,LEN($A857)-SEARCH("#",SUBSTITUTE($A857,"-","#",H857),1))</f>
        <v>run-exp</v>
      </c>
      <c r="L857" s="599"/>
      <c r="M857" s="471" t="s">
        <v>5151</v>
      </c>
      <c r="N857" s="471" t="s">
        <v>5152</v>
      </c>
      <c r="O857" s="471" t="s">
        <v>5153</v>
      </c>
    </row>
    <row r="858" spans="1:15" x14ac:dyDescent="0.25">
      <c r="A858" s="471" t="s">
        <v>5269</v>
      </c>
      <c r="B858" s="1139">
        <f t="shared" ca="1" si="176"/>
        <v>0</v>
      </c>
      <c r="C858" s="473">
        <f ca="1">IF(ISERROR(VLOOKUP($A$1266,INDIRECT("notes_"&amp;LEFT($A$1266,3)),4,0)),0,VLOOKUP($A$1266,INDIRECT("notes_"&amp;LEFT($A$1266,3)),4,0))</f>
        <v>0</v>
      </c>
      <c r="H858" s="471">
        <f t="shared" si="175"/>
        <v>2</v>
      </c>
      <c r="I858" s="471">
        <v>1</v>
      </c>
      <c r="J858" s="471" t="str">
        <f t="shared" si="177"/>
        <v>phadv</v>
      </c>
      <c r="K858" s="471" t="str">
        <f t="shared" si="178"/>
        <v>run-exp</v>
      </c>
      <c r="L858" s="599"/>
      <c r="M858" s="471" t="s">
        <v>5151</v>
      </c>
      <c r="N858" s="471" t="s">
        <v>5152</v>
      </c>
      <c r="O858" s="471" t="s">
        <v>5153</v>
      </c>
    </row>
    <row r="859" spans="1:15" x14ac:dyDescent="0.25">
      <c r="A859" s="471" t="s">
        <v>5270</v>
      </c>
      <c r="B859" s="1139">
        <f t="shared" ca="1" si="176"/>
        <v>0</v>
      </c>
      <c r="C859" s="473">
        <f ca="1">IF(ISERROR(VLOOKUP($A$1267,INDIRECT("notes_"&amp;LEFT($A$1267,3)),4,0)),0,VLOOKUP($A$1267,INDIRECT("notes_"&amp;LEFT($A$1267,3)),4,0))</f>
        <v>0</v>
      </c>
      <c r="H859" s="471">
        <f t="shared" si="175"/>
        <v>2</v>
      </c>
      <c r="I859" s="471">
        <v>1</v>
      </c>
      <c r="J859" s="471" t="str">
        <f t="shared" si="177"/>
        <v>phobsadl</v>
      </c>
      <c r="K859" s="471" t="str">
        <f t="shared" si="178"/>
        <v>run-exp</v>
      </c>
      <c r="L859" s="599"/>
      <c r="M859" s="471" t="s">
        <v>5151</v>
      </c>
      <c r="N859" s="471" t="s">
        <v>5152</v>
      </c>
      <c r="O859" s="471" t="s">
        <v>5153</v>
      </c>
    </row>
    <row r="860" spans="1:15" x14ac:dyDescent="0.25">
      <c r="A860" s="471" t="s">
        <v>5271</v>
      </c>
      <c r="B860" s="1139">
        <f t="shared" ca="1" si="176"/>
        <v>0</v>
      </c>
      <c r="C860" s="473">
        <f ca="1">IF(ISERROR(VLOOKUP($A$1268,INDIRECT("notes_"&amp;LEFT($A$1268,3)),4,0)),0,VLOOKUP($A$1268,INDIRECT("notes_"&amp;LEFT($A$1268,3)),4,0))</f>
        <v>0</v>
      </c>
      <c r="H860" s="471">
        <f t="shared" si="175"/>
        <v>2</v>
      </c>
      <c r="I860" s="471">
        <v>1</v>
      </c>
      <c r="J860" s="471" t="str">
        <f t="shared" si="177"/>
        <v>phobschl</v>
      </c>
      <c r="K860" s="471" t="str">
        <f t="shared" si="178"/>
        <v>run-exp</v>
      </c>
      <c r="L860" s="599"/>
      <c r="M860" s="471" t="s">
        <v>5151</v>
      </c>
      <c r="N860" s="471" t="s">
        <v>5152</v>
      </c>
      <c r="O860" s="471" t="s">
        <v>5153</v>
      </c>
    </row>
    <row r="861" spans="1:15" x14ac:dyDescent="0.25">
      <c r="A861" s="471" t="s">
        <v>5272</v>
      </c>
      <c r="B861" s="1139">
        <f t="shared" ca="1" si="176"/>
        <v>0</v>
      </c>
      <c r="C861" s="473">
        <f ca="1">IF(ISERROR(VLOOKUP($A$1269,INDIRECT("notes_"&amp;LEFT($A$1269,3)),4,0)),0,VLOOKUP($A$1269,INDIRECT("notes_"&amp;LEFT($A$1269,3)),4,0))</f>
        <v>0</v>
      </c>
      <c r="H861" s="471">
        <f t="shared" si="175"/>
        <v>2</v>
      </c>
      <c r="I861" s="471">
        <v>1</v>
      </c>
      <c r="J861" s="471" t="str">
        <f t="shared" si="177"/>
        <v>phphyadl</v>
      </c>
      <c r="K861" s="471" t="str">
        <f t="shared" si="178"/>
        <v>run-exp</v>
      </c>
      <c r="L861" s="599"/>
      <c r="M861" s="471" t="s">
        <v>5151</v>
      </c>
      <c r="N861" s="471" t="s">
        <v>5152</v>
      </c>
      <c r="O861" s="471" t="s">
        <v>5153</v>
      </c>
    </row>
    <row r="862" spans="1:15" x14ac:dyDescent="0.25">
      <c r="A862" s="471" t="s">
        <v>5273</v>
      </c>
      <c r="B862" s="1139">
        <f t="shared" ca="1" si="176"/>
        <v>0</v>
      </c>
      <c r="C862" s="473">
        <f ca="1">IF(ISERROR(VLOOKUP($A$1270,INDIRECT("notes_"&amp;LEFT($A$1270,3)),4,0)),0,VLOOKUP($A$1270,INDIRECT("notes_"&amp;LEFT($A$1270,3)),4,0))</f>
        <v>0</v>
      </c>
      <c r="H862" s="471">
        <f t="shared" si="175"/>
        <v>2</v>
      </c>
      <c r="I862" s="471">
        <v>1</v>
      </c>
      <c r="J862" s="471" t="str">
        <f t="shared" si="177"/>
        <v>phphychl</v>
      </c>
      <c r="K862" s="471" t="str">
        <f t="shared" si="178"/>
        <v>run-exp</v>
      </c>
      <c r="L862" s="599"/>
      <c r="M862" s="471" t="s">
        <v>5151</v>
      </c>
      <c r="N862" s="471" t="s">
        <v>5152</v>
      </c>
      <c r="O862" s="471" t="s">
        <v>5153</v>
      </c>
    </row>
    <row r="863" spans="1:15" x14ac:dyDescent="0.25">
      <c r="A863" s="471" t="s">
        <v>5274</v>
      </c>
      <c r="B863" s="1139">
        <f t="shared" ca="1" si="176"/>
        <v>0</v>
      </c>
      <c r="C863" s="473">
        <f ca="1">IF(ISERROR(VLOOKUP($A$1271,INDIRECT("notes_"&amp;LEFT($A$1271,3)),4,0)),0,VLOOKUP($A$1271,INDIRECT("notes_"&amp;LEFT($A$1271,3)),4,0))</f>
        <v>0</v>
      </c>
      <c r="H863" s="471">
        <f t="shared" si="175"/>
        <v>2</v>
      </c>
      <c r="I863" s="471">
        <v>1</v>
      </c>
      <c r="J863" s="471" t="str">
        <f t="shared" si="177"/>
        <v>phsbstrtdrg</v>
      </c>
      <c r="K863" s="471" t="str">
        <f t="shared" si="178"/>
        <v>run-exp</v>
      </c>
      <c r="L863" s="599"/>
      <c r="M863" s="471" t="s">
        <v>5151</v>
      </c>
      <c r="N863" s="471" t="s">
        <v>5152</v>
      </c>
      <c r="O863" s="471" t="s">
        <v>5153</v>
      </c>
    </row>
    <row r="864" spans="1:15" x14ac:dyDescent="0.25">
      <c r="A864" s="471" t="s">
        <v>5275</v>
      </c>
      <c r="B864" s="1139">
        <f t="shared" ca="1" si="176"/>
        <v>0</v>
      </c>
      <c r="C864" s="473">
        <f ca="1">IF(ISERROR(VLOOKUP($A$1272,INDIRECT("notes_"&amp;LEFT($A$1272,3)),4,0)),0,VLOOKUP($A$1272,INDIRECT("notes_"&amp;LEFT($A$1272,3)),4,0))</f>
        <v>0</v>
      </c>
      <c r="H864" s="471">
        <f t="shared" si="175"/>
        <v>2</v>
      </c>
      <c r="I864" s="471">
        <v>1</v>
      </c>
      <c r="J864" s="471" t="str">
        <f t="shared" si="177"/>
        <v>phsbsprvdrg</v>
      </c>
      <c r="K864" s="471" t="str">
        <f t="shared" si="178"/>
        <v>run-exp</v>
      </c>
      <c r="L864" s="599"/>
      <c r="M864" s="471" t="s">
        <v>5151</v>
      </c>
      <c r="N864" s="471" t="s">
        <v>5152</v>
      </c>
      <c r="O864" s="471" t="s">
        <v>5153</v>
      </c>
    </row>
    <row r="865" spans="1:15" x14ac:dyDescent="0.25">
      <c r="A865" s="471" t="s">
        <v>5276</v>
      </c>
      <c r="B865" s="1139">
        <f t="shared" ca="1" si="176"/>
        <v>0</v>
      </c>
      <c r="C865" s="473">
        <f ca="1">IF(ISERROR(VLOOKUP($A$1273,INDIRECT("notes_"&amp;LEFT($A$1273,3)),4,0)),0,VLOOKUP($A$1273,INDIRECT("notes_"&amp;LEFT($A$1273,3)),4,0))</f>
        <v>0</v>
      </c>
      <c r="H865" s="471">
        <f t="shared" si="175"/>
        <v>2</v>
      </c>
      <c r="I865" s="471">
        <v>1</v>
      </c>
      <c r="J865" s="471" t="str">
        <f t="shared" si="177"/>
        <v>phsbsspc</v>
      </c>
      <c r="K865" s="471" t="str">
        <f t="shared" si="178"/>
        <v>run-exp</v>
      </c>
      <c r="L865" s="599"/>
      <c r="M865" s="471" t="s">
        <v>5151</v>
      </c>
      <c r="N865" s="471" t="s">
        <v>5152</v>
      </c>
      <c r="O865" s="471" t="s">
        <v>5153</v>
      </c>
    </row>
    <row r="866" spans="1:15" x14ac:dyDescent="0.25">
      <c r="A866" s="471" t="s">
        <v>5277</v>
      </c>
      <c r="B866" s="1139">
        <f t="shared" ca="1" si="176"/>
        <v>0</v>
      </c>
      <c r="C866" s="473">
        <f ca="1">IF(ISERROR(VLOOKUP($A$1274,INDIRECT("notes_"&amp;LEFT($A$1274,3)),4,0)),0,VLOOKUP($A$1274,INDIRECT("notes_"&amp;LEFT($A$1274,3)),4,0))</f>
        <v>0</v>
      </c>
      <c r="H866" s="471">
        <f t="shared" si="175"/>
        <v>2</v>
      </c>
      <c r="I866" s="471">
        <v>1</v>
      </c>
      <c r="J866" s="471" t="str">
        <f t="shared" si="177"/>
        <v>phsmkstp</v>
      </c>
      <c r="K866" s="471" t="str">
        <f t="shared" si="178"/>
        <v>run-exp</v>
      </c>
      <c r="L866" s="599"/>
      <c r="M866" s="471" t="s">
        <v>5151</v>
      </c>
      <c r="N866" s="471" t="s">
        <v>5152</v>
      </c>
      <c r="O866" s="471" t="s">
        <v>5153</v>
      </c>
    </row>
    <row r="867" spans="1:15" x14ac:dyDescent="0.25">
      <c r="A867" s="471" t="s">
        <v>5278</v>
      </c>
      <c r="B867" s="1139">
        <f t="shared" ca="1" si="176"/>
        <v>0</v>
      </c>
      <c r="C867" s="473">
        <f ca="1">IF(ISERROR(VLOOKUP($A$1275,INDIRECT("notes_"&amp;LEFT($A$1275,3)),4,0)),0,VLOOKUP($A$1275,INDIRECT("notes_"&amp;LEFT($A$1275,3)),4,0))</f>
        <v>0</v>
      </c>
      <c r="H867" s="471">
        <f t="shared" si="175"/>
        <v>2</v>
      </c>
      <c r="I867" s="471">
        <v>1</v>
      </c>
      <c r="J867" s="471" t="str">
        <f t="shared" si="177"/>
        <v>phsmkcnt</v>
      </c>
      <c r="K867" s="471" t="str">
        <f t="shared" si="178"/>
        <v>run-exp</v>
      </c>
      <c r="L867" s="599"/>
      <c r="M867" s="471" t="s">
        <v>5151</v>
      </c>
      <c r="N867" s="471" t="s">
        <v>5152</v>
      </c>
      <c r="O867" s="471" t="s">
        <v>5153</v>
      </c>
    </row>
    <row r="868" spans="1:15" x14ac:dyDescent="0.25">
      <c r="A868" s="471" t="s">
        <v>5279</v>
      </c>
      <c r="B868" s="1139">
        <f t="shared" ca="1" si="176"/>
        <v>0</v>
      </c>
      <c r="C868" s="473">
        <f ca="1">IF(ISERROR(VLOOKUP($A$1276,INDIRECT("notes_"&amp;LEFT($A$1276,3)),4,0)),0,VLOOKUP($A$1276,INDIRECT("notes_"&amp;LEFT($A$1276,3)),4,0))</f>
        <v>0</v>
      </c>
      <c r="H868" s="471">
        <f t="shared" si="175"/>
        <v>2</v>
      </c>
      <c r="I868" s="471">
        <v>1</v>
      </c>
      <c r="J868" s="471" t="str">
        <f t="shared" si="177"/>
        <v>phchl</v>
      </c>
      <c r="K868" s="471" t="str">
        <f t="shared" si="178"/>
        <v>run-exp</v>
      </c>
      <c r="L868" s="599"/>
      <c r="M868" s="471" t="s">
        <v>5151</v>
      </c>
      <c r="N868" s="471" t="s">
        <v>5152</v>
      </c>
      <c r="O868" s="471" t="s">
        <v>5153</v>
      </c>
    </row>
    <row r="869" spans="1:15" x14ac:dyDescent="0.25">
      <c r="A869" s="471" t="s">
        <v>5280</v>
      </c>
      <c r="B869" s="1139">
        <f t="shared" ca="1" si="176"/>
        <v>0</v>
      </c>
      <c r="C869" s="473">
        <f ca="1">IF(ISERROR(VLOOKUP($A$1277,INDIRECT("notes_"&amp;LEFT($A$1277,3)),4,0)),0,VLOOKUP($A$1277,INDIRECT("notes_"&amp;LEFT($A$1277,3)),4,0))</f>
        <v>0</v>
      </c>
      <c r="H869" s="471">
        <f t="shared" si="175"/>
        <v>2</v>
      </c>
      <c r="I869" s="471">
        <v>1</v>
      </c>
      <c r="J869" s="471" t="str">
        <f t="shared" si="177"/>
        <v>phbbymnd</v>
      </c>
      <c r="K869" s="471" t="str">
        <f t="shared" si="178"/>
        <v>run-exp</v>
      </c>
      <c r="L869" s="599"/>
      <c r="M869" s="471" t="s">
        <v>5151</v>
      </c>
      <c r="N869" s="471" t="s">
        <v>5152</v>
      </c>
      <c r="O869" s="471" t="s">
        <v>5153</v>
      </c>
    </row>
    <row r="870" spans="1:15" x14ac:dyDescent="0.25">
      <c r="A870" s="471" t="s">
        <v>5281</v>
      </c>
      <c r="B870" s="1139">
        <f t="shared" ca="1" si="176"/>
        <v>0</v>
      </c>
      <c r="C870" s="473">
        <f ca="1">IF(ISERROR(VLOOKUP($A$1278,INDIRECT("notes_"&amp;LEFT($A$1278,3)),4,0)),0,VLOOKUP($A$1278,INDIRECT("notes_"&amp;LEFT($A$1278,3)),4,0))</f>
        <v>0</v>
      </c>
      <c r="H870" s="471">
        <f t="shared" si="175"/>
        <v>2</v>
      </c>
      <c r="I870" s="471">
        <v>1</v>
      </c>
      <c r="J870" s="471" t="str">
        <f t="shared" si="177"/>
        <v>phbbyoth</v>
      </c>
      <c r="K870" s="471" t="str">
        <f t="shared" si="178"/>
        <v>run-exp</v>
      </c>
      <c r="L870" s="599"/>
      <c r="M870" s="471" t="s">
        <v>5151</v>
      </c>
      <c r="N870" s="471" t="s">
        <v>5152</v>
      </c>
      <c r="O870" s="471" t="s">
        <v>5153</v>
      </c>
    </row>
    <row r="871" spans="1:15" x14ac:dyDescent="0.25">
      <c r="A871" s="471" t="s">
        <v>5282</v>
      </c>
      <c r="B871" s="1139">
        <f t="shared" ca="1" si="176"/>
        <v>0</v>
      </c>
      <c r="C871" s="473">
        <f ca="1">IF(ISERROR(VLOOKUP($A$1279,INDIRECT("notes_"&amp;LEFT($A$1279,3)),4,0)),0,VLOOKUP($A$1279,INDIRECT("notes_"&amp;LEFT($A$1279,3)),4,0))</f>
        <v>0</v>
      </c>
      <c r="H871" s="471">
        <f t="shared" si="175"/>
        <v>2</v>
      </c>
      <c r="I871" s="471">
        <v>1</v>
      </c>
      <c r="J871" s="471" t="str">
        <f t="shared" si="177"/>
        <v>phwrk</v>
      </c>
      <c r="K871" s="471" t="str">
        <f t="shared" si="178"/>
        <v>run-exp</v>
      </c>
      <c r="L871" s="599"/>
      <c r="M871" s="471" t="s">
        <v>5151</v>
      </c>
      <c r="N871" s="471" t="s">
        <v>5152</v>
      </c>
      <c r="O871" s="471" t="s">
        <v>5153</v>
      </c>
    </row>
    <row r="872" spans="1:15" x14ac:dyDescent="0.25">
      <c r="A872" s="471" t="s">
        <v>5283</v>
      </c>
      <c r="B872" s="1139">
        <f t="shared" ca="1" si="176"/>
        <v>0</v>
      </c>
      <c r="C872" s="473">
        <f ca="1">IF(ISERROR(VLOOKUP($A$1280,INDIRECT("notes_"&amp;LEFT($A$1280,3)),4,0)),0,VLOOKUP($A$1280,INDIRECT("notes_"&amp;LEFT($A$1280,3)),4,0))</f>
        <v>0</v>
      </c>
      <c r="H872" s="471">
        <f t="shared" si="175"/>
        <v>2</v>
      </c>
      <c r="I872" s="471">
        <v>1</v>
      </c>
      <c r="J872" s="471" t="str">
        <f t="shared" si="177"/>
        <v>phmnt</v>
      </c>
      <c r="K872" s="471" t="str">
        <f t="shared" si="178"/>
        <v>run-exp</v>
      </c>
      <c r="L872" s="599"/>
      <c r="M872" s="471" t="s">
        <v>5151</v>
      </c>
      <c r="N872" s="471" t="s">
        <v>5152</v>
      </c>
      <c r="O872" s="471" t="s">
        <v>5153</v>
      </c>
    </row>
    <row r="873" spans="1:15" x14ac:dyDescent="0.25">
      <c r="A873" s="471" t="s">
        <v>5284</v>
      </c>
      <c r="B873" s="1139">
        <f t="shared" ca="1" si="176"/>
        <v>0</v>
      </c>
      <c r="C873" s="473">
        <f ca="1">IF(ISERROR(VLOOKUP($A$1281,INDIRECT("notes_"&amp;LEFT($A$1281,3)),4,0)),0,VLOOKUP($A$1281,INDIRECT("notes_"&amp;LEFT($A$1281,3)),4,0))</f>
        <v>0</v>
      </c>
      <c r="H873" s="471">
        <f t="shared" si="175"/>
        <v>2</v>
      </c>
      <c r="I873" s="471">
        <v>1</v>
      </c>
      <c r="J873" s="471" t="str">
        <f t="shared" si="177"/>
        <v>phmsc</v>
      </c>
      <c r="K873" s="471" t="str">
        <f t="shared" si="178"/>
        <v>run-exp</v>
      </c>
      <c r="L873" s="599"/>
      <c r="M873" s="471" t="s">
        <v>5151</v>
      </c>
      <c r="N873" s="471" t="s">
        <v>5152</v>
      </c>
      <c r="O873" s="471" t="s">
        <v>5153</v>
      </c>
    </row>
    <row r="874" spans="1:15" x14ac:dyDescent="0.25">
      <c r="A874" s="471" t="s">
        <v>5285</v>
      </c>
      <c r="B874" s="1139">
        <f t="shared" ca="1" si="176"/>
        <v>0</v>
      </c>
      <c r="C874" s="473">
        <f ca="1">IF(ISERROR(VLOOKUP($A$1282,INDIRECT("notes_"&amp;LEFT($A$1282,3)),4,0)),0,VLOOKUP($A$1282,INDIRECT("notes_"&amp;LEFT($A$1282,3)),4,0))</f>
        <v>0</v>
      </c>
      <c r="H874" s="471">
        <f t="shared" si="175"/>
        <v>2</v>
      </c>
      <c r="I874" s="471">
        <v>1</v>
      </c>
      <c r="J874" s="471" t="str">
        <f t="shared" si="177"/>
        <v>phtot</v>
      </c>
      <c r="K874" s="471" t="str">
        <f t="shared" si="178"/>
        <v>run-exp</v>
      </c>
      <c r="L874" s="599"/>
      <c r="M874" s="471" t="s">
        <v>5151</v>
      </c>
      <c r="N874" s="471" t="s">
        <v>5152</v>
      </c>
      <c r="O874" s="471" t="s">
        <v>5153</v>
      </c>
    </row>
    <row r="875" spans="1:15" x14ac:dyDescent="0.25">
      <c r="A875" s="471" t="s">
        <v>2107</v>
      </c>
      <c r="B875" s="1139">
        <f t="shared" ca="1" si="176"/>
        <v>0</v>
      </c>
      <c r="C875" s="473">
        <f ca="1">IF(ISERROR(VLOOKUP($A$875,INDIRECT("notes_"&amp;LEFT($A$875,3)),4,0)),0,VLOOKUP($A$875,INDIRECT("notes_"&amp;LEFT($A$875,3)),4,0))</f>
        <v>0</v>
      </c>
      <c r="H875" s="471">
        <f t="shared" si="175"/>
        <v>2</v>
      </c>
      <c r="I875" s="471">
        <v>1</v>
      </c>
      <c r="J875" s="471" t="str">
        <f t="shared" si="177"/>
        <v>phsvmem</v>
      </c>
      <c r="K875" s="471" t="str">
        <f t="shared" si="178"/>
        <v>run-exp</v>
      </c>
      <c r="L875" s="599"/>
      <c r="M875" s="471" t="s">
        <v>5151</v>
      </c>
      <c r="N875" s="471" t="s">
        <v>5152</v>
      </c>
      <c r="O875" s="471" t="s">
        <v>5153</v>
      </c>
    </row>
    <row r="876" spans="1:15" x14ac:dyDescent="0.25">
      <c r="A876" s="471" t="s">
        <v>5286</v>
      </c>
      <c r="B876" s="1139">
        <f t="shared" ca="1" si="176"/>
        <v>0</v>
      </c>
      <c r="C876" s="473">
        <f ca="1">IF(ISERROR(VLOOKUP($A$1287,INDIRECT("notes_"&amp;LEFT($A$1287,3)),4,0)),0,VLOOKUP($A$1287,INDIRECT("notes_"&amp;LEFT($A$1287,3)),4,0))</f>
        <v>0</v>
      </c>
      <c r="H876" s="471">
        <f t="shared" si="175"/>
        <v>5</v>
      </c>
      <c r="I876" s="471">
        <v>1</v>
      </c>
      <c r="J876" s="471" t="str">
        <f t="shared" si="177"/>
        <v>phsup-anc-exp-csc</v>
      </c>
      <c r="K876" s="471" t="str">
        <f t="shared" si="178"/>
        <v>run-exp</v>
      </c>
      <c r="L876" s="599"/>
      <c r="M876" s="471" t="s">
        <v>5151</v>
      </c>
      <c r="N876" s="471" t="s">
        <v>5152</v>
      </c>
      <c r="O876" s="471" t="s">
        <v>5153</v>
      </c>
    </row>
    <row r="877" spans="1:15" x14ac:dyDescent="0.25">
      <c r="A877" s="471" t="s">
        <v>5287</v>
      </c>
      <c r="B877" s="1139">
        <f t="shared" ca="1" si="176"/>
        <v>0</v>
      </c>
      <c r="C877" s="473">
        <f ca="1">IF(ISERROR(VLOOKUP($A$1288,INDIRECT("notes_"&amp;LEFT($A$1288,3)),4,0)),0,VLOOKUP($A$1288,INDIRECT("notes_"&amp;LEFT($A$1288,3)),4,0))</f>
        <v>0</v>
      </c>
      <c r="H877" s="471">
        <f t="shared" si="175"/>
        <v>5</v>
      </c>
      <c r="I877" s="471">
        <v>1</v>
      </c>
      <c r="J877" s="471" t="str">
        <f t="shared" si="177"/>
        <v>phsup-anc-exp-asc</v>
      </c>
      <c r="K877" s="471" t="str">
        <f t="shared" si="178"/>
        <v>run-exp</v>
      </c>
      <c r="L877" s="599"/>
      <c r="M877" s="471" t="s">
        <v>5151</v>
      </c>
      <c r="N877" s="471" t="s">
        <v>5152</v>
      </c>
      <c r="O877" s="471" t="s">
        <v>5153</v>
      </c>
    </row>
    <row r="878" spans="1:15" x14ac:dyDescent="0.25">
      <c r="A878" s="471" t="s">
        <v>5288</v>
      </c>
      <c r="B878" s="1139">
        <f t="shared" ca="1" si="176"/>
        <v>0</v>
      </c>
      <c r="C878" s="473">
        <f ca="1">IF(ISERROR(VLOOKUP($A$1218,INDIRECT("notes_"&amp;LEFT($A$1218,3)),4,0)),0,VLOOKUP($A$1218,INDIRECT("notes_"&amp;LEFT($A$1218,3)),4,0))</f>
        <v>0</v>
      </c>
      <c r="H878" s="471">
        <f t="shared" si="175"/>
        <v>2</v>
      </c>
      <c r="I878" s="471">
        <v>1</v>
      </c>
      <c r="J878" s="471" t="str">
        <f t="shared" si="177"/>
        <v>cscsr</v>
      </c>
      <c r="K878" s="471" t="str">
        <f t="shared" si="178"/>
        <v>tot-exp</v>
      </c>
      <c r="L878" s="599"/>
      <c r="M878" s="471" t="s">
        <v>5151</v>
      </c>
      <c r="N878" s="471" t="s">
        <v>5152</v>
      </c>
      <c r="O878" s="471" t="s">
        <v>5153</v>
      </c>
    </row>
    <row r="879" spans="1:15" x14ac:dyDescent="0.25">
      <c r="A879" s="471" t="s">
        <v>5289</v>
      </c>
      <c r="B879" s="1139">
        <f t="shared" ca="1" si="176"/>
        <v>0</v>
      </c>
      <c r="C879" s="473">
        <f ca="1">IF(ISERROR(VLOOKUP($A$1219,INDIRECT("notes_"&amp;LEFT($A$1219,3)),4,0)),0,VLOOKUP($A$1219,INDIRECT("notes_"&amp;LEFT($A$1219,3)),4,0))</f>
        <v>0</v>
      </c>
      <c r="H879" s="471">
        <f t="shared" si="175"/>
        <v>2</v>
      </c>
      <c r="I879" s="471">
        <v>1</v>
      </c>
      <c r="J879" s="471" t="str">
        <f t="shared" si="177"/>
        <v>csclkd</v>
      </c>
      <c r="K879" s="471" t="str">
        <f t="shared" si="178"/>
        <v>tot-exp</v>
      </c>
      <c r="L879" s="599"/>
      <c r="M879" s="471" t="s">
        <v>5151</v>
      </c>
      <c r="N879" s="471" t="s">
        <v>5152</v>
      </c>
      <c r="O879" s="471" t="s">
        <v>5153</v>
      </c>
    </row>
    <row r="880" spans="1:15" x14ac:dyDescent="0.25">
      <c r="A880" s="471" t="s">
        <v>5290</v>
      </c>
      <c r="B880" s="1139">
        <f t="shared" ca="1" si="176"/>
        <v>0</v>
      </c>
      <c r="C880" s="473">
        <f ca="1">IF(ISERROR(VLOOKUP($A$1220,INDIRECT("notes_"&amp;LEFT($A$1220,3)),4,0)),0,VLOOKUP($A$1220,INDIRECT("notes_"&amp;LEFT($A$1220,3)),4,0))</f>
        <v>0</v>
      </c>
      <c r="H880" s="471">
        <f t="shared" si="175"/>
        <v>2</v>
      </c>
      <c r="I880" s="471">
        <v>1</v>
      </c>
      <c r="J880" s="471" t="str">
        <f t="shared" si="177"/>
        <v>csclkdres</v>
      </c>
      <c r="K880" s="471" t="str">
        <f t="shared" si="178"/>
        <v>tot-exp</v>
      </c>
      <c r="L880" s="599"/>
      <c r="M880" s="471" t="s">
        <v>5151</v>
      </c>
      <c r="N880" s="471" t="s">
        <v>5152</v>
      </c>
      <c r="O880" s="471" t="s">
        <v>5153</v>
      </c>
    </row>
    <row r="881" spans="1:15" x14ac:dyDescent="0.25">
      <c r="A881" s="471" t="s">
        <v>5291</v>
      </c>
      <c r="B881" s="1139">
        <f t="shared" ca="1" si="176"/>
        <v>0</v>
      </c>
      <c r="C881" s="473">
        <f ca="1">IF(ISERROR(VLOOKUP($A$1221,INDIRECT("notes_"&amp;LEFT($A$1221,3)),4,0)),0,VLOOKUP($A$1221,INDIRECT("notes_"&amp;LEFT($A$1221,3)),4,0))</f>
        <v>0</v>
      </c>
      <c r="H881" s="471">
        <f t="shared" si="175"/>
        <v>2</v>
      </c>
      <c r="I881" s="471">
        <v>1</v>
      </c>
      <c r="J881" s="471" t="str">
        <f t="shared" si="177"/>
        <v>csclkdfos</v>
      </c>
      <c r="K881" s="471" t="str">
        <f t="shared" si="178"/>
        <v>tot-exp</v>
      </c>
      <c r="L881" s="599"/>
      <c r="M881" s="471" t="s">
        <v>5151</v>
      </c>
      <c r="N881" s="471" t="s">
        <v>5152</v>
      </c>
      <c r="O881" s="471" t="s">
        <v>5153</v>
      </c>
    </row>
    <row r="882" spans="1:15" x14ac:dyDescent="0.25">
      <c r="A882" s="471" t="s">
        <v>5292</v>
      </c>
      <c r="B882" s="1139">
        <f t="shared" ca="1" si="176"/>
        <v>0</v>
      </c>
      <c r="C882" s="473">
        <f ca="1">IF(ISERROR(VLOOKUP($A$1222,INDIRECT("notes_"&amp;LEFT($A$1222,3)),4,0)),0,VLOOKUP($A$1222,INDIRECT("notes_"&amp;LEFT($A$1222,3)),4,0))</f>
        <v>0</v>
      </c>
      <c r="H882" s="471">
        <f t="shared" si="175"/>
        <v>2</v>
      </c>
      <c r="I882" s="471">
        <v>1</v>
      </c>
      <c r="J882" s="471" t="str">
        <f t="shared" si="177"/>
        <v>csclkdasy</v>
      </c>
      <c r="K882" s="471" t="str">
        <f t="shared" si="178"/>
        <v>tot-exp</v>
      </c>
      <c r="L882" s="599"/>
      <c r="M882" s="471" t="s">
        <v>5151</v>
      </c>
      <c r="N882" s="471" t="s">
        <v>5152</v>
      </c>
      <c r="O882" s="471" t="s">
        <v>5153</v>
      </c>
    </row>
    <row r="883" spans="1:15" x14ac:dyDescent="0.25">
      <c r="A883" s="471" t="s">
        <v>5293</v>
      </c>
      <c r="B883" s="1139">
        <f t="shared" ca="1" si="176"/>
        <v>0</v>
      </c>
      <c r="C883" s="473">
        <f ca="1">IF(ISERROR(VLOOKUP($A$1223,INDIRECT("notes_"&amp;LEFT($A$1223,3)),4,0)),0,VLOOKUP($A$1223,INDIRECT("notes_"&amp;LEFT($A$1223,3)),4,0))</f>
        <v>0</v>
      </c>
      <c r="H883" s="471">
        <f t="shared" si="175"/>
        <v>2</v>
      </c>
      <c r="I883" s="471">
        <v>1</v>
      </c>
      <c r="J883" s="471" t="str">
        <f t="shared" si="177"/>
        <v>csclkdoth</v>
      </c>
      <c r="K883" s="471" t="str">
        <f t="shared" si="178"/>
        <v>tot-exp</v>
      </c>
      <c r="L883" s="599"/>
      <c r="M883" s="471" t="s">
        <v>5151</v>
      </c>
      <c r="N883" s="471" t="s">
        <v>5152</v>
      </c>
      <c r="O883" s="471" t="s">
        <v>5153</v>
      </c>
    </row>
    <row r="884" spans="1:15" x14ac:dyDescent="0.25">
      <c r="A884" s="471" t="s">
        <v>5294</v>
      </c>
      <c r="B884" s="1139">
        <f t="shared" ca="1" si="176"/>
        <v>0</v>
      </c>
      <c r="C884" s="473">
        <f ca="1">IF(ISERROR(VLOOKUP($A$1224,INDIRECT("notes_"&amp;LEFT($A$1224,3)),4,0)),0,VLOOKUP($A$1224,INDIRECT("notes_"&amp;LEFT($A$1224,3)),4,0))</f>
        <v>0</v>
      </c>
      <c r="H884" s="471">
        <f t="shared" si="175"/>
        <v>2</v>
      </c>
      <c r="I884" s="471">
        <v>1</v>
      </c>
      <c r="J884" s="471" t="str">
        <f t="shared" si="177"/>
        <v>cscoth</v>
      </c>
      <c r="K884" s="471" t="str">
        <f t="shared" si="178"/>
        <v>tot-exp</v>
      </c>
      <c r="L884" s="599"/>
      <c r="M884" s="471" t="s">
        <v>5151</v>
      </c>
      <c r="N884" s="471" t="s">
        <v>5152</v>
      </c>
      <c r="O884" s="471" t="s">
        <v>5153</v>
      </c>
    </row>
    <row r="885" spans="1:15" x14ac:dyDescent="0.25">
      <c r="A885" s="471" t="s">
        <v>5295</v>
      </c>
      <c r="B885" s="1139">
        <f t="shared" ca="1" si="176"/>
        <v>0</v>
      </c>
      <c r="C885" s="473">
        <f ca="1">IF(ISERROR(VLOOKUP($A$1225,INDIRECT("notes_"&amp;LEFT($A$1225,3)),4,0)),0,VLOOKUP($A$1225,INDIRECT("notes_"&amp;LEFT($A$1225,3)),4,0))</f>
        <v>0</v>
      </c>
      <c r="H885" s="471">
        <f t="shared" si="175"/>
        <v>2</v>
      </c>
      <c r="I885" s="471">
        <v>1</v>
      </c>
      <c r="J885" s="471" t="str">
        <f t="shared" si="177"/>
        <v>cscfml</v>
      </c>
      <c r="K885" s="471" t="str">
        <f t="shared" si="178"/>
        <v>tot-exp</v>
      </c>
      <c r="L885" s="599"/>
      <c r="M885" s="471" t="s">
        <v>5151</v>
      </c>
      <c r="N885" s="471" t="s">
        <v>5152</v>
      </c>
      <c r="O885" s="471" t="s">
        <v>5153</v>
      </c>
    </row>
    <row r="886" spans="1:15" x14ac:dyDescent="0.25">
      <c r="A886" s="471" t="s">
        <v>5296</v>
      </c>
      <c r="B886" s="1139">
        <f t="shared" ca="1" si="176"/>
        <v>0</v>
      </c>
      <c r="C886" s="473">
        <f ca="1">IF(ISERROR(VLOOKUP($A$1226,INDIRECT("notes_"&amp;LEFT($A$1226,3)),4,0)),0,VLOOKUP($A$1226,INDIRECT("notes_"&amp;LEFT($A$1226,3)),4,0))</f>
        <v>0</v>
      </c>
      <c r="H886" s="471">
        <f t="shared" si="175"/>
        <v>2</v>
      </c>
      <c r="I886" s="471">
        <v>1</v>
      </c>
      <c r="J886" s="471" t="str">
        <f t="shared" si="177"/>
        <v>cscyth</v>
      </c>
      <c r="K886" s="471" t="str">
        <f t="shared" si="178"/>
        <v>tot-exp</v>
      </c>
      <c r="L886" s="599"/>
      <c r="M886" s="471" t="s">
        <v>5151</v>
      </c>
      <c r="N886" s="471" t="s">
        <v>5152</v>
      </c>
      <c r="O886" s="471" t="s">
        <v>5153</v>
      </c>
    </row>
    <row r="887" spans="1:15" x14ac:dyDescent="0.25">
      <c r="A887" s="471" t="s">
        <v>5297</v>
      </c>
      <c r="B887" s="1139">
        <f t="shared" ca="1" si="176"/>
        <v>0</v>
      </c>
      <c r="C887" s="473">
        <f ca="1">IF(ISERROR(VLOOKUP($A$1227,INDIRECT("notes_"&amp;LEFT($A$1227,3)),4,0)),0,VLOOKUP($A$1227,INDIRECT("notes_"&amp;LEFT($A$1227,3)),4,0))</f>
        <v>0</v>
      </c>
      <c r="H887" s="471">
        <f t="shared" si="175"/>
        <v>2</v>
      </c>
      <c r="I887" s="471">
        <v>1</v>
      </c>
      <c r="J887" s="471" t="str">
        <f t="shared" si="177"/>
        <v>cscsfg</v>
      </c>
      <c r="K887" s="471" t="str">
        <f t="shared" si="178"/>
        <v>tot-exp</v>
      </c>
      <c r="L887" s="599"/>
      <c r="M887" s="471" t="s">
        <v>5151</v>
      </c>
      <c r="N887" s="471" t="s">
        <v>5152</v>
      </c>
      <c r="O887" s="471" t="s">
        <v>5153</v>
      </c>
    </row>
    <row r="888" spans="1:15" x14ac:dyDescent="0.25">
      <c r="A888" s="471" t="s">
        <v>5298</v>
      </c>
      <c r="B888" s="1139">
        <f t="shared" ca="1" si="176"/>
        <v>0</v>
      </c>
      <c r="C888" s="473">
        <f ca="1">IF(ISERROR(VLOOKUP($A$1228,INDIRECT("notes_"&amp;LEFT($A$1228,3)),4,0)),0,VLOOKUP($A$1228,INDIRECT("notes_"&amp;LEFT($A$1228,3)),4,0))</f>
        <v>0</v>
      </c>
      <c r="H888" s="471">
        <f t="shared" si="175"/>
        <v>2</v>
      </c>
      <c r="I888" s="471">
        <v>1</v>
      </c>
      <c r="J888" s="471" t="str">
        <f t="shared" si="177"/>
        <v>cscasy</v>
      </c>
      <c r="K888" s="471" t="str">
        <f t="shared" si="178"/>
        <v>tot-exp</v>
      </c>
      <c r="L888" s="599"/>
      <c r="M888" s="471" t="s">
        <v>5151</v>
      </c>
      <c r="N888" s="471" t="s">
        <v>5152</v>
      </c>
      <c r="O888" s="471" t="s">
        <v>5153</v>
      </c>
    </row>
    <row r="889" spans="1:15" x14ac:dyDescent="0.25">
      <c r="A889" s="471" t="s">
        <v>5299</v>
      </c>
      <c r="B889" s="1139">
        <f t="shared" ca="1" si="176"/>
        <v>0</v>
      </c>
      <c r="C889" s="473">
        <f ca="1">IF(ISERROR(VLOOKUP($A$1229,INDIRECT("notes_"&amp;LEFT($A$1229,3)),4,0)),0,VLOOKUP($A$1229,INDIRECT("notes_"&amp;LEFT($A$1229,3)),4,0))</f>
        <v>0</v>
      </c>
      <c r="H889" s="471">
        <f t="shared" si="175"/>
        <v>2</v>
      </c>
      <c r="I889" s="471">
        <v>1</v>
      </c>
      <c r="J889" s="471" t="str">
        <f t="shared" si="177"/>
        <v>cscsrv</v>
      </c>
      <c r="K889" s="471" t="str">
        <f t="shared" si="178"/>
        <v>tot-exp</v>
      </c>
      <c r="L889" s="599"/>
      <c r="M889" s="471" t="s">
        <v>5151</v>
      </c>
      <c r="N889" s="471" t="s">
        <v>5152</v>
      </c>
      <c r="O889" s="471" t="s">
        <v>5153</v>
      </c>
    </row>
    <row r="890" spans="1:15" x14ac:dyDescent="0.25">
      <c r="A890" s="471" t="s">
        <v>5300</v>
      </c>
      <c r="B890" s="1139">
        <f t="shared" ca="1" si="176"/>
        <v>0</v>
      </c>
      <c r="C890" s="473">
        <f ca="1">IF(ISERROR(VLOOKUP($A$1230,INDIRECT("notes_"&amp;LEFT($A$1230,3)),4,0)),0,VLOOKUP($A$1230,INDIRECT("notes_"&amp;LEFT($A$1230,3)),4,0))</f>
        <v>0</v>
      </c>
      <c r="H890" s="471">
        <f t="shared" si="175"/>
        <v>2</v>
      </c>
      <c r="I890" s="471">
        <v>1</v>
      </c>
      <c r="J890" s="471" t="str">
        <f t="shared" si="177"/>
        <v>csctot</v>
      </c>
      <c r="K890" s="471" t="str">
        <f t="shared" si="178"/>
        <v>tot-exp</v>
      </c>
      <c r="L890" s="599"/>
      <c r="M890" s="471" t="s">
        <v>5151</v>
      </c>
      <c r="N890" s="471" t="s">
        <v>5152</v>
      </c>
      <c r="O890" s="471" t="s">
        <v>5153</v>
      </c>
    </row>
    <row r="891" spans="1:15" x14ac:dyDescent="0.25">
      <c r="A891" s="471" t="s">
        <v>5301</v>
      </c>
      <c r="B891" s="1139">
        <f t="shared" ca="1" si="176"/>
        <v>0</v>
      </c>
      <c r="C891" s="473">
        <f ca="1">IF(ISERROR(VLOOKUP($A$1231,INDIRECT("notes_"&amp;LEFT($A$1231,3)),4,0)),0,VLOOKUP($A$1231,INDIRECT("notes_"&amp;LEFT($A$1231,3)),4,0))</f>
        <v>0</v>
      </c>
      <c r="H891" s="471">
        <f t="shared" si="175"/>
        <v>2</v>
      </c>
      <c r="I891" s="471">
        <v>1</v>
      </c>
      <c r="J891" s="471" t="str">
        <f t="shared" si="177"/>
        <v>ascphyadl</v>
      </c>
      <c r="K891" s="471" t="str">
        <f t="shared" si="178"/>
        <v>tot-exp</v>
      </c>
      <c r="L891" s="599"/>
      <c r="M891" s="471" t="s">
        <v>5151</v>
      </c>
      <c r="N891" s="471" t="s">
        <v>5152</v>
      </c>
      <c r="O891" s="471" t="s">
        <v>5153</v>
      </c>
    </row>
    <row r="892" spans="1:15" x14ac:dyDescent="0.25">
      <c r="A892" s="471" t="s">
        <v>5302</v>
      </c>
      <c r="B892" s="1139">
        <f t="shared" ca="1" si="176"/>
        <v>0</v>
      </c>
      <c r="C892" s="473">
        <f ca="1">IF(ISERROR(VLOOKUP($A$1232,INDIRECT("notes_"&amp;LEFT($A$1232,3)),4,0)),0,VLOOKUP($A$1232,INDIRECT("notes_"&amp;LEFT($A$1232,3)),4,0))</f>
        <v>0</v>
      </c>
      <c r="H892" s="471">
        <f t="shared" si="175"/>
        <v>2</v>
      </c>
      <c r="I892" s="471">
        <v>1</v>
      </c>
      <c r="J892" s="471" t="str">
        <f t="shared" si="177"/>
        <v>ascphyold</v>
      </c>
      <c r="K892" s="471" t="str">
        <f t="shared" si="178"/>
        <v>tot-exp</v>
      </c>
      <c r="L892" s="599"/>
      <c r="M892" s="471" t="s">
        <v>5151</v>
      </c>
      <c r="N892" s="471" t="s">
        <v>5152</v>
      </c>
      <c r="O892" s="471" t="s">
        <v>5153</v>
      </c>
    </row>
    <row r="893" spans="1:15" x14ac:dyDescent="0.25">
      <c r="A893" s="471" t="s">
        <v>5303</v>
      </c>
      <c r="B893" s="1139">
        <f t="shared" ca="1" si="176"/>
        <v>0</v>
      </c>
      <c r="C893" s="473">
        <f ca="1">IF(ISERROR(VLOOKUP($A$1233,INDIRECT("notes_"&amp;LEFT($A$1233,3)),4,0)),0,VLOOKUP($A$1233,INDIRECT("notes_"&amp;LEFT($A$1233,3)),4,0))</f>
        <v>0</v>
      </c>
      <c r="H893" s="471">
        <f t="shared" si="175"/>
        <v>2</v>
      </c>
      <c r="I893" s="471">
        <v>1</v>
      </c>
      <c r="J893" s="471" t="str">
        <f t="shared" si="177"/>
        <v>ascsnsadl</v>
      </c>
      <c r="K893" s="471" t="str">
        <f t="shared" si="178"/>
        <v>tot-exp</v>
      </c>
      <c r="L893" s="599"/>
      <c r="M893" s="471" t="s">
        <v>5151</v>
      </c>
      <c r="N893" s="471" t="s">
        <v>5152</v>
      </c>
      <c r="O893" s="471" t="s">
        <v>5153</v>
      </c>
    </row>
    <row r="894" spans="1:15" x14ac:dyDescent="0.25">
      <c r="A894" s="471" t="s">
        <v>5304</v>
      </c>
      <c r="B894" s="1139">
        <f t="shared" ca="1" si="176"/>
        <v>0</v>
      </c>
      <c r="C894" s="473">
        <f ca="1">IF(ISERROR(VLOOKUP($A$1234,INDIRECT("notes_"&amp;LEFT($A$1234,3)),4,0)),0,VLOOKUP($A$1234,INDIRECT("notes_"&amp;LEFT($A$1234,3)),4,0))</f>
        <v>0</v>
      </c>
      <c r="H894" s="471">
        <f t="shared" si="175"/>
        <v>2</v>
      </c>
      <c r="I894" s="471">
        <v>1</v>
      </c>
      <c r="J894" s="471" t="str">
        <f t="shared" si="177"/>
        <v>ascsnsold</v>
      </c>
      <c r="K894" s="471" t="str">
        <f t="shared" si="178"/>
        <v>tot-exp</v>
      </c>
      <c r="L894" s="599"/>
      <c r="M894" s="471" t="s">
        <v>5151</v>
      </c>
      <c r="N894" s="471" t="s">
        <v>5152</v>
      </c>
      <c r="O894" s="471" t="s">
        <v>5153</v>
      </c>
    </row>
    <row r="895" spans="1:15" x14ac:dyDescent="0.25">
      <c r="A895" s="471" t="s">
        <v>5305</v>
      </c>
      <c r="B895" s="1139">
        <f t="shared" ca="1" si="176"/>
        <v>0</v>
      </c>
      <c r="C895" s="473">
        <f ca="1">IF(ISERROR(VLOOKUP($A$1235,INDIRECT("notes_"&amp;LEFT($A$1235,3)),4,0)),0,VLOOKUP($A$1235,INDIRECT("notes_"&amp;LEFT($A$1235,3)),4,0))</f>
        <v>0</v>
      </c>
      <c r="H895" s="471">
        <f t="shared" si="175"/>
        <v>2</v>
      </c>
      <c r="I895" s="471">
        <v>1</v>
      </c>
      <c r="J895" s="471" t="str">
        <f t="shared" si="177"/>
        <v>ascmmradl</v>
      </c>
      <c r="K895" s="471" t="str">
        <f t="shared" si="178"/>
        <v>tot-exp</v>
      </c>
      <c r="L895" s="599"/>
      <c r="M895" s="471" t="s">
        <v>5151</v>
      </c>
      <c r="N895" s="471" t="s">
        <v>5152</v>
      </c>
      <c r="O895" s="471" t="s">
        <v>5153</v>
      </c>
    </row>
    <row r="896" spans="1:15" x14ac:dyDescent="0.25">
      <c r="A896" s="471" t="s">
        <v>5306</v>
      </c>
      <c r="B896" s="1139">
        <f t="shared" ca="1" si="176"/>
        <v>0</v>
      </c>
      <c r="C896" s="473">
        <f ca="1">IF(ISERROR(VLOOKUP($A$1236,INDIRECT("notes_"&amp;LEFT($A$1236,3)),4,0)),0,VLOOKUP($A$1236,INDIRECT("notes_"&amp;LEFT($A$1236,3)),4,0))</f>
        <v>0</v>
      </c>
      <c r="H896" s="471">
        <f t="shared" si="175"/>
        <v>2</v>
      </c>
      <c r="I896" s="471">
        <v>1</v>
      </c>
      <c r="J896" s="471" t="str">
        <f t="shared" si="177"/>
        <v>ascmmrold</v>
      </c>
      <c r="K896" s="471" t="str">
        <f t="shared" si="178"/>
        <v>tot-exp</v>
      </c>
      <c r="L896" s="599"/>
      <c r="M896" s="471" t="s">
        <v>5151</v>
      </c>
      <c r="N896" s="471" t="s">
        <v>5152</v>
      </c>
      <c r="O896" s="471" t="s">
        <v>5153</v>
      </c>
    </row>
    <row r="897" spans="1:15" x14ac:dyDescent="0.25">
      <c r="A897" s="471" t="s">
        <v>5307</v>
      </c>
      <c r="B897" s="1139">
        <f t="shared" ca="1" si="176"/>
        <v>0</v>
      </c>
      <c r="C897" s="473">
        <f ca="1">IF(ISERROR(VLOOKUP($A$1237,INDIRECT("notes_"&amp;LEFT($A$1237,3)),4,0)),0,VLOOKUP($A$1237,INDIRECT("notes_"&amp;LEFT($A$1237,3)),4,0))</f>
        <v>0</v>
      </c>
      <c r="H897" s="471">
        <f t="shared" si="175"/>
        <v>2</v>
      </c>
      <c r="I897" s="471">
        <v>1</v>
      </c>
      <c r="J897" s="471" t="str">
        <f t="shared" si="177"/>
        <v>asclrnadl</v>
      </c>
      <c r="K897" s="471" t="str">
        <f t="shared" si="178"/>
        <v>tot-exp</v>
      </c>
      <c r="L897" s="599"/>
      <c r="M897" s="471" t="s">
        <v>5151</v>
      </c>
      <c r="N897" s="471" t="s">
        <v>5152</v>
      </c>
      <c r="O897" s="471" t="s">
        <v>5153</v>
      </c>
    </row>
    <row r="898" spans="1:15" x14ac:dyDescent="0.25">
      <c r="A898" s="471" t="s">
        <v>5308</v>
      </c>
      <c r="B898" s="1139">
        <f t="shared" ca="1" si="176"/>
        <v>0</v>
      </c>
      <c r="C898" s="473">
        <f ca="1">IF(ISERROR(VLOOKUP($A$1238,INDIRECT("notes_"&amp;LEFT($A$1238,3)),4,0)),0,VLOOKUP($A$1238,INDIRECT("notes_"&amp;LEFT($A$1238,3)),4,0))</f>
        <v>0</v>
      </c>
      <c r="H898" s="471">
        <f t="shared" si="175"/>
        <v>2</v>
      </c>
      <c r="I898" s="471">
        <v>1</v>
      </c>
      <c r="J898" s="471" t="str">
        <f t="shared" si="177"/>
        <v>asclrnold</v>
      </c>
      <c r="K898" s="471" t="str">
        <f t="shared" si="178"/>
        <v>tot-exp</v>
      </c>
      <c r="L898" s="599"/>
      <c r="M898" s="471" t="s">
        <v>5151</v>
      </c>
      <c r="N898" s="471" t="s">
        <v>5152</v>
      </c>
      <c r="O898" s="471" t="s">
        <v>5153</v>
      </c>
    </row>
    <row r="899" spans="1:15" x14ac:dyDescent="0.25">
      <c r="A899" s="471" t="s">
        <v>5309</v>
      </c>
      <c r="B899" s="1139">
        <f t="shared" ca="1" si="176"/>
        <v>0</v>
      </c>
      <c r="C899" s="473">
        <f ca="1">IF(ISERROR(VLOOKUP($A$1239,INDIRECT("notes_"&amp;LEFT($A$1239,3)),4,0)),0,VLOOKUP($A$1239,INDIRECT("notes_"&amp;LEFT($A$1239,3)),4,0))</f>
        <v>0</v>
      </c>
      <c r="H899" s="471">
        <f t="shared" si="175"/>
        <v>2</v>
      </c>
      <c r="I899" s="471">
        <v>1</v>
      </c>
      <c r="J899" s="471" t="str">
        <f t="shared" si="177"/>
        <v>ascmntadl</v>
      </c>
      <c r="K899" s="471" t="str">
        <f t="shared" si="178"/>
        <v>tot-exp</v>
      </c>
      <c r="L899" s="599"/>
      <c r="M899" s="471" t="s">
        <v>5151</v>
      </c>
      <c r="N899" s="471" t="s">
        <v>5152</v>
      </c>
      <c r="O899" s="471" t="s">
        <v>5153</v>
      </c>
    </row>
    <row r="900" spans="1:15" x14ac:dyDescent="0.25">
      <c r="A900" s="471" t="s">
        <v>5310</v>
      </c>
      <c r="B900" s="1139">
        <f t="shared" ca="1" si="176"/>
        <v>0</v>
      </c>
      <c r="C900" s="473">
        <f ca="1">IF(ISERROR(VLOOKUP($A$1240,INDIRECT("notes_"&amp;LEFT($A$1240,3)),4,0)),0,VLOOKUP($A$1240,INDIRECT("notes_"&amp;LEFT($A$1240,3)),4,0))</f>
        <v>0</v>
      </c>
      <c r="H900" s="471">
        <f t="shared" si="175"/>
        <v>2</v>
      </c>
      <c r="I900" s="471">
        <v>1</v>
      </c>
      <c r="J900" s="471" t="str">
        <f t="shared" si="177"/>
        <v>ascmntold</v>
      </c>
      <c r="K900" s="471" t="str">
        <f t="shared" si="178"/>
        <v>tot-exp</v>
      </c>
      <c r="L900" s="599"/>
      <c r="M900" s="471" t="s">
        <v>5151</v>
      </c>
      <c r="N900" s="471" t="s">
        <v>5152</v>
      </c>
      <c r="O900" s="471" t="s">
        <v>5153</v>
      </c>
    </row>
    <row r="901" spans="1:15" x14ac:dyDescent="0.25">
      <c r="A901" s="471" t="s">
        <v>5311</v>
      </c>
      <c r="B901" s="1139">
        <f t="shared" ca="1" si="176"/>
        <v>0</v>
      </c>
      <c r="C901" s="473">
        <f ca="1">IF(ISERROR(VLOOKUP($A$1241,INDIRECT("notes_"&amp;LEFT($A$1241,3)),4,0)),0,VLOOKUP($A$1241,INDIRECT("notes_"&amp;LEFT($A$1241,3)),4,0))</f>
        <v>0</v>
      </c>
      <c r="H901" s="471">
        <f t="shared" si="175"/>
        <v>2</v>
      </c>
      <c r="I901" s="471">
        <v>1</v>
      </c>
      <c r="J901" s="471" t="str">
        <f t="shared" si="177"/>
        <v>ascsclsbs</v>
      </c>
      <c r="K901" s="471" t="str">
        <f t="shared" si="178"/>
        <v>tot-exp</v>
      </c>
      <c r="L901" s="599"/>
      <c r="M901" s="471" t="s">
        <v>5151</v>
      </c>
      <c r="N901" s="471" t="s">
        <v>5152</v>
      </c>
      <c r="O901" s="471" t="s">
        <v>5153</v>
      </c>
    </row>
    <row r="902" spans="1:15" x14ac:dyDescent="0.25">
      <c r="A902" s="471" t="s">
        <v>5312</v>
      </c>
      <c r="B902" s="1139">
        <f t="shared" ca="1" si="176"/>
        <v>0</v>
      </c>
      <c r="C902" s="473">
        <f ca="1">IF(ISERROR(VLOOKUP($A$1242,INDIRECT("notes_"&amp;LEFT($A$1242,3)),4,0)),0,VLOOKUP($A$1242,INDIRECT("notes_"&amp;LEFT($A$1242,3)),4,0))</f>
        <v>0</v>
      </c>
      <c r="H902" s="471">
        <f t="shared" si="175"/>
        <v>2</v>
      </c>
      <c r="I902" s="471">
        <v>1</v>
      </c>
      <c r="J902" s="471" t="str">
        <f t="shared" si="177"/>
        <v>ascsclasy</v>
      </c>
      <c r="K902" s="471" t="str">
        <f t="shared" si="178"/>
        <v>tot-exp</v>
      </c>
      <c r="L902" s="599"/>
      <c r="M902" s="471" t="s">
        <v>5151</v>
      </c>
      <c r="N902" s="471" t="s">
        <v>5152</v>
      </c>
      <c r="O902" s="471" t="s">
        <v>5153</v>
      </c>
    </row>
    <row r="903" spans="1:15" x14ac:dyDescent="0.25">
      <c r="A903" s="471" t="s">
        <v>5313</v>
      </c>
      <c r="B903" s="1139">
        <f t="shared" ca="1" si="176"/>
        <v>0</v>
      </c>
      <c r="C903" s="473">
        <f ca="1">IF(ISERROR(VLOOKUP($A$1243,INDIRECT("notes_"&amp;LEFT($A$1243,3)),4,0)),0,VLOOKUP($A$1243,INDIRECT("notes_"&amp;LEFT($A$1243,3)),4,0))</f>
        <v>0</v>
      </c>
      <c r="H903" s="471">
        <f t="shared" si="175"/>
        <v>2</v>
      </c>
      <c r="I903" s="471">
        <v>1</v>
      </c>
      <c r="J903" s="471" t="str">
        <f t="shared" si="177"/>
        <v>ascsclisl</v>
      </c>
      <c r="K903" s="471" t="str">
        <f t="shared" si="178"/>
        <v>tot-exp</v>
      </c>
      <c r="L903" s="599"/>
      <c r="M903" s="471" t="s">
        <v>5151</v>
      </c>
      <c r="N903" s="471" t="s">
        <v>5152</v>
      </c>
      <c r="O903" s="471" t="s">
        <v>5153</v>
      </c>
    </row>
    <row r="904" spans="1:15" x14ac:dyDescent="0.25">
      <c r="A904" s="471" t="s">
        <v>5314</v>
      </c>
      <c r="B904" s="1139">
        <f t="shared" ca="1" si="176"/>
        <v>0</v>
      </c>
      <c r="C904" s="473">
        <f ca="1">IF(ISERROR(VLOOKUP($A$1244,INDIRECT("notes_"&amp;LEFT($A$1244,3)),4,0)),0,VLOOKUP($A$1244,INDIRECT("notes_"&amp;LEFT($A$1244,3)),4,0))</f>
        <v>0</v>
      </c>
      <c r="H904" s="471">
        <f t="shared" si="175"/>
        <v>2</v>
      </c>
      <c r="I904" s="471">
        <v>1</v>
      </c>
      <c r="J904" s="471" t="str">
        <f t="shared" si="177"/>
        <v>ascsclcrr</v>
      </c>
      <c r="K904" s="471" t="str">
        <f t="shared" si="178"/>
        <v>tot-exp</v>
      </c>
      <c r="L904" s="599"/>
      <c r="M904" s="471" t="s">
        <v>5151</v>
      </c>
      <c r="N904" s="471" t="s">
        <v>5152</v>
      </c>
      <c r="O904" s="471" t="s">
        <v>5153</v>
      </c>
    </row>
    <row r="905" spans="1:15" x14ac:dyDescent="0.25">
      <c r="A905" s="1120" t="s">
        <v>5315</v>
      </c>
      <c r="B905" s="1139">
        <f t="shared" ca="1" si="176"/>
        <v>0</v>
      </c>
      <c r="C905" s="473"/>
      <c r="H905" s="471">
        <f t="shared" si="175"/>
        <v>2</v>
      </c>
      <c r="I905" s="471">
        <v>1</v>
      </c>
      <c r="J905" s="471" t="str">
        <f t="shared" si="177"/>
        <v>ascsclcrradl</v>
      </c>
      <c r="K905" s="471" t="str">
        <f t="shared" si="178"/>
        <v>tot-exp</v>
      </c>
      <c r="L905" s="599"/>
      <c r="M905" s="471" t="s">
        <v>5151</v>
      </c>
      <c r="N905" s="471" t="s">
        <v>5152</v>
      </c>
      <c r="O905" s="471" t="s">
        <v>5153</v>
      </c>
    </row>
    <row r="906" spans="1:15" x14ac:dyDescent="0.25">
      <c r="A906" s="1120" t="s">
        <v>5316</v>
      </c>
      <c r="B906" s="1139">
        <f t="shared" ca="1" si="176"/>
        <v>0</v>
      </c>
      <c r="C906" s="473"/>
      <c r="H906" s="471">
        <f t="shared" si="175"/>
        <v>2</v>
      </c>
      <c r="I906" s="471">
        <v>1</v>
      </c>
      <c r="J906" s="471" t="str">
        <f t="shared" si="177"/>
        <v>ascsclcrrold</v>
      </c>
      <c r="K906" s="471" t="str">
        <f t="shared" si="178"/>
        <v>tot-exp</v>
      </c>
      <c r="L906" s="599"/>
      <c r="M906" s="471" t="s">
        <v>5151</v>
      </c>
      <c r="N906" s="471" t="s">
        <v>5152</v>
      </c>
      <c r="O906" s="471" t="s">
        <v>5153</v>
      </c>
    </row>
    <row r="907" spans="1:15" x14ac:dyDescent="0.25">
      <c r="A907" s="471" t="s">
        <v>5317</v>
      </c>
      <c r="B907" s="1139">
        <f t="shared" ca="1" si="176"/>
        <v>0</v>
      </c>
      <c r="C907" s="473">
        <f ca="1">IF(ISERROR(VLOOKUP($A$1247,INDIRECT("notes_"&amp;LEFT($A$1247,3)),4,0)),0,VLOOKUP($A$1247,INDIRECT("notes_"&amp;LEFT($A$1247,3)),4,0))</f>
        <v>0</v>
      </c>
      <c r="H907" s="471">
        <f t="shared" si="175"/>
        <v>2</v>
      </c>
      <c r="I907" s="471">
        <v>1</v>
      </c>
      <c r="J907" s="471" t="str">
        <f t="shared" si="177"/>
        <v>ascass</v>
      </c>
      <c r="K907" s="471" t="str">
        <f t="shared" si="178"/>
        <v>tot-exp</v>
      </c>
      <c r="L907" s="599"/>
      <c r="M907" s="471" t="s">
        <v>5151</v>
      </c>
      <c r="N907" s="471" t="s">
        <v>5152</v>
      </c>
      <c r="O907" s="471" t="s">
        <v>5153</v>
      </c>
    </row>
    <row r="908" spans="1:15" x14ac:dyDescent="0.25">
      <c r="A908" s="471" t="s">
        <v>5318</v>
      </c>
      <c r="B908" s="1139">
        <f t="shared" ca="1" si="176"/>
        <v>0</v>
      </c>
      <c r="C908" s="473"/>
      <c r="H908" s="471">
        <f t="shared" si="175"/>
        <v>2</v>
      </c>
      <c r="I908" s="471">
        <v>1</v>
      </c>
      <c r="J908" s="471" t="str">
        <f t="shared" si="177"/>
        <v>ascassadl</v>
      </c>
      <c r="K908" s="471" t="str">
        <f t="shared" si="178"/>
        <v>tot-exp</v>
      </c>
      <c r="L908" s="599"/>
      <c r="M908" s="471" t="s">
        <v>5151</v>
      </c>
      <c r="N908" s="471" t="s">
        <v>5152</v>
      </c>
      <c r="O908" s="471" t="s">
        <v>5153</v>
      </c>
    </row>
    <row r="909" spans="1:15" x14ac:dyDescent="0.25">
      <c r="A909" s="471" t="s">
        <v>5319</v>
      </c>
      <c r="B909" s="1139">
        <f t="shared" ca="1" si="176"/>
        <v>0</v>
      </c>
      <c r="C909" s="473"/>
      <c r="H909" s="471">
        <f t="shared" si="175"/>
        <v>2</v>
      </c>
      <c r="I909" s="471">
        <v>1</v>
      </c>
      <c r="J909" s="471" t="str">
        <f t="shared" si="177"/>
        <v>ascassold</v>
      </c>
      <c r="K909" s="471" t="str">
        <f t="shared" si="178"/>
        <v>tot-exp</v>
      </c>
      <c r="L909" s="599"/>
      <c r="M909" s="471" t="s">
        <v>5151</v>
      </c>
      <c r="N909" s="471" t="s">
        <v>5152</v>
      </c>
      <c r="O909" s="471" t="s">
        <v>5153</v>
      </c>
    </row>
    <row r="910" spans="1:15" x14ac:dyDescent="0.25">
      <c r="A910" s="471" t="s">
        <v>5320</v>
      </c>
      <c r="B910" s="1139">
        <f t="shared" ca="1" si="176"/>
        <v>0</v>
      </c>
      <c r="C910" s="473">
        <f ca="1">IF(ISERROR(VLOOKUP($A$1250,INDIRECT("notes_"&amp;LEFT($A$1250,3)),4,0)),0,VLOOKUP($A$1250,INDIRECT("notes_"&amp;LEFT($A$1250,3)),4,0))</f>
        <v>0</v>
      </c>
      <c r="H910" s="471">
        <f t="shared" si="175"/>
        <v>2</v>
      </c>
      <c r="I910" s="471">
        <v>1</v>
      </c>
      <c r="J910" s="471" t="str">
        <f t="shared" si="177"/>
        <v>asccrasssfg</v>
      </c>
      <c r="K910" s="471" t="str">
        <f t="shared" si="178"/>
        <v>tot-exp</v>
      </c>
      <c r="L910" s="599"/>
      <c r="M910" s="471" t="s">
        <v>5151</v>
      </c>
      <c r="N910" s="471" t="s">
        <v>5152</v>
      </c>
      <c r="O910" s="471" t="s">
        <v>5153</v>
      </c>
    </row>
    <row r="911" spans="1:15" x14ac:dyDescent="0.25">
      <c r="A911" s="471" t="s">
        <v>5321</v>
      </c>
      <c r="B911" s="1139">
        <f t="shared" ca="1" si="176"/>
        <v>0</v>
      </c>
      <c r="C911" s="473"/>
      <c r="H911" s="471">
        <f t="shared" si="175"/>
        <v>2</v>
      </c>
      <c r="I911" s="471">
        <v>1</v>
      </c>
      <c r="J911" s="471" t="str">
        <f t="shared" si="177"/>
        <v>asccrasssfgadl</v>
      </c>
      <c r="K911" s="471" t="str">
        <f t="shared" si="178"/>
        <v>tot-exp</v>
      </c>
      <c r="L911" s="599"/>
      <c r="M911" s="471" t="s">
        <v>5151</v>
      </c>
      <c r="N911" s="471" t="s">
        <v>5152</v>
      </c>
      <c r="O911" s="471" t="s">
        <v>5153</v>
      </c>
    </row>
    <row r="912" spans="1:15" x14ac:dyDescent="0.25">
      <c r="A912" s="471" t="s">
        <v>5322</v>
      </c>
      <c r="B912" s="1139">
        <f t="shared" ca="1" si="176"/>
        <v>0</v>
      </c>
      <c r="C912" s="473"/>
      <c r="H912" s="471">
        <f t="shared" si="175"/>
        <v>2</v>
      </c>
      <c r="I912" s="471">
        <v>1</v>
      </c>
      <c r="J912" s="471" t="str">
        <f t="shared" si="177"/>
        <v>asccrasssfgold</v>
      </c>
      <c r="K912" s="471" t="str">
        <f t="shared" si="178"/>
        <v>tot-exp</v>
      </c>
      <c r="L912" s="599"/>
      <c r="M912" s="471" t="s">
        <v>5151</v>
      </c>
      <c r="N912" s="471" t="s">
        <v>5152</v>
      </c>
      <c r="O912" s="471" t="s">
        <v>5153</v>
      </c>
    </row>
    <row r="913" spans="1:15" x14ac:dyDescent="0.25">
      <c r="A913" s="471" t="s">
        <v>5323</v>
      </c>
      <c r="B913" s="1139">
        <f t="shared" ca="1" si="176"/>
        <v>0</v>
      </c>
      <c r="C913" s="473">
        <f ca="1">IF(ISERROR(VLOOKUP($A$1253,INDIRECT("notes_"&amp;LEFT($A$1253,3)),4,0)),0,VLOOKUP($A$1253,INDIRECT("notes_"&amp;LEFT($A$1253,3)),4,0))</f>
        <v>0</v>
      </c>
      <c r="H913" s="471">
        <f t="shared" ref="H913:H1037" si="179">LEN(A913)-LEN(SUBSTITUTE(A913,"-",""))-I913</f>
        <v>2</v>
      </c>
      <c r="I913" s="471">
        <v>1</v>
      </c>
      <c r="J913" s="471" t="str">
        <f t="shared" si="177"/>
        <v>ascinf</v>
      </c>
      <c r="K913" s="471" t="str">
        <f t="shared" si="178"/>
        <v>tot-exp</v>
      </c>
      <c r="L913" s="599"/>
      <c r="M913" s="471" t="s">
        <v>5151</v>
      </c>
      <c r="N913" s="471" t="s">
        <v>5152</v>
      </c>
      <c r="O913" s="471" t="s">
        <v>5153</v>
      </c>
    </row>
    <row r="914" spans="1:15" x14ac:dyDescent="0.25">
      <c r="A914" s="471" t="s">
        <v>5324</v>
      </c>
      <c r="B914" s="1139">
        <f t="shared" ref="B914:B1038" ca="1" si="180">INDEX(INDIRECT(LEFT($A914,SEARCH("-",$A914,1)-1)&amp;"_data"),MATCH(MID($A914,SEARCH("-",$A914)+1,SEARCH("#",SUBSTITUTE($A914,"-","#",H914),1)-(SEARCH("-",$A914)+1)),INDIRECT(LEFT($A914,SEARCH("-",$A914,1)-1)&amp;"_rows"),0),MATCH(RIGHT($A914,LEN($A914)-LEN(LEFT($A914,SEARCH("#",SUBSTITUTE($A914,"-","#",H914),1)))),INDIRECT(LEFT($A914,SEARCH("-",$A914,1)-1)&amp;"_Header"),0))</f>
        <v>0</v>
      </c>
      <c r="C914" s="473"/>
      <c r="H914" s="471">
        <f t="shared" si="179"/>
        <v>2</v>
      </c>
      <c r="I914" s="471">
        <v>1</v>
      </c>
      <c r="J914" s="471" t="str">
        <f t="shared" si="177"/>
        <v>ascinfadl</v>
      </c>
      <c r="K914" s="471" t="str">
        <f t="shared" si="178"/>
        <v>tot-exp</v>
      </c>
      <c r="L914" s="599"/>
      <c r="M914" s="471" t="s">
        <v>5151</v>
      </c>
      <c r="N914" s="471" t="s">
        <v>5152</v>
      </c>
      <c r="O914" s="471" t="s">
        <v>5153</v>
      </c>
    </row>
    <row r="915" spans="1:15" x14ac:dyDescent="0.25">
      <c r="A915" s="471" t="s">
        <v>5325</v>
      </c>
      <c r="B915" s="1139">
        <f t="shared" ca="1" si="180"/>
        <v>0</v>
      </c>
      <c r="C915" s="473"/>
      <c r="H915" s="471">
        <f t="shared" si="179"/>
        <v>2</v>
      </c>
      <c r="I915" s="471">
        <v>1</v>
      </c>
      <c r="J915" s="471" t="str">
        <f t="shared" si="177"/>
        <v>ascinfold</v>
      </c>
      <c r="K915" s="471" t="str">
        <f t="shared" si="178"/>
        <v>tot-exp</v>
      </c>
      <c r="L915" s="599"/>
      <c r="M915" s="471" t="s">
        <v>5151</v>
      </c>
      <c r="N915" s="471" t="s">
        <v>5152</v>
      </c>
      <c r="O915" s="471" t="s">
        <v>5153</v>
      </c>
    </row>
    <row r="916" spans="1:15" x14ac:dyDescent="0.25">
      <c r="A916" s="471" t="s">
        <v>5326</v>
      </c>
      <c r="B916" s="1139">
        <f t="shared" ca="1" si="180"/>
        <v>0</v>
      </c>
      <c r="C916" s="473">
        <f ca="1">IF(ISERROR(VLOOKUP($A$1256,INDIRECT("notes_"&amp;LEFT($A$1256,3)),4,0)),0,VLOOKUP($A$1256,INDIRECT("notes_"&amp;LEFT($A$1256,3)),4,0))</f>
        <v>0</v>
      </c>
      <c r="H916" s="471">
        <f t="shared" si="179"/>
        <v>2</v>
      </c>
      <c r="I916" s="471">
        <v>1</v>
      </c>
      <c r="J916" s="471" t="str">
        <f t="shared" si="177"/>
        <v>asccmstad</v>
      </c>
      <c r="K916" s="471" t="str">
        <f t="shared" si="178"/>
        <v>tot-exp</v>
      </c>
      <c r="L916" s="599"/>
      <c r="M916" s="471" t="s">
        <v>5151</v>
      </c>
      <c r="N916" s="471" t="s">
        <v>5152</v>
      </c>
      <c r="O916" s="471" t="s">
        <v>5153</v>
      </c>
    </row>
    <row r="917" spans="1:15" x14ac:dyDescent="0.25">
      <c r="A917" s="471" t="s">
        <v>5327</v>
      </c>
      <c r="B917" s="1139">
        <f t="shared" ca="1" si="180"/>
        <v>0</v>
      </c>
      <c r="C917" s="473"/>
      <c r="H917" s="471">
        <f t="shared" si="179"/>
        <v>2</v>
      </c>
      <c r="I917" s="471">
        <v>1</v>
      </c>
      <c r="J917" s="471" t="str">
        <f t="shared" ref="J917:J1041" si="181">MID($A917,SEARCH("-",$A917)+1,SEARCH("#",SUBSTITUTE($A917,"-","#",H917),1)-(SEARCH("-",$A917)+1))</f>
        <v>asccmstadadl</v>
      </c>
      <c r="K917" s="471" t="str">
        <f t="shared" ref="K917:K1041" si="182">RIGHT($A917,LEN($A917)-SEARCH("#",SUBSTITUTE($A917,"-","#",H917),1))</f>
        <v>tot-exp</v>
      </c>
      <c r="L917" s="599"/>
      <c r="M917" s="471" t="s">
        <v>5151</v>
      </c>
      <c r="N917" s="471" t="s">
        <v>5152</v>
      </c>
      <c r="O917" s="471" t="s">
        <v>5153</v>
      </c>
    </row>
    <row r="918" spans="1:15" x14ac:dyDescent="0.25">
      <c r="A918" s="471" t="s">
        <v>5328</v>
      </c>
      <c r="B918" s="1139">
        <f t="shared" ca="1" si="180"/>
        <v>0</v>
      </c>
      <c r="C918" s="473"/>
      <c r="H918" s="471">
        <f t="shared" si="179"/>
        <v>2</v>
      </c>
      <c r="I918" s="471">
        <v>1</v>
      </c>
      <c r="J918" s="471" t="str">
        <f t="shared" si="181"/>
        <v>asccmstadold</v>
      </c>
      <c r="K918" s="471" t="str">
        <f t="shared" si="182"/>
        <v>tot-exp</v>
      </c>
      <c r="L918" s="599"/>
      <c r="M918" s="471" t="s">
        <v>5151</v>
      </c>
      <c r="N918" s="471" t="s">
        <v>5152</v>
      </c>
      <c r="O918" s="471" t="s">
        <v>5153</v>
      </c>
    </row>
    <row r="919" spans="1:15" x14ac:dyDescent="0.25">
      <c r="A919" s="471" t="s">
        <v>5329</v>
      </c>
      <c r="B919" s="1139">
        <f t="shared" ca="1" si="180"/>
        <v>0</v>
      </c>
      <c r="C919" s="473">
        <f ca="1">IF(ISERROR(VLOOKUP($A$1259,INDIRECT("notes_"&amp;LEFT($A$1259,3)),4,0)),0,VLOOKUP($A$1259,INDIRECT("notes_"&amp;LEFT($A$1259,3)),4,0))</f>
        <v>0</v>
      </c>
      <c r="H919" s="471">
        <f t="shared" si="179"/>
        <v>2</v>
      </c>
      <c r="I919" s="471">
        <v>1</v>
      </c>
      <c r="J919" s="471" t="str">
        <f t="shared" si="181"/>
        <v>asctot</v>
      </c>
      <c r="K919" s="471" t="str">
        <f t="shared" si="182"/>
        <v>tot-exp</v>
      </c>
      <c r="L919" s="599"/>
      <c r="M919" s="471" t="s">
        <v>5151</v>
      </c>
      <c r="N919" s="471" t="s">
        <v>5152</v>
      </c>
      <c r="O919" s="471" t="s">
        <v>5153</v>
      </c>
    </row>
    <row r="920" spans="1:15" x14ac:dyDescent="0.25">
      <c r="A920" s="471" t="s">
        <v>5330</v>
      </c>
      <c r="B920" s="1139">
        <f t="shared" ca="1" si="180"/>
        <v>0</v>
      </c>
      <c r="C920" s="473">
        <f ca="1">IF(ISERROR(VLOOKUP($A$1260,INDIRECT("notes_"&amp;LEFT($A$1260,3)),4,0)),0,VLOOKUP($A$1260,INDIRECT("notes_"&amp;LEFT($A$1260,3)),4,0))</f>
        <v>0</v>
      </c>
      <c r="H920" s="471">
        <f t="shared" si="179"/>
        <v>2</v>
      </c>
      <c r="I920" s="471">
        <v>1</v>
      </c>
      <c r="J920" s="471" t="str">
        <f t="shared" si="181"/>
        <v>phsxlsti</v>
      </c>
      <c r="K920" s="471" t="str">
        <f t="shared" si="182"/>
        <v>tot-exp</v>
      </c>
      <c r="L920" s="599"/>
      <c r="M920" s="471" t="s">
        <v>5151</v>
      </c>
      <c r="N920" s="471" t="s">
        <v>5152</v>
      </c>
      <c r="O920" s="471" t="s">
        <v>5153</v>
      </c>
    </row>
    <row r="921" spans="1:15" x14ac:dyDescent="0.25">
      <c r="A921" s="471" t="s">
        <v>5331</v>
      </c>
      <c r="B921" s="1139">
        <f t="shared" ca="1" si="180"/>
        <v>0</v>
      </c>
      <c r="C921" s="473">
        <f ca="1">IF(ISERROR(VLOOKUP($A$1261,INDIRECT("notes_"&amp;LEFT($A$1261,3)),4,0)),0,VLOOKUP($A$1261,INDIRECT("notes_"&amp;LEFT($A$1261,3)),4,0))</f>
        <v>0</v>
      </c>
      <c r="H921" s="471">
        <f t="shared" si="179"/>
        <v>2</v>
      </c>
      <c r="I921" s="471">
        <v>1</v>
      </c>
      <c r="J921" s="471" t="str">
        <f t="shared" si="181"/>
        <v>phsxlcnt</v>
      </c>
      <c r="K921" s="471" t="str">
        <f t="shared" si="182"/>
        <v>tot-exp</v>
      </c>
      <c r="L921" s="599"/>
      <c r="M921" s="471" t="s">
        <v>5151</v>
      </c>
      <c r="N921" s="471" t="s">
        <v>5152</v>
      </c>
      <c r="O921" s="471" t="s">
        <v>5153</v>
      </c>
    </row>
    <row r="922" spans="1:15" x14ac:dyDescent="0.25">
      <c r="A922" s="471" t="s">
        <v>5332</v>
      </c>
      <c r="B922" s="1139">
        <f t="shared" ca="1" si="180"/>
        <v>0</v>
      </c>
      <c r="C922" s="473">
        <f ca="1">IF(ISERROR(VLOOKUP($A$1262,INDIRECT("notes_"&amp;LEFT($A$1262,3)),4,0)),0,VLOOKUP($A$1262,INDIRECT("notes_"&amp;LEFT($A$1262,3)),4,0))</f>
        <v>0</v>
      </c>
      <c r="H922" s="471">
        <f t="shared" si="179"/>
        <v>2</v>
      </c>
      <c r="I922" s="471">
        <v>1</v>
      </c>
      <c r="J922" s="471" t="str">
        <f t="shared" si="181"/>
        <v>phsxlprm</v>
      </c>
      <c r="K922" s="471" t="str">
        <f t="shared" si="182"/>
        <v>tot-exp</v>
      </c>
      <c r="L922" s="599"/>
      <c r="M922" s="471" t="s">
        <v>5151</v>
      </c>
      <c r="N922" s="471" t="s">
        <v>5152</v>
      </c>
      <c r="O922" s="471" t="s">
        <v>5153</v>
      </c>
    </row>
    <row r="923" spans="1:15" x14ac:dyDescent="0.25">
      <c r="A923" s="471" t="s">
        <v>5333</v>
      </c>
      <c r="B923" s="1139">
        <f t="shared" ca="1" si="180"/>
        <v>0</v>
      </c>
      <c r="C923" s="473">
        <f ca="1">IF(ISERROR(VLOOKUP($A$1263,INDIRECT("notes_"&amp;LEFT($A$1263,3)),4,0)),0,VLOOKUP($A$1263,INDIRECT("notes_"&amp;LEFT($A$1263,3)),4,0))</f>
        <v>0</v>
      </c>
      <c r="H923" s="471">
        <f t="shared" si="179"/>
        <v>2</v>
      </c>
      <c r="I923" s="471">
        <v>1</v>
      </c>
      <c r="J923" s="471" t="str">
        <f t="shared" si="181"/>
        <v>phhcp</v>
      </c>
      <c r="K923" s="471" t="str">
        <f t="shared" si="182"/>
        <v>tot-exp</v>
      </c>
      <c r="L923" s="599"/>
      <c r="M923" s="471" t="s">
        <v>5151</v>
      </c>
      <c r="N923" s="471" t="s">
        <v>5152</v>
      </c>
      <c r="O923" s="471" t="s">
        <v>5153</v>
      </c>
    </row>
    <row r="924" spans="1:15" x14ac:dyDescent="0.25">
      <c r="A924" s="471" t="s">
        <v>5334</v>
      </c>
      <c r="B924" s="1139">
        <f t="shared" ca="1" si="180"/>
        <v>0</v>
      </c>
      <c r="C924" s="473">
        <f ca="1">IF(ISERROR(VLOOKUP($A$1264,INDIRECT("notes_"&amp;LEFT($A$1264,3)),4,0)),0,VLOOKUP($A$1264,INDIRECT("notes_"&amp;LEFT($A$1264,3)),4,0))</f>
        <v>0</v>
      </c>
      <c r="H924" s="471">
        <f t="shared" si="179"/>
        <v>2</v>
      </c>
      <c r="I924" s="471">
        <v>1</v>
      </c>
      <c r="J924" s="471" t="str">
        <f t="shared" si="181"/>
        <v>phprt</v>
      </c>
      <c r="K924" s="471" t="str">
        <f t="shared" si="182"/>
        <v>tot-exp</v>
      </c>
      <c r="L924" s="599"/>
      <c r="M924" s="471" t="s">
        <v>5151</v>
      </c>
      <c r="N924" s="471" t="s">
        <v>5152</v>
      </c>
      <c r="O924" s="471" t="s">
        <v>5153</v>
      </c>
    </row>
    <row r="925" spans="1:15" x14ac:dyDescent="0.25">
      <c r="A925" s="471" t="s">
        <v>5335</v>
      </c>
      <c r="B925" s="1139">
        <f t="shared" ca="1" si="180"/>
        <v>0</v>
      </c>
      <c r="C925" s="473">
        <f ca="1">IF(ISERROR(VLOOKUP($A$1265,INDIRECT("notes_"&amp;LEFT($A$1265,3)),4,0)),0,VLOOKUP($A$1265,INDIRECT("notes_"&amp;LEFT($A$1265,3)),4,0))</f>
        <v>0</v>
      </c>
      <c r="H925" s="471">
        <f t="shared" si="179"/>
        <v>2</v>
      </c>
      <c r="I925" s="471">
        <v>1</v>
      </c>
      <c r="J925" s="471" t="str">
        <f t="shared" si="181"/>
        <v>phcmp</v>
      </c>
      <c r="K925" s="471" t="str">
        <f t="shared" si="182"/>
        <v>tot-exp</v>
      </c>
      <c r="L925" s="599"/>
      <c r="M925" s="471" t="s">
        <v>5151</v>
      </c>
      <c r="N925" s="471" t="s">
        <v>5152</v>
      </c>
      <c r="O925" s="471" t="s">
        <v>5153</v>
      </c>
    </row>
    <row r="926" spans="1:15" x14ac:dyDescent="0.25">
      <c r="A926" s="471" t="s">
        <v>5336</v>
      </c>
      <c r="B926" s="1139">
        <f t="shared" ca="1" si="180"/>
        <v>0</v>
      </c>
      <c r="C926" s="473">
        <f ca="1">IF(ISERROR(VLOOKUP($A$1266,INDIRECT("notes_"&amp;LEFT($A$1266,3)),4,0)),0,VLOOKUP($A$1266,INDIRECT("notes_"&amp;LEFT($A$1266,3)),4,0))</f>
        <v>0</v>
      </c>
      <c r="H926" s="471">
        <f t="shared" si="179"/>
        <v>2</v>
      </c>
      <c r="I926" s="471">
        <v>1</v>
      </c>
      <c r="J926" s="471" t="str">
        <f t="shared" si="181"/>
        <v>phadv</v>
      </c>
      <c r="K926" s="471" t="str">
        <f t="shared" si="182"/>
        <v>tot-exp</v>
      </c>
      <c r="L926" s="599"/>
      <c r="M926" s="471" t="s">
        <v>5151</v>
      </c>
      <c r="N926" s="471" t="s">
        <v>5152</v>
      </c>
      <c r="O926" s="471" t="s">
        <v>5153</v>
      </c>
    </row>
    <row r="927" spans="1:15" x14ac:dyDescent="0.25">
      <c r="A927" s="471" t="s">
        <v>5337</v>
      </c>
      <c r="B927" s="1139">
        <f t="shared" ca="1" si="180"/>
        <v>0</v>
      </c>
      <c r="C927" s="473">
        <f ca="1">IF(ISERROR(VLOOKUP($A$1267,INDIRECT("notes_"&amp;LEFT($A$1267,3)),4,0)),0,VLOOKUP($A$1267,INDIRECT("notes_"&amp;LEFT($A$1267,3)),4,0))</f>
        <v>0</v>
      </c>
      <c r="H927" s="471">
        <f t="shared" si="179"/>
        <v>2</v>
      </c>
      <c r="I927" s="471">
        <v>1</v>
      </c>
      <c r="J927" s="471" t="str">
        <f t="shared" si="181"/>
        <v>phobsadl</v>
      </c>
      <c r="K927" s="471" t="str">
        <f t="shared" si="182"/>
        <v>tot-exp</v>
      </c>
      <c r="L927" s="599"/>
      <c r="M927" s="471" t="s">
        <v>5151</v>
      </c>
      <c r="N927" s="471" t="s">
        <v>5152</v>
      </c>
      <c r="O927" s="471" t="s">
        <v>5153</v>
      </c>
    </row>
    <row r="928" spans="1:15" x14ac:dyDescent="0.25">
      <c r="A928" s="471" t="s">
        <v>5338</v>
      </c>
      <c r="B928" s="1139">
        <f t="shared" ca="1" si="180"/>
        <v>0</v>
      </c>
      <c r="C928" s="473">
        <f ca="1">IF(ISERROR(VLOOKUP($A$1268,INDIRECT("notes_"&amp;LEFT($A$1268,3)),4,0)),0,VLOOKUP($A$1268,INDIRECT("notes_"&amp;LEFT($A$1268,3)),4,0))</f>
        <v>0</v>
      </c>
      <c r="H928" s="471">
        <f t="shared" si="179"/>
        <v>2</v>
      </c>
      <c r="I928" s="471">
        <v>1</v>
      </c>
      <c r="J928" s="471" t="str">
        <f t="shared" si="181"/>
        <v>phobschl</v>
      </c>
      <c r="K928" s="471" t="str">
        <f t="shared" si="182"/>
        <v>tot-exp</v>
      </c>
      <c r="L928" s="599"/>
      <c r="M928" s="471" t="s">
        <v>5151</v>
      </c>
      <c r="N928" s="471" t="s">
        <v>5152</v>
      </c>
      <c r="O928" s="471" t="s">
        <v>5153</v>
      </c>
    </row>
    <row r="929" spans="1:15" x14ac:dyDescent="0.25">
      <c r="A929" s="471" t="s">
        <v>5339</v>
      </c>
      <c r="B929" s="1139">
        <f t="shared" ca="1" si="180"/>
        <v>0</v>
      </c>
      <c r="C929" s="473">
        <f ca="1">IF(ISERROR(VLOOKUP($A$1269,INDIRECT("notes_"&amp;LEFT($A$1269,3)),4,0)),0,VLOOKUP($A$1269,INDIRECT("notes_"&amp;LEFT($A$1269,3)),4,0))</f>
        <v>0</v>
      </c>
      <c r="H929" s="471">
        <f t="shared" si="179"/>
        <v>2</v>
      </c>
      <c r="I929" s="471">
        <v>1</v>
      </c>
      <c r="J929" s="471" t="str">
        <f t="shared" si="181"/>
        <v>phphyadl</v>
      </c>
      <c r="K929" s="471" t="str">
        <f t="shared" si="182"/>
        <v>tot-exp</v>
      </c>
      <c r="L929" s="599"/>
      <c r="M929" s="471" t="s">
        <v>5151</v>
      </c>
      <c r="N929" s="471" t="s">
        <v>5152</v>
      </c>
      <c r="O929" s="471" t="s">
        <v>5153</v>
      </c>
    </row>
    <row r="930" spans="1:15" x14ac:dyDescent="0.25">
      <c r="A930" s="471" t="s">
        <v>5340</v>
      </c>
      <c r="B930" s="1139">
        <f t="shared" ca="1" si="180"/>
        <v>0</v>
      </c>
      <c r="C930" s="473">
        <f ca="1">IF(ISERROR(VLOOKUP($A$1270,INDIRECT("notes_"&amp;LEFT($A$1270,3)),4,0)),0,VLOOKUP($A$1270,INDIRECT("notes_"&amp;LEFT($A$1270,3)),4,0))</f>
        <v>0</v>
      </c>
      <c r="H930" s="471">
        <f t="shared" si="179"/>
        <v>2</v>
      </c>
      <c r="I930" s="471">
        <v>1</v>
      </c>
      <c r="J930" s="471" t="str">
        <f t="shared" si="181"/>
        <v>phphychl</v>
      </c>
      <c r="K930" s="471" t="str">
        <f t="shared" si="182"/>
        <v>tot-exp</v>
      </c>
      <c r="L930" s="599"/>
      <c r="M930" s="471" t="s">
        <v>5151</v>
      </c>
      <c r="N930" s="471" t="s">
        <v>5152</v>
      </c>
      <c r="O930" s="471" t="s">
        <v>5153</v>
      </c>
    </row>
    <row r="931" spans="1:15" x14ac:dyDescent="0.25">
      <c r="A931" s="471" t="s">
        <v>5341</v>
      </c>
      <c r="B931" s="1139">
        <f t="shared" ca="1" si="180"/>
        <v>0</v>
      </c>
      <c r="C931" s="473">
        <f ca="1">IF(ISERROR(VLOOKUP($A$1271,INDIRECT("notes_"&amp;LEFT($A$1271,3)),4,0)),0,VLOOKUP($A$1271,INDIRECT("notes_"&amp;LEFT($A$1271,3)),4,0))</f>
        <v>0</v>
      </c>
      <c r="H931" s="471">
        <f t="shared" si="179"/>
        <v>2</v>
      </c>
      <c r="I931" s="471">
        <v>1</v>
      </c>
      <c r="J931" s="471" t="str">
        <f t="shared" si="181"/>
        <v>phsbstrtdrg</v>
      </c>
      <c r="K931" s="471" t="str">
        <f t="shared" si="182"/>
        <v>tot-exp</v>
      </c>
      <c r="L931" s="599"/>
      <c r="M931" s="471" t="s">
        <v>5151</v>
      </c>
      <c r="N931" s="471" t="s">
        <v>5152</v>
      </c>
      <c r="O931" s="471" t="s">
        <v>5153</v>
      </c>
    </row>
    <row r="932" spans="1:15" x14ac:dyDescent="0.25">
      <c r="A932" s="471" t="s">
        <v>5342</v>
      </c>
      <c r="B932" s="1139">
        <f t="shared" ca="1" si="180"/>
        <v>0</v>
      </c>
      <c r="C932" s="473">
        <f ca="1">IF(ISERROR(VLOOKUP($A$1272,INDIRECT("notes_"&amp;LEFT($A$1272,3)),4,0)),0,VLOOKUP($A$1272,INDIRECT("notes_"&amp;LEFT($A$1272,3)),4,0))</f>
        <v>0</v>
      </c>
      <c r="H932" s="471">
        <f t="shared" si="179"/>
        <v>2</v>
      </c>
      <c r="I932" s="471">
        <v>1</v>
      </c>
      <c r="J932" s="471" t="str">
        <f t="shared" si="181"/>
        <v>phsbsprvdrg</v>
      </c>
      <c r="K932" s="471" t="str">
        <f t="shared" si="182"/>
        <v>tot-exp</v>
      </c>
      <c r="L932" s="599"/>
      <c r="M932" s="471" t="s">
        <v>5151</v>
      </c>
      <c r="N932" s="471" t="s">
        <v>5152</v>
      </c>
      <c r="O932" s="471" t="s">
        <v>5153</v>
      </c>
    </row>
    <row r="933" spans="1:15" x14ac:dyDescent="0.25">
      <c r="A933" s="471" t="s">
        <v>5343</v>
      </c>
      <c r="B933" s="1139">
        <f t="shared" ca="1" si="180"/>
        <v>0</v>
      </c>
      <c r="C933" s="473">
        <f ca="1">IF(ISERROR(VLOOKUP($A$1273,INDIRECT("notes_"&amp;LEFT($A$1273,3)),4,0)),0,VLOOKUP($A$1273,INDIRECT("notes_"&amp;LEFT($A$1273,3)),4,0))</f>
        <v>0</v>
      </c>
      <c r="H933" s="471">
        <f t="shared" si="179"/>
        <v>2</v>
      </c>
      <c r="I933" s="471">
        <v>1</v>
      </c>
      <c r="J933" s="471" t="str">
        <f t="shared" si="181"/>
        <v>phsbsspc</v>
      </c>
      <c r="K933" s="471" t="str">
        <f t="shared" si="182"/>
        <v>tot-exp</v>
      </c>
      <c r="L933" s="599"/>
      <c r="M933" s="471" t="s">
        <v>5151</v>
      </c>
      <c r="N933" s="471" t="s">
        <v>5152</v>
      </c>
      <c r="O933" s="471" t="s">
        <v>5153</v>
      </c>
    </row>
    <row r="934" spans="1:15" x14ac:dyDescent="0.25">
      <c r="A934" s="471" t="s">
        <v>5344</v>
      </c>
      <c r="B934" s="1139">
        <f t="shared" ca="1" si="180"/>
        <v>0</v>
      </c>
      <c r="C934" s="473">
        <f ca="1">IF(ISERROR(VLOOKUP($A$1274,INDIRECT("notes_"&amp;LEFT($A$1274,3)),4,0)),0,VLOOKUP($A$1274,INDIRECT("notes_"&amp;LEFT($A$1274,3)),4,0))</f>
        <v>0</v>
      </c>
      <c r="H934" s="471">
        <f t="shared" si="179"/>
        <v>2</v>
      </c>
      <c r="I934" s="471">
        <v>1</v>
      </c>
      <c r="J934" s="471" t="str">
        <f t="shared" si="181"/>
        <v>phsmkstp</v>
      </c>
      <c r="K934" s="471" t="str">
        <f t="shared" si="182"/>
        <v>tot-exp</v>
      </c>
      <c r="L934" s="599"/>
      <c r="M934" s="471" t="s">
        <v>5151</v>
      </c>
      <c r="N934" s="471" t="s">
        <v>5152</v>
      </c>
      <c r="O934" s="471" t="s">
        <v>5153</v>
      </c>
    </row>
    <row r="935" spans="1:15" x14ac:dyDescent="0.25">
      <c r="A935" s="471" t="s">
        <v>5345</v>
      </c>
      <c r="B935" s="1139">
        <f t="shared" ca="1" si="180"/>
        <v>0</v>
      </c>
      <c r="C935" s="473">
        <f ca="1">IF(ISERROR(VLOOKUP($A$1275,INDIRECT("notes_"&amp;LEFT($A$1275,3)),4,0)),0,VLOOKUP($A$1275,INDIRECT("notes_"&amp;LEFT($A$1275,3)),4,0))</f>
        <v>0</v>
      </c>
      <c r="H935" s="471">
        <f t="shared" si="179"/>
        <v>2</v>
      </c>
      <c r="I935" s="471">
        <v>1</v>
      </c>
      <c r="J935" s="471" t="str">
        <f t="shared" si="181"/>
        <v>phsmkcnt</v>
      </c>
      <c r="K935" s="471" t="str">
        <f t="shared" si="182"/>
        <v>tot-exp</v>
      </c>
      <c r="L935" s="599"/>
      <c r="M935" s="471" t="s">
        <v>5151</v>
      </c>
      <c r="N935" s="471" t="s">
        <v>5152</v>
      </c>
      <c r="O935" s="471" t="s">
        <v>5153</v>
      </c>
    </row>
    <row r="936" spans="1:15" x14ac:dyDescent="0.25">
      <c r="A936" s="471" t="s">
        <v>5346</v>
      </c>
      <c r="B936" s="1139">
        <f t="shared" ca="1" si="180"/>
        <v>0</v>
      </c>
      <c r="C936" s="473">
        <f ca="1">IF(ISERROR(VLOOKUP($A$1276,INDIRECT("notes_"&amp;LEFT($A$1276,3)),4,0)),0,VLOOKUP($A$1276,INDIRECT("notes_"&amp;LEFT($A$1276,3)),4,0))</f>
        <v>0</v>
      </c>
      <c r="H936" s="471">
        <f t="shared" si="179"/>
        <v>2</v>
      </c>
      <c r="I936" s="471">
        <v>1</v>
      </c>
      <c r="J936" s="471" t="str">
        <f t="shared" si="181"/>
        <v>phchl</v>
      </c>
      <c r="K936" s="471" t="str">
        <f t="shared" si="182"/>
        <v>tot-exp</v>
      </c>
      <c r="L936" s="599"/>
      <c r="M936" s="471" t="s">
        <v>5151</v>
      </c>
      <c r="N936" s="471" t="s">
        <v>5152</v>
      </c>
      <c r="O936" s="471" t="s">
        <v>5153</v>
      </c>
    </row>
    <row r="937" spans="1:15" x14ac:dyDescent="0.25">
      <c r="A937" s="471" t="s">
        <v>5347</v>
      </c>
      <c r="B937" s="1139">
        <f t="shared" ca="1" si="180"/>
        <v>0</v>
      </c>
      <c r="C937" s="473">
        <f ca="1">IF(ISERROR(VLOOKUP($A$1277,INDIRECT("notes_"&amp;LEFT($A$1277,3)),4,0)),0,VLOOKUP($A$1277,INDIRECT("notes_"&amp;LEFT($A$1277,3)),4,0))</f>
        <v>0</v>
      </c>
      <c r="H937" s="471">
        <f t="shared" si="179"/>
        <v>2</v>
      </c>
      <c r="I937" s="471">
        <v>1</v>
      </c>
      <c r="J937" s="471" t="str">
        <f t="shared" si="181"/>
        <v>phbbymnd</v>
      </c>
      <c r="K937" s="471" t="str">
        <f t="shared" si="182"/>
        <v>tot-exp</v>
      </c>
      <c r="L937" s="599"/>
      <c r="M937" s="471" t="s">
        <v>5151</v>
      </c>
      <c r="N937" s="471" t="s">
        <v>5152</v>
      </c>
      <c r="O937" s="471" t="s">
        <v>5153</v>
      </c>
    </row>
    <row r="938" spans="1:15" x14ac:dyDescent="0.25">
      <c r="A938" s="471" t="s">
        <v>5348</v>
      </c>
      <c r="B938" s="1139">
        <f t="shared" ca="1" si="180"/>
        <v>0</v>
      </c>
      <c r="C938" s="473">
        <f ca="1">IF(ISERROR(VLOOKUP($A$1278,INDIRECT("notes_"&amp;LEFT($A$1278,3)),4,0)),0,VLOOKUP($A$1278,INDIRECT("notes_"&amp;LEFT($A$1278,3)),4,0))</f>
        <v>0</v>
      </c>
      <c r="H938" s="471">
        <f t="shared" si="179"/>
        <v>2</v>
      </c>
      <c r="I938" s="471">
        <v>1</v>
      </c>
      <c r="J938" s="471" t="str">
        <f t="shared" si="181"/>
        <v>phbbyoth</v>
      </c>
      <c r="K938" s="471" t="str">
        <f t="shared" si="182"/>
        <v>tot-exp</v>
      </c>
      <c r="L938" s="599"/>
      <c r="M938" s="471" t="s">
        <v>5151</v>
      </c>
      <c r="N938" s="471" t="s">
        <v>5152</v>
      </c>
      <c r="O938" s="471" t="s">
        <v>5153</v>
      </c>
    </row>
    <row r="939" spans="1:15" x14ac:dyDescent="0.25">
      <c r="A939" s="471" t="s">
        <v>5349</v>
      </c>
      <c r="B939" s="1139">
        <f t="shared" ca="1" si="180"/>
        <v>0</v>
      </c>
      <c r="C939" s="473">
        <f ca="1">IF(ISERROR(VLOOKUP($A$1279,INDIRECT("notes_"&amp;LEFT($A$1279,3)),4,0)),0,VLOOKUP($A$1279,INDIRECT("notes_"&amp;LEFT($A$1279,3)),4,0))</f>
        <v>0</v>
      </c>
      <c r="H939" s="471">
        <f t="shared" si="179"/>
        <v>2</v>
      </c>
      <c r="I939" s="471">
        <v>1</v>
      </c>
      <c r="J939" s="471" t="str">
        <f t="shared" si="181"/>
        <v>phwrk</v>
      </c>
      <c r="K939" s="471" t="str">
        <f t="shared" si="182"/>
        <v>tot-exp</v>
      </c>
      <c r="L939" s="599"/>
      <c r="M939" s="471" t="s">
        <v>5151</v>
      </c>
      <c r="N939" s="471" t="s">
        <v>5152</v>
      </c>
      <c r="O939" s="471" t="s">
        <v>5153</v>
      </c>
    </row>
    <row r="940" spans="1:15" x14ac:dyDescent="0.25">
      <c r="A940" s="471" t="s">
        <v>5350</v>
      </c>
      <c r="B940" s="1139">
        <f t="shared" ca="1" si="180"/>
        <v>0</v>
      </c>
      <c r="C940" s="473">
        <f ca="1">IF(ISERROR(VLOOKUP($A$1280,INDIRECT("notes_"&amp;LEFT($A$1280,3)),4,0)),0,VLOOKUP($A$1280,INDIRECT("notes_"&amp;LEFT($A$1280,3)),4,0))</f>
        <v>0</v>
      </c>
      <c r="H940" s="471">
        <f t="shared" si="179"/>
        <v>2</v>
      </c>
      <c r="I940" s="471">
        <v>1</v>
      </c>
      <c r="J940" s="471" t="str">
        <f t="shared" si="181"/>
        <v>phmnt</v>
      </c>
      <c r="K940" s="471" t="str">
        <f t="shared" si="182"/>
        <v>tot-exp</v>
      </c>
      <c r="L940" s="599"/>
      <c r="M940" s="471" t="s">
        <v>5151</v>
      </c>
      <c r="N940" s="471" t="s">
        <v>5152</v>
      </c>
      <c r="O940" s="471" t="s">
        <v>5153</v>
      </c>
    </row>
    <row r="941" spans="1:15" x14ac:dyDescent="0.25">
      <c r="A941" s="471" t="s">
        <v>5351</v>
      </c>
      <c r="B941" s="1139">
        <f t="shared" ca="1" si="180"/>
        <v>0</v>
      </c>
      <c r="C941" s="473">
        <f ca="1">IF(ISERROR(VLOOKUP($A$1281,INDIRECT("notes_"&amp;LEFT($A$1281,3)),4,0)),0,VLOOKUP($A$1281,INDIRECT("notes_"&amp;LEFT($A$1281,3)),4,0))</f>
        <v>0</v>
      </c>
      <c r="H941" s="471">
        <f t="shared" si="179"/>
        <v>2</v>
      </c>
      <c r="I941" s="471">
        <v>1</v>
      </c>
      <c r="J941" s="471" t="str">
        <f t="shared" si="181"/>
        <v>phmsc</v>
      </c>
      <c r="K941" s="471" t="str">
        <f t="shared" si="182"/>
        <v>tot-exp</v>
      </c>
      <c r="L941" s="599"/>
      <c r="M941" s="471" t="s">
        <v>5151</v>
      </c>
      <c r="N941" s="471" t="s">
        <v>5152</v>
      </c>
      <c r="O941" s="471" t="s">
        <v>5153</v>
      </c>
    </row>
    <row r="942" spans="1:15" x14ac:dyDescent="0.25">
      <c r="A942" s="471" t="s">
        <v>5352</v>
      </c>
      <c r="B942" s="1139">
        <f t="shared" ca="1" si="180"/>
        <v>0</v>
      </c>
      <c r="C942" s="473">
        <f ca="1">IF(ISERROR(VLOOKUP($A$1282,INDIRECT("notes_"&amp;LEFT($A$1282,3)),4,0)),0,VLOOKUP($A$1282,INDIRECT("notes_"&amp;LEFT($A$1282,3)),4,0))</f>
        <v>0</v>
      </c>
      <c r="H942" s="471">
        <f t="shared" si="179"/>
        <v>2</v>
      </c>
      <c r="I942" s="471">
        <v>1</v>
      </c>
      <c r="J942" s="471" t="str">
        <f t="shared" si="181"/>
        <v>phtot</v>
      </c>
      <c r="K942" s="471" t="str">
        <f t="shared" si="182"/>
        <v>tot-exp</v>
      </c>
      <c r="L942" s="599"/>
      <c r="M942" s="471" t="s">
        <v>5151</v>
      </c>
      <c r="N942" s="471" t="s">
        <v>5152</v>
      </c>
      <c r="O942" s="471" t="s">
        <v>5153</v>
      </c>
    </row>
    <row r="943" spans="1:15" x14ac:dyDescent="0.25">
      <c r="A943" s="471" t="s">
        <v>5353</v>
      </c>
      <c r="B943" s="1139">
        <f t="shared" ca="1" si="180"/>
        <v>0</v>
      </c>
      <c r="C943" s="473">
        <f ca="1">IF(ISERROR(VLOOKUP($A$1287,INDIRECT("notes_"&amp;LEFT($A$1287,3)),4,0)),0,VLOOKUP($A$1287,INDIRECT("notes_"&amp;LEFT($A$1287,3)),4,0))</f>
        <v>0</v>
      </c>
      <c r="H943" s="471">
        <f t="shared" si="179"/>
        <v>5</v>
      </c>
      <c r="I943" s="471">
        <v>1</v>
      </c>
      <c r="J943" s="471" t="str">
        <f t="shared" si="181"/>
        <v>phsup-anc-exp-csc</v>
      </c>
      <c r="K943" s="471" t="str">
        <f t="shared" si="182"/>
        <v>tot-exp</v>
      </c>
      <c r="L943" s="599"/>
      <c r="M943" s="471" t="s">
        <v>5151</v>
      </c>
      <c r="N943" s="471" t="s">
        <v>5152</v>
      </c>
      <c r="O943" s="471" t="s">
        <v>5153</v>
      </c>
    </row>
    <row r="944" spans="1:15" x14ac:dyDescent="0.25">
      <c r="A944" s="471" t="s">
        <v>5354</v>
      </c>
      <c r="B944" s="1139">
        <f t="shared" ca="1" si="180"/>
        <v>0</v>
      </c>
      <c r="C944" s="473">
        <f ca="1">IF(ISERROR(VLOOKUP($A$1288,INDIRECT("notes_"&amp;LEFT($A$1288,3)),4,0)),0,VLOOKUP($A$1288,INDIRECT("notes_"&amp;LEFT($A$1288,3)),4,0))</f>
        <v>0</v>
      </c>
      <c r="H944" s="471">
        <f t="shared" si="179"/>
        <v>5</v>
      </c>
      <c r="I944" s="471">
        <v>1</v>
      </c>
      <c r="J944" s="471" t="str">
        <f t="shared" si="181"/>
        <v>phsup-anc-exp-asc</v>
      </c>
      <c r="K944" s="471" t="str">
        <f t="shared" si="182"/>
        <v>tot-exp</v>
      </c>
      <c r="L944" s="599"/>
      <c r="M944" s="471" t="s">
        <v>5151</v>
      </c>
      <c r="N944" s="471" t="s">
        <v>5152</v>
      </c>
      <c r="O944" s="471" t="s">
        <v>5153</v>
      </c>
    </row>
    <row r="945" spans="1:15" x14ac:dyDescent="0.25">
      <c r="A945" s="1205" t="s">
        <v>5355</v>
      </c>
      <c r="B945" s="1202">
        <f t="shared" ca="1" si="180"/>
        <v>0</v>
      </c>
      <c r="C945" s="1203">
        <f ca="1">IF(ISERROR(VLOOKUP($A$1218,INDIRECT("notes_"&amp;LEFT($A$1218,3)),4,0)),0,VLOOKUP($A$1218,INDIRECT("notes_"&amp;LEFT($A$1218,3)),4,0))</f>
        <v>0</v>
      </c>
      <c r="H945" s="1201">
        <f t="shared" si="179"/>
        <v>2</v>
      </c>
      <c r="I945" s="1201">
        <v>0</v>
      </c>
      <c r="J945" s="1201" t="str">
        <f t="shared" si="181"/>
        <v>cscsr</v>
      </c>
      <c r="K945" s="1201" t="str">
        <f t="shared" si="182"/>
        <v>mss</v>
      </c>
      <c r="L945" s="599"/>
      <c r="M945" s="471" t="s">
        <v>5151</v>
      </c>
      <c r="N945" s="471" t="s">
        <v>5152</v>
      </c>
      <c r="O945" s="471" t="s">
        <v>5153</v>
      </c>
    </row>
    <row r="946" spans="1:15" x14ac:dyDescent="0.25">
      <c r="A946" s="1205" t="s">
        <v>5356</v>
      </c>
      <c r="B946" s="1202">
        <f t="shared" ca="1" si="180"/>
        <v>0</v>
      </c>
      <c r="C946" s="1203">
        <f ca="1">IF(ISERROR(VLOOKUP($A$1219,INDIRECT("notes_"&amp;LEFT($A$1219,3)),4,0)),0,VLOOKUP($A$1219,INDIRECT("notes_"&amp;LEFT($A$1219,3)),4,0))</f>
        <v>0</v>
      </c>
      <c r="H946" s="1201">
        <f t="shared" si="179"/>
        <v>2</v>
      </c>
      <c r="I946" s="1201">
        <v>0</v>
      </c>
      <c r="J946" s="1201" t="str">
        <f t="shared" si="181"/>
        <v>csclkd</v>
      </c>
      <c r="K946" s="1201" t="str">
        <f t="shared" si="182"/>
        <v>mss</v>
      </c>
      <c r="L946" s="599"/>
      <c r="M946" s="471" t="s">
        <v>5151</v>
      </c>
      <c r="N946" s="471" t="s">
        <v>5152</v>
      </c>
      <c r="O946" s="471" t="s">
        <v>5153</v>
      </c>
    </row>
    <row r="947" spans="1:15" x14ac:dyDescent="0.25">
      <c r="A947" s="1205" t="s">
        <v>5357</v>
      </c>
      <c r="B947" s="1202">
        <f t="shared" ca="1" si="180"/>
        <v>0</v>
      </c>
      <c r="C947" s="1203">
        <f ca="1">IF(ISERROR(VLOOKUP($A$1220,INDIRECT("notes_"&amp;LEFT($A$1220,3)),4,0)),0,VLOOKUP($A$1220,INDIRECT("notes_"&amp;LEFT($A$1220,3)),4,0))</f>
        <v>0</v>
      </c>
      <c r="H947" s="1201">
        <f t="shared" si="179"/>
        <v>2</v>
      </c>
      <c r="I947" s="1201">
        <v>0</v>
      </c>
      <c r="J947" s="1201" t="str">
        <f t="shared" si="181"/>
        <v>csclkdres</v>
      </c>
      <c r="K947" s="1201" t="str">
        <f t="shared" si="182"/>
        <v>mss</v>
      </c>
      <c r="L947" s="599"/>
      <c r="M947" s="471" t="s">
        <v>5151</v>
      </c>
      <c r="N947" s="471" t="s">
        <v>5152</v>
      </c>
      <c r="O947" s="471" t="s">
        <v>5153</v>
      </c>
    </row>
    <row r="948" spans="1:15" x14ac:dyDescent="0.25">
      <c r="A948" s="1205" t="s">
        <v>5358</v>
      </c>
      <c r="B948" s="1202">
        <f t="shared" ca="1" si="180"/>
        <v>0</v>
      </c>
      <c r="C948" s="1203">
        <f ca="1">IF(ISERROR(VLOOKUP($A$1221,INDIRECT("notes_"&amp;LEFT($A$1221,3)),4,0)),0,VLOOKUP($A$1221,INDIRECT("notes_"&amp;LEFT($A$1221,3)),4,0))</f>
        <v>0</v>
      </c>
      <c r="H948" s="1201">
        <f t="shared" si="179"/>
        <v>2</v>
      </c>
      <c r="I948" s="1201">
        <v>0</v>
      </c>
      <c r="J948" s="1201" t="str">
        <f t="shared" si="181"/>
        <v>csclkdfos</v>
      </c>
      <c r="K948" s="1201" t="str">
        <f t="shared" si="182"/>
        <v>mss</v>
      </c>
      <c r="L948" s="599"/>
      <c r="M948" s="471" t="s">
        <v>5151</v>
      </c>
      <c r="N948" s="471" t="s">
        <v>5152</v>
      </c>
      <c r="O948" s="471" t="s">
        <v>5153</v>
      </c>
    </row>
    <row r="949" spans="1:15" x14ac:dyDescent="0.25">
      <c r="A949" s="1205" t="s">
        <v>5359</v>
      </c>
      <c r="B949" s="1202">
        <f t="shared" ca="1" si="180"/>
        <v>0</v>
      </c>
      <c r="C949" s="1203">
        <f ca="1">IF(ISERROR(VLOOKUP($A$1222,INDIRECT("notes_"&amp;LEFT($A$1222,3)),4,0)),0,VLOOKUP($A$1222,INDIRECT("notes_"&amp;LEFT($A$1222,3)),4,0))</f>
        <v>0</v>
      </c>
      <c r="H949" s="1201">
        <f t="shared" si="179"/>
        <v>2</v>
      </c>
      <c r="I949" s="1201">
        <v>0</v>
      </c>
      <c r="J949" s="1201" t="str">
        <f t="shared" si="181"/>
        <v>csclkdasy</v>
      </c>
      <c r="K949" s="1201" t="str">
        <f t="shared" si="182"/>
        <v>mss</v>
      </c>
      <c r="L949" s="599"/>
      <c r="M949" s="471" t="s">
        <v>5151</v>
      </c>
      <c r="N949" s="471" t="s">
        <v>5152</v>
      </c>
      <c r="O949" s="471" t="s">
        <v>5153</v>
      </c>
    </row>
    <row r="950" spans="1:15" x14ac:dyDescent="0.25">
      <c r="A950" s="1205" t="s">
        <v>5360</v>
      </c>
      <c r="B950" s="1202">
        <f t="shared" ca="1" si="180"/>
        <v>0</v>
      </c>
      <c r="C950" s="1203">
        <f ca="1">IF(ISERROR(VLOOKUP($A$1223,INDIRECT("notes_"&amp;LEFT($A$1223,3)),4,0)),0,VLOOKUP($A$1223,INDIRECT("notes_"&amp;LEFT($A$1223,3)),4,0))</f>
        <v>0</v>
      </c>
      <c r="H950" s="1201">
        <f t="shared" si="179"/>
        <v>2</v>
      </c>
      <c r="I950" s="1201">
        <v>0</v>
      </c>
      <c r="J950" s="1201" t="str">
        <f t="shared" si="181"/>
        <v>csclkdoth</v>
      </c>
      <c r="K950" s="1201" t="str">
        <f t="shared" si="182"/>
        <v>mss</v>
      </c>
      <c r="L950" s="599"/>
      <c r="M950" s="471" t="s">
        <v>5151</v>
      </c>
      <c r="N950" s="471" t="s">
        <v>5152</v>
      </c>
      <c r="O950" s="471" t="s">
        <v>5153</v>
      </c>
    </row>
    <row r="951" spans="1:15" x14ac:dyDescent="0.25">
      <c r="A951" s="1205" t="s">
        <v>5361</v>
      </c>
      <c r="B951" s="1202">
        <f t="shared" ca="1" si="180"/>
        <v>0</v>
      </c>
      <c r="C951" s="1203">
        <f ca="1">IF(ISERROR(VLOOKUP($A$1224,INDIRECT("notes_"&amp;LEFT($A$1224,3)),4,0)),0,VLOOKUP($A$1224,INDIRECT("notes_"&amp;LEFT($A$1224,3)),4,0))</f>
        <v>0</v>
      </c>
      <c r="H951" s="1201">
        <f t="shared" si="179"/>
        <v>2</v>
      </c>
      <c r="I951" s="1201">
        <v>0</v>
      </c>
      <c r="J951" s="1201" t="str">
        <f t="shared" si="181"/>
        <v>cscoth</v>
      </c>
      <c r="K951" s="1201" t="str">
        <f t="shared" si="182"/>
        <v>mss</v>
      </c>
      <c r="L951" s="599"/>
      <c r="M951" s="471" t="s">
        <v>5151</v>
      </c>
      <c r="N951" s="471" t="s">
        <v>5152</v>
      </c>
      <c r="O951" s="471" t="s">
        <v>5153</v>
      </c>
    </row>
    <row r="952" spans="1:15" x14ac:dyDescent="0.25">
      <c r="A952" s="1205" t="s">
        <v>5362</v>
      </c>
      <c r="B952" s="1202">
        <f t="shared" ca="1" si="180"/>
        <v>0</v>
      </c>
      <c r="C952" s="1203">
        <f ca="1">IF(ISERROR(VLOOKUP($A$1225,INDIRECT("notes_"&amp;LEFT($A$1225,3)),4,0)),0,VLOOKUP($A$1225,INDIRECT("notes_"&amp;LEFT($A$1225,3)),4,0))</f>
        <v>0</v>
      </c>
      <c r="H952" s="1201">
        <f t="shared" si="179"/>
        <v>2</v>
      </c>
      <c r="I952" s="1201">
        <v>0</v>
      </c>
      <c r="J952" s="1201" t="str">
        <f t="shared" si="181"/>
        <v>cscfml</v>
      </c>
      <c r="K952" s="1201" t="str">
        <f t="shared" si="182"/>
        <v>mss</v>
      </c>
      <c r="L952" s="599"/>
      <c r="M952" s="471" t="s">
        <v>5151</v>
      </c>
      <c r="N952" s="471" t="s">
        <v>5152</v>
      </c>
      <c r="O952" s="471" t="s">
        <v>5153</v>
      </c>
    </row>
    <row r="953" spans="1:15" x14ac:dyDescent="0.25">
      <c r="A953" s="1205" t="s">
        <v>5363</v>
      </c>
      <c r="B953" s="1202">
        <f t="shared" ca="1" si="180"/>
        <v>0</v>
      </c>
      <c r="C953" s="1203">
        <f ca="1">IF(ISERROR(VLOOKUP($A$1226,INDIRECT("notes_"&amp;LEFT($A$1226,3)),4,0)),0,VLOOKUP($A$1226,INDIRECT("notes_"&amp;LEFT($A$1226,3)),4,0))</f>
        <v>0</v>
      </c>
      <c r="H953" s="1201">
        <f t="shared" si="179"/>
        <v>2</v>
      </c>
      <c r="I953" s="1201">
        <v>0</v>
      </c>
      <c r="J953" s="1201" t="str">
        <f t="shared" si="181"/>
        <v>cscyth</v>
      </c>
      <c r="K953" s="1201" t="str">
        <f t="shared" si="182"/>
        <v>mss</v>
      </c>
      <c r="L953" s="599"/>
      <c r="M953" s="471" t="s">
        <v>5151</v>
      </c>
      <c r="N953" s="471" t="s">
        <v>5152</v>
      </c>
      <c r="O953" s="471" t="s">
        <v>5153</v>
      </c>
    </row>
    <row r="954" spans="1:15" x14ac:dyDescent="0.25">
      <c r="A954" s="1205" t="s">
        <v>5364</v>
      </c>
      <c r="B954" s="1202">
        <f t="shared" ca="1" si="180"/>
        <v>0</v>
      </c>
      <c r="C954" s="1203">
        <f ca="1">IF(ISERROR(VLOOKUP($A$1227,INDIRECT("notes_"&amp;LEFT($A$1227,3)),4,0)),0,VLOOKUP($A$1227,INDIRECT("notes_"&amp;LEFT($A$1227,3)),4,0))</f>
        <v>0</v>
      </c>
      <c r="H954" s="1201">
        <f t="shared" si="179"/>
        <v>2</v>
      </c>
      <c r="I954" s="1201">
        <v>0</v>
      </c>
      <c r="J954" s="1201" t="str">
        <f t="shared" si="181"/>
        <v>cscsfg</v>
      </c>
      <c r="K954" s="1201" t="str">
        <f t="shared" si="182"/>
        <v>mss</v>
      </c>
      <c r="L954" s="599"/>
      <c r="M954" s="471" t="s">
        <v>5151</v>
      </c>
      <c r="N954" s="471" t="s">
        <v>5152</v>
      </c>
      <c r="O954" s="471" t="s">
        <v>5153</v>
      </c>
    </row>
    <row r="955" spans="1:15" x14ac:dyDescent="0.25">
      <c r="A955" s="1205" t="s">
        <v>5365</v>
      </c>
      <c r="B955" s="1202">
        <f t="shared" ca="1" si="180"/>
        <v>0</v>
      </c>
      <c r="C955" s="1203">
        <f ca="1">IF(ISERROR(VLOOKUP($A$1228,INDIRECT("notes_"&amp;LEFT($A$1228,3)),4,0)),0,VLOOKUP($A$1228,INDIRECT("notes_"&amp;LEFT($A$1228,3)),4,0))</f>
        <v>0</v>
      </c>
      <c r="H955" s="1201">
        <f t="shared" si="179"/>
        <v>2</v>
      </c>
      <c r="I955" s="1201">
        <v>0</v>
      </c>
      <c r="J955" s="1201" t="str">
        <f t="shared" si="181"/>
        <v>cscasy</v>
      </c>
      <c r="K955" s="1201" t="str">
        <f t="shared" si="182"/>
        <v>mss</v>
      </c>
      <c r="L955" s="599"/>
      <c r="M955" s="471" t="s">
        <v>5151</v>
      </c>
      <c r="N955" s="471" t="s">
        <v>5152</v>
      </c>
      <c r="O955" s="471" t="s">
        <v>5153</v>
      </c>
    </row>
    <row r="956" spans="1:15" x14ac:dyDescent="0.25">
      <c r="A956" s="1205" t="s">
        <v>5366</v>
      </c>
      <c r="B956" s="1202">
        <f t="shared" ca="1" si="180"/>
        <v>0</v>
      </c>
      <c r="C956" s="1203">
        <f ca="1">IF(ISERROR(VLOOKUP($A$1229,INDIRECT("notes_"&amp;LEFT($A$1229,3)),4,0)),0,VLOOKUP($A$1229,INDIRECT("notes_"&amp;LEFT($A$1229,3)),4,0))</f>
        <v>0</v>
      </c>
      <c r="H956" s="1201">
        <f t="shared" si="179"/>
        <v>2</v>
      </c>
      <c r="I956" s="1201">
        <v>0</v>
      </c>
      <c r="J956" s="1201" t="str">
        <f t="shared" si="181"/>
        <v>cscsrv</v>
      </c>
      <c r="K956" s="1201" t="str">
        <f t="shared" si="182"/>
        <v>mss</v>
      </c>
      <c r="L956" s="599"/>
      <c r="M956" s="471" t="s">
        <v>5151</v>
      </c>
      <c r="N956" s="471" t="s">
        <v>5152</v>
      </c>
      <c r="O956" s="471" t="s">
        <v>5153</v>
      </c>
    </row>
    <row r="957" spans="1:15" x14ac:dyDescent="0.25">
      <c r="A957" s="1205" t="s">
        <v>5367</v>
      </c>
      <c r="B957" s="1202">
        <f t="shared" ca="1" si="180"/>
        <v>0</v>
      </c>
      <c r="C957" s="1203">
        <f ca="1">IF(ISERROR(VLOOKUP($A$1230,INDIRECT("notes_"&amp;LEFT($A$1230,3)),4,0)),0,VLOOKUP($A$1230,INDIRECT("notes_"&amp;LEFT($A$1230,3)),4,0))</f>
        <v>0</v>
      </c>
      <c r="H957" s="1201">
        <f t="shared" si="179"/>
        <v>2</v>
      </c>
      <c r="I957" s="1201">
        <v>0</v>
      </c>
      <c r="J957" s="1201" t="str">
        <f t="shared" si="181"/>
        <v>csctot</v>
      </c>
      <c r="K957" s="1201" t="str">
        <f t="shared" si="182"/>
        <v>mss</v>
      </c>
      <c r="L957" s="599"/>
      <c r="M957" s="471" t="s">
        <v>5151</v>
      </c>
      <c r="N957" s="471" t="s">
        <v>5152</v>
      </c>
      <c r="O957" s="471" t="s">
        <v>5153</v>
      </c>
    </row>
    <row r="958" spans="1:15" x14ac:dyDescent="0.25">
      <c r="A958" s="1205" t="s">
        <v>5368</v>
      </c>
      <c r="B958" s="1202">
        <f t="shared" ca="1" si="180"/>
        <v>0</v>
      </c>
      <c r="C958" s="1203">
        <f ca="1">IF(ISERROR(VLOOKUP($A$1231,INDIRECT("notes_"&amp;LEFT($A$1231,3)),4,0)),0,VLOOKUP($A$1231,INDIRECT("notes_"&amp;LEFT($A$1231,3)),4,0))</f>
        <v>0</v>
      </c>
      <c r="H958" s="1201">
        <f t="shared" si="179"/>
        <v>2</v>
      </c>
      <c r="I958" s="1201">
        <v>0</v>
      </c>
      <c r="J958" s="1201" t="str">
        <f t="shared" si="181"/>
        <v>ascphyadl</v>
      </c>
      <c r="K958" s="1201" t="str">
        <f t="shared" si="182"/>
        <v>mss</v>
      </c>
      <c r="L958" s="599"/>
      <c r="M958" s="471" t="s">
        <v>5151</v>
      </c>
      <c r="N958" s="471" t="s">
        <v>5152</v>
      </c>
      <c r="O958" s="471" t="s">
        <v>5153</v>
      </c>
    </row>
    <row r="959" spans="1:15" x14ac:dyDescent="0.25">
      <c r="A959" s="1205" t="s">
        <v>5369</v>
      </c>
      <c r="B959" s="1202">
        <f t="shared" ca="1" si="180"/>
        <v>0</v>
      </c>
      <c r="C959" s="1203">
        <f ca="1">IF(ISERROR(VLOOKUP($A$1232,INDIRECT("notes_"&amp;LEFT($A$1232,3)),4,0)),0,VLOOKUP($A$1232,INDIRECT("notes_"&amp;LEFT($A$1232,3)),4,0))</f>
        <v>0</v>
      </c>
      <c r="H959" s="1201">
        <f t="shared" si="179"/>
        <v>2</v>
      </c>
      <c r="I959" s="1201">
        <v>0</v>
      </c>
      <c r="J959" s="1201" t="str">
        <f t="shared" si="181"/>
        <v>ascphyold</v>
      </c>
      <c r="K959" s="1201" t="str">
        <f t="shared" si="182"/>
        <v>mss</v>
      </c>
      <c r="L959" s="599"/>
      <c r="M959" s="471" t="s">
        <v>5151</v>
      </c>
      <c r="N959" s="471" t="s">
        <v>5152</v>
      </c>
      <c r="O959" s="471" t="s">
        <v>5153</v>
      </c>
    </row>
    <row r="960" spans="1:15" x14ac:dyDescent="0.25">
      <c r="A960" s="1205" t="s">
        <v>5370</v>
      </c>
      <c r="B960" s="1202">
        <f t="shared" ca="1" si="180"/>
        <v>0</v>
      </c>
      <c r="C960" s="1203">
        <f ca="1">IF(ISERROR(VLOOKUP($A$1233,INDIRECT("notes_"&amp;LEFT($A$1233,3)),4,0)),0,VLOOKUP($A$1233,INDIRECT("notes_"&amp;LEFT($A$1233,3)),4,0))</f>
        <v>0</v>
      </c>
      <c r="H960" s="1201">
        <f t="shared" si="179"/>
        <v>2</v>
      </c>
      <c r="I960" s="1201">
        <v>0</v>
      </c>
      <c r="J960" s="1201" t="str">
        <f t="shared" si="181"/>
        <v>ascsnsadl</v>
      </c>
      <c r="K960" s="1201" t="str">
        <f t="shared" si="182"/>
        <v>mss</v>
      </c>
      <c r="L960" s="599"/>
      <c r="M960" s="471" t="s">
        <v>5151</v>
      </c>
      <c r="N960" s="471" t="s">
        <v>5152</v>
      </c>
      <c r="O960" s="471" t="s">
        <v>5153</v>
      </c>
    </row>
    <row r="961" spans="1:15" x14ac:dyDescent="0.25">
      <c r="A961" s="1205" t="s">
        <v>5371</v>
      </c>
      <c r="B961" s="1202">
        <f t="shared" ca="1" si="180"/>
        <v>0</v>
      </c>
      <c r="C961" s="1203">
        <f ca="1">IF(ISERROR(VLOOKUP($A$1234,INDIRECT("notes_"&amp;LEFT($A$1234,3)),4,0)),0,VLOOKUP($A$1234,INDIRECT("notes_"&amp;LEFT($A$1234,3)),4,0))</f>
        <v>0</v>
      </c>
      <c r="H961" s="1201">
        <f t="shared" si="179"/>
        <v>2</v>
      </c>
      <c r="I961" s="1201">
        <v>0</v>
      </c>
      <c r="J961" s="1201" t="str">
        <f t="shared" si="181"/>
        <v>ascsnsold</v>
      </c>
      <c r="K961" s="1201" t="str">
        <f t="shared" si="182"/>
        <v>mss</v>
      </c>
      <c r="L961" s="599"/>
      <c r="M961" s="471" t="s">
        <v>5151</v>
      </c>
      <c r="N961" s="471" t="s">
        <v>5152</v>
      </c>
      <c r="O961" s="471" t="s">
        <v>5153</v>
      </c>
    </row>
    <row r="962" spans="1:15" x14ac:dyDescent="0.25">
      <c r="A962" s="1205" t="s">
        <v>5372</v>
      </c>
      <c r="B962" s="1202">
        <f t="shared" ca="1" si="180"/>
        <v>0</v>
      </c>
      <c r="C962" s="1203">
        <f ca="1">IF(ISERROR(VLOOKUP($A$1235,INDIRECT("notes_"&amp;LEFT($A$1235,3)),4,0)),0,VLOOKUP($A$1235,INDIRECT("notes_"&amp;LEFT($A$1235,3)),4,0))</f>
        <v>0</v>
      </c>
      <c r="H962" s="1201">
        <f t="shared" si="179"/>
        <v>2</v>
      </c>
      <c r="I962" s="1201">
        <v>0</v>
      </c>
      <c r="J962" s="1201" t="str">
        <f t="shared" si="181"/>
        <v>ascmmradl</v>
      </c>
      <c r="K962" s="1201" t="str">
        <f t="shared" si="182"/>
        <v>mss</v>
      </c>
      <c r="L962" s="599"/>
      <c r="M962" s="471" t="s">
        <v>5151</v>
      </c>
      <c r="N962" s="471" t="s">
        <v>5152</v>
      </c>
      <c r="O962" s="471" t="s">
        <v>5153</v>
      </c>
    </row>
    <row r="963" spans="1:15" x14ac:dyDescent="0.25">
      <c r="A963" s="1205" t="s">
        <v>5373</v>
      </c>
      <c r="B963" s="1202">
        <f t="shared" ca="1" si="180"/>
        <v>0</v>
      </c>
      <c r="C963" s="1203">
        <f ca="1">IF(ISERROR(VLOOKUP($A$1236,INDIRECT("notes_"&amp;LEFT($A$1236,3)),4,0)),0,VLOOKUP($A$1236,INDIRECT("notes_"&amp;LEFT($A$1236,3)),4,0))</f>
        <v>0</v>
      </c>
      <c r="H963" s="1201">
        <f t="shared" si="179"/>
        <v>2</v>
      </c>
      <c r="I963" s="1201">
        <v>0</v>
      </c>
      <c r="J963" s="1201" t="str">
        <f t="shared" si="181"/>
        <v>ascmmrold</v>
      </c>
      <c r="K963" s="1201" t="str">
        <f t="shared" si="182"/>
        <v>mss</v>
      </c>
      <c r="L963" s="599"/>
      <c r="M963" s="471" t="s">
        <v>5151</v>
      </c>
      <c r="N963" s="471" t="s">
        <v>5152</v>
      </c>
      <c r="O963" s="471" t="s">
        <v>5153</v>
      </c>
    </row>
    <row r="964" spans="1:15" x14ac:dyDescent="0.25">
      <c r="A964" s="1205" t="s">
        <v>5374</v>
      </c>
      <c r="B964" s="1202">
        <f t="shared" ca="1" si="180"/>
        <v>0</v>
      </c>
      <c r="C964" s="1203">
        <f ca="1">IF(ISERROR(VLOOKUP($A$1237,INDIRECT("notes_"&amp;LEFT($A$1237,3)),4,0)),0,VLOOKUP($A$1237,INDIRECT("notes_"&amp;LEFT($A$1237,3)),4,0))</f>
        <v>0</v>
      </c>
      <c r="H964" s="1201">
        <f t="shared" si="179"/>
        <v>2</v>
      </c>
      <c r="I964" s="1201">
        <v>0</v>
      </c>
      <c r="J964" s="1201" t="str">
        <f t="shared" si="181"/>
        <v>asclrnadl</v>
      </c>
      <c r="K964" s="1201" t="str">
        <f t="shared" si="182"/>
        <v>mss</v>
      </c>
      <c r="L964" s="599"/>
      <c r="M964" s="471" t="s">
        <v>5151</v>
      </c>
      <c r="N964" s="471" t="s">
        <v>5152</v>
      </c>
      <c r="O964" s="471" t="s">
        <v>5153</v>
      </c>
    </row>
    <row r="965" spans="1:15" x14ac:dyDescent="0.25">
      <c r="A965" s="1205" t="s">
        <v>5375</v>
      </c>
      <c r="B965" s="1202">
        <f t="shared" ca="1" si="180"/>
        <v>0</v>
      </c>
      <c r="C965" s="1203">
        <f ca="1">IF(ISERROR(VLOOKUP($A$1238,INDIRECT("notes_"&amp;LEFT($A$1238,3)),4,0)),0,VLOOKUP($A$1238,INDIRECT("notes_"&amp;LEFT($A$1238,3)),4,0))</f>
        <v>0</v>
      </c>
      <c r="H965" s="1201">
        <f t="shared" si="179"/>
        <v>2</v>
      </c>
      <c r="I965" s="1201">
        <v>0</v>
      </c>
      <c r="J965" s="1201" t="str">
        <f t="shared" si="181"/>
        <v>asclrnold</v>
      </c>
      <c r="K965" s="1201" t="str">
        <f t="shared" si="182"/>
        <v>mss</v>
      </c>
      <c r="L965" s="599"/>
      <c r="M965" s="471" t="s">
        <v>5151</v>
      </c>
      <c r="N965" s="471" t="s">
        <v>5152</v>
      </c>
      <c r="O965" s="471" t="s">
        <v>5153</v>
      </c>
    </row>
    <row r="966" spans="1:15" x14ac:dyDescent="0.25">
      <c r="A966" s="1205" t="s">
        <v>5376</v>
      </c>
      <c r="B966" s="1202">
        <f t="shared" ca="1" si="180"/>
        <v>0</v>
      </c>
      <c r="C966" s="1203">
        <f ca="1">IF(ISERROR(VLOOKUP($A$1239,INDIRECT("notes_"&amp;LEFT($A$1239,3)),4,0)),0,VLOOKUP($A$1239,INDIRECT("notes_"&amp;LEFT($A$1239,3)),4,0))</f>
        <v>0</v>
      </c>
      <c r="H966" s="1201">
        <f t="shared" si="179"/>
        <v>2</v>
      </c>
      <c r="I966" s="1201">
        <v>0</v>
      </c>
      <c r="J966" s="1201" t="str">
        <f t="shared" si="181"/>
        <v>ascmntadl</v>
      </c>
      <c r="K966" s="1201" t="str">
        <f t="shared" si="182"/>
        <v>mss</v>
      </c>
      <c r="L966" s="599"/>
      <c r="M966" s="471" t="s">
        <v>5151</v>
      </c>
      <c r="N966" s="471" t="s">
        <v>5152</v>
      </c>
      <c r="O966" s="471" t="s">
        <v>5153</v>
      </c>
    </row>
    <row r="967" spans="1:15" x14ac:dyDescent="0.25">
      <c r="A967" s="1205" t="s">
        <v>5377</v>
      </c>
      <c r="B967" s="1202">
        <f t="shared" ca="1" si="180"/>
        <v>0</v>
      </c>
      <c r="C967" s="1203">
        <f ca="1">IF(ISERROR(VLOOKUP($A$1240,INDIRECT("notes_"&amp;LEFT($A$1240,3)),4,0)),0,VLOOKUP($A$1240,INDIRECT("notes_"&amp;LEFT($A$1240,3)),4,0))</f>
        <v>0</v>
      </c>
      <c r="H967" s="1201">
        <f t="shared" si="179"/>
        <v>2</v>
      </c>
      <c r="I967" s="1201">
        <v>0</v>
      </c>
      <c r="J967" s="1201" t="str">
        <f t="shared" si="181"/>
        <v>ascmntold</v>
      </c>
      <c r="K967" s="1201" t="str">
        <f t="shared" si="182"/>
        <v>mss</v>
      </c>
      <c r="L967" s="599"/>
      <c r="M967" s="471" t="s">
        <v>5151</v>
      </c>
      <c r="N967" s="471" t="s">
        <v>5152</v>
      </c>
      <c r="O967" s="471" t="s">
        <v>5153</v>
      </c>
    </row>
    <row r="968" spans="1:15" x14ac:dyDescent="0.25">
      <c r="A968" s="1205" t="s">
        <v>5378</v>
      </c>
      <c r="B968" s="1202">
        <f t="shared" ca="1" si="180"/>
        <v>0</v>
      </c>
      <c r="C968" s="1203">
        <f ca="1">IF(ISERROR(VLOOKUP($A$1241,INDIRECT("notes_"&amp;LEFT($A$1241,3)),4,0)),0,VLOOKUP($A$1241,INDIRECT("notes_"&amp;LEFT($A$1241,3)),4,0))</f>
        <v>0</v>
      </c>
      <c r="H968" s="1201">
        <f t="shared" si="179"/>
        <v>2</v>
      </c>
      <c r="I968" s="1201">
        <v>0</v>
      </c>
      <c r="J968" s="1201" t="str">
        <f t="shared" si="181"/>
        <v>ascsclsbs</v>
      </c>
      <c r="K968" s="1201" t="str">
        <f t="shared" si="182"/>
        <v>mss</v>
      </c>
      <c r="L968" s="599"/>
      <c r="M968" s="471" t="s">
        <v>5151</v>
      </c>
      <c r="N968" s="471" t="s">
        <v>5152</v>
      </c>
      <c r="O968" s="471" t="s">
        <v>5153</v>
      </c>
    </row>
    <row r="969" spans="1:15" x14ac:dyDescent="0.25">
      <c r="A969" s="1205" t="s">
        <v>5379</v>
      </c>
      <c r="B969" s="1202">
        <f t="shared" ca="1" si="180"/>
        <v>0</v>
      </c>
      <c r="C969" s="1203">
        <f ca="1">IF(ISERROR(VLOOKUP($A$1242,INDIRECT("notes_"&amp;LEFT($A$1242,3)),4,0)),0,VLOOKUP($A$1242,INDIRECT("notes_"&amp;LEFT($A$1242,3)),4,0))</f>
        <v>0</v>
      </c>
      <c r="H969" s="1201">
        <f t="shared" si="179"/>
        <v>2</v>
      </c>
      <c r="I969" s="1201">
        <v>0</v>
      </c>
      <c r="J969" s="1201" t="str">
        <f t="shared" si="181"/>
        <v>ascsclasy</v>
      </c>
      <c r="K969" s="1201" t="str">
        <f t="shared" si="182"/>
        <v>mss</v>
      </c>
      <c r="L969" s="599"/>
      <c r="M969" s="471" t="s">
        <v>5151</v>
      </c>
      <c r="N969" s="471" t="s">
        <v>5152</v>
      </c>
      <c r="O969" s="471" t="s">
        <v>5153</v>
      </c>
    </row>
    <row r="970" spans="1:15" x14ac:dyDescent="0.25">
      <c r="A970" s="1205" t="s">
        <v>5380</v>
      </c>
      <c r="B970" s="1202">
        <f t="shared" ca="1" si="180"/>
        <v>0</v>
      </c>
      <c r="C970" s="1203">
        <f ca="1">IF(ISERROR(VLOOKUP($A$1243,INDIRECT("notes_"&amp;LEFT($A$1243,3)),4,0)),0,VLOOKUP($A$1243,INDIRECT("notes_"&amp;LEFT($A$1243,3)),4,0))</f>
        <v>0</v>
      </c>
      <c r="H970" s="1201">
        <f t="shared" si="179"/>
        <v>2</v>
      </c>
      <c r="I970" s="1201">
        <v>0</v>
      </c>
      <c r="J970" s="1201" t="str">
        <f t="shared" si="181"/>
        <v>ascsclisl</v>
      </c>
      <c r="K970" s="1201" t="str">
        <f t="shared" si="182"/>
        <v>mss</v>
      </c>
      <c r="L970" s="599"/>
      <c r="M970" s="471" t="s">
        <v>5151</v>
      </c>
      <c r="N970" s="471" t="s">
        <v>5152</v>
      </c>
      <c r="O970" s="471" t="s">
        <v>5153</v>
      </c>
    </row>
    <row r="971" spans="1:15" x14ac:dyDescent="0.25">
      <c r="A971" s="1205" t="s">
        <v>5381</v>
      </c>
      <c r="B971" s="1202">
        <f t="shared" ca="1" si="180"/>
        <v>0</v>
      </c>
      <c r="C971" s="1203">
        <f ca="1">IF(ISERROR(VLOOKUP($A$1244,INDIRECT("notes_"&amp;LEFT($A$1244,3)),4,0)),0,VLOOKUP($A$1244,INDIRECT("notes_"&amp;LEFT($A$1244,3)),4,0))</f>
        <v>0</v>
      </c>
      <c r="H971" s="1201">
        <f t="shared" si="179"/>
        <v>2</v>
      </c>
      <c r="I971" s="1201">
        <v>0</v>
      </c>
      <c r="J971" s="1201" t="str">
        <f t="shared" si="181"/>
        <v>ascsclcrr</v>
      </c>
      <c r="K971" s="1201" t="str">
        <f t="shared" si="182"/>
        <v>mss</v>
      </c>
      <c r="L971" s="599"/>
      <c r="M971" s="471" t="s">
        <v>5151</v>
      </c>
      <c r="N971" s="471" t="s">
        <v>5152</v>
      </c>
      <c r="O971" s="471" t="s">
        <v>5153</v>
      </c>
    </row>
    <row r="972" spans="1:15" x14ac:dyDescent="0.25">
      <c r="A972" s="1205" t="s">
        <v>5382</v>
      </c>
      <c r="B972" s="1202" t="str">
        <f t="shared" ca="1" si="180"/>
        <v/>
      </c>
      <c r="C972" s="1203"/>
      <c r="H972" s="1201">
        <f t="shared" si="179"/>
        <v>2</v>
      </c>
      <c r="I972" s="1201">
        <v>0</v>
      </c>
      <c r="J972" s="1201" t="str">
        <f t="shared" ref="J972:J973" si="183">MID($A972,SEARCH("-",$A972)+1,SEARCH("#",SUBSTITUTE($A972,"-","#",H972),1)-(SEARCH("-",$A972)+1))</f>
        <v>ascsclcrradl</v>
      </c>
      <c r="K972" s="1201" t="str">
        <f t="shared" ref="K972:K973" si="184">RIGHT($A972,LEN($A972)-SEARCH("#",SUBSTITUTE($A972,"-","#",H972),1))</f>
        <v>mss</v>
      </c>
      <c r="L972" s="599"/>
      <c r="M972" s="471" t="s">
        <v>5151</v>
      </c>
      <c r="N972" s="471" t="s">
        <v>5152</v>
      </c>
      <c r="O972" s="471" t="s">
        <v>5153</v>
      </c>
    </row>
    <row r="973" spans="1:15" x14ac:dyDescent="0.25">
      <c r="A973" s="1205" t="s">
        <v>5383</v>
      </c>
      <c r="B973" s="1202" t="str">
        <f t="shared" ca="1" si="180"/>
        <v/>
      </c>
      <c r="C973" s="1203"/>
      <c r="H973" s="1201">
        <f t="shared" si="179"/>
        <v>2</v>
      </c>
      <c r="I973" s="1201">
        <v>0</v>
      </c>
      <c r="J973" s="1201" t="str">
        <f t="shared" si="183"/>
        <v>ascsclcrrold</v>
      </c>
      <c r="K973" s="1201" t="str">
        <f t="shared" si="184"/>
        <v>mss</v>
      </c>
      <c r="L973" s="599"/>
      <c r="M973" s="471" t="s">
        <v>5151</v>
      </c>
      <c r="N973" s="471" t="s">
        <v>5152</v>
      </c>
      <c r="O973" s="471" t="s">
        <v>5153</v>
      </c>
    </row>
    <row r="974" spans="1:15" x14ac:dyDescent="0.25">
      <c r="A974" s="1205" t="s">
        <v>5384</v>
      </c>
      <c r="B974" s="1202">
        <f t="shared" ca="1" si="180"/>
        <v>0</v>
      </c>
      <c r="C974" s="1203">
        <f ca="1">IF(ISERROR(VLOOKUP($A$1247,INDIRECT("notes_"&amp;LEFT($A$1247,3)),4,0)),0,VLOOKUP($A$1247,INDIRECT("notes_"&amp;LEFT($A$1247,3)),4,0))</f>
        <v>0</v>
      </c>
      <c r="H974" s="1201">
        <f t="shared" si="179"/>
        <v>2</v>
      </c>
      <c r="I974" s="1201">
        <v>0</v>
      </c>
      <c r="J974" s="1201" t="str">
        <f t="shared" si="181"/>
        <v>ascass</v>
      </c>
      <c r="K974" s="1201" t="str">
        <f t="shared" si="182"/>
        <v>mss</v>
      </c>
      <c r="L974" s="599"/>
      <c r="M974" s="471" t="s">
        <v>5151</v>
      </c>
      <c r="N974" s="471" t="s">
        <v>5152</v>
      </c>
      <c r="O974" s="471" t="s">
        <v>5153</v>
      </c>
    </row>
    <row r="975" spans="1:15" x14ac:dyDescent="0.25">
      <c r="A975" s="1205" t="s">
        <v>5385</v>
      </c>
      <c r="B975" s="1202" t="str">
        <f t="shared" ca="1" si="180"/>
        <v/>
      </c>
      <c r="C975" s="1203"/>
      <c r="H975" s="1201">
        <f t="shared" si="179"/>
        <v>2</v>
      </c>
      <c r="I975" s="1201">
        <v>0</v>
      </c>
      <c r="J975" s="1201" t="str">
        <f t="shared" ref="J975:J976" si="185">MID($A975,SEARCH("-",$A975)+1,SEARCH("#",SUBSTITUTE($A975,"-","#",H975),1)-(SEARCH("-",$A975)+1))</f>
        <v>ascassadl</v>
      </c>
      <c r="K975" s="1201" t="str">
        <f t="shared" ref="K975:K976" si="186">RIGHT($A975,LEN($A975)-SEARCH("#",SUBSTITUTE($A975,"-","#",H975),1))</f>
        <v>mss</v>
      </c>
      <c r="L975" s="599"/>
      <c r="M975" s="471" t="s">
        <v>5151</v>
      </c>
      <c r="N975" s="471" t="s">
        <v>5152</v>
      </c>
      <c r="O975" s="471" t="s">
        <v>5153</v>
      </c>
    </row>
    <row r="976" spans="1:15" x14ac:dyDescent="0.25">
      <c r="A976" s="1205" t="s">
        <v>5386</v>
      </c>
      <c r="B976" s="1202" t="str">
        <f t="shared" ca="1" si="180"/>
        <v/>
      </c>
      <c r="C976" s="1203"/>
      <c r="H976" s="1201">
        <f t="shared" si="179"/>
        <v>2</v>
      </c>
      <c r="I976" s="1201">
        <v>0</v>
      </c>
      <c r="J976" s="1201" t="str">
        <f t="shared" si="185"/>
        <v>ascassold</v>
      </c>
      <c r="K976" s="1201" t="str">
        <f t="shared" si="186"/>
        <v>mss</v>
      </c>
      <c r="L976" s="599"/>
      <c r="M976" s="471" t="s">
        <v>5151</v>
      </c>
      <c r="N976" s="471" t="s">
        <v>5152</v>
      </c>
      <c r="O976" s="471" t="s">
        <v>5153</v>
      </c>
    </row>
    <row r="977" spans="1:15" x14ac:dyDescent="0.25">
      <c r="A977" s="1205" t="s">
        <v>5387</v>
      </c>
      <c r="B977" s="1202">
        <f t="shared" ca="1" si="180"/>
        <v>0</v>
      </c>
      <c r="C977" s="1203">
        <f ca="1">IF(ISERROR(VLOOKUP($A$1250,INDIRECT("notes_"&amp;LEFT($A$1250,3)),4,0)),0,VLOOKUP($A$1250,INDIRECT("notes_"&amp;LEFT($A$1250,3)),4,0))</f>
        <v>0</v>
      </c>
      <c r="H977" s="1201">
        <f t="shared" si="179"/>
        <v>2</v>
      </c>
      <c r="I977" s="1201">
        <v>0</v>
      </c>
      <c r="J977" s="1201" t="str">
        <f t="shared" si="181"/>
        <v>asccrasssfg</v>
      </c>
      <c r="K977" s="1201" t="str">
        <f t="shared" si="182"/>
        <v>mss</v>
      </c>
      <c r="L977" s="599"/>
      <c r="M977" s="471" t="s">
        <v>5151</v>
      </c>
      <c r="N977" s="471" t="s">
        <v>5152</v>
      </c>
      <c r="O977" s="471" t="s">
        <v>5153</v>
      </c>
    </row>
    <row r="978" spans="1:15" x14ac:dyDescent="0.25">
      <c r="A978" s="1205" t="s">
        <v>5388</v>
      </c>
      <c r="B978" s="1202" t="str">
        <f t="shared" ca="1" si="180"/>
        <v/>
      </c>
      <c r="C978" s="1203"/>
      <c r="H978" s="1201">
        <f t="shared" si="179"/>
        <v>2</v>
      </c>
      <c r="I978" s="1201">
        <v>0</v>
      </c>
      <c r="J978" s="1201" t="str">
        <f t="shared" ref="J978:J979" si="187">MID($A978,SEARCH("-",$A978)+1,SEARCH("#",SUBSTITUTE($A978,"-","#",H978),1)-(SEARCH("-",$A978)+1))</f>
        <v>asccrasssfgadl</v>
      </c>
      <c r="K978" s="1201" t="str">
        <f t="shared" ref="K978:K979" si="188">RIGHT($A978,LEN($A978)-SEARCH("#",SUBSTITUTE($A978,"-","#",H978),1))</f>
        <v>mss</v>
      </c>
      <c r="L978" s="599"/>
      <c r="M978" s="471" t="s">
        <v>5151</v>
      </c>
      <c r="N978" s="471" t="s">
        <v>5152</v>
      </c>
      <c r="O978" s="471" t="s">
        <v>5153</v>
      </c>
    </row>
    <row r="979" spans="1:15" x14ac:dyDescent="0.25">
      <c r="A979" s="1205" t="s">
        <v>5389</v>
      </c>
      <c r="B979" s="1202" t="str">
        <f t="shared" ca="1" si="180"/>
        <v/>
      </c>
      <c r="C979" s="1203"/>
      <c r="H979" s="1201">
        <f t="shared" si="179"/>
        <v>2</v>
      </c>
      <c r="I979" s="1201">
        <v>0</v>
      </c>
      <c r="J979" s="1201" t="str">
        <f t="shared" si="187"/>
        <v>asccrasssfgold</v>
      </c>
      <c r="K979" s="1201" t="str">
        <f t="shared" si="188"/>
        <v>mss</v>
      </c>
      <c r="L979" s="599"/>
      <c r="M979" s="471" t="s">
        <v>5151</v>
      </c>
      <c r="N979" s="471" t="s">
        <v>5152</v>
      </c>
      <c r="O979" s="471" t="s">
        <v>5153</v>
      </c>
    </row>
    <row r="980" spans="1:15" x14ac:dyDescent="0.25">
      <c r="A980" s="1205" t="s">
        <v>5390</v>
      </c>
      <c r="B980" s="1202">
        <f t="shared" ca="1" si="180"/>
        <v>0</v>
      </c>
      <c r="C980" s="1203">
        <f ca="1">IF(ISERROR(VLOOKUP($A$1253,INDIRECT("notes_"&amp;LEFT($A$1253,3)),4,0)),0,VLOOKUP($A$1253,INDIRECT("notes_"&amp;LEFT($A$1253,3)),4,0))</f>
        <v>0</v>
      </c>
      <c r="H980" s="1201">
        <f t="shared" si="179"/>
        <v>2</v>
      </c>
      <c r="I980" s="1201">
        <v>0</v>
      </c>
      <c r="J980" s="1201" t="str">
        <f t="shared" si="181"/>
        <v>ascinf</v>
      </c>
      <c r="K980" s="1201" t="str">
        <f t="shared" si="182"/>
        <v>mss</v>
      </c>
      <c r="L980" s="599"/>
      <c r="M980" s="471" t="s">
        <v>5151</v>
      </c>
      <c r="N980" s="471" t="s">
        <v>5152</v>
      </c>
      <c r="O980" s="471" t="s">
        <v>5153</v>
      </c>
    </row>
    <row r="981" spans="1:15" x14ac:dyDescent="0.25">
      <c r="A981" s="1205" t="s">
        <v>5391</v>
      </c>
      <c r="B981" s="1202" t="str">
        <f t="shared" ca="1" si="180"/>
        <v/>
      </c>
      <c r="C981" s="1203"/>
      <c r="H981" s="1201">
        <f t="shared" si="179"/>
        <v>2</v>
      </c>
      <c r="I981" s="1201">
        <v>0</v>
      </c>
      <c r="J981" s="1201" t="str">
        <f t="shared" ref="J981:J982" si="189">MID($A981,SEARCH("-",$A981)+1,SEARCH("#",SUBSTITUTE($A981,"-","#",H981),1)-(SEARCH("-",$A981)+1))</f>
        <v>ascinfadl</v>
      </c>
      <c r="K981" s="1201" t="str">
        <f t="shared" ref="K981:K982" si="190">RIGHT($A981,LEN($A981)-SEARCH("#",SUBSTITUTE($A981,"-","#",H981),1))</f>
        <v>mss</v>
      </c>
      <c r="L981" s="599"/>
      <c r="M981" s="471" t="s">
        <v>5151</v>
      </c>
      <c r="N981" s="471" t="s">
        <v>5152</v>
      </c>
      <c r="O981" s="471" t="s">
        <v>5153</v>
      </c>
    </row>
    <row r="982" spans="1:15" x14ac:dyDescent="0.25">
      <c r="A982" s="1205" t="s">
        <v>5392</v>
      </c>
      <c r="B982" s="1202" t="str">
        <f t="shared" ca="1" si="180"/>
        <v/>
      </c>
      <c r="C982" s="1203"/>
      <c r="H982" s="1201">
        <f t="shared" si="179"/>
        <v>2</v>
      </c>
      <c r="I982" s="1201">
        <v>0</v>
      </c>
      <c r="J982" s="1201" t="str">
        <f t="shared" si="189"/>
        <v>ascinfold</v>
      </c>
      <c r="K982" s="1201" t="str">
        <f t="shared" si="190"/>
        <v>mss</v>
      </c>
      <c r="L982" s="599"/>
      <c r="M982" s="471" t="s">
        <v>5151</v>
      </c>
      <c r="N982" s="471" t="s">
        <v>5152</v>
      </c>
      <c r="O982" s="471" t="s">
        <v>5153</v>
      </c>
    </row>
    <row r="983" spans="1:15" x14ac:dyDescent="0.25">
      <c r="A983" s="1205" t="s">
        <v>5393</v>
      </c>
      <c r="B983" s="1202">
        <f t="shared" ca="1" si="180"/>
        <v>0</v>
      </c>
      <c r="C983" s="1203">
        <f ca="1">IF(ISERROR(VLOOKUP($A$1256,INDIRECT("notes_"&amp;LEFT($A$1256,3)),4,0)),0,VLOOKUP($A$1256,INDIRECT("notes_"&amp;LEFT($A$1256,3)),4,0))</f>
        <v>0</v>
      </c>
      <c r="H983" s="1201">
        <f t="shared" si="179"/>
        <v>2</v>
      </c>
      <c r="I983" s="1201">
        <v>0</v>
      </c>
      <c r="J983" s="1201" t="str">
        <f t="shared" si="181"/>
        <v>asccmstad</v>
      </c>
      <c r="K983" s="1201" t="str">
        <f t="shared" si="182"/>
        <v>mss</v>
      </c>
      <c r="L983" s="599"/>
      <c r="M983" s="471" t="s">
        <v>5151</v>
      </c>
      <c r="N983" s="471" t="s">
        <v>5152</v>
      </c>
      <c r="O983" s="471" t="s">
        <v>5153</v>
      </c>
    </row>
    <row r="984" spans="1:15" x14ac:dyDescent="0.25">
      <c r="A984" s="1205" t="s">
        <v>5394</v>
      </c>
      <c r="B984" s="1202" t="str">
        <f t="shared" ca="1" si="180"/>
        <v/>
      </c>
      <c r="C984" s="1203"/>
      <c r="H984" s="1201">
        <f t="shared" si="179"/>
        <v>2</v>
      </c>
      <c r="I984" s="1201">
        <v>0</v>
      </c>
      <c r="J984" s="1201" t="str">
        <f t="shared" ref="J984:J985" si="191">MID($A984,SEARCH("-",$A984)+1,SEARCH("#",SUBSTITUTE($A984,"-","#",H984),1)-(SEARCH("-",$A984)+1))</f>
        <v>asccmstadadl</v>
      </c>
      <c r="K984" s="1201" t="str">
        <f t="shared" ref="K984:K985" si="192">RIGHT($A984,LEN($A984)-SEARCH("#",SUBSTITUTE($A984,"-","#",H984),1))</f>
        <v>mss</v>
      </c>
      <c r="L984" s="599"/>
      <c r="M984" s="471" t="s">
        <v>5151</v>
      </c>
      <c r="N984" s="471" t="s">
        <v>5152</v>
      </c>
      <c r="O984" s="471" t="s">
        <v>5153</v>
      </c>
    </row>
    <row r="985" spans="1:15" x14ac:dyDescent="0.25">
      <c r="A985" s="1205" t="s">
        <v>5395</v>
      </c>
      <c r="B985" s="1202" t="str">
        <f t="shared" ca="1" si="180"/>
        <v/>
      </c>
      <c r="C985" s="1203"/>
      <c r="H985" s="1201">
        <f t="shared" si="179"/>
        <v>2</v>
      </c>
      <c r="I985" s="1201">
        <v>0</v>
      </c>
      <c r="J985" s="1201" t="str">
        <f t="shared" si="191"/>
        <v>asccmstadold</v>
      </c>
      <c r="K985" s="1201" t="str">
        <f t="shared" si="192"/>
        <v>mss</v>
      </c>
      <c r="L985" s="599"/>
      <c r="M985" s="471" t="s">
        <v>5151</v>
      </c>
      <c r="N985" s="471" t="s">
        <v>5152</v>
      </c>
      <c r="O985" s="471" t="s">
        <v>5153</v>
      </c>
    </row>
    <row r="986" spans="1:15" x14ac:dyDescent="0.25">
      <c r="A986" s="1205" t="s">
        <v>5396</v>
      </c>
      <c r="B986" s="1202">
        <f t="shared" ca="1" si="180"/>
        <v>0</v>
      </c>
      <c r="C986" s="1203">
        <f ca="1">IF(ISERROR(VLOOKUP($A$1259,INDIRECT("notes_"&amp;LEFT($A$1259,3)),4,0)),0,VLOOKUP($A$1259,INDIRECT("notes_"&amp;LEFT($A$1259,3)),4,0))</f>
        <v>0</v>
      </c>
      <c r="H986" s="1201">
        <f t="shared" si="179"/>
        <v>2</v>
      </c>
      <c r="I986" s="1201">
        <v>0</v>
      </c>
      <c r="J986" s="1201" t="str">
        <f t="shared" si="181"/>
        <v>asctot</v>
      </c>
      <c r="K986" s="1201" t="str">
        <f t="shared" si="182"/>
        <v>mss</v>
      </c>
      <c r="L986" s="599"/>
      <c r="M986" s="471" t="s">
        <v>5151</v>
      </c>
      <c r="N986" s="471" t="s">
        <v>5152</v>
      </c>
      <c r="O986" s="471" t="s">
        <v>5153</v>
      </c>
    </row>
    <row r="987" spans="1:15" x14ac:dyDescent="0.25">
      <c r="A987" s="1205" t="s">
        <v>5397</v>
      </c>
      <c r="B987" s="1202">
        <f t="shared" ref="B987:B1011" ca="1" si="193">INDEX(INDIRECT(LEFT($A987,SEARCH("-",$A987,1)-1)&amp;"_data"),MATCH(MID($A987,SEARCH("-",$A987)+1,SEARCH("#",SUBSTITUTE($A987,"-","#",H987),1)-(SEARCH("-",$A987)+1)),INDIRECT(LEFT($A987,SEARCH("-",$A987,1)-1)&amp;"_rows"),0),MATCH(RIGHT($A987,LEN($A987)-LEN(LEFT($A987,SEARCH("#",SUBSTITUTE($A987,"-","#",H987),1)))),INDIRECT(LEFT($A987,SEARCH("-",$A987,1)-1)&amp;"_Header"),0))</f>
        <v>0</v>
      </c>
      <c r="C987" s="1203">
        <f ca="1">IF(ISERROR(VLOOKUP($A$1260,INDIRECT("notes_"&amp;LEFT($A$1260,3)),4,0)),0,VLOOKUP($A$1260,INDIRECT("notes_"&amp;LEFT($A$1260,3)),4,0))</f>
        <v>0</v>
      </c>
      <c r="H987" s="1201">
        <f t="shared" si="179"/>
        <v>2</v>
      </c>
      <c r="I987" s="1201">
        <v>0</v>
      </c>
      <c r="J987" s="1201" t="str">
        <f t="shared" si="181"/>
        <v>phsxlsti</v>
      </c>
      <c r="K987" s="1201" t="str">
        <f t="shared" si="182"/>
        <v>mss</v>
      </c>
      <c r="L987" s="599"/>
      <c r="M987" s="471" t="s">
        <v>5151</v>
      </c>
      <c r="N987" s="471" t="s">
        <v>5152</v>
      </c>
      <c r="O987" s="471" t="s">
        <v>5153</v>
      </c>
    </row>
    <row r="988" spans="1:15" x14ac:dyDescent="0.25">
      <c r="A988" s="1205" t="s">
        <v>5398</v>
      </c>
      <c r="B988" s="1202">
        <f t="shared" ca="1" si="193"/>
        <v>0</v>
      </c>
      <c r="C988" s="1203">
        <f ca="1">IF(ISERROR(VLOOKUP($A$1261,INDIRECT("notes_"&amp;LEFT($A$1261,3)),4,0)),0,VLOOKUP($A$1261,INDIRECT("notes_"&amp;LEFT($A$1261,3)),4,0))</f>
        <v>0</v>
      </c>
      <c r="H988" s="1201">
        <f t="shared" si="179"/>
        <v>2</v>
      </c>
      <c r="I988" s="1201">
        <v>0</v>
      </c>
      <c r="J988" s="1201" t="str">
        <f t="shared" si="181"/>
        <v>phsxlcnt</v>
      </c>
      <c r="K988" s="1201" t="str">
        <f t="shared" si="182"/>
        <v>mss</v>
      </c>
      <c r="L988" s="599"/>
      <c r="M988" s="471" t="s">
        <v>5151</v>
      </c>
      <c r="N988" s="471" t="s">
        <v>5152</v>
      </c>
      <c r="O988" s="471" t="s">
        <v>5153</v>
      </c>
    </row>
    <row r="989" spans="1:15" x14ac:dyDescent="0.25">
      <c r="A989" s="1205" t="s">
        <v>5399</v>
      </c>
      <c r="B989" s="1202">
        <f t="shared" ca="1" si="193"/>
        <v>0</v>
      </c>
      <c r="C989" s="1203">
        <f ca="1">IF(ISERROR(VLOOKUP($A$1262,INDIRECT("notes_"&amp;LEFT($A$1262,3)),4,0)),0,VLOOKUP($A$1262,INDIRECT("notes_"&amp;LEFT($A$1262,3)),4,0))</f>
        <v>0</v>
      </c>
      <c r="H989" s="1201">
        <f t="shared" si="179"/>
        <v>2</v>
      </c>
      <c r="I989" s="1201">
        <v>0</v>
      </c>
      <c r="J989" s="1201" t="str">
        <f t="shared" si="181"/>
        <v>phsxlprm</v>
      </c>
      <c r="K989" s="1201" t="str">
        <f t="shared" si="182"/>
        <v>mss</v>
      </c>
      <c r="L989" s="599"/>
      <c r="M989" s="471" t="s">
        <v>5151</v>
      </c>
      <c r="N989" s="471" t="s">
        <v>5152</v>
      </c>
      <c r="O989" s="471" t="s">
        <v>5153</v>
      </c>
    </row>
    <row r="990" spans="1:15" x14ac:dyDescent="0.25">
      <c r="A990" s="1205" t="s">
        <v>5400</v>
      </c>
      <c r="B990" s="1202">
        <f t="shared" ca="1" si="193"/>
        <v>0</v>
      </c>
      <c r="C990" s="1203">
        <f ca="1">IF(ISERROR(VLOOKUP($A$1263,INDIRECT("notes_"&amp;LEFT($A$1263,3)),4,0)),0,VLOOKUP($A$1263,INDIRECT("notes_"&amp;LEFT($A$1263,3)),4,0))</f>
        <v>0</v>
      </c>
      <c r="H990" s="1201">
        <f t="shared" si="179"/>
        <v>2</v>
      </c>
      <c r="I990" s="1201">
        <v>0</v>
      </c>
      <c r="J990" s="1201" t="str">
        <f t="shared" si="181"/>
        <v>phhcp</v>
      </c>
      <c r="K990" s="1201" t="str">
        <f t="shared" si="182"/>
        <v>mss</v>
      </c>
      <c r="L990" s="599"/>
      <c r="M990" s="471" t="s">
        <v>5151</v>
      </c>
      <c r="N990" s="471" t="s">
        <v>5152</v>
      </c>
      <c r="O990" s="471" t="s">
        <v>5153</v>
      </c>
    </row>
    <row r="991" spans="1:15" x14ac:dyDescent="0.25">
      <c r="A991" s="1205" t="s">
        <v>5401</v>
      </c>
      <c r="B991" s="1202">
        <f t="shared" ca="1" si="193"/>
        <v>0</v>
      </c>
      <c r="C991" s="1203">
        <f ca="1">IF(ISERROR(VLOOKUP($A$1264,INDIRECT("notes_"&amp;LEFT($A$1264,3)),4,0)),0,VLOOKUP($A$1264,INDIRECT("notes_"&amp;LEFT($A$1264,3)),4,0))</f>
        <v>0</v>
      </c>
      <c r="H991" s="1201">
        <f t="shared" si="179"/>
        <v>2</v>
      </c>
      <c r="I991" s="1201">
        <v>0</v>
      </c>
      <c r="J991" s="1201" t="str">
        <f t="shared" si="181"/>
        <v>phprt</v>
      </c>
      <c r="K991" s="1201" t="str">
        <f t="shared" si="182"/>
        <v>mss</v>
      </c>
      <c r="L991" s="599"/>
      <c r="M991" s="471" t="s">
        <v>5151</v>
      </c>
      <c r="N991" s="471" t="s">
        <v>5152</v>
      </c>
      <c r="O991" s="471" t="s">
        <v>5153</v>
      </c>
    </row>
    <row r="992" spans="1:15" x14ac:dyDescent="0.25">
      <c r="A992" s="1205" t="s">
        <v>5402</v>
      </c>
      <c r="B992" s="1202">
        <f t="shared" ca="1" si="193"/>
        <v>0</v>
      </c>
      <c r="C992" s="1203">
        <f ca="1">IF(ISERROR(VLOOKUP($A$1265,INDIRECT("notes_"&amp;LEFT($A$1265,3)),4,0)),0,VLOOKUP($A$1265,INDIRECT("notes_"&amp;LEFT($A$1265,3)),4,0))</f>
        <v>0</v>
      </c>
      <c r="H992" s="1201">
        <f t="shared" si="179"/>
        <v>2</v>
      </c>
      <c r="I992" s="1201">
        <v>0</v>
      </c>
      <c r="J992" s="1201" t="str">
        <f t="shared" si="181"/>
        <v>phcmp</v>
      </c>
      <c r="K992" s="1201" t="str">
        <f t="shared" si="182"/>
        <v>mss</v>
      </c>
      <c r="L992" s="599"/>
      <c r="M992" s="471" t="s">
        <v>5151</v>
      </c>
      <c r="N992" s="471" t="s">
        <v>5152</v>
      </c>
      <c r="O992" s="471" t="s">
        <v>5153</v>
      </c>
    </row>
    <row r="993" spans="1:15" x14ac:dyDescent="0.25">
      <c r="A993" s="1205" t="s">
        <v>5403</v>
      </c>
      <c r="B993" s="1202">
        <f t="shared" ca="1" si="193"/>
        <v>0</v>
      </c>
      <c r="C993" s="1203">
        <f ca="1">IF(ISERROR(VLOOKUP($A$1266,INDIRECT("notes_"&amp;LEFT($A$1266,3)),4,0)),0,VLOOKUP($A$1266,INDIRECT("notes_"&amp;LEFT($A$1266,3)),4,0))</f>
        <v>0</v>
      </c>
      <c r="H993" s="1201">
        <f t="shared" si="179"/>
        <v>2</v>
      </c>
      <c r="I993" s="1201">
        <v>0</v>
      </c>
      <c r="J993" s="1201" t="str">
        <f t="shared" si="181"/>
        <v>phadv</v>
      </c>
      <c r="K993" s="1201" t="str">
        <f t="shared" si="182"/>
        <v>mss</v>
      </c>
      <c r="L993" s="599"/>
      <c r="M993" s="471" t="s">
        <v>5151</v>
      </c>
      <c r="N993" s="471" t="s">
        <v>5152</v>
      </c>
      <c r="O993" s="471" t="s">
        <v>5153</v>
      </c>
    </row>
    <row r="994" spans="1:15" x14ac:dyDescent="0.25">
      <c r="A994" s="1205" t="s">
        <v>5404</v>
      </c>
      <c r="B994" s="1202">
        <f t="shared" ca="1" si="193"/>
        <v>0</v>
      </c>
      <c r="C994" s="1203">
        <f ca="1">IF(ISERROR(VLOOKUP($A$1267,INDIRECT("notes_"&amp;LEFT($A$1267,3)),4,0)),0,VLOOKUP($A$1267,INDIRECT("notes_"&amp;LEFT($A$1267,3)),4,0))</f>
        <v>0</v>
      </c>
      <c r="H994" s="1201">
        <f t="shared" si="179"/>
        <v>2</v>
      </c>
      <c r="I994" s="1201">
        <v>0</v>
      </c>
      <c r="J994" s="1201" t="str">
        <f t="shared" si="181"/>
        <v>phobsadl</v>
      </c>
      <c r="K994" s="1201" t="str">
        <f t="shared" si="182"/>
        <v>mss</v>
      </c>
      <c r="L994" s="599"/>
      <c r="M994" s="471" t="s">
        <v>5151</v>
      </c>
      <c r="N994" s="471" t="s">
        <v>5152</v>
      </c>
      <c r="O994" s="471" t="s">
        <v>5153</v>
      </c>
    </row>
    <row r="995" spans="1:15" x14ac:dyDescent="0.25">
      <c r="A995" s="1205" t="s">
        <v>5405</v>
      </c>
      <c r="B995" s="1202">
        <f t="shared" ca="1" si="193"/>
        <v>0</v>
      </c>
      <c r="C995" s="1203">
        <f ca="1">IF(ISERROR(VLOOKUP($A$1268,INDIRECT("notes_"&amp;LEFT($A$1268,3)),4,0)),0,VLOOKUP($A$1268,INDIRECT("notes_"&amp;LEFT($A$1268,3)),4,0))</f>
        <v>0</v>
      </c>
      <c r="H995" s="1201">
        <f t="shared" si="179"/>
        <v>2</v>
      </c>
      <c r="I995" s="1201">
        <v>0</v>
      </c>
      <c r="J995" s="1201" t="str">
        <f t="shared" si="181"/>
        <v>phobschl</v>
      </c>
      <c r="K995" s="1201" t="str">
        <f t="shared" si="182"/>
        <v>mss</v>
      </c>
      <c r="L995" s="599"/>
      <c r="M995" s="471" t="s">
        <v>5151</v>
      </c>
      <c r="N995" s="471" t="s">
        <v>5152</v>
      </c>
      <c r="O995" s="471" t="s">
        <v>5153</v>
      </c>
    </row>
    <row r="996" spans="1:15" x14ac:dyDescent="0.25">
      <c r="A996" s="1205" t="s">
        <v>5406</v>
      </c>
      <c r="B996" s="1202">
        <f t="shared" ca="1" si="193"/>
        <v>0</v>
      </c>
      <c r="C996" s="1203">
        <f ca="1">IF(ISERROR(VLOOKUP($A$1269,INDIRECT("notes_"&amp;LEFT($A$1269,3)),4,0)),0,VLOOKUP($A$1269,INDIRECT("notes_"&amp;LEFT($A$1269,3)),4,0))</f>
        <v>0</v>
      </c>
      <c r="H996" s="1201">
        <f t="shared" si="179"/>
        <v>2</v>
      </c>
      <c r="I996" s="1201">
        <v>0</v>
      </c>
      <c r="J996" s="1201" t="str">
        <f t="shared" si="181"/>
        <v>phphyadl</v>
      </c>
      <c r="K996" s="1201" t="str">
        <f t="shared" si="182"/>
        <v>mss</v>
      </c>
      <c r="L996" s="599"/>
      <c r="M996" s="471" t="s">
        <v>5151</v>
      </c>
      <c r="N996" s="471" t="s">
        <v>5152</v>
      </c>
      <c r="O996" s="471" t="s">
        <v>5153</v>
      </c>
    </row>
    <row r="997" spans="1:15" x14ac:dyDescent="0.25">
      <c r="A997" s="1205" t="s">
        <v>5407</v>
      </c>
      <c r="B997" s="1202">
        <f t="shared" ca="1" si="193"/>
        <v>0</v>
      </c>
      <c r="C997" s="1203">
        <f ca="1">IF(ISERROR(VLOOKUP($A$1270,INDIRECT("notes_"&amp;LEFT($A$1270,3)),4,0)),0,VLOOKUP($A$1270,INDIRECT("notes_"&amp;LEFT($A$1270,3)),4,0))</f>
        <v>0</v>
      </c>
      <c r="H997" s="1201">
        <f t="shared" si="179"/>
        <v>2</v>
      </c>
      <c r="I997" s="1201">
        <v>0</v>
      </c>
      <c r="J997" s="1201" t="str">
        <f t="shared" si="181"/>
        <v>phphychl</v>
      </c>
      <c r="K997" s="1201" t="str">
        <f t="shared" si="182"/>
        <v>mss</v>
      </c>
      <c r="L997" s="599"/>
      <c r="M997" s="471" t="s">
        <v>5151</v>
      </c>
      <c r="N997" s="471" t="s">
        <v>5152</v>
      </c>
      <c r="O997" s="471" t="s">
        <v>5153</v>
      </c>
    </row>
    <row r="998" spans="1:15" x14ac:dyDescent="0.25">
      <c r="A998" s="1205" t="s">
        <v>5408</v>
      </c>
      <c r="B998" s="1202">
        <f t="shared" ca="1" si="193"/>
        <v>0</v>
      </c>
      <c r="C998" s="1203">
        <f ca="1">IF(ISERROR(VLOOKUP($A$1271,INDIRECT("notes_"&amp;LEFT($A$1271,3)),4,0)),0,VLOOKUP($A$1271,INDIRECT("notes_"&amp;LEFT($A$1271,3)),4,0))</f>
        <v>0</v>
      </c>
      <c r="H998" s="1201">
        <f t="shared" si="179"/>
        <v>2</v>
      </c>
      <c r="I998" s="1201">
        <v>0</v>
      </c>
      <c r="J998" s="1201" t="str">
        <f t="shared" si="181"/>
        <v>phsbstrtdrg</v>
      </c>
      <c r="K998" s="1201" t="str">
        <f t="shared" si="182"/>
        <v>mss</v>
      </c>
      <c r="L998" s="599"/>
      <c r="M998" s="471" t="s">
        <v>5151</v>
      </c>
      <c r="N998" s="471" t="s">
        <v>5152</v>
      </c>
      <c r="O998" s="471" t="s">
        <v>5153</v>
      </c>
    </row>
    <row r="999" spans="1:15" x14ac:dyDescent="0.25">
      <c r="A999" s="1205" t="s">
        <v>5409</v>
      </c>
      <c r="B999" s="1202">
        <f t="shared" ca="1" si="193"/>
        <v>0</v>
      </c>
      <c r="C999" s="1203">
        <f ca="1">IF(ISERROR(VLOOKUP($A$1272,INDIRECT("notes_"&amp;LEFT($A$1272,3)),4,0)),0,VLOOKUP($A$1272,INDIRECT("notes_"&amp;LEFT($A$1272,3)),4,0))</f>
        <v>0</v>
      </c>
      <c r="H999" s="1201">
        <f t="shared" si="179"/>
        <v>2</v>
      </c>
      <c r="I999" s="1201">
        <v>0</v>
      </c>
      <c r="J999" s="1201" t="str">
        <f t="shared" si="181"/>
        <v>phsbsprvdrg</v>
      </c>
      <c r="K999" s="1201" t="str">
        <f t="shared" si="182"/>
        <v>mss</v>
      </c>
      <c r="L999" s="599"/>
      <c r="M999" s="471" t="s">
        <v>5151</v>
      </c>
      <c r="N999" s="471" t="s">
        <v>5152</v>
      </c>
      <c r="O999" s="471" t="s">
        <v>5153</v>
      </c>
    </row>
    <row r="1000" spans="1:15" x14ac:dyDescent="0.25">
      <c r="A1000" s="1205" t="s">
        <v>5410</v>
      </c>
      <c r="B1000" s="1202">
        <f t="shared" ca="1" si="193"/>
        <v>0</v>
      </c>
      <c r="C1000" s="1203">
        <f ca="1">IF(ISERROR(VLOOKUP($A$1273,INDIRECT("notes_"&amp;LEFT($A$1273,3)),4,0)),0,VLOOKUP($A$1273,INDIRECT("notes_"&amp;LEFT($A$1273,3)),4,0))</f>
        <v>0</v>
      </c>
      <c r="H1000" s="1201">
        <f t="shared" si="179"/>
        <v>2</v>
      </c>
      <c r="I1000" s="1201">
        <v>0</v>
      </c>
      <c r="J1000" s="1201" t="str">
        <f t="shared" si="181"/>
        <v>phsbsspc</v>
      </c>
      <c r="K1000" s="1201" t="str">
        <f t="shared" si="182"/>
        <v>mss</v>
      </c>
      <c r="L1000" s="599"/>
      <c r="M1000" s="471" t="s">
        <v>5151</v>
      </c>
      <c r="N1000" s="471" t="s">
        <v>5152</v>
      </c>
      <c r="O1000" s="471" t="s">
        <v>5153</v>
      </c>
    </row>
    <row r="1001" spans="1:15" x14ac:dyDescent="0.25">
      <c r="A1001" s="1205" t="s">
        <v>5411</v>
      </c>
      <c r="B1001" s="1202">
        <f t="shared" ca="1" si="193"/>
        <v>0</v>
      </c>
      <c r="C1001" s="1203">
        <f ca="1">IF(ISERROR(VLOOKUP($A$1274,INDIRECT("notes_"&amp;LEFT($A$1274,3)),4,0)),0,VLOOKUP($A$1274,INDIRECT("notes_"&amp;LEFT($A$1274,3)),4,0))</f>
        <v>0</v>
      </c>
      <c r="H1001" s="1201">
        <f t="shared" si="179"/>
        <v>2</v>
      </c>
      <c r="I1001" s="1201">
        <v>0</v>
      </c>
      <c r="J1001" s="1201" t="str">
        <f t="shared" si="181"/>
        <v>phsmkstp</v>
      </c>
      <c r="K1001" s="1201" t="str">
        <f t="shared" si="182"/>
        <v>mss</v>
      </c>
      <c r="L1001" s="599"/>
      <c r="M1001" s="471" t="s">
        <v>5151</v>
      </c>
      <c r="N1001" s="471" t="s">
        <v>5152</v>
      </c>
      <c r="O1001" s="471" t="s">
        <v>5153</v>
      </c>
    </row>
    <row r="1002" spans="1:15" x14ac:dyDescent="0.25">
      <c r="A1002" s="1205" t="s">
        <v>5412</v>
      </c>
      <c r="B1002" s="1202">
        <f t="shared" ca="1" si="193"/>
        <v>0</v>
      </c>
      <c r="C1002" s="1203">
        <f ca="1">IF(ISERROR(VLOOKUP($A$1275,INDIRECT("notes_"&amp;LEFT($A$1275,3)),4,0)),0,VLOOKUP($A$1275,INDIRECT("notes_"&amp;LEFT($A$1275,3)),4,0))</f>
        <v>0</v>
      </c>
      <c r="H1002" s="1201">
        <f t="shared" si="179"/>
        <v>2</v>
      </c>
      <c r="I1002" s="1201">
        <v>0</v>
      </c>
      <c r="J1002" s="1201" t="str">
        <f t="shared" si="181"/>
        <v>phsmkcnt</v>
      </c>
      <c r="K1002" s="1201" t="str">
        <f t="shared" si="182"/>
        <v>mss</v>
      </c>
      <c r="L1002" s="599"/>
      <c r="M1002" s="471" t="s">
        <v>5151</v>
      </c>
      <c r="N1002" s="471" t="s">
        <v>5152</v>
      </c>
      <c r="O1002" s="471" t="s">
        <v>5153</v>
      </c>
    </row>
    <row r="1003" spans="1:15" x14ac:dyDescent="0.25">
      <c r="A1003" s="1205" t="s">
        <v>5413</v>
      </c>
      <c r="B1003" s="1202">
        <f t="shared" ca="1" si="193"/>
        <v>0</v>
      </c>
      <c r="C1003" s="1203">
        <f ca="1">IF(ISERROR(VLOOKUP($A$1276,INDIRECT("notes_"&amp;LEFT($A$1276,3)),4,0)),0,VLOOKUP($A$1276,INDIRECT("notes_"&amp;LEFT($A$1276,3)),4,0))</f>
        <v>0</v>
      </c>
      <c r="H1003" s="1201">
        <f t="shared" si="179"/>
        <v>2</v>
      </c>
      <c r="I1003" s="1201">
        <v>0</v>
      </c>
      <c r="J1003" s="1201" t="str">
        <f t="shared" si="181"/>
        <v>phchl</v>
      </c>
      <c r="K1003" s="1201" t="str">
        <f t="shared" si="182"/>
        <v>mss</v>
      </c>
      <c r="L1003" s="599"/>
      <c r="M1003" s="471" t="s">
        <v>5151</v>
      </c>
      <c r="N1003" s="471" t="s">
        <v>5152</v>
      </c>
      <c r="O1003" s="471" t="s">
        <v>5153</v>
      </c>
    </row>
    <row r="1004" spans="1:15" x14ac:dyDescent="0.25">
      <c r="A1004" s="1205" t="s">
        <v>5414</v>
      </c>
      <c r="B1004" s="1202">
        <f t="shared" ca="1" si="193"/>
        <v>0</v>
      </c>
      <c r="C1004" s="1203">
        <f ca="1">IF(ISERROR(VLOOKUP($A$1277,INDIRECT("notes_"&amp;LEFT($A$1277,3)),4,0)),0,VLOOKUP($A$1277,INDIRECT("notes_"&amp;LEFT($A$1277,3)),4,0))</f>
        <v>0</v>
      </c>
      <c r="H1004" s="1201">
        <f t="shared" si="179"/>
        <v>2</v>
      </c>
      <c r="I1004" s="1201">
        <v>0</v>
      </c>
      <c r="J1004" s="1201" t="str">
        <f t="shared" si="181"/>
        <v>phbbymnd</v>
      </c>
      <c r="K1004" s="1201" t="str">
        <f t="shared" si="182"/>
        <v>mss</v>
      </c>
      <c r="L1004" s="599"/>
      <c r="M1004" s="471" t="s">
        <v>5151</v>
      </c>
      <c r="N1004" s="471" t="s">
        <v>5152</v>
      </c>
      <c r="O1004" s="471" t="s">
        <v>5153</v>
      </c>
    </row>
    <row r="1005" spans="1:15" x14ac:dyDescent="0.25">
      <c r="A1005" s="1205" t="s">
        <v>5415</v>
      </c>
      <c r="B1005" s="1202">
        <f t="shared" ca="1" si="193"/>
        <v>0</v>
      </c>
      <c r="C1005" s="1203">
        <f ca="1">IF(ISERROR(VLOOKUP($A$1278,INDIRECT("notes_"&amp;LEFT($A$1278,3)),4,0)),0,VLOOKUP($A$1278,INDIRECT("notes_"&amp;LEFT($A$1278,3)),4,0))</f>
        <v>0</v>
      </c>
      <c r="H1005" s="1201">
        <f t="shared" si="179"/>
        <v>2</v>
      </c>
      <c r="I1005" s="1201">
        <v>0</v>
      </c>
      <c r="J1005" s="1201" t="str">
        <f t="shared" si="181"/>
        <v>phbbyoth</v>
      </c>
      <c r="K1005" s="1201" t="str">
        <f t="shared" si="182"/>
        <v>mss</v>
      </c>
      <c r="L1005" s="599"/>
      <c r="M1005" s="471" t="s">
        <v>5151</v>
      </c>
      <c r="N1005" s="471" t="s">
        <v>5152</v>
      </c>
      <c r="O1005" s="471" t="s">
        <v>5153</v>
      </c>
    </row>
    <row r="1006" spans="1:15" x14ac:dyDescent="0.25">
      <c r="A1006" s="1205" t="s">
        <v>5416</v>
      </c>
      <c r="B1006" s="1202">
        <f t="shared" ca="1" si="193"/>
        <v>0</v>
      </c>
      <c r="C1006" s="1203">
        <f ca="1">IF(ISERROR(VLOOKUP($A$1279,INDIRECT("notes_"&amp;LEFT($A$1279,3)),4,0)),0,VLOOKUP($A$1279,INDIRECT("notes_"&amp;LEFT($A$1279,3)),4,0))</f>
        <v>0</v>
      </c>
      <c r="H1006" s="1201">
        <f t="shared" si="179"/>
        <v>2</v>
      </c>
      <c r="I1006" s="1201">
        <v>0</v>
      </c>
      <c r="J1006" s="1201" t="str">
        <f t="shared" si="181"/>
        <v>phwrk</v>
      </c>
      <c r="K1006" s="1201" t="str">
        <f t="shared" si="182"/>
        <v>mss</v>
      </c>
      <c r="L1006" s="599"/>
      <c r="M1006" s="471" t="s">
        <v>5151</v>
      </c>
      <c r="N1006" s="471" t="s">
        <v>5152</v>
      </c>
      <c r="O1006" s="471" t="s">
        <v>5153</v>
      </c>
    </row>
    <row r="1007" spans="1:15" x14ac:dyDescent="0.25">
      <c r="A1007" s="1205" t="s">
        <v>5417</v>
      </c>
      <c r="B1007" s="1202">
        <f t="shared" ca="1" si="193"/>
        <v>0</v>
      </c>
      <c r="C1007" s="1203">
        <f ca="1">IF(ISERROR(VLOOKUP($A$1280,INDIRECT("notes_"&amp;LEFT($A$1280,3)),4,0)),0,VLOOKUP($A$1280,INDIRECT("notes_"&amp;LEFT($A$1280,3)),4,0))</f>
        <v>0</v>
      </c>
      <c r="H1007" s="1201">
        <f t="shared" si="179"/>
        <v>2</v>
      </c>
      <c r="I1007" s="1201">
        <v>0</v>
      </c>
      <c r="J1007" s="1201" t="str">
        <f t="shared" si="181"/>
        <v>phmnt</v>
      </c>
      <c r="K1007" s="1201" t="str">
        <f t="shared" si="182"/>
        <v>mss</v>
      </c>
      <c r="L1007" s="599"/>
      <c r="M1007" s="471" t="s">
        <v>5151</v>
      </c>
      <c r="N1007" s="471" t="s">
        <v>5152</v>
      </c>
      <c r="O1007" s="471" t="s">
        <v>5153</v>
      </c>
    </row>
    <row r="1008" spans="1:15" x14ac:dyDescent="0.25">
      <c r="A1008" s="1205" t="s">
        <v>5418</v>
      </c>
      <c r="B1008" s="1202">
        <f t="shared" ca="1" si="193"/>
        <v>0</v>
      </c>
      <c r="C1008" s="1203">
        <f ca="1">IF(ISERROR(VLOOKUP($A$1281,INDIRECT("notes_"&amp;LEFT($A$1281,3)),4,0)),0,VLOOKUP($A$1281,INDIRECT("notes_"&amp;LEFT($A$1281,3)),4,0))</f>
        <v>0</v>
      </c>
      <c r="H1008" s="1201">
        <f t="shared" si="179"/>
        <v>2</v>
      </c>
      <c r="I1008" s="1201">
        <v>0</v>
      </c>
      <c r="J1008" s="1201" t="str">
        <f t="shared" si="181"/>
        <v>phmsc</v>
      </c>
      <c r="K1008" s="1201" t="str">
        <f t="shared" si="182"/>
        <v>mss</v>
      </c>
      <c r="L1008" s="599"/>
      <c r="M1008" s="471" t="s">
        <v>5151</v>
      </c>
      <c r="N1008" s="471" t="s">
        <v>5152</v>
      </c>
      <c r="O1008" s="471" t="s">
        <v>5153</v>
      </c>
    </row>
    <row r="1009" spans="1:15" x14ac:dyDescent="0.25">
      <c r="A1009" s="1205" t="s">
        <v>5419</v>
      </c>
      <c r="B1009" s="1202">
        <f t="shared" ca="1" si="193"/>
        <v>0</v>
      </c>
      <c r="C1009" s="1203">
        <f ca="1">IF(ISERROR(VLOOKUP($A$1282,INDIRECT("notes_"&amp;LEFT($A$1282,3)),4,0)),0,VLOOKUP($A$1282,INDIRECT("notes_"&amp;LEFT($A$1282,3)),4,0))</f>
        <v>0</v>
      </c>
      <c r="H1009" s="1201">
        <f t="shared" si="179"/>
        <v>2</v>
      </c>
      <c r="I1009" s="1201">
        <v>0</v>
      </c>
      <c r="J1009" s="1201" t="str">
        <f t="shared" si="181"/>
        <v>phtot</v>
      </c>
      <c r="K1009" s="1201" t="str">
        <f t="shared" si="182"/>
        <v>mss</v>
      </c>
      <c r="L1009" s="599"/>
      <c r="M1009" s="471" t="s">
        <v>5151</v>
      </c>
      <c r="N1009" s="471" t="s">
        <v>5152</v>
      </c>
      <c r="O1009" s="471" t="s">
        <v>5153</v>
      </c>
    </row>
    <row r="1010" spans="1:15" x14ac:dyDescent="0.25">
      <c r="A1010" s="1205" t="s">
        <v>5420</v>
      </c>
      <c r="B1010" s="1202">
        <f t="shared" ca="1" si="193"/>
        <v>0</v>
      </c>
      <c r="C1010" s="1203">
        <f t="shared" ref="C1010:C1011" ca="1" si="194">IF(ISERROR(VLOOKUP($A$1282,INDIRECT("notes_"&amp;LEFT($A$1282,3)),4,0)),0,VLOOKUP($A$1282,INDIRECT("notes_"&amp;LEFT($A$1282,3)),4,0))</f>
        <v>0</v>
      </c>
      <c r="H1010" s="1201">
        <v>5</v>
      </c>
      <c r="I1010" s="1201">
        <v>0</v>
      </c>
      <c r="J1010" s="471" t="str">
        <f t="shared" ref="J1010:J1011" si="195">MID($A1010,SEARCH("-",$A1010)+1,SEARCH("#",SUBSTITUTE($A1010,"-","#",H1010),1)-(SEARCH("-",$A1010)+1))</f>
        <v>phsup-anc-exp-csc</v>
      </c>
      <c r="K1010" s="471" t="str">
        <f t="shared" ref="K1010:K1011" si="196">RIGHT($A1010,LEN($A1010)-SEARCH("#",SUBSTITUTE($A1010,"-","#",H1010),1))</f>
        <v>mss</v>
      </c>
      <c r="L1010" s="599"/>
      <c r="M1010" s="471" t="s">
        <v>5151</v>
      </c>
      <c r="N1010" s="471" t="s">
        <v>5152</v>
      </c>
      <c r="O1010" s="471" t="s">
        <v>5153</v>
      </c>
    </row>
    <row r="1011" spans="1:15" x14ac:dyDescent="0.25">
      <c r="A1011" s="1205" t="s">
        <v>5421</v>
      </c>
      <c r="B1011" s="1202">
        <f t="shared" ca="1" si="193"/>
        <v>0</v>
      </c>
      <c r="C1011" s="1203">
        <f t="shared" ca="1" si="194"/>
        <v>0</v>
      </c>
      <c r="H1011" s="1201">
        <v>5</v>
      </c>
      <c r="I1011" s="1201">
        <v>0</v>
      </c>
      <c r="J1011" s="471" t="str">
        <f t="shared" si="195"/>
        <v>phsup-anc-exp-asc</v>
      </c>
      <c r="K1011" s="471" t="str">
        <f t="shared" si="196"/>
        <v>mss</v>
      </c>
      <c r="L1011" s="599"/>
      <c r="M1011" s="471" t="s">
        <v>5151</v>
      </c>
      <c r="N1011" s="471" t="s">
        <v>5152</v>
      </c>
      <c r="O1011" s="471" t="s">
        <v>5153</v>
      </c>
    </row>
    <row r="1012" spans="1:15" x14ac:dyDescent="0.25">
      <c r="A1012" s="471" t="s">
        <v>5422</v>
      </c>
      <c r="B1012" s="1139">
        <f t="shared" ca="1" si="180"/>
        <v>0</v>
      </c>
      <c r="C1012" s="473">
        <f ca="1">IF(ISERROR(VLOOKUP($A$1218,INDIRECT("notes_"&amp;LEFT($A$1218,3)),4,0)),0,VLOOKUP($A$1218,INDIRECT("notes_"&amp;LEFT($A$1218,3)),4,0))</f>
        <v>0</v>
      </c>
      <c r="H1012" s="471">
        <f t="shared" si="179"/>
        <v>2</v>
      </c>
      <c r="I1012" s="471">
        <v>0</v>
      </c>
      <c r="J1012" s="471" t="str">
        <f t="shared" si="181"/>
        <v>cscsr</v>
      </c>
      <c r="K1012" s="471" t="str">
        <f t="shared" si="182"/>
        <v>sfc</v>
      </c>
      <c r="L1012" s="599"/>
      <c r="M1012" s="471" t="s">
        <v>5151</v>
      </c>
      <c r="N1012" s="471" t="s">
        <v>5152</v>
      </c>
      <c r="O1012" s="471" t="s">
        <v>5153</v>
      </c>
    </row>
    <row r="1013" spans="1:15" x14ac:dyDescent="0.25">
      <c r="A1013" s="471" t="s">
        <v>5423</v>
      </c>
      <c r="B1013" s="1139">
        <f t="shared" ca="1" si="180"/>
        <v>0</v>
      </c>
      <c r="C1013" s="473">
        <f ca="1">IF(ISERROR(VLOOKUP($A$1219,INDIRECT("notes_"&amp;LEFT($A$1219,3)),4,0)),0,VLOOKUP($A$1219,INDIRECT("notes_"&amp;LEFT($A$1219,3)),4,0))</f>
        <v>0</v>
      </c>
      <c r="H1013" s="471">
        <f t="shared" si="179"/>
        <v>2</v>
      </c>
      <c r="I1013" s="471">
        <v>0</v>
      </c>
      <c r="J1013" s="471" t="str">
        <f t="shared" si="181"/>
        <v>csclkd</v>
      </c>
      <c r="K1013" s="471" t="str">
        <f t="shared" si="182"/>
        <v>sfc</v>
      </c>
      <c r="L1013" s="599"/>
      <c r="M1013" s="471" t="s">
        <v>5151</v>
      </c>
      <c r="N1013" s="471" t="s">
        <v>5152</v>
      </c>
      <c r="O1013" s="471" t="s">
        <v>5153</v>
      </c>
    </row>
    <row r="1014" spans="1:15" x14ac:dyDescent="0.25">
      <c r="A1014" s="471" t="s">
        <v>5424</v>
      </c>
      <c r="B1014" s="1139">
        <f t="shared" ca="1" si="180"/>
        <v>0</v>
      </c>
      <c r="C1014" s="473">
        <f ca="1">IF(ISERROR(VLOOKUP($A$1220,INDIRECT("notes_"&amp;LEFT($A$1220,3)),4,0)),0,VLOOKUP($A$1220,INDIRECT("notes_"&amp;LEFT($A$1220,3)),4,0))</f>
        <v>0</v>
      </c>
      <c r="H1014" s="471">
        <f t="shared" si="179"/>
        <v>2</v>
      </c>
      <c r="I1014" s="471">
        <v>0</v>
      </c>
      <c r="J1014" s="471" t="str">
        <f t="shared" si="181"/>
        <v>csclkdres</v>
      </c>
      <c r="K1014" s="471" t="str">
        <f t="shared" si="182"/>
        <v>sfc</v>
      </c>
      <c r="L1014" s="599"/>
      <c r="M1014" s="471" t="s">
        <v>5151</v>
      </c>
      <c r="N1014" s="471" t="s">
        <v>5152</v>
      </c>
      <c r="O1014" s="471" t="s">
        <v>5153</v>
      </c>
    </row>
    <row r="1015" spans="1:15" x14ac:dyDescent="0.25">
      <c r="A1015" s="471" t="s">
        <v>5425</v>
      </c>
      <c r="B1015" s="1139">
        <f t="shared" ca="1" si="180"/>
        <v>0</v>
      </c>
      <c r="C1015" s="473">
        <f ca="1">IF(ISERROR(VLOOKUP($A$1221,INDIRECT("notes_"&amp;LEFT($A$1221,3)),4,0)),0,VLOOKUP($A$1221,INDIRECT("notes_"&amp;LEFT($A$1221,3)),4,0))</f>
        <v>0</v>
      </c>
      <c r="H1015" s="471">
        <f t="shared" si="179"/>
        <v>2</v>
      </c>
      <c r="I1015" s="471">
        <v>0</v>
      </c>
      <c r="J1015" s="471" t="str">
        <f t="shared" si="181"/>
        <v>csclkdfos</v>
      </c>
      <c r="K1015" s="471" t="str">
        <f t="shared" si="182"/>
        <v>sfc</v>
      </c>
      <c r="L1015" s="599"/>
      <c r="M1015" s="471" t="s">
        <v>5151</v>
      </c>
      <c r="N1015" s="471" t="s">
        <v>5152</v>
      </c>
      <c r="O1015" s="471" t="s">
        <v>5153</v>
      </c>
    </row>
    <row r="1016" spans="1:15" x14ac:dyDescent="0.25">
      <c r="A1016" s="471" t="s">
        <v>5426</v>
      </c>
      <c r="B1016" s="1139">
        <f t="shared" ca="1" si="180"/>
        <v>0</v>
      </c>
      <c r="C1016" s="473">
        <f ca="1">IF(ISERROR(VLOOKUP($A$1222,INDIRECT("notes_"&amp;LEFT($A$1222,3)),4,0)),0,VLOOKUP($A$1222,INDIRECT("notes_"&amp;LEFT($A$1222,3)),4,0))</f>
        <v>0</v>
      </c>
      <c r="H1016" s="471">
        <f t="shared" si="179"/>
        <v>2</v>
      </c>
      <c r="I1016" s="471">
        <v>0</v>
      </c>
      <c r="J1016" s="471" t="str">
        <f t="shared" si="181"/>
        <v>csclkdasy</v>
      </c>
      <c r="K1016" s="471" t="str">
        <f t="shared" si="182"/>
        <v>sfc</v>
      </c>
      <c r="L1016" s="599"/>
      <c r="M1016" s="471" t="s">
        <v>5151</v>
      </c>
      <c r="N1016" s="471" t="s">
        <v>5152</v>
      </c>
      <c r="O1016" s="471" t="s">
        <v>5153</v>
      </c>
    </row>
    <row r="1017" spans="1:15" x14ac:dyDescent="0.25">
      <c r="A1017" s="471" t="s">
        <v>5427</v>
      </c>
      <c r="B1017" s="1139">
        <f t="shared" ca="1" si="180"/>
        <v>0</v>
      </c>
      <c r="C1017" s="473">
        <f ca="1">IF(ISERROR(VLOOKUP($A$1223,INDIRECT("notes_"&amp;LEFT($A$1223,3)),4,0)),0,VLOOKUP($A$1223,INDIRECT("notes_"&amp;LEFT($A$1223,3)),4,0))</f>
        <v>0</v>
      </c>
      <c r="H1017" s="471">
        <f t="shared" si="179"/>
        <v>2</v>
      </c>
      <c r="I1017" s="471">
        <v>0</v>
      </c>
      <c r="J1017" s="471" t="str">
        <f t="shared" si="181"/>
        <v>csclkdoth</v>
      </c>
      <c r="K1017" s="471" t="str">
        <f t="shared" si="182"/>
        <v>sfc</v>
      </c>
      <c r="L1017" s="599"/>
      <c r="M1017" s="471" t="s">
        <v>5151</v>
      </c>
      <c r="N1017" s="471" t="s">
        <v>5152</v>
      </c>
      <c r="O1017" s="471" t="s">
        <v>5153</v>
      </c>
    </row>
    <row r="1018" spans="1:15" x14ac:dyDescent="0.25">
      <c r="A1018" s="471" t="s">
        <v>5428</v>
      </c>
      <c r="B1018" s="1139">
        <f t="shared" ca="1" si="180"/>
        <v>0</v>
      </c>
      <c r="C1018" s="473">
        <f ca="1">IF(ISERROR(VLOOKUP($A$1224,INDIRECT("notes_"&amp;LEFT($A$1224,3)),4,0)),0,VLOOKUP($A$1224,INDIRECT("notes_"&amp;LEFT($A$1224,3)),4,0))</f>
        <v>0</v>
      </c>
      <c r="H1018" s="471">
        <f t="shared" si="179"/>
        <v>2</v>
      </c>
      <c r="I1018" s="471">
        <v>0</v>
      </c>
      <c r="J1018" s="471" t="str">
        <f t="shared" si="181"/>
        <v>cscoth</v>
      </c>
      <c r="K1018" s="471" t="str">
        <f t="shared" si="182"/>
        <v>sfc</v>
      </c>
      <c r="L1018" s="599"/>
      <c r="M1018" s="471" t="s">
        <v>5151</v>
      </c>
      <c r="N1018" s="471" t="s">
        <v>5152</v>
      </c>
      <c r="O1018" s="471" t="s">
        <v>5153</v>
      </c>
    </row>
    <row r="1019" spans="1:15" x14ac:dyDescent="0.25">
      <c r="A1019" s="471" t="s">
        <v>5429</v>
      </c>
      <c r="B1019" s="1139">
        <f t="shared" ca="1" si="180"/>
        <v>0</v>
      </c>
      <c r="C1019" s="473">
        <f ca="1">IF(ISERROR(VLOOKUP($A$1225,INDIRECT("notes_"&amp;LEFT($A$1225,3)),4,0)),0,VLOOKUP($A$1225,INDIRECT("notes_"&amp;LEFT($A$1225,3)),4,0))</f>
        <v>0</v>
      </c>
      <c r="H1019" s="471">
        <f t="shared" si="179"/>
        <v>2</v>
      </c>
      <c r="I1019" s="471">
        <v>0</v>
      </c>
      <c r="J1019" s="471" t="str">
        <f t="shared" si="181"/>
        <v>cscfml</v>
      </c>
      <c r="K1019" s="471" t="str">
        <f t="shared" si="182"/>
        <v>sfc</v>
      </c>
      <c r="L1019" s="599"/>
      <c r="M1019" s="471" t="s">
        <v>5151</v>
      </c>
      <c r="N1019" s="471" t="s">
        <v>5152</v>
      </c>
      <c r="O1019" s="471" t="s">
        <v>5153</v>
      </c>
    </row>
    <row r="1020" spans="1:15" x14ac:dyDescent="0.25">
      <c r="A1020" s="471" t="s">
        <v>5430</v>
      </c>
      <c r="B1020" s="1139">
        <f t="shared" ca="1" si="180"/>
        <v>0</v>
      </c>
      <c r="C1020" s="473">
        <f ca="1">IF(ISERROR(VLOOKUP($A$1226,INDIRECT("notes_"&amp;LEFT($A$1226,3)),4,0)),0,VLOOKUP($A$1226,INDIRECT("notes_"&amp;LEFT($A$1226,3)),4,0))</f>
        <v>0</v>
      </c>
      <c r="H1020" s="471">
        <f t="shared" si="179"/>
        <v>2</v>
      </c>
      <c r="I1020" s="471">
        <v>0</v>
      </c>
      <c r="J1020" s="471" t="str">
        <f t="shared" si="181"/>
        <v>cscyth</v>
      </c>
      <c r="K1020" s="471" t="str">
        <f t="shared" si="182"/>
        <v>sfc</v>
      </c>
      <c r="L1020" s="599"/>
      <c r="M1020" s="471" t="s">
        <v>5151</v>
      </c>
      <c r="N1020" s="471" t="s">
        <v>5152</v>
      </c>
      <c r="O1020" s="471" t="s">
        <v>5153</v>
      </c>
    </row>
    <row r="1021" spans="1:15" x14ac:dyDescent="0.25">
      <c r="A1021" s="471" t="s">
        <v>5431</v>
      </c>
      <c r="B1021" s="1139">
        <f t="shared" ca="1" si="180"/>
        <v>0</v>
      </c>
      <c r="C1021" s="473">
        <f ca="1">IF(ISERROR(VLOOKUP($A$1227,INDIRECT("notes_"&amp;LEFT($A$1227,3)),4,0)),0,VLOOKUP($A$1227,INDIRECT("notes_"&amp;LEFT($A$1227,3)),4,0))</f>
        <v>0</v>
      </c>
      <c r="H1021" s="471">
        <f t="shared" si="179"/>
        <v>2</v>
      </c>
      <c r="I1021" s="471">
        <v>0</v>
      </c>
      <c r="J1021" s="471" t="str">
        <f t="shared" si="181"/>
        <v>cscsfg</v>
      </c>
      <c r="K1021" s="471" t="str">
        <f t="shared" si="182"/>
        <v>sfc</v>
      </c>
      <c r="L1021" s="599"/>
      <c r="M1021" s="471" t="s">
        <v>5151</v>
      </c>
      <c r="N1021" s="471" t="s">
        <v>5152</v>
      </c>
      <c r="O1021" s="471" t="s">
        <v>5153</v>
      </c>
    </row>
    <row r="1022" spans="1:15" x14ac:dyDescent="0.25">
      <c r="A1022" s="471" t="s">
        <v>5432</v>
      </c>
      <c r="B1022" s="1139">
        <f t="shared" ca="1" si="180"/>
        <v>0</v>
      </c>
      <c r="C1022" s="473">
        <f ca="1">IF(ISERROR(VLOOKUP($A$1228,INDIRECT("notes_"&amp;LEFT($A$1228,3)),4,0)),0,VLOOKUP($A$1228,INDIRECT("notes_"&amp;LEFT($A$1228,3)),4,0))</f>
        <v>0</v>
      </c>
      <c r="H1022" s="471">
        <f t="shared" si="179"/>
        <v>2</v>
      </c>
      <c r="I1022" s="471">
        <v>0</v>
      </c>
      <c r="J1022" s="471" t="str">
        <f t="shared" si="181"/>
        <v>cscasy</v>
      </c>
      <c r="K1022" s="471" t="str">
        <f t="shared" si="182"/>
        <v>sfc</v>
      </c>
      <c r="L1022" s="599"/>
      <c r="M1022" s="471" t="s">
        <v>5151</v>
      </c>
      <c r="N1022" s="471" t="s">
        <v>5152</v>
      </c>
      <c r="O1022" s="471" t="s">
        <v>5153</v>
      </c>
    </row>
    <row r="1023" spans="1:15" x14ac:dyDescent="0.25">
      <c r="A1023" s="471" t="s">
        <v>5433</v>
      </c>
      <c r="B1023" s="1139">
        <f t="shared" ca="1" si="180"/>
        <v>0</v>
      </c>
      <c r="C1023" s="473">
        <f ca="1">IF(ISERROR(VLOOKUP($A$1229,INDIRECT("notes_"&amp;LEFT($A$1229,3)),4,0)),0,VLOOKUP($A$1229,INDIRECT("notes_"&amp;LEFT($A$1229,3)),4,0))</f>
        <v>0</v>
      </c>
      <c r="H1023" s="471">
        <f t="shared" si="179"/>
        <v>2</v>
      </c>
      <c r="I1023" s="471">
        <v>0</v>
      </c>
      <c r="J1023" s="471" t="str">
        <f t="shared" si="181"/>
        <v>cscsrv</v>
      </c>
      <c r="K1023" s="471" t="str">
        <f t="shared" si="182"/>
        <v>sfc</v>
      </c>
      <c r="L1023" s="599"/>
      <c r="M1023" s="471" t="s">
        <v>5151</v>
      </c>
      <c r="N1023" s="471" t="s">
        <v>5152</v>
      </c>
      <c r="O1023" s="471" t="s">
        <v>5153</v>
      </c>
    </row>
    <row r="1024" spans="1:15" x14ac:dyDescent="0.25">
      <c r="A1024" s="471" t="s">
        <v>5434</v>
      </c>
      <c r="B1024" s="1139">
        <f t="shared" ca="1" si="180"/>
        <v>0</v>
      </c>
      <c r="C1024" s="473">
        <f ca="1">IF(ISERROR(VLOOKUP($A$1230,INDIRECT("notes_"&amp;LEFT($A$1230,3)),4,0)),0,VLOOKUP($A$1230,INDIRECT("notes_"&amp;LEFT($A$1230,3)),4,0))</f>
        <v>0</v>
      </c>
      <c r="H1024" s="471">
        <f t="shared" si="179"/>
        <v>2</v>
      </c>
      <c r="I1024" s="471">
        <v>0</v>
      </c>
      <c r="J1024" s="471" t="str">
        <f t="shared" si="181"/>
        <v>csctot</v>
      </c>
      <c r="K1024" s="471" t="str">
        <f t="shared" si="182"/>
        <v>sfc</v>
      </c>
      <c r="L1024" s="599"/>
      <c r="M1024" s="471" t="s">
        <v>5151</v>
      </c>
      <c r="N1024" s="471" t="s">
        <v>5152</v>
      </c>
      <c r="O1024" s="471" t="s">
        <v>5153</v>
      </c>
    </row>
    <row r="1025" spans="1:15" x14ac:dyDescent="0.25">
      <c r="A1025" s="471" t="s">
        <v>5435</v>
      </c>
      <c r="B1025" s="1139">
        <f t="shared" ca="1" si="180"/>
        <v>0</v>
      </c>
      <c r="C1025" s="473">
        <f ca="1">IF(ISERROR(VLOOKUP($A$1231,INDIRECT("notes_"&amp;LEFT($A$1231,3)),4,0)),0,VLOOKUP($A$1231,INDIRECT("notes_"&amp;LEFT($A$1231,3)),4,0))</f>
        <v>0</v>
      </c>
      <c r="H1025" s="471">
        <f t="shared" si="179"/>
        <v>2</v>
      </c>
      <c r="I1025" s="471">
        <v>0</v>
      </c>
      <c r="J1025" s="471" t="str">
        <f t="shared" si="181"/>
        <v>ascphyadl</v>
      </c>
      <c r="K1025" s="471" t="str">
        <f t="shared" si="182"/>
        <v>sfc</v>
      </c>
      <c r="L1025" s="599"/>
      <c r="M1025" s="471" t="s">
        <v>5151</v>
      </c>
      <c r="N1025" s="471" t="s">
        <v>5152</v>
      </c>
      <c r="O1025" s="471" t="s">
        <v>5153</v>
      </c>
    </row>
    <row r="1026" spans="1:15" x14ac:dyDescent="0.25">
      <c r="A1026" s="471" t="s">
        <v>5436</v>
      </c>
      <c r="B1026" s="1139">
        <f t="shared" ca="1" si="180"/>
        <v>0</v>
      </c>
      <c r="C1026" s="473">
        <f ca="1">IF(ISERROR(VLOOKUP($A$1232,INDIRECT("notes_"&amp;LEFT($A$1232,3)),4,0)),0,VLOOKUP($A$1232,INDIRECT("notes_"&amp;LEFT($A$1232,3)),4,0))</f>
        <v>0</v>
      </c>
      <c r="H1026" s="471">
        <f t="shared" si="179"/>
        <v>2</v>
      </c>
      <c r="I1026" s="471">
        <v>0</v>
      </c>
      <c r="J1026" s="471" t="str">
        <f t="shared" si="181"/>
        <v>ascphyold</v>
      </c>
      <c r="K1026" s="471" t="str">
        <f t="shared" si="182"/>
        <v>sfc</v>
      </c>
      <c r="L1026" s="599"/>
      <c r="M1026" s="471" t="s">
        <v>5151</v>
      </c>
      <c r="N1026" s="471" t="s">
        <v>5152</v>
      </c>
      <c r="O1026" s="471" t="s">
        <v>5153</v>
      </c>
    </row>
    <row r="1027" spans="1:15" x14ac:dyDescent="0.25">
      <c r="A1027" s="471" t="s">
        <v>5437</v>
      </c>
      <c r="B1027" s="1139">
        <f t="shared" ca="1" si="180"/>
        <v>0</v>
      </c>
      <c r="C1027" s="473">
        <f ca="1">IF(ISERROR(VLOOKUP($A$1233,INDIRECT("notes_"&amp;LEFT($A$1233,3)),4,0)),0,VLOOKUP($A$1233,INDIRECT("notes_"&amp;LEFT($A$1233,3)),4,0))</f>
        <v>0</v>
      </c>
      <c r="H1027" s="471">
        <f t="shared" si="179"/>
        <v>2</v>
      </c>
      <c r="I1027" s="471">
        <v>0</v>
      </c>
      <c r="J1027" s="471" t="str">
        <f t="shared" si="181"/>
        <v>ascsnsadl</v>
      </c>
      <c r="K1027" s="471" t="str">
        <f t="shared" si="182"/>
        <v>sfc</v>
      </c>
      <c r="L1027" s="599"/>
      <c r="M1027" s="471" t="s">
        <v>5151</v>
      </c>
      <c r="N1027" s="471" t="s">
        <v>5152</v>
      </c>
      <c r="O1027" s="471" t="s">
        <v>5153</v>
      </c>
    </row>
    <row r="1028" spans="1:15" x14ac:dyDescent="0.25">
      <c r="A1028" s="471" t="s">
        <v>5438</v>
      </c>
      <c r="B1028" s="1139">
        <f t="shared" ca="1" si="180"/>
        <v>0</v>
      </c>
      <c r="C1028" s="473">
        <f ca="1">IF(ISERROR(VLOOKUP($A$1234,INDIRECT("notes_"&amp;LEFT($A$1234,3)),4,0)),0,VLOOKUP($A$1234,INDIRECT("notes_"&amp;LEFT($A$1234,3)),4,0))</f>
        <v>0</v>
      </c>
      <c r="H1028" s="471">
        <f t="shared" si="179"/>
        <v>2</v>
      </c>
      <c r="I1028" s="471">
        <v>0</v>
      </c>
      <c r="J1028" s="471" t="str">
        <f t="shared" si="181"/>
        <v>ascsnsold</v>
      </c>
      <c r="K1028" s="471" t="str">
        <f t="shared" si="182"/>
        <v>sfc</v>
      </c>
      <c r="L1028" s="599"/>
      <c r="M1028" s="471" t="s">
        <v>5151</v>
      </c>
      <c r="N1028" s="471" t="s">
        <v>5152</v>
      </c>
      <c r="O1028" s="471" t="s">
        <v>5153</v>
      </c>
    </row>
    <row r="1029" spans="1:15" x14ac:dyDescent="0.25">
      <c r="A1029" s="471" t="s">
        <v>5439</v>
      </c>
      <c r="B1029" s="1139">
        <f t="shared" ca="1" si="180"/>
        <v>0</v>
      </c>
      <c r="C1029" s="473">
        <f ca="1">IF(ISERROR(VLOOKUP($A$1235,INDIRECT("notes_"&amp;LEFT($A$1235,3)),4,0)),0,VLOOKUP($A$1235,INDIRECT("notes_"&amp;LEFT($A$1235,3)),4,0))</f>
        <v>0</v>
      </c>
      <c r="H1029" s="471">
        <f t="shared" si="179"/>
        <v>2</v>
      </c>
      <c r="I1029" s="471">
        <v>0</v>
      </c>
      <c r="J1029" s="471" t="str">
        <f t="shared" si="181"/>
        <v>ascmmradl</v>
      </c>
      <c r="K1029" s="471" t="str">
        <f t="shared" si="182"/>
        <v>sfc</v>
      </c>
      <c r="L1029" s="599"/>
      <c r="M1029" s="471" t="s">
        <v>5151</v>
      </c>
      <c r="N1029" s="471" t="s">
        <v>5152</v>
      </c>
      <c r="O1029" s="471" t="s">
        <v>5153</v>
      </c>
    </row>
    <row r="1030" spans="1:15" x14ac:dyDescent="0.25">
      <c r="A1030" s="471" t="s">
        <v>5440</v>
      </c>
      <c r="B1030" s="1139">
        <f t="shared" ca="1" si="180"/>
        <v>0</v>
      </c>
      <c r="C1030" s="473">
        <f ca="1">IF(ISERROR(VLOOKUP($A$1236,INDIRECT("notes_"&amp;LEFT($A$1236,3)),4,0)),0,VLOOKUP($A$1236,INDIRECT("notes_"&amp;LEFT($A$1236,3)),4,0))</f>
        <v>0</v>
      </c>
      <c r="H1030" s="471">
        <f t="shared" si="179"/>
        <v>2</v>
      </c>
      <c r="I1030" s="471">
        <v>0</v>
      </c>
      <c r="J1030" s="471" t="str">
        <f t="shared" si="181"/>
        <v>ascmmrold</v>
      </c>
      <c r="K1030" s="471" t="str">
        <f t="shared" si="182"/>
        <v>sfc</v>
      </c>
      <c r="L1030" s="599"/>
      <c r="M1030" s="471" t="s">
        <v>5151</v>
      </c>
      <c r="N1030" s="471" t="s">
        <v>5152</v>
      </c>
      <c r="O1030" s="471" t="s">
        <v>5153</v>
      </c>
    </row>
    <row r="1031" spans="1:15" x14ac:dyDescent="0.25">
      <c r="A1031" s="471" t="s">
        <v>5441</v>
      </c>
      <c r="B1031" s="1139">
        <f t="shared" ca="1" si="180"/>
        <v>0</v>
      </c>
      <c r="C1031" s="473">
        <f ca="1">IF(ISERROR(VLOOKUP($A$1237,INDIRECT("notes_"&amp;LEFT($A$1237,3)),4,0)),0,VLOOKUP($A$1237,INDIRECT("notes_"&amp;LEFT($A$1237,3)),4,0))</f>
        <v>0</v>
      </c>
      <c r="H1031" s="471">
        <f t="shared" si="179"/>
        <v>2</v>
      </c>
      <c r="I1031" s="471">
        <v>0</v>
      </c>
      <c r="J1031" s="471" t="str">
        <f t="shared" si="181"/>
        <v>asclrnadl</v>
      </c>
      <c r="K1031" s="471" t="str">
        <f t="shared" si="182"/>
        <v>sfc</v>
      </c>
      <c r="L1031" s="599"/>
      <c r="M1031" s="471" t="s">
        <v>5151</v>
      </c>
      <c r="N1031" s="471" t="s">
        <v>5152</v>
      </c>
      <c r="O1031" s="471" t="s">
        <v>5153</v>
      </c>
    </row>
    <row r="1032" spans="1:15" x14ac:dyDescent="0.25">
      <c r="A1032" s="471" t="s">
        <v>5442</v>
      </c>
      <c r="B1032" s="1139">
        <f t="shared" ca="1" si="180"/>
        <v>0</v>
      </c>
      <c r="C1032" s="473">
        <f ca="1">IF(ISERROR(VLOOKUP($A$1238,INDIRECT("notes_"&amp;LEFT($A$1238,3)),4,0)),0,VLOOKUP($A$1238,INDIRECT("notes_"&amp;LEFT($A$1238,3)),4,0))</f>
        <v>0</v>
      </c>
      <c r="H1032" s="471">
        <f t="shared" si="179"/>
        <v>2</v>
      </c>
      <c r="I1032" s="471">
        <v>0</v>
      </c>
      <c r="J1032" s="471" t="str">
        <f t="shared" si="181"/>
        <v>asclrnold</v>
      </c>
      <c r="K1032" s="471" t="str">
        <f t="shared" si="182"/>
        <v>sfc</v>
      </c>
      <c r="L1032" s="599"/>
      <c r="M1032" s="471" t="s">
        <v>5151</v>
      </c>
      <c r="N1032" s="471" t="s">
        <v>5152</v>
      </c>
      <c r="O1032" s="471" t="s">
        <v>5153</v>
      </c>
    </row>
    <row r="1033" spans="1:15" x14ac:dyDescent="0.25">
      <c r="A1033" s="471" t="s">
        <v>5443</v>
      </c>
      <c r="B1033" s="1139">
        <f t="shared" ca="1" si="180"/>
        <v>0</v>
      </c>
      <c r="C1033" s="473">
        <f ca="1">IF(ISERROR(VLOOKUP($A$1239,INDIRECT("notes_"&amp;LEFT($A$1239,3)),4,0)),0,VLOOKUP($A$1239,INDIRECT("notes_"&amp;LEFT($A$1239,3)),4,0))</f>
        <v>0</v>
      </c>
      <c r="H1033" s="471">
        <f t="shared" si="179"/>
        <v>2</v>
      </c>
      <c r="I1033" s="471">
        <v>0</v>
      </c>
      <c r="J1033" s="471" t="str">
        <f t="shared" si="181"/>
        <v>ascmntadl</v>
      </c>
      <c r="K1033" s="471" t="str">
        <f t="shared" si="182"/>
        <v>sfc</v>
      </c>
      <c r="L1033" s="599"/>
      <c r="M1033" s="471" t="s">
        <v>5151</v>
      </c>
      <c r="N1033" s="471" t="s">
        <v>5152</v>
      </c>
      <c r="O1033" s="471" t="s">
        <v>5153</v>
      </c>
    </row>
    <row r="1034" spans="1:15" x14ac:dyDescent="0.25">
      <c r="A1034" s="471" t="s">
        <v>5444</v>
      </c>
      <c r="B1034" s="1139">
        <f t="shared" ca="1" si="180"/>
        <v>0</v>
      </c>
      <c r="C1034" s="473">
        <f ca="1">IF(ISERROR(VLOOKUP($A$1240,INDIRECT("notes_"&amp;LEFT($A$1240,3)),4,0)),0,VLOOKUP($A$1240,INDIRECT("notes_"&amp;LEFT($A$1240,3)),4,0))</f>
        <v>0</v>
      </c>
      <c r="H1034" s="471">
        <f t="shared" si="179"/>
        <v>2</v>
      </c>
      <c r="I1034" s="471">
        <v>0</v>
      </c>
      <c r="J1034" s="471" t="str">
        <f t="shared" si="181"/>
        <v>ascmntold</v>
      </c>
      <c r="K1034" s="471" t="str">
        <f t="shared" si="182"/>
        <v>sfc</v>
      </c>
      <c r="L1034" s="599"/>
      <c r="M1034" s="471" t="s">
        <v>5151</v>
      </c>
      <c r="N1034" s="471" t="s">
        <v>5152</v>
      </c>
      <c r="O1034" s="471" t="s">
        <v>5153</v>
      </c>
    </row>
    <row r="1035" spans="1:15" x14ac:dyDescent="0.25">
      <c r="A1035" s="471" t="s">
        <v>5445</v>
      </c>
      <c r="B1035" s="1139">
        <f t="shared" ca="1" si="180"/>
        <v>0</v>
      </c>
      <c r="C1035" s="473">
        <f ca="1">IF(ISERROR(VLOOKUP($A$1241,INDIRECT("notes_"&amp;LEFT($A$1241,3)),4,0)),0,VLOOKUP($A$1241,INDIRECT("notes_"&amp;LEFT($A$1241,3)),4,0))</f>
        <v>0</v>
      </c>
      <c r="H1035" s="471">
        <f t="shared" si="179"/>
        <v>2</v>
      </c>
      <c r="I1035" s="471">
        <v>0</v>
      </c>
      <c r="J1035" s="471" t="str">
        <f t="shared" si="181"/>
        <v>ascsclsbs</v>
      </c>
      <c r="K1035" s="471" t="str">
        <f t="shared" si="182"/>
        <v>sfc</v>
      </c>
      <c r="L1035" s="599"/>
      <c r="M1035" s="471" t="s">
        <v>5151</v>
      </c>
      <c r="N1035" s="471" t="s">
        <v>5152</v>
      </c>
      <c r="O1035" s="471" t="s">
        <v>5153</v>
      </c>
    </row>
    <row r="1036" spans="1:15" x14ac:dyDescent="0.25">
      <c r="A1036" s="471" t="s">
        <v>5446</v>
      </c>
      <c r="B1036" s="1139">
        <f t="shared" ca="1" si="180"/>
        <v>0</v>
      </c>
      <c r="C1036" s="473">
        <f ca="1">IF(ISERROR(VLOOKUP($A$1242,INDIRECT("notes_"&amp;LEFT($A$1242,3)),4,0)),0,VLOOKUP($A$1242,INDIRECT("notes_"&amp;LEFT($A$1242,3)),4,0))</f>
        <v>0</v>
      </c>
      <c r="H1036" s="471">
        <f t="shared" si="179"/>
        <v>2</v>
      </c>
      <c r="I1036" s="471">
        <v>0</v>
      </c>
      <c r="J1036" s="471" t="str">
        <f t="shared" si="181"/>
        <v>ascsclasy</v>
      </c>
      <c r="K1036" s="471" t="str">
        <f t="shared" si="182"/>
        <v>sfc</v>
      </c>
      <c r="L1036" s="599"/>
      <c r="M1036" s="471" t="s">
        <v>5151</v>
      </c>
      <c r="N1036" s="471" t="s">
        <v>5152</v>
      </c>
      <c r="O1036" s="471" t="s">
        <v>5153</v>
      </c>
    </row>
    <row r="1037" spans="1:15" x14ac:dyDescent="0.25">
      <c r="A1037" s="471" t="s">
        <v>5447</v>
      </c>
      <c r="B1037" s="1139">
        <f t="shared" ca="1" si="180"/>
        <v>0</v>
      </c>
      <c r="C1037" s="473">
        <f ca="1">IF(ISERROR(VLOOKUP($A$1243,INDIRECT("notes_"&amp;LEFT($A$1243,3)),4,0)),0,VLOOKUP($A$1243,INDIRECT("notes_"&amp;LEFT($A$1243,3)),4,0))</f>
        <v>0</v>
      </c>
      <c r="H1037" s="471">
        <f t="shared" si="179"/>
        <v>2</v>
      </c>
      <c r="I1037" s="471">
        <v>0</v>
      </c>
      <c r="J1037" s="471" t="str">
        <f t="shared" si="181"/>
        <v>ascsclisl</v>
      </c>
      <c r="K1037" s="471" t="str">
        <f t="shared" si="182"/>
        <v>sfc</v>
      </c>
      <c r="L1037" s="599"/>
      <c r="M1037" s="471" t="s">
        <v>5151</v>
      </c>
      <c r="N1037" s="471" t="s">
        <v>5152</v>
      </c>
      <c r="O1037" s="471" t="s">
        <v>5153</v>
      </c>
    </row>
    <row r="1038" spans="1:15" x14ac:dyDescent="0.25">
      <c r="A1038" s="471" t="s">
        <v>5448</v>
      </c>
      <c r="B1038" s="1139">
        <f t="shared" ca="1" si="180"/>
        <v>0</v>
      </c>
      <c r="C1038" s="473">
        <f ca="1">IF(ISERROR(VLOOKUP($A$1244,INDIRECT("notes_"&amp;LEFT($A$1244,3)),4,0)),0,VLOOKUP($A$1244,INDIRECT("notes_"&amp;LEFT($A$1244,3)),4,0))</f>
        <v>0</v>
      </c>
      <c r="H1038" s="471">
        <f t="shared" ref="H1038:H1096" si="197">LEN(A1038)-LEN(SUBSTITUTE(A1038,"-",""))-I1038</f>
        <v>2</v>
      </c>
      <c r="I1038" s="471">
        <v>0</v>
      </c>
      <c r="J1038" s="471" t="str">
        <f t="shared" si="181"/>
        <v>ascsclcrr</v>
      </c>
      <c r="K1038" s="471" t="str">
        <f t="shared" si="182"/>
        <v>sfc</v>
      </c>
      <c r="L1038" s="599"/>
      <c r="M1038" s="471" t="s">
        <v>5151</v>
      </c>
      <c r="N1038" s="471" t="s">
        <v>5152</v>
      </c>
      <c r="O1038" s="471" t="s">
        <v>5153</v>
      </c>
    </row>
    <row r="1039" spans="1:15" x14ac:dyDescent="0.25">
      <c r="A1039" s="1120" t="s">
        <v>5449</v>
      </c>
      <c r="B1039" s="1139" t="str">
        <f t="shared" ref="B1039:B1097" ca="1" si="198">INDEX(INDIRECT(LEFT($A1039,SEARCH("-",$A1039,1)-1)&amp;"_data"),MATCH(MID($A1039,SEARCH("-",$A1039)+1,SEARCH("#",SUBSTITUTE($A1039,"-","#",H1039),1)-(SEARCH("-",$A1039)+1)),INDIRECT(LEFT($A1039,SEARCH("-",$A1039,1)-1)&amp;"_rows"),0),MATCH(RIGHT($A1039,LEN($A1039)-LEN(LEFT($A1039,SEARCH("#",SUBSTITUTE($A1039,"-","#",H1039),1)))),INDIRECT(LEFT($A1039,SEARCH("-",$A1039,1)-1)&amp;"_Header"),0))</f>
        <v/>
      </c>
      <c r="C1039" s="473"/>
      <c r="H1039" s="471">
        <f t="shared" si="197"/>
        <v>2</v>
      </c>
      <c r="I1039" s="471">
        <v>0</v>
      </c>
      <c r="J1039" s="471" t="str">
        <f t="shared" si="181"/>
        <v>ascsclcrradl</v>
      </c>
      <c r="K1039" s="471" t="str">
        <f t="shared" si="182"/>
        <v>sfc</v>
      </c>
      <c r="L1039" s="599"/>
      <c r="M1039" s="471" t="s">
        <v>5151</v>
      </c>
      <c r="N1039" s="471" t="s">
        <v>5152</v>
      </c>
      <c r="O1039" s="471" t="s">
        <v>5153</v>
      </c>
    </row>
    <row r="1040" spans="1:15" x14ac:dyDescent="0.25">
      <c r="A1040" s="1120" t="s">
        <v>5450</v>
      </c>
      <c r="B1040" s="1139" t="str">
        <f t="shared" ca="1" si="198"/>
        <v/>
      </c>
      <c r="C1040" s="473"/>
      <c r="H1040" s="471">
        <f t="shared" si="197"/>
        <v>2</v>
      </c>
      <c r="I1040" s="471">
        <v>0</v>
      </c>
      <c r="J1040" s="471" t="str">
        <f t="shared" si="181"/>
        <v>ascsclcrrold</v>
      </c>
      <c r="K1040" s="471" t="str">
        <f t="shared" si="182"/>
        <v>sfc</v>
      </c>
      <c r="L1040" s="599"/>
      <c r="M1040" s="471" t="s">
        <v>5151</v>
      </c>
      <c r="N1040" s="471" t="s">
        <v>5152</v>
      </c>
      <c r="O1040" s="471" t="s">
        <v>5153</v>
      </c>
    </row>
    <row r="1041" spans="1:15" x14ac:dyDescent="0.25">
      <c r="A1041" s="471" t="s">
        <v>5451</v>
      </c>
      <c r="B1041" s="1139">
        <f t="shared" ca="1" si="198"/>
        <v>0</v>
      </c>
      <c r="C1041" s="473">
        <f ca="1">IF(ISERROR(VLOOKUP($A$1247,INDIRECT("notes_"&amp;LEFT($A$1247,3)),4,0)),0,VLOOKUP($A$1247,INDIRECT("notes_"&amp;LEFT($A$1247,3)),4,0))</f>
        <v>0</v>
      </c>
      <c r="H1041" s="471">
        <f t="shared" si="197"/>
        <v>2</v>
      </c>
      <c r="I1041" s="471">
        <v>0</v>
      </c>
      <c r="J1041" s="471" t="str">
        <f t="shared" si="181"/>
        <v>ascass</v>
      </c>
      <c r="K1041" s="471" t="str">
        <f t="shared" si="182"/>
        <v>sfc</v>
      </c>
      <c r="L1041" s="599"/>
      <c r="M1041" s="471" t="s">
        <v>5151</v>
      </c>
      <c r="N1041" s="471" t="s">
        <v>5152</v>
      </c>
      <c r="O1041" s="471" t="s">
        <v>5153</v>
      </c>
    </row>
    <row r="1042" spans="1:15" x14ac:dyDescent="0.25">
      <c r="A1042" s="471" t="s">
        <v>5452</v>
      </c>
      <c r="B1042" s="1139" t="str">
        <f t="shared" ca="1" si="198"/>
        <v/>
      </c>
      <c r="C1042" s="473"/>
      <c r="H1042" s="471">
        <f t="shared" si="197"/>
        <v>2</v>
      </c>
      <c r="I1042" s="471">
        <v>0</v>
      </c>
      <c r="J1042" s="471" t="str">
        <f t="shared" ref="J1042:J1100" si="199">MID($A1042,SEARCH("-",$A1042)+1,SEARCH("#",SUBSTITUTE($A1042,"-","#",H1042),1)-(SEARCH("-",$A1042)+1))</f>
        <v>ascassadl</v>
      </c>
      <c r="K1042" s="471" t="str">
        <f t="shared" ref="K1042:K1100" si="200">RIGHT($A1042,LEN($A1042)-SEARCH("#",SUBSTITUTE($A1042,"-","#",H1042),1))</f>
        <v>sfc</v>
      </c>
      <c r="L1042" s="599"/>
      <c r="M1042" s="471" t="s">
        <v>5151</v>
      </c>
      <c r="N1042" s="471" t="s">
        <v>5152</v>
      </c>
      <c r="O1042" s="471" t="s">
        <v>5153</v>
      </c>
    </row>
    <row r="1043" spans="1:15" x14ac:dyDescent="0.25">
      <c r="A1043" s="471" t="s">
        <v>5453</v>
      </c>
      <c r="B1043" s="1139" t="str">
        <f t="shared" ca="1" si="198"/>
        <v/>
      </c>
      <c r="C1043" s="473"/>
      <c r="H1043" s="471">
        <f t="shared" si="197"/>
        <v>2</v>
      </c>
      <c r="I1043" s="471">
        <v>0</v>
      </c>
      <c r="J1043" s="471" t="str">
        <f t="shared" si="199"/>
        <v>ascassold</v>
      </c>
      <c r="K1043" s="471" t="str">
        <f t="shared" si="200"/>
        <v>sfc</v>
      </c>
      <c r="L1043" s="599"/>
      <c r="M1043" s="471" t="s">
        <v>5151</v>
      </c>
      <c r="N1043" s="471" t="s">
        <v>5152</v>
      </c>
      <c r="O1043" s="471" t="s">
        <v>5153</v>
      </c>
    </row>
    <row r="1044" spans="1:15" x14ac:dyDescent="0.25">
      <c r="A1044" s="471" t="s">
        <v>5454</v>
      </c>
      <c r="B1044" s="1139">
        <f t="shared" ca="1" si="198"/>
        <v>0</v>
      </c>
      <c r="C1044" s="473">
        <f ca="1">IF(ISERROR(VLOOKUP($A$1250,INDIRECT("notes_"&amp;LEFT($A$1250,3)),4,0)),0,VLOOKUP($A$1250,INDIRECT("notes_"&amp;LEFT($A$1250,3)),4,0))</f>
        <v>0</v>
      </c>
      <c r="H1044" s="471">
        <f t="shared" si="197"/>
        <v>2</v>
      </c>
      <c r="I1044" s="471">
        <v>0</v>
      </c>
      <c r="J1044" s="471" t="str">
        <f t="shared" si="199"/>
        <v>asccrasssfg</v>
      </c>
      <c r="K1044" s="471" t="str">
        <f t="shared" si="200"/>
        <v>sfc</v>
      </c>
      <c r="L1044" s="599"/>
      <c r="M1044" s="471" t="s">
        <v>5151</v>
      </c>
      <c r="N1044" s="471" t="s">
        <v>5152</v>
      </c>
      <c r="O1044" s="471" t="s">
        <v>5153</v>
      </c>
    </row>
    <row r="1045" spans="1:15" x14ac:dyDescent="0.25">
      <c r="A1045" s="471" t="s">
        <v>5455</v>
      </c>
      <c r="B1045" s="1139" t="str">
        <f t="shared" ca="1" si="198"/>
        <v/>
      </c>
      <c r="C1045" s="473"/>
      <c r="H1045" s="471">
        <f t="shared" si="197"/>
        <v>2</v>
      </c>
      <c r="I1045" s="471">
        <v>0</v>
      </c>
      <c r="J1045" s="471" t="str">
        <f t="shared" si="199"/>
        <v>asccrasssfgadl</v>
      </c>
      <c r="K1045" s="471" t="str">
        <f t="shared" si="200"/>
        <v>sfc</v>
      </c>
      <c r="L1045" s="599"/>
      <c r="M1045" s="471" t="s">
        <v>5151</v>
      </c>
      <c r="N1045" s="471" t="s">
        <v>5152</v>
      </c>
      <c r="O1045" s="471" t="s">
        <v>5153</v>
      </c>
    </row>
    <row r="1046" spans="1:15" x14ac:dyDescent="0.25">
      <c r="A1046" s="471" t="s">
        <v>5456</v>
      </c>
      <c r="B1046" s="1139" t="str">
        <f t="shared" ca="1" si="198"/>
        <v/>
      </c>
      <c r="C1046" s="473"/>
      <c r="H1046" s="471">
        <f t="shared" si="197"/>
        <v>2</v>
      </c>
      <c r="I1046" s="471">
        <v>0</v>
      </c>
      <c r="J1046" s="471" t="str">
        <f t="shared" si="199"/>
        <v>asccrasssfgold</v>
      </c>
      <c r="K1046" s="471" t="str">
        <f t="shared" si="200"/>
        <v>sfc</v>
      </c>
      <c r="L1046" s="599"/>
      <c r="M1046" s="471" t="s">
        <v>5151</v>
      </c>
      <c r="N1046" s="471" t="s">
        <v>5152</v>
      </c>
      <c r="O1046" s="471" t="s">
        <v>5153</v>
      </c>
    </row>
    <row r="1047" spans="1:15" x14ac:dyDescent="0.25">
      <c r="A1047" s="471" t="s">
        <v>5457</v>
      </c>
      <c r="B1047" s="1139">
        <f t="shared" ca="1" si="198"/>
        <v>0</v>
      </c>
      <c r="C1047" s="473">
        <f ca="1">IF(ISERROR(VLOOKUP($A$1253,INDIRECT("notes_"&amp;LEFT($A$1253,3)),4,0)),0,VLOOKUP($A$1253,INDIRECT("notes_"&amp;LEFT($A$1253,3)),4,0))</f>
        <v>0</v>
      </c>
      <c r="H1047" s="471">
        <f t="shared" si="197"/>
        <v>2</v>
      </c>
      <c r="I1047" s="471">
        <v>0</v>
      </c>
      <c r="J1047" s="471" t="str">
        <f t="shared" si="199"/>
        <v>ascinf</v>
      </c>
      <c r="K1047" s="471" t="str">
        <f t="shared" si="200"/>
        <v>sfc</v>
      </c>
      <c r="L1047" s="599"/>
      <c r="M1047" s="471" t="s">
        <v>5151</v>
      </c>
      <c r="N1047" s="471" t="s">
        <v>5152</v>
      </c>
      <c r="O1047" s="471" t="s">
        <v>5153</v>
      </c>
    </row>
    <row r="1048" spans="1:15" x14ac:dyDescent="0.25">
      <c r="A1048" s="471" t="s">
        <v>5458</v>
      </c>
      <c r="B1048" s="1139" t="str">
        <f t="shared" ca="1" si="198"/>
        <v/>
      </c>
      <c r="C1048" s="473"/>
      <c r="H1048" s="471">
        <f t="shared" si="197"/>
        <v>2</v>
      </c>
      <c r="I1048" s="471">
        <v>0</v>
      </c>
      <c r="J1048" s="471" t="str">
        <f t="shared" si="199"/>
        <v>ascinfadl</v>
      </c>
      <c r="K1048" s="471" t="str">
        <f t="shared" si="200"/>
        <v>sfc</v>
      </c>
      <c r="L1048" s="599"/>
      <c r="M1048" s="471" t="s">
        <v>5151</v>
      </c>
      <c r="N1048" s="471" t="s">
        <v>5152</v>
      </c>
      <c r="O1048" s="471" t="s">
        <v>5153</v>
      </c>
    </row>
    <row r="1049" spans="1:15" x14ac:dyDescent="0.25">
      <c r="A1049" s="471" t="s">
        <v>5459</v>
      </c>
      <c r="B1049" s="1139" t="str">
        <f t="shared" ca="1" si="198"/>
        <v/>
      </c>
      <c r="C1049" s="473"/>
      <c r="H1049" s="471">
        <f t="shared" si="197"/>
        <v>2</v>
      </c>
      <c r="I1049" s="471">
        <v>0</v>
      </c>
      <c r="J1049" s="471" t="str">
        <f t="shared" si="199"/>
        <v>ascinfold</v>
      </c>
      <c r="K1049" s="471" t="str">
        <f t="shared" si="200"/>
        <v>sfc</v>
      </c>
      <c r="L1049" s="599"/>
      <c r="M1049" s="471" t="s">
        <v>5151</v>
      </c>
      <c r="N1049" s="471" t="s">
        <v>5152</v>
      </c>
      <c r="O1049" s="471" t="s">
        <v>5153</v>
      </c>
    </row>
    <row r="1050" spans="1:15" x14ac:dyDescent="0.25">
      <c r="A1050" s="471" t="s">
        <v>5460</v>
      </c>
      <c r="B1050" s="1139">
        <f t="shared" ca="1" si="198"/>
        <v>0</v>
      </c>
      <c r="C1050" s="473">
        <f ca="1">IF(ISERROR(VLOOKUP($A$1256,INDIRECT("notes_"&amp;LEFT($A$1256,3)),4,0)),0,VLOOKUP($A$1256,INDIRECT("notes_"&amp;LEFT($A$1256,3)),4,0))</f>
        <v>0</v>
      </c>
      <c r="H1050" s="471">
        <f t="shared" si="197"/>
        <v>2</v>
      </c>
      <c r="I1050" s="471">
        <v>0</v>
      </c>
      <c r="J1050" s="471" t="str">
        <f t="shared" si="199"/>
        <v>asccmstad</v>
      </c>
      <c r="K1050" s="471" t="str">
        <f t="shared" si="200"/>
        <v>sfc</v>
      </c>
      <c r="L1050" s="599"/>
      <c r="M1050" s="471" t="s">
        <v>5151</v>
      </c>
      <c r="N1050" s="471" t="s">
        <v>5152</v>
      </c>
      <c r="O1050" s="471" t="s">
        <v>5153</v>
      </c>
    </row>
    <row r="1051" spans="1:15" x14ac:dyDescent="0.25">
      <c r="A1051" s="471" t="s">
        <v>5461</v>
      </c>
      <c r="B1051" s="1139" t="str">
        <f t="shared" ca="1" si="198"/>
        <v/>
      </c>
      <c r="C1051" s="473"/>
      <c r="H1051" s="471">
        <f t="shared" si="197"/>
        <v>2</v>
      </c>
      <c r="I1051" s="471">
        <v>0</v>
      </c>
      <c r="J1051" s="471" t="str">
        <f t="shared" si="199"/>
        <v>asccmstadadl</v>
      </c>
      <c r="K1051" s="471" t="str">
        <f t="shared" si="200"/>
        <v>sfc</v>
      </c>
      <c r="L1051" s="599"/>
      <c r="M1051" s="471" t="s">
        <v>5151</v>
      </c>
      <c r="N1051" s="471" t="s">
        <v>5152</v>
      </c>
      <c r="O1051" s="471" t="s">
        <v>5153</v>
      </c>
    </row>
    <row r="1052" spans="1:15" x14ac:dyDescent="0.25">
      <c r="A1052" s="471" t="s">
        <v>5462</v>
      </c>
      <c r="B1052" s="1139" t="str">
        <f t="shared" ca="1" si="198"/>
        <v/>
      </c>
      <c r="C1052" s="473"/>
      <c r="H1052" s="471">
        <f t="shared" si="197"/>
        <v>2</v>
      </c>
      <c r="I1052" s="471">
        <v>0</v>
      </c>
      <c r="J1052" s="471" t="str">
        <f t="shared" si="199"/>
        <v>asccmstadold</v>
      </c>
      <c r="K1052" s="471" t="str">
        <f t="shared" si="200"/>
        <v>sfc</v>
      </c>
      <c r="L1052" s="599"/>
      <c r="M1052" s="471" t="s">
        <v>5151</v>
      </c>
      <c r="N1052" s="471" t="s">
        <v>5152</v>
      </c>
      <c r="O1052" s="471" t="s">
        <v>5153</v>
      </c>
    </row>
    <row r="1053" spans="1:15" x14ac:dyDescent="0.25">
      <c r="A1053" s="471" t="s">
        <v>5463</v>
      </c>
      <c r="B1053" s="1139">
        <f t="shared" ca="1" si="198"/>
        <v>0</v>
      </c>
      <c r="C1053" s="473">
        <f ca="1">IF(ISERROR(VLOOKUP($A$1259,INDIRECT("notes_"&amp;LEFT($A$1259,3)),4,0)),0,VLOOKUP($A$1259,INDIRECT("notes_"&amp;LEFT($A$1259,3)),4,0))</f>
        <v>0</v>
      </c>
      <c r="H1053" s="471">
        <f t="shared" si="197"/>
        <v>2</v>
      </c>
      <c r="I1053" s="471">
        <v>0</v>
      </c>
      <c r="J1053" s="471" t="str">
        <f t="shared" si="199"/>
        <v>asctot</v>
      </c>
      <c r="K1053" s="471" t="str">
        <f t="shared" si="200"/>
        <v>sfc</v>
      </c>
      <c r="L1053" s="599"/>
      <c r="M1053" s="471" t="s">
        <v>5151</v>
      </c>
      <c r="N1053" s="471" t="s">
        <v>5152</v>
      </c>
      <c r="O1053" s="471" t="s">
        <v>5153</v>
      </c>
    </row>
    <row r="1054" spans="1:15" x14ac:dyDescent="0.25">
      <c r="A1054" s="471" t="s">
        <v>5464</v>
      </c>
      <c r="B1054" s="1139">
        <f t="shared" ca="1" si="198"/>
        <v>0</v>
      </c>
      <c r="C1054" s="473">
        <f ca="1">IF(ISERROR(VLOOKUP($A$1260,INDIRECT("notes_"&amp;LEFT($A$1260,3)),4,0)),0,VLOOKUP($A$1260,INDIRECT("notes_"&amp;LEFT($A$1260,3)),4,0))</f>
        <v>0</v>
      </c>
      <c r="H1054" s="471">
        <f t="shared" si="197"/>
        <v>2</v>
      </c>
      <c r="I1054" s="471">
        <v>0</v>
      </c>
      <c r="J1054" s="471" t="str">
        <f t="shared" si="199"/>
        <v>phsxlsti</v>
      </c>
      <c r="K1054" s="471" t="str">
        <f t="shared" si="200"/>
        <v>sfc</v>
      </c>
      <c r="L1054" s="599"/>
      <c r="M1054" s="471" t="s">
        <v>5151</v>
      </c>
      <c r="N1054" s="471" t="s">
        <v>5152</v>
      </c>
      <c r="O1054" s="471" t="s">
        <v>5153</v>
      </c>
    </row>
    <row r="1055" spans="1:15" x14ac:dyDescent="0.25">
      <c r="A1055" s="471" t="s">
        <v>5465</v>
      </c>
      <c r="B1055" s="1139">
        <f t="shared" ca="1" si="198"/>
        <v>0</v>
      </c>
      <c r="C1055" s="473">
        <f ca="1">IF(ISERROR(VLOOKUP($A$1261,INDIRECT("notes_"&amp;LEFT($A$1261,3)),4,0)),0,VLOOKUP($A$1261,INDIRECT("notes_"&amp;LEFT($A$1261,3)),4,0))</f>
        <v>0</v>
      </c>
      <c r="H1055" s="471">
        <f t="shared" si="197"/>
        <v>2</v>
      </c>
      <c r="I1055" s="471">
        <v>0</v>
      </c>
      <c r="J1055" s="471" t="str">
        <f t="shared" si="199"/>
        <v>phsxlcnt</v>
      </c>
      <c r="K1055" s="471" t="str">
        <f t="shared" si="200"/>
        <v>sfc</v>
      </c>
      <c r="L1055" s="599"/>
      <c r="M1055" s="471" t="s">
        <v>5151</v>
      </c>
      <c r="N1055" s="471" t="s">
        <v>5152</v>
      </c>
      <c r="O1055" s="471" t="s">
        <v>5153</v>
      </c>
    </row>
    <row r="1056" spans="1:15" x14ac:dyDescent="0.25">
      <c r="A1056" s="471" t="s">
        <v>5466</v>
      </c>
      <c r="B1056" s="1139">
        <f t="shared" ca="1" si="198"/>
        <v>0</v>
      </c>
      <c r="C1056" s="473">
        <f ca="1">IF(ISERROR(VLOOKUP($A$1262,INDIRECT("notes_"&amp;LEFT($A$1262,3)),4,0)),0,VLOOKUP($A$1262,INDIRECT("notes_"&amp;LEFT($A$1262,3)),4,0))</f>
        <v>0</v>
      </c>
      <c r="H1056" s="471">
        <f t="shared" si="197"/>
        <v>2</v>
      </c>
      <c r="I1056" s="471">
        <v>0</v>
      </c>
      <c r="J1056" s="471" t="str">
        <f t="shared" si="199"/>
        <v>phsxlprm</v>
      </c>
      <c r="K1056" s="471" t="str">
        <f t="shared" si="200"/>
        <v>sfc</v>
      </c>
      <c r="L1056" s="599"/>
      <c r="M1056" s="471" t="s">
        <v>5151</v>
      </c>
      <c r="N1056" s="471" t="s">
        <v>5152</v>
      </c>
      <c r="O1056" s="471" t="s">
        <v>5153</v>
      </c>
    </row>
    <row r="1057" spans="1:15" x14ac:dyDescent="0.25">
      <c r="A1057" s="471" t="s">
        <v>5467</v>
      </c>
      <c r="B1057" s="1139">
        <f t="shared" ca="1" si="198"/>
        <v>0</v>
      </c>
      <c r="C1057" s="473">
        <f ca="1">IF(ISERROR(VLOOKUP($A$1263,INDIRECT("notes_"&amp;LEFT($A$1263,3)),4,0)),0,VLOOKUP($A$1263,INDIRECT("notes_"&amp;LEFT($A$1263,3)),4,0))</f>
        <v>0</v>
      </c>
      <c r="H1057" s="471">
        <f t="shared" si="197"/>
        <v>2</v>
      </c>
      <c r="I1057" s="471">
        <v>0</v>
      </c>
      <c r="J1057" s="471" t="str">
        <f t="shared" si="199"/>
        <v>phhcp</v>
      </c>
      <c r="K1057" s="471" t="str">
        <f t="shared" si="200"/>
        <v>sfc</v>
      </c>
      <c r="L1057" s="599"/>
      <c r="M1057" s="471" t="s">
        <v>5151</v>
      </c>
      <c r="N1057" s="471" t="s">
        <v>5152</v>
      </c>
      <c r="O1057" s="471" t="s">
        <v>5153</v>
      </c>
    </row>
    <row r="1058" spans="1:15" x14ac:dyDescent="0.25">
      <c r="A1058" s="471" t="s">
        <v>5468</v>
      </c>
      <c r="B1058" s="1139">
        <f t="shared" ca="1" si="198"/>
        <v>0</v>
      </c>
      <c r="C1058" s="473">
        <f ca="1">IF(ISERROR(VLOOKUP($A$1264,INDIRECT("notes_"&amp;LEFT($A$1264,3)),4,0)),0,VLOOKUP($A$1264,INDIRECT("notes_"&amp;LEFT($A$1264,3)),4,0))</f>
        <v>0</v>
      </c>
      <c r="H1058" s="471">
        <f t="shared" si="197"/>
        <v>2</v>
      </c>
      <c r="I1058" s="471">
        <v>0</v>
      </c>
      <c r="J1058" s="471" t="str">
        <f t="shared" si="199"/>
        <v>phprt</v>
      </c>
      <c r="K1058" s="471" t="str">
        <f t="shared" si="200"/>
        <v>sfc</v>
      </c>
      <c r="L1058" s="599"/>
      <c r="M1058" s="471" t="s">
        <v>5151</v>
      </c>
      <c r="N1058" s="471" t="s">
        <v>5152</v>
      </c>
      <c r="O1058" s="471" t="s">
        <v>5153</v>
      </c>
    </row>
    <row r="1059" spans="1:15" x14ac:dyDescent="0.25">
      <c r="A1059" s="471" t="s">
        <v>5469</v>
      </c>
      <c r="B1059" s="1139">
        <f t="shared" ca="1" si="198"/>
        <v>0</v>
      </c>
      <c r="C1059" s="473">
        <f ca="1">IF(ISERROR(VLOOKUP($A$1265,INDIRECT("notes_"&amp;LEFT($A$1265,3)),4,0)),0,VLOOKUP($A$1265,INDIRECT("notes_"&amp;LEFT($A$1265,3)),4,0))</f>
        <v>0</v>
      </c>
      <c r="H1059" s="471">
        <f t="shared" si="197"/>
        <v>2</v>
      </c>
      <c r="I1059" s="471">
        <v>0</v>
      </c>
      <c r="J1059" s="471" t="str">
        <f t="shared" si="199"/>
        <v>phcmp</v>
      </c>
      <c r="K1059" s="471" t="str">
        <f t="shared" si="200"/>
        <v>sfc</v>
      </c>
      <c r="L1059" s="599"/>
      <c r="M1059" s="471" t="s">
        <v>5151</v>
      </c>
      <c r="N1059" s="471" t="s">
        <v>5152</v>
      </c>
      <c r="O1059" s="471" t="s">
        <v>5153</v>
      </c>
    </row>
    <row r="1060" spans="1:15" x14ac:dyDescent="0.25">
      <c r="A1060" s="471" t="s">
        <v>5470</v>
      </c>
      <c r="B1060" s="1139">
        <f t="shared" ca="1" si="198"/>
        <v>0</v>
      </c>
      <c r="C1060" s="473">
        <f ca="1">IF(ISERROR(VLOOKUP($A$1266,INDIRECT("notes_"&amp;LEFT($A$1266,3)),4,0)),0,VLOOKUP($A$1266,INDIRECT("notes_"&amp;LEFT($A$1266,3)),4,0))</f>
        <v>0</v>
      </c>
      <c r="H1060" s="471">
        <f t="shared" si="197"/>
        <v>2</v>
      </c>
      <c r="I1060" s="471">
        <v>0</v>
      </c>
      <c r="J1060" s="471" t="str">
        <f t="shared" si="199"/>
        <v>phadv</v>
      </c>
      <c r="K1060" s="471" t="str">
        <f t="shared" si="200"/>
        <v>sfc</v>
      </c>
      <c r="L1060" s="599"/>
      <c r="M1060" s="471" t="s">
        <v>5151</v>
      </c>
      <c r="N1060" s="471" t="s">
        <v>5152</v>
      </c>
      <c r="O1060" s="471" t="s">
        <v>5153</v>
      </c>
    </row>
    <row r="1061" spans="1:15" x14ac:dyDescent="0.25">
      <c r="A1061" s="471" t="s">
        <v>5471</v>
      </c>
      <c r="B1061" s="1139">
        <f t="shared" ca="1" si="198"/>
        <v>0</v>
      </c>
      <c r="C1061" s="473">
        <f ca="1">IF(ISERROR(VLOOKUP($A$1267,INDIRECT("notes_"&amp;LEFT($A$1267,3)),4,0)),0,VLOOKUP($A$1267,INDIRECT("notes_"&amp;LEFT($A$1267,3)),4,0))</f>
        <v>0</v>
      </c>
      <c r="H1061" s="471">
        <f t="shared" si="197"/>
        <v>2</v>
      </c>
      <c r="I1061" s="471">
        <v>0</v>
      </c>
      <c r="J1061" s="471" t="str">
        <f t="shared" si="199"/>
        <v>phobsadl</v>
      </c>
      <c r="K1061" s="471" t="str">
        <f t="shared" si="200"/>
        <v>sfc</v>
      </c>
      <c r="L1061" s="599"/>
      <c r="M1061" s="471" t="s">
        <v>5151</v>
      </c>
      <c r="N1061" s="471" t="s">
        <v>5152</v>
      </c>
      <c r="O1061" s="471" t="s">
        <v>5153</v>
      </c>
    </row>
    <row r="1062" spans="1:15" x14ac:dyDescent="0.25">
      <c r="A1062" s="471" t="s">
        <v>5472</v>
      </c>
      <c r="B1062" s="1139">
        <f t="shared" ca="1" si="198"/>
        <v>0</v>
      </c>
      <c r="C1062" s="473">
        <f ca="1">IF(ISERROR(VLOOKUP($A$1268,INDIRECT("notes_"&amp;LEFT($A$1268,3)),4,0)),0,VLOOKUP($A$1268,INDIRECT("notes_"&amp;LEFT($A$1268,3)),4,0))</f>
        <v>0</v>
      </c>
      <c r="H1062" s="471">
        <f t="shared" si="197"/>
        <v>2</v>
      </c>
      <c r="I1062" s="471">
        <v>0</v>
      </c>
      <c r="J1062" s="471" t="str">
        <f t="shared" si="199"/>
        <v>phobschl</v>
      </c>
      <c r="K1062" s="471" t="str">
        <f t="shared" si="200"/>
        <v>sfc</v>
      </c>
      <c r="L1062" s="599"/>
      <c r="M1062" s="471" t="s">
        <v>5151</v>
      </c>
      <c r="N1062" s="471" t="s">
        <v>5152</v>
      </c>
      <c r="O1062" s="471" t="s">
        <v>5153</v>
      </c>
    </row>
    <row r="1063" spans="1:15" x14ac:dyDescent="0.25">
      <c r="A1063" s="471" t="s">
        <v>5473</v>
      </c>
      <c r="B1063" s="1139">
        <f t="shared" ca="1" si="198"/>
        <v>0</v>
      </c>
      <c r="C1063" s="473">
        <f ca="1">IF(ISERROR(VLOOKUP($A$1269,INDIRECT("notes_"&amp;LEFT($A$1269,3)),4,0)),0,VLOOKUP($A$1269,INDIRECT("notes_"&amp;LEFT($A$1269,3)),4,0))</f>
        <v>0</v>
      </c>
      <c r="H1063" s="471">
        <f t="shared" si="197"/>
        <v>2</v>
      </c>
      <c r="I1063" s="471">
        <v>0</v>
      </c>
      <c r="J1063" s="471" t="str">
        <f t="shared" si="199"/>
        <v>phphyadl</v>
      </c>
      <c r="K1063" s="471" t="str">
        <f t="shared" si="200"/>
        <v>sfc</v>
      </c>
      <c r="L1063" s="599"/>
      <c r="M1063" s="471" t="s">
        <v>5151</v>
      </c>
      <c r="N1063" s="471" t="s">
        <v>5152</v>
      </c>
      <c r="O1063" s="471" t="s">
        <v>5153</v>
      </c>
    </row>
    <row r="1064" spans="1:15" x14ac:dyDescent="0.25">
      <c r="A1064" s="471" t="s">
        <v>5474</v>
      </c>
      <c r="B1064" s="1139">
        <f t="shared" ca="1" si="198"/>
        <v>0</v>
      </c>
      <c r="C1064" s="473">
        <f ca="1">IF(ISERROR(VLOOKUP($A$1270,INDIRECT("notes_"&amp;LEFT($A$1270,3)),4,0)),0,VLOOKUP($A$1270,INDIRECT("notes_"&amp;LEFT($A$1270,3)),4,0))</f>
        <v>0</v>
      </c>
      <c r="H1064" s="471">
        <f t="shared" si="197"/>
        <v>2</v>
      </c>
      <c r="I1064" s="471">
        <v>0</v>
      </c>
      <c r="J1064" s="471" t="str">
        <f t="shared" si="199"/>
        <v>phphychl</v>
      </c>
      <c r="K1064" s="471" t="str">
        <f t="shared" si="200"/>
        <v>sfc</v>
      </c>
      <c r="L1064" s="599"/>
      <c r="M1064" s="471" t="s">
        <v>5151</v>
      </c>
      <c r="N1064" s="471" t="s">
        <v>5152</v>
      </c>
      <c r="O1064" s="471" t="s">
        <v>5153</v>
      </c>
    </row>
    <row r="1065" spans="1:15" x14ac:dyDescent="0.25">
      <c r="A1065" s="471" t="s">
        <v>5475</v>
      </c>
      <c r="B1065" s="1139">
        <f t="shared" ca="1" si="198"/>
        <v>0</v>
      </c>
      <c r="C1065" s="473">
        <f ca="1">IF(ISERROR(VLOOKUP($A$1271,INDIRECT("notes_"&amp;LEFT($A$1271,3)),4,0)),0,VLOOKUP($A$1271,INDIRECT("notes_"&amp;LEFT($A$1271,3)),4,0))</f>
        <v>0</v>
      </c>
      <c r="H1065" s="471">
        <f t="shared" si="197"/>
        <v>2</v>
      </c>
      <c r="I1065" s="471">
        <v>0</v>
      </c>
      <c r="J1065" s="471" t="str">
        <f t="shared" si="199"/>
        <v>phsbstrtdrg</v>
      </c>
      <c r="K1065" s="471" t="str">
        <f t="shared" si="200"/>
        <v>sfc</v>
      </c>
      <c r="L1065" s="599"/>
      <c r="M1065" s="471" t="s">
        <v>5151</v>
      </c>
      <c r="N1065" s="471" t="s">
        <v>5152</v>
      </c>
      <c r="O1065" s="471" t="s">
        <v>5153</v>
      </c>
    </row>
    <row r="1066" spans="1:15" x14ac:dyDescent="0.25">
      <c r="A1066" s="471" t="s">
        <v>5476</v>
      </c>
      <c r="B1066" s="1139">
        <f t="shared" ca="1" si="198"/>
        <v>0</v>
      </c>
      <c r="C1066" s="473">
        <f ca="1">IF(ISERROR(VLOOKUP($A$1272,INDIRECT("notes_"&amp;LEFT($A$1272,3)),4,0)),0,VLOOKUP($A$1272,INDIRECT("notes_"&amp;LEFT($A$1272,3)),4,0))</f>
        <v>0</v>
      </c>
      <c r="H1066" s="471">
        <f t="shared" si="197"/>
        <v>2</v>
      </c>
      <c r="I1066" s="471">
        <v>0</v>
      </c>
      <c r="J1066" s="471" t="str">
        <f t="shared" si="199"/>
        <v>phsbsprvdrg</v>
      </c>
      <c r="K1066" s="471" t="str">
        <f t="shared" si="200"/>
        <v>sfc</v>
      </c>
      <c r="L1066" s="599"/>
      <c r="M1066" s="471" t="s">
        <v>5151</v>
      </c>
      <c r="N1066" s="471" t="s">
        <v>5152</v>
      </c>
      <c r="O1066" s="471" t="s">
        <v>5153</v>
      </c>
    </row>
    <row r="1067" spans="1:15" x14ac:dyDescent="0.25">
      <c r="A1067" s="471" t="s">
        <v>5477</v>
      </c>
      <c r="B1067" s="1139">
        <f t="shared" ca="1" si="198"/>
        <v>0</v>
      </c>
      <c r="C1067" s="473">
        <f ca="1">IF(ISERROR(VLOOKUP($A$1273,INDIRECT("notes_"&amp;LEFT($A$1273,3)),4,0)),0,VLOOKUP($A$1273,INDIRECT("notes_"&amp;LEFT($A$1273,3)),4,0))</f>
        <v>0</v>
      </c>
      <c r="H1067" s="471">
        <f t="shared" si="197"/>
        <v>2</v>
      </c>
      <c r="I1067" s="471">
        <v>0</v>
      </c>
      <c r="J1067" s="471" t="str">
        <f t="shared" si="199"/>
        <v>phsbsspc</v>
      </c>
      <c r="K1067" s="471" t="str">
        <f t="shared" si="200"/>
        <v>sfc</v>
      </c>
      <c r="L1067" s="599"/>
      <c r="M1067" s="471" t="s">
        <v>5151</v>
      </c>
      <c r="N1067" s="471" t="s">
        <v>5152</v>
      </c>
      <c r="O1067" s="471" t="s">
        <v>5153</v>
      </c>
    </row>
    <row r="1068" spans="1:15" x14ac:dyDescent="0.25">
      <c r="A1068" s="471" t="s">
        <v>5478</v>
      </c>
      <c r="B1068" s="1139">
        <f t="shared" ca="1" si="198"/>
        <v>0</v>
      </c>
      <c r="C1068" s="473">
        <f ca="1">IF(ISERROR(VLOOKUP($A$1274,INDIRECT("notes_"&amp;LEFT($A$1274,3)),4,0)),0,VLOOKUP($A$1274,INDIRECT("notes_"&amp;LEFT($A$1274,3)),4,0))</f>
        <v>0</v>
      </c>
      <c r="H1068" s="471">
        <f t="shared" si="197"/>
        <v>2</v>
      </c>
      <c r="I1068" s="471">
        <v>0</v>
      </c>
      <c r="J1068" s="471" t="str">
        <f t="shared" si="199"/>
        <v>phsmkstp</v>
      </c>
      <c r="K1068" s="471" t="str">
        <f t="shared" si="200"/>
        <v>sfc</v>
      </c>
      <c r="L1068" s="599"/>
      <c r="M1068" s="471" t="s">
        <v>5151</v>
      </c>
      <c r="N1068" s="471" t="s">
        <v>5152</v>
      </c>
      <c r="O1068" s="471" t="s">
        <v>5153</v>
      </c>
    </row>
    <row r="1069" spans="1:15" x14ac:dyDescent="0.25">
      <c r="A1069" s="471" t="s">
        <v>5479</v>
      </c>
      <c r="B1069" s="1139">
        <f t="shared" ca="1" si="198"/>
        <v>0</v>
      </c>
      <c r="C1069" s="473">
        <f ca="1">IF(ISERROR(VLOOKUP($A$1275,INDIRECT("notes_"&amp;LEFT($A$1275,3)),4,0)),0,VLOOKUP($A$1275,INDIRECT("notes_"&amp;LEFT($A$1275,3)),4,0))</f>
        <v>0</v>
      </c>
      <c r="H1069" s="471">
        <f t="shared" si="197"/>
        <v>2</v>
      </c>
      <c r="I1069" s="471">
        <v>0</v>
      </c>
      <c r="J1069" s="471" t="str">
        <f t="shared" si="199"/>
        <v>phsmkcnt</v>
      </c>
      <c r="K1069" s="471" t="str">
        <f t="shared" si="200"/>
        <v>sfc</v>
      </c>
      <c r="L1069" s="599"/>
      <c r="M1069" s="471" t="s">
        <v>5151</v>
      </c>
      <c r="N1069" s="471" t="s">
        <v>5152</v>
      </c>
      <c r="O1069" s="471" t="s">
        <v>5153</v>
      </c>
    </row>
    <row r="1070" spans="1:15" x14ac:dyDescent="0.25">
      <c r="A1070" s="471" t="s">
        <v>5480</v>
      </c>
      <c r="B1070" s="1139">
        <f t="shared" ca="1" si="198"/>
        <v>0</v>
      </c>
      <c r="C1070" s="473">
        <f ca="1">IF(ISERROR(VLOOKUP($A$1276,INDIRECT("notes_"&amp;LEFT($A$1276,3)),4,0)),0,VLOOKUP($A$1276,INDIRECT("notes_"&amp;LEFT($A$1276,3)),4,0))</f>
        <v>0</v>
      </c>
      <c r="H1070" s="471">
        <f t="shared" si="197"/>
        <v>2</v>
      </c>
      <c r="I1070" s="471">
        <v>0</v>
      </c>
      <c r="J1070" s="471" t="str">
        <f t="shared" si="199"/>
        <v>phchl</v>
      </c>
      <c r="K1070" s="471" t="str">
        <f t="shared" si="200"/>
        <v>sfc</v>
      </c>
      <c r="L1070" s="599"/>
      <c r="M1070" s="471" t="s">
        <v>5151</v>
      </c>
      <c r="N1070" s="471" t="s">
        <v>5152</v>
      </c>
      <c r="O1070" s="471" t="s">
        <v>5153</v>
      </c>
    </row>
    <row r="1071" spans="1:15" x14ac:dyDescent="0.25">
      <c r="A1071" s="471" t="s">
        <v>5481</v>
      </c>
      <c r="B1071" s="1139">
        <f t="shared" ca="1" si="198"/>
        <v>0</v>
      </c>
      <c r="C1071" s="473">
        <f ca="1">IF(ISERROR(VLOOKUP($A$1277,INDIRECT("notes_"&amp;LEFT($A$1277,3)),4,0)),0,VLOOKUP($A$1277,INDIRECT("notes_"&amp;LEFT($A$1277,3)),4,0))</f>
        <v>0</v>
      </c>
      <c r="H1071" s="471">
        <f t="shared" si="197"/>
        <v>2</v>
      </c>
      <c r="I1071" s="471">
        <v>0</v>
      </c>
      <c r="J1071" s="471" t="str">
        <f t="shared" si="199"/>
        <v>phbbymnd</v>
      </c>
      <c r="K1071" s="471" t="str">
        <f t="shared" si="200"/>
        <v>sfc</v>
      </c>
      <c r="L1071" s="599"/>
      <c r="M1071" s="471" t="s">
        <v>5151</v>
      </c>
      <c r="N1071" s="471" t="s">
        <v>5152</v>
      </c>
      <c r="O1071" s="471" t="s">
        <v>5153</v>
      </c>
    </row>
    <row r="1072" spans="1:15" x14ac:dyDescent="0.25">
      <c r="A1072" s="471" t="s">
        <v>5482</v>
      </c>
      <c r="B1072" s="1139">
        <f t="shared" ca="1" si="198"/>
        <v>0</v>
      </c>
      <c r="C1072" s="473">
        <f ca="1">IF(ISERROR(VLOOKUP($A$1278,INDIRECT("notes_"&amp;LEFT($A$1278,3)),4,0)),0,VLOOKUP($A$1278,INDIRECT("notes_"&amp;LEFT($A$1278,3)),4,0))</f>
        <v>0</v>
      </c>
      <c r="H1072" s="471">
        <f t="shared" si="197"/>
        <v>2</v>
      </c>
      <c r="I1072" s="471">
        <v>0</v>
      </c>
      <c r="J1072" s="471" t="str">
        <f t="shared" si="199"/>
        <v>phbbyoth</v>
      </c>
      <c r="K1072" s="471" t="str">
        <f t="shared" si="200"/>
        <v>sfc</v>
      </c>
      <c r="L1072" s="599"/>
      <c r="M1072" s="471" t="s">
        <v>5151</v>
      </c>
      <c r="N1072" s="471" t="s">
        <v>5152</v>
      </c>
      <c r="O1072" s="471" t="s">
        <v>5153</v>
      </c>
    </row>
    <row r="1073" spans="1:15" x14ac:dyDescent="0.25">
      <c r="A1073" s="471" t="s">
        <v>5483</v>
      </c>
      <c r="B1073" s="1139">
        <f t="shared" ca="1" si="198"/>
        <v>0</v>
      </c>
      <c r="C1073" s="473">
        <f ca="1">IF(ISERROR(VLOOKUP($A$1279,INDIRECT("notes_"&amp;LEFT($A$1279,3)),4,0)),0,VLOOKUP($A$1279,INDIRECT("notes_"&amp;LEFT($A$1279,3)),4,0))</f>
        <v>0</v>
      </c>
      <c r="H1073" s="471">
        <f t="shared" si="197"/>
        <v>2</v>
      </c>
      <c r="I1073" s="471">
        <v>0</v>
      </c>
      <c r="J1073" s="471" t="str">
        <f t="shared" si="199"/>
        <v>phwrk</v>
      </c>
      <c r="K1073" s="471" t="str">
        <f t="shared" si="200"/>
        <v>sfc</v>
      </c>
      <c r="L1073" s="599"/>
      <c r="M1073" s="471" t="s">
        <v>5151</v>
      </c>
      <c r="N1073" s="471" t="s">
        <v>5152</v>
      </c>
      <c r="O1073" s="471" t="s">
        <v>5153</v>
      </c>
    </row>
    <row r="1074" spans="1:15" x14ac:dyDescent="0.25">
      <c r="A1074" s="471" t="s">
        <v>5484</v>
      </c>
      <c r="B1074" s="1139">
        <f t="shared" ca="1" si="198"/>
        <v>0</v>
      </c>
      <c r="C1074" s="473">
        <f ca="1">IF(ISERROR(VLOOKUP($A$1280,INDIRECT("notes_"&amp;LEFT($A$1280,3)),4,0)),0,VLOOKUP($A$1280,INDIRECT("notes_"&amp;LEFT($A$1280,3)),4,0))</f>
        <v>0</v>
      </c>
      <c r="H1074" s="471">
        <f t="shared" si="197"/>
        <v>2</v>
      </c>
      <c r="I1074" s="471">
        <v>0</v>
      </c>
      <c r="J1074" s="471" t="str">
        <f t="shared" si="199"/>
        <v>phmnt</v>
      </c>
      <c r="K1074" s="471" t="str">
        <f t="shared" si="200"/>
        <v>sfc</v>
      </c>
      <c r="L1074" s="599"/>
      <c r="M1074" s="471" t="s">
        <v>5151</v>
      </c>
      <c r="N1074" s="471" t="s">
        <v>5152</v>
      </c>
      <c r="O1074" s="471" t="s">
        <v>5153</v>
      </c>
    </row>
    <row r="1075" spans="1:15" x14ac:dyDescent="0.25">
      <c r="A1075" s="471" t="s">
        <v>5485</v>
      </c>
      <c r="B1075" s="1139">
        <f t="shared" ca="1" si="198"/>
        <v>0</v>
      </c>
      <c r="C1075" s="473">
        <f ca="1">IF(ISERROR(VLOOKUP($A$1281,INDIRECT("notes_"&amp;LEFT($A$1281,3)),4,0)),0,VLOOKUP($A$1281,INDIRECT("notes_"&amp;LEFT($A$1281,3)),4,0))</f>
        <v>0</v>
      </c>
      <c r="H1075" s="471">
        <f t="shared" si="197"/>
        <v>2</v>
      </c>
      <c r="I1075" s="471">
        <v>0</v>
      </c>
      <c r="J1075" s="471" t="str">
        <f t="shared" si="199"/>
        <v>phmsc</v>
      </c>
      <c r="K1075" s="471" t="str">
        <f t="shared" si="200"/>
        <v>sfc</v>
      </c>
      <c r="L1075" s="599"/>
      <c r="M1075" s="471" t="s">
        <v>5151</v>
      </c>
      <c r="N1075" s="471" t="s">
        <v>5152</v>
      </c>
      <c r="O1075" s="471" t="s">
        <v>5153</v>
      </c>
    </row>
    <row r="1076" spans="1:15" x14ac:dyDescent="0.25">
      <c r="A1076" s="471" t="s">
        <v>5486</v>
      </c>
      <c r="B1076" s="1139">
        <f t="shared" ca="1" si="198"/>
        <v>0</v>
      </c>
      <c r="C1076" s="473">
        <f ca="1">IF(ISERROR(VLOOKUP($A$1282,INDIRECT("notes_"&amp;LEFT($A$1282,3)),4,0)),0,VLOOKUP($A$1282,INDIRECT("notes_"&amp;LEFT($A$1282,3)),4,0))</f>
        <v>0</v>
      </c>
      <c r="H1076" s="471">
        <f t="shared" si="197"/>
        <v>2</v>
      </c>
      <c r="I1076" s="471">
        <v>0</v>
      </c>
      <c r="J1076" s="471" t="str">
        <f t="shared" si="199"/>
        <v>phtot</v>
      </c>
      <c r="K1076" s="471" t="str">
        <f t="shared" si="200"/>
        <v>sfc</v>
      </c>
      <c r="L1076" s="599"/>
      <c r="M1076" s="471" t="s">
        <v>5151</v>
      </c>
      <c r="N1076" s="471" t="s">
        <v>5152</v>
      </c>
      <c r="O1076" s="471" t="s">
        <v>5153</v>
      </c>
    </row>
    <row r="1077" spans="1:15" x14ac:dyDescent="0.25">
      <c r="A1077" s="471" t="s">
        <v>5487</v>
      </c>
      <c r="B1077" s="1139">
        <f t="shared" ca="1" si="198"/>
        <v>0</v>
      </c>
      <c r="C1077" s="473">
        <f ca="1">IF(ISERROR(VLOOKUP($A$1287,INDIRECT("notes_"&amp;LEFT($A$1287,3)),4,0)),0,VLOOKUP($A$1287,INDIRECT("notes_"&amp;LEFT($A$1287,3)),4,0))</f>
        <v>0</v>
      </c>
      <c r="H1077" s="471">
        <f t="shared" si="197"/>
        <v>5</v>
      </c>
      <c r="I1077" s="471">
        <v>0</v>
      </c>
      <c r="J1077" s="471" t="str">
        <f t="shared" si="199"/>
        <v>phsup-anc-exp-csc</v>
      </c>
      <c r="K1077" s="471" t="str">
        <f t="shared" si="200"/>
        <v>sfc</v>
      </c>
      <c r="L1077" s="599"/>
      <c r="M1077" s="471" t="s">
        <v>5151</v>
      </c>
      <c r="N1077" s="471" t="s">
        <v>5152</v>
      </c>
      <c r="O1077" s="471" t="s">
        <v>5153</v>
      </c>
    </row>
    <row r="1078" spans="1:15" x14ac:dyDescent="0.25">
      <c r="A1078" s="471" t="s">
        <v>5488</v>
      </c>
      <c r="B1078" s="1139">
        <f t="shared" ca="1" si="198"/>
        <v>0</v>
      </c>
      <c r="C1078" s="473">
        <f ca="1">IF(ISERROR(VLOOKUP($A$1288,INDIRECT("notes_"&amp;LEFT($A$1288,3)),4,0)),0,VLOOKUP($A$1288,INDIRECT("notes_"&amp;LEFT($A$1288,3)),4,0))</f>
        <v>0</v>
      </c>
      <c r="H1078" s="471">
        <f t="shared" si="197"/>
        <v>5</v>
      </c>
      <c r="I1078" s="471">
        <v>0</v>
      </c>
      <c r="J1078" s="471" t="str">
        <f t="shared" si="199"/>
        <v>phsup-anc-exp-asc</v>
      </c>
      <c r="K1078" s="471" t="str">
        <f t="shared" si="200"/>
        <v>sfc</v>
      </c>
      <c r="L1078" s="599"/>
      <c r="M1078" s="471" t="s">
        <v>5151</v>
      </c>
      <c r="N1078" s="471" t="s">
        <v>5152</v>
      </c>
      <c r="O1078" s="471" t="s">
        <v>5153</v>
      </c>
    </row>
    <row r="1079" spans="1:15" x14ac:dyDescent="0.25">
      <c r="A1079" s="471" t="s">
        <v>5489</v>
      </c>
      <c r="B1079" s="1139">
        <f t="shared" ca="1" si="198"/>
        <v>0</v>
      </c>
      <c r="C1079" s="473">
        <f ca="1">IF(ISERROR(VLOOKUP($A$1218,INDIRECT("notes_"&amp;LEFT($A$1218,3)),4,0)),0,VLOOKUP($A$1218,INDIRECT("notes_"&amp;LEFT($A$1218,3)),4,0))</f>
        <v>0</v>
      </c>
      <c r="H1079" s="471">
        <f t="shared" si="197"/>
        <v>2</v>
      </c>
      <c r="I1079" s="471">
        <v>1</v>
      </c>
      <c r="J1079" s="471" t="str">
        <f t="shared" si="199"/>
        <v>cscsr</v>
      </c>
      <c r="K1079" s="471" t="str">
        <f t="shared" si="200"/>
        <v>oth-inc</v>
      </c>
      <c r="L1079" s="599"/>
      <c r="M1079" s="471" t="s">
        <v>5151</v>
      </c>
      <c r="N1079" s="471" t="s">
        <v>5152</v>
      </c>
      <c r="O1079" s="471" t="s">
        <v>5153</v>
      </c>
    </row>
    <row r="1080" spans="1:15" x14ac:dyDescent="0.25">
      <c r="A1080" s="471" t="s">
        <v>5490</v>
      </c>
      <c r="B1080" s="1139">
        <f t="shared" ca="1" si="198"/>
        <v>0</v>
      </c>
      <c r="C1080" s="473">
        <f ca="1">IF(ISERROR(VLOOKUP($A$1219,INDIRECT("notes_"&amp;LEFT($A$1219,3)),4,0)),0,VLOOKUP($A$1219,INDIRECT("notes_"&amp;LEFT($A$1219,3)),4,0))</f>
        <v>0</v>
      </c>
      <c r="H1080" s="471">
        <f t="shared" si="197"/>
        <v>2</v>
      </c>
      <c r="I1080" s="471">
        <v>1</v>
      </c>
      <c r="J1080" s="471" t="str">
        <f t="shared" si="199"/>
        <v>csclkd</v>
      </c>
      <c r="K1080" s="471" t="str">
        <f t="shared" si="200"/>
        <v>oth-inc</v>
      </c>
      <c r="L1080" s="599"/>
      <c r="M1080" s="471" t="s">
        <v>5151</v>
      </c>
      <c r="N1080" s="471" t="s">
        <v>5152</v>
      </c>
      <c r="O1080" s="471" t="s">
        <v>5153</v>
      </c>
    </row>
    <row r="1081" spans="1:15" x14ac:dyDescent="0.25">
      <c r="A1081" s="471" t="s">
        <v>5491</v>
      </c>
      <c r="B1081" s="1139">
        <f t="shared" ca="1" si="198"/>
        <v>0</v>
      </c>
      <c r="C1081" s="473">
        <f ca="1">IF(ISERROR(VLOOKUP($A$1220,INDIRECT("notes_"&amp;LEFT($A$1220,3)),4,0)),0,VLOOKUP($A$1220,INDIRECT("notes_"&amp;LEFT($A$1220,3)),4,0))</f>
        <v>0</v>
      </c>
      <c r="H1081" s="471">
        <f t="shared" si="197"/>
        <v>2</v>
      </c>
      <c r="I1081" s="471">
        <v>1</v>
      </c>
      <c r="J1081" s="471" t="str">
        <f t="shared" si="199"/>
        <v>csclkdres</v>
      </c>
      <c r="K1081" s="471" t="str">
        <f t="shared" si="200"/>
        <v>oth-inc</v>
      </c>
      <c r="L1081" s="599"/>
      <c r="M1081" s="471" t="s">
        <v>5151</v>
      </c>
      <c r="N1081" s="471" t="s">
        <v>5152</v>
      </c>
      <c r="O1081" s="471" t="s">
        <v>5153</v>
      </c>
    </row>
    <row r="1082" spans="1:15" x14ac:dyDescent="0.25">
      <c r="A1082" s="471" t="s">
        <v>5492</v>
      </c>
      <c r="B1082" s="1139">
        <f t="shared" ca="1" si="198"/>
        <v>0</v>
      </c>
      <c r="C1082" s="473">
        <f ca="1">IF(ISERROR(VLOOKUP($A$1221,INDIRECT("notes_"&amp;LEFT($A$1221,3)),4,0)),0,VLOOKUP($A$1221,INDIRECT("notes_"&amp;LEFT($A$1221,3)),4,0))</f>
        <v>0</v>
      </c>
      <c r="H1082" s="471">
        <f t="shared" si="197"/>
        <v>2</v>
      </c>
      <c r="I1082" s="471">
        <v>1</v>
      </c>
      <c r="J1082" s="471" t="str">
        <f t="shared" si="199"/>
        <v>csclkdfos</v>
      </c>
      <c r="K1082" s="471" t="str">
        <f t="shared" si="200"/>
        <v>oth-inc</v>
      </c>
      <c r="L1082" s="599"/>
      <c r="M1082" s="471" t="s">
        <v>5151</v>
      </c>
      <c r="N1082" s="471" t="s">
        <v>5152</v>
      </c>
      <c r="O1082" s="471" t="s">
        <v>5153</v>
      </c>
    </row>
    <row r="1083" spans="1:15" x14ac:dyDescent="0.25">
      <c r="A1083" s="471" t="s">
        <v>5493</v>
      </c>
      <c r="B1083" s="1139">
        <f t="shared" ca="1" si="198"/>
        <v>0</v>
      </c>
      <c r="C1083" s="473">
        <f ca="1">IF(ISERROR(VLOOKUP($A$1222,INDIRECT("notes_"&amp;LEFT($A$1222,3)),4,0)),0,VLOOKUP($A$1222,INDIRECT("notes_"&amp;LEFT($A$1222,3)),4,0))</f>
        <v>0</v>
      </c>
      <c r="H1083" s="471">
        <f t="shared" si="197"/>
        <v>2</v>
      </c>
      <c r="I1083" s="471">
        <v>1</v>
      </c>
      <c r="J1083" s="471" t="str">
        <f t="shared" si="199"/>
        <v>csclkdasy</v>
      </c>
      <c r="K1083" s="471" t="str">
        <f t="shared" si="200"/>
        <v>oth-inc</v>
      </c>
      <c r="L1083" s="599"/>
      <c r="M1083" s="471" t="s">
        <v>5151</v>
      </c>
      <c r="N1083" s="471" t="s">
        <v>5152</v>
      </c>
      <c r="O1083" s="471" t="s">
        <v>5153</v>
      </c>
    </row>
    <row r="1084" spans="1:15" x14ac:dyDescent="0.25">
      <c r="A1084" s="471" t="s">
        <v>5494</v>
      </c>
      <c r="B1084" s="1139">
        <f t="shared" ca="1" si="198"/>
        <v>0</v>
      </c>
      <c r="C1084" s="473">
        <f ca="1">IF(ISERROR(VLOOKUP($A$1223,INDIRECT("notes_"&amp;LEFT($A$1223,3)),4,0)),0,VLOOKUP($A$1223,INDIRECT("notes_"&amp;LEFT($A$1223,3)),4,0))</f>
        <v>0</v>
      </c>
      <c r="H1084" s="471">
        <f t="shared" si="197"/>
        <v>2</v>
      </c>
      <c r="I1084" s="471">
        <v>1</v>
      </c>
      <c r="J1084" s="471" t="str">
        <f t="shared" si="199"/>
        <v>csclkdoth</v>
      </c>
      <c r="K1084" s="471" t="str">
        <f t="shared" si="200"/>
        <v>oth-inc</v>
      </c>
      <c r="L1084" s="599"/>
      <c r="M1084" s="471" t="s">
        <v>5151</v>
      </c>
      <c r="N1084" s="471" t="s">
        <v>5152</v>
      </c>
      <c r="O1084" s="471" t="s">
        <v>5153</v>
      </c>
    </row>
    <row r="1085" spans="1:15" x14ac:dyDescent="0.25">
      <c r="A1085" s="471" t="s">
        <v>5495</v>
      </c>
      <c r="B1085" s="1139">
        <f t="shared" ca="1" si="198"/>
        <v>0</v>
      </c>
      <c r="C1085" s="473">
        <f ca="1">IF(ISERROR(VLOOKUP($A$1224,INDIRECT("notes_"&amp;LEFT($A$1224,3)),4,0)),0,VLOOKUP($A$1224,INDIRECT("notes_"&amp;LEFT($A$1224,3)),4,0))</f>
        <v>0</v>
      </c>
      <c r="H1085" s="471">
        <f t="shared" si="197"/>
        <v>2</v>
      </c>
      <c r="I1085" s="471">
        <v>1</v>
      </c>
      <c r="J1085" s="471" t="str">
        <f t="shared" si="199"/>
        <v>cscoth</v>
      </c>
      <c r="K1085" s="471" t="str">
        <f t="shared" si="200"/>
        <v>oth-inc</v>
      </c>
      <c r="L1085" s="599"/>
      <c r="M1085" s="471" t="s">
        <v>5151</v>
      </c>
      <c r="N1085" s="471" t="s">
        <v>5152</v>
      </c>
      <c r="O1085" s="471" t="s">
        <v>5153</v>
      </c>
    </row>
    <row r="1086" spans="1:15" x14ac:dyDescent="0.25">
      <c r="A1086" s="471" t="s">
        <v>5496</v>
      </c>
      <c r="B1086" s="1139">
        <f t="shared" ca="1" si="198"/>
        <v>0</v>
      </c>
      <c r="C1086" s="473">
        <f ca="1">IF(ISERROR(VLOOKUP($A$1225,INDIRECT("notes_"&amp;LEFT($A$1225,3)),4,0)),0,VLOOKUP($A$1225,INDIRECT("notes_"&amp;LEFT($A$1225,3)),4,0))</f>
        <v>0</v>
      </c>
      <c r="H1086" s="471">
        <f t="shared" si="197"/>
        <v>2</v>
      </c>
      <c r="I1086" s="471">
        <v>1</v>
      </c>
      <c r="J1086" s="471" t="str">
        <f t="shared" si="199"/>
        <v>cscfml</v>
      </c>
      <c r="K1086" s="471" t="str">
        <f t="shared" si="200"/>
        <v>oth-inc</v>
      </c>
      <c r="L1086" s="599"/>
      <c r="M1086" s="471" t="s">
        <v>5151</v>
      </c>
      <c r="N1086" s="471" t="s">
        <v>5152</v>
      </c>
      <c r="O1086" s="471" t="s">
        <v>5153</v>
      </c>
    </row>
    <row r="1087" spans="1:15" x14ac:dyDescent="0.25">
      <c r="A1087" s="471" t="s">
        <v>5497</v>
      </c>
      <c r="B1087" s="1139">
        <f t="shared" ca="1" si="198"/>
        <v>0</v>
      </c>
      <c r="C1087" s="473">
        <f ca="1">IF(ISERROR(VLOOKUP($A$1226,INDIRECT("notes_"&amp;LEFT($A$1226,3)),4,0)),0,VLOOKUP($A$1226,INDIRECT("notes_"&amp;LEFT($A$1226,3)),4,0))</f>
        <v>0</v>
      </c>
      <c r="H1087" s="471">
        <f t="shared" si="197"/>
        <v>2</v>
      </c>
      <c r="I1087" s="471">
        <v>1</v>
      </c>
      <c r="J1087" s="471" t="str">
        <f t="shared" si="199"/>
        <v>cscyth</v>
      </c>
      <c r="K1087" s="471" t="str">
        <f t="shared" si="200"/>
        <v>oth-inc</v>
      </c>
      <c r="L1087" s="599"/>
      <c r="M1087" s="471" t="s">
        <v>5151</v>
      </c>
      <c r="N1087" s="471" t="s">
        <v>5152</v>
      </c>
      <c r="O1087" s="471" t="s">
        <v>5153</v>
      </c>
    </row>
    <row r="1088" spans="1:15" x14ac:dyDescent="0.25">
      <c r="A1088" s="471" t="s">
        <v>5498</v>
      </c>
      <c r="B1088" s="1139">
        <f t="shared" ca="1" si="198"/>
        <v>0</v>
      </c>
      <c r="C1088" s="473">
        <f ca="1">IF(ISERROR(VLOOKUP($A$1227,INDIRECT("notes_"&amp;LEFT($A$1227,3)),4,0)),0,VLOOKUP($A$1227,INDIRECT("notes_"&amp;LEFT($A$1227,3)),4,0))</f>
        <v>0</v>
      </c>
      <c r="H1088" s="471">
        <f t="shared" si="197"/>
        <v>2</v>
      </c>
      <c r="I1088" s="471">
        <v>1</v>
      </c>
      <c r="J1088" s="471" t="str">
        <f t="shared" si="199"/>
        <v>cscsfg</v>
      </c>
      <c r="K1088" s="471" t="str">
        <f t="shared" si="200"/>
        <v>oth-inc</v>
      </c>
      <c r="L1088" s="599"/>
      <c r="M1088" s="471" t="s">
        <v>5151</v>
      </c>
      <c r="N1088" s="471" t="s">
        <v>5152</v>
      </c>
      <c r="O1088" s="471" t="s">
        <v>5153</v>
      </c>
    </row>
    <row r="1089" spans="1:15" x14ac:dyDescent="0.25">
      <c r="A1089" s="471" t="s">
        <v>5499</v>
      </c>
      <c r="B1089" s="1139">
        <f t="shared" ca="1" si="198"/>
        <v>0</v>
      </c>
      <c r="C1089" s="473">
        <f ca="1">IF(ISERROR(VLOOKUP($A$1228,INDIRECT("notes_"&amp;LEFT($A$1228,3)),4,0)),0,VLOOKUP($A$1228,INDIRECT("notes_"&amp;LEFT($A$1228,3)),4,0))</f>
        <v>0</v>
      </c>
      <c r="H1089" s="471">
        <f t="shared" si="197"/>
        <v>2</v>
      </c>
      <c r="I1089" s="471">
        <v>1</v>
      </c>
      <c r="J1089" s="471" t="str">
        <f t="shared" si="199"/>
        <v>cscasy</v>
      </c>
      <c r="K1089" s="471" t="str">
        <f t="shared" si="200"/>
        <v>oth-inc</v>
      </c>
      <c r="L1089" s="599"/>
      <c r="M1089" s="471" t="s">
        <v>5151</v>
      </c>
      <c r="N1089" s="471" t="s">
        <v>5152</v>
      </c>
      <c r="O1089" s="471" t="s">
        <v>5153</v>
      </c>
    </row>
    <row r="1090" spans="1:15" x14ac:dyDescent="0.25">
      <c r="A1090" s="471" t="s">
        <v>5500</v>
      </c>
      <c r="B1090" s="1139">
        <f t="shared" ca="1" si="198"/>
        <v>0</v>
      </c>
      <c r="C1090" s="473">
        <f ca="1">IF(ISERROR(VLOOKUP($A$1229,INDIRECT("notes_"&amp;LEFT($A$1229,3)),4,0)),0,VLOOKUP($A$1229,INDIRECT("notes_"&amp;LEFT($A$1229,3)),4,0))</f>
        <v>0</v>
      </c>
      <c r="H1090" s="471">
        <f t="shared" si="197"/>
        <v>2</v>
      </c>
      <c r="I1090" s="471">
        <v>1</v>
      </c>
      <c r="J1090" s="471" t="str">
        <f t="shared" si="199"/>
        <v>cscsrv</v>
      </c>
      <c r="K1090" s="471" t="str">
        <f t="shared" si="200"/>
        <v>oth-inc</v>
      </c>
      <c r="L1090" s="599"/>
      <c r="M1090" s="471" t="s">
        <v>5151</v>
      </c>
      <c r="N1090" s="471" t="s">
        <v>5152</v>
      </c>
      <c r="O1090" s="471" t="s">
        <v>5153</v>
      </c>
    </row>
    <row r="1091" spans="1:15" x14ac:dyDescent="0.25">
      <c r="A1091" s="471" t="s">
        <v>5501</v>
      </c>
      <c r="B1091" s="1139">
        <f t="shared" ca="1" si="198"/>
        <v>0</v>
      </c>
      <c r="C1091" s="473">
        <f ca="1">IF(ISERROR(VLOOKUP($A$1230,INDIRECT("notes_"&amp;LEFT($A$1230,3)),4,0)),0,VLOOKUP($A$1230,INDIRECT("notes_"&amp;LEFT($A$1230,3)),4,0))</f>
        <v>0</v>
      </c>
      <c r="H1091" s="471">
        <f t="shared" si="197"/>
        <v>2</v>
      </c>
      <c r="I1091" s="471">
        <v>1</v>
      </c>
      <c r="J1091" s="471" t="str">
        <f t="shared" si="199"/>
        <v>csctot</v>
      </c>
      <c r="K1091" s="471" t="str">
        <f t="shared" si="200"/>
        <v>oth-inc</v>
      </c>
      <c r="L1091" s="599"/>
      <c r="M1091" s="471" t="s">
        <v>5151</v>
      </c>
      <c r="N1091" s="471" t="s">
        <v>5152</v>
      </c>
      <c r="O1091" s="471" t="s">
        <v>5153</v>
      </c>
    </row>
    <row r="1092" spans="1:15" x14ac:dyDescent="0.25">
      <c r="A1092" s="1120" t="s">
        <v>5502</v>
      </c>
      <c r="B1092" s="1139">
        <f t="shared" ref="B1092" ca="1" si="201">INDEX(INDIRECT(LEFT($A1092,SEARCH("-",$A1092,1)-1)&amp;"_data"),MATCH(MID($A1092,SEARCH("-",$A1092)+1,SEARCH("#",SUBSTITUTE($A1092,"-","#",H1092),1)-(SEARCH("-",$A1092)+1)),INDIRECT(LEFT($A1092,SEARCH("-",$A1092,1)-1)&amp;"_rows"),0),MATCH(RIGHT($A1092,LEN($A1092)-LEN(LEFT($A1092,SEARCH("#",SUBSTITUTE($A1092,"-","#",H1092),1)))),INDIRECT(LEFT($A1092,SEARCH("-",$A1092,1)-1)&amp;"_Header"),0))</f>
        <v>0</v>
      </c>
      <c r="C1092" s="473">
        <f ca="1">IF(ISERROR(VLOOKUP($A$1092,INDIRECT("notes_"&amp;LEFT($A$1092,3)),4,0)),0,VLOOKUP($A$1092,INDIRECT("notes_"&amp;LEFT($A$1092,3)),4,0))</f>
        <v>0</v>
      </c>
      <c r="H1092" s="471">
        <f t="shared" si="197"/>
        <v>2</v>
      </c>
      <c r="I1092" s="471">
        <v>1</v>
      </c>
      <c r="J1092" s="471" t="str">
        <f t="shared" ref="J1092" si="202">MID($A1092,SEARCH("-",$A1092)+1,SEARCH("#",SUBSTITUTE($A1092,"-","#",H1092),1)-(SEARCH("-",$A1092)+1))</f>
        <v>cscsvmemrec</v>
      </c>
      <c r="K1092" s="471" t="str">
        <f t="shared" ref="K1092" si="203">RIGHT($A1092,LEN($A1092)-SEARCH("#",SUBSTITUTE($A1092,"-","#",H1092),1))</f>
        <v>oth-inc</v>
      </c>
      <c r="L1092" s="599"/>
      <c r="M1092" s="471" t="s">
        <v>5151</v>
      </c>
      <c r="N1092" s="471" t="s">
        <v>5152</v>
      </c>
      <c r="O1092" s="471" t="s">
        <v>5153</v>
      </c>
    </row>
    <row r="1093" spans="1:15" x14ac:dyDescent="0.25">
      <c r="A1093" s="471" t="s">
        <v>5503</v>
      </c>
      <c r="B1093" s="1139">
        <f t="shared" ca="1" si="198"/>
        <v>0</v>
      </c>
      <c r="C1093" s="473">
        <f ca="1">IF(ISERROR(VLOOKUP($A$1231,INDIRECT("notes_"&amp;LEFT($A$1231,3)),4,0)),0,VLOOKUP($A$1231,INDIRECT("notes_"&amp;LEFT($A$1231,3)),4,0))</f>
        <v>0</v>
      </c>
      <c r="H1093" s="471">
        <f t="shared" si="197"/>
        <v>2</v>
      </c>
      <c r="I1093" s="471">
        <v>1</v>
      </c>
      <c r="J1093" s="471" t="str">
        <f t="shared" si="199"/>
        <v>ascphyadl</v>
      </c>
      <c r="K1093" s="471" t="str">
        <f t="shared" si="200"/>
        <v>oth-inc</v>
      </c>
      <c r="L1093" s="599"/>
      <c r="M1093" s="471" t="s">
        <v>5151</v>
      </c>
      <c r="N1093" s="471" t="s">
        <v>5152</v>
      </c>
      <c r="O1093" s="471" t="s">
        <v>5153</v>
      </c>
    </row>
    <row r="1094" spans="1:15" x14ac:dyDescent="0.25">
      <c r="A1094" s="471" t="s">
        <v>5504</v>
      </c>
      <c r="B1094" s="1139">
        <f t="shared" ca="1" si="198"/>
        <v>0</v>
      </c>
      <c r="C1094" s="473">
        <f ca="1">IF(ISERROR(VLOOKUP($A$1232,INDIRECT("notes_"&amp;LEFT($A$1232,3)),4,0)),0,VLOOKUP($A$1232,INDIRECT("notes_"&amp;LEFT($A$1232,3)),4,0))</f>
        <v>0</v>
      </c>
      <c r="H1094" s="471">
        <f t="shared" si="197"/>
        <v>2</v>
      </c>
      <c r="I1094" s="471">
        <v>1</v>
      </c>
      <c r="J1094" s="471" t="str">
        <f t="shared" si="199"/>
        <v>ascphyold</v>
      </c>
      <c r="K1094" s="471" t="str">
        <f t="shared" si="200"/>
        <v>oth-inc</v>
      </c>
      <c r="L1094" s="599"/>
      <c r="M1094" s="471" t="s">
        <v>5151</v>
      </c>
      <c r="N1094" s="471" t="s">
        <v>5152</v>
      </c>
      <c r="O1094" s="471" t="s">
        <v>5153</v>
      </c>
    </row>
    <row r="1095" spans="1:15" x14ac:dyDescent="0.25">
      <c r="A1095" s="471" t="s">
        <v>5505</v>
      </c>
      <c r="B1095" s="1139">
        <f t="shared" ca="1" si="198"/>
        <v>0</v>
      </c>
      <c r="C1095" s="473">
        <f ca="1">IF(ISERROR(VLOOKUP($A$1233,INDIRECT("notes_"&amp;LEFT($A$1233,3)),4,0)),0,VLOOKUP($A$1233,INDIRECT("notes_"&amp;LEFT($A$1233,3)),4,0))</f>
        <v>0</v>
      </c>
      <c r="H1095" s="471">
        <f t="shared" si="197"/>
        <v>2</v>
      </c>
      <c r="I1095" s="471">
        <v>1</v>
      </c>
      <c r="J1095" s="471" t="str">
        <f t="shared" si="199"/>
        <v>ascsnsadl</v>
      </c>
      <c r="K1095" s="471" t="str">
        <f t="shared" si="200"/>
        <v>oth-inc</v>
      </c>
      <c r="L1095" s="599"/>
      <c r="M1095" s="471" t="s">
        <v>5151</v>
      </c>
      <c r="N1095" s="471" t="s">
        <v>5152</v>
      </c>
      <c r="O1095" s="471" t="s">
        <v>5153</v>
      </c>
    </row>
    <row r="1096" spans="1:15" x14ac:dyDescent="0.25">
      <c r="A1096" s="471" t="s">
        <v>5506</v>
      </c>
      <c r="B1096" s="1139">
        <f t="shared" ca="1" si="198"/>
        <v>0</v>
      </c>
      <c r="C1096" s="473">
        <f ca="1">IF(ISERROR(VLOOKUP($A$1234,INDIRECT("notes_"&amp;LEFT($A$1234,3)),4,0)),0,VLOOKUP($A$1234,INDIRECT("notes_"&amp;LEFT($A$1234,3)),4,0))</f>
        <v>0</v>
      </c>
      <c r="H1096" s="471">
        <f t="shared" si="197"/>
        <v>2</v>
      </c>
      <c r="I1096" s="471">
        <v>1</v>
      </c>
      <c r="J1096" s="471" t="str">
        <f t="shared" si="199"/>
        <v>ascsnsold</v>
      </c>
      <c r="K1096" s="471" t="str">
        <f t="shared" si="200"/>
        <v>oth-inc</v>
      </c>
      <c r="L1096" s="599"/>
      <c r="M1096" s="471" t="s">
        <v>5151</v>
      </c>
      <c r="N1096" s="471" t="s">
        <v>5152</v>
      </c>
      <c r="O1096" s="471" t="s">
        <v>5153</v>
      </c>
    </row>
    <row r="1097" spans="1:15" x14ac:dyDescent="0.25">
      <c r="A1097" s="471" t="s">
        <v>5507</v>
      </c>
      <c r="B1097" s="1139">
        <f t="shared" ca="1" si="198"/>
        <v>0</v>
      </c>
      <c r="C1097" s="473">
        <f ca="1">IF(ISERROR(VLOOKUP($A$1235,INDIRECT("notes_"&amp;LEFT($A$1235,3)),4,0)),0,VLOOKUP($A$1235,INDIRECT("notes_"&amp;LEFT($A$1235,3)),4,0))</f>
        <v>0</v>
      </c>
      <c r="H1097" s="471">
        <f t="shared" ref="H1097:H1158" si="204">LEN(A1097)-LEN(SUBSTITUTE(A1097,"-",""))-I1097</f>
        <v>2</v>
      </c>
      <c r="I1097" s="471">
        <v>1</v>
      </c>
      <c r="J1097" s="471" t="str">
        <f t="shared" si="199"/>
        <v>ascmmradl</v>
      </c>
      <c r="K1097" s="471" t="str">
        <f t="shared" si="200"/>
        <v>oth-inc</v>
      </c>
      <c r="L1097" s="599"/>
      <c r="M1097" s="471" t="s">
        <v>5151</v>
      </c>
      <c r="N1097" s="471" t="s">
        <v>5152</v>
      </c>
      <c r="O1097" s="471" t="s">
        <v>5153</v>
      </c>
    </row>
    <row r="1098" spans="1:15" x14ac:dyDescent="0.25">
      <c r="A1098" s="471" t="s">
        <v>5508</v>
      </c>
      <c r="B1098" s="1139">
        <f t="shared" ref="B1098:B1159" ca="1" si="205">INDEX(INDIRECT(LEFT($A1098,SEARCH("-",$A1098,1)-1)&amp;"_data"),MATCH(MID($A1098,SEARCH("-",$A1098)+1,SEARCH("#",SUBSTITUTE($A1098,"-","#",H1098),1)-(SEARCH("-",$A1098)+1)),INDIRECT(LEFT($A1098,SEARCH("-",$A1098,1)-1)&amp;"_rows"),0),MATCH(RIGHT($A1098,LEN($A1098)-LEN(LEFT($A1098,SEARCH("#",SUBSTITUTE($A1098,"-","#",H1098),1)))),INDIRECT(LEFT($A1098,SEARCH("-",$A1098,1)-1)&amp;"_Header"),0))</f>
        <v>0</v>
      </c>
      <c r="C1098" s="473">
        <f ca="1">IF(ISERROR(VLOOKUP($A$1236,INDIRECT("notes_"&amp;LEFT($A$1236,3)),4,0)),0,VLOOKUP($A$1236,INDIRECT("notes_"&amp;LEFT($A$1236,3)),4,0))</f>
        <v>0</v>
      </c>
      <c r="H1098" s="471">
        <f t="shared" si="204"/>
        <v>2</v>
      </c>
      <c r="I1098" s="471">
        <v>1</v>
      </c>
      <c r="J1098" s="471" t="str">
        <f t="shared" si="199"/>
        <v>ascmmrold</v>
      </c>
      <c r="K1098" s="471" t="str">
        <f t="shared" si="200"/>
        <v>oth-inc</v>
      </c>
      <c r="L1098" s="599"/>
      <c r="M1098" s="471" t="s">
        <v>5151</v>
      </c>
      <c r="N1098" s="471" t="s">
        <v>5152</v>
      </c>
      <c r="O1098" s="471" t="s">
        <v>5153</v>
      </c>
    </row>
    <row r="1099" spans="1:15" x14ac:dyDescent="0.25">
      <c r="A1099" s="471" t="s">
        <v>5509</v>
      </c>
      <c r="B1099" s="1139">
        <f t="shared" ca="1" si="205"/>
        <v>0</v>
      </c>
      <c r="C1099" s="473">
        <f ca="1">IF(ISERROR(VLOOKUP($A$1237,INDIRECT("notes_"&amp;LEFT($A$1237,3)),4,0)),0,VLOOKUP($A$1237,INDIRECT("notes_"&amp;LEFT($A$1237,3)),4,0))</f>
        <v>0</v>
      </c>
      <c r="H1099" s="471">
        <f t="shared" si="204"/>
        <v>2</v>
      </c>
      <c r="I1099" s="471">
        <v>1</v>
      </c>
      <c r="J1099" s="471" t="str">
        <f t="shared" si="199"/>
        <v>asclrnadl</v>
      </c>
      <c r="K1099" s="471" t="str">
        <f t="shared" si="200"/>
        <v>oth-inc</v>
      </c>
      <c r="L1099" s="599"/>
      <c r="M1099" s="471" t="s">
        <v>5151</v>
      </c>
      <c r="N1099" s="471" t="s">
        <v>5152</v>
      </c>
      <c r="O1099" s="471" t="s">
        <v>5153</v>
      </c>
    </row>
    <row r="1100" spans="1:15" x14ac:dyDescent="0.25">
      <c r="A1100" s="471" t="s">
        <v>5510</v>
      </c>
      <c r="B1100" s="1139">
        <f t="shared" ca="1" si="205"/>
        <v>0</v>
      </c>
      <c r="C1100" s="473">
        <f ca="1">IF(ISERROR(VLOOKUP($A$1238,INDIRECT("notes_"&amp;LEFT($A$1238,3)),4,0)),0,VLOOKUP($A$1238,INDIRECT("notes_"&amp;LEFT($A$1238,3)),4,0))</f>
        <v>0</v>
      </c>
      <c r="H1100" s="471">
        <f t="shared" si="204"/>
        <v>2</v>
      </c>
      <c r="I1100" s="471">
        <v>1</v>
      </c>
      <c r="J1100" s="471" t="str">
        <f t="shared" si="199"/>
        <v>asclrnold</v>
      </c>
      <c r="K1100" s="471" t="str">
        <f t="shared" si="200"/>
        <v>oth-inc</v>
      </c>
      <c r="L1100" s="599"/>
      <c r="M1100" s="471" t="s">
        <v>5151</v>
      </c>
      <c r="N1100" s="471" t="s">
        <v>5152</v>
      </c>
      <c r="O1100" s="471" t="s">
        <v>5153</v>
      </c>
    </row>
    <row r="1101" spans="1:15" x14ac:dyDescent="0.25">
      <c r="A1101" s="471" t="s">
        <v>5511</v>
      </c>
      <c r="B1101" s="1139">
        <f t="shared" ca="1" si="205"/>
        <v>0</v>
      </c>
      <c r="C1101" s="473">
        <f ca="1">IF(ISERROR(VLOOKUP($A$1239,INDIRECT("notes_"&amp;LEFT($A$1239,3)),4,0)),0,VLOOKUP($A$1239,INDIRECT("notes_"&amp;LEFT($A$1239,3)),4,0))</f>
        <v>0</v>
      </c>
      <c r="H1101" s="471">
        <f t="shared" si="204"/>
        <v>2</v>
      </c>
      <c r="I1101" s="471">
        <v>1</v>
      </c>
      <c r="J1101" s="471" t="str">
        <f t="shared" ref="J1101:J1162" si="206">MID($A1101,SEARCH("-",$A1101)+1,SEARCH("#",SUBSTITUTE($A1101,"-","#",H1101),1)-(SEARCH("-",$A1101)+1))</f>
        <v>ascmntadl</v>
      </c>
      <c r="K1101" s="471" t="str">
        <f t="shared" ref="K1101:K1162" si="207">RIGHT($A1101,LEN($A1101)-SEARCH("#",SUBSTITUTE($A1101,"-","#",H1101),1))</f>
        <v>oth-inc</v>
      </c>
      <c r="L1101" s="599"/>
      <c r="M1101" s="471" t="s">
        <v>5151</v>
      </c>
      <c r="N1101" s="471" t="s">
        <v>5152</v>
      </c>
      <c r="O1101" s="471" t="s">
        <v>5153</v>
      </c>
    </row>
    <row r="1102" spans="1:15" x14ac:dyDescent="0.25">
      <c r="A1102" s="471" t="s">
        <v>5512</v>
      </c>
      <c r="B1102" s="1139">
        <f t="shared" ca="1" si="205"/>
        <v>0</v>
      </c>
      <c r="C1102" s="473">
        <f ca="1">IF(ISERROR(VLOOKUP($A$1240,INDIRECT("notes_"&amp;LEFT($A$1240,3)),4,0)),0,VLOOKUP($A$1240,INDIRECT("notes_"&amp;LEFT($A$1240,3)),4,0))</f>
        <v>0</v>
      </c>
      <c r="H1102" s="471">
        <f t="shared" si="204"/>
        <v>2</v>
      </c>
      <c r="I1102" s="471">
        <v>1</v>
      </c>
      <c r="J1102" s="471" t="str">
        <f t="shared" si="206"/>
        <v>ascmntold</v>
      </c>
      <c r="K1102" s="471" t="str">
        <f t="shared" si="207"/>
        <v>oth-inc</v>
      </c>
      <c r="L1102" s="599"/>
      <c r="M1102" s="471" t="s">
        <v>5151</v>
      </c>
      <c r="N1102" s="471" t="s">
        <v>5152</v>
      </c>
      <c r="O1102" s="471" t="s">
        <v>5153</v>
      </c>
    </row>
    <row r="1103" spans="1:15" x14ac:dyDescent="0.25">
      <c r="A1103" s="471" t="s">
        <v>5513</v>
      </c>
      <c r="B1103" s="1139">
        <f t="shared" ca="1" si="205"/>
        <v>0</v>
      </c>
      <c r="C1103" s="473">
        <f ca="1">IF(ISERROR(VLOOKUP($A$1241,INDIRECT("notes_"&amp;LEFT($A$1241,3)),4,0)),0,VLOOKUP($A$1241,INDIRECT("notes_"&amp;LEFT($A$1241,3)),4,0))</f>
        <v>0</v>
      </c>
      <c r="H1103" s="471">
        <f t="shared" si="204"/>
        <v>2</v>
      </c>
      <c r="I1103" s="471">
        <v>1</v>
      </c>
      <c r="J1103" s="471" t="str">
        <f t="shared" si="206"/>
        <v>ascsclsbs</v>
      </c>
      <c r="K1103" s="471" t="str">
        <f t="shared" si="207"/>
        <v>oth-inc</v>
      </c>
      <c r="L1103" s="599"/>
      <c r="M1103" s="471" t="s">
        <v>5151</v>
      </c>
      <c r="N1103" s="471" t="s">
        <v>5152</v>
      </c>
      <c r="O1103" s="471" t="s">
        <v>5153</v>
      </c>
    </row>
    <row r="1104" spans="1:15" x14ac:dyDescent="0.25">
      <c r="A1104" s="471" t="s">
        <v>5514</v>
      </c>
      <c r="B1104" s="1139">
        <f t="shared" ca="1" si="205"/>
        <v>0</v>
      </c>
      <c r="C1104" s="473">
        <f ca="1">IF(ISERROR(VLOOKUP($A$1242,INDIRECT("notes_"&amp;LEFT($A$1242,3)),4,0)),0,VLOOKUP($A$1242,INDIRECT("notes_"&amp;LEFT($A$1242,3)),4,0))</f>
        <v>0</v>
      </c>
      <c r="H1104" s="471">
        <f t="shared" si="204"/>
        <v>2</v>
      </c>
      <c r="I1104" s="471">
        <v>1</v>
      </c>
      <c r="J1104" s="471" t="str">
        <f t="shared" si="206"/>
        <v>ascsclasy</v>
      </c>
      <c r="K1104" s="471" t="str">
        <f t="shared" si="207"/>
        <v>oth-inc</v>
      </c>
      <c r="L1104" s="599"/>
      <c r="M1104" s="471" t="s">
        <v>5151</v>
      </c>
      <c r="N1104" s="471" t="s">
        <v>5152</v>
      </c>
      <c r="O1104" s="471" t="s">
        <v>5153</v>
      </c>
    </row>
    <row r="1105" spans="1:15" x14ac:dyDescent="0.25">
      <c r="A1105" s="471" t="s">
        <v>5515</v>
      </c>
      <c r="B1105" s="1139">
        <f t="shared" ca="1" si="205"/>
        <v>0</v>
      </c>
      <c r="C1105" s="473">
        <f ca="1">IF(ISERROR(VLOOKUP($A$1243,INDIRECT("notes_"&amp;LEFT($A$1243,3)),4,0)),0,VLOOKUP($A$1243,INDIRECT("notes_"&amp;LEFT($A$1243,3)),4,0))</f>
        <v>0</v>
      </c>
      <c r="H1105" s="471">
        <f t="shared" si="204"/>
        <v>2</v>
      </c>
      <c r="I1105" s="471">
        <v>1</v>
      </c>
      <c r="J1105" s="471" t="str">
        <f t="shared" si="206"/>
        <v>ascsclisl</v>
      </c>
      <c r="K1105" s="471" t="str">
        <f t="shared" si="207"/>
        <v>oth-inc</v>
      </c>
      <c r="L1105" s="599"/>
      <c r="M1105" s="471" t="s">
        <v>5151</v>
      </c>
      <c r="N1105" s="471" t="s">
        <v>5152</v>
      </c>
      <c r="O1105" s="471" t="s">
        <v>5153</v>
      </c>
    </row>
    <row r="1106" spans="1:15" x14ac:dyDescent="0.25">
      <c r="A1106" s="471" t="s">
        <v>5516</v>
      </c>
      <c r="B1106" s="1139">
        <f t="shared" ca="1" si="205"/>
        <v>0</v>
      </c>
      <c r="C1106" s="473">
        <f ca="1">IF(ISERROR(VLOOKUP($A$1244,INDIRECT("notes_"&amp;LEFT($A$1244,3)),4,0)),0,VLOOKUP($A$1244,INDIRECT("notes_"&amp;LEFT($A$1244,3)),4,0))</f>
        <v>0</v>
      </c>
      <c r="H1106" s="471">
        <f t="shared" si="204"/>
        <v>2</v>
      </c>
      <c r="I1106" s="471">
        <v>1</v>
      </c>
      <c r="J1106" s="471" t="str">
        <f t="shared" si="206"/>
        <v>ascsclcrr</v>
      </c>
      <c r="K1106" s="471" t="str">
        <f t="shared" si="207"/>
        <v>oth-inc</v>
      </c>
      <c r="L1106" s="599"/>
      <c r="M1106" s="471" t="s">
        <v>5151</v>
      </c>
      <c r="N1106" s="471" t="s">
        <v>5152</v>
      </c>
      <c r="O1106" s="471" t="s">
        <v>5153</v>
      </c>
    </row>
    <row r="1107" spans="1:15" x14ac:dyDescent="0.25">
      <c r="A1107" s="1120" t="s">
        <v>5517</v>
      </c>
      <c r="B1107" s="1139" t="str">
        <f t="shared" ca="1" si="205"/>
        <v/>
      </c>
      <c r="C1107" s="473"/>
      <c r="H1107" s="471">
        <f t="shared" si="204"/>
        <v>2</v>
      </c>
      <c r="I1107" s="471">
        <v>1</v>
      </c>
      <c r="J1107" s="471" t="str">
        <f t="shared" si="206"/>
        <v>ascsclcrradl</v>
      </c>
      <c r="K1107" s="471" t="str">
        <f t="shared" si="207"/>
        <v>oth-inc</v>
      </c>
      <c r="L1107" s="599"/>
      <c r="M1107" s="471" t="s">
        <v>5151</v>
      </c>
      <c r="N1107" s="471" t="s">
        <v>5152</v>
      </c>
      <c r="O1107" s="471" t="s">
        <v>5153</v>
      </c>
    </row>
    <row r="1108" spans="1:15" x14ac:dyDescent="0.25">
      <c r="A1108" s="1120" t="s">
        <v>5518</v>
      </c>
      <c r="B1108" s="1139" t="str">
        <f t="shared" ca="1" si="205"/>
        <v/>
      </c>
      <c r="C1108" s="473"/>
      <c r="H1108" s="471">
        <f t="shared" si="204"/>
        <v>2</v>
      </c>
      <c r="I1108" s="471">
        <v>1</v>
      </c>
      <c r="J1108" s="471" t="str">
        <f t="shared" si="206"/>
        <v>ascsclcrrold</v>
      </c>
      <c r="K1108" s="471" t="str">
        <f t="shared" si="207"/>
        <v>oth-inc</v>
      </c>
      <c r="L1108" s="599"/>
      <c r="M1108" s="471" t="s">
        <v>5151</v>
      </c>
      <c r="N1108" s="471" t="s">
        <v>5152</v>
      </c>
      <c r="O1108" s="471" t="s">
        <v>5153</v>
      </c>
    </row>
    <row r="1109" spans="1:15" x14ac:dyDescent="0.25">
      <c r="A1109" s="471" t="s">
        <v>5519</v>
      </c>
      <c r="B1109" s="1139">
        <f t="shared" ca="1" si="205"/>
        <v>0</v>
      </c>
      <c r="C1109" s="473">
        <f ca="1">IF(ISERROR(VLOOKUP($A$1247,INDIRECT("notes_"&amp;LEFT($A$1247,3)),4,0)),0,VLOOKUP($A$1247,INDIRECT("notes_"&amp;LEFT($A$1247,3)),4,0))</f>
        <v>0</v>
      </c>
      <c r="H1109" s="471">
        <f t="shared" si="204"/>
        <v>2</v>
      </c>
      <c r="I1109" s="471">
        <v>1</v>
      </c>
      <c r="J1109" s="471" t="str">
        <f t="shared" si="206"/>
        <v>ascass</v>
      </c>
      <c r="K1109" s="471" t="str">
        <f t="shared" si="207"/>
        <v>oth-inc</v>
      </c>
      <c r="L1109" s="599"/>
      <c r="M1109" s="471" t="s">
        <v>5151</v>
      </c>
      <c r="N1109" s="471" t="s">
        <v>5152</v>
      </c>
      <c r="O1109" s="471" t="s">
        <v>5153</v>
      </c>
    </row>
    <row r="1110" spans="1:15" x14ac:dyDescent="0.25">
      <c r="A1110" s="471" t="s">
        <v>5520</v>
      </c>
      <c r="B1110" s="1139" t="str">
        <f t="shared" ca="1" si="205"/>
        <v/>
      </c>
      <c r="C1110" s="473"/>
      <c r="H1110" s="471">
        <f t="shared" si="204"/>
        <v>2</v>
      </c>
      <c r="I1110" s="471">
        <v>1</v>
      </c>
      <c r="J1110" s="471" t="str">
        <f t="shared" si="206"/>
        <v>ascassadl</v>
      </c>
      <c r="K1110" s="471" t="str">
        <f t="shared" si="207"/>
        <v>oth-inc</v>
      </c>
      <c r="L1110" s="599"/>
      <c r="M1110" s="471" t="s">
        <v>5151</v>
      </c>
      <c r="N1110" s="471" t="s">
        <v>5152</v>
      </c>
      <c r="O1110" s="471" t="s">
        <v>5153</v>
      </c>
    </row>
    <row r="1111" spans="1:15" x14ac:dyDescent="0.25">
      <c r="A1111" s="471" t="s">
        <v>5521</v>
      </c>
      <c r="B1111" s="1139" t="str">
        <f t="shared" ca="1" si="205"/>
        <v/>
      </c>
      <c r="C1111" s="473"/>
      <c r="H1111" s="471">
        <f t="shared" si="204"/>
        <v>2</v>
      </c>
      <c r="I1111" s="471">
        <v>1</v>
      </c>
      <c r="J1111" s="471" t="str">
        <f t="shared" si="206"/>
        <v>ascassold</v>
      </c>
      <c r="K1111" s="471" t="str">
        <f t="shared" si="207"/>
        <v>oth-inc</v>
      </c>
      <c r="L1111" s="599"/>
      <c r="M1111" s="471" t="s">
        <v>5151</v>
      </c>
      <c r="N1111" s="471" t="s">
        <v>5152</v>
      </c>
      <c r="O1111" s="471" t="s">
        <v>5153</v>
      </c>
    </row>
    <row r="1112" spans="1:15" x14ac:dyDescent="0.25">
      <c r="A1112" s="471" t="s">
        <v>5522</v>
      </c>
      <c r="B1112" s="1139">
        <f t="shared" ca="1" si="205"/>
        <v>0</v>
      </c>
      <c r="C1112" s="473">
        <f ca="1">IF(ISERROR(VLOOKUP($A$1250,INDIRECT("notes_"&amp;LEFT($A$1250,3)),4,0)),0,VLOOKUP($A$1250,INDIRECT("notes_"&amp;LEFT($A$1250,3)),4,0))</f>
        <v>0</v>
      </c>
      <c r="H1112" s="471">
        <f t="shared" si="204"/>
        <v>2</v>
      </c>
      <c r="I1112" s="471">
        <v>1</v>
      </c>
      <c r="J1112" s="471" t="str">
        <f t="shared" si="206"/>
        <v>asccrasssfg</v>
      </c>
      <c r="K1112" s="471" t="str">
        <f t="shared" si="207"/>
        <v>oth-inc</v>
      </c>
      <c r="L1112" s="599"/>
      <c r="M1112" s="471" t="s">
        <v>5151</v>
      </c>
      <c r="N1112" s="471" t="s">
        <v>5152</v>
      </c>
      <c r="O1112" s="471" t="s">
        <v>5153</v>
      </c>
    </row>
    <row r="1113" spans="1:15" x14ac:dyDescent="0.25">
      <c r="A1113" s="471" t="s">
        <v>5523</v>
      </c>
      <c r="B1113" s="1139" t="str">
        <f t="shared" ca="1" si="205"/>
        <v/>
      </c>
      <c r="C1113" s="473"/>
      <c r="H1113" s="471">
        <f t="shared" si="204"/>
        <v>2</v>
      </c>
      <c r="I1113" s="471">
        <v>1</v>
      </c>
      <c r="J1113" s="471" t="str">
        <f t="shared" si="206"/>
        <v>asccrasssfgadl</v>
      </c>
      <c r="K1113" s="471" t="str">
        <f t="shared" si="207"/>
        <v>oth-inc</v>
      </c>
      <c r="L1113" s="599"/>
      <c r="M1113" s="471" t="s">
        <v>5151</v>
      </c>
      <c r="N1113" s="471" t="s">
        <v>5152</v>
      </c>
      <c r="O1113" s="471" t="s">
        <v>5153</v>
      </c>
    </row>
    <row r="1114" spans="1:15" x14ac:dyDescent="0.25">
      <c r="A1114" s="471" t="s">
        <v>5524</v>
      </c>
      <c r="B1114" s="1139" t="str">
        <f t="shared" ca="1" si="205"/>
        <v/>
      </c>
      <c r="C1114" s="473"/>
      <c r="H1114" s="471">
        <f t="shared" si="204"/>
        <v>2</v>
      </c>
      <c r="I1114" s="471">
        <v>1</v>
      </c>
      <c r="J1114" s="471" t="str">
        <f t="shared" si="206"/>
        <v>asccrasssfgold</v>
      </c>
      <c r="K1114" s="471" t="str">
        <f t="shared" si="207"/>
        <v>oth-inc</v>
      </c>
      <c r="L1114" s="599"/>
      <c r="M1114" s="471" t="s">
        <v>5151</v>
      </c>
      <c r="N1114" s="471" t="s">
        <v>5152</v>
      </c>
      <c r="O1114" s="471" t="s">
        <v>5153</v>
      </c>
    </row>
    <row r="1115" spans="1:15" x14ac:dyDescent="0.25">
      <c r="A1115" s="471" t="s">
        <v>5525</v>
      </c>
      <c r="B1115" s="1139">
        <f t="shared" ca="1" si="205"/>
        <v>0</v>
      </c>
      <c r="C1115" s="473">
        <f ca="1">IF(ISERROR(VLOOKUP($A$1253,INDIRECT("notes_"&amp;LEFT($A$1253,3)),4,0)),0,VLOOKUP($A$1253,INDIRECT("notes_"&amp;LEFT($A$1253,3)),4,0))</f>
        <v>0</v>
      </c>
      <c r="H1115" s="471">
        <f t="shared" si="204"/>
        <v>2</v>
      </c>
      <c r="I1115" s="471">
        <v>1</v>
      </c>
      <c r="J1115" s="471" t="str">
        <f t="shared" si="206"/>
        <v>ascinf</v>
      </c>
      <c r="K1115" s="471" t="str">
        <f t="shared" si="207"/>
        <v>oth-inc</v>
      </c>
      <c r="L1115" s="599"/>
      <c r="M1115" s="471" t="s">
        <v>5151</v>
      </c>
      <c r="N1115" s="471" t="s">
        <v>5152</v>
      </c>
      <c r="O1115" s="471" t="s">
        <v>5153</v>
      </c>
    </row>
    <row r="1116" spans="1:15" x14ac:dyDescent="0.25">
      <c r="A1116" s="471" t="s">
        <v>5526</v>
      </c>
      <c r="B1116" s="1139" t="str">
        <f t="shared" ca="1" si="205"/>
        <v/>
      </c>
      <c r="C1116" s="473"/>
      <c r="H1116" s="471">
        <f t="shared" si="204"/>
        <v>2</v>
      </c>
      <c r="I1116" s="471">
        <v>1</v>
      </c>
      <c r="J1116" s="471" t="str">
        <f t="shared" si="206"/>
        <v>ascinfadl</v>
      </c>
      <c r="K1116" s="471" t="str">
        <f t="shared" si="207"/>
        <v>oth-inc</v>
      </c>
      <c r="L1116" s="599"/>
      <c r="M1116" s="471" t="s">
        <v>5151</v>
      </c>
      <c r="N1116" s="471" t="s">
        <v>5152</v>
      </c>
      <c r="O1116" s="471" t="s">
        <v>5153</v>
      </c>
    </row>
    <row r="1117" spans="1:15" x14ac:dyDescent="0.25">
      <c r="A1117" s="471" t="s">
        <v>5527</v>
      </c>
      <c r="B1117" s="1139" t="str">
        <f t="shared" ca="1" si="205"/>
        <v/>
      </c>
      <c r="C1117" s="473"/>
      <c r="H1117" s="471">
        <f t="shared" si="204"/>
        <v>2</v>
      </c>
      <c r="I1117" s="471">
        <v>1</v>
      </c>
      <c r="J1117" s="471" t="str">
        <f t="shared" si="206"/>
        <v>ascinfold</v>
      </c>
      <c r="K1117" s="471" t="str">
        <f t="shared" si="207"/>
        <v>oth-inc</v>
      </c>
      <c r="L1117" s="599"/>
      <c r="M1117" s="471" t="s">
        <v>5151</v>
      </c>
      <c r="N1117" s="471" t="s">
        <v>5152</v>
      </c>
      <c r="O1117" s="471" t="s">
        <v>5153</v>
      </c>
    </row>
    <row r="1118" spans="1:15" x14ac:dyDescent="0.25">
      <c r="A1118" s="471" t="s">
        <v>5528</v>
      </c>
      <c r="B1118" s="1139">
        <f t="shared" ca="1" si="205"/>
        <v>0</v>
      </c>
      <c r="C1118" s="473">
        <f ca="1">IF(ISERROR(VLOOKUP($A$1256,INDIRECT("notes_"&amp;LEFT($A$1256,3)),4,0)),0,VLOOKUP($A$1256,INDIRECT("notes_"&amp;LEFT($A$1256,3)),4,0))</f>
        <v>0</v>
      </c>
      <c r="H1118" s="471">
        <f t="shared" si="204"/>
        <v>2</v>
      </c>
      <c r="I1118" s="471">
        <v>1</v>
      </c>
      <c r="J1118" s="471" t="str">
        <f t="shared" si="206"/>
        <v>asccmstad</v>
      </c>
      <c r="K1118" s="471" t="str">
        <f t="shared" si="207"/>
        <v>oth-inc</v>
      </c>
      <c r="L1118" s="599"/>
      <c r="M1118" s="471" t="s">
        <v>5151</v>
      </c>
      <c r="N1118" s="471" t="s">
        <v>5152</v>
      </c>
      <c r="O1118" s="471" t="s">
        <v>5153</v>
      </c>
    </row>
    <row r="1119" spans="1:15" x14ac:dyDescent="0.25">
      <c r="A1119" s="471" t="s">
        <v>5529</v>
      </c>
      <c r="B1119" s="1139" t="str">
        <f t="shared" ca="1" si="205"/>
        <v/>
      </c>
      <c r="C1119" s="473"/>
      <c r="H1119" s="471">
        <f t="shared" si="204"/>
        <v>2</v>
      </c>
      <c r="I1119" s="471">
        <v>1</v>
      </c>
      <c r="J1119" s="471" t="str">
        <f t="shared" si="206"/>
        <v>asccmstadadl</v>
      </c>
      <c r="K1119" s="471" t="str">
        <f t="shared" si="207"/>
        <v>oth-inc</v>
      </c>
      <c r="L1119" s="599"/>
      <c r="M1119" s="471" t="s">
        <v>5151</v>
      </c>
      <c r="N1119" s="471" t="s">
        <v>5152</v>
      </c>
      <c r="O1119" s="471" t="s">
        <v>5153</v>
      </c>
    </row>
    <row r="1120" spans="1:15" x14ac:dyDescent="0.25">
      <c r="A1120" s="471" t="s">
        <v>5530</v>
      </c>
      <c r="B1120" s="1139" t="str">
        <f t="shared" ca="1" si="205"/>
        <v/>
      </c>
      <c r="C1120" s="473"/>
      <c r="H1120" s="471">
        <f t="shared" si="204"/>
        <v>2</v>
      </c>
      <c r="I1120" s="471">
        <v>1</v>
      </c>
      <c r="J1120" s="471" t="str">
        <f t="shared" si="206"/>
        <v>asccmstadold</v>
      </c>
      <c r="K1120" s="471" t="str">
        <f t="shared" si="207"/>
        <v>oth-inc</v>
      </c>
      <c r="L1120" s="599"/>
      <c r="M1120" s="471" t="s">
        <v>5151</v>
      </c>
      <c r="N1120" s="471" t="s">
        <v>5152</v>
      </c>
      <c r="O1120" s="471" t="s">
        <v>5153</v>
      </c>
    </row>
    <row r="1121" spans="1:15" x14ac:dyDescent="0.25">
      <c r="A1121" s="471" t="s">
        <v>5531</v>
      </c>
      <c r="B1121" s="1139">
        <f t="shared" ca="1" si="205"/>
        <v>0</v>
      </c>
      <c r="C1121" s="473">
        <f ca="1">IF(ISERROR(VLOOKUP($A$1259,INDIRECT("notes_"&amp;LEFT($A$1259,3)),4,0)),0,VLOOKUP($A$1259,INDIRECT("notes_"&amp;LEFT($A$1259,3)),4,0))</f>
        <v>0</v>
      </c>
      <c r="H1121" s="471">
        <f t="shared" si="204"/>
        <v>2</v>
      </c>
      <c r="I1121" s="471">
        <v>1</v>
      </c>
      <c r="J1121" s="471" t="str">
        <f t="shared" si="206"/>
        <v>asctot</v>
      </c>
      <c r="K1121" s="471" t="str">
        <f t="shared" si="207"/>
        <v>oth-inc</v>
      </c>
      <c r="L1121" s="599"/>
      <c r="M1121" s="471" t="s">
        <v>5151</v>
      </c>
      <c r="N1121" s="471" t="s">
        <v>5152</v>
      </c>
      <c r="O1121" s="471" t="s">
        <v>5153</v>
      </c>
    </row>
    <row r="1122" spans="1:15" x14ac:dyDescent="0.25">
      <c r="A1122" s="1120" t="s">
        <v>2081</v>
      </c>
      <c r="B1122" s="1139">
        <f t="shared" ref="B1122:B1124" ca="1" si="208">INDEX(INDIRECT(LEFT($A1122,SEARCH("-",$A1122,1)-1)&amp;"_data"),MATCH(MID($A1122,SEARCH("-",$A1122)+1,SEARCH("#",SUBSTITUTE($A1122,"-","#",H1122),1)-(SEARCH("-",$A1122)+1)),INDIRECT(LEFT($A1122,SEARCH("-",$A1122,1)-1)&amp;"_rows"),0),MATCH(RIGHT($A1122,LEN($A1122)-LEN(LEFT($A1122,SEARCH("#",SUBSTITUTE($A1122,"-","#",H1122),1)))),INDIRECT(LEFT($A1122,SEARCH("-",$A1122,1)-1)&amp;"_Header"),0))</f>
        <v>0</v>
      </c>
      <c r="C1122" s="473">
        <f ca="1">IF(ISERROR(VLOOKUP($A$1122,INDIRECT("notes_"&amp;LEFT($A$1122,3)),4,0)),0,VLOOKUP($A$1122,INDIRECT("notes_"&amp;LEFT($A$1122,3)),4,0))</f>
        <v>0</v>
      </c>
      <c r="H1122" s="471">
        <f t="shared" si="204"/>
        <v>2</v>
      </c>
      <c r="I1122" s="471">
        <v>1</v>
      </c>
      <c r="J1122" s="471" t="str">
        <f t="shared" ref="J1122" si="209">MID($A1122,SEARCH("-",$A1122)+1,SEARCH("#",SUBSTITUTE($A1122,"-","#",H1122),1)-(SEARCH("-",$A1122)+1))</f>
        <v>ascsvmemrec</v>
      </c>
      <c r="K1122" s="471" t="str">
        <f t="shared" ref="K1122" si="210">RIGHT($A1122,LEN($A1122)-SEARCH("#",SUBSTITUTE($A1122,"-","#",H1122),1))</f>
        <v>oth-inc</v>
      </c>
      <c r="L1122" s="599"/>
      <c r="M1122" s="471" t="s">
        <v>5151</v>
      </c>
      <c r="N1122" s="471" t="s">
        <v>5152</v>
      </c>
      <c r="O1122" s="471" t="s">
        <v>5153</v>
      </c>
    </row>
    <row r="1123" spans="1:15" x14ac:dyDescent="0.25">
      <c r="A1123" s="1120" t="s">
        <v>2082</v>
      </c>
      <c r="B1123" s="1139">
        <f t="shared" ca="1" si="208"/>
        <v>0</v>
      </c>
      <c r="C1123" s="474">
        <f ca="1">IF(ISERROR(VLOOKUP($A$1123,INDIRECT("notes_"&amp;LEFT($A$1123,3)),4,0)),0,VLOOKUP($A$1123,INDIRECT("notes_"&amp;LEFT($A$1123,3)),4,0))</f>
        <v>0</v>
      </c>
      <c r="H1123" s="471">
        <f t="shared" si="204"/>
        <v>2</v>
      </c>
      <c r="I1123" s="471">
        <v>1</v>
      </c>
      <c r="J1123" s="471" t="str">
        <f t="shared" ref="J1123:J1124" si="211">MID($A1123,SEARCH("-",$A1123)+1,SEARCH("#",SUBSTITUTE($A1123,"-","#",H1123),1)-(SEARCH("-",$A1123)+1))</f>
        <v>ascvmemnhsbcf</v>
      </c>
      <c r="K1123" s="471" t="str">
        <f t="shared" ref="K1123:K1124" si="212">RIGHT($A1123,LEN($A1123)-SEARCH("#",SUBSTITUTE($A1123,"-","#",H1123),1))</f>
        <v>oth-inc</v>
      </c>
      <c r="L1123" s="599"/>
      <c r="M1123" s="471" t="s">
        <v>5151</v>
      </c>
      <c r="N1123" s="471" t="s">
        <v>5152</v>
      </c>
      <c r="O1123" s="471" t="s">
        <v>5153</v>
      </c>
    </row>
    <row r="1124" spans="1:15" x14ac:dyDescent="0.25">
      <c r="A1124" s="1120" t="s">
        <v>2083</v>
      </c>
      <c r="B1124" s="1139">
        <f t="shared" ca="1" si="208"/>
        <v>0</v>
      </c>
      <c r="C1124" s="474">
        <f ca="1">IF(ISERROR(VLOOKUP($A$1124,INDIRECT("notes_"&amp;LEFT($A$1124,3)),4,0)),0,VLOOKUP($A$1124,INDIRECT("notes_"&amp;LEFT($A$1124,3)),4,0))</f>
        <v>0</v>
      </c>
      <c r="H1124" s="471">
        <f t="shared" si="204"/>
        <v>2</v>
      </c>
      <c r="I1124" s="471">
        <v>1</v>
      </c>
      <c r="J1124" s="471" t="str">
        <f t="shared" si="211"/>
        <v>ascvmemnhsoth</v>
      </c>
      <c r="K1124" s="471" t="str">
        <f t="shared" si="212"/>
        <v>oth-inc</v>
      </c>
      <c r="L1124" s="599"/>
      <c r="M1124" s="471" t="s">
        <v>5151</v>
      </c>
      <c r="N1124" s="471" t="s">
        <v>5152</v>
      </c>
      <c r="O1124" s="471" t="s">
        <v>5153</v>
      </c>
    </row>
    <row r="1125" spans="1:15" x14ac:dyDescent="0.25">
      <c r="A1125" s="471" t="s">
        <v>5532</v>
      </c>
      <c r="B1125" s="1139">
        <f t="shared" ca="1" si="205"/>
        <v>0</v>
      </c>
      <c r="C1125" s="473">
        <f ca="1">IF(ISERROR(VLOOKUP($A$1260,INDIRECT("notes_"&amp;LEFT($A$1260,3)),4,0)),0,VLOOKUP($A$1260,INDIRECT("notes_"&amp;LEFT($A$1260,3)),4,0))</f>
        <v>0</v>
      </c>
      <c r="H1125" s="471">
        <f t="shared" si="204"/>
        <v>2</v>
      </c>
      <c r="I1125" s="471">
        <v>1</v>
      </c>
      <c r="J1125" s="471" t="str">
        <f t="shared" si="206"/>
        <v>phsxlsti</v>
      </c>
      <c r="K1125" s="471" t="str">
        <f t="shared" si="207"/>
        <v>oth-inc</v>
      </c>
      <c r="L1125" s="599"/>
      <c r="M1125" s="471" t="s">
        <v>5151</v>
      </c>
      <c r="N1125" s="471" t="s">
        <v>5152</v>
      </c>
      <c r="O1125" s="471" t="s">
        <v>5153</v>
      </c>
    </row>
    <row r="1126" spans="1:15" x14ac:dyDescent="0.25">
      <c r="A1126" s="471" t="s">
        <v>5533</v>
      </c>
      <c r="B1126" s="1139">
        <f t="shared" ca="1" si="205"/>
        <v>0</v>
      </c>
      <c r="C1126" s="473">
        <f ca="1">IF(ISERROR(VLOOKUP($A$1261,INDIRECT("notes_"&amp;LEFT($A$1261,3)),4,0)),0,VLOOKUP($A$1261,INDIRECT("notes_"&amp;LEFT($A$1261,3)),4,0))</f>
        <v>0</v>
      </c>
      <c r="H1126" s="471">
        <f t="shared" si="204"/>
        <v>2</v>
      </c>
      <c r="I1126" s="471">
        <v>1</v>
      </c>
      <c r="J1126" s="471" t="str">
        <f t="shared" si="206"/>
        <v>phsxlcnt</v>
      </c>
      <c r="K1126" s="471" t="str">
        <f t="shared" si="207"/>
        <v>oth-inc</v>
      </c>
      <c r="L1126" s="599"/>
      <c r="M1126" s="471" t="s">
        <v>5151</v>
      </c>
      <c r="N1126" s="471" t="s">
        <v>5152</v>
      </c>
      <c r="O1126" s="471" t="s">
        <v>5153</v>
      </c>
    </row>
    <row r="1127" spans="1:15" x14ac:dyDescent="0.25">
      <c r="A1127" s="471" t="s">
        <v>5534</v>
      </c>
      <c r="B1127" s="1139">
        <f t="shared" ca="1" si="205"/>
        <v>0</v>
      </c>
      <c r="C1127" s="473">
        <f ca="1">IF(ISERROR(VLOOKUP($A$1262,INDIRECT("notes_"&amp;LEFT($A$1262,3)),4,0)),0,VLOOKUP($A$1262,INDIRECT("notes_"&amp;LEFT($A$1262,3)),4,0))</f>
        <v>0</v>
      </c>
      <c r="H1127" s="471">
        <f t="shared" si="204"/>
        <v>2</v>
      </c>
      <c r="I1127" s="471">
        <v>1</v>
      </c>
      <c r="J1127" s="471" t="str">
        <f t="shared" si="206"/>
        <v>phsxlprm</v>
      </c>
      <c r="K1127" s="471" t="str">
        <f t="shared" si="207"/>
        <v>oth-inc</v>
      </c>
      <c r="L1127" s="599"/>
      <c r="M1127" s="471" t="s">
        <v>5151</v>
      </c>
      <c r="N1127" s="471" t="s">
        <v>5152</v>
      </c>
      <c r="O1127" s="471" t="s">
        <v>5153</v>
      </c>
    </row>
    <row r="1128" spans="1:15" x14ac:dyDescent="0.25">
      <c r="A1128" s="471" t="s">
        <v>5535</v>
      </c>
      <c r="B1128" s="1139">
        <f t="shared" ca="1" si="205"/>
        <v>0</v>
      </c>
      <c r="C1128" s="473">
        <f ca="1">IF(ISERROR(VLOOKUP($A$1263,INDIRECT("notes_"&amp;LEFT($A$1263,3)),4,0)),0,VLOOKUP($A$1263,INDIRECT("notes_"&amp;LEFT($A$1263,3)),4,0))</f>
        <v>0</v>
      </c>
      <c r="H1128" s="471">
        <f t="shared" si="204"/>
        <v>2</v>
      </c>
      <c r="I1128" s="471">
        <v>1</v>
      </c>
      <c r="J1128" s="471" t="str">
        <f t="shared" si="206"/>
        <v>phhcp</v>
      </c>
      <c r="K1128" s="471" t="str">
        <f t="shared" si="207"/>
        <v>oth-inc</v>
      </c>
      <c r="L1128" s="599"/>
      <c r="M1128" s="471" t="s">
        <v>5151</v>
      </c>
      <c r="N1128" s="471" t="s">
        <v>5152</v>
      </c>
      <c r="O1128" s="471" t="s">
        <v>5153</v>
      </c>
    </row>
    <row r="1129" spans="1:15" x14ac:dyDescent="0.25">
      <c r="A1129" s="471" t="s">
        <v>5536</v>
      </c>
      <c r="B1129" s="1139">
        <f t="shared" ca="1" si="205"/>
        <v>0</v>
      </c>
      <c r="C1129" s="473">
        <f ca="1">IF(ISERROR(VLOOKUP($A$1264,INDIRECT("notes_"&amp;LEFT($A$1264,3)),4,0)),0,VLOOKUP($A$1264,INDIRECT("notes_"&amp;LEFT($A$1264,3)),4,0))</f>
        <v>0</v>
      </c>
      <c r="H1129" s="471">
        <f t="shared" si="204"/>
        <v>2</v>
      </c>
      <c r="I1129" s="471">
        <v>1</v>
      </c>
      <c r="J1129" s="471" t="str">
        <f t="shared" si="206"/>
        <v>phprt</v>
      </c>
      <c r="K1129" s="471" t="str">
        <f t="shared" si="207"/>
        <v>oth-inc</v>
      </c>
      <c r="L1129" s="599"/>
      <c r="M1129" s="471" t="s">
        <v>5151</v>
      </c>
      <c r="N1129" s="471" t="s">
        <v>5152</v>
      </c>
      <c r="O1129" s="471" t="s">
        <v>5153</v>
      </c>
    </row>
    <row r="1130" spans="1:15" x14ac:dyDescent="0.25">
      <c r="A1130" s="471" t="s">
        <v>5537</v>
      </c>
      <c r="B1130" s="1139">
        <f t="shared" ca="1" si="205"/>
        <v>0</v>
      </c>
      <c r="C1130" s="473">
        <f ca="1">IF(ISERROR(VLOOKUP($A$1265,INDIRECT("notes_"&amp;LEFT($A$1265,3)),4,0)),0,VLOOKUP($A$1265,INDIRECT("notes_"&amp;LEFT($A$1265,3)),4,0))</f>
        <v>0</v>
      </c>
      <c r="H1130" s="471">
        <f t="shared" si="204"/>
        <v>2</v>
      </c>
      <c r="I1130" s="471">
        <v>1</v>
      </c>
      <c r="J1130" s="471" t="str">
        <f t="shared" si="206"/>
        <v>phcmp</v>
      </c>
      <c r="K1130" s="471" t="str">
        <f t="shared" si="207"/>
        <v>oth-inc</v>
      </c>
      <c r="L1130" s="599"/>
      <c r="M1130" s="471" t="s">
        <v>5151</v>
      </c>
      <c r="N1130" s="471" t="s">
        <v>5152</v>
      </c>
      <c r="O1130" s="471" t="s">
        <v>5153</v>
      </c>
    </row>
    <row r="1131" spans="1:15" x14ac:dyDescent="0.25">
      <c r="A1131" s="471" t="s">
        <v>5538</v>
      </c>
      <c r="B1131" s="1139">
        <f t="shared" ca="1" si="205"/>
        <v>0</v>
      </c>
      <c r="C1131" s="473">
        <f ca="1">IF(ISERROR(VLOOKUP($A$1266,INDIRECT("notes_"&amp;LEFT($A$1266,3)),4,0)),0,VLOOKUP($A$1266,INDIRECT("notes_"&amp;LEFT($A$1266,3)),4,0))</f>
        <v>0</v>
      </c>
      <c r="H1131" s="471">
        <f t="shared" si="204"/>
        <v>2</v>
      </c>
      <c r="I1131" s="471">
        <v>1</v>
      </c>
      <c r="J1131" s="471" t="str">
        <f t="shared" si="206"/>
        <v>phadv</v>
      </c>
      <c r="K1131" s="471" t="str">
        <f t="shared" si="207"/>
        <v>oth-inc</v>
      </c>
      <c r="L1131" s="599"/>
      <c r="M1131" s="471" t="s">
        <v>5151</v>
      </c>
      <c r="N1131" s="471" t="s">
        <v>5152</v>
      </c>
      <c r="O1131" s="471" t="s">
        <v>5153</v>
      </c>
    </row>
    <row r="1132" spans="1:15" x14ac:dyDescent="0.25">
      <c r="A1132" s="471" t="s">
        <v>5539</v>
      </c>
      <c r="B1132" s="1139">
        <f t="shared" ca="1" si="205"/>
        <v>0</v>
      </c>
      <c r="C1132" s="473">
        <f ca="1">IF(ISERROR(VLOOKUP($A$1267,INDIRECT("notes_"&amp;LEFT($A$1267,3)),4,0)),0,VLOOKUP($A$1267,INDIRECT("notes_"&amp;LEFT($A$1267,3)),4,0))</f>
        <v>0</v>
      </c>
      <c r="H1132" s="471">
        <f t="shared" si="204"/>
        <v>2</v>
      </c>
      <c r="I1132" s="471">
        <v>1</v>
      </c>
      <c r="J1132" s="471" t="str">
        <f t="shared" si="206"/>
        <v>phobsadl</v>
      </c>
      <c r="K1132" s="471" t="str">
        <f t="shared" si="207"/>
        <v>oth-inc</v>
      </c>
      <c r="L1132" s="599"/>
      <c r="M1132" s="471" t="s">
        <v>5151</v>
      </c>
      <c r="N1132" s="471" t="s">
        <v>5152</v>
      </c>
      <c r="O1132" s="471" t="s">
        <v>5153</v>
      </c>
    </row>
    <row r="1133" spans="1:15" x14ac:dyDescent="0.25">
      <c r="A1133" s="471" t="s">
        <v>5540</v>
      </c>
      <c r="B1133" s="1139">
        <f t="shared" ca="1" si="205"/>
        <v>0</v>
      </c>
      <c r="C1133" s="473">
        <f ca="1">IF(ISERROR(VLOOKUP($A$1268,INDIRECT("notes_"&amp;LEFT($A$1268,3)),4,0)),0,VLOOKUP($A$1268,INDIRECT("notes_"&amp;LEFT($A$1268,3)),4,0))</f>
        <v>0</v>
      </c>
      <c r="H1133" s="471">
        <f t="shared" si="204"/>
        <v>2</v>
      </c>
      <c r="I1133" s="471">
        <v>1</v>
      </c>
      <c r="J1133" s="471" t="str">
        <f t="shared" si="206"/>
        <v>phobschl</v>
      </c>
      <c r="K1133" s="471" t="str">
        <f t="shared" si="207"/>
        <v>oth-inc</v>
      </c>
      <c r="L1133" s="599"/>
      <c r="M1133" s="471" t="s">
        <v>5151</v>
      </c>
      <c r="N1133" s="471" t="s">
        <v>5152</v>
      </c>
      <c r="O1133" s="471" t="s">
        <v>5153</v>
      </c>
    </row>
    <row r="1134" spans="1:15" x14ac:dyDescent="0.25">
      <c r="A1134" s="471" t="s">
        <v>5541</v>
      </c>
      <c r="B1134" s="1139">
        <f t="shared" ca="1" si="205"/>
        <v>0</v>
      </c>
      <c r="C1134" s="473">
        <f ca="1">IF(ISERROR(VLOOKUP($A$1269,INDIRECT("notes_"&amp;LEFT($A$1269,3)),4,0)),0,VLOOKUP($A$1269,INDIRECT("notes_"&amp;LEFT($A$1269,3)),4,0))</f>
        <v>0</v>
      </c>
      <c r="H1134" s="471">
        <f t="shared" si="204"/>
        <v>2</v>
      </c>
      <c r="I1134" s="471">
        <v>1</v>
      </c>
      <c r="J1134" s="471" t="str">
        <f t="shared" si="206"/>
        <v>phphyadl</v>
      </c>
      <c r="K1134" s="471" t="str">
        <f t="shared" si="207"/>
        <v>oth-inc</v>
      </c>
      <c r="L1134" s="599"/>
      <c r="M1134" s="471" t="s">
        <v>5151</v>
      </c>
      <c r="N1134" s="471" t="s">
        <v>5152</v>
      </c>
      <c r="O1134" s="471" t="s">
        <v>5153</v>
      </c>
    </row>
    <row r="1135" spans="1:15" x14ac:dyDescent="0.25">
      <c r="A1135" s="471" t="s">
        <v>5542</v>
      </c>
      <c r="B1135" s="1139">
        <f t="shared" ca="1" si="205"/>
        <v>0</v>
      </c>
      <c r="C1135" s="473">
        <f ca="1">IF(ISERROR(VLOOKUP($A$1270,INDIRECT("notes_"&amp;LEFT($A$1270,3)),4,0)),0,VLOOKUP($A$1270,INDIRECT("notes_"&amp;LEFT($A$1270,3)),4,0))</f>
        <v>0</v>
      </c>
      <c r="H1135" s="471">
        <f t="shared" si="204"/>
        <v>2</v>
      </c>
      <c r="I1135" s="471">
        <v>1</v>
      </c>
      <c r="J1135" s="471" t="str">
        <f t="shared" si="206"/>
        <v>phphychl</v>
      </c>
      <c r="K1135" s="471" t="str">
        <f t="shared" si="207"/>
        <v>oth-inc</v>
      </c>
      <c r="L1135" s="599"/>
      <c r="M1135" s="471" t="s">
        <v>5151</v>
      </c>
      <c r="N1135" s="471" t="s">
        <v>5152</v>
      </c>
      <c r="O1135" s="471" t="s">
        <v>5153</v>
      </c>
    </row>
    <row r="1136" spans="1:15" x14ac:dyDescent="0.25">
      <c r="A1136" s="471" t="s">
        <v>5543</v>
      </c>
      <c r="B1136" s="1139">
        <f t="shared" ca="1" si="205"/>
        <v>0</v>
      </c>
      <c r="C1136" s="473">
        <f ca="1">IF(ISERROR(VLOOKUP($A$1271,INDIRECT("notes_"&amp;LEFT($A$1271,3)),4,0)),0,VLOOKUP($A$1271,INDIRECT("notes_"&amp;LEFT($A$1271,3)),4,0))</f>
        <v>0</v>
      </c>
      <c r="H1136" s="471">
        <f t="shared" si="204"/>
        <v>2</v>
      </c>
      <c r="I1136" s="471">
        <v>1</v>
      </c>
      <c r="J1136" s="471" t="str">
        <f t="shared" si="206"/>
        <v>phsbstrtdrg</v>
      </c>
      <c r="K1136" s="471" t="str">
        <f t="shared" si="207"/>
        <v>oth-inc</v>
      </c>
      <c r="L1136" s="599"/>
      <c r="M1136" s="471" t="s">
        <v>5151</v>
      </c>
      <c r="N1136" s="471" t="s">
        <v>5152</v>
      </c>
      <c r="O1136" s="471" t="s">
        <v>5153</v>
      </c>
    </row>
    <row r="1137" spans="1:15" x14ac:dyDescent="0.25">
      <c r="A1137" s="471" t="s">
        <v>5544</v>
      </c>
      <c r="B1137" s="1139">
        <f t="shared" ca="1" si="205"/>
        <v>0</v>
      </c>
      <c r="C1137" s="473">
        <f ca="1">IF(ISERROR(VLOOKUP($A$1272,INDIRECT("notes_"&amp;LEFT($A$1272,3)),4,0)),0,VLOOKUP($A$1272,INDIRECT("notes_"&amp;LEFT($A$1272,3)),4,0))</f>
        <v>0</v>
      </c>
      <c r="H1137" s="471">
        <f t="shared" si="204"/>
        <v>2</v>
      </c>
      <c r="I1137" s="471">
        <v>1</v>
      </c>
      <c r="J1137" s="471" t="str">
        <f t="shared" si="206"/>
        <v>phsbsprvdrg</v>
      </c>
      <c r="K1137" s="471" t="str">
        <f t="shared" si="207"/>
        <v>oth-inc</v>
      </c>
      <c r="L1137" s="599"/>
      <c r="M1137" s="471" t="s">
        <v>5151</v>
      </c>
      <c r="N1137" s="471" t="s">
        <v>5152</v>
      </c>
      <c r="O1137" s="471" t="s">
        <v>5153</v>
      </c>
    </row>
    <row r="1138" spans="1:15" x14ac:dyDescent="0.25">
      <c r="A1138" s="471" t="s">
        <v>5545</v>
      </c>
      <c r="B1138" s="1139">
        <f t="shared" ca="1" si="205"/>
        <v>0</v>
      </c>
      <c r="C1138" s="473">
        <f ca="1">IF(ISERROR(VLOOKUP($A$1273,INDIRECT("notes_"&amp;LEFT($A$1273,3)),4,0)),0,VLOOKUP($A$1273,INDIRECT("notes_"&amp;LEFT($A$1273,3)),4,0))</f>
        <v>0</v>
      </c>
      <c r="H1138" s="471">
        <f t="shared" si="204"/>
        <v>2</v>
      </c>
      <c r="I1138" s="471">
        <v>1</v>
      </c>
      <c r="J1138" s="471" t="str">
        <f t="shared" si="206"/>
        <v>phsbsspc</v>
      </c>
      <c r="K1138" s="471" t="str">
        <f t="shared" si="207"/>
        <v>oth-inc</v>
      </c>
      <c r="L1138" s="599"/>
      <c r="M1138" s="471" t="s">
        <v>5151</v>
      </c>
      <c r="N1138" s="471" t="s">
        <v>5152</v>
      </c>
      <c r="O1138" s="471" t="s">
        <v>5153</v>
      </c>
    </row>
    <row r="1139" spans="1:15" x14ac:dyDescent="0.25">
      <c r="A1139" s="471" t="s">
        <v>5546</v>
      </c>
      <c r="B1139" s="1139">
        <f t="shared" ca="1" si="205"/>
        <v>0</v>
      </c>
      <c r="C1139" s="473">
        <f ca="1">IF(ISERROR(VLOOKUP($A$1274,INDIRECT("notes_"&amp;LEFT($A$1274,3)),4,0)),0,VLOOKUP($A$1274,INDIRECT("notes_"&amp;LEFT($A$1274,3)),4,0))</f>
        <v>0</v>
      </c>
      <c r="H1139" s="471">
        <f t="shared" si="204"/>
        <v>2</v>
      </c>
      <c r="I1139" s="471">
        <v>1</v>
      </c>
      <c r="J1139" s="471" t="str">
        <f t="shared" si="206"/>
        <v>phsmkstp</v>
      </c>
      <c r="K1139" s="471" t="str">
        <f t="shared" si="207"/>
        <v>oth-inc</v>
      </c>
      <c r="L1139" s="599"/>
      <c r="M1139" s="471" t="s">
        <v>5151</v>
      </c>
      <c r="N1139" s="471" t="s">
        <v>5152</v>
      </c>
      <c r="O1139" s="471" t="s">
        <v>5153</v>
      </c>
    </row>
    <row r="1140" spans="1:15" x14ac:dyDescent="0.25">
      <c r="A1140" s="471" t="s">
        <v>5547</v>
      </c>
      <c r="B1140" s="1139">
        <f t="shared" ca="1" si="205"/>
        <v>0</v>
      </c>
      <c r="C1140" s="473">
        <f ca="1">IF(ISERROR(VLOOKUP($A$1275,INDIRECT("notes_"&amp;LEFT($A$1275,3)),4,0)),0,VLOOKUP($A$1275,INDIRECT("notes_"&amp;LEFT($A$1275,3)),4,0))</f>
        <v>0</v>
      </c>
      <c r="H1140" s="471">
        <f t="shared" si="204"/>
        <v>2</v>
      </c>
      <c r="I1140" s="471">
        <v>1</v>
      </c>
      <c r="J1140" s="471" t="str">
        <f t="shared" si="206"/>
        <v>phsmkcnt</v>
      </c>
      <c r="K1140" s="471" t="str">
        <f t="shared" si="207"/>
        <v>oth-inc</v>
      </c>
      <c r="L1140" s="599"/>
      <c r="M1140" s="471" t="s">
        <v>5151</v>
      </c>
      <c r="N1140" s="471" t="s">
        <v>5152</v>
      </c>
      <c r="O1140" s="471" t="s">
        <v>5153</v>
      </c>
    </row>
    <row r="1141" spans="1:15" x14ac:dyDescent="0.25">
      <c r="A1141" s="471" t="s">
        <v>5548</v>
      </c>
      <c r="B1141" s="1139">
        <f t="shared" ca="1" si="205"/>
        <v>0</v>
      </c>
      <c r="C1141" s="473">
        <f ca="1">IF(ISERROR(VLOOKUP($A$1276,INDIRECT("notes_"&amp;LEFT($A$1276,3)),4,0)),0,VLOOKUP($A$1276,INDIRECT("notes_"&amp;LEFT($A$1276,3)),4,0))</f>
        <v>0</v>
      </c>
      <c r="H1141" s="471">
        <f t="shared" si="204"/>
        <v>2</v>
      </c>
      <c r="I1141" s="471">
        <v>1</v>
      </c>
      <c r="J1141" s="471" t="str">
        <f t="shared" si="206"/>
        <v>phchl</v>
      </c>
      <c r="K1141" s="471" t="str">
        <f t="shared" si="207"/>
        <v>oth-inc</v>
      </c>
      <c r="L1141" s="599"/>
      <c r="M1141" s="471" t="s">
        <v>5151</v>
      </c>
      <c r="N1141" s="471" t="s">
        <v>5152</v>
      </c>
      <c r="O1141" s="471" t="s">
        <v>5153</v>
      </c>
    </row>
    <row r="1142" spans="1:15" x14ac:dyDescent="0.25">
      <c r="A1142" s="471" t="s">
        <v>5549</v>
      </c>
      <c r="B1142" s="1139">
        <f t="shared" ca="1" si="205"/>
        <v>0</v>
      </c>
      <c r="C1142" s="473">
        <f ca="1">IF(ISERROR(VLOOKUP($A$1277,INDIRECT("notes_"&amp;LEFT($A$1277,3)),4,0)),0,VLOOKUP($A$1277,INDIRECT("notes_"&amp;LEFT($A$1277,3)),4,0))</f>
        <v>0</v>
      </c>
      <c r="H1142" s="471">
        <f t="shared" si="204"/>
        <v>2</v>
      </c>
      <c r="I1142" s="471">
        <v>1</v>
      </c>
      <c r="J1142" s="471" t="str">
        <f t="shared" si="206"/>
        <v>phbbymnd</v>
      </c>
      <c r="K1142" s="471" t="str">
        <f t="shared" si="207"/>
        <v>oth-inc</v>
      </c>
      <c r="L1142" s="599"/>
      <c r="M1142" s="471" t="s">
        <v>5151</v>
      </c>
      <c r="N1142" s="471" t="s">
        <v>5152</v>
      </c>
      <c r="O1142" s="471" t="s">
        <v>5153</v>
      </c>
    </row>
    <row r="1143" spans="1:15" x14ac:dyDescent="0.25">
      <c r="A1143" s="471" t="s">
        <v>5550</v>
      </c>
      <c r="B1143" s="1139">
        <f t="shared" ca="1" si="205"/>
        <v>0</v>
      </c>
      <c r="C1143" s="473">
        <f ca="1">IF(ISERROR(VLOOKUP($A$1278,INDIRECT("notes_"&amp;LEFT($A$1278,3)),4,0)),0,VLOOKUP($A$1278,INDIRECT("notes_"&amp;LEFT($A$1278,3)),4,0))</f>
        <v>0</v>
      </c>
      <c r="H1143" s="471">
        <f t="shared" si="204"/>
        <v>2</v>
      </c>
      <c r="I1143" s="471">
        <v>1</v>
      </c>
      <c r="J1143" s="471" t="str">
        <f t="shared" si="206"/>
        <v>phbbyoth</v>
      </c>
      <c r="K1143" s="471" t="str">
        <f t="shared" si="207"/>
        <v>oth-inc</v>
      </c>
      <c r="L1143" s="599"/>
      <c r="M1143" s="471" t="s">
        <v>5151</v>
      </c>
      <c r="N1143" s="471" t="s">
        <v>5152</v>
      </c>
      <c r="O1143" s="471" t="s">
        <v>5153</v>
      </c>
    </row>
    <row r="1144" spans="1:15" x14ac:dyDescent="0.25">
      <c r="A1144" s="471" t="s">
        <v>5551</v>
      </c>
      <c r="B1144" s="1139">
        <f t="shared" ca="1" si="205"/>
        <v>0</v>
      </c>
      <c r="C1144" s="473">
        <f ca="1">IF(ISERROR(VLOOKUP($A$1279,INDIRECT("notes_"&amp;LEFT($A$1279,3)),4,0)),0,VLOOKUP($A$1279,INDIRECT("notes_"&amp;LEFT($A$1279,3)),4,0))</f>
        <v>0</v>
      </c>
      <c r="H1144" s="471">
        <f t="shared" si="204"/>
        <v>2</v>
      </c>
      <c r="I1144" s="471">
        <v>1</v>
      </c>
      <c r="J1144" s="471" t="str">
        <f t="shared" si="206"/>
        <v>phwrk</v>
      </c>
      <c r="K1144" s="471" t="str">
        <f t="shared" si="207"/>
        <v>oth-inc</v>
      </c>
      <c r="L1144" s="599"/>
      <c r="M1144" s="471" t="s">
        <v>5151</v>
      </c>
      <c r="N1144" s="471" t="s">
        <v>5152</v>
      </c>
      <c r="O1144" s="471" t="s">
        <v>5153</v>
      </c>
    </row>
    <row r="1145" spans="1:15" x14ac:dyDescent="0.25">
      <c r="A1145" s="471" t="s">
        <v>5552</v>
      </c>
      <c r="B1145" s="1139">
        <f t="shared" ca="1" si="205"/>
        <v>0</v>
      </c>
      <c r="C1145" s="473">
        <f ca="1">IF(ISERROR(VLOOKUP($A$1280,INDIRECT("notes_"&amp;LEFT($A$1280,3)),4,0)),0,VLOOKUP($A$1280,INDIRECT("notes_"&amp;LEFT($A$1280,3)),4,0))</f>
        <v>0</v>
      </c>
      <c r="H1145" s="471">
        <f t="shared" si="204"/>
        <v>2</v>
      </c>
      <c r="I1145" s="471">
        <v>1</v>
      </c>
      <c r="J1145" s="471" t="str">
        <f t="shared" si="206"/>
        <v>phmnt</v>
      </c>
      <c r="K1145" s="471" t="str">
        <f t="shared" si="207"/>
        <v>oth-inc</v>
      </c>
      <c r="L1145" s="599"/>
      <c r="M1145" s="471" t="s">
        <v>5151</v>
      </c>
      <c r="N1145" s="471" t="s">
        <v>5152</v>
      </c>
      <c r="O1145" s="471" t="s">
        <v>5153</v>
      </c>
    </row>
    <row r="1146" spans="1:15" x14ac:dyDescent="0.25">
      <c r="A1146" s="471" t="s">
        <v>5553</v>
      </c>
      <c r="B1146" s="1139">
        <f t="shared" ca="1" si="205"/>
        <v>0</v>
      </c>
      <c r="C1146" s="474">
        <f ca="1">IF(ISERROR(VLOOKUP($A$1281,INDIRECT("notes_"&amp;LEFT($A$1281,3)),4,0)),0,VLOOKUP($A$1281,INDIRECT("notes_"&amp;LEFT($A$1281,3)),4,0))</f>
        <v>0</v>
      </c>
      <c r="H1146" s="471">
        <f t="shared" si="204"/>
        <v>2</v>
      </c>
      <c r="I1146" s="471">
        <v>1</v>
      </c>
      <c r="J1146" s="471" t="str">
        <f t="shared" si="206"/>
        <v>phmsc</v>
      </c>
      <c r="K1146" s="471" t="str">
        <f t="shared" si="207"/>
        <v>oth-inc</v>
      </c>
      <c r="L1146" s="599"/>
      <c r="M1146" s="471" t="s">
        <v>5151</v>
      </c>
      <c r="N1146" s="471" t="s">
        <v>5152</v>
      </c>
      <c r="O1146" s="471" t="s">
        <v>5153</v>
      </c>
    </row>
    <row r="1147" spans="1:15" x14ac:dyDescent="0.25">
      <c r="A1147" s="471" t="s">
        <v>5554</v>
      </c>
      <c r="B1147" s="1139">
        <f t="shared" ca="1" si="205"/>
        <v>0</v>
      </c>
      <c r="C1147" s="473">
        <f ca="1">IF(ISERROR(VLOOKUP($A$1282,INDIRECT("notes_"&amp;LEFT($A$1282,3)),4,0)),0,VLOOKUP($A$1282,INDIRECT("notes_"&amp;LEFT($A$1282,3)),4,0))</f>
        <v>0</v>
      </c>
      <c r="H1147" s="471">
        <f t="shared" si="204"/>
        <v>2</v>
      </c>
      <c r="I1147" s="471">
        <v>1</v>
      </c>
      <c r="J1147" s="471" t="str">
        <f t="shared" si="206"/>
        <v>phtot</v>
      </c>
      <c r="K1147" s="471" t="str">
        <f t="shared" si="207"/>
        <v>oth-inc</v>
      </c>
      <c r="L1147" s="599"/>
      <c r="M1147" s="471" t="s">
        <v>5151</v>
      </c>
      <c r="N1147" s="471" t="s">
        <v>5152</v>
      </c>
      <c r="O1147" s="471" t="s">
        <v>5153</v>
      </c>
    </row>
    <row r="1148" spans="1:15" x14ac:dyDescent="0.25">
      <c r="A1148" s="1120" t="s">
        <v>5555</v>
      </c>
      <c r="B1148" s="1139">
        <f t="shared" ref="B1148" ca="1" si="213">INDEX(INDIRECT(LEFT($A1148,SEARCH("-",$A1148,1)-1)&amp;"_data"),MATCH(MID($A1148,SEARCH("-",$A1148)+1,SEARCH("#",SUBSTITUTE($A1148,"-","#",H1148),1)-(SEARCH("-",$A1148)+1)),INDIRECT(LEFT($A1148,SEARCH("-",$A1148,1)-1)&amp;"_rows"),0),MATCH(RIGHT($A1148,LEN($A1148)-LEN(LEFT($A1148,SEARCH("#",SUBSTITUTE($A1148,"-","#",H1148),1)))),INDIRECT(LEFT($A1148,SEARCH("-",$A1148,1)-1)&amp;"_Header"),0))</f>
        <v>0</v>
      </c>
      <c r="C1148" s="473">
        <f ca="1">IF(ISERROR(VLOOKUP($A$1148,INDIRECT("notes_"&amp;LEFT($A$1148,3)),4,0)),0,VLOOKUP($A$1148,INDIRECT("notes_"&amp;LEFT($A$1148,3)),4,0))</f>
        <v>0</v>
      </c>
      <c r="H1148" s="471">
        <f t="shared" si="204"/>
        <v>2</v>
      </c>
      <c r="I1148" s="471">
        <v>1</v>
      </c>
      <c r="J1148" s="471" t="str">
        <f t="shared" ref="J1148" si="214">MID($A1148,SEARCH("-",$A1148)+1,SEARCH("#",SUBSTITUTE($A1148,"-","#",H1148),1)-(SEARCH("-",$A1148)+1))</f>
        <v>phsvmemrec</v>
      </c>
      <c r="K1148" s="471" t="str">
        <f t="shared" ref="K1148" si="215">RIGHT($A1148,LEN($A1148)-SEARCH("#",SUBSTITUTE($A1148,"-","#",H1148),1))</f>
        <v>oth-inc</v>
      </c>
      <c r="L1148" s="599"/>
      <c r="M1148" s="471" t="s">
        <v>5151</v>
      </c>
      <c r="N1148" s="471" t="s">
        <v>5152</v>
      </c>
      <c r="O1148" s="471" t="s">
        <v>5153</v>
      </c>
    </row>
    <row r="1149" spans="1:15" x14ac:dyDescent="0.25">
      <c r="A1149" s="471" t="s">
        <v>5556</v>
      </c>
      <c r="B1149" s="1139">
        <f t="shared" ca="1" si="205"/>
        <v>0</v>
      </c>
      <c r="C1149" s="473">
        <f ca="1">IF(ISERROR(VLOOKUP($A$1287,INDIRECT("notes_"&amp;LEFT($A$1287,3)),4,0)),0,VLOOKUP($A$1287,INDIRECT("notes_"&amp;LEFT($A$1287,3)),4,0))</f>
        <v>0</v>
      </c>
      <c r="H1149" s="471">
        <f t="shared" si="204"/>
        <v>5</v>
      </c>
      <c r="I1149" s="471">
        <v>1</v>
      </c>
      <c r="J1149" s="471" t="str">
        <f t="shared" si="206"/>
        <v>phsup-anc-exp-csc</v>
      </c>
      <c r="K1149" s="471" t="str">
        <f t="shared" si="207"/>
        <v>oth-inc</v>
      </c>
      <c r="L1149" s="599"/>
      <c r="M1149" s="471" t="s">
        <v>5151</v>
      </c>
      <c r="N1149" s="471" t="s">
        <v>5152</v>
      </c>
      <c r="O1149" s="471" t="s">
        <v>5153</v>
      </c>
    </row>
    <row r="1150" spans="1:15" x14ac:dyDescent="0.25">
      <c r="A1150" s="471" t="s">
        <v>5557</v>
      </c>
      <c r="B1150" s="1139">
        <f t="shared" ca="1" si="205"/>
        <v>0</v>
      </c>
      <c r="C1150" s="473">
        <f ca="1">IF(ISERROR(VLOOKUP($A$1288,INDIRECT("notes_"&amp;LEFT($A$1288,3)),4,0)),0,VLOOKUP($A$1288,INDIRECT("notes_"&amp;LEFT($A$1288,3)),4,0))</f>
        <v>0</v>
      </c>
      <c r="H1150" s="471">
        <f t="shared" si="204"/>
        <v>5</v>
      </c>
      <c r="I1150" s="471">
        <v>1</v>
      </c>
      <c r="J1150" s="471" t="str">
        <f t="shared" si="206"/>
        <v>phsup-anc-exp-asc</v>
      </c>
      <c r="K1150" s="471" t="str">
        <f t="shared" si="207"/>
        <v>oth-inc</v>
      </c>
      <c r="L1150" s="599"/>
      <c r="M1150" s="471" t="s">
        <v>5151</v>
      </c>
      <c r="N1150" s="471" t="s">
        <v>5152</v>
      </c>
      <c r="O1150" s="471" t="s">
        <v>5153</v>
      </c>
    </row>
    <row r="1151" spans="1:15" x14ac:dyDescent="0.25">
      <c r="A1151" s="471" t="s">
        <v>5558</v>
      </c>
      <c r="B1151" s="1139">
        <f t="shared" ca="1" si="205"/>
        <v>0</v>
      </c>
      <c r="C1151" s="473">
        <f ca="1">IF(ISERROR(VLOOKUP($A$1218,INDIRECT("notes_"&amp;LEFT($A$1218,3)),4,0)),0,VLOOKUP($A$1218,INDIRECT("notes_"&amp;LEFT($A$1218,3)),4,0))</f>
        <v>0</v>
      </c>
      <c r="H1151" s="471">
        <f t="shared" si="204"/>
        <v>2</v>
      </c>
      <c r="I1151" s="471">
        <v>1</v>
      </c>
      <c r="J1151" s="471" t="str">
        <f t="shared" si="206"/>
        <v>cscsr</v>
      </c>
      <c r="K1151" s="471" t="str">
        <f t="shared" si="207"/>
        <v>tot-inc</v>
      </c>
      <c r="L1151" s="599"/>
      <c r="M1151" s="471" t="s">
        <v>5151</v>
      </c>
      <c r="N1151" s="471" t="s">
        <v>5152</v>
      </c>
      <c r="O1151" s="471" t="s">
        <v>5153</v>
      </c>
    </row>
    <row r="1152" spans="1:15" x14ac:dyDescent="0.25">
      <c r="A1152" s="471" t="s">
        <v>5559</v>
      </c>
      <c r="B1152" s="1139">
        <f t="shared" ca="1" si="205"/>
        <v>0</v>
      </c>
      <c r="C1152" s="473">
        <f ca="1">IF(ISERROR(VLOOKUP($A$1219,INDIRECT("notes_"&amp;LEFT($A$1219,3)),4,0)),0,VLOOKUP($A$1219,INDIRECT("notes_"&amp;LEFT($A$1219,3)),4,0))</f>
        <v>0</v>
      </c>
      <c r="H1152" s="471">
        <f t="shared" si="204"/>
        <v>2</v>
      </c>
      <c r="I1152" s="471">
        <v>1</v>
      </c>
      <c r="J1152" s="471" t="str">
        <f t="shared" si="206"/>
        <v>csclkd</v>
      </c>
      <c r="K1152" s="471" t="str">
        <f t="shared" si="207"/>
        <v>tot-inc</v>
      </c>
      <c r="L1152" s="599"/>
      <c r="M1152" s="471" t="s">
        <v>5151</v>
      </c>
      <c r="N1152" s="471" t="s">
        <v>5152</v>
      </c>
      <c r="O1152" s="471" t="s">
        <v>5153</v>
      </c>
    </row>
    <row r="1153" spans="1:15" x14ac:dyDescent="0.25">
      <c r="A1153" s="471" t="s">
        <v>5560</v>
      </c>
      <c r="B1153" s="1139">
        <f t="shared" ca="1" si="205"/>
        <v>0</v>
      </c>
      <c r="C1153" s="473">
        <f ca="1">IF(ISERROR(VLOOKUP($A$1220,INDIRECT("notes_"&amp;LEFT($A$1220,3)),4,0)),0,VLOOKUP($A$1220,INDIRECT("notes_"&amp;LEFT($A$1220,3)),4,0))</f>
        <v>0</v>
      </c>
      <c r="H1153" s="471">
        <f t="shared" si="204"/>
        <v>2</v>
      </c>
      <c r="I1153" s="471">
        <v>1</v>
      </c>
      <c r="J1153" s="471" t="str">
        <f t="shared" si="206"/>
        <v>csclkdres</v>
      </c>
      <c r="K1153" s="471" t="str">
        <f t="shared" si="207"/>
        <v>tot-inc</v>
      </c>
      <c r="L1153" s="599"/>
      <c r="M1153" s="471" t="s">
        <v>5151</v>
      </c>
      <c r="N1153" s="471" t="s">
        <v>5152</v>
      </c>
      <c r="O1153" s="471" t="s">
        <v>5153</v>
      </c>
    </row>
    <row r="1154" spans="1:15" x14ac:dyDescent="0.25">
      <c r="A1154" s="471" t="s">
        <v>5561</v>
      </c>
      <c r="B1154" s="1139">
        <f t="shared" ca="1" si="205"/>
        <v>0</v>
      </c>
      <c r="C1154" s="473">
        <f ca="1">IF(ISERROR(VLOOKUP($A$1221,INDIRECT("notes_"&amp;LEFT($A$1221,3)),4,0)),0,VLOOKUP($A$1221,INDIRECT("notes_"&amp;LEFT($A$1221,3)),4,0))</f>
        <v>0</v>
      </c>
      <c r="H1154" s="471">
        <f t="shared" si="204"/>
        <v>2</v>
      </c>
      <c r="I1154" s="471">
        <v>1</v>
      </c>
      <c r="J1154" s="471" t="str">
        <f t="shared" si="206"/>
        <v>csclkdfos</v>
      </c>
      <c r="K1154" s="471" t="str">
        <f t="shared" si="207"/>
        <v>tot-inc</v>
      </c>
      <c r="L1154" s="599"/>
      <c r="M1154" s="471" t="s">
        <v>5151</v>
      </c>
      <c r="N1154" s="471" t="s">
        <v>5152</v>
      </c>
      <c r="O1154" s="471" t="s">
        <v>5153</v>
      </c>
    </row>
    <row r="1155" spans="1:15" x14ac:dyDescent="0.25">
      <c r="A1155" s="471" t="s">
        <v>5562</v>
      </c>
      <c r="B1155" s="1139">
        <f t="shared" ca="1" si="205"/>
        <v>0</v>
      </c>
      <c r="C1155" s="473">
        <f ca="1">IF(ISERROR(VLOOKUP($A$1222,INDIRECT("notes_"&amp;LEFT($A$1222,3)),4,0)),0,VLOOKUP($A$1222,INDIRECT("notes_"&amp;LEFT($A$1222,3)),4,0))</f>
        <v>0</v>
      </c>
      <c r="H1155" s="471">
        <f t="shared" si="204"/>
        <v>2</v>
      </c>
      <c r="I1155" s="471">
        <v>1</v>
      </c>
      <c r="J1155" s="471" t="str">
        <f t="shared" si="206"/>
        <v>csclkdasy</v>
      </c>
      <c r="K1155" s="471" t="str">
        <f t="shared" si="207"/>
        <v>tot-inc</v>
      </c>
      <c r="L1155" s="599"/>
      <c r="M1155" s="471" t="s">
        <v>5151</v>
      </c>
      <c r="N1155" s="471" t="s">
        <v>5152</v>
      </c>
      <c r="O1155" s="471" t="s">
        <v>5153</v>
      </c>
    </row>
    <row r="1156" spans="1:15" x14ac:dyDescent="0.25">
      <c r="A1156" s="471" t="s">
        <v>5563</v>
      </c>
      <c r="B1156" s="1139">
        <f t="shared" ca="1" si="205"/>
        <v>0</v>
      </c>
      <c r="C1156" s="473">
        <f ca="1">IF(ISERROR(VLOOKUP($A$1223,INDIRECT("notes_"&amp;LEFT($A$1223,3)),4,0)),0,VLOOKUP($A$1223,INDIRECT("notes_"&amp;LEFT($A$1223,3)),4,0))</f>
        <v>0</v>
      </c>
      <c r="H1156" s="471">
        <f t="shared" si="204"/>
        <v>2</v>
      </c>
      <c r="I1156" s="471">
        <v>1</v>
      </c>
      <c r="J1156" s="471" t="str">
        <f t="shared" si="206"/>
        <v>csclkdoth</v>
      </c>
      <c r="K1156" s="471" t="str">
        <f t="shared" si="207"/>
        <v>tot-inc</v>
      </c>
      <c r="L1156" s="599"/>
      <c r="M1156" s="471" t="s">
        <v>5151</v>
      </c>
      <c r="N1156" s="471" t="s">
        <v>5152</v>
      </c>
      <c r="O1156" s="471" t="s">
        <v>5153</v>
      </c>
    </row>
    <row r="1157" spans="1:15" x14ac:dyDescent="0.25">
      <c r="A1157" s="471" t="s">
        <v>5564</v>
      </c>
      <c r="B1157" s="1139">
        <f t="shared" ca="1" si="205"/>
        <v>0</v>
      </c>
      <c r="C1157" s="473">
        <f ca="1">IF(ISERROR(VLOOKUP($A$1224,INDIRECT("notes_"&amp;LEFT($A$1224,3)),4,0)),0,VLOOKUP($A$1224,INDIRECT("notes_"&amp;LEFT($A$1224,3)),4,0))</f>
        <v>0</v>
      </c>
      <c r="H1157" s="471">
        <f t="shared" si="204"/>
        <v>2</v>
      </c>
      <c r="I1157" s="471">
        <v>1</v>
      </c>
      <c r="J1157" s="471" t="str">
        <f t="shared" si="206"/>
        <v>cscoth</v>
      </c>
      <c r="K1157" s="471" t="str">
        <f t="shared" si="207"/>
        <v>tot-inc</v>
      </c>
      <c r="L1157" s="599"/>
      <c r="M1157" s="471" t="s">
        <v>5151</v>
      </c>
      <c r="N1157" s="471" t="s">
        <v>5152</v>
      </c>
      <c r="O1157" s="471" t="s">
        <v>5153</v>
      </c>
    </row>
    <row r="1158" spans="1:15" x14ac:dyDescent="0.25">
      <c r="A1158" s="471" t="s">
        <v>5565</v>
      </c>
      <c r="B1158" s="1139">
        <f t="shared" ca="1" si="205"/>
        <v>0</v>
      </c>
      <c r="C1158" s="473">
        <f ca="1">IF(ISERROR(VLOOKUP($A$1225,INDIRECT("notes_"&amp;LEFT($A$1225,3)),4,0)),0,VLOOKUP($A$1225,INDIRECT("notes_"&amp;LEFT($A$1225,3)),4,0))</f>
        <v>0</v>
      </c>
      <c r="H1158" s="471">
        <f t="shared" si="204"/>
        <v>2</v>
      </c>
      <c r="I1158" s="471">
        <v>1</v>
      </c>
      <c r="J1158" s="471" t="str">
        <f t="shared" si="206"/>
        <v>cscfml</v>
      </c>
      <c r="K1158" s="471" t="str">
        <f t="shared" si="207"/>
        <v>tot-inc</v>
      </c>
      <c r="L1158" s="599"/>
      <c r="M1158" s="471" t="s">
        <v>5151</v>
      </c>
      <c r="N1158" s="471" t="s">
        <v>5152</v>
      </c>
      <c r="O1158" s="471" t="s">
        <v>5153</v>
      </c>
    </row>
    <row r="1159" spans="1:15" x14ac:dyDescent="0.25">
      <c r="A1159" s="471" t="s">
        <v>5566</v>
      </c>
      <c r="B1159" s="1139">
        <f t="shared" ca="1" si="205"/>
        <v>0</v>
      </c>
      <c r="C1159" s="473">
        <f ca="1">IF(ISERROR(VLOOKUP($A$1226,INDIRECT("notes_"&amp;LEFT($A$1226,3)),4,0)),0,VLOOKUP($A$1226,INDIRECT("notes_"&amp;LEFT($A$1226,3)),4,0))</f>
        <v>0</v>
      </c>
      <c r="H1159" s="471">
        <f t="shared" ref="H1159:H1216" si="216">LEN(A1159)-LEN(SUBSTITUTE(A1159,"-",""))-I1159</f>
        <v>2</v>
      </c>
      <c r="I1159" s="471">
        <v>1</v>
      </c>
      <c r="J1159" s="471" t="str">
        <f t="shared" si="206"/>
        <v>cscyth</v>
      </c>
      <c r="K1159" s="471" t="str">
        <f t="shared" si="207"/>
        <v>tot-inc</v>
      </c>
      <c r="L1159" s="599"/>
      <c r="M1159" s="471" t="s">
        <v>5151</v>
      </c>
      <c r="N1159" s="471" t="s">
        <v>5152</v>
      </c>
      <c r="O1159" s="471" t="s">
        <v>5153</v>
      </c>
    </row>
    <row r="1160" spans="1:15" x14ac:dyDescent="0.25">
      <c r="A1160" s="471" t="s">
        <v>5567</v>
      </c>
      <c r="B1160" s="1139">
        <f t="shared" ref="B1160:B1217" ca="1" si="217">INDEX(INDIRECT(LEFT($A1160,SEARCH("-",$A1160,1)-1)&amp;"_data"),MATCH(MID($A1160,SEARCH("-",$A1160)+1,SEARCH("#",SUBSTITUTE($A1160,"-","#",H1160),1)-(SEARCH("-",$A1160)+1)),INDIRECT(LEFT($A1160,SEARCH("-",$A1160,1)-1)&amp;"_rows"),0),MATCH(RIGHT($A1160,LEN($A1160)-LEN(LEFT($A1160,SEARCH("#",SUBSTITUTE($A1160,"-","#",H1160),1)))),INDIRECT(LEFT($A1160,SEARCH("-",$A1160,1)-1)&amp;"_Header"),0))</f>
        <v>0</v>
      </c>
      <c r="C1160" s="473">
        <f ca="1">IF(ISERROR(VLOOKUP($A$1227,INDIRECT("notes_"&amp;LEFT($A$1227,3)),4,0)),0,VLOOKUP($A$1227,INDIRECT("notes_"&amp;LEFT($A$1227,3)),4,0))</f>
        <v>0</v>
      </c>
      <c r="H1160" s="471">
        <f t="shared" si="216"/>
        <v>2</v>
      </c>
      <c r="I1160" s="471">
        <v>1</v>
      </c>
      <c r="J1160" s="471" t="str">
        <f t="shared" si="206"/>
        <v>cscsfg</v>
      </c>
      <c r="K1160" s="471" t="str">
        <f t="shared" si="207"/>
        <v>tot-inc</v>
      </c>
      <c r="L1160" s="599"/>
      <c r="M1160" s="471" t="s">
        <v>5151</v>
      </c>
      <c r="N1160" s="471" t="s">
        <v>5152</v>
      </c>
      <c r="O1160" s="471" t="s">
        <v>5153</v>
      </c>
    </row>
    <row r="1161" spans="1:15" x14ac:dyDescent="0.25">
      <c r="A1161" s="471" t="s">
        <v>5568</v>
      </c>
      <c r="B1161" s="1139">
        <f t="shared" ca="1" si="217"/>
        <v>0</v>
      </c>
      <c r="C1161" s="473">
        <f ca="1">IF(ISERROR(VLOOKUP($A$1228,INDIRECT("notes_"&amp;LEFT($A$1228,3)),4,0)),0,VLOOKUP($A$1228,INDIRECT("notes_"&amp;LEFT($A$1228,3)),4,0))</f>
        <v>0</v>
      </c>
      <c r="H1161" s="471">
        <f t="shared" si="216"/>
        <v>2</v>
      </c>
      <c r="I1161" s="471">
        <v>1</v>
      </c>
      <c r="J1161" s="471" t="str">
        <f t="shared" si="206"/>
        <v>cscasy</v>
      </c>
      <c r="K1161" s="471" t="str">
        <f t="shared" si="207"/>
        <v>tot-inc</v>
      </c>
      <c r="L1161" s="599"/>
      <c r="M1161" s="471" t="s">
        <v>5151</v>
      </c>
      <c r="N1161" s="471" t="s">
        <v>5152</v>
      </c>
      <c r="O1161" s="471" t="s">
        <v>5153</v>
      </c>
    </row>
    <row r="1162" spans="1:15" x14ac:dyDescent="0.25">
      <c r="A1162" s="471" t="s">
        <v>5569</v>
      </c>
      <c r="B1162" s="1139">
        <f t="shared" ca="1" si="217"/>
        <v>0</v>
      </c>
      <c r="C1162" s="473">
        <f ca="1">IF(ISERROR(VLOOKUP($A$1229,INDIRECT("notes_"&amp;LEFT($A$1229,3)),4,0)),0,VLOOKUP($A$1229,INDIRECT("notes_"&amp;LEFT($A$1229,3)),4,0))</f>
        <v>0</v>
      </c>
      <c r="H1162" s="471">
        <f t="shared" si="216"/>
        <v>2</v>
      </c>
      <c r="I1162" s="471">
        <v>1</v>
      </c>
      <c r="J1162" s="471" t="str">
        <f t="shared" si="206"/>
        <v>cscsrv</v>
      </c>
      <c r="K1162" s="471" t="str">
        <f t="shared" si="207"/>
        <v>tot-inc</v>
      </c>
      <c r="L1162" s="599"/>
      <c r="M1162" s="471" t="s">
        <v>5151</v>
      </c>
      <c r="N1162" s="471" t="s">
        <v>5152</v>
      </c>
      <c r="O1162" s="471" t="s">
        <v>5153</v>
      </c>
    </row>
    <row r="1163" spans="1:15" x14ac:dyDescent="0.25">
      <c r="A1163" s="471" t="s">
        <v>5570</v>
      </c>
      <c r="B1163" s="1139">
        <f t="shared" ca="1" si="217"/>
        <v>0</v>
      </c>
      <c r="C1163" s="473">
        <f ca="1">IF(ISERROR(VLOOKUP($A$1230,INDIRECT("notes_"&amp;LEFT($A$1230,3)),4,0)),0,VLOOKUP($A$1230,INDIRECT("notes_"&amp;LEFT($A$1230,3)),4,0))</f>
        <v>0</v>
      </c>
      <c r="H1163" s="471">
        <f t="shared" si="216"/>
        <v>2</v>
      </c>
      <c r="I1163" s="471">
        <v>1</v>
      </c>
      <c r="J1163" s="471" t="str">
        <f t="shared" ref="J1163:J1220" si="218">MID($A1163,SEARCH("-",$A1163)+1,SEARCH("#",SUBSTITUTE($A1163,"-","#",H1163),1)-(SEARCH("-",$A1163)+1))</f>
        <v>csctot</v>
      </c>
      <c r="K1163" s="471" t="str">
        <f t="shared" ref="K1163:K1220" si="219">RIGHT($A1163,LEN($A1163)-SEARCH("#",SUBSTITUTE($A1163,"-","#",H1163),1))</f>
        <v>tot-inc</v>
      </c>
      <c r="L1163" s="599"/>
      <c r="M1163" s="471" t="s">
        <v>5151</v>
      </c>
      <c r="N1163" s="471" t="s">
        <v>5152</v>
      </c>
      <c r="O1163" s="471" t="s">
        <v>5153</v>
      </c>
    </row>
    <row r="1164" spans="1:15" x14ac:dyDescent="0.25">
      <c r="A1164" s="471" t="s">
        <v>5571</v>
      </c>
      <c r="B1164" s="1139">
        <f t="shared" ca="1" si="217"/>
        <v>0</v>
      </c>
      <c r="C1164" s="473">
        <f ca="1">IF(ISERROR(VLOOKUP($A$1231,INDIRECT("notes_"&amp;LEFT($A$1231,3)),4,0)),0,VLOOKUP($A$1231,INDIRECT("notes_"&amp;LEFT($A$1231,3)),4,0))</f>
        <v>0</v>
      </c>
      <c r="H1164" s="471">
        <f t="shared" si="216"/>
        <v>2</v>
      </c>
      <c r="I1164" s="471">
        <v>1</v>
      </c>
      <c r="J1164" s="471" t="str">
        <f t="shared" si="218"/>
        <v>ascphyadl</v>
      </c>
      <c r="K1164" s="471" t="str">
        <f t="shared" si="219"/>
        <v>tot-inc</v>
      </c>
      <c r="L1164" s="599"/>
      <c r="M1164" s="471" t="s">
        <v>5151</v>
      </c>
      <c r="N1164" s="471" t="s">
        <v>5152</v>
      </c>
      <c r="O1164" s="471" t="s">
        <v>5153</v>
      </c>
    </row>
    <row r="1165" spans="1:15" x14ac:dyDescent="0.25">
      <c r="A1165" s="471" t="s">
        <v>5572</v>
      </c>
      <c r="B1165" s="1139">
        <f t="shared" ca="1" si="217"/>
        <v>0</v>
      </c>
      <c r="C1165" s="473">
        <f ca="1">IF(ISERROR(VLOOKUP($A$1232,INDIRECT("notes_"&amp;LEFT($A$1232,3)),4,0)),0,VLOOKUP($A$1232,INDIRECT("notes_"&amp;LEFT($A$1232,3)),4,0))</f>
        <v>0</v>
      </c>
      <c r="H1165" s="471">
        <f t="shared" si="216"/>
        <v>2</v>
      </c>
      <c r="I1165" s="471">
        <v>1</v>
      </c>
      <c r="J1165" s="471" t="str">
        <f t="shared" si="218"/>
        <v>ascphyold</v>
      </c>
      <c r="K1165" s="471" t="str">
        <f t="shared" si="219"/>
        <v>tot-inc</v>
      </c>
      <c r="L1165" s="599"/>
      <c r="M1165" s="471" t="s">
        <v>5151</v>
      </c>
      <c r="N1165" s="471" t="s">
        <v>5152</v>
      </c>
      <c r="O1165" s="471" t="s">
        <v>5153</v>
      </c>
    </row>
    <row r="1166" spans="1:15" x14ac:dyDescent="0.25">
      <c r="A1166" s="471" t="s">
        <v>5573</v>
      </c>
      <c r="B1166" s="1139">
        <f t="shared" ca="1" si="217"/>
        <v>0</v>
      </c>
      <c r="C1166" s="473">
        <f ca="1">IF(ISERROR(VLOOKUP($A$1233,INDIRECT("notes_"&amp;LEFT($A$1233,3)),4,0)),0,VLOOKUP($A$1233,INDIRECT("notes_"&amp;LEFT($A$1233,3)),4,0))</f>
        <v>0</v>
      </c>
      <c r="H1166" s="471">
        <f t="shared" si="216"/>
        <v>2</v>
      </c>
      <c r="I1166" s="471">
        <v>1</v>
      </c>
      <c r="J1166" s="471" t="str">
        <f t="shared" si="218"/>
        <v>ascsnsadl</v>
      </c>
      <c r="K1166" s="471" t="str">
        <f t="shared" si="219"/>
        <v>tot-inc</v>
      </c>
      <c r="L1166" s="599"/>
      <c r="M1166" s="471" t="s">
        <v>5151</v>
      </c>
      <c r="N1166" s="471" t="s">
        <v>5152</v>
      </c>
      <c r="O1166" s="471" t="s">
        <v>5153</v>
      </c>
    </row>
    <row r="1167" spans="1:15" x14ac:dyDescent="0.25">
      <c r="A1167" s="471" t="s">
        <v>5574</v>
      </c>
      <c r="B1167" s="1139">
        <f t="shared" ca="1" si="217"/>
        <v>0</v>
      </c>
      <c r="C1167" s="473">
        <f ca="1">IF(ISERROR(VLOOKUP($A$1234,INDIRECT("notes_"&amp;LEFT($A$1234,3)),4,0)),0,VLOOKUP($A$1234,INDIRECT("notes_"&amp;LEFT($A$1234,3)),4,0))</f>
        <v>0</v>
      </c>
      <c r="H1167" s="471">
        <f t="shared" si="216"/>
        <v>2</v>
      </c>
      <c r="I1167" s="471">
        <v>1</v>
      </c>
      <c r="J1167" s="471" t="str">
        <f t="shared" si="218"/>
        <v>ascsnsold</v>
      </c>
      <c r="K1167" s="471" t="str">
        <f t="shared" si="219"/>
        <v>tot-inc</v>
      </c>
      <c r="L1167" s="599"/>
      <c r="M1167" s="471" t="s">
        <v>5151</v>
      </c>
      <c r="N1167" s="471" t="s">
        <v>5152</v>
      </c>
      <c r="O1167" s="471" t="s">
        <v>5153</v>
      </c>
    </row>
    <row r="1168" spans="1:15" x14ac:dyDescent="0.25">
      <c r="A1168" s="471" t="s">
        <v>5575</v>
      </c>
      <c r="B1168" s="1139">
        <f t="shared" ca="1" si="217"/>
        <v>0</v>
      </c>
      <c r="C1168" s="473">
        <f ca="1">IF(ISERROR(VLOOKUP($A$1235,INDIRECT("notes_"&amp;LEFT($A$1235,3)),4,0)),0,VLOOKUP($A$1235,INDIRECT("notes_"&amp;LEFT($A$1235,3)),4,0))</f>
        <v>0</v>
      </c>
      <c r="H1168" s="471">
        <f t="shared" si="216"/>
        <v>2</v>
      </c>
      <c r="I1168" s="471">
        <v>1</v>
      </c>
      <c r="J1168" s="471" t="str">
        <f t="shared" si="218"/>
        <v>ascmmradl</v>
      </c>
      <c r="K1168" s="471" t="str">
        <f t="shared" si="219"/>
        <v>tot-inc</v>
      </c>
      <c r="L1168" s="599"/>
      <c r="M1168" s="471" t="s">
        <v>5151</v>
      </c>
      <c r="N1168" s="471" t="s">
        <v>5152</v>
      </c>
      <c r="O1168" s="471" t="s">
        <v>5153</v>
      </c>
    </row>
    <row r="1169" spans="1:15" x14ac:dyDescent="0.25">
      <c r="A1169" s="471" t="s">
        <v>5576</v>
      </c>
      <c r="B1169" s="1139">
        <f t="shared" ca="1" si="217"/>
        <v>0</v>
      </c>
      <c r="C1169" s="473">
        <f ca="1">IF(ISERROR(VLOOKUP($A$1236,INDIRECT("notes_"&amp;LEFT($A$1236,3)),4,0)),0,VLOOKUP($A$1236,INDIRECT("notes_"&amp;LEFT($A$1236,3)),4,0))</f>
        <v>0</v>
      </c>
      <c r="H1169" s="471">
        <f t="shared" si="216"/>
        <v>2</v>
      </c>
      <c r="I1169" s="471">
        <v>1</v>
      </c>
      <c r="J1169" s="471" t="str">
        <f t="shared" si="218"/>
        <v>ascmmrold</v>
      </c>
      <c r="K1169" s="471" t="str">
        <f t="shared" si="219"/>
        <v>tot-inc</v>
      </c>
      <c r="L1169" s="599"/>
      <c r="M1169" s="471" t="s">
        <v>5151</v>
      </c>
      <c r="N1169" s="471" t="s">
        <v>5152</v>
      </c>
      <c r="O1169" s="471" t="s">
        <v>5153</v>
      </c>
    </row>
    <row r="1170" spans="1:15" x14ac:dyDescent="0.25">
      <c r="A1170" s="471" t="s">
        <v>5577</v>
      </c>
      <c r="B1170" s="1139">
        <f t="shared" ca="1" si="217"/>
        <v>0</v>
      </c>
      <c r="C1170" s="473">
        <f ca="1">IF(ISERROR(VLOOKUP($A$1237,INDIRECT("notes_"&amp;LEFT($A$1237,3)),4,0)),0,VLOOKUP($A$1237,INDIRECT("notes_"&amp;LEFT($A$1237,3)),4,0))</f>
        <v>0</v>
      </c>
      <c r="H1170" s="471">
        <f t="shared" si="216"/>
        <v>2</v>
      </c>
      <c r="I1170" s="471">
        <v>1</v>
      </c>
      <c r="J1170" s="471" t="str">
        <f t="shared" si="218"/>
        <v>asclrnadl</v>
      </c>
      <c r="K1170" s="471" t="str">
        <f t="shared" si="219"/>
        <v>tot-inc</v>
      </c>
      <c r="L1170" s="599"/>
      <c r="M1170" s="471" t="s">
        <v>5151</v>
      </c>
      <c r="N1170" s="471" t="s">
        <v>5152</v>
      </c>
      <c r="O1170" s="471" t="s">
        <v>5153</v>
      </c>
    </row>
    <row r="1171" spans="1:15" x14ac:dyDescent="0.25">
      <c r="A1171" s="471" t="s">
        <v>5578</v>
      </c>
      <c r="B1171" s="1139">
        <f t="shared" ca="1" si="217"/>
        <v>0</v>
      </c>
      <c r="C1171" s="473">
        <f ca="1">IF(ISERROR(VLOOKUP($A$1238,INDIRECT("notes_"&amp;LEFT($A$1238,3)),4,0)),0,VLOOKUP($A$1238,INDIRECT("notes_"&amp;LEFT($A$1238,3)),4,0))</f>
        <v>0</v>
      </c>
      <c r="H1171" s="471">
        <f t="shared" si="216"/>
        <v>2</v>
      </c>
      <c r="I1171" s="471">
        <v>1</v>
      </c>
      <c r="J1171" s="471" t="str">
        <f t="shared" si="218"/>
        <v>asclrnold</v>
      </c>
      <c r="K1171" s="471" t="str">
        <f t="shared" si="219"/>
        <v>tot-inc</v>
      </c>
      <c r="L1171" s="599"/>
      <c r="M1171" s="471" t="s">
        <v>5151</v>
      </c>
      <c r="N1171" s="471" t="s">
        <v>5152</v>
      </c>
      <c r="O1171" s="471" t="s">
        <v>5153</v>
      </c>
    </row>
    <row r="1172" spans="1:15" x14ac:dyDescent="0.25">
      <c r="A1172" s="471" t="s">
        <v>5579</v>
      </c>
      <c r="B1172" s="1139">
        <f t="shared" ca="1" si="217"/>
        <v>0</v>
      </c>
      <c r="C1172" s="473">
        <f ca="1">IF(ISERROR(VLOOKUP($A$1239,INDIRECT("notes_"&amp;LEFT($A$1239,3)),4,0)),0,VLOOKUP($A$1239,INDIRECT("notes_"&amp;LEFT($A$1239,3)),4,0))</f>
        <v>0</v>
      </c>
      <c r="H1172" s="471">
        <f t="shared" si="216"/>
        <v>2</v>
      </c>
      <c r="I1172" s="471">
        <v>1</v>
      </c>
      <c r="J1172" s="471" t="str">
        <f t="shared" si="218"/>
        <v>ascmntadl</v>
      </c>
      <c r="K1172" s="471" t="str">
        <f t="shared" si="219"/>
        <v>tot-inc</v>
      </c>
      <c r="L1172" s="599"/>
      <c r="M1172" s="471" t="s">
        <v>5151</v>
      </c>
      <c r="N1172" s="471" t="s">
        <v>5152</v>
      </c>
      <c r="O1172" s="471" t="s">
        <v>5153</v>
      </c>
    </row>
    <row r="1173" spans="1:15" x14ac:dyDescent="0.25">
      <c r="A1173" s="471" t="s">
        <v>5580</v>
      </c>
      <c r="B1173" s="1139">
        <f t="shared" ca="1" si="217"/>
        <v>0</v>
      </c>
      <c r="C1173" s="473">
        <f ca="1">IF(ISERROR(VLOOKUP($A$1240,INDIRECT("notes_"&amp;LEFT($A$1240,3)),4,0)),0,VLOOKUP($A$1240,INDIRECT("notes_"&amp;LEFT($A$1240,3)),4,0))</f>
        <v>0</v>
      </c>
      <c r="H1173" s="471">
        <f t="shared" si="216"/>
        <v>2</v>
      </c>
      <c r="I1173" s="471">
        <v>1</v>
      </c>
      <c r="J1173" s="471" t="str">
        <f t="shared" si="218"/>
        <v>ascmntold</v>
      </c>
      <c r="K1173" s="471" t="str">
        <f t="shared" si="219"/>
        <v>tot-inc</v>
      </c>
      <c r="L1173" s="599"/>
      <c r="M1173" s="471" t="s">
        <v>5151</v>
      </c>
      <c r="N1173" s="471" t="s">
        <v>5152</v>
      </c>
      <c r="O1173" s="471" t="s">
        <v>5153</v>
      </c>
    </row>
    <row r="1174" spans="1:15" x14ac:dyDescent="0.25">
      <c r="A1174" s="471" t="s">
        <v>5581</v>
      </c>
      <c r="B1174" s="1139">
        <f t="shared" ca="1" si="217"/>
        <v>0</v>
      </c>
      <c r="C1174" s="473">
        <f ca="1">IF(ISERROR(VLOOKUP($A$1241,INDIRECT("notes_"&amp;LEFT($A$1241,3)),4,0)),0,VLOOKUP($A$1241,INDIRECT("notes_"&amp;LEFT($A$1241,3)),4,0))</f>
        <v>0</v>
      </c>
      <c r="H1174" s="471">
        <f t="shared" si="216"/>
        <v>2</v>
      </c>
      <c r="I1174" s="471">
        <v>1</v>
      </c>
      <c r="J1174" s="471" t="str">
        <f t="shared" si="218"/>
        <v>ascsclsbs</v>
      </c>
      <c r="K1174" s="471" t="str">
        <f t="shared" si="219"/>
        <v>tot-inc</v>
      </c>
      <c r="L1174" s="599"/>
      <c r="M1174" s="471" t="s">
        <v>5151</v>
      </c>
      <c r="N1174" s="471" t="s">
        <v>5152</v>
      </c>
      <c r="O1174" s="471" t="s">
        <v>5153</v>
      </c>
    </row>
    <row r="1175" spans="1:15" x14ac:dyDescent="0.25">
      <c r="A1175" s="471" t="s">
        <v>5582</v>
      </c>
      <c r="B1175" s="1139">
        <f t="shared" ca="1" si="217"/>
        <v>0</v>
      </c>
      <c r="C1175" s="473">
        <f ca="1">IF(ISERROR(VLOOKUP($A$1242,INDIRECT("notes_"&amp;LEFT($A$1242,3)),4,0)),0,VLOOKUP($A$1242,INDIRECT("notes_"&amp;LEFT($A$1242,3)),4,0))</f>
        <v>0</v>
      </c>
      <c r="H1175" s="471">
        <f t="shared" si="216"/>
        <v>2</v>
      </c>
      <c r="I1175" s="471">
        <v>1</v>
      </c>
      <c r="J1175" s="471" t="str">
        <f t="shared" si="218"/>
        <v>ascsclasy</v>
      </c>
      <c r="K1175" s="471" t="str">
        <f t="shared" si="219"/>
        <v>tot-inc</v>
      </c>
      <c r="L1175" s="599"/>
      <c r="M1175" s="471" t="s">
        <v>5151</v>
      </c>
      <c r="N1175" s="471" t="s">
        <v>5152</v>
      </c>
      <c r="O1175" s="471" t="s">
        <v>5153</v>
      </c>
    </row>
    <row r="1176" spans="1:15" x14ac:dyDescent="0.25">
      <c r="A1176" s="471" t="s">
        <v>5583</v>
      </c>
      <c r="B1176" s="1139">
        <f t="shared" ca="1" si="217"/>
        <v>0</v>
      </c>
      <c r="C1176" s="473">
        <f ca="1">IF(ISERROR(VLOOKUP($A$1243,INDIRECT("notes_"&amp;LEFT($A$1243,3)),4,0)),0,VLOOKUP($A$1243,INDIRECT("notes_"&amp;LEFT($A$1243,3)),4,0))</f>
        <v>0</v>
      </c>
      <c r="H1176" s="471">
        <f t="shared" si="216"/>
        <v>2</v>
      </c>
      <c r="I1176" s="471">
        <v>1</v>
      </c>
      <c r="J1176" s="471" t="str">
        <f t="shared" si="218"/>
        <v>ascsclisl</v>
      </c>
      <c r="K1176" s="471" t="str">
        <f t="shared" si="219"/>
        <v>tot-inc</v>
      </c>
      <c r="L1176" s="599"/>
      <c r="M1176" s="471" t="s">
        <v>5151</v>
      </c>
      <c r="N1176" s="471" t="s">
        <v>5152</v>
      </c>
      <c r="O1176" s="471" t="s">
        <v>5153</v>
      </c>
    </row>
    <row r="1177" spans="1:15" x14ac:dyDescent="0.25">
      <c r="A1177" s="471" t="s">
        <v>5584</v>
      </c>
      <c r="B1177" s="1139">
        <f t="shared" ca="1" si="217"/>
        <v>0</v>
      </c>
      <c r="C1177" s="473">
        <f ca="1">IF(ISERROR(VLOOKUP($A$1244,INDIRECT("notes_"&amp;LEFT($A$1244,3)),4,0)),0,VLOOKUP($A$1244,INDIRECT("notes_"&amp;LEFT($A$1244,3)),4,0))</f>
        <v>0</v>
      </c>
      <c r="H1177" s="471">
        <f t="shared" si="216"/>
        <v>2</v>
      </c>
      <c r="I1177" s="471">
        <v>1</v>
      </c>
      <c r="J1177" s="471" t="str">
        <f t="shared" si="218"/>
        <v>ascsclcrr</v>
      </c>
      <c r="K1177" s="471" t="str">
        <f t="shared" si="219"/>
        <v>tot-inc</v>
      </c>
      <c r="L1177" s="599"/>
      <c r="M1177" s="471" t="s">
        <v>5151</v>
      </c>
      <c r="N1177" s="471" t="s">
        <v>5152</v>
      </c>
      <c r="O1177" s="471" t="s">
        <v>5153</v>
      </c>
    </row>
    <row r="1178" spans="1:15" x14ac:dyDescent="0.25">
      <c r="A1178" s="1120" t="s">
        <v>5585</v>
      </c>
      <c r="B1178" s="1139">
        <f t="shared" ca="1" si="217"/>
        <v>0</v>
      </c>
      <c r="C1178" s="473"/>
      <c r="H1178" s="471">
        <f t="shared" si="216"/>
        <v>2</v>
      </c>
      <c r="I1178" s="471">
        <v>1</v>
      </c>
      <c r="J1178" s="471" t="str">
        <f t="shared" si="218"/>
        <v>ascsclcrrold</v>
      </c>
      <c r="K1178" s="471" t="str">
        <f t="shared" si="219"/>
        <v>tot-inc</v>
      </c>
      <c r="L1178" s="599"/>
      <c r="M1178" s="471" t="s">
        <v>5151</v>
      </c>
      <c r="N1178" s="471" t="s">
        <v>5152</v>
      </c>
      <c r="O1178" s="471" t="s">
        <v>5153</v>
      </c>
    </row>
    <row r="1179" spans="1:15" x14ac:dyDescent="0.25">
      <c r="A1179" s="1120" t="s">
        <v>5586</v>
      </c>
      <c r="B1179" s="1139">
        <f t="shared" ca="1" si="217"/>
        <v>0</v>
      </c>
      <c r="C1179" s="473"/>
      <c r="H1179" s="471">
        <f t="shared" si="216"/>
        <v>2</v>
      </c>
      <c r="I1179" s="471">
        <v>1</v>
      </c>
      <c r="J1179" s="471" t="str">
        <f t="shared" si="218"/>
        <v>ascsclcrradl</v>
      </c>
      <c r="K1179" s="471" t="str">
        <f t="shared" si="219"/>
        <v>tot-inc</v>
      </c>
      <c r="L1179" s="599"/>
      <c r="M1179" s="471" t="s">
        <v>5151</v>
      </c>
      <c r="N1179" s="471" t="s">
        <v>5152</v>
      </c>
      <c r="O1179" s="471" t="s">
        <v>5153</v>
      </c>
    </row>
    <row r="1180" spans="1:15" x14ac:dyDescent="0.25">
      <c r="A1180" s="471" t="s">
        <v>5587</v>
      </c>
      <c r="B1180" s="1139">
        <f t="shared" ca="1" si="217"/>
        <v>0</v>
      </c>
      <c r="C1180" s="473">
        <f ca="1">IF(ISERROR(VLOOKUP($A$1247,INDIRECT("notes_"&amp;LEFT($A$1247,3)),4,0)),0,VLOOKUP($A$1247,INDIRECT("notes_"&amp;LEFT($A$1247,3)),4,0))</f>
        <v>0</v>
      </c>
      <c r="H1180" s="471">
        <f t="shared" si="216"/>
        <v>2</v>
      </c>
      <c r="I1180" s="471">
        <v>1</v>
      </c>
      <c r="J1180" s="471" t="str">
        <f t="shared" si="218"/>
        <v>ascass</v>
      </c>
      <c r="K1180" s="471" t="str">
        <f t="shared" si="219"/>
        <v>tot-inc</v>
      </c>
      <c r="L1180" s="599"/>
      <c r="M1180" s="471" t="s">
        <v>5151</v>
      </c>
      <c r="N1180" s="471" t="s">
        <v>5152</v>
      </c>
      <c r="O1180" s="471" t="s">
        <v>5153</v>
      </c>
    </row>
    <row r="1181" spans="1:15" x14ac:dyDescent="0.25">
      <c r="A1181" s="471" t="s">
        <v>5588</v>
      </c>
      <c r="B1181" s="1139">
        <f t="shared" ca="1" si="217"/>
        <v>0</v>
      </c>
      <c r="C1181" s="473"/>
      <c r="H1181" s="471">
        <f t="shared" si="216"/>
        <v>2</v>
      </c>
      <c r="I1181" s="471">
        <v>1</v>
      </c>
      <c r="J1181" s="471" t="str">
        <f t="shared" si="218"/>
        <v>ascassadl</v>
      </c>
      <c r="K1181" s="471" t="str">
        <f t="shared" si="219"/>
        <v>tot-inc</v>
      </c>
      <c r="L1181" s="599"/>
      <c r="M1181" s="471" t="s">
        <v>5151</v>
      </c>
      <c r="N1181" s="471" t="s">
        <v>5152</v>
      </c>
      <c r="O1181" s="471" t="s">
        <v>5153</v>
      </c>
    </row>
    <row r="1182" spans="1:15" x14ac:dyDescent="0.25">
      <c r="A1182" s="471" t="s">
        <v>5589</v>
      </c>
      <c r="B1182" s="1139">
        <f t="shared" ca="1" si="217"/>
        <v>0</v>
      </c>
      <c r="C1182" s="473"/>
      <c r="H1182" s="471">
        <f t="shared" si="216"/>
        <v>2</v>
      </c>
      <c r="I1182" s="471">
        <v>1</v>
      </c>
      <c r="J1182" s="471" t="str">
        <f t="shared" si="218"/>
        <v>ascassold</v>
      </c>
      <c r="K1182" s="471" t="str">
        <f t="shared" si="219"/>
        <v>tot-inc</v>
      </c>
      <c r="L1182" s="599"/>
      <c r="M1182" s="471" t="s">
        <v>5151</v>
      </c>
      <c r="N1182" s="471" t="s">
        <v>5152</v>
      </c>
      <c r="O1182" s="471" t="s">
        <v>5153</v>
      </c>
    </row>
    <row r="1183" spans="1:15" x14ac:dyDescent="0.25">
      <c r="A1183" s="471" t="s">
        <v>5590</v>
      </c>
      <c r="B1183" s="1139">
        <f t="shared" ca="1" si="217"/>
        <v>0</v>
      </c>
      <c r="C1183" s="473">
        <f ca="1">IF(ISERROR(VLOOKUP($A$1250,INDIRECT("notes_"&amp;LEFT($A$1250,3)),4,0)),0,VLOOKUP($A$1250,INDIRECT("notes_"&amp;LEFT($A$1250,3)),4,0))</f>
        <v>0</v>
      </c>
      <c r="H1183" s="471">
        <f t="shared" si="216"/>
        <v>2</v>
      </c>
      <c r="I1183" s="471">
        <v>1</v>
      </c>
      <c r="J1183" s="471" t="str">
        <f t="shared" si="218"/>
        <v>asccrasssfg</v>
      </c>
      <c r="K1183" s="471" t="str">
        <f t="shared" si="219"/>
        <v>tot-inc</v>
      </c>
      <c r="L1183" s="599"/>
      <c r="M1183" s="471" t="s">
        <v>5151</v>
      </c>
      <c r="N1183" s="471" t="s">
        <v>5152</v>
      </c>
      <c r="O1183" s="471" t="s">
        <v>5153</v>
      </c>
    </row>
    <row r="1184" spans="1:15" x14ac:dyDescent="0.25">
      <c r="A1184" s="471" t="s">
        <v>5591</v>
      </c>
      <c r="B1184" s="1139">
        <f t="shared" ca="1" si="217"/>
        <v>0</v>
      </c>
      <c r="C1184" s="473"/>
      <c r="H1184" s="471">
        <f t="shared" si="216"/>
        <v>2</v>
      </c>
      <c r="I1184" s="471">
        <v>1</v>
      </c>
      <c r="J1184" s="471" t="str">
        <f t="shared" si="218"/>
        <v>asccrasssfgadl</v>
      </c>
      <c r="K1184" s="471" t="str">
        <f t="shared" si="219"/>
        <v>tot-inc</v>
      </c>
      <c r="L1184" s="599"/>
      <c r="M1184" s="471" t="s">
        <v>5151</v>
      </c>
      <c r="N1184" s="471" t="s">
        <v>5152</v>
      </c>
      <c r="O1184" s="471" t="s">
        <v>5153</v>
      </c>
    </row>
    <row r="1185" spans="1:15" x14ac:dyDescent="0.25">
      <c r="A1185" s="471" t="s">
        <v>5592</v>
      </c>
      <c r="B1185" s="1139">
        <f t="shared" ca="1" si="217"/>
        <v>0</v>
      </c>
      <c r="C1185" s="473"/>
      <c r="H1185" s="471">
        <f t="shared" si="216"/>
        <v>2</v>
      </c>
      <c r="I1185" s="471">
        <v>1</v>
      </c>
      <c r="J1185" s="471" t="str">
        <f t="shared" si="218"/>
        <v>asccrasssfgold</v>
      </c>
      <c r="K1185" s="471" t="str">
        <f t="shared" si="219"/>
        <v>tot-inc</v>
      </c>
      <c r="L1185" s="599"/>
      <c r="M1185" s="471" t="s">
        <v>5151</v>
      </c>
      <c r="N1185" s="471" t="s">
        <v>5152</v>
      </c>
      <c r="O1185" s="471" t="s">
        <v>5153</v>
      </c>
    </row>
    <row r="1186" spans="1:15" x14ac:dyDescent="0.25">
      <c r="A1186" s="471" t="s">
        <v>5593</v>
      </c>
      <c r="B1186" s="1139">
        <f t="shared" ca="1" si="217"/>
        <v>0</v>
      </c>
      <c r="C1186" s="473">
        <f ca="1">IF(ISERROR(VLOOKUP($A$1253,INDIRECT("notes_"&amp;LEFT($A$1253,3)),4,0)),0,VLOOKUP($A$1253,INDIRECT("notes_"&amp;LEFT($A$1253,3)),4,0))</f>
        <v>0</v>
      </c>
      <c r="H1186" s="471">
        <f t="shared" si="216"/>
        <v>2</v>
      </c>
      <c r="I1186" s="471">
        <v>1</v>
      </c>
      <c r="J1186" s="471" t="str">
        <f t="shared" si="218"/>
        <v>ascinf</v>
      </c>
      <c r="K1186" s="471" t="str">
        <f t="shared" si="219"/>
        <v>tot-inc</v>
      </c>
      <c r="L1186" s="599"/>
      <c r="M1186" s="471" t="s">
        <v>5151</v>
      </c>
      <c r="N1186" s="471" t="s">
        <v>5152</v>
      </c>
      <c r="O1186" s="471" t="s">
        <v>5153</v>
      </c>
    </row>
    <row r="1187" spans="1:15" x14ac:dyDescent="0.25">
      <c r="A1187" s="471" t="s">
        <v>5594</v>
      </c>
      <c r="B1187" s="1139">
        <f t="shared" ca="1" si="217"/>
        <v>0</v>
      </c>
      <c r="C1187" s="473"/>
      <c r="H1187" s="471">
        <f t="shared" si="216"/>
        <v>2</v>
      </c>
      <c r="I1187" s="471">
        <v>1</v>
      </c>
      <c r="J1187" s="471" t="str">
        <f t="shared" si="218"/>
        <v>ascinfadl</v>
      </c>
      <c r="K1187" s="471" t="str">
        <f t="shared" si="219"/>
        <v>tot-inc</v>
      </c>
      <c r="L1187" s="599"/>
      <c r="M1187" s="471" t="s">
        <v>5151</v>
      </c>
      <c r="N1187" s="471" t="s">
        <v>5152</v>
      </c>
      <c r="O1187" s="471" t="s">
        <v>5153</v>
      </c>
    </row>
    <row r="1188" spans="1:15" x14ac:dyDescent="0.25">
      <c r="A1188" s="471" t="s">
        <v>5595</v>
      </c>
      <c r="B1188" s="1139">
        <f t="shared" ca="1" si="217"/>
        <v>0</v>
      </c>
      <c r="C1188" s="473"/>
      <c r="H1188" s="471">
        <f t="shared" si="216"/>
        <v>2</v>
      </c>
      <c r="I1188" s="471">
        <v>1</v>
      </c>
      <c r="J1188" s="471" t="str">
        <f t="shared" si="218"/>
        <v>ascinfold</v>
      </c>
      <c r="K1188" s="471" t="str">
        <f t="shared" si="219"/>
        <v>tot-inc</v>
      </c>
      <c r="L1188" s="599"/>
      <c r="M1188" s="471" t="s">
        <v>5151</v>
      </c>
      <c r="N1188" s="471" t="s">
        <v>5152</v>
      </c>
      <c r="O1188" s="471" t="s">
        <v>5153</v>
      </c>
    </row>
    <row r="1189" spans="1:15" x14ac:dyDescent="0.25">
      <c r="A1189" s="471" t="s">
        <v>5596</v>
      </c>
      <c r="B1189" s="1139">
        <f t="shared" ca="1" si="217"/>
        <v>0</v>
      </c>
      <c r="C1189" s="473">
        <f ca="1">IF(ISERROR(VLOOKUP($A$1256,INDIRECT("notes_"&amp;LEFT($A$1256,3)),4,0)),0,VLOOKUP($A$1256,INDIRECT("notes_"&amp;LEFT($A$1256,3)),4,0))</f>
        <v>0</v>
      </c>
      <c r="H1189" s="471">
        <f t="shared" si="216"/>
        <v>2</v>
      </c>
      <c r="I1189" s="471">
        <v>1</v>
      </c>
      <c r="J1189" s="471" t="str">
        <f t="shared" si="218"/>
        <v>asccmstad</v>
      </c>
      <c r="K1189" s="471" t="str">
        <f t="shared" si="219"/>
        <v>tot-inc</v>
      </c>
      <c r="L1189" s="599"/>
      <c r="M1189" s="471" t="s">
        <v>5151</v>
      </c>
      <c r="N1189" s="471" t="s">
        <v>5152</v>
      </c>
      <c r="O1189" s="471" t="s">
        <v>5153</v>
      </c>
    </row>
    <row r="1190" spans="1:15" x14ac:dyDescent="0.25">
      <c r="A1190" s="471" t="s">
        <v>5597</v>
      </c>
      <c r="B1190" s="1139">
        <f t="shared" ca="1" si="217"/>
        <v>0</v>
      </c>
      <c r="C1190" s="473"/>
      <c r="H1190" s="471">
        <f t="shared" si="216"/>
        <v>2</v>
      </c>
      <c r="I1190" s="471">
        <v>1</v>
      </c>
      <c r="J1190" s="471" t="str">
        <f t="shared" si="218"/>
        <v>asccmstadadl</v>
      </c>
      <c r="K1190" s="471" t="str">
        <f t="shared" si="219"/>
        <v>tot-inc</v>
      </c>
      <c r="L1190" s="599"/>
      <c r="M1190" s="471" t="s">
        <v>5151</v>
      </c>
      <c r="N1190" s="471" t="s">
        <v>5152</v>
      </c>
      <c r="O1190" s="471" t="s">
        <v>5153</v>
      </c>
    </row>
    <row r="1191" spans="1:15" x14ac:dyDescent="0.25">
      <c r="A1191" s="471" t="s">
        <v>5598</v>
      </c>
      <c r="B1191" s="1139">
        <f t="shared" ca="1" si="217"/>
        <v>0</v>
      </c>
      <c r="C1191" s="473"/>
      <c r="H1191" s="471">
        <f t="shared" si="216"/>
        <v>2</v>
      </c>
      <c r="I1191" s="471">
        <v>1</v>
      </c>
      <c r="J1191" s="471" t="str">
        <f t="shared" si="218"/>
        <v>asccmstadold</v>
      </c>
      <c r="K1191" s="471" t="str">
        <f t="shared" si="219"/>
        <v>tot-inc</v>
      </c>
      <c r="L1191" s="599"/>
      <c r="M1191" s="471" t="s">
        <v>5151</v>
      </c>
      <c r="N1191" s="471" t="s">
        <v>5152</v>
      </c>
      <c r="O1191" s="471" t="s">
        <v>5153</v>
      </c>
    </row>
    <row r="1192" spans="1:15" x14ac:dyDescent="0.25">
      <c r="A1192" s="471" t="s">
        <v>5599</v>
      </c>
      <c r="B1192" s="1139">
        <f t="shared" ca="1" si="217"/>
        <v>0</v>
      </c>
      <c r="C1192" s="473">
        <f ca="1">IF(ISERROR(VLOOKUP($A$1259,INDIRECT("notes_"&amp;LEFT($A$1259,3)),4,0)),0,VLOOKUP($A$1259,INDIRECT("notes_"&amp;LEFT($A$1259,3)),4,0))</f>
        <v>0</v>
      </c>
      <c r="H1192" s="471">
        <f t="shared" si="216"/>
        <v>2</v>
      </c>
      <c r="I1192" s="471">
        <v>1</v>
      </c>
      <c r="J1192" s="471" t="str">
        <f t="shared" si="218"/>
        <v>asctot</v>
      </c>
      <c r="K1192" s="471" t="str">
        <f t="shared" si="219"/>
        <v>tot-inc</v>
      </c>
      <c r="L1192" s="599"/>
      <c r="M1192" s="471" t="s">
        <v>5151</v>
      </c>
      <c r="N1192" s="471" t="s">
        <v>5152</v>
      </c>
      <c r="O1192" s="471" t="s">
        <v>5153</v>
      </c>
    </row>
    <row r="1193" spans="1:15" x14ac:dyDescent="0.25">
      <c r="A1193" s="471" t="s">
        <v>5600</v>
      </c>
      <c r="B1193" s="1139">
        <f t="shared" ca="1" si="217"/>
        <v>0</v>
      </c>
      <c r="C1193" s="473">
        <f ca="1">IF(ISERROR(VLOOKUP($A$1260,INDIRECT("notes_"&amp;LEFT($A$1260,3)),4,0)),0,VLOOKUP($A$1260,INDIRECT("notes_"&amp;LEFT($A$1260,3)),4,0))</f>
        <v>0</v>
      </c>
      <c r="H1193" s="471">
        <f t="shared" si="216"/>
        <v>2</v>
      </c>
      <c r="I1193" s="471">
        <v>1</v>
      </c>
      <c r="J1193" s="471" t="str">
        <f t="shared" si="218"/>
        <v>phsxlsti</v>
      </c>
      <c r="K1193" s="471" t="str">
        <f t="shared" si="219"/>
        <v>tot-inc</v>
      </c>
      <c r="L1193" s="599"/>
      <c r="M1193" s="471" t="s">
        <v>5151</v>
      </c>
      <c r="N1193" s="471" t="s">
        <v>5152</v>
      </c>
      <c r="O1193" s="471" t="s">
        <v>5153</v>
      </c>
    </row>
    <row r="1194" spans="1:15" x14ac:dyDescent="0.25">
      <c r="A1194" s="471" t="s">
        <v>5601</v>
      </c>
      <c r="B1194" s="1139">
        <f t="shared" ca="1" si="217"/>
        <v>0</v>
      </c>
      <c r="C1194" s="473">
        <f ca="1">IF(ISERROR(VLOOKUP($A$1261,INDIRECT("notes_"&amp;LEFT($A$1261,3)),4,0)),0,VLOOKUP($A$1261,INDIRECT("notes_"&amp;LEFT($A$1261,3)),4,0))</f>
        <v>0</v>
      </c>
      <c r="H1194" s="471">
        <f t="shared" si="216"/>
        <v>2</v>
      </c>
      <c r="I1194" s="471">
        <v>1</v>
      </c>
      <c r="J1194" s="471" t="str">
        <f t="shared" si="218"/>
        <v>phsxlcnt</v>
      </c>
      <c r="K1194" s="471" t="str">
        <f t="shared" si="219"/>
        <v>tot-inc</v>
      </c>
      <c r="L1194" s="599"/>
      <c r="M1194" s="471" t="s">
        <v>5151</v>
      </c>
      <c r="N1194" s="471" t="s">
        <v>5152</v>
      </c>
      <c r="O1194" s="471" t="s">
        <v>5153</v>
      </c>
    </row>
    <row r="1195" spans="1:15" x14ac:dyDescent="0.25">
      <c r="A1195" s="471" t="s">
        <v>5602</v>
      </c>
      <c r="B1195" s="1139">
        <f t="shared" ca="1" si="217"/>
        <v>0</v>
      </c>
      <c r="C1195" s="473">
        <f ca="1">IF(ISERROR(VLOOKUP($A$1262,INDIRECT("notes_"&amp;LEFT($A$1262,3)),4,0)),0,VLOOKUP($A$1262,INDIRECT("notes_"&amp;LEFT($A$1262,3)),4,0))</f>
        <v>0</v>
      </c>
      <c r="H1195" s="471">
        <f t="shared" si="216"/>
        <v>2</v>
      </c>
      <c r="I1195" s="471">
        <v>1</v>
      </c>
      <c r="J1195" s="471" t="str">
        <f t="shared" si="218"/>
        <v>phsxlprm</v>
      </c>
      <c r="K1195" s="471" t="str">
        <f t="shared" si="219"/>
        <v>tot-inc</v>
      </c>
      <c r="L1195" s="599"/>
      <c r="M1195" s="471" t="s">
        <v>5151</v>
      </c>
      <c r="N1195" s="471" t="s">
        <v>5152</v>
      </c>
      <c r="O1195" s="471" t="s">
        <v>5153</v>
      </c>
    </row>
    <row r="1196" spans="1:15" x14ac:dyDescent="0.25">
      <c r="A1196" s="471" t="s">
        <v>5603</v>
      </c>
      <c r="B1196" s="1139">
        <f t="shared" ca="1" si="217"/>
        <v>0</v>
      </c>
      <c r="C1196" s="473">
        <f ca="1">IF(ISERROR(VLOOKUP($A$1263,INDIRECT("notes_"&amp;LEFT($A$1263,3)),4,0)),0,VLOOKUP($A$1263,INDIRECT("notes_"&amp;LEFT($A$1263,3)),4,0))</f>
        <v>0</v>
      </c>
      <c r="H1196" s="471">
        <f t="shared" si="216"/>
        <v>2</v>
      </c>
      <c r="I1196" s="471">
        <v>1</v>
      </c>
      <c r="J1196" s="471" t="str">
        <f t="shared" si="218"/>
        <v>phhcp</v>
      </c>
      <c r="K1196" s="471" t="str">
        <f t="shared" si="219"/>
        <v>tot-inc</v>
      </c>
      <c r="L1196" s="599"/>
      <c r="M1196" s="471" t="s">
        <v>5151</v>
      </c>
      <c r="N1196" s="471" t="s">
        <v>5152</v>
      </c>
      <c r="O1196" s="471" t="s">
        <v>5153</v>
      </c>
    </row>
    <row r="1197" spans="1:15" x14ac:dyDescent="0.25">
      <c r="A1197" s="471" t="s">
        <v>5604</v>
      </c>
      <c r="B1197" s="1139">
        <f t="shared" ca="1" si="217"/>
        <v>0</v>
      </c>
      <c r="C1197" s="473">
        <f ca="1">IF(ISERROR(VLOOKUP($A$1264,INDIRECT("notes_"&amp;LEFT($A$1264,3)),4,0)),0,VLOOKUP($A$1264,INDIRECT("notes_"&amp;LEFT($A$1264,3)),4,0))</f>
        <v>0</v>
      </c>
      <c r="H1197" s="471">
        <f t="shared" si="216"/>
        <v>2</v>
      </c>
      <c r="I1197" s="471">
        <v>1</v>
      </c>
      <c r="J1197" s="471" t="str">
        <f t="shared" si="218"/>
        <v>phprt</v>
      </c>
      <c r="K1197" s="471" t="str">
        <f t="shared" si="219"/>
        <v>tot-inc</v>
      </c>
      <c r="L1197" s="599"/>
      <c r="M1197" s="471" t="s">
        <v>5151</v>
      </c>
      <c r="N1197" s="471" t="s">
        <v>5152</v>
      </c>
      <c r="O1197" s="471" t="s">
        <v>5153</v>
      </c>
    </row>
    <row r="1198" spans="1:15" x14ac:dyDescent="0.25">
      <c r="A1198" s="471" t="s">
        <v>5605</v>
      </c>
      <c r="B1198" s="1139">
        <f t="shared" ca="1" si="217"/>
        <v>0</v>
      </c>
      <c r="C1198" s="473">
        <f ca="1">IF(ISERROR(VLOOKUP($A$1265,INDIRECT("notes_"&amp;LEFT($A$1265,3)),4,0)),0,VLOOKUP($A$1265,INDIRECT("notes_"&amp;LEFT($A$1265,3)),4,0))</f>
        <v>0</v>
      </c>
      <c r="H1198" s="471">
        <f t="shared" si="216"/>
        <v>2</v>
      </c>
      <c r="I1198" s="471">
        <v>1</v>
      </c>
      <c r="J1198" s="471" t="str">
        <f t="shared" si="218"/>
        <v>phcmp</v>
      </c>
      <c r="K1198" s="471" t="str">
        <f t="shared" si="219"/>
        <v>tot-inc</v>
      </c>
      <c r="L1198" s="599"/>
      <c r="M1198" s="471" t="s">
        <v>5151</v>
      </c>
      <c r="N1198" s="471" t="s">
        <v>5152</v>
      </c>
      <c r="O1198" s="471" t="s">
        <v>5153</v>
      </c>
    </row>
    <row r="1199" spans="1:15" x14ac:dyDescent="0.25">
      <c r="A1199" s="471" t="s">
        <v>5606</v>
      </c>
      <c r="B1199" s="1139">
        <f t="shared" ca="1" si="217"/>
        <v>0</v>
      </c>
      <c r="C1199" s="473">
        <f ca="1">IF(ISERROR(VLOOKUP($A$1266,INDIRECT("notes_"&amp;LEFT($A$1266,3)),4,0)),0,VLOOKUP($A$1266,INDIRECT("notes_"&amp;LEFT($A$1266,3)),4,0))</f>
        <v>0</v>
      </c>
      <c r="H1199" s="471">
        <f t="shared" si="216"/>
        <v>2</v>
      </c>
      <c r="I1199" s="471">
        <v>1</v>
      </c>
      <c r="J1199" s="471" t="str">
        <f t="shared" si="218"/>
        <v>phadv</v>
      </c>
      <c r="K1199" s="471" t="str">
        <f t="shared" si="219"/>
        <v>tot-inc</v>
      </c>
      <c r="L1199" s="599"/>
      <c r="M1199" s="471" t="s">
        <v>5151</v>
      </c>
      <c r="N1199" s="471" t="s">
        <v>5152</v>
      </c>
      <c r="O1199" s="471" t="s">
        <v>5153</v>
      </c>
    </row>
    <row r="1200" spans="1:15" x14ac:dyDescent="0.25">
      <c r="A1200" s="471" t="s">
        <v>5607</v>
      </c>
      <c r="B1200" s="1139">
        <f t="shared" ca="1" si="217"/>
        <v>0</v>
      </c>
      <c r="C1200" s="473">
        <f ca="1">IF(ISERROR(VLOOKUP($A$1267,INDIRECT("notes_"&amp;LEFT($A$1267,3)),4,0)),0,VLOOKUP($A$1267,INDIRECT("notes_"&amp;LEFT($A$1267,3)),4,0))</f>
        <v>0</v>
      </c>
      <c r="H1200" s="471">
        <f t="shared" si="216"/>
        <v>2</v>
      </c>
      <c r="I1200" s="471">
        <v>1</v>
      </c>
      <c r="J1200" s="471" t="str">
        <f t="shared" si="218"/>
        <v>phobsadl</v>
      </c>
      <c r="K1200" s="471" t="str">
        <f t="shared" si="219"/>
        <v>tot-inc</v>
      </c>
      <c r="L1200" s="599"/>
      <c r="M1200" s="471" t="s">
        <v>5151</v>
      </c>
      <c r="N1200" s="471" t="s">
        <v>5152</v>
      </c>
      <c r="O1200" s="471" t="s">
        <v>5153</v>
      </c>
    </row>
    <row r="1201" spans="1:15" x14ac:dyDescent="0.25">
      <c r="A1201" s="471" t="s">
        <v>5608</v>
      </c>
      <c r="B1201" s="1139">
        <f t="shared" ca="1" si="217"/>
        <v>0</v>
      </c>
      <c r="C1201" s="473">
        <f ca="1">IF(ISERROR(VLOOKUP($A$1268,INDIRECT("notes_"&amp;LEFT($A$1268,3)),4,0)),0,VLOOKUP($A$1268,INDIRECT("notes_"&amp;LEFT($A$1268,3)),4,0))</f>
        <v>0</v>
      </c>
      <c r="H1201" s="471">
        <f t="shared" si="216"/>
        <v>2</v>
      </c>
      <c r="I1201" s="471">
        <v>1</v>
      </c>
      <c r="J1201" s="471" t="str">
        <f t="shared" si="218"/>
        <v>phobschl</v>
      </c>
      <c r="K1201" s="471" t="str">
        <f t="shared" si="219"/>
        <v>tot-inc</v>
      </c>
      <c r="L1201" s="599"/>
      <c r="M1201" s="471" t="s">
        <v>5151</v>
      </c>
      <c r="N1201" s="471" t="s">
        <v>5152</v>
      </c>
      <c r="O1201" s="471" t="s">
        <v>5153</v>
      </c>
    </row>
    <row r="1202" spans="1:15" x14ac:dyDescent="0.25">
      <c r="A1202" s="471" t="s">
        <v>5609</v>
      </c>
      <c r="B1202" s="1139">
        <f t="shared" ca="1" si="217"/>
        <v>0</v>
      </c>
      <c r="C1202" s="473">
        <f ca="1">IF(ISERROR(VLOOKUP($A$1269,INDIRECT("notes_"&amp;LEFT($A$1269,3)),4,0)),0,VLOOKUP($A$1269,INDIRECT("notes_"&amp;LEFT($A$1269,3)),4,0))</f>
        <v>0</v>
      </c>
      <c r="H1202" s="471">
        <f t="shared" si="216"/>
        <v>2</v>
      </c>
      <c r="I1202" s="471">
        <v>1</v>
      </c>
      <c r="J1202" s="471" t="str">
        <f t="shared" si="218"/>
        <v>phphyadl</v>
      </c>
      <c r="K1202" s="471" t="str">
        <f t="shared" si="219"/>
        <v>tot-inc</v>
      </c>
      <c r="L1202" s="599"/>
      <c r="M1202" s="471" t="s">
        <v>5151</v>
      </c>
      <c r="N1202" s="471" t="s">
        <v>5152</v>
      </c>
      <c r="O1202" s="471" t="s">
        <v>5153</v>
      </c>
    </row>
    <row r="1203" spans="1:15" x14ac:dyDescent="0.25">
      <c r="A1203" s="471" t="s">
        <v>5610</v>
      </c>
      <c r="B1203" s="1139">
        <f t="shared" ca="1" si="217"/>
        <v>0</v>
      </c>
      <c r="C1203" s="473">
        <f ca="1">IF(ISERROR(VLOOKUP($A$1270,INDIRECT("notes_"&amp;LEFT($A$1270,3)),4,0)),0,VLOOKUP($A$1270,INDIRECT("notes_"&amp;LEFT($A$1270,3)),4,0))</f>
        <v>0</v>
      </c>
      <c r="H1203" s="471">
        <f t="shared" si="216"/>
        <v>2</v>
      </c>
      <c r="I1203" s="471">
        <v>1</v>
      </c>
      <c r="J1203" s="471" t="str">
        <f t="shared" si="218"/>
        <v>phphychl</v>
      </c>
      <c r="K1203" s="471" t="str">
        <f t="shared" si="219"/>
        <v>tot-inc</v>
      </c>
      <c r="L1203" s="599"/>
      <c r="M1203" s="471" t="s">
        <v>5151</v>
      </c>
      <c r="N1203" s="471" t="s">
        <v>5152</v>
      </c>
      <c r="O1203" s="471" t="s">
        <v>5153</v>
      </c>
    </row>
    <row r="1204" spans="1:15" x14ac:dyDescent="0.25">
      <c r="A1204" s="471" t="s">
        <v>5611</v>
      </c>
      <c r="B1204" s="1139">
        <f t="shared" ca="1" si="217"/>
        <v>0</v>
      </c>
      <c r="C1204" s="473">
        <f ca="1">IF(ISERROR(VLOOKUP($A$1271,INDIRECT("notes_"&amp;LEFT($A$1271,3)),4,0)),0,VLOOKUP($A$1271,INDIRECT("notes_"&amp;LEFT($A$1271,3)),4,0))</f>
        <v>0</v>
      </c>
      <c r="H1204" s="471">
        <f t="shared" si="216"/>
        <v>2</v>
      </c>
      <c r="I1204" s="471">
        <v>1</v>
      </c>
      <c r="J1204" s="471" t="str">
        <f t="shared" si="218"/>
        <v>phsbstrtdrg</v>
      </c>
      <c r="K1204" s="471" t="str">
        <f t="shared" si="219"/>
        <v>tot-inc</v>
      </c>
      <c r="L1204" s="599"/>
      <c r="M1204" s="471" t="s">
        <v>5151</v>
      </c>
      <c r="N1204" s="471" t="s">
        <v>5152</v>
      </c>
      <c r="O1204" s="471" t="s">
        <v>5153</v>
      </c>
    </row>
    <row r="1205" spans="1:15" x14ac:dyDescent="0.25">
      <c r="A1205" s="471" t="s">
        <v>5612</v>
      </c>
      <c r="B1205" s="1139">
        <f t="shared" ca="1" si="217"/>
        <v>0</v>
      </c>
      <c r="C1205" s="473">
        <f ca="1">IF(ISERROR(VLOOKUP($A$1272,INDIRECT("notes_"&amp;LEFT($A$1272,3)),4,0)),0,VLOOKUP($A$1272,INDIRECT("notes_"&amp;LEFT($A$1272,3)),4,0))</f>
        <v>0</v>
      </c>
      <c r="H1205" s="471">
        <f t="shared" si="216"/>
        <v>2</v>
      </c>
      <c r="I1205" s="471">
        <v>1</v>
      </c>
      <c r="J1205" s="471" t="str">
        <f t="shared" si="218"/>
        <v>phsbsprvdrg</v>
      </c>
      <c r="K1205" s="471" t="str">
        <f t="shared" si="219"/>
        <v>tot-inc</v>
      </c>
      <c r="L1205" s="599"/>
      <c r="M1205" s="471" t="s">
        <v>5151</v>
      </c>
      <c r="N1205" s="471" t="s">
        <v>5152</v>
      </c>
      <c r="O1205" s="471" t="s">
        <v>5153</v>
      </c>
    </row>
    <row r="1206" spans="1:15" x14ac:dyDescent="0.25">
      <c r="A1206" s="471" t="s">
        <v>5613</v>
      </c>
      <c r="B1206" s="1139">
        <f t="shared" ca="1" si="217"/>
        <v>0</v>
      </c>
      <c r="C1206" s="473">
        <f ca="1">IF(ISERROR(VLOOKUP($A$1273,INDIRECT("notes_"&amp;LEFT($A$1273,3)),4,0)),0,VLOOKUP($A$1273,INDIRECT("notes_"&amp;LEFT($A$1273,3)),4,0))</f>
        <v>0</v>
      </c>
      <c r="H1206" s="471">
        <f t="shared" si="216"/>
        <v>2</v>
      </c>
      <c r="I1206" s="471">
        <v>1</v>
      </c>
      <c r="J1206" s="471" t="str">
        <f t="shared" si="218"/>
        <v>phsbsspc</v>
      </c>
      <c r="K1206" s="471" t="str">
        <f t="shared" si="219"/>
        <v>tot-inc</v>
      </c>
      <c r="L1206" s="599"/>
      <c r="M1206" s="471" t="s">
        <v>5151</v>
      </c>
      <c r="N1206" s="471" t="s">
        <v>5152</v>
      </c>
      <c r="O1206" s="471" t="s">
        <v>5153</v>
      </c>
    </row>
    <row r="1207" spans="1:15" x14ac:dyDescent="0.25">
      <c r="A1207" s="471" t="s">
        <v>5614</v>
      </c>
      <c r="B1207" s="1139">
        <f t="shared" ca="1" si="217"/>
        <v>0</v>
      </c>
      <c r="C1207" s="473">
        <f ca="1">IF(ISERROR(VLOOKUP($A$1274,INDIRECT("notes_"&amp;LEFT($A$1274,3)),4,0)),0,VLOOKUP($A$1274,INDIRECT("notes_"&amp;LEFT($A$1274,3)),4,0))</f>
        <v>0</v>
      </c>
      <c r="H1207" s="471">
        <f t="shared" si="216"/>
        <v>2</v>
      </c>
      <c r="I1207" s="471">
        <v>1</v>
      </c>
      <c r="J1207" s="471" t="str">
        <f t="shared" si="218"/>
        <v>phsmkstp</v>
      </c>
      <c r="K1207" s="471" t="str">
        <f t="shared" si="219"/>
        <v>tot-inc</v>
      </c>
      <c r="L1207" s="599"/>
      <c r="M1207" s="471" t="s">
        <v>5151</v>
      </c>
      <c r="N1207" s="471" t="s">
        <v>5152</v>
      </c>
      <c r="O1207" s="471" t="s">
        <v>5153</v>
      </c>
    </row>
    <row r="1208" spans="1:15" x14ac:dyDescent="0.25">
      <c r="A1208" s="471" t="s">
        <v>5615</v>
      </c>
      <c r="B1208" s="1139">
        <f t="shared" ca="1" si="217"/>
        <v>0</v>
      </c>
      <c r="C1208" s="473">
        <f ca="1">IF(ISERROR(VLOOKUP($A$1275,INDIRECT("notes_"&amp;LEFT($A$1275,3)),4,0)),0,VLOOKUP($A$1275,INDIRECT("notes_"&amp;LEFT($A$1275,3)),4,0))</f>
        <v>0</v>
      </c>
      <c r="H1208" s="471">
        <f t="shared" si="216"/>
        <v>2</v>
      </c>
      <c r="I1208" s="471">
        <v>1</v>
      </c>
      <c r="J1208" s="471" t="str">
        <f t="shared" si="218"/>
        <v>phsmkcnt</v>
      </c>
      <c r="K1208" s="471" t="str">
        <f t="shared" si="219"/>
        <v>tot-inc</v>
      </c>
      <c r="L1208" s="599"/>
      <c r="M1208" s="471" t="s">
        <v>5151</v>
      </c>
      <c r="N1208" s="471" t="s">
        <v>5152</v>
      </c>
      <c r="O1208" s="471" t="s">
        <v>5153</v>
      </c>
    </row>
    <row r="1209" spans="1:15" x14ac:dyDescent="0.25">
      <c r="A1209" s="471" t="s">
        <v>5616</v>
      </c>
      <c r="B1209" s="1139">
        <f t="shared" ca="1" si="217"/>
        <v>0</v>
      </c>
      <c r="C1209" s="473">
        <f ca="1">IF(ISERROR(VLOOKUP($A$1276,INDIRECT("notes_"&amp;LEFT($A$1276,3)),4,0)),0,VLOOKUP($A$1276,INDIRECT("notes_"&amp;LEFT($A$1276,3)),4,0))</f>
        <v>0</v>
      </c>
      <c r="H1209" s="471">
        <f t="shared" si="216"/>
        <v>2</v>
      </c>
      <c r="I1209" s="471">
        <v>1</v>
      </c>
      <c r="J1209" s="471" t="str">
        <f t="shared" si="218"/>
        <v>phchl</v>
      </c>
      <c r="K1209" s="471" t="str">
        <f t="shared" si="219"/>
        <v>tot-inc</v>
      </c>
      <c r="L1209" s="599"/>
      <c r="M1209" s="471" t="s">
        <v>5151</v>
      </c>
      <c r="N1209" s="471" t="s">
        <v>5152</v>
      </c>
      <c r="O1209" s="471" t="s">
        <v>5153</v>
      </c>
    </row>
    <row r="1210" spans="1:15" x14ac:dyDescent="0.25">
      <c r="A1210" s="471" t="s">
        <v>5617</v>
      </c>
      <c r="B1210" s="1139">
        <f t="shared" ca="1" si="217"/>
        <v>0</v>
      </c>
      <c r="C1210" s="473">
        <f ca="1">IF(ISERROR(VLOOKUP($A$1277,INDIRECT("notes_"&amp;LEFT($A$1277,3)),4,0)),0,VLOOKUP($A$1277,INDIRECT("notes_"&amp;LEFT($A$1277,3)),4,0))</f>
        <v>0</v>
      </c>
      <c r="H1210" s="471">
        <f t="shared" si="216"/>
        <v>2</v>
      </c>
      <c r="I1210" s="471">
        <v>1</v>
      </c>
      <c r="J1210" s="471" t="str">
        <f t="shared" si="218"/>
        <v>phbbymnd</v>
      </c>
      <c r="K1210" s="471" t="str">
        <f t="shared" si="219"/>
        <v>tot-inc</v>
      </c>
      <c r="L1210" s="599"/>
      <c r="M1210" s="471" t="s">
        <v>5151</v>
      </c>
      <c r="N1210" s="471" t="s">
        <v>5152</v>
      </c>
      <c r="O1210" s="471" t="s">
        <v>5153</v>
      </c>
    </row>
    <row r="1211" spans="1:15" x14ac:dyDescent="0.25">
      <c r="A1211" s="471" t="s">
        <v>5618</v>
      </c>
      <c r="B1211" s="1139">
        <f t="shared" ca="1" si="217"/>
        <v>0</v>
      </c>
      <c r="C1211" s="473">
        <f ca="1">IF(ISERROR(VLOOKUP($A$1278,INDIRECT("notes_"&amp;LEFT($A$1278,3)),4,0)),0,VLOOKUP($A$1278,INDIRECT("notes_"&amp;LEFT($A$1278,3)),4,0))</f>
        <v>0</v>
      </c>
      <c r="H1211" s="471">
        <f t="shared" si="216"/>
        <v>2</v>
      </c>
      <c r="I1211" s="471">
        <v>1</v>
      </c>
      <c r="J1211" s="471" t="str">
        <f t="shared" si="218"/>
        <v>phbbyoth</v>
      </c>
      <c r="K1211" s="471" t="str">
        <f t="shared" si="219"/>
        <v>tot-inc</v>
      </c>
      <c r="L1211" s="599"/>
      <c r="M1211" s="471" t="s">
        <v>5151</v>
      </c>
      <c r="N1211" s="471" t="s">
        <v>5152</v>
      </c>
      <c r="O1211" s="471" t="s">
        <v>5153</v>
      </c>
    </row>
    <row r="1212" spans="1:15" x14ac:dyDescent="0.25">
      <c r="A1212" s="471" t="s">
        <v>5619</v>
      </c>
      <c r="B1212" s="1139">
        <f t="shared" ca="1" si="217"/>
        <v>0</v>
      </c>
      <c r="C1212" s="473">
        <f ca="1">IF(ISERROR(VLOOKUP($A$1279,INDIRECT("notes_"&amp;LEFT($A$1279,3)),4,0)),0,VLOOKUP($A$1279,INDIRECT("notes_"&amp;LEFT($A$1279,3)),4,0))</f>
        <v>0</v>
      </c>
      <c r="H1212" s="471">
        <f t="shared" si="216"/>
        <v>2</v>
      </c>
      <c r="I1212" s="471">
        <v>1</v>
      </c>
      <c r="J1212" s="471" t="str">
        <f t="shared" si="218"/>
        <v>phwrk</v>
      </c>
      <c r="K1212" s="471" t="str">
        <f t="shared" si="219"/>
        <v>tot-inc</v>
      </c>
      <c r="L1212" s="599"/>
      <c r="M1212" s="471" t="s">
        <v>5151</v>
      </c>
      <c r="N1212" s="471" t="s">
        <v>5152</v>
      </c>
      <c r="O1212" s="471" t="s">
        <v>5153</v>
      </c>
    </row>
    <row r="1213" spans="1:15" x14ac:dyDescent="0.25">
      <c r="A1213" s="471" t="s">
        <v>5620</v>
      </c>
      <c r="B1213" s="1139">
        <f t="shared" ca="1" si="217"/>
        <v>0</v>
      </c>
      <c r="C1213" s="473">
        <f ca="1">IF(ISERROR(VLOOKUP($A$1280,INDIRECT("notes_"&amp;LEFT($A$1280,3)),4,0)),0,VLOOKUP($A$1280,INDIRECT("notes_"&amp;LEFT($A$1280,3)),4,0))</f>
        <v>0</v>
      </c>
      <c r="H1213" s="471">
        <f t="shared" si="216"/>
        <v>2</v>
      </c>
      <c r="I1213" s="471">
        <v>1</v>
      </c>
      <c r="J1213" s="471" t="str">
        <f t="shared" si="218"/>
        <v>phmnt</v>
      </c>
      <c r="K1213" s="471" t="str">
        <f t="shared" si="219"/>
        <v>tot-inc</v>
      </c>
      <c r="L1213" s="599"/>
      <c r="M1213" s="471" t="s">
        <v>5151</v>
      </c>
      <c r="N1213" s="471" t="s">
        <v>5152</v>
      </c>
      <c r="O1213" s="471" t="s">
        <v>5153</v>
      </c>
    </row>
    <row r="1214" spans="1:15" x14ac:dyDescent="0.25">
      <c r="A1214" s="471" t="s">
        <v>5621</v>
      </c>
      <c r="B1214" s="1139">
        <f t="shared" ca="1" si="217"/>
        <v>0</v>
      </c>
      <c r="C1214" s="473">
        <f ca="1">IF(ISERROR(VLOOKUP($A$1281,INDIRECT("notes_"&amp;LEFT($A$1281,3)),4,0)),0,VLOOKUP($A$1281,INDIRECT("notes_"&amp;LEFT($A$1281,3)),4,0))</f>
        <v>0</v>
      </c>
      <c r="H1214" s="471">
        <f t="shared" si="216"/>
        <v>2</v>
      </c>
      <c r="I1214" s="471">
        <v>1</v>
      </c>
      <c r="J1214" s="471" t="str">
        <f t="shared" si="218"/>
        <v>phmsc</v>
      </c>
      <c r="K1214" s="471" t="str">
        <f t="shared" si="219"/>
        <v>tot-inc</v>
      </c>
      <c r="L1214" s="599"/>
      <c r="M1214" s="471" t="s">
        <v>5151</v>
      </c>
      <c r="N1214" s="471" t="s">
        <v>5152</v>
      </c>
      <c r="O1214" s="471" t="s">
        <v>5153</v>
      </c>
    </row>
    <row r="1215" spans="1:15" x14ac:dyDescent="0.25">
      <c r="A1215" s="471" t="s">
        <v>5622</v>
      </c>
      <c r="B1215" s="1139">
        <f t="shared" ca="1" si="217"/>
        <v>0</v>
      </c>
      <c r="C1215" s="473">
        <f ca="1">IF(ISERROR(VLOOKUP($A$1282,INDIRECT("notes_"&amp;LEFT($A$1282,3)),4,0)),0,VLOOKUP($A$1282,INDIRECT("notes_"&amp;LEFT($A$1282,3)),4,0))</f>
        <v>0</v>
      </c>
      <c r="H1215" s="471">
        <f t="shared" si="216"/>
        <v>2</v>
      </c>
      <c r="I1215" s="471">
        <v>1</v>
      </c>
      <c r="J1215" s="471" t="str">
        <f t="shared" si="218"/>
        <v>phtot</v>
      </c>
      <c r="K1215" s="471" t="str">
        <f t="shared" si="219"/>
        <v>tot-inc</v>
      </c>
      <c r="L1215" s="599"/>
      <c r="M1215" s="471" t="s">
        <v>5151</v>
      </c>
      <c r="N1215" s="471" t="s">
        <v>5152</v>
      </c>
      <c r="O1215" s="471" t="s">
        <v>5153</v>
      </c>
    </row>
    <row r="1216" spans="1:15" x14ac:dyDescent="0.25">
      <c r="A1216" s="471" t="s">
        <v>5623</v>
      </c>
      <c r="B1216" s="1139">
        <f t="shared" ca="1" si="217"/>
        <v>0</v>
      </c>
      <c r="C1216" s="473">
        <f ca="1">IF(ISERROR(VLOOKUP($A$1287,INDIRECT("notes_"&amp;LEFT($A$1287,3)),4,0)),0,VLOOKUP($A$1287,INDIRECT("notes_"&amp;LEFT($A$1287,3)),4,0))</f>
        <v>0</v>
      </c>
      <c r="H1216" s="471">
        <f t="shared" si="216"/>
        <v>5</v>
      </c>
      <c r="I1216" s="471">
        <v>1</v>
      </c>
      <c r="J1216" s="471" t="str">
        <f t="shared" si="218"/>
        <v>phsup-anc-exp-csc</v>
      </c>
      <c r="K1216" s="471" t="str">
        <f t="shared" si="219"/>
        <v>tot-inc</v>
      </c>
      <c r="L1216" s="599"/>
      <c r="M1216" s="471" t="s">
        <v>5151</v>
      </c>
      <c r="N1216" s="471" t="s">
        <v>5152</v>
      </c>
      <c r="O1216" s="471" t="s">
        <v>5153</v>
      </c>
    </row>
    <row r="1217" spans="1:15" x14ac:dyDescent="0.25">
      <c r="A1217" s="471" t="s">
        <v>5624</v>
      </c>
      <c r="B1217" s="1139">
        <f t="shared" ca="1" si="217"/>
        <v>0</v>
      </c>
      <c r="C1217" s="473">
        <f ca="1">IF(ISERROR(VLOOKUP($A$1288,INDIRECT("notes_"&amp;LEFT($A$1288,3)),4,0)),0,VLOOKUP($A$1288,INDIRECT("notes_"&amp;LEFT($A$1288,3)),4,0))</f>
        <v>0</v>
      </c>
      <c r="H1217" s="471">
        <f t="shared" ref="H1217:H1276" si="220">LEN(A1217)-LEN(SUBSTITUTE(A1217,"-",""))-I1217</f>
        <v>5</v>
      </c>
      <c r="I1217" s="471">
        <v>1</v>
      </c>
      <c r="J1217" s="471" t="str">
        <f t="shared" si="218"/>
        <v>phsup-anc-exp-asc</v>
      </c>
      <c r="K1217" s="471" t="str">
        <f t="shared" si="219"/>
        <v>tot-inc</v>
      </c>
      <c r="L1217" s="599"/>
      <c r="M1217" s="471" t="s">
        <v>5151</v>
      </c>
      <c r="N1217" s="471" t="s">
        <v>5152</v>
      </c>
      <c r="O1217" s="471" t="s">
        <v>5153</v>
      </c>
    </row>
    <row r="1218" spans="1:15" x14ac:dyDescent="0.25">
      <c r="A1218" s="471" t="s">
        <v>2046</v>
      </c>
      <c r="B1218" s="1139">
        <f t="shared" ref="B1218:B1277" ca="1" si="221">INDEX(INDIRECT(LEFT($A1218,SEARCH("-",$A1218,1)-1)&amp;"_data"),MATCH(MID($A1218,SEARCH("-",$A1218)+1,SEARCH("#",SUBSTITUTE($A1218,"-","#",H1218),1)-(SEARCH("-",$A1218)+1)),INDIRECT(LEFT($A1218,SEARCH("-",$A1218,1)-1)&amp;"_rows"),0),MATCH(RIGHT($A1218,LEN($A1218)-LEN(LEFT($A1218,SEARCH("#",SUBSTITUTE($A1218,"-","#",H1218),1)))),INDIRECT(LEFT($A1218,SEARCH("-",$A1218,1)-1)&amp;"_Header"),0))</f>
        <v>0</v>
      </c>
      <c r="C1218" s="473">
        <f ca="1">IF(ISERROR(VLOOKUP($A$1218,INDIRECT("notes_"&amp;LEFT($A$1218,3)),4,0)),0,VLOOKUP($A$1218,INDIRECT("notes_"&amp;LEFT($A$1218,3)),4,0))</f>
        <v>0</v>
      </c>
      <c r="D1218" s="472" t="str">
        <f>'RO3'!N32</f>
        <v/>
      </c>
      <c r="E1218" s="472" t="str">
        <f>'RO3'!O32</f>
        <v/>
      </c>
      <c r="F1218" s="472" t="str">
        <f>'RO3'!Q32</f>
        <v/>
      </c>
      <c r="H1218" s="471">
        <f t="shared" si="220"/>
        <v>2</v>
      </c>
      <c r="I1218" s="471">
        <v>2</v>
      </c>
      <c r="J1218" s="471" t="str">
        <f t="shared" si="218"/>
        <v>cscsr</v>
      </c>
      <c r="K1218" s="471" t="str">
        <f t="shared" si="219"/>
        <v>net-cur-exp</v>
      </c>
      <c r="L1218" s="599"/>
      <c r="M1218" s="471" t="s">
        <v>5151</v>
      </c>
      <c r="N1218" s="471" t="s">
        <v>5152</v>
      </c>
      <c r="O1218" s="471" t="s">
        <v>5153</v>
      </c>
    </row>
    <row r="1219" spans="1:15" x14ac:dyDescent="0.25">
      <c r="A1219" s="471" t="s">
        <v>2048</v>
      </c>
      <c r="B1219" s="1139">
        <f t="shared" ca="1" si="221"/>
        <v>0</v>
      </c>
      <c r="C1219" s="473">
        <f ca="1">IF(ISERROR(VLOOKUP($A$1219,INDIRECT("notes_"&amp;LEFT($A$1219,3)),4,0)),0,VLOOKUP($A$1219,INDIRECT("notes_"&amp;LEFT($A$1219,3)),4,0))</f>
        <v>0</v>
      </c>
      <c r="D1219" s="472" t="str">
        <f>'RO3'!N33</f>
        <v/>
      </c>
      <c r="E1219" s="472" t="str">
        <f>'RO3'!O33</f>
        <v/>
      </c>
      <c r="F1219" s="472" t="str">
        <f>'RO3'!Q33</f>
        <v/>
      </c>
      <c r="H1219" s="471">
        <f t="shared" si="220"/>
        <v>2</v>
      </c>
      <c r="I1219" s="471">
        <v>2</v>
      </c>
      <c r="J1219" s="471" t="str">
        <f t="shared" si="218"/>
        <v>csclkd</v>
      </c>
      <c r="K1219" s="471" t="str">
        <f t="shared" si="219"/>
        <v>net-cur-exp</v>
      </c>
      <c r="L1219" s="599"/>
      <c r="M1219" s="471" t="s">
        <v>5151</v>
      </c>
      <c r="N1219" s="471" t="s">
        <v>5152</v>
      </c>
      <c r="O1219" s="471" t="s">
        <v>5153</v>
      </c>
    </row>
    <row r="1220" spans="1:15" x14ac:dyDescent="0.25">
      <c r="A1220" s="280" t="s">
        <v>2050</v>
      </c>
      <c r="B1220" s="1144">
        <f t="shared" ca="1" si="221"/>
        <v>0</v>
      </c>
      <c r="C1220" s="720">
        <f ca="1">IF(ISERROR(VLOOKUP($A$1220,INDIRECT("notes_"&amp;LEFT($A$1220,3)),4,0)),0,VLOOKUP($A$1220,INDIRECT("notes_"&amp;LEFT($A$1220,3)),4,0))</f>
        <v>0</v>
      </c>
      <c r="D1220" s="472"/>
      <c r="E1220" s="472"/>
      <c r="F1220" s="472"/>
      <c r="H1220" s="471">
        <f t="shared" si="220"/>
        <v>2</v>
      </c>
      <c r="I1220" s="471">
        <v>2</v>
      </c>
      <c r="J1220" s="471" t="str">
        <f t="shared" si="218"/>
        <v>csclkdres</v>
      </c>
      <c r="K1220" s="471" t="str">
        <f t="shared" si="219"/>
        <v>net-cur-exp</v>
      </c>
      <c r="L1220" s="599"/>
      <c r="M1220" s="471" t="s">
        <v>5151</v>
      </c>
      <c r="N1220" s="471" t="s">
        <v>5152</v>
      </c>
      <c r="O1220" s="471" t="s">
        <v>5153</v>
      </c>
    </row>
    <row r="1221" spans="1:15" x14ac:dyDescent="0.25">
      <c r="A1221" s="280" t="s">
        <v>2051</v>
      </c>
      <c r="B1221" s="1144">
        <f t="shared" ca="1" si="221"/>
        <v>0</v>
      </c>
      <c r="C1221" s="720">
        <f ca="1">IF(ISERROR(VLOOKUP($A$1221,INDIRECT("notes_"&amp;LEFT($A$1221,3)),4,0)),0,VLOOKUP($A$1221,INDIRECT("notes_"&amp;LEFT($A$1221,3)),4,0))</f>
        <v>0</v>
      </c>
      <c r="D1221" s="472"/>
      <c r="E1221" s="472"/>
      <c r="F1221" s="472"/>
      <c r="H1221" s="471">
        <f t="shared" si="220"/>
        <v>2</v>
      </c>
      <c r="I1221" s="471">
        <v>2</v>
      </c>
      <c r="J1221" s="471" t="str">
        <f t="shared" ref="J1221:J1280" si="222">MID($A1221,SEARCH("-",$A1221)+1,SEARCH("#",SUBSTITUTE($A1221,"-","#",H1221),1)-(SEARCH("-",$A1221)+1))</f>
        <v>csclkdfos</v>
      </c>
      <c r="K1221" s="471" t="str">
        <f t="shared" ref="K1221:K1280" si="223">RIGHT($A1221,LEN($A1221)-SEARCH("#",SUBSTITUTE($A1221,"-","#",H1221),1))</f>
        <v>net-cur-exp</v>
      </c>
      <c r="L1221" s="599"/>
      <c r="M1221" s="471" t="s">
        <v>5151</v>
      </c>
      <c r="N1221" s="471" t="s">
        <v>5152</v>
      </c>
      <c r="O1221" s="471" t="s">
        <v>5153</v>
      </c>
    </row>
    <row r="1222" spans="1:15" x14ac:dyDescent="0.25">
      <c r="A1222" s="280" t="s">
        <v>2052</v>
      </c>
      <c r="B1222" s="1144">
        <f t="shared" ca="1" si="221"/>
        <v>0</v>
      </c>
      <c r="C1222" s="720">
        <f ca="1">IF(ISERROR(VLOOKUP($A$1222,INDIRECT("notes_"&amp;LEFT($A$1222,3)),4,0)),0,VLOOKUP($A$1222,INDIRECT("notes_"&amp;LEFT($A$1222,3)),4,0))</f>
        <v>0</v>
      </c>
      <c r="D1222" s="472"/>
      <c r="E1222" s="472"/>
      <c r="F1222" s="472"/>
      <c r="H1222" s="471">
        <f t="shared" si="220"/>
        <v>2</v>
      </c>
      <c r="I1222" s="471">
        <v>2</v>
      </c>
      <c r="J1222" s="471" t="str">
        <f t="shared" si="222"/>
        <v>csclkdasy</v>
      </c>
      <c r="K1222" s="471" t="str">
        <f t="shared" si="223"/>
        <v>net-cur-exp</v>
      </c>
      <c r="L1222" s="599"/>
      <c r="M1222" s="471" t="s">
        <v>5151</v>
      </c>
      <c r="N1222" s="471" t="s">
        <v>5152</v>
      </c>
      <c r="O1222" s="471" t="s">
        <v>5153</v>
      </c>
    </row>
    <row r="1223" spans="1:15" x14ac:dyDescent="0.25">
      <c r="A1223" s="280" t="s">
        <v>2053</v>
      </c>
      <c r="B1223" s="1144">
        <f t="shared" ca="1" si="221"/>
        <v>0</v>
      </c>
      <c r="C1223" s="720">
        <f ca="1">IF(ISERROR(VLOOKUP($A$1223,INDIRECT("notes_"&amp;LEFT($A$1223,3)),4,0)),0,VLOOKUP($A$1223,INDIRECT("notes_"&amp;LEFT($A$1223,3)),4,0))</f>
        <v>0</v>
      </c>
      <c r="D1223" s="472"/>
      <c r="E1223" s="472"/>
      <c r="F1223" s="472"/>
      <c r="H1223" s="471">
        <f t="shared" si="220"/>
        <v>2</v>
      </c>
      <c r="I1223" s="471">
        <v>2</v>
      </c>
      <c r="J1223" s="471" t="str">
        <f t="shared" si="222"/>
        <v>csclkdoth</v>
      </c>
      <c r="K1223" s="471" t="str">
        <f t="shared" si="223"/>
        <v>net-cur-exp</v>
      </c>
      <c r="L1223" s="599"/>
      <c r="M1223" s="471" t="s">
        <v>5151</v>
      </c>
      <c r="N1223" s="471" t="s">
        <v>5152</v>
      </c>
      <c r="O1223" s="471" t="s">
        <v>5153</v>
      </c>
    </row>
    <row r="1224" spans="1:15" x14ac:dyDescent="0.25">
      <c r="A1224" s="280" t="s">
        <v>2049</v>
      </c>
      <c r="B1224" s="1144">
        <f t="shared" ca="1" si="221"/>
        <v>0</v>
      </c>
      <c r="C1224" s="720">
        <f ca="1">IF(ISERROR(VLOOKUP($A$1224,INDIRECT("notes_"&amp;LEFT($A$1224,3)),4,0)),0,VLOOKUP($A$1224,INDIRECT("notes_"&amp;LEFT($A$1224,3)),4,0))</f>
        <v>0</v>
      </c>
      <c r="D1224" s="472" t="str">
        <f>'RO3'!N38</f>
        <v/>
      </c>
      <c r="E1224" s="472" t="str">
        <f>'RO3'!O38</f>
        <v/>
      </c>
      <c r="F1224" s="472" t="str">
        <f>'RO3'!Q38</f>
        <v/>
      </c>
      <c r="H1224" s="471">
        <f t="shared" si="220"/>
        <v>2</v>
      </c>
      <c r="I1224" s="471">
        <v>2</v>
      </c>
      <c r="J1224" s="471" t="str">
        <f t="shared" si="222"/>
        <v>cscoth</v>
      </c>
      <c r="K1224" s="471" t="str">
        <f t="shared" si="223"/>
        <v>net-cur-exp</v>
      </c>
      <c r="L1224" s="599"/>
      <c r="M1224" s="471" t="s">
        <v>5151</v>
      </c>
      <c r="N1224" s="471" t="s">
        <v>5152</v>
      </c>
      <c r="O1224" s="471" t="s">
        <v>5153</v>
      </c>
    </row>
    <row r="1225" spans="1:15" x14ac:dyDescent="0.25">
      <c r="A1225" s="471" t="s">
        <v>2054</v>
      </c>
      <c r="B1225" s="1139">
        <f t="shared" ca="1" si="221"/>
        <v>0</v>
      </c>
      <c r="C1225" s="473">
        <f ca="1">IF(ISERROR(VLOOKUP($A$1225,INDIRECT("notes_"&amp;LEFT($A$1225,3)),4,0)),0,VLOOKUP($A$1225,INDIRECT("notes_"&amp;LEFT($A$1225,3)),4,0))</f>
        <v>0</v>
      </c>
      <c r="D1225" s="472" t="str">
        <f>'RO3'!N39</f>
        <v/>
      </c>
      <c r="E1225" s="472" t="str">
        <f>'RO3'!O39</f>
        <v/>
      </c>
      <c r="F1225" s="472" t="str">
        <f>'RO3'!Q39</f>
        <v/>
      </c>
      <c r="H1225" s="471">
        <f t="shared" si="220"/>
        <v>2</v>
      </c>
      <c r="I1225" s="471">
        <v>2</v>
      </c>
      <c r="J1225" s="471" t="str">
        <f t="shared" si="222"/>
        <v>cscfml</v>
      </c>
      <c r="K1225" s="471" t="str">
        <f t="shared" si="223"/>
        <v>net-cur-exp</v>
      </c>
      <c r="L1225" s="599"/>
      <c r="M1225" s="471" t="s">
        <v>5151</v>
      </c>
      <c r="N1225" s="471" t="s">
        <v>5152</v>
      </c>
      <c r="O1225" s="471" t="s">
        <v>5153</v>
      </c>
    </row>
    <row r="1226" spans="1:15" x14ac:dyDescent="0.25">
      <c r="A1226" s="471" t="s">
        <v>2055</v>
      </c>
      <c r="B1226" s="1139">
        <f t="shared" ca="1" si="221"/>
        <v>0</v>
      </c>
      <c r="C1226" s="473">
        <f ca="1">IF(ISERROR(VLOOKUP($A$1226,INDIRECT("notes_"&amp;LEFT($A$1226,3)),4,0)),0,VLOOKUP($A$1226,INDIRECT("notes_"&amp;LEFT($A$1226,3)),4,0))</f>
        <v>0</v>
      </c>
      <c r="D1226" s="472" t="str">
        <f>'RO3'!N40</f>
        <v/>
      </c>
      <c r="E1226" s="472" t="str">
        <f>'RO3'!O40</f>
        <v/>
      </c>
      <c r="F1226" s="472" t="str">
        <f>'RO3'!Q40</f>
        <v/>
      </c>
      <c r="H1226" s="471">
        <f t="shared" si="220"/>
        <v>2</v>
      </c>
      <c r="I1226" s="471">
        <v>2</v>
      </c>
      <c r="J1226" s="471" t="str">
        <f t="shared" si="222"/>
        <v>cscyth</v>
      </c>
      <c r="K1226" s="471" t="str">
        <f t="shared" si="223"/>
        <v>net-cur-exp</v>
      </c>
      <c r="L1226" s="599"/>
      <c r="M1226" s="471" t="s">
        <v>5151</v>
      </c>
      <c r="N1226" s="471" t="s">
        <v>5152</v>
      </c>
      <c r="O1226" s="471" t="s">
        <v>5153</v>
      </c>
    </row>
    <row r="1227" spans="1:15" x14ac:dyDescent="0.25">
      <c r="A1227" s="471" t="s">
        <v>2056</v>
      </c>
      <c r="B1227" s="1139">
        <f t="shared" ca="1" si="221"/>
        <v>0</v>
      </c>
      <c r="C1227" s="473">
        <f ca="1">IF(ISERROR(VLOOKUP($A$1227,INDIRECT("notes_"&amp;LEFT($A$1227,3)),4,0)),0,VLOOKUP($A$1227,INDIRECT("notes_"&amp;LEFT($A$1227,3)),4,0))</f>
        <v>0</v>
      </c>
      <c r="D1227" s="472" t="str">
        <f>'RO3'!N41</f>
        <v/>
      </c>
      <c r="E1227" s="472" t="str">
        <f>'RO3'!O41</f>
        <v/>
      </c>
      <c r="F1227" s="472" t="str">
        <f>'RO3'!Q41</f>
        <v/>
      </c>
      <c r="H1227" s="471">
        <f t="shared" si="220"/>
        <v>2</v>
      </c>
      <c r="I1227" s="471">
        <v>2</v>
      </c>
      <c r="J1227" s="471" t="str">
        <f t="shared" si="222"/>
        <v>cscsfg</v>
      </c>
      <c r="K1227" s="471" t="str">
        <f t="shared" si="223"/>
        <v>net-cur-exp</v>
      </c>
      <c r="L1227" s="599"/>
      <c r="M1227" s="471" t="s">
        <v>5151</v>
      </c>
      <c r="N1227" s="471" t="s">
        <v>5152</v>
      </c>
      <c r="O1227" s="471" t="s">
        <v>5153</v>
      </c>
    </row>
    <row r="1228" spans="1:15" x14ac:dyDescent="0.25">
      <c r="A1228" s="471" t="s">
        <v>2057</v>
      </c>
      <c r="B1228" s="1139">
        <f t="shared" ca="1" si="221"/>
        <v>0</v>
      </c>
      <c r="C1228" s="473">
        <f ca="1">IF(ISERROR(VLOOKUP($A$1228,INDIRECT("notes_"&amp;LEFT($A$1228,3)),4,0)),0,VLOOKUP($A$1228,INDIRECT("notes_"&amp;LEFT($A$1228,3)),4,0))</f>
        <v>0</v>
      </c>
      <c r="D1228" s="472" t="str">
        <f>'RO3'!N42</f>
        <v/>
      </c>
      <c r="E1228" s="472" t="str">
        <f>'RO3'!O42</f>
        <v/>
      </c>
      <c r="F1228" s="472" t="str">
        <f>'RO3'!Q42</f>
        <v/>
      </c>
      <c r="H1228" s="471">
        <f t="shared" si="220"/>
        <v>2</v>
      </c>
      <c r="I1228" s="471">
        <v>2</v>
      </c>
      <c r="J1228" s="471" t="str">
        <f t="shared" si="222"/>
        <v>cscasy</v>
      </c>
      <c r="K1228" s="471" t="str">
        <f t="shared" si="223"/>
        <v>net-cur-exp</v>
      </c>
      <c r="L1228" s="599"/>
      <c r="M1228" s="471" t="s">
        <v>5151</v>
      </c>
      <c r="N1228" s="471" t="s">
        <v>5152</v>
      </c>
      <c r="O1228" s="471" t="s">
        <v>5153</v>
      </c>
    </row>
    <row r="1229" spans="1:15" x14ac:dyDescent="0.25">
      <c r="A1229" s="471" t="s">
        <v>2058</v>
      </c>
      <c r="B1229" s="1139">
        <f t="shared" ca="1" si="221"/>
        <v>0</v>
      </c>
      <c r="C1229" s="473">
        <f ca="1">IF(ISERROR(VLOOKUP($A$1229,INDIRECT("notes_"&amp;LEFT($A$1229,3)),4,0)),0,VLOOKUP($A$1229,INDIRECT("notes_"&amp;LEFT($A$1229,3)),4,0))</f>
        <v>0</v>
      </c>
      <c r="D1229" s="472" t="str">
        <f>'RO3'!N43</f>
        <v/>
      </c>
      <c r="E1229" s="472" t="str">
        <f>'RO3'!O43</f>
        <v/>
      </c>
      <c r="F1229" s="472" t="str">
        <f>'RO3'!Q43</f>
        <v/>
      </c>
      <c r="H1229" s="471">
        <f t="shared" si="220"/>
        <v>2</v>
      </c>
      <c r="I1229" s="471">
        <v>2</v>
      </c>
      <c r="J1229" s="471" t="str">
        <f t="shared" si="222"/>
        <v>cscsrv</v>
      </c>
      <c r="K1229" s="471" t="str">
        <f t="shared" si="223"/>
        <v>net-cur-exp</v>
      </c>
      <c r="L1229" s="599"/>
      <c r="M1229" s="471" t="s">
        <v>5151</v>
      </c>
      <c r="N1229" s="471" t="s">
        <v>5152</v>
      </c>
      <c r="O1229" s="471" t="s">
        <v>5153</v>
      </c>
    </row>
    <row r="1230" spans="1:15" x14ac:dyDescent="0.25">
      <c r="A1230" s="471" t="s">
        <v>2059</v>
      </c>
      <c r="B1230" s="1139">
        <f t="shared" ca="1" si="221"/>
        <v>0</v>
      </c>
      <c r="C1230" s="473">
        <f ca="1">IF(ISERROR(VLOOKUP($A$1230,INDIRECT("notes_"&amp;LEFT($A$1230,3)),4,0)),0,VLOOKUP($A$1230,INDIRECT("notes_"&amp;LEFT($A$1230,3)),4,0))</f>
        <v>0</v>
      </c>
      <c r="D1230" s="472" t="str">
        <f>'RO3'!N45</f>
        <v/>
      </c>
      <c r="E1230" s="472" t="str">
        <f>'RO3'!O45</f>
        <v/>
      </c>
      <c r="F1230" s="472" t="str">
        <f>'RO3'!Q45</f>
        <v/>
      </c>
      <c r="H1230" s="471">
        <f t="shared" si="220"/>
        <v>2</v>
      </c>
      <c r="I1230" s="471">
        <v>2</v>
      </c>
      <c r="J1230" s="471" t="str">
        <f t="shared" si="222"/>
        <v>csctot</v>
      </c>
      <c r="K1230" s="471" t="str">
        <f t="shared" si="223"/>
        <v>net-cur-exp</v>
      </c>
      <c r="L1230" s="599"/>
      <c r="M1230" s="471" t="s">
        <v>5151</v>
      </c>
      <c r="N1230" s="471" t="s">
        <v>5152</v>
      </c>
      <c r="O1230" s="471" t="s">
        <v>5153</v>
      </c>
    </row>
    <row r="1231" spans="1:15" x14ac:dyDescent="0.25">
      <c r="A1231" s="471" t="s">
        <v>2061</v>
      </c>
      <c r="B1231" s="1139">
        <f t="shared" ca="1" si="221"/>
        <v>0</v>
      </c>
      <c r="C1231" s="473">
        <f ca="1">IF(ISERROR(VLOOKUP($A$1231,INDIRECT("notes_"&amp;LEFT($A$1231,3)),4,0)),0,VLOOKUP($A$1231,INDIRECT("notes_"&amp;LEFT($A$1231,3)),4,0))</f>
        <v>0</v>
      </c>
      <c r="D1231" s="472" t="str">
        <f>'RO3'!N55</f>
        <v/>
      </c>
      <c r="E1231" s="472" t="str">
        <f>'RO3'!O55</f>
        <v/>
      </c>
      <c r="F1231" s="472" t="str">
        <f>'RO3'!Q55</f>
        <v/>
      </c>
      <c r="H1231" s="471">
        <f t="shared" si="220"/>
        <v>2</v>
      </c>
      <c r="I1231" s="471">
        <v>2</v>
      </c>
      <c r="J1231" s="471" t="str">
        <f t="shared" si="222"/>
        <v>ascphyadl</v>
      </c>
      <c r="K1231" s="471" t="str">
        <f t="shared" si="223"/>
        <v>net-cur-exp</v>
      </c>
      <c r="L1231" s="599"/>
      <c r="M1231" s="471" t="s">
        <v>5151</v>
      </c>
      <c r="N1231" s="471" t="s">
        <v>5152</v>
      </c>
      <c r="O1231" s="471" t="s">
        <v>5153</v>
      </c>
    </row>
    <row r="1232" spans="1:15" x14ac:dyDescent="0.25">
      <c r="A1232" s="471" t="s">
        <v>2062</v>
      </c>
      <c r="B1232" s="1139">
        <f t="shared" ca="1" si="221"/>
        <v>0</v>
      </c>
      <c r="C1232" s="473">
        <f ca="1">IF(ISERROR(VLOOKUP($A$1232,INDIRECT("notes_"&amp;LEFT($A$1232,3)),4,0)),0,VLOOKUP($A$1232,INDIRECT("notes_"&amp;LEFT($A$1232,3)),4,0))</f>
        <v>0</v>
      </c>
      <c r="D1232" s="472" t="str">
        <f>'RO3'!N56</f>
        <v/>
      </c>
      <c r="E1232" s="472" t="str">
        <f>'RO3'!O56</f>
        <v/>
      </c>
      <c r="F1232" s="472" t="str">
        <f>'RO3'!Q56</f>
        <v/>
      </c>
      <c r="H1232" s="471">
        <f t="shared" si="220"/>
        <v>2</v>
      </c>
      <c r="I1232" s="471">
        <v>2</v>
      </c>
      <c r="J1232" s="471" t="str">
        <f t="shared" si="222"/>
        <v>ascphyold</v>
      </c>
      <c r="K1232" s="471" t="str">
        <f t="shared" si="223"/>
        <v>net-cur-exp</v>
      </c>
      <c r="L1232" s="599"/>
      <c r="M1232" s="471" t="s">
        <v>5151</v>
      </c>
      <c r="N1232" s="471" t="s">
        <v>5152</v>
      </c>
      <c r="O1232" s="471" t="s">
        <v>5153</v>
      </c>
    </row>
    <row r="1233" spans="1:15" x14ac:dyDescent="0.25">
      <c r="A1233" s="471" t="s">
        <v>2063</v>
      </c>
      <c r="B1233" s="1139">
        <f t="shared" ca="1" si="221"/>
        <v>0</v>
      </c>
      <c r="C1233" s="473">
        <f ca="1">IF(ISERROR(VLOOKUP($A$1233,INDIRECT("notes_"&amp;LEFT($A$1233,3)),4,0)),0,VLOOKUP($A$1233,INDIRECT("notes_"&amp;LEFT($A$1233,3)),4,0))</f>
        <v>0</v>
      </c>
      <c r="D1233" s="472" t="str">
        <f>'RO3'!N57</f>
        <v/>
      </c>
      <c r="E1233" s="472" t="str">
        <f>'RO3'!O57</f>
        <v/>
      </c>
      <c r="F1233" s="472" t="str">
        <f>'RO3'!Q57</f>
        <v/>
      </c>
      <c r="H1233" s="471">
        <f t="shared" si="220"/>
        <v>2</v>
      </c>
      <c r="I1233" s="471">
        <v>2</v>
      </c>
      <c r="J1233" s="471" t="str">
        <f t="shared" si="222"/>
        <v>ascsnsadl</v>
      </c>
      <c r="K1233" s="471" t="str">
        <f t="shared" si="223"/>
        <v>net-cur-exp</v>
      </c>
      <c r="L1233" s="599"/>
      <c r="M1233" s="471" t="s">
        <v>5151</v>
      </c>
      <c r="N1233" s="471" t="s">
        <v>5152</v>
      </c>
      <c r="O1233" s="471" t="s">
        <v>5153</v>
      </c>
    </row>
    <row r="1234" spans="1:15" x14ac:dyDescent="0.25">
      <c r="A1234" s="471" t="s">
        <v>2064</v>
      </c>
      <c r="B1234" s="1139">
        <f t="shared" ca="1" si="221"/>
        <v>0</v>
      </c>
      <c r="C1234" s="473">
        <f ca="1">IF(ISERROR(VLOOKUP($A$1234,INDIRECT("notes_"&amp;LEFT($A$1234,3)),4,0)),0,VLOOKUP($A$1234,INDIRECT("notes_"&amp;LEFT($A$1234,3)),4,0))</f>
        <v>0</v>
      </c>
      <c r="D1234" s="472" t="str">
        <f>'RO3'!N58</f>
        <v/>
      </c>
      <c r="E1234" s="472" t="str">
        <f>'RO3'!O58</f>
        <v/>
      </c>
      <c r="F1234" s="472" t="str">
        <f>'RO3'!Q58</f>
        <v/>
      </c>
      <c r="H1234" s="471">
        <f t="shared" si="220"/>
        <v>2</v>
      </c>
      <c r="I1234" s="471">
        <v>2</v>
      </c>
      <c r="J1234" s="471" t="str">
        <f t="shared" si="222"/>
        <v>ascsnsold</v>
      </c>
      <c r="K1234" s="471" t="str">
        <f t="shared" si="223"/>
        <v>net-cur-exp</v>
      </c>
      <c r="L1234" s="599"/>
      <c r="M1234" s="471" t="s">
        <v>5151</v>
      </c>
      <c r="N1234" s="471" t="s">
        <v>5152</v>
      </c>
      <c r="O1234" s="471" t="s">
        <v>5153</v>
      </c>
    </row>
    <row r="1235" spans="1:15" x14ac:dyDescent="0.25">
      <c r="A1235" s="471" t="s">
        <v>2065</v>
      </c>
      <c r="B1235" s="1139">
        <f t="shared" ca="1" si="221"/>
        <v>0</v>
      </c>
      <c r="C1235" s="473">
        <f ca="1">IF(ISERROR(VLOOKUP($A$1235,INDIRECT("notes_"&amp;LEFT($A$1235,3)),4,0)),0,VLOOKUP($A$1235,INDIRECT("notes_"&amp;LEFT($A$1235,3)),4,0))</f>
        <v>0</v>
      </c>
      <c r="D1235" s="472" t="str">
        <f>'RO3'!N59</f>
        <v/>
      </c>
      <c r="E1235" s="472" t="str">
        <f>'RO3'!O59</f>
        <v/>
      </c>
      <c r="F1235" s="472" t="str">
        <f>'RO3'!Q59</f>
        <v/>
      </c>
      <c r="H1235" s="471">
        <f t="shared" si="220"/>
        <v>2</v>
      </c>
      <c r="I1235" s="471">
        <v>2</v>
      </c>
      <c r="J1235" s="471" t="str">
        <f t="shared" si="222"/>
        <v>ascmmradl</v>
      </c>
      <c r="K1235" s="471" t="str">
        <f t="shared" si="223"/>
        <v>net-cur-exp</v>
      </c>
      <c r="L1235" s="599"/>
      <c r="M1235" s="471" t="s">
        <v>5151</v>
      </c>
      <c r="N1235" s="471" t="s">
        <v>5152</v>
      </c>
      <c r="O1235" s="471" t="s">
        <v>5153</v>
      </c>
    </row>
    <row r="1236" spans="1:15" x14ac:dyDescent="0.25">
      <c r="A1236" s="471" t="s">
        <v>2066</v>
      </c>
      <c r="B1236" s="1139">
        <f t="shared" ca="1" si="221"/>
        <v>0</v>
      </c>
      <c r="C1236" s="473">
        <f ca="1">IF(ISERROR(VLOOKUP($A$1236,INDIRECT("notes_"&amp;LEFT($A$1236,3)),4,0)),0,VLOOKUP($A$1236,INDIRECT("notes_"&amp;LEFT($A$1236,3)),4,0))</f>
        <v>0</v>
      </c>
      <c r="D1236" s="472" t="str">
        <f>'RO3'!N60</f>
        <v/>
      </c>
      <c r="E1236" s="472" t="str">
        <f>'RO3'!O60</f>
        <v/>
      </c>
      <c r="F1236" s="472" t="str">
        <f>'RO3'!Q60</f>
        <v/>
      </c>
      <c r="H1236" s="471">
        <f t="shared" si="220"/>
        <v>2</v>
      </c>
      <c r="I1236" s="471">
        <v>2</v>
      </c>
      <c r="J1236" s="471" t="str">
        <f t="shared" si="222"/>
        <v>ascmmrold</v>
      </c>
      <c r="K1236" s="471" t="str">
        <f t="shared" si="223"/>
        <v>net-cur-exp</v>
      </c>
      <c r="L1236" s="599"/>
      <c r="M1236" s="471" t="s">
        <v>5151</v>
      </c>
      <c r="N1236" s="471" t="s">
        <v>5152</v>
      </c>
      <c r="O1236" s="471" t="s">
        <v>5153</v>
      </c>
    </row>
    <row r="1237" spans="1:15" x14ac:dyDescent="0.25">
      <c r="A1237" s="471" t="s">
        <v>2067</v>
      </c>
      <c r="B1237" s="1139">
        <f t="shared" ca="1" si="221"/>
        <v>0</v>
      </c>
      <c r="C1237" s="473">
        <f ca="1">IF(ISERROR(VLOOKUP($A$1237,INDIRECT("notes_"&amp;LEFT($A$1237,3)),4,0)),0,VLOOKUP($A$1237,INDIRECT("notes_"&amp;LEFT($A$1237,3)),4,0))</f>
        <v>0</v>
      </c>
      <c r="D1237" s="472" t="str">
        <f>'RO3'!N61</f>
        <v/>
      </c>
      <c r="E1237" s="472" t="str">
        <f>'RO3'!O61</f>
        <v/>
      </c>
      <c r="F1237" s="472" t="str">
        <f>'RO3'!Q61</f>
        <v/>
      </c>
      <c r="H1237" s="471">
        <f t="shared" si="220"/>
        <v>2</v>
      </c>
      <c r="I1237" s="471">
        <v>2</v>
      </c>
      <c r="J1237" s="471" t="str">
        <f t="shared" si="222"/>
        <v>asclrnadl</v>
      </c>
      <c r="K1237" s="471" t="str">
        <f t="shared" si="223"/>
        <v>net-cur-exp</v>
      </c>
      <c r="L1237" s="599"/>
      <c r="M1237" s="471" t="s">
        <v>5151</v>
      </c>
      <c r="N1237" s="471" t="s">
        <v>5152</v>
      </c>
      <c r="O1237" s="471" t="s">
        <v>5153</v>
      </c>
    </row>
    <row r="1238" spans="1:15" x14ac:dyDescent="0.25">
      <c r="A1238" s="471" t="s">
        <v>2068</v>
      </c>
      <c r="B1238" s="1139">
        <f t="shared" ca="1" si="221"/>
        <v>0</v>
      </c>
      <c r="C1238" s="473">
        <f ca="1">IF(ISERROR(VLOOKUP($A$1238,INDIRECT("notes_"&amp;LEFT($A$1238,3)),4,0)),0,VLOOKUP($A$1238,INDIRECT("notes_"&amp;LEFT($A$1238,3)),4,0))</f>
        <v>0</v>
      </c>
      <c r="D1238" s="472" t="str">
        <f>'RO3'!N62</f>
        <v/>
      </c>
      <c r="E1238" s="472" t="str">
        <f>'RO3'!O62</f>
        <v/>
      </c>
      <c r="F1238" s="472" t="str">
        <f>'RO3'!Q62</f>
        <v/>
      </c>
      <c r="H1238" s="471">
        <f t="shared" si="220"/>
        <v>2</v>
      </c>
      <c r="I1238" s="471">
        <v>2</v>
      </c>
      <c r="J1238" s="471" t="str">
        <f t="shared" si="222"/>
        <v>asclrnold</v>
      </c>
      <c r="K1238" s="471" t="str">
        <f t="shared" si="223"/>
        <v>net-cur-exp</v>
      </c>
      <c r="L1238" s="599"/>
      <c r="M1238" s="471" t="s">
        <v>5151</v>
      </c>
      <c r="N1238" s="471" t="s">
        <v>5152</v>
      </c>
      <c r="O1238" s="471" t="s">
        <v>5153</v>
      </c>
    </row>
    <row r="1239" spans="1:15" x14ac:dyDescent="0.25">
      <c r="A1239" s="471" t="s">
        <v>2069</v>
      </c>
      <c r="B1239" s="1139">
        <f t="shared" ca="1" si="221"/>
        <v>0</v>
      </c>
      <c r="C1239" s="473">
        <f ca="1">IF(ISERROR(VLOOKUP($A$1239,INDIRECT("notes_"&amp;LEFT($A$1239,3)),4,0)),0,VLOOKUP($A$1239,INDIRECT("notes_"&amp;LEFT($A$1239,3)),4,0))</f>
        <v>0</v>
      </c>
      <c r="D1239" s="472" t="str">
        <f>'RO3'!N63</f>
        <v/>
      </c>
      <c r="E1239" s="472" t="str">
        <f>'RO3'!O63</f>
        <v/>
      </c>
      <c r="F1239" s="472" t="str">
        <f>'RO3'!Q63</f>
        <v/>
      </c>
      <c r="H1239" s="471">
        <f t="shared" si="220"/>
        <v>2</v>
      </c>
      <c r="I1239" s="471">
        <v>2</v>
      </c>
      <c r="J1239" s="471" t="str">
        <f t="shared" si="222"/>
        <v>ascmntadl</v>
      </c>
      <c r="K1239" s="471" t="str">
        <f t="shared" si="223"/>
        <v>net-cur-exp</v>
      </c>
      <c r="L1239" s="599"/>
      <c r="M1239" s="471" t="s">
        <v>5151</v>
      </c>
      <c r="N1239" s="471" t="s">
        <v>5152</v>
      </c>
      <c r="O1239" s="471" t="s">
        <v>5153</v>
      </c>
    </row>
    <row r="1240" spans="1:15" x14ac:dyDescent="0.25">
      <c r="A1240" s="471" t="s">
        <v>2070</v>
      </c>
      <c r="B1240" s="1139">
        <f t="shared" ca="1" si="221"/>
        <v>0</v>
      </c>
      <c r="C1240" s="473">
        <f ca="1">IF(ISERROR(VLOOKUP($A$1240,INDIRECT("notes_"&amp;LEFT($A$1240,3)),4,0)),0,VLOOKUP($A$1240,INDIRECT("notes_"&amp;LEFT($A$1240,3)),4,0))</f>
        <v>0</v>
      </c>
      <c r="D1240" s="472" t="str">
        <f>'RO3'!N64</f>
        <v/>
      </c>
      <c r="E1240" s="472" t="str">
        <f>'RO3'!O64</f>
        <v/>
      </c>
      <c r="F1240" s="472" t="str">
        <f>'RO3'!Q64</f>
        <v/>
      </c>
      <c r="H1240" s="471">
        <f t="shared" si="220"/>
        <v>2</v>
      </c>
      <c r="I1240" s="471">
        <v>2</v>
      </c>
      <c r="J1240" s="471" t="str">
        <f t="shared" si="222"/>
        <v>ascmntold</v>
      </c>
      <c r="K1240" s="471" t="str">
        <f t="shared" si="223"/>
        <v>net-cur-exp</v>
      </c>
      <c r="L1240" s="599"/>
      <c r="M1240" s="471" t="s">
        <v>5151</v>
      </c>
      <c r="N1240" s="471" t="s">
        <v>5152</v>
      </c>
      <c r="O1240" s="471" t="s">
        <v>5153</v>
      </c>
    </row>
    <row r="1241" spans="1:15" x14ac:dyDescent="0.25">
      <c r="A1241" s="471" t="s">
        <v>2071</v>
      </c>
      <c r="B1241" s="1139">
        <f t="shared" ca="1" si="221"/>
        <v>0</v>
      </c>
      <c r="C1241" s="473">
        <f ca="1">IF(ISERROR(VLOOKUP($A$1241,INDIRECT("notes_"&amp;LEFT($A$1241,3)),4,0)),0,VLOOKUP($A$1241,INDIRECT("notes_"&amp;LEFT($A$1241,3)),4,0))</f>
        <v>0</v>
      </c>
      <c r="D1241" s="472" t="str">
        <f>'RO3'!N65</f>
        <v/>
      </c>
      <c r="E1241" s="472" t="str">
        <f>'RO3'!O65</f>
        <v/>
      </c>
      <c r="F1241" s="472" t="str">
        <f>'RO3'!Q65</f>
        <v/>
      </c>
      <c r="H1241" s="471">
        <f t="shared" si="220"/>
        <v>2</v>
      </c>
      <c r="I1241" s="471">
        <v>2</v>
      </c>
      <c r="J1241" s="471" t="str">
        <f t="shared" si="222"/>
        <v>ascsclsbs</v>
      </c>
      <c r="K1241" s="471" t="str">
        <f t="shared" si="223"/>
        <v>net-cur-exp</v>
      </c>
      <c r="L1241" s="599"/>
      <c r="M1241" s="471" t="s">
        <v>5151</v>
      </c>
      <c r="N1241" s="471" t="s">
        <v>5152</v>
      </c>
      <c r="O1241" s="471" t="s">
        <v>5153</v>
      </c>
    </row>
    <row r="1242" spans="1:15" x14ac:dyDescent="0.25">
      <c r="A1242" s="471" t="s">
        <v>2072</v>
      </c>
      <c r="B1242" s="1139">
        <f t="shared" ca="1" si="221"/>
        <v>0</v>
      </c>
      <c r="C1242" s="473">
        <f ca="1">IF(ISERROR(VLOOKUP($A$1242,INDIRECT("notes_"&amp;LEFT($A$1242,3)),4,0)),0,VLOOKUP($A$1242,INDIRECT("notes_"&amp;LEFT($A$1242,3)),4,0))</f>
        <v>0</v>
      </c>
      <c r="D1242" s="472" t="str">
        <f>'RO3'!Q66</f>
        <v/>
      </c>
      <c r="E1242" s="472">
        <f>'RO3'!R66</f>
        <v>0</v>
      </c>
      <c r="F1242" s="472">
        <f>'RO3'!T66</f>
        <v>0</v>
      </c>
      <c r="H1242" s="471">
        <f t="shared" si="220"/>
        <v>2</v>
      </c>
      <c r="I1242" s="471">
        <v>2</v>
      </c>
      <c r="J1242" s="471" t="str">
        <f t="shared" si="222"/>
        <v>ascsclasy</v>
      </c>
      <c r="K1242" s="471" t="str">
        <f t="shared" si="223"/>
        <v>net-cur-exp</v>
      </c>
      <c r="L1242" s="599"/>
      <c r="M1242" s="471" t="s">
        <v>5151</v>
      </c>
      <c r="N1242" s="471" t="s">
        <v>5152</v>
      </c>
      <c r="O1242" s="471" t="s">
        <v>5153</v>
      </c>
    </row>
    <row r="1243" spans="1:15" x14ac:dyDescent="0.25">
      <c r="A1243" s="471" t="s">
        <v>2073</v>
      </c>
      <c r="B1243" s="1139">
        <f t="shared" ca="1" si="221"/>
        <v>0</v>
      </c>
      <c r="C1243" s="473">
        <f ca="1">IF(ISERROR(VLOOKUP($A$1243,INDIRECT("notes_"&amp;LEFT($A$1243,3)),4,0)),0,VLOOKUP($A$1243,INDIRECT("notes_"&amp;LEFT($A$1243,3)),4,0))</f>
        <v>0</v>
      </c>
      <c r="D1243" s="472" t="str">
        <f>'RO3'!Q67</f>
        <v/>
      </c>
      <c r="E1243" s="472">
        <f>'RO3'!R67</f>
        <v>0</v>
      </c>
      <c r="F1243" s="472">
        <f>'RO3'!T67</f>
        <v>0</v>
      </c>
      <c r="H1243" s="471">
        <f t="shared" si="220"/>
        <v>2</v>
      </c>
      <c r="I1243" s="471">
        <v>2</v>
      </c>
      <c r="J1243" s="471" t="str">
        <f t="shared" si="222"/>
        <v>ascsclisl</v>
      </c>
      <c r="K1243" s="471" t="str">
        <f t="shared" si="223"/>
        <v>net-cur-exp</v>
      </c>
      <c r="L1243" s="599"/>
      <c r="M1243" s="471" t="s">
        <v>5151</v>
      </c>
      <c r="N1243" s="471" t="s">
        <v>5152</v>
      </c>
      <c r="O1243" s="471" t="s">
        <v>5153</v>
      </c>
    </row>
    <row r="1244" spans="1:15" x14ac:dyDescent="0.25">
      <c r="A1244" s="471" t="s">
        <v>2074</v>
      </c>
      <c r="B1244" s="1139">
        <f t="shared" ca="1" si="221"/>
        <v>0</v>
      </c>
      <c r="C1244" s="473">
        <f ca="1">IF(ISERROR(VLOOKUP($A$1244,INDIRECT("notes_"&amp;LEFT($A$1244,3)),4,0)),0,VLOOKUP($A$1244,INDIRECT("notes_"&amp;LEFT($A$1244,3)),4,0))</f>
        <v>0</v>
      </c>
      <c r="D1244" s="472"/>
      <c r="E1244" s="472" t="str">
        <f>'RO3'!R68</f>
        <v/>
      </c>
      <c r="F1244" s="472" t="str">
        <f>'RO3'!T68</f>
        <v/>
      </c>
      <c r="H1244" s="471">
        <f t="shared" si="220"/>
        <v>2</v>
      </c>
      <c r="I1244" s="471">
        <v>2</v>
      </c>
      <c r="J1244" s="471" t="str">
        <f t="shared" si="222"/>
        <v>ascsclcrr</v>
      </c>
      <c r="K1244" s="471" t="str">
        <f t="shared" si="223"/>
        <v>net-cur-exp</v>
      </c>
      <c r="L1244" s="599"/>
      <c r="M1244" s="471" t="s">
        <v>5151</v>
      </c>
      <c r="N1244" s="471" t="s">
        <v>5152</v>
      </c>
      <c r="O1244" s="471" t="s">
        <v>5153</v>
      </c>
    </row>
    <row r="1245" spans="1:15" x14ac:dyDescent="0.25">
      <c r="A1245" s="1120" t="s">
        <v>5625</v>
      </c>
      <c r="B1245" s="1139">
        <f t="shared" ca="1" si="221"/>
        <v>0</v>
      </c>
      <c r="C1245" s="473"/>
      <c r="D1245" s="472">
        <f>'RO3'!Q69</f>
        <v>0</v>
      </c>
      <c r="E1245" s="472"/>
      <c r="F1245" s="472"/>
      <c r="H1245" s="471">
        <f t="shared" si="220"/>
        <v>2</v>
      </c>
      <c r="I1245" s="471">
        <v>2</v>
      </c>
      <c r="J1245" s="471" t="str">
        <f t="shared" si="222"/>
        <v>ascsclcrradl</v>
      </c>
      <c r="K1245" s="471" t="str">
        <f t="shared" si="223"/>
        <v>net-cur-exp</v>
      </c>
      <c r="L1245" s="599"/>
      <c r="M1245" s="471" t="s">
        <v>5151</v>
      </c>
      <c r="N1245" s="471" t="s">
        <v>5152</v>
      </c>
      <c r="O1245" s="471" t="s">
        <v>5153</v>
      </c>
    </row>
    <row r="1246" spans="1:15" x14ac:dyDescent="0.25">
      <c r="A1246" s="1120" t="s">
        <v>5626</v>
      </c>
      <c r="B1246" s="1139">
        <f t="shared" ca="1" si="221"/>
        <v>0</v>
      </c>
      <c r="C1246" s="473"/>
      <c r="D1246" s="472">
        <f>'RO3'!Q70</f>
        <v>0</v>
      </c>
      <c r="E1246" s="472"/>
      <c r="F1246" s="472"/>
      <c r="H1246" s="471">
        <f t="shared" si="220"/>
        <v>2</v>
      </c>
      <c r="I1246" s="471">
        <v>2</v>
      </c>
      <c r="J1246" s="471" t="str">
        <f t="shared" si="222"/>
        <v>ascsclcrrold</v>
      </c>
      <c r="K1246" s="471" t="str">
        <f t="shared" si="223"/>
        <v>net-cur-exp</v>
      </c>
      <c r="L1246" s="599"/>
      <c r="M1246" s="471" t="s">
        <v>5151</v>
      </c>
      <c r="N1246" s="471" t="s">
        <v>5152</v>
      </c>
      <c r="O1246" s="471" t="s">
        <v>5153</v>
      </c>
    </row>
    <row r="1247" spans="1:15" x14ac:dyDescent="0.25">
      <c r="A1247" s="471" t="s">
        <v>2075</v>
      </c>
      <c r="B1247" s="1139">
        <f t="shared" ca="1" si="221"/>
        <v>0</v>
      </c>
      <c r="C1247" s="473">
        <f ca="1">IF(ISERROR(VLOOKUP($A$1247,INDIRECT("notes_"&amp;LEFT($A$1247,3)),4,0)),0,VLOOKUP($A$1247,INDIRECT("notes_"&amp;LEFT($A$1247,3)),4,0))</f>
        <v>0</v>
      </c>
      <c r="D1247" s="472"/>
      <c r="E1247" s="472" t="str">
        <f>'RO3'!R71</f>
        <v/>
      </c>
      <c r="F1247" s="472" t="str">
        <f>'RO3'!T71</f>
        <v/>
      </c>
      <c r="H1247" s="471">
        <f t="shared" si="220"/>
        <v>2</v>
      </c>
      <c r="I1247" s="471">
        <v>2</v>
      </c>
      <c r="J1247" s="471" t="str">
        <f t="shared" si="222"/>
        <v>ascass</v>
      </c>
      <c r="K1247" s="471" t="str">
        <f t="shared" si="223"/>
        <v>net-cur-exp</v>
      </c>
      <c r="L1247" s="599"/>
      <c r="M1247" s="471" t="s">
        <v>5151</v>
      </c>
      <c r="N1247" s="471" t="s">
        <v>5152</v>
      </c>
      <c r="O1247" s="471" t="s">
        <v>5153</v>
      </c>
    </row>
    <row r="1248" spans="1:15" x14ac:dyDescent="0.25">
      <c r="A1248" s="471" t="s">
        <v>5627</v>
      </c>
      <c r="B1248" s="1139">
        <f t="shared" ca="1" si="221"/>
        <v>0</v>
      </c>
      <c r="C1248" s="473"/>
      <c r="D1248" s="472">
        <f>'RO3'!Q72</f>
        <v>0</v>
      </c>
      <c r="E1248" s="472"/>
      <c r="F1248" s="472"/>
      <c r="H1248" s="471">
        <f t="shared" si="220"/>
        <v>2</v>
      </c>
      <c r="I1248" s="471">
        <v>2</v>
      </c>
      <c r="J1248" s="471" t="str">
        <f t="shared" si="222"/>
        <v>ascassadl</v>
      </c>
      <c r="K1248" s="471" t="str">
        <f t="shared" si="223"/>
        <v>net-cur-exp</v>
      </c>
      <c r="L1248" s="599"/>
      <c r="M1248" s="471" t="s">
        <v>5151</v>
      </c>
      <c r="N1248" s="471" t="s">
        <v>5152</v>
      </c>
      <c r="O1248" s="471" t="s">
        <v>5153</v>
      </c>
    </row>
    <row r="1249" spans="1:15" x14ac:dyDescent="0.25">
      <c r="A1249" s="471" t="s">
        <v>5628</v>
      </c>
      <c r="B1249" s="1139">
        <f t="shared" ca="1" si="221"/>
        <v>0</v>
      </c>
      <c r="C1249" s="473"/>
      <c r="D1249" s="472">
        <f>'RO3'!Q73</f>
        <v>0</v>
      </c>
      <c r="E1249" s="472"/>
      <c r="F1249" s="472"/>
      <c r="H1249" s="471">
        <f t="shared" si="220"/>
        <v>2</v>
      </c>
      <c r="I1249" s="471">
        <v>2</v>
      </c>
      <c r="J1249" s="471" t="str">
        <f t="shared" si="222"/>
        <v>ascassold</v>
      </c>
      <c r="K1249" s="471" t="str">
        <f t="shared" si="223"/>
        <v>net-cur-exp</v>
      </c>
      <c r="L1249" s="599"/>
      <c r="M1249" s="471" t="s">
        <v>5151</v>
      </c>
      <c r="N1249" s="471" t="s">
        <v>5152</v>
      </c>
      <c r="O1249" s="471" t="s">
        <v>5153</v>
      </c>
    </row>
    <row r="1250" spans="1:15" x14ac:dyDescent="0.25">
      <c r="A1250" s="471" t="s">
        <v>2076</v>
      </c>
      <c r="B1250" s="1139">
        <f t="shared" ca="1" si="221"/>
        <v>0</v>
      </c>
      <c r="C1250" s="473">
        <f ca="1">IF(ISERROR(VLOOKUP($A$1250,INDIRECT("notes_"&amp;LEFT($A$1250,3)),4,0)),0,VLOOKUP($A$1250,INDIRECT("notes_"&amp;LEFT($A$1250,3)),4,0))</f>
        <v>0</v>
      </c>
      <c r="D1250" s="472"/>
      <c r="E1250" s="472" t="str">
        <f>'RO3'!R74</f>
        <v/>
      </c>
      <c r="F1250" s="472" t="str">
        <f>'RO3'!T74</f>
        <v/>
      </c>
      <c r="H1250" s="471">
        <f t="shared" si="220"/>
        <v>2</v>
      </c>
      <c r="I1250" s="471">
        <v>2</v>
      </c>
      <c r="J1250" s="471" t="str">
        <f t="shared" si="222"/>
        <v>asccrasssfg</v>
      </c>
      <c r="K1250" s="471" t="str">
        <f t="shared" si="223"/>
        <v>net-cur-exp</v>
      </c>
      <c r="L1250" s="599"/>
      <c r="M1250" s="471" t="s">
        <v>5151</v>
      </c>
      <c r="N1250" s="471" t="s">
        <v>5152</v>
      </c>
      <c r="O1250" s="471" t="s">
        <v>5153</v>
      </c>
    </row>
    <row r="1251" spans="1:15" x14ac:dyDescent="0.25">
      <c r="A1251" s="471" t="s">
        <v>5629</v>
      </c>
      <c r="B1251" s="1139">
        <f t="shared" ca="1" si="221"/>
        <v>0</v>
      </c>
      <c r="C1251" s="473"/>
      <c r="D1251" s="472">
        <f>'RO3'!Q75</f>
        <v>0</v>
      </c>
      <c r="E1251" s="472"/>
      <c r="F1251" s="472"/>
      <c r="H1251" s="471">
        <f t="shared" si="220"/>
        <v>2</v>
      </c>
      <c r="I1251" s="471">
        <v>2</v>
      </c>
      <c r="J1251" s="471" t="str">
        <f t="shared" si="222"/>
        <v>asccrasssfgadl</v>
      </c>
      <c r="K1251" s="471" t="str">
        <f t="shared" si="223"/>
        <v>net-cur-exp</v>
      </c>
      <c r="L1251" s="599"/>
      <c r="M1251" s="471" t="s">
        <v>5151</v>
      </c>
      <c r="N1251" s="471" t="s">
        <v>5152</v>
      </c>
      <c r="O1251" s="471" t="s">
        <v>5153</v>
      </c>
    </row>
    <row r="1252" spans="1:15" x14ac:dyDescent="0.25">
      <c r="A1252" s="471" t="s">
        <v>5630</v>
      </c>
      <c r="B1252" s="1139">
        <f t="shared" ca="1" si="221"/>
        <v>0</v>
      </c>
      <c r="C1252" s="473"/>
      <c r="D1252" s="472">
        <f>'RO3'!Q76</f>
        <v>0</v>
      </c>
      <c r="E1252" s="472"/>
      <c r="F1252" s="472"/>
      <c r="H1252" s="471">
        <f t="shared" si="220"/>
        <v>2</v>
      </c>
      <c r="I1252" s="471">
        <v>2</v>
      </c>
      <c r="J1252" s="471" t="str">
        <f t="shared" si="222"/>
        <v>asccrasssfgold</v>
      </c>
      <c r="K1252" s="471" t="str">
        <f t="shared" si="223"/>
        <v>net-cur-exp</v>
      </c>
      <c r="L1252" s="599"/>
      <c r="M1252" s="471" t="s">
        <v>5151</v>
      </c>
      <c r="N1252" s="471" t="s">
        <v>5152</v>
      </c>
      <c r="O1252" s="471" t="s">
        <v>5153</v>
      </c>
    </row>
    <row r="1253" spans="1:15" x14ac:dyDescent="0.25">
      <c r="A1253" s="471" t="s">
        <v>2077</v>
      </c>
      <c r="B1253" s="1139">
        <f t="shared" ca="1" si="221"/>
        <v>0</v>
      </c>
      <c r="C1253" s="473">
        <f ca="1">IF(ISERROR(VLOOKUP($A$1253,INDIRECT("notes_"&amp;LEFT($A$1253,3)),4,0)),0,VLOOKUP($A$1253,INDIRECT("notes_"&amp;LEFT($A$1253,3)),4,0))</f>
        <v>0</v>
      </c>
      <c r="D1253" s="472"/>
      <c r="E1253" s="472" t="str">
        <f>'RO3'!S77</f>
        <v/>
      </c>
      <c r="F1253" s="472">
        <f>'RO3'!U77</f>
        <v>0</v>
      </c>
      <c r="H1253" s="471">
        <f t="shared" si="220"/>
        <v>2</v>
      </c>
      <c r="I1253" s="471">
        <v>2</v>
      </c>
      <c r="J1253" s="471" t="str">
        <f t="shared" si="222"/>
        <v>ascinf</v>
      </c>
      <c r="K1253" s="471" t="str">
        <f t="shared" si="223"/>
        <v>net-cur-exp</v>
      </c>
      <c r="L1253" s="599"/>
      <c r="M1253" s="471" t="s">
        <v>5151</v>
      </c>
      <c r="N1253" s="471" t="s">
        <v>5152</v>
      </c>
      <c r="O1253" s="471" t="s">
        <v>5153</v>
      </c>
    </row>
    <row r="1254" spans="1:15" x14ac:dyDescent="0.25">
      <c r="A1254" s="471" t="s">
        <v>5631</v>
      </c>
      <c r="B1254" s="1139">
        <f t="shared" ca="1" si="221"/>
        <v>0</v>
      </c>
      <c r="C1254" s="473"/>
      <c r="D1254" s="472">
        <f>'RO3'!Q78</f>
        <v>0</v>
      </c>
      <c r="E1254" s="472"/>
      <c r="F1254" s="472"/>
      <c r="H1254" s="471">
        <f t="shared" si="220"/>
        <v>2</v>
      </c>
      <c r="I1254" s="471">
        <v>2</v>
      </c>
      <c r="J1254" s="471" t="str">
        <f t="shared" si="222"/>
        <v>ascinfadl</v>
      </c>
      <c r="K1254" s="471" t="str">
        <f t="shared" si="223"/>
        <v>net-cur-exp</v>
      </c>
      <c r="L1254" s="599"/>
      <c r="M1254" s="471" t="s">
        <v>5151</v>
      </c>
      <c r="N1254" s="471" t="s">
        <v>5152</v>
      </c>
      <c r="O1254" s="471" t="s">
        <v>5153</v>
      </c>
    </row>
    <row r="1255" spans="1:15" x14ac:dyDescent="0.25">
      <c r="A1255" s="471" t="s">
        <v>5632</v>
      </c>
      <c r="B1255" s="1139">
        <f t="shared" ca="1" si="221"/>
        <v>0</v>
      </c>
      <c r="C1255" s="473"/>
      <c r="D1255" s="472">
        <f>'RO3'!Q79</f>
        <v>0</v>
      </c>
      <c r="E1255" s="472"/>
      <c r="F1255" s="472"/>
      <c r="H1255" s="471">
        <f t="shared" si="220"/>
        <v>2</v>
      </c>
      <c r="I1255" s="471">
        <v>2</v>
      </c>
      <c r="J1255" s="471" t="str">
        <f t="shared" si="222"/>
        <v>ascinfold</v>
      </c>
      <c r="K1255" s="471" t="str">
        <f t="shared" si="223"/>
        <v>net-cur-exp</v>
      </c>
      <c r="L1255" s="599"/>
      <c r="M1255" s="471" t="s">
        <v>5151</v>
      </c>
      <c r="N1255" s="471" t="s">
        <v>5152</v>
      </c>
      <c r="O1255" s="471" t="s">
        <v>5153</v>
      </c>
    </row>
    <row r="1256" spans="1:15" x14ac:dyDescent="0.25">
      <c r="A1256" s="471" t="s">
        <v>2078</v>
      </c>
      <c r="B1256" s="1139">
        <f t="shared" ca="1" si="221"/>
        <v>0</v>
      </c>
      <c r="C1256" s="473">
        <f ca="1">IF(ISERROR(VLOOKUP($A$1256,INDIRECT("notes_"&amp;LEFT($A$1256,3)),4,0)),0,VLOOKUP($A$1256,INDIRECT("notes_"&amp;LEFT($A$1256,3)),4,0))</f>
        <v>0</v>
      </c>
      <c r="D1256" s="472"/>
      <c r="E1256" s="472" t="str">
        <f>'RO3'!S80</f>
        <v/>
      </c>
      <c r="F1256" s="472">
        <f>'RO3'!U80</f>
        <v>0</v>
      </c>
      <c r="H1256" s="471">
        <f t="shared" si="220"/>
        <v>2</v>
      </c>
      <c r="I1256" s="471">
        <v>2</v>
      </c>
      <c r="J1256" s="471" t="str">
        <f t="shared" si="222"/>
        <v>asccmstad</v>
      </c>
      <c r="K1256" s="471" t="str">
        <f t="shared" si="223"/>
        <v>net-cur-exp</v>
      </c>
      <c r="L1256" s="599"/>
      <c r="M1256" s="471" t="s">
        <v>5151</v>
      </c>
      <c r="N1256" s="471" t="s">
        <v>5152</v>
      </c>
      <c r="O1256" s="471" t="s">
        <v>5153</v>
      </c>
    </row>
    <row r="1257" spans="1:15" x14ac:dyDescent="0.25">
      <c r="A1257" s="471" t="s">
        <v>5633</v>
      </c>
      <c r="B1257" s="1139">
        <f t="shared" ca="1" si="221"/>
        <v>0</v>
      </c>
      <c r="C1257" s="473"/>
      <c r="D1257" s="472">
        <f>'RO3'!Q81</f>
        <v>0</v>
      </c>
      <c r="E1257" s="472"/>
      <c r="F1257" s="472"/>
      <c r="H1257" s="471">
        <f t="shared" si="220"/>
        <v>2</v>
      </c>
      <c r="I1257" s="471">
        <v>2</v>
      </c>
      <c r="J1257" s="471" t="str">
        <f t="shared" si="222"/>
        <v>asccmstadadl</v>
      </c>
      <c r="K1257" s="471" t="str">
        <f t="shared" si="223"/>
        <v>net-cur-exp</v>
      </c>
      <c r="L1257" s="599"/>
      <c r="M1257" s="471" t="s">
        <v>5151</v>
      </c>
      <c r="N1257" s="471" t="s">
        <v>5152</v>
      </c>
      <c r="O1257" s="471" t="s">
        <v>5153</v>
      </c>
    </row>
    <row r="1258" spans="1:15" x14ac:dyDescent="0.25">
      <c r="A1258" s="471" t="s">
        <v>5634</v>
      </c>
      <c r="B1258" s="1139">
        <f t="shared" ca="1" si="221"/>
        <v>0</v>
      </c>
      <c r="C1258" s="473"/>
      <c r="D1258" s="472">
        <f>'RO3'!Q82</f>
        <v>0</v>
      </c>
      <c r="E1258" s="472"/>
      <c r="F1258" s="472"/>
      <c r="H1258" s="471">
        <f t="shared" si="220"/>
        <v>2</v>
      </c>
      <c r="I1258" s="471">
        <v>2</v>
      </c>
      <c r="J1258" s="471" t="str">
        <f t="shared" si="222"/>
        <v>asccmstadold</v>
      </c>
      <c r="K1258" s="471" t="str">
        <f t="shared" si="223"/>
        <v>net-cur-exp</v>
      </c>
      <c r="L1258" s="599"/>
      <c r="M1258" s="471" t="s">
        <v>5151</v>
      </c>
      <c r="N1258" s="471" t="s">
        <v>5152</v>
      </c>
      <c r="O1258" s="471" t="s">
        <v>5153</v>
      </c>
    </row>
    <row r="1259" spans="1:15" x14ac:dyDescent="0.25">
      <c r="A1259" s="471" t="s">
        <v>2079</v>
      </c>
      <c r="B1259" s="1139">
        <f t="shared" ca="1" si="221"/>
        <v>0</v>
      </c>
      <c r="C1259" s="473">
        <f ca="1">IF(ISERROR(VLOOKUP($A$1259,INDIRECT("notes_"&amp;LEFT($A$1259,3)),4,0)),0,VLOOKUP($A$1259,INDIRECT("notes_"&amp;LEFT($A$1259,3)),4,0))</f>
        <v>0</v>
      </c>
      <c r="D1259" s="472" t="str">
        <f>'RO3'!N85</f>
        <v/>
      </c>
      <c r="E1259" s="472" t="str">
        <f>'RO3'!O85</f>
        <v/>
      </c>
      <c r="F1259" s="472" t="str">
        <f>'RO3'!Q85</f>
        <v/>
      </c>
      <c r="H1259" s="471">
        <f t="shared" si="220"/>
        <v>2</v>
      </c>
      <c r="I1259" s="471">
        <v>2</v>
      </c>
      <c r="J1259" s="471" t="str">
        <f t="shared" si="222"/>
        <v>asctot</v>
      </c>
      <c r="K1259" s="471" t="str">
        <f t="shared" si="223"/>
        <v>net-cur-exp</v>
      </c>
      <c r="L1259" s="599"/>
      <c r="M1259" s="471" t="s">
        <v>5151</v>
      </c>
      <c r="N1259" s="471" t="s">
        <v>5152</v>
      </c>
      <c r="O1259" s="471" t="s">
        <v>5153</v>
      </c>
    </row>
    <row r="1260" spans="1:15" x14ac:dyDescent="0.25">
      <c r="A1260" s="471" t="s">
        <v>2084</v>
      </c>
      <c r="B1260" s="1139">
        <f t="shared" ca="1" si="221"/>
        <v>0</v>
      </c>
      <c r="C1260" s="473">
        <f ca="1">IF(ISERROR(VLOOKUP($A$1260,INDIRECT("notes_"&amp;LEFT($A$1260,3)),4,0)),0,VLOOKUP($A$1260,INDIRECT("notes_"&amp;LEFT($A$1260,3)),4,0))</f>
        <v>0</v>
      </c>
      <c r="D1260" s="472" t="str">
        <f>'RO3'!N98</f>
        <v/>
      </c>
      <c r="E1260" s="472" t="e">
        <f>'RO3'!O98</f>
        <v>#N/A</v>
      </c>
      <c r="F1260" s="472" t="e">
        <f>'RO3'!Q98</f>
        <v>#N/A</v>
      </c>
      <c r="H1260" s="471">
        <f t="shared" si="220"/>
        <v>2</v>
      </c>
      <c r="I1260" s="471">
        <v>2</v>
      </c>
      <c r="J1260" s="471" t="str">
        <f t="shared" si="222"/>
        <v>phsxlsti</v>
      </c>
      <c r="K1260" s="471" t="str">
        <f t="shared" si="223"/>
        <v>net-cur-exp</v>
      </c>
      <c r="L1260" s="599"/>
      <c r="M1260" s="471" t="s">
        <v>5151</v>
      </c>
      <c r="N1260" s="471" t="s">
        <v>5152</v>
      </c>
      <c r="O1260" s="471" t="s">
        <v>5153</v>
      </c>
    </row>
    <row r="1261" spans="1:15" x14ac:dyDescent="0.25">
      <c r="A1261" s="471" t="s">
        <v>2085</v>
      </c>
      <c r="B1261" s="1139">
        <f t="shared" ca="1" si="221"/>
        <v>0</v>
      </c>
      <c r="C1261" s="473">
        <f ca="1">IF(ISERROR(VLOOKUP($A$1261,INDIRECT("notes_"&amp;LEFT($A$1261,3)),4,0)),0,VLOOKUP($A$1261,INDIRECT("notes_"&amp;LEFT($A$1261,3)),4,0))</f>
        <v>0</v>
      </c>
      <c r="D1261" s="472" t="str">
        <f>'RO3'!N99</f>
        <v/>
      </c>
      <c r="E1261" s="472" t="e">
        <f>'RO3'!O99</f>
        <v>#N/A</v>
      </c>
      <c r="F1261" s="472" t="e">
        <f>'RO3'!Q99</f>
        <v>#N/A</v>
      </c>
      <c r="H1261" s="471">
        <f t="shared" si="220"/>
        <v>2</v>
      </c>
      <c r="I1261" s="471">
        <v>2</v>
      </c>
      <c r="J1261" s="471" t="str">
        <f t="shared" si="222"/>
        <v>phsxlcnt</v>
      </c>
      <c r="K1261" s="471" t="str">
        <f t="shared" si="223"/>
        <v>net-cur-exp</v>
      </c>
      <c r="L1261" s="599"/>
      <c r="M1261" s="471" t="s">
        <v>5151</v>
      </c>
      <c r="N1261" s="471" t="s">
        <v>5152</v>
      </c>
      <c r="O1261" s="471" t="s">
        <v>5153</v>
      </c>
    </row>
    <row r="1262" spans="1:15" x14ac:dyDescent="0.25">
      <c r="A1262" s="471" t="s">
        <v>2086</v>
      </c>
      <c r="B1262" s="1139">
        <f t="shared" ca="1" si="221"/>
        <v>0</v>
      </c>
      <c r="C1262" s="473">
        <f ca="1">IF(ISERROR(VLOOKUP($A$1262,INDIRECT("notes_"&amp;LEFT($A$1262,3)),4,0)),0,VLOOKUP($A$1262,INDIRECT("notes_"&amp;LEFT($A$1262,3)),4,0))</f>
        <v>0</v>
      </c>
      <c r="D1262" s="472" t="str">
        <f>'RO3'!N100</f>
        <v/>
      </c>
      <c r="E1262" s="472" t="str">
        <f>'RO3'!O100</f>
        <v/>
      </c>
      <c r="F1262" s="472" t="str">
        <f>'RO3'!Q100</f>
        <v/>
      </c>
      <c r="H1262" s="471">
        <f t="shared" si="220"/>
        <v>2</v>
      </c>
      <c r="I1262" s="471">
        <v>2</v>
      </c>
      <c r="J1262" s="471" t="str">
        <f t="shared" si="222"/>
        <v>phsxlprm</v>
      </c>
      <c r="K1262" s="471" t="str">
        <f t="shared" si="223"/>
        <v>net-cur-exp</v>
      </c>
      <c r="L1262" s="599"/>
      <c r="M1262" s="471" t="s">
        <v>5151</v>
      </c>
      <c r="N1262" s="471" t="s">
        <v>5152</v>
      </c>
      <c r="O1262" s="471" t="s">
        <v>5153</v>
      </c>
    </row>
    <row r="1263" spans="1:15" x14ac:dyDescent="0.25">
      <c r="A1263" s="471" t="s">
        <v>2087</v>
      </c>
      <c r="B1263" s="1139">
        <f t="shared" ca="1" si="221"/>
        <v>0</v>
      </c>
      <c r="C1263" s="473">
        <f ca="1">IF(ISERROR(VLOOKUP($A$1263,INDIRECT("notes_"&amp;LEFT($A$1263,3)),4,0)),0,VLOOKUP($A$1263,INDIRECT("notes_"&amp;LEFT($A$1263,3)),4,0))</f>
        <v>0</v>
      </c>
      <c r="D1263" s="472" t="str">
        <f>'RO3'!N101</f>
        <v/>
      </c>
      <c r="E1263" s="472" t="e">
        <f>'RO3'!O101</f>
        <v>#N/A</v>
      </c>
      <c r="F1263" s="472" t="e">
        <f>'RO3'!Q101</f>
        <v>#N/A</v>
      </c>
      <c r="H1263" s="471">
        <f t="shared" si="220"/>
        <v>2</v>
      </c>
      <c r="I1263" s="471">
        <v>2</v>
      </c>
      <c r="J1263" s="471" t="str">
        <f t="shared" si="222"/>
        <v>phhcp</v>
      </c>
      <c r="K1263" s="471" t="str">
        <f t="shared" si="223"/>
        <v>net-cur-exp</v>
      </c>
      <c r="L1263" s="599"/>
      <c r="M1263" s="471" t="s">
        <v>5151</v>
      </c>
      <c r="N1263" s="471" t="s">
        <v>5152</v>
      </c>
      <c r="O1263" s="471" t="s">
        <v>5153</v>
      </c>
    </row>
    <row r="1264" spans="1:15" x14ac:dyDescent="0.25">
      <c r="A1264" s="471" t="s">
        <v>2088</v>
      </c>
      <c r="B1264" s="1139">
        <f t="shared" ca="1" si="221"/>
        <v>0</v>
      </c>
      <c r="C1264" s="473">
        <f ca="1">IF(ISERROR(VLOOKUP($A$1264,INDIRECT("notes_"&amp;LEFT($A$1264,3)),4,0)),0,VLOOKUP($A$1264,INDIRECT("notes_"&amp;LEFT($A$1264,3)),4,0))</f>
        <v>0</v>
      </c>
      <c r="D1264" s="472" t="str">
        <f>'RO3'!N102</f>
        <v/>
      </c>
      <c r="E1264" s="472" t="e">
        <f>'RO3'!O102</f>
        <v>#N/A</v>
      </c>
      <c r="F1264" s="472" t="e">
        <f>'RO3'!Q102</f>
        <v>#N/A</v>
      </c>
      <c r="H1264" s="471">
        <f t="shared" si="220"/>
        <v>2</v>
      </c>
      <c r="I1264" s="471">
        <v>2</v>
      </c>
      <c r="J1264" s="471" t="str">
        <f t="shared" si="222"/>
        <v>phprt</v>
      </c>
      <c r="K1264" s="471" t="str">
        <f t="shared" si="223"/>
        <v>net-cur-exp</v>
      </c>
      <c r="L1264" s="599"/>
      <c r="M1264" s="471" t="s">
        <v>5151</v>
      </c>
      <c r="N1264" s="471" t="s">
        <v>5152</v>
      </c>
      <c r="O1264" s="471" t="s">
        <v>5153</v>
      </c>
    </row>
    <row r="1265" spans="1:15" x14ac:dyDescent="0.25">
      <c r="A1265" s="471" t="s">
        <v>2089</v>
      </c>
      <c r="B1265" s="1139">
        <f t="shared" ca="1" si="221"/>
        <v>0</v>
      </c>
      <c r="C1265" s="473">
        <f ca="1">IF(ISERROR(VLOOKUP($A$1265,INDIRECT("notes_"&amp;LEFT($A$1265,3)),4,0)),0,VLOOKUP($A$1265,INDIRECT("notes_"&amp;LEFT($A$1265,3)),4,0))</f>
        <v>0</v>
      </c>
      <c r="D1265" s="472" t="str">
        <f>'RO3'!N103</f>
        <v/>
      </c>
      <c r="E1265" s="472" t="e">
        <f>'RO3'!O103</f>
        <v>#N/A</v>
      </c>
      <c r="F1265" s="472" t="e">
        <f>'RO3'!Q103</f>
        <v>#N/A</v>
      </c>
      <c r="H1265" s="471">
        <f t="shared" si="220"/>
        <v>2</v>
      </c>
      <c r="I1265" s="471">
        <v>2</v>
      </c>
      <c r="J1265" s="471" t="str">
        <f t="shared" si="222"/>
        <v>phcmp</v>
      </c>
      <c r="K1265" s="471" t="str">
        <f t="shared" si="223"/>
        <v>net-cur-exp</v>
      </c>
      <c r="L1265" s="599"/>
      <c r="M1265" s="471" t="s">
        <v>5151</v>
      </c>
      <c r="N1265" s="471" t="s">
        <v>5152</v>
      </c>
      <c r="O1265" s="471" t="s">
        <v>5153</v>
      </c>
    </row>
    <row r="1266" spans="1:15" x14ac:dyDescent="0.25">
      <c r="A1266" s="471" t="s">
        <v>2090</v>
      </c>
      <c r="B1266" s="1139">
        <f t="shared" ca="1" si="221"/>
        <v>0</v>
      </c>
      <c r="C1266" s="473">
        <f ca="1">IF(ISERROR(VLOOKUP($A$1266,INDIRECT("notes_"&amp;LEFT($A$1266,3)),4,0)),0,VLOOKUP($A$1266,INDIRECT("notes_"&amp;LEFT($A$1266,3)),4,0))</f>
        <v>0</v>
      </c>
      <c r="D1266" s="472" t="str">
        <f>'RO3'!N104</f>
        <v/>
      </c>
      <c r="E1266" s="472" t="e">
        <f>'RO3'!O104</f>
        <v>#N/A</v>
      </c>
      <c r="F1266" s="472" t="e">
        <f>'RO3'!Q104</f>
        <v>#N/A</v>
      </c>
      <c r="H1266" s="471">
        <f t="shared" si="220"/>
        <v>2</v>
      </c>
      <c r="I1266" s="471">
        <v>2</v>
      </c>
      <c r="J1266" s="471" t="str">
        <f t="shared" si="222"/>
        <v>phadv</v>
      </c>
      <c r="K1266" s="471" t="str">
        <f t="shared" si="223"/>
        <v>net-cur-exp</v>
      </c>
      <c r="L1266" s="599"/>
      <c r="M1266" s="471" t="s">
        <v>5151</v>
      </c>
      <c r="N1266" s="471" t="s">
        <v>5152</v>
      </c>
      <c r="O1266" s="471" t="s">
        <v>5153</v>
      </c>
    </row>
    <row r="1267" spans="1:15" x14ac:dyDescent="0.25">
      <c r="A1267" s="471" t="s">
        <v>2091</v>
      </c>
      <c r="B1267" s="1139">
        <f t="shared" ca="1" si="221"/>
        <v>0</v>
      </c>
      <c r="C1267" s="473">
        <f ca="1">IF(ISERROR(VLOOKUP($A$1267,INDIRECT("notes_"&amp;LEFT($A$1267,3)),4,0)),0,VLOOKUP($A$1267,INDIRECT("notes_"&amp;LEFT($A$1267,3)),4,0))</f>
        <v>0</v>
      </c>
      <c r="D1267" s="472" t="str">
        <f>'RO3'!N105</f>
        <v/>
      </c>
      <c r="E1267" s="472" t="str">
        <f>'RO3'!O105</f>
        <v/>
      </c>
      <c r="F1267" s="472" t="str">
        <f>'RO3'!Q105</f>
        <v/>
      </c>
      <c r="H1267" s="471">
        <f t="shared" si="220"/>
        <v>2</v>
      </c>
      <c r="I1267" s="471">
        <v>2</v>
      </c>
      <c r="J1267" s="471" t="str">
        <f t="shared" si="222"/>
        <v>phobsadl</v>
      </c>
      <c r="K1267" s="471" t="str">
        <f t="shared" si="223"/>
        <v>net-cur-exp</v>
      </c>
      <c r="L1267" s="599"/>
      <c r="M1267" s="471" t="s">
        <v>5151</v>
      </c>
      <c r="N1267" s="471" t="s">
        <v>5152</v>
      </c>
      <c r="O1267" s="471" t="s">
        <v>5153</v>
      </c>
    </row>
    <row r="1268" spans="1:15" x14ac:dyDescent="0.25">
      <c r="A1268" s="471" t="s">
        <v>2092</v>
      </c>
      <c r="B1268" s="1139">
        <f t="shared" ca="1" si="221"/>
        <v>0</v>
      </c>
      <c r="C1268" s="473">
        <f ca="1">IF(ISERROR(VLOOKUP($A$1268,INDIRECT("notes_"&amp;LEFT($A$1268,3)),4,0)),0,VLOOKUP($A$1268,INDIRECT("notes_"&amp;LEFT($A$1268,3)),4,0))</f>
        <v>0</v>
      </c>
      <c r="D1268" s="472" t="str">
        <f>'RO3'!N106</f>
        <v/>
      </c>
      <c r="E1268" s="472" t="str">
        <f>'RO3'!O106</f>
        <v/>
      </c>
      <c r="F1268" s="472" t="str">
        <f>'RO3'!Q106</f>
        <v/>
      </c>
      <c r="H1268" s="471">
        <f t="shared" si="220"/>
        <v>2</v>
      </c>
      <c r="I1268" s="471">
        <v>2</v>
      </c>
      <c r="J1268" s="471" t="str">
        <f t="shared" si="222"/>
        <v>phobschl</v>
      </c>
      <c r="K1268" s="471" t="str">
        <f t="shared" si="223"/>
        <v>net-cur-exp</v>
      </c>
      <c r="L1268" s="599"/>
      <c r="M1268" s="471" t="s">
        <v>5151</v>
      </c>
      <c r="N1268" s="471" t="s">
        <v>5152</v>
      </c>
      <c r="O1268" s="471" t="s">
        <v>5153</v>
      </c>
    </row>
    <row r="1269" spans="1:15" x14ac:dyDescent="0.25">
      <c r="A1269" s="471" t="s">
        <v>2093</v>
      </c>
      <c r="B1269" s="1139">
        <f t="shared" ca="1" si="221"/>
        <v>0</v>
      </c>
      <c r="C1269" s="473">
        <f ca="1">IF(ISERROR(VLOOKUP($A$1269,INDIRECT("notes_"&amp;LEFT($A$1269,3)),4,0)),0,VLOOKUP($A$1269,INDIRECT("notes_"&amp;LEFT($A$1269,3)),4,0))</f>
        <v>0</v>
      </c>
      <c r="D1269" s="472" t="str">
        <f>'RO3'!N107</f>
        <v/>
      </c>
      <c r="E1269" s="472" t="str">
        <f>'RO3'!O107</f>
        <v/>
      </c>
      <c r="F1269" s="472" t="str">
        <f>'RO3'!Q107</f>
        <v/>
      </c>
      <c r="H1269" s="471">
        <f t="shared" si="220"/>
        <v>2</v>
      </c>
      <c r="I1269" s="471">
        <v>2</v>
      </c>
      <c r="J1269" s="471" t="str">
        <f t="shared" si="222"/>
        <v>phphyadl</v>
      </c>
      <c r="K1269" s="471" t="str">
        <f t="shared" si="223"/>
        <v>net-cur-exp</v>
      </c>
      <c r="L1269" s="599"/>
      <c r="M1269" s="471" t="s">
        <v>5151</v>
      </c>
      <c r="N1269" s="471" t="s">
        <v>5152</v>
      </c>
      <c r="O1269" s="471" t="s">
        <v>5153</v>
      </c>
    </row>
    <row r="1270" spans="1:15" x14ac:dyDescent="0.25">
      <c r="A1270" s="471" t="s">
        <v>2094</v>
      </c>
      <c r="B1270" s="1139">
        <f t="shared" ca="1" si="221"/>
        <v>0</v>
      </c>
      <c r="C1270" s="473">
        <f ca="1">IF(ISERROR(VLOOKUP($A$1270,INDIRECT("notes_"&amp;LEFT($A$1270,3)),4,0)),0,VLOOKUP($A$1270,INDIRECT("notes_"&amp;LEFT($A$1270,3)),4,0))</f>
        <v>0</v>
      </c>
      <c r="D1270" s="472" t="str">
        <f>'RO3'!N108</f>
        <v/>
      </c>
      <c r="E1270" s="472" t="str">
        <f>'RO3'!O108</f>
        <v/>
      </c>
      <c r="F1270" s="472" t="str">
        <f>'RO3'!Q108</f>
        <v/>
      </c>
      <c r="H1270" s="471">
        <f t="shared" si="220"/>
        <v>2</v>
      </c>
      <c r="I1270" s="471">
        <v>2</v>
      </c>
      <c r="J1270" s="471" t="str">
        <f t="shared" si="222"/>
        <v>phphychl</v>
      </c>
      <c r="K1270" s="471" t="str">
        <f t="shared" si="223"/>
        <v>net-cur-exp</v>
      </c>
      <c r="L1270" s="599"/>
      <c r="M1270" s="471" t="s">
        <v>5151</v>
      </c>
      <c r="N1270" s="471" t="s">
        <v>5152</v>
      </c>
      <c r="O1270" s="471" t="s">
        <v>5153</v>
      </c>
    </row>
    <row r="1271" spans="1:15" x14ac:dyDescent="0.25">
      <c r="A1271" s="471" t="s">
        <v>2095</v>
      </c>
      <c r="B1271" s="1139">
        <f t="shared" ca="1" si="221"/>
        <v>0</v>
      </c>
      <c r="C1271" s="473">
        <f ca="1">IF(ISERROR(VLOOKUP($A$1271,INDIRECT("notes_"&amp;LEFT($A$1271,3)),4,0)),0,VLOOKUP($A$1271,INDIRECT("notes_"&amp;LEFT($A$1271,3)),4,0))</f>
        <v>0</v>
      </c>
      <c r="D1271" s="472" t="str">
        <f>'RO3'!N109</f>
        <v/>
      </c>
      <c r="E1271" s="472" t="str">
        <f>'RO3'!O109</f>
        <v/>
      </c>
      <c r="F1271" s="472" t="str">
        <f>'RO3'!Q109</f>
        <v/>
      </c>
      <c r="G1271" s="472" t="str">
        <f>'RO3'!R109</f>
        <v/>
      </c>
      <c r="H1271" s="471">
        <f t="shared" si="220"/>
        <v>2</v>
      </c>
      <c r="I1271" s="471">
        <v>2</v>
      </c>
      <c r="J1271" s="471" t="str">
        <f t="shared" si="222"/>
        <v>phsbstrtdrg</v>
      </c>
      <c r="K1271" s="471" t="str">
        <f t="shared" si="223"/>
        <v>net-cur-exp</v>
      </c>
      <c r="L1271" s="599"/>
      <c r="M1271" s="471" t="s">
        <v>5151</v>
      </c>
      <c r="N1271" s="471" t="s">
        <v>5152</v>
      </c>
      <c r="O1271" s="471" t="s">
        <v>5153</v>
      </c>
    </row>
    <row r="1272" spans="1:15" x14ac:dyDescent="0.25">
      <c r="A1272" s="471" t="s">
        <v>2096</v>
      </c>
      <c r="B1272" s="1139">
        <f t="shared" ca="1" si="221"/>
        <v>0</v>
      </c>
      <c r="C1272" s="473">
        <f ca="1">IF(ISERROR(VLOOKUP($A$1272,INDIRECT("notes_"&amp;LEFT($A$1272,3)),4,0)),0,VLOOKUP($A$1272,INDIRECT("notes_"&amp;LEFT($A$1272,3)),4,0))</f>
        <v>0</v>
      </c>
      <c r="D1272" s="472" t="str">
        <f>'RO3'!N110</f>
        <v/>
      </c>
      <c r="E1272" s="472" t="str">
        <f>'RO3'!O110</f>
        <v/>
      </c>
      <c r="F1272" s="472" t="str">
        <f>'RO3'!Q110</f>
        <v/>
      </c>
      <c r="G1272" s="472" t="str">
        <f>'RO3'!R110</f>
        <v/>
      </c>
      <c r="H1272" s="471">
        <f t="shared" si="220"/>
        <v>2</v>
      </c>
      <c r="I1272" s="471">
        <v>2</v>
      </c>
      <c r="J1272" s="471" t="str">
        <f t="shared" si="222"/>
        <v>phsbsprvdrg</v>
      </c>
      <c r="K1272" s="471" t="str">
        <f t="shared" si="223"/>
        <v>net-cur-exp</v>
      </c>
      <c r="L1272" s="599"/>
      <c r="M1272" s="471" t="s">
        <v>5151</v>
      </c>
      <c r="N1272" s="471" t="s">
        <v>5152</v>
      </c>
      <c r="O1272" s="471" t="s">
        <v>5153</v>
      </c>
    </row>
    <row r="1273" spans="1:15" x14ac:dyDescent="0.25">
      <c r="A1273" s="471" t="s">
        <v>2097</v>
      </c>
      <c r="B1273" s="1139">
        <f t="shared" ca="1" si="221"/>
        <v>0</v>
      </c>
      <c r="C1273" s="473">
        <f ca="1">IF(ISERROR(VLOOKUP($A$1273,INDIRECT("notes_"&amp;LEFT($A$1273,3)),4,0)),0,VLOOKUP($A$1273,INDIRECT("notes_"&amp;LEFT($A$1273,3)),4,0))</f>
        <v>0</v>
      </c>
      <c r="D1273" s="472" t="str">
        <f>'RO3'!N111</f>
        <v/>
      </c>
      <c r="E1273" s="472" t="str">
        <f>'RO3'!O111</f>
        <v/>
      </c>
      <c r="F1273" s="472" t="str">
        <f>'RO3'!Q111</f>
        <v/>
      </c>
      <c r="H1273" s="471">
        <f t="shared" si="220"/>
        <v>2</v>
      </c>
      <c r="I1273" s="471">
        <v>2</v>
      </c>
      <c r="J1273" s="471" t="str">
        <f t="shared" si="222"/>
        <v>phsbsspc</v>
      </c>
      <c r="K1273" s="471" t="str">
        <f t="shared" si="223"/>
        <v>net-cur-exp</v>
      </c>
      <c r="L1273" s="599"/>
      <c r="M1273" s="471" t="s">
        <v>5151</v>
      </c>
      <c r="N1273" s="471" t="s">
        <v>5152</v>
      </c>
      <c r="O1273" s="471" t="s">
        <v>5153</v>
      </c>
    </row>
    <row r="1274" spans="1:15" x14ac:dyDescent="0.25">
      <c r="A1274" s="471" t="s">
        <v>2098</v>
      </c>
      <c r="B1274" s="1139">
        <f t="shared" ca="1" si="221"/>
        <v>0</v>
      </c>
      <c r="C1274" s="473">
        <f ca="1">IF(ISERROR(VLOOKUP($A$1274,INDIRECT("notes_"&amp;LEFT($A$1274,3)),4,0)),0,VLOOKUP($A$1274,INDIRECT("notes_"&amp;LEFT($A$1274,3)),4,0))</f>
        <v>0</v>
      </c>
      <c r="D1274" s="472" t="str">
        <f>'RO3'!N112</f>
        <v/>
      </c>
      <c r="E1274" s="472" t="str">
        <f>'RO3'!O112</f>
        <v/>
      </c>
      <c r="F1274" s="472" t="str">
        <f>'RO3'!Q112</f>
        <v/>
      </c>
      <c r="H1274" s="471">
        <f t="shared" si="220"/>
        <v>2</v>
      </c>
      <c r="I1274" s="471">
        <v>2</v>
      </c>
      <c r="J1274" s="471" t="str">
        <f t="shared" si="222"/>
        <v>phsmkstp</v>
      </c>
      <c r="K1274" s="471" t="str">
        <f t="shared" si="223"/>
        <v>net-cur-exp</v>
      </c>
      <c r="L1274" s="599"/>
      <c r="M1274" s="471" t="s">
        <v>5151</v>
      </c>
      <c r="N1274" s="471" t="s">
        <v>5152</v>
      </c>
      <c r="O1274" s="471" t="s">
        <v>5153</v>
      </c>
    </row>
    <row r="1275" spans="1:15" x14ac:dyDescent="0.25">
      <c r="A1275" s="471" t="s">
        <v>2099</v>
      </c>
      <c r="B1275" s="1139">
        <f t="shared" ca="1" si="221"/>
        <v>0</v>
      </c>
      <c r="C1275" s="473">
        <f ca="1">IF(ISERROR(VLOOKUP($A$1275,INDIRECT("notes_"&amp;LEFT($A$1275,3)),4,0)),0,VLOOKUP($A$1275,INDIRECT("notes_"&amp;LEFT($A$1275,3)),4,0))</f>
        <v>0</v>
      </c>
      <c r="D1275" s="472" t="str">
        <f>'RO3'!N113</f>
        <v/>
      </c>
      <c r="E1275" s="472" t="str">
        <f>'RO3'!O113</f>
        <v/>
      </c>
      <c r="F1275" s="472" t="str">
        <f>'RO3'!Q113</f>
        <v/>
      </c>
      <c r="H1275" s="471">
        <f t="shared" si="220"/>
        <v>2</v>
      </c>
      <c r="I1275" s="471">
        <v>2</v>
      </c>
      <c r="J1275" s="471" t="str">
        <f t="shared" si="222"/>
        <v>phsmkcnt</v>
      </c>
      <c r="K1275" s="471" t="str">
        <f t="shared" si="223"/>
        <v>net-cur-exp</v>
      </c>
      <c r="L1275" s="599"/>
      <c r="M1275" s="471" t="s">
        <v>5151</v>
      </c>
      <c r="N1275" s="471" t="s">
        <v>5152</v>
      </c>
      <c r="O1275" s="471" t="s">
        <v>5153</v>
      </c>
    </row>
    <row r="1276" spans="1:15" x14ac:dyDescent="0.25">
      <c r="A1276" s="471" t="s">
        <v>2100</v>
      </c>
      <c r="B1276" s="1139">
        <f t="shared" ca="1" si="221"/>
        <v>0</v>
      </c>
      <c r="C1276" s="473">
        <f ca="1">IF(ISERROR(VLOOKUP($A$1276,INDIRECT("notes_"&amp;LEFT($A$1276,3)),4,0)),0,VLOOKUP($A$1276,INDIRECT("notes_"&amp;LEFT($A$1276,3)),4,0))</f>
        <v>0</v>
      </c>
      <c r="D1276" s="472" t="str">
        <f>'RO3'!N114</f>
        <v/>
      </c>
      <c r="E1276" s="472" t="str">
        <f>'RO3'!O114</f>
        <v/>
      </c>
      <c r="F1276" s="472" t="str">
        <f>'RO3'!Q114</f>
        <v/>
      </c>
      <c r="H1276" s="471">
        <f t="shared" si="220"/>
        <v>2</v>
      </c>
      <c r="I1276" s="471">
        <v>2</v>
      </c>
      <c r="J1276" s="471" t="str">
        <f t="shared" si="222"/>
        <v>phchl</v>
      </c>
      <c r="K1276" s="471" t="str">
        <f t="shared" si="223"/>
        <v>net-cur-exp</v>
      </c>
      <c r="L1276" s="599"/>
      <c r="M1276" s="471" t="s">
        <v>5151</v>
      </c>
      <c r="N1276" s="471" t="s">
        <v>5152</v>
      </c>
      <c r="O1276" s="471" t="s">
        <v>5153</v>
      </c>
    </row>
    <row r="1277" spans="1:15" x14ac:dyDescent="0.25">
      <c r="A1277" s="471" t="s">
        <v>2101</v>
      </c>
      <c r="B1277" s="1139">
        <f t="shared" ca="1" si="221"/>
        <v>0</v>
      </c>
      <c r="C1277" s="473">
        <f ca="1">IF(ISERROR(VLOOKUP($A$1277,INDIRECT("notes_"&amp;LEFT($A$1277,3)),4,0)),0,VLOOKUP($A$1277,INDIRECT("notes_"&amp;LEFT($A$1277,3)),4,0))</f>
        <v>0</v>
      </c>
      <c r="D1277" s="472" t="str">
        <f>'RO3'!N115</f>
        <v/>
      </c>
      <c r="E1277" s="472" t="e">
        <f>'RO3'!O115</f>
        <v>#N/A</v>
      </c>
      <c r="F1277" s="472" t="e">
        <f>'RO3'!Q115</f>
        <v>#N/A</v>
      </c>
      <c r="H1277" s="471">
        <f t="shared" ref="H1277:H1338" si="224">LEN(A1277)-LEN(SUBSTITUTE(A1277,"-",""))-I1277</f>
        <v>2</v>
      </c>
      <c r="I1277" s="471">
        <v>2</v>
      </c>
      <c r="J1277" s="471" t="str">
        <f t="shared" si="222"/>
        <v>phbbymnd</v>
      </c>
      <c r="K1277" s="471" t="str">
        <f t="shared" si="223"/>
        <v>net-cur-exp</v>
      </c>
      <c r="L1277" s="599"/>
      <c r="M1277" s="471" t="s">
        <v>5151</v>
      </c>
      <c r="N1277" s="471" t="s">
        <v>5152</v>
      </c>
      <c r="O1277" s="471" t="s">
        <v>5153</v>
      </c>
    </row>
    <row r="1278" spans="1:15" x14ac:dyDescent="0.25">
      <c r="A1278" s="471" t="s">
        <v>2102</v>
      </c>
      <c r="B1278" s="1139">
        <f t="shared" ref="B1278:B1339" ca="1" si="225">INDEX(INDIRECT(LEFT($A1278,SEARCH("-",$A1278,1)-1)&amp;"_data"),MATCH(MID($A1278,SEARCH("-",$A1278)+1,SEARCH("#",SUBSTITUTE($A1278,"-","#",H1278),1)-(SEARCH("-",$A1278)+1)),INDIRECT(LEFT($A1278,SEARCH("-",$A1278,1)-1)&amp;"_rows"),0),MATCH(RIGHT($A1278,LEN($A1278)-LEN(LEFT($A1278,SEARCH("#",SUBSTITUTE($A1278,"-","#",H1278),1)))),INDIRECT(LEFT($A1278,SEARCH("-",$A1278,1)-1)&amp;"_Header"),0))</f>
        <v>0</v>
      </c>
      <c r="C1278" s="473">
        <f ca="1">IF(ISERROR(VLOOKUP($A$1278,INDIRECT("notes_"&amp;LEFT($A$1278,3)),4,0)),0,VLOOKUP($A$1278,INDIRECT("notes_"&amp;LEFT($A$1278,3)),4,0))</f>
        <v>0</v>
      </c>
      <c r="D1278" s="472" t="str">
        <f>'RO3'!N116</f>
        <v/>
      </c>
      <c r="E1278" s="472" t="e">
        <f>'RO3'!O116</f>
        <v>#N/A</v>
      </c>
      <c r="F1278" s="472" t="e">
        <f>'RO3'!Q116</f>
        <v>#N/A</v>
      </c>
      <c r="H1278" s="471">
        <f t="shared" si="224"/>
        <v>2</v>
      </c>
      <c r="I1278" s="471">
        <v>2</v>
      </c>
      <c r="J1278" s="471" t="str">
        <f t="shared" si="222"/>
        <v>phbbyoth</v>
      </c>
      <c r="K1278" s="471" t="str">
        <f t="shared" si="223"/>
        <v>net-cur-exp</v>
      </c>
      <c r="L1278" s="599"/>
      <c r="M1278" s="471" t="s">
        <v>5151</v>
      </c>
      <c r="N1278" s="471" t="s">
        <v>5152</v>
      </c>
      <c r="O1278" s="471" t="s">
        <v>5153</v>
      </c>
    </row>
    <row r="1279" spans="1:15" x14ac:dyDescent="0.25">
      <c r="A1279" s="471" t="s">
        <v>2103</v>
      </c>
      <c r="B1279" s="1139">
        <f t="shared" ca="1" si="225"/>
        <v>0</v>
      </c>
      <c r="C1279" s="473">
        <f ca="1">IF(ISERROR(VLOOKUP($A$1279,INDIRECT("notes_"&amp;LEFT($A$1279,3)),4,0)),0,VLOOKUP($A$1279,INDIRECT("notes_"&amp;LEFT($A$1279,3)),4,0))</f>
        <v>0</v>
      </c>
      <c r="D1279" s="472" t="str">
        <f>'RO3'!N117</f>
        <v/>
      </c>
      <c r="E1279" s="472" t="str">
        <f>'RO3'!O117</f>
        <v/>
      </c>
      <c r="F1279" s="472" t="str">
        <f>'RO3'!Q117</f>
        <v/>
      </c>
      <c r="H1279" s="471">
        <f t="shared" si="224"/>
        <v>2</v>
      </c>
      <c r="I1279" s="471">
        <v>2</v>
      </c>
      <c r="J1279" s="471" t="str">
        <f t="shared" si="222"/>
        <v>phwrk</v>
      </c>
      <c r="K1279" s="471" t="str">
        <f t="shared" si="223"/>
        <v>net-cur-exp</v>
      </c>
      <c r="L1279" s="599"/>
      <c r="M1279" s="471" t="s">
        <v>5151</v>
      </c>
      <c r="N1279" s="471" t="s">
        <v>5152</v>
      </c>
      <c r="O1279" s="471" t="s">
        <v>5153</v>
      </c>
    </row>
    <row r="1280" spans="1:15" x14ac:dyDescent="0.25">
      <c r="A1280" s="471" t="s">
        <v>2104</v>
      </c>
      <c r="B1280" s="1139">
        <f t="shared" ca="1" si="225"/>
        <v>0</v>
      </c>
      <c r="C1280" s="473">
        <f ca="1">IF(ISERROR(VLOOKUP($A$1280,INDIRECT("notes_"&amp;LEFT($A$1280,3)),4,0)),0,VLOOKUP($A$1280,INDIRECT("notes_"&amp;LEFT($A$1280,3)),4,0))</f>
        <v>0</v>
      </c>
      <c r="D1280" s="472" t="str">
        <f>'RO3'!N118</f>
        <v/>
      </c>
      <c r="E1280" s="472" t="str">
        <f>'RO3'!O118</f>
        <v/>
      </c>
      <c r="F1280" s="472" t="str">
        <f>'RO3'!Q118</f>
        <v/>
      </c>
      <c r="H1280" s="471">
        <f t="shared" si="224"/>
        <v>2</v>
      </c>
      <c r="I1280" s="471">
        <v>2</v>
      </c>
      <c r="J1280" s="471" t="str">
        <f t="shared" si="222"/>
        <v>phmnt</v>
      </c>
      <c r="K1280" s="471" t="str">
        <f t="shared" si="223"/>
        <v>net-cur-exp</v>
      </c>
      <c r="L1280" s="599"/>
      <c r="M1280" s="471" t="s">
        <v>5151</v>
      </c>
      <c r="N1280" s="471" t="s">
        <v>5152</v>
      </c>
      <c r="O1280" s="471" t="s">
        <v>5153</v>
      </c>
    </row>
    <row r="1281" spans="1:15" x14ac:dyDescent="0.25">
      <c r="A1281" s="471" t="s">
        <v>2105</v>
      </c>
      <c r="B1281" s="1139">
        <f t="shared" ca="1" si="225"/>
        <v>0</v>
      </c>
      <c r="C1281" s="473">
        <f ca="1">IF(ISERROR(VLOOKUP($A$1281,INDIRECT("notes_"&amp;LEFT($A$1281,3)),4,0)),0,VLOOKUP($A$1281,INDIRECT("notes_"&amp;LEFT($A$1281,3)),4,0))</f>
        <v>0</v>
      </c>
      <c r="D1281" s="472" t="str">
        <f>'RO3'!N119</f>
        <v/>
      </c>
      <c r="E1281" s="472" t="e">
        <f>'RO3'!O119</f>
        <v>#DIV/0!</v>
      </c>
      <c r="F1281" s="472" t="str">
        <f>'RO3'!Q119</f>
        <v/>
      </c>
      <c r="H1281" s="471">
        <f t="shared" si="224"/>
        <v>2</v>
      </c>
      <c r="I1281" s="471">
        <v>2</v>
      </c>
      <c r="J1281" s="471" t="str">
        <f t="shared" ref="J1281:J1342" si="226">MID($A1281,SEARCH("-",$A1281)+1,SEARCH("#",SUBSTITUTE($A1281,"-","#",H1281),1)-(SEARCH("-",$A1281)+1))</f>
        <v>phmsc</v>
      </c>
      <c r="K1281" s="471" t="str">
        <f t="shared" ref="K1281:K1342" si="227">RIGHT($A1281,LEN($A1281)-SEARCH("#",SUBSTITUTE($A1281,"-","#",H1281),1))</f>
        <v>net-cur-exp</v>
      </c>
      <c r="L1281" s="599"/>
      <c r="M1281" s="471" t="s">
        <v>5151</v>
      </c>
      <c r="N1281" s="471" t="s">
        <v>5152</v>
      </c>
      <c r="O1281" s="471" t="s">
        <v>5153</v>
      </c>
    </row>
    <row r="1282" spans="1:15" x14ac:dyDescent="0.25">
      <c r="A1282" s="471" t="s">
        <v>2106</v>
      </c>
      <c r="B1282" s="1139">
        <f t="shared" ca="1" si="225"/>
        <v>0</v>
      </c>
      <c r="C1282" s="473">
        <f ca="1">IF(ISERROR(VLOOKUP($A$1282,INDIRECT("notes_"&amp;LEFT($A$1282,3)),4,0)),0,VLOOKUP($A$1282,INDIRECT("notes_"&amp;LEFT($A$1282,3)),4,0))</f>
        <v>0</v>
      </c>
      <c r="D1282" s="472" t="str">
        <f>'RO3'!N121</f>
        <v/>
      </c>
      <c r="E1282" s="472" t="e">
        <f>'RO3'!O121</f>
        <v>#N/A</v>
      </c>
      <c r="F1282" s="472" t="e">
        <f>'RO3'!Q121</f>
        <v>#N/A</v>
      </c>
      <c r="H1282" s="471">
        <f t="shared" si="224"/>
        <v>2</v>
      </c>
      <c r="I1282" s="471">
        <v>2</v>
      </c>
      <c r="J1282" s="471" t="str">
        <f t="shared" si="226"/>
        <v>phtot</v>
      </c>
      <c r="K1282" s="471" t="str">
        <f t="shared" si="227"/>
        <v>net-cur-exp</v>
      </c>
      <c r="L1282" s="599"/>
      <c r="M1282" s="471" t="s">
        <v>5151</v>
      </c>
      <c r="N1282" s="471" t="s">
        <v>5152</v>
      </c>
      <c r="O1282" s="471" t="s">
        <v>5153</v>
      </c>
    </row>
    <row r="1283" spans="1:15" x14ac:dyDescent="0.25">
      <c r="A1283" s="471" t="s">
        <v>2109</v>
      </c>
      <c r="B1283" s="1139">
        <f t="shared" ca="1" si="225"/>
        <v>0</v>
      </c>
      <c r="C1283" s="473">
        <f ca="1">IF(ISERROR(VLOOKUP(A1283,INDIRECT("notes_"&amp;LEFT(A1283,3)),4,0)),0,VLOOKUP(A1283,INDIRECT("notes_"&amp;LEFT(A1283,3)),4,0))</f>
        <v>0</v>
      </c>
      <c r="D1283" s="472" t="str">
        <f>'RO3'!N133</f>
        <v/>
      </c>
      <c r="E1283" s="472" t="str">
        <f>'RO3'!O133</f>
        <v/>
      </c>
      <c r="F1283" s="472" t="str">
        <f>'RO3'!Q133</f>
        <v/>
      </c>
      <c r="H1283" s="471">
        <f t="shared" si="224"/>
        <v>3</v>
      </c>
      <c r="I1283" s="471">
        <v>2</v>
      </c>
      <c r="J1283" s="471" t="str">
        <f t="shared" si="226"/>
        <v>phprmcarservprov-gp</v>
      </c>
      <c r="K1283" s="471" t="str">
        <f t="shared" si="227"/>
        <v>net-cur-exp</v>
      </c>
      <c r="L1283" s="599"/>
      <c r="M1283" s="471" t="s">
        <v>5151</v>
      </c>
      <c r="N1283" s="471" t="s">
        <v>5152</v>
      </c>
      <c r="O1283" s="471" t="s">
        <v>5153</v>
      </c>
    </row>
    <row r="1284" spans="1:15" x14ac:dyDescent="0.25">
      <c r="A1284" s="471" t="s">
        <v>2110</v>
      </c>
      <c r="B1284" s="1139">
        <f t="shared" ca="1" si="225"/>
        <v>0</v>
      </c>
      <c r="C1284" s="473">
        <f ca="1">IF(ISERROR(VLOOKUP(A1284,INDIRECT("notes_"&amp;LEFT(A1284,3)),4,0)),0,VLOOKUP(A1284,INDIRECT("notes_"&amp;LEFT(A1284,3)),4,0))</f>
        <v>0</v>
      </c>
      <c r="D1284" s="472" t="str">
        <f>'RO3'!N134</f>
        <v/>
      </c>
      <c r="E1284" s="472" t="str">
        <f>'RO3'!O134</f>
        <v/>
      </c>
      <c r="F1284" s="472" t="str">
        <f>'RO3'!Q134</f>
        <v/>
      </c>
      <c r="H1284" s="471">
        <f t="shared" si="224"/>
        <v>3</v>
      </c>
      <c r="I1284" s="471">
        <v>2</v>
      </c>
      <c r="J1284" s="471" t="str">
        <f t="shared" si="226"/>
        <v>phprmcarservprov-dent</v>
      </c>
      <c r="K1284" s="471" t="str">
        <f t="shared" si="227"/>
        <v>net-cur-exp</v>
      </c>
      <c r="L1284" s="599"/>
      <c r="M1284" s="471" t="s">
        <v>5151</v>
      </c>
      <c r="N1284" s="471" t="s">
        <v>5152</v>
      </c>
      <c r="O1284" s="471" t="s">
        <v>5153</v>
      </c>
    </row>
    <row r="1285" spans="1:15" x14ac:dyDescent="0.25">
      <c r="A1285" s="471" t="s">
        <v>2111</v>
      </c>
      <c r="B1285" s="1139">
        <f t="shared" ca="1" si="225"/>
        <v>0</v>
      </c>
      <c r="C1285" s="473">
        <f ca="1">IF(ISERROR(VLOOKUP(A1285,INDIRECT("notes_"&amp;LEFT(A1285,3)),4,0)),0,VLOOKUP(A1285,INDIRECT("notes_"&amp;LEFT(A1285,3)),4,0))</f>
        <v>0</v>
      </c>
      <c r="D1285" s="472" t="str">
        <f>'RO3'!N135</f>
        <v/>
      </c>
      <c r="E1285" s="472" t="str">
        <f>'RO3'!O135</f>
        <v/>
      </c>
      <c r="F1285" s="472" t="str">
        <f>'RO3'!Q135</f>
        <v/>
      </c>
      <c r="H1285" s="471">
        <f t="shared" si="224"/>
        <v>3</v>
      </c>
      <c r="I1285" s="471">
        <v>2</v>
      </c>
      <c r="J1285" s="471" t="str">
        <f t="shared" si="226"/>
        <v>phprmcarservprov-pharm</v>
      </c>
      <c r="K1285" s="471" t="str">
        <f t="shared" si="227"/>
        <v>net-cur-exp</v>
      </c>
      <c r="L1285" s="599"/>
      <c r="M1285" s="471" t="s">
        <v>5151</v>
      </c>
      <c r="N1285" s="471" t="s">
        <v>5152</v>
      </c>
      <c r="O1285" s="471" t="s">
        <v>5153</v>
      </c>
    </row>
    <row r="1286" spans="1:15" x14ac:dyDescent="0.25">
      <c r="A1286" s="471" t="s">
        <v>2112</v>
      </c>
      <c r="B1286" s="1139">
        <f t="shared" ca="1" si="225"/>
        <v>0</v>
      </c>
      <c r="C1286" s="473">
        <f ca="1">IF(ISERROR(VLOOKUP(A1286,INDIRECT("notes_"&amp;LEFT(A1286,3)),4,0)),0,VLOOKUP(A1286,INDIRECT("notes_"&amp;LEFT(A1286,3)),4,0))</f>
        <v>0</v>
      </c>
      <c r="D1286" s="472" t="str">
        <f>'RO3'!N136</f>
        <v/>
      </c>
      <c r="E1286" s="472" t="str">
        <f>'RO3'!O136</f>
        <v/>
      </c>
      <c r="F1286" s="472" t="str">
        <f>'RO3'!Q136</f>
        <v/>
      </c>
      <c r="H1286" s="471">
        <f t="shared" si="224"/>
        <v>3</v>
      </c>
      <c r="I1286" s="471">
        <v>2</v>
      </c>
      <c r="J1286" s="471" t="str">
        <f t="shared" si="226"/>
        <v>phprmcarservprov-eye</v>
      </c>
      <c r="K1286" s="471" t="str">
        <f t="shared" si="227"/>
        <v>net-cur-exp</v>
      </c>
      <c r="L1286" s="599"/>
      <c r="M1286" s="471" t="s">
        <v>5151</v>
      </c>
      <c r="N1286" s="471" t="s">
        <v>5152</v>
      </c>
      <c r="O1286" s="471" t="s">
        <v>5153</v>
      </c>
    </row>
    <row r="1287" spans="1:15" x14ac:dyDescent="0.25">
      <c r="A1287" s="471" t="s">
        <v>2108</v>
      </c>
      <c r="B1287" s="1139">
        <f t="shared" ca="1" si="225"/>
        <v>0</v>
      </c>
      <c r="C1287" s="473">
        <f ca="1">IF(ISERROR(VLOOKUP($A$1287,INDIRECT("notes_"&amp;LEFT($A$1287,3)),4,0)),0,VLOOKUP($A$1287,INDIRECT("notes_"&amp;LEFT($A$1287,3)),4,0))</f>
        <v>0</v>
      </c>
      <c r="D1287" s="472" t="str">
        <f>'RO3'!N139</f>
        <v/>
      </c>
      <c r="E1287" s="472" t="str">
        <f>'RO3'!O139</f>
        <v/>
      </c>
      <c r="F1287" s="472" t="str">
        <f>'RO3'!Q139</f>
        <v/>
      </c>
      <c r="H1287" s="471">
        <f t="shared" si="224"/>
        <v>5</v>
      </c>
      <c r="I1287" s="471">
        <v>2</v>
      </c>
      <c r="J1287" s="471" t="str">
        <f t="shared" si="226"/>
        <v>phsup-anc-exp-csc</v>
      </c>
      <c r="K1287" s="471" t="str">
        <f t="shared" si="227"/>
        <v>net-cur-exp</v>
      </c>
      <c r="L1287" s="599"/>
      <c r="M1287" s="471" t="s">
        <v>5151</v>
      </c>
      <c r="N1287" s="471" t="s">
        <v>5152</v>
      </c>
      <c r="O1287" s="471" t="s">
        <v>5153</v>
      </c>
    </row>
    <row r="1288" spans="1:15" x14ac:dyDescent="0.25">
      <c r="A1288" s="471" t="s">
        <v>2113</v>
      </c>
      <c r="B1288" s="1139">
        <f t="shared" ca="1" si="225"/>
        <v>0</v>
      </c>
      <c r="C1288" s="473">
        <f ca="1">IF(ISERROR(VLOOKUP($A$1288,INDIRECT("notes_"&amp;LEFT($A$1288,3)),4,0)),0,VLOOKUP($A$1288,INDIRECT("notes_"&amp;LEFT($A$1288,3)),4,0))</f>
        <v>0</v>
      </c>
      <c r="D1288" s="472" t="str">
        <f>'RO3'!N141</f>
        <v/>
      </c>
      <c r="E1288" s="472" t="str">
        <f>'RO3'!O141</f>
        <v/>
      </c>
      <c r="F1288" s="472" t="str">
        <f>'RO3'!Q141</f>
        <v/>
      </c>
      <c r="H1288" s="471">
        <f t="shared" si="224"/>
        <v>5</v>
      </c>
      <c r="I1288" s="471">
        <v>2</v>
      </c>
      <c r="J1288" s="471" t="str">
        <f t="shared" si="226"/>
        <v>phsup-anc-exp-asc</v>
      </c>
      <c r="K1288" s="471" t="str">
        <f t="shared" si="227"/>
        <v>net-cur-exp</v>
      </c>
      <c r="L1288" s="599"/>
      <c r="M1288" s="471" t="s">
        <v>5151</v>
      </c>
      <c r="N1288" s="471" t="s">
        <v>5152</v>
      </c>
      <c r="O1288" s="471" t="s">
        <v>5153</v>
      </c>
    </row>
    <row r="1289" spans="1:15" x14ac:dyDescent="0.25">
      <c r="A1289" s="471" t="s">
        <v>5635</v>
      </c>
      <c r="B1289" s="1139" t="str">
        <f t="shared" ca="1" si="225"/>
        <v>There are no outstanding errors or warnings with the RO4 section of the form. Thank you.</v>
      </c>
      <c r="C1289" s="473"/>
      <c r="E1289" s="600"/>
      <c r="H1289" s="471">
        <f t="shared" si="224"/>
        <v>2</v>
      </c>
      <c r="I1289" s="471">
        <v>0</v>
      </c>
      <c r="J1289" s="471" t="str">
        <f t="shared" si="226"/>
        <v>hous</v>
      </c>
      <c r="K1289" s="471" t="str">
        <f t="shared" si="227"/>
        <v>error</v>
      </c>
      <c r="L1289" s="599"/>
      <c r="M1289" s="471" t="s">
        <v>5636</v>
      </c>
      <c r="N1289" s="471" t="s">
        <v>5637</v>
      </c>
      <c r="O1289" s="471" t="s">
        <v>5638</v>
      </c>
    </row>
    <row r="1290" spans="1:15" x14ac:dyDescent="0.25">
      <c r="A1290" s="471" t="s">
        <v>5639</v>
      </c>
      <c r="B1290" s="1139">
        <f t="shared" ca="1" si="225"/>
        <v>0</v>
      </c>
      <c r="C1290" s="473">
        <f ca="1">IF(ISERROR(VLOOKUP($A$1446,INDIRECT("notes_"&amp;LEFT($A$1446,3)),4,0)),0,VLOOKUP($A$1446,INDIRECT("notes_"&amp;LEFT($A$1446,3)),4,0))</f>
        <v>0</v>
      </c>
      <c r="H1290" s="471">
        <f t="shared" si="224"/>
        <v>6</v>
      </c>
      <c r="I1290" s="471">
        <v>0</v>
      </c>
      <c r="J1290" s="471" t="str">
        <f t="shared" si="226"/>
        <v>housgfcfstr-hous-str-adv-enb</v>
      </c>
      <c r="K1290" s="471" t="str">
        <f t="shared" si="227"/>
        <v>empl</v>
      </c>
      <c r="L1290" s="599"/>
      <c r="M1290" s="471" t="s">
        <v>5636</v>
      </c>
      <c r="N1290" s="471" t="s">
        <v>5637</v>
      </c>
      <c r="O1290" s="471" t="s">
        <v>5638</v>
      </c>
    </row>
    <row r="1291" spans="1:15" x14ac:dyDescent="0.25">
      <c r="A1291" s="471" t="s">
        <v>5640</v>
      </c>
      <c r="B1291" s="1139">
        <f t="shared" ca="1" si="225"/>
        <v>0</v>
      </c>
      <c r="C1291" s="473">
        <f ca="1">IF(ISERROR(VLOOKUP($A$1447,INDIRECT("notes_"&amp;LEFT($A$1447,3)),4,0)),0,VLOOKUP($A$1447,INDIRECT("notes_"&amp;LEFT($A$1447,3)),4,0))</f>
        <v>0</v>
      </c>
      <c r="H1291" s="471">
        <f t="shared" si="224"/>
        <v>4</v>
      </c>
      <c r="I1291" s="471">
        <v>0</v>
      </c>
      <c r="J1291" s="471" t="str">
        <f t="shared" si="226"/>
        <v>housgfcfstr-hous-adv</v>
      </c>
      <c r="K1291" s="471" t="str">
        <f t="shared" si="227"/>
        <v>empl</v>
      </c>
      <c r="L1291" s="599"/>
      <c r="M1291" s="471" t="s">
        <v>5636</v>
      </c>
      <c r="N1291" s="471" t="s">
        <v>5637</v>
      </c>
      <c r="O1291" s="471" t="s">
        <v>5638</v>
      </c>
    </row>
    <row r="1292" spans="1:15" x14ac:dyDescent="0.25">
      <c r="A1292" s="471" t="s">
        <v>5641</v>
      </c>
      <c r="B1292" s="1139">
        <f t="shared" ca="1" si="225"/>
        <v>0</v>
      </c>
      <c r="C1292" s="473">
        <f ca="1">IF(ISERROR(VLOOKUP($A$1448,INDIRECT("notes_"&amp;LEFT($A$1448,3)),4,0)),0,VLOOKUP($A$1448,INDIRECT("notes_"&amp;LEFT($A$1448,3)),4,0))</f>
        <v>0</v>
      </c>
      <c r="H1292" s="471">
        <f t="shared" si="224"/>
        <v>5</v>
      </c>
      <c r="I1292" s="471">
        <v>0</v>
      </c>
      <c r="J1292" s="471" t="str">
        <f t="shared" si="226"/>
        <v>housprvsecrnw-adm-rpr-imp</v>
      </c>
      <c r="K1292" s="471" t="str">
        <f t="shared" si="227"/>
        <v>empl</v>
      </c>
      <c r="L1292" s="599"/>
      <c r="M1292" s="471" t="s">
        <v>5636</v>
      </c>
      <c r="N1292" s="471" t="s">
        <v>5637</v>
      </c>
      <c r="O1292" s="471" t="s">
        <v>5638</v>
      </c>
    </row>
    <row r="1293" spans="1:15" x14ac:dyDescent="0.25">
      <c r="A1293" s="471" t="s">
        <v>5642</v>
      </c>
      <c r="B1293" s="1139">
        <f t="shared" ca="1" si="225"/>
        <v>0</v>
      </c>
      <c r="C1293" s="473">
        <f ca="1">IF(ISERROR(VLOOKUP($A$1449,INDIRECT("notes_"&amp;LEFT($A$1449,3)),4,0)),0,VLOOKUP($A$1449,INDIRECT("notes_"&amp;LEFT($A$1449,3)),4,0))</f>
        <v>0</v>
      </c>
      <c r="H1293" s="471">
        <f t="shared" si="224"/>
        <v>3</v>
      </c>
      <c r="I1293" s="471">
        <v>0</v>
      </c>
      <c r="J1293" s="471" t="str">
        <f t="shared" si="226"/>
        <v>housprvsecrnw-oth</v>
      </c>
      <c r="K1293" s="471" t="str">
        <f t="shared" si="227"/>
        <v>empl</v>
      </c>
      <c r="L1293" s="599"/>
      <c r="M1293" s="471" t="s">
        <v>5636</v>
      </c>
      <c r="N1293" s="471" t="s">
        <v>5637</v>
      </c>
      <c r="O1293" s="471" t="s">
        <v>5638</v>
      </c>
    </row>
    <row r="1294" spans="1:15" x14ac:dyDescent="0.25">
      <c r="A1294" s="471" t="s">
        <v>5643</v>
      </c>
      <c r="B1294" s="1139">
        <f t="shared" ca="1" si="225"/>
        <v>0</v>
      </c>
      <c r="C1294" s="473">
        <f ca="1">IF(ISERROR(VLOOKUP($A$1450,INDIRECT("notes_"&amp;LEFT($A$1450,3)),4,0)),0,VLOOKUP($A$1450,INDIRECT("notes_"&amp;LEFT($A$1450,3)),4,0))</f>
        <v>0</v>
      </c>
      <c r="H1294" s="471">
        <f t="shared" si="224"/>
        <v>6</v>
      </c>
      <c r="I1294" s="471">
        <v>0</v>
      </c>
      <c r="J1294" s="471" t="str">
        <f t="shared" si="226"/>
        <v>housgfcfhml-ngt-prv-mng-acc</v>
      </c>
      <c r="K1294" s="471" t="str">
        <f t="shared" si="227"/>
        <v>empl</v>
      </c>
      <c r="L1294" s="599"/>
      <c r="M1294" s="471" t="s">
        <v>5636</v>
      </c>
      <c r="N1294" s="471" t="s">
        <v>5637</v>
      </c>
      <c r="O1294" s="471" t="s">
        <v>5638</v>
      </c>
    </row>
    <row r="1295" spans="1:15" x14ac:dyDescent="0.25">
      <c r="A1295" s="471" t="s">
        <v>5644</v>
      </c>
      <c r="B1295" s="1139">
        <f t="shared" ca="1" si="225"/>
        <v>0</v>
      </c>
      <c r="C1295" s="473">
        <f ca="1">IF(ISERROR(VLOOKUP($A$1451,INDIRECT("notes_"&amp;LEFT($A$1451,3)),4,0)),0,VLOOKUP($A$1451,INDIRECT("notes_"&amp;LEFT($A$1451,3)),4,0))</f>
        <v>0</v>
      </c>
      <c r="H1295" s="471">
        <f t="shared" si="224"/>
        <v>5</v>
      </c>
      <c r="I1295" s="471">
        <v>0</v>
      </c>
      <c r="J1295" s="471" t="str">
        <f t="shared" si="226"/>
        <v>housgfcfhml-prv-acc-lsd</v>
      </c>
      <c r="K1295" s="471" t="str">
        <f t="shared" si="227"/>
        <v>empl</v>
      </c>
      <c r="L1295" s="599"/>
      <c r="M1295" s="471" t="s">
        <v>5636</v>
      </c>
      <c r="N1295" s="471" t="s">
        <v>5637</v>
      </c>
      <c r="O1295" s="471" t="s">
        <v>5638</v>
      </c>
    </row>
    <row r="1296" spans="1:15" x14ac:dyDescent="0.25">
      <c r="A1296" s="471" t="s">
        <v>5645</v>
      </c>
      <c r="B1296" s="1139">
        <f t="shared" ca="1" si="225"/>
        <v>0</v>
      </c>
      <c r="C1296" s="473">
        <f ca="1">IF(ISERROR(VLOOKUP($A$1452,INDIRECT("notes_"&amp;LEFT($A$1452,3)),4,0)),0,VLOOKUP($A$1452,INDIRECT("notes_"&amp;LEFT($A$1452,3)),4,0))</f>
        <v>0</v>
      </c>
      <c r="H1296" s="471">
        <f t="shared" si="224"/>
        <v>5</v>
      </c>
      <c r="I1296" s="471">
        <v>0</v>
      </c>
      <c r="J1296" s="471" t="str">
        <f t="shared" si="226"/>
        <v>housgfcfhml-hst-incl-rcpt</v>
      </c>
      <c r="K1296" s="471" t="str">
        <f t="shared" si="227"/>
        <v>empl</v>
      </c>
      <c r="L1296" s="599"/>
      <c r="M1296" s="471" t="s">
        <v>5636</v>
      </c>
      <c r="N1296" s="471" t="s">
        <v>5637</v>
      </c>
      <c r="O1296" s="471" t="s">
        <v>5638</v>
      </c>
    </row>
    <row r="1297" spans="1:15" x14ac:dyDescent="0.25">
      <c r="A1297" s="471" t="s">
        <v>5646</v>
      </c>
      <c r="B1297" s="1139">
        <f t="shared" ca="1" si="225"/>
        <v>0</v>
      </c>
      <c r="C1297" s="473">
        <f ca="1">IF(ISERROR(VLOOKUP($A$1453,INDIRECT("notes_"&amp;LEFT($A$1453,3)),4,0)),0,VLOOKUP($A$1453,INDIRECT("notes_"&amp;LEFT($A$1453,3)),4,0))</f>
        <v>0</v>
      </c>
      <c r="H1297" s="471">
        <f t="shared" si="224"/>
        <v>4</v>
      </c>
      <c r="I1297" s="471">
        <v>0</v>
      </c>
      <c r="J1297" s="471" t="str">
        <f t="shared" si="226"/>
        <v>housgfcfhml-bb-htls</v>
      </c>
      <c r="K1297" s="471" t="str">
        <f t="shared" si="227"/>
        <v>empl</v>
      </c>
      <c r="L1297" s="599"/>
      <c r="M1297" s="471" t="s">
        <v>5636</v>
      </c>
      <c r="N1297" s="471" t="s">
        <v>5637</v>
      </c>
      <c r="O1297" s="471" t="s">
        <v>5638</v>
      </c>
    </row>
    <row r="1298" spans="1:15" x14ac:dyDescent="0.25">
      <c r="A1298" s="471" t="s">
        <v>5647</v>
      </c>
      <c r="B1298" s="1139">
        <f t="shared" ca="1" si="225"/>
        <v>0</v>
      </c>
      <c r="C1298" s="473">
        <f ca="1">IF(ISERROR(VLOOKUP($A$1454,INDIRECT("notes_"&amp;LEFT($A$1454,3)),4,0)),0,VLOOKUP($A$1454,INDIRECT("notes_"&amp;LEFT($A$1454,3)),4,0))</f>
        <v>0</v>
      </c>
      <c r="H1298" s="471">
        <f t="shared" si="224"/>
        <v>5</v>
      </c>
      <c r="I1298" s="471">
        <v>0</v>
      </c>
      <c r="J1298" s="471" t="str">
        <f t="shared" si="226"/>
        <v>housgfcfhml-la-ha-stk</v>
      </c>
      <c r="K1298" s="471" t="str">
        <f t="shared" si="227"/>
        <v>empl</v>
      </c>
      <c r="L1298" s="599"/>
      <c r="M1298" s="471" t="s">
        <v>5636</v>
      </c>
      <c r="N1298" s="471" t="s">
        <v>5637</v>
      </c>
      <c r="O1298" s="471" t="s">
        <v>5638</v>
      </c>
    </row>
    <row r="1299" spans="1:15" x14ac:dyDescent="0.25">
      <c r="A1299" s="471" t="s">
        <v>5648</v>
      </c>
      <c r="B1299" s="1139">
        <f t="shared" ca="1" si="225"/>
        <v>0</v>
      </c>
      <c r="C1299" s="473">
        <f ca="1">IF(ISERROR(VLOOKUP($A$1455,INDIRECT("notes_"&amp;LEFT($A$1455,3)),4,0)),0,VLOOKUP($A$1455,INDIRECT("notes_"&amp;LEFT($A$1455,3)),4,0))</f>
        <v>0</v>
      </c>
      <c r="H1299" s="471">
        <f t="shared" si="224"/>
        <v>6</v>
      </c>
      <c r="I1299" s="471">
        <v>0</v>
      </c>
      <c r="J1299" s="471" t="str">
        <f t="shared" si="226"/>
        <v>housgfcfhml-any-oth-temp-acc</v>
      </c>
      <c r="K1299" s="471" t="str">
        <f t="shared" si="227"/>
        <v>empl</v>
      </c>
      <c r="L1299" s="599"/>
      <c r="M1299" s="471" t="s">
        <v>5636</v>
      </c>
      <c r="N1299" s="471" t="s">
        <v>5637</v>
      </c>
      <c r="O1299" s="471" t="s">
        <v>5638</v>
      </c>
    </row>
    <row r="1300" spans="1:15" x14ac:dyDescent="0.25">
      <c r="A1300" s="471" t="s">
        <v>5649</v>
      </c>
      <c r="B1300" s="1139">
        <f t="shared" ca="1" si="225"/>
        <v>0</v>
      </c>
      <c r="C1300" s="473">
        <f ca="1">IF(ISERROR(VLOOKUP($A$1456,INDIRECT("notes_"&amp;LEFT($A$1456,3)),4,0)),0,VLOOKUP($A$1456,INDIRECT("notes_"&amp;LEFT($A$1456,3)),4,0))</f>
        <v>0</v>
      </c>
      <c r="H1300" s="471">
        <f t="shared" si="224"/>
        <v>5</v>
      </c>
      <c r="I1300" s="471">
        <v>0</v>
      </c>
      <c r="J1300" s="471" t="str">
        <f t="shared" si="226"/>
        <v>housgfcfhml-tmp-acc-adm</v>
      </c>
      <c r="K1300" s="471" t="str">
        <f t="shared" si="227"/>
        <v>empl</v>
      </c>
      <c r="L1300" s="599"/>
      <c r="M1300" s="471" t="s">
        <v>5636</v>
      </c>
      <c r="N1300" s="471" t="s">
        <v>5637</v>
      </c>
      <c r="O1300" s="471" t="s">
        <v>5638</v>
      </c>
    </row>
    <row r="1301" spans="1:15" x14ac:dyDescent="0.25">
      <c r="A1301" s="471" t="s">
        <v>5650</v>
      </c>
      <c r="B1301" s="1139">
        <f t="shared" ca="1" si="225"/>
        <v>0</v>
      </c>
      <c r="C1301" s="473">
        <f ca="1">IF(ISERROR(VLOOKUP($A$1457,INDIRECT("notes_"&amp;LEFT($A$1457,3)),4,0)),0,VLOOKUP($A$1457,INDIRECT("notes_"&amp;LEFT($A$1457,3)),4,0))</f>
        <v>0</v>
      </c>
      <c r="H1301" s="471">
        <f t="shared" si="224"/>
        <v>5</v>
      </c>
      <c r="I1301" s="471">
        <v>0</v>
      </c>
      <c r="J1301" s="471" t="str">
        <f t="shared" si="226"/>
        <v>housgfcfhml-hml-rdct-act</v>
      </c>
      <c r="K1301" s="471" t="str">
        <f t="shared" si="227"/>
        <v>empl</v>
      </c>
      <c r="L1301" s="599"/>
      <c r="M1301" s="471" t="s">
        <v>5636</v>
      </c>
      <c r="N1301" s="471" t="s">
        <v>5637</v>
      </c>
      <c r="O1301" s="471" t="s">
        <v>5638</v>
      </c>
    </row>
    <row r="1302" spans="1:15" x14ac:dyDescent="0.25">
      <c r="A1302" s="471" t="s">
        <v>5651</v>
      </c>
      <c r="B1302" s="1139">
        <f t="shared" ca="1" si="225"/>
        <v>0</v>
      </c>
      <c r="C1302" s="473">
        <f ca="1">IF(ISERROR(VLOOKUP($A$1458,INDIRECT("notes_"&amp;LEFT($A$1458,3)),4,0)),0,VLOOKUP($A$1458,INDIRECT("notes_"&amp;LEFT($A$1458,3)),4,0))</f>
        <v>0</v>
      </c>
      <c r="H1302" s="471">
        <f t="shared" si="224"/>
        <v>6</v>
      </c>
      <c r="I1302" s="471">
        <v>0</v>
      </c>
      <c r="J1302" s="471" t="str">
        <f t="shared" si="226"/>
        <v>housgfcfhml-non-hml-rdct-act</v>
      </c>
      <c r="K1302" s="471" t="str">
        <f t="shared" si="227"/>
        <v>empl</v>
      </c>
      <c r="L1302" s="599"/>
      <c r="M1302" s="471" t="s">
        <v>5636</v>
      </c>
      <c r="N1302" s="471" t="s">
        <v>5637</v>
      </c>
      <c r="O1302" s="471" t="s">
        <v>5638</v>
      </c>
    </row>
    <row r="1303" spans="1:15" x14ac:dyDescent="0.25">
      <c r="A1303" s="471" t="s">
        <v>5652</v>
      </c>
      <c r="B1303" s="1139">
        <f t="shared" ca="1" si="225"/>
        <v>0</v>
      </c>
      <c r="C1303" s="473">
        <f ca="1">IF(ISERROR(VLOOKUP($A$1459,INDIRECT("notes_"&amp;LEFT($A$1459,3)),4,0)),0,VLOOKUP($A$1459,INDIRECT("notes_"&amp;LEFT($A$1459,3)),4,0))</f>
        <v>0</v>
      </c>
      <c r="H1303" s="471">
        <f t="shared" si="224"/>
        <v>4</v>
      </c>
      <c r="I1303" s="471">
        <v>0</v>
      </c>
      <c r="J1303" s="471" t="str">
        <f t="shared" si="226"/>
        <v>housgfcfhml-hml-tot</v>
      </c>
      <c r="K1303" s="471" t="str">
        <f t="shared" si="227"/>
        <v>empl</v>
      </c>
      <c r="L1303" s="599"/>
      <c r="M1303" s="471" t="s">
        <v>5636</v>
      </c>
      <c r="N1303" s="471" t="s">
        <v>5637</v>
      </c>
      <c r="O1303" s="471" t="s">
        <v>5638</v>
      </c>
    </row>
    <row r="1304" spans="1:15" x14ac:dyDescent="0.25">
      <c r="A1304" s="471" t="s">
        <v>5653</v>
      </c>
      <c r="B1304" s="1139">
        <f t="shared" ca="1" si="225"/>
        <v>0</v>
      </c>
      <c r="C1304" s="473">
        <f ca="1">IF(ISERROR(VLOOKUP($A$1460,INDIRECT("notes_"&amp;LEFT($A$1460,3)),4,0)),0,VLOOKUP($A$1460,INDIRECT("notes_"&amp;LEFT($A$1460,3)),4,0))</f>
        <v>0</v>
      </c>
      <c r="H1304" s="471">
        <f t="shared" si="224"/>
        <v>5</v>
      </c>
      <c r="I1304" s="471">
        <v>0</v>
      </c>
      <c r="J1304" s="471" t="str">
        <f t="shared" si="226"/>
        <v>housgfcfbnf-rnt-all-dsp</v>
      </c>
      <c r="K1304" s="471" t="str">
        <f t="shared" si="227"/>
        <v>empl</v>
      </c>
      <c r="L1304" s="599"/>
      <c r="M1304" s="471" t="s">
        <v>5636</v>
      </c>
      <c r="N1304" s="471" t="s">
        <v>5637</v>
      </c>
      <c r="O1304" s="471" t="s">
        <v>5638</v>
      </c>
    </row>
    <row r="1305" spans="1:15" x14ac:dyDescent="0.25">
      <c r="A1305" s="471" t="s">
        <v>5654</v>
      </c>
      <c r="B1305" s="1139">
        <f t="shared" ca="1" si="225"/>
        <v>0</v>
      </c>
      <c r="C1305" s="473">
        <f ca="1">IF(ISERROR(VLOOKUP($A$1461,INDIRECT("notes_"&amp;LEFT($A$1461,3)),4,0)),0,VLOOKUP($A$1461,INDIRECT("notes_"&amp;LEFT($A$1461,3)),4,0))</f>
        <v>0</v>
      </c>
      <c r="H1305" s="471">
        <f t="shared" si="224"/>
        <v>6</v>
      </c>
      <c r="I1305" s="471">
        <v>0</v>
      </c>
      <c r="J1305" s="471" t="str">
        <f t="shared" si="226"/>
        <v>housgfcfbnf-non-hra-rbt-dsp</v>
      </c>
      <c r="K1305" s="471" t="str">
        <f t="shared" si="227"/>
        <v>empl</v>
      </c>
      <c r="L1305" s="599"/>
      <c r="M1305" s="471" t="s">
        <v>5636</v>
      </c>
      <c r="N1305" s="471" t="s">
        <v>5637</v>
      </c>
      <c r="O1305" s="471" t="s">
        <v>5638</v>
      </c>
    </row>
    <row r="1306" spans="1:15" x14ac:dyDescent="0.25">
      <c r="A1306" s="471" t="s">
        <v>5655</v>
      </c>
      <c r="B1306" s="1139">
        <f t="shared" ca="1" si="225"/>
        <v>0</v>
      </c>
      <c r="C1306" s="473">
        <f ca="1">IF(ISERROR(VLOOKUP($A$1462,INDIRECT("notes_"&amp;LEFT($A$1462,3)),4,0)),0,VLOOKUP($A$1462,INDIRECT("notes_"&amp;LEFT($A$1462,3)),4,0))</f>
        <v>0</v>
      </c>
      <c r="H1306" s="471">
        <f t="shared" si="224"/>
        <v>6</v>
      </c>
      <c r="I1306" s="471">
        <v>0</v>
      </c>
      <c r="J1306" s="471" t="str">
        <f t="shared" si="226"/>
        <v>housgfcfbnf-rnt-rbt-hra-dsp</v>
      </c>
      <c r="K1306" s="471" t="str">
        <f t="shared" si="227"/>
        <v>empl</v>
      </c>
      <c r="L1306" s="599"/>
      <c r="M1306" s="471" t="s">
        <v>5636</v>
      </c>
      <c r="N1306" s="471" t="s">
        <v>5637</v>
      </c>
      <c r="O1306" s="471" t="s">
        <v>5638</v>
      </c>
    </row>
    <row r="1307" spans="1:15" x14ac:dyDescent="0.25">
      <c r="A1307" s="471" t="s">
        <v>5656</v>
      </c>
      <c r="B1307" s="1139">
        <f t="shared" ca="1" si="225"/>
        <v>0</v>
      </c>
      <c r="C1307" s="473">
        <f ca="1">IF(ISERROR(VLOOKUP($A$1463,INDIRECT("notes_"&amp;LEFT($A$1463,3)),4,0)),0,VLOOKUP($A$1463,INDIRECT("notes_"&amp;LEFT($A$1463,3)),4,0))</f>
        <v>0</v>
      </c>
      <c r="H1307" s="471">
        <f t="shared" si="224"/>
        <v>2</v>
      </c>
      <c r="I1307" s="471">
        <v>0</v>
      </c>
      <c r="J1307" s="471" t="str">
        <f t="shared" si="226"/>
        <v>housgfcfbnfadm</v>
      </c>
      <c r="K1307" s="471" t="str">
        <f t="shared" si="227"/>
        <v>empl</v>
      </c>
      <c r="L1307" s="599"/>
      <c r="M1307" s="471" t="s">
        <v>5636</v>
      </c>
      <c r="N1307" s="471" t="s">
        <v>5637</v>
      </c>
      <c r="O1307" s="471" t="s">
        <v>5638</v>
      </c>
    </row>
    <row r="1308" spans="1:15" x14ac:dyDescent="0.25">
      <c r="A1308" s="471" t="s">
        <v>5657</v>
      </c>
      <c r="B1308" s="1139">
        <f t="shared" ca="1" si="225"/>
        <v>0</v>
      </c>
      <c r="C1308" s="473">
        <f ca="1">IF(ISERROR(VLOOKUP($A$1464,INDIRECT("notes_"&amp;LEFT($A$1464,3)),4,0)),0,VLOOKUP($A$1464,INDIRECT("notes_"&amp;LEFT($A$1464,3)),4,0))</f>
        <v>0</v>
      </c>
      <c r="H1308" s="471">
        <f t="shared" si="224"/>
        <v>2</v>
      </c>
      <c r="I1308" s="471">
        <v>0</v>
      </c>
      <c r="J1308" s="471" t="str">
        <f t="shared" si="226"/>
        <v>housgfcfcnc</v>
      </c>
      <c r="K1308" s="471" t="str">
        <f t="shared" si="227"/>
        <v>empl</v>
      </c>
      <c r="L1308" s="599"/>
      <c r="M1308" s="471" t="s">
        <v>5636</v>
      </c>
      <c r="N1308" s="471" t="s">
        <v>5637</v>
      </c>
      <c r="O1308" s="471" t="s">
        <v>5638</v>
      </c>
    </row>
    <row r="1309" spans="1:15" x14ac:dyDescent="0.25">
      <c r="A1309" s="471" t="s">
        <v>5658</v>
      </c>
      <c r="B1309" s="1139">
        <f t="shared" ca="1" si="225"/>
        <v>0</v>
      </c>
      <c r="C1309" s="473">
        <f ca="1">IF(ISERROR(VLOOKUP($A$1465,INDIRECT("notes_"&amp;LEFT($A$1465,3)),4,0)),0,VLOOKUP($A$1465,INDIRECT("notes_"&amp;LEFT($A$1465,3)),4,0))</f>
        <v>0</v>
      </c>
      <c r="H1309" s="471">
        <f t="shared" si="224"/>
        <v>2</v>
      </c>
      <c r="I1309" s="471">
        <v>0</v>
      </c>
      <c r="J1309" s="471" t="str">
        <f t="shared" si="226"/>
        <v>housgfcfwlfspp</v>
      </c>
      <c r="K1309" s="471" t="str">
        <f t="shared" si="227"/>
        <v>empl</v>
      </c>
      <c r="L1309" s="599"/>
      <c r="M1309" s="471" t="s">
        <v>5636</v>
      </c>
      <c r="N1309" s="471" t="s">
        <v>5637</v>
      </c>
      <c r="O1309" s="471" t="s">
        <v>5638</v>
      </c>
    </row>
    <row r="1310" spans="1:15" x14ac:dyDescent="0.25">
      <c r="A1310" s="471" t="s">
        <v>5659</v>
      </c>
      <c r="B1310" s="1139">
        <f t="shared" ca="1" si="225"/>
        <v>0</v>
      </c>
      <c r="C1310" s="473">
        <f ca="1">IF(ISERROR(VLOOKUP($A$1466,INDIRECT("notes_"&amp;LEFT($A$1466,3)),4,0)),0,VLOOKUP($A$1466,INDIRECT("notes_"&amp;LEFT($A$1466,3)),4,0))</f>
        <v>0</v>
      </c>
      <c r="H1310" s="471">
        <f t="shared" si="224"/>
        <v>2</v>
      </c>
      <c r="I1310" s="471">
        <v>0</v>
      </c>
      <c r="J1310" s="471" t="str">
        <f t="shared" si="226"/>
        <v>housgfcfwlfoth</v>
      </c>
      <c r="K1310" s="471" t="str">
        <f t="shared" si="227"/>
        <v>empl</v>
      </c>
      <c r="L1310" s="599"/>
      <c r="M1310" s="471" t="s">
        <v>5636</v>
      </c>
      <c r="N1310" s="471" t="s">
        <v>5637</v>
      </c>
      <c r="O1310" s="471" t="s">
        <v>5638</v>
      </c>
    </row>
    <row r="1311" spans="1:15" x14ac:dyDescent="0.25">
      <c r="A1311" s="471" t="s">
        <v>5660</v>
      </c>
      <c r="B1311" s="1139">
        <f t="shared" ca="1" si="225"/>
        <v>0</v>
      </c>
      <c r="C1311" s="473">
        <f ca="1">IF(ISERROR(VLOOKUP($A$1467,INDIRECT("notes_"&amp;LEFT($A$1467,3)),4,0)),0,VLOOKUP($A$1467,INDIRECT("notes_"&amp;LEFT($A$1467,3)),4,0))</f>
        <v>0</v>
      </c>
      <c r="H1311" s="471">
        <f t="shared" si="224"/>
        <v>2</v>
      </c>
      <c r="I1311" s="471">
        <v>0</v>
      </c>
      <c r="J1311" s="471" t="str">
        <f t="shared" si="226"/>
        <v>housgfcftot</v>
      </c>
      <c r="K1311" s="471" t="str">
        <f t="shared" si="227"/>
        <v>empl</v>
      </c>
      <c r="L1311" s="599"/>
      <c r="M1311" s="471" t="s">
        <v>5636</v>
      </c>
      <c r="N1311" s="471" t="s">
        <v>5637</v>
      </c>
      <c r="O1311" s="471" t="s">
        <v>5638</v>
      </c>
    </row>
    <row r="1312" spans="1:15" x14ac:dyDescent="0.25">
      <c r="A1312" s="471" t="s">
        <v>5661</v>
      </c>
      <c r="B1312" s="1139">
        <f t="shared" ca="1" si="225"/>
        <v>0</v>
      </c>
      <c r="C1312" s="473">
        <f ca="1">IF(ISERROR(VLOOKUP($A$1446,INDIRECT("notes_"&amp;LEFT($A$1446,3)),4,0)),0,VLOOKUP($A$1446,INDIRECT("notes_"&amp;LEFT($A$1446,3)),4,0))</f>
        <v>0</v>
      </c>
      <c r="H1312" s="471">
        <f t="shared" si="224"/>
        <v>6</v>
      </c>
      <c r="I1312" s="471">
        <v>1</v>
      </c>
      <c r="J1312" s="471" t="str">
        <f t="shared" si="226"/>
        <v>housgfcfstr-hous-str-adv-enb</v>
      </c>
      <c r="K1312" s="471" t="str">
        <f t="shared" si="227"/>
        <v>run-exp</v>
      </c>
      <c r="L1312" s="599"/>
      <c r="M1312" s="471" t="s">
        <v>5636</v>
      </c>
      <c r="N1312" s="471" t="s">
        <v>5637</v>
      </c>
      <c r="O1312" s="471" t="s">
        <v>5638</v>
      </c>
    </row>
    <row r="1313" spans="1:15" x14ac:dyDescent="0.25">
      <c r="A1313" s="471" t="s">
        <v>5662</v>
      </c>
      <c r="B1313" s="1139">
        <f t="shared" ca="1" si="225"/>
        <v>0</v>
      </c>
      <c r="C1313" s="473">
        <f ca="1">IF(ISERROR(VLOOKUP($A$1447,INDIRECT("notes_"&amp;LEFT($A$1447,3)),4,0)),0,VLOOKUP($A$1447,INDIRECT("notes_"&amp;LEFT($A$1447,3)),4,0))</f>
        <v>0</v>
      </c>
      <c r="H1313" s="471">
        <f t="shared" si="224"/>
        <v>4</v>
      </c>
      <c r="I1313" s="471">
        <v>1</v>
      </c>
      <c r="J1313" s="471" t="str">
        <f t="shared" si="226"/>
        <v>housgfcfstr-hous-adv</v>
      </c>
      <c r="K1313" s="471" t="str">
        <f t="shared" si="227"/>
        <v>run-exp</v>
      </c>
      <c r="L1313" s="599"/>
      <c r="M1313" s="471" t="s">
        <v>5636</v>
      </c>
      <c r="N1313" s="471" t="s">
        <v>5637</v>
      </c>
      <c r="O1313" s="471" t="s">
        <v>5638</v>
      </c>
    </row>
    <row r="1314" spans="1:15" x14ac:dyDescent="0.25">
      <c r="A1314" s="471" t="s">
        <v>5663</v>
      </c>
      <c r="B1314" s="1139">
        <f t="shared" ca="1" si="225"/>
        <v>0</v>
      </c>
      <c r="C1314" s="473">
        <f ca="1">IF(ISERROR(VLOOKUP($A$1448,INDIRECT("notes_"&amp;LEFT($A$1448,3)),4,0)),0,VLOOKUP($A$1448,INDIRECT("notes_"&amp;LEFT($A$1448,3)),4,0))</f>
        <v>0</v>
      </c>
      <c r="H1314" s="471">
        <f t="shared" si="224"/>
        <v>5</v>
      </c>
      <c r="I1314" s="471">
        <v>1</v>
      </c>
      <c r="J1314" s="471" t="str">
        <f t="shared" si="226"/>
        <v>housprvsecrnw-adm-rpr-imp</v>
      </c>
      <c r="K1314" s="471" t="str">
        <f t="shared" si="227"/>
        <v>run-exp</v>
      </c>
      <c r="L1314" s="599"/>
      <c r="M1314" s="471" t="s">
        <v>5636</v>
      </c>
      <c r="N1314" s="471" t="s">
        <v>5637</v>
      </c>
      <c r="O1314" s="471" t="s">
        <v>5638</v>
      </c>
    </row>
    <row r="1315" spans="1:15" x14ac:dyDescent="0.25">
      <c r="A1315" s="471" t="s">
        <v>5664</v>
      </c>
      <c r="B1315" s="1139">
        <f t="shared" ca="1" si="225"/>
        <v>0</v>
      </c>
      <c r="C1315" s="473">
        <f ca="1">IF(ISERROR(VLOOKUP($A$1449,INDIRECT("notes_"&amp;LEFT($A$1449,3)),4,0)),0,VLOOKUP($A$1449,INDIRECT("notes_"&amp;LEFT($A$1449,3)),4,0))</f>
        <v>0</v>
      </c>
      <c r="H1315" s="471">
        <f t="shared" si="224"/>
        <v>3</v>
      </c>
      <c r="I1315" s="471">
        <v>1</v>
      </c>
      <c r="J1315" s="471" t="str">
        <f t="shared" si="226"/>
        <v>housprvsecrnw-oth</v>
      </c>
      <c r="K1315" s="471" t="str">
        <f t="shared" si="227"/>
        <v>run-exp</v>
      </c>
      <c r="L1315" s="599"/>
      <c r="M1315" s="471" t="s">
        <v>5636</v>
      </c>
      <c r="N1315" s="471" t="s">
        <v>5637</v>
      </c>
      <c r="O1315" s="471" t="s">
        <v>5638</v>
      </c>
    </row>
    <row r="1316" spans="1:15" x14ac:dyDescent="0.25">
      <c r="A1316" s="471" t="s">
        <v>5665</v>
      </c>
      <c r="B1316" s="1139">
        <f t="shared" ca="1" si="225"/>
        <v>0</v>
      </c>
      <c r="C1316" s="473">
        <f ca="1">IF(ISERROR(VLOOKUP($A$1450,INDIRECT("notes_"&amp;LEFT($A$1450,3)),4,0)),0,VLOOKUP($A$1450,INDIRECT("notes_"&amp;LEFT($A$1450,3)),4,0))</f>
        <v>0</v>
      </c>
      <c r="H1316" s="471">
        <f t="shared" si="224"/>
        <v>6</v>
      </c>
      <c r="I1316" s="471">
        <v>1</v>
      </c>
      <c r="J1316" s="471" t="str">
        <f t="shared" si="226"/>
        <v>housgfcfhml-ngt-prv-mng-acc</v>
      </c>
      <c r="K1316" s="471" t="str">
        <f t="shared" si="227"/>
        <v>run-exp</v>
      </c>
      <c r="L1316" s="599"/>
      <c r="M1316" s="471" t="s">
        <v>5636</v>
      </c>
      <c r="N1316" s="471" t="s">
        <v>5637</v>
      </c>
      <c r="O1316" s="471" t="s">
        <v>5638</v>
      </c>
    </row>
    <row r="1317" spans="1:15" x14ac:dyDescent="0.25">
      <c r="A1317" s="471" t="s">
        <v>5666</v>
      </c>
      <c r="B1317" s="1139">
        <f t="shared" ca="1" si="225"/>
        <v>0</v>
      </c>
      <c r="C1317" s="473">
        <f ca="1">IF(ISERROR(VLOOKUP($A$1451,INDIRECT("notes_"&amp;LEFT($A$1451,3)),4,0)),0,VLOOKUP($A$1451,INDIRECT("notes_"&amp;LEFT($A$1451,3)),4,0))</f>
        <v>0</v>
      </c>
      <c r="H1317" s="471">
        <f t="shared" si="224"/>
        <v>5</v>
      </c>
      <c r="I1317" s="471">
        <v>1</v>
      </c>
      <c r="J1317" s="471" t="str">
        <f t="shared" si="226"/>
        <v>housgfcfhml-prv-acc-lsd</v>
      </c>
      <c r="K1317" s="471" t="str">
        <f t="shared" si="227"/>
        <v>run-exp</v>
      </c>
      <c r="L1317" s="599"/>
      <c r="M1317" s="471" t="s">
        <v>5636</v>
      </c>
      <c r="N1317" s="471" t="s">
        <v>5637</v>
      </c>
      <c r="O1317" s="471" t="s">
        <v>5638</v>
      </c>
    </row>
    <row r="1318" spans="1:15" x14ac:dyDescent="0.25">
      <c r="A1318" s="471" t="s">
        <v>5667</v>
      </c>
      <c r="B1318" s="1139">
        <f t="shared" ca="1" si="225"/>
        <v>0</v>
      </c>
      <c r="C1318" s="473">
        <f ca="1">IF(ISERROR(VLOOKUP($A$1452,INDIRECT("notes_"&amp;LEFT($A$1452,3)),4,0)),0,VLOOKUP($A$1452,INDIRECT("notes_"&amp;LEFT($A$1452,3)),4,0))</f>
        <v>0</v>
      </c>
      <c r="H1318" s="471">
        <f t="shared" si="224"/>
        <v>5</v>
      </c>
      <c r="I1318" s="471">
        <v>1</v>
      </c>
      <c r="J1318" s="471" t="str">
        <f t="shared" si="226"/>
        <v>housgfcfhml-hst-incl-rcpt</v>
      </c>
      <c r="K1318" s="471" t="str">
        <f t="shared" si="227"/>
        <v>run-exp</v>
      </c>
      <c r="L1318" s="599"/>
      <c r="M1318" s="471" t="s">
        <v>5636</v>
      </c>
      <c r="N1318" s="471" t="s">
        <v>5637</v>
      </c>
      <c r="O1318" s="471" t="s">
        <v>5638</v>
      </c>
    </row>
    <row r="1319" spans="1:15" x14ac:dyDescent="0.25">
      <c r="A1319" s="471" t="s">
        <v>5668</v>
      </c>
      <c r="B1319" s="1139">
        <f t="shared" ca="1" si="225"/>
        <v>0</v>
      </c>
      <c r="C1319" s="473">
        <f ca="1">IF(ISERROR(VLOOKUP($A$1453,INDIRECT("notes_"&amp;LEFT($A$1453,3)),4,0)),0,VLOOKUP($A$1453,INDIRECT("notes_"&amp;LEFT($A$1453,3)),4,0))</f>
        <v>0</v>
      </c>
      <c r="H1319" s="471">
        <f t="shared" si="224"/>
        <v>4</v>
      </c>
      <c r="I1319" s="471">
        <v>1</v>
      </c>
      <c r="J1319" s="471" t="str">
        <f t="shared" si="226"/>
        <v>housgfcfhml-bb-htls</v>
      </c>
      <c r="K1319" s="471" t="str">
        <f t="shared" si="227"/>
        <v>run-exp</v>
      </c>
      <c r="L1319" s="599"/>
      <c r="M1319" s="471" t="s">
        <v>5636</v>
      </c>
      <c r="N1319" s="471" t="s">
        <v>5637</v>
      </c>
      <c r="O1319" s="471" t="s">
        <v>5638</v>
      </c>
    </row>
    <row r="1320" spans="1:15" x14ac:dyDescent="0.25">
      <c r="A1320" s="471" t="s">
        <v>5669</v>
      </c>
      <c r="B1320" s="1139">
        <f t="shared" ca="1" si="225"/>
        <v>0</v>
      </c>
      <c r="C1320" s="473">
        <f ca="1">IF(ISERROR(VLOOKUP($A$1454,INDIRECT("notes_"&amp;LEFT($A$1454,3)),4,0)),0,VLOOKUP($A$1454,INDIRECT("notes_"&amp;LEFT($A$1454,3)),4,0))</f>
        <v>0</v>
      </c>
      <c r="H1320" s="471">
        <f t="shared" si="224"/>
        <v>5</v>
      </c>
      <c r="I1320" s="471">
        <v>1</v>
      </c>
      <c r="J1320" s="471" t="str">
        <f t="shared" si="226"/>
        <v>housgfcfhml-la-ha-stk</v>
      </c>
      <c r="K1320" s="471" t="str">
        <f t="shared" si="227"/>
        <v>run-exp</v>
      </c>
      <c r="L1320" s="599"/>
      <c r="M1320" s="471" t="s">
        <v>5636</v>
      </c>
      <c r="N1320" s="471" t="s">
        <v>5637</v>
      </c>
      <c r="O1320" s="471" t="s">
        <v>5638</v>
      </c>
    </row>
    <row r="1321" spans="1:15" x14ac:dyDescent="0.25">
      <c r="A1321" s="471" t="s">
        <v>5670</v>
      </c>
      <c r="B1321" s="1139">
        <f t="shared" ca="1" si="225"/>
        <v>0</v>
      </c>
      <c r="C1321" s="473">
        <f ca="1">IF(ISERROR(VLOOKUP($A$1455,INDIRECT("notes_"&amp;LEFT($A$1455,3)),4,0)),0,VLOOKUP($A$1455,INDIRECT("notes_"&amp;LEFT($A$1455,3)),4,0))</f>
        <v>0</v>
      </c>
      <c r="H1321" s="471">
        <f t="shared" si="224"/>
        <v>6</v>
      </c>
      <c r="I1321" s="471">
        <v>1</v>
      </c>
      <c r="J1321" s="471" t="str">
        <f t="shared" si="226"/>
        <v>housgfcfhml-any-oth-temp-acc</v>
      </c>
      <c r="K1321" s="471" t="str">
        <f t="shared" si="227"/>
        <v>run-exp</v>
      </c>
      <c r="L1321" s="599"/>
      <c r="M1321" s="471" t="s">
        <v>5636</v>
      </c>
      <c r="N1321" s="471" t="s">
        <v>5637</v>
      </c>
      <c r="O1321" s="471" t="s">
        <v>5638</v>
      </c>
    </row>
    <row r="1322" spans="1:15" x14ac:dyDescent="0.25">
      <c r="A1322" s="471" t="s">
        <v>5671</v>
      </c>
      <c r="B1322" s="1139">
        <f t="shared" ca="1" si="225"/>
        <v>0</v>
      </c>
      <c r="C1322" s="473">
        <f ca="1">IF(ISERROR(VLOOKUP($A$1456,INDIRECT("notes_"&amp;LEFT($A$1456,3)),4,0)),0,VLOOKUP($A$1456,INDIRECT("notes_"&amp;LEFT($A$1456,3)),4,0))</f>
        <v>0</v>
      </c>
      <c r="H1322" s="471">
        <f t="shared" si="224"/>
        <v>5</v>
      </c>
      <c r="I1322" s="471">
        <v>1</v>
      </c>
      <c r="J1322" s="471" t="str">
        <f t="shared" si="226"/>
        <v>housgfcfhml-tmp-acc-adm</v>
      </c>
      <c r="K1322" s="471" t="str">
        <f t="shared" si="227"/>
        <v>run-exp</v>
      </c>
      <c r="L1322" s="599"/>
      <c r="M1322" s="471" t="s">
        <v>5636</v>
      </c>
      <c r="N1322" s="471" t="s">
        <v>5637</v>
      </c>
      <c r="O1322" s="471" t="s">
        <v>5638</v>
      </c>
    </row>
    <row r="1323" spans="1:15" x14ac:dyDescent="0.25">
      <c r="A1323" s="471" t="s">
        <v>5672</v>
      </c>
      <c r="B1323" s="1139">
        <f t="shared" ca="1" si="225"/>
        <v>0</v>
      </c>
      <c r="C1323" s="473">
        <f ca="1">IF(ISERROR(VLOOKUP($A$1457,INDIRECT("notes_"&amp;LEFT($A$1457,3)),4,0)),0,VLOOKUP($A$1457,INDIRECT("notes_"&amp;LEFT($A$1457,3)),4,0))</f>
        <v>0</v>
      </c>
      <c r="H1323" s="471">
        <f t="shared" si="224"/>
        <v>5</v>
      </c>
      <c r="I1323" s="471">
        <v>1</v>
      </c>
      <c r="J1323" s="471" t="str">
        <f t="shared" si="226"/>
        <v>housgfcfhml-hml-rdct-act</v>
      </c>
      <c r="K1323" s="471" t="str">
        <f t="shared" si="227"/>
        <v>run-exp</v>
      </c>
      <c r="L1323" s="599"/>
      <c r="M1323" s="471" t="s">
        <v>5636</v>
      </c>
      <c r="N1323" s="471" t="s">
        <v>5637</v>
      </c>
      <c r="O1323" s="471" t="s">
        <v>5638</v>
      </c>
    </row>
    <row r="1324" spans="1:15" x14ac:dyDescent="0.25">
      <c r="A1324" s="471" t="s">
        <v>5673</v>
      </c>
      <c r="B1324" s="1139">
        <f t="shared" ca="1" si="225"/>
        <v>0</v>
      </c>
      <c r="C1324" s="473">
        <f ca="1">IF(ISERROR(VLOOKUP($A$1458,INDIRECT("notes_"&amp;LEFT($A$1458,3)),4,0)),0,VLOOKUP($A$1458,INDIRECT("notes_"&amp;LEFT($A$1458,3)),4,0))</f>
        <v>0</v>
      </c>
      <c r="H1324" s="471">
        <f t="shared" si="224"/>
        <v>6</v>
      </c>
      <c r="I1324" s="471">
        <v>1</v>
      </c>
      <c r="J1324" s="471" t="str">
        <f t="shared" si="226"/>
        <v>housgfcfhml-non-hml-rdct-act</v>
      </c>
      <c r="K1324" s="471" t="str">
        <f t="shared" si="227"/>
        <v>run-exp</v>
      </c>
      <c r="L1324" s="599"/>
      <c r="M1324" s="471" t="s">
        <v>5636</v>
      </c>
      <c r="N1324" s="471" t="s">
        <v>5637</v>
      </c>
      <c r="O1324" s="471" t="s">
        <v>5638</v>
      </c>
    </row>
    <row r="1325" spans="1:15" x14ac:dyDescent="0.25">
      <c r="A1325" s="471" t="s">
        <v>5674</v>
      </c>
      <c r="B1325" s="1139">
        <f t="shared" ca="1" si="225"/>
        <v>0</v>
      </c>
      <c r="C1325" s="473">
        <f ca="1">IF(ISERROR(VLOOKUP($A$1459,INDIRECT("notes_"&amp;LEFT($A$1459,3)),4,0)),0,VLOOKUP($A$1459,INDIRECT("notes_"&amp;LEFT($A$1459,3)),4,0))</f>
        <v>0</v>
      </c>
      <c r="H1325" s="471">
        <f t="shared" si="224"/>
        <v>4</v>
      </c>
      <c r="I1325" s="471">
        <v>1</v>
      </c>
      <c r="J1325" s="471" t="str">
        <f t="shared" si="226"/>
        <v>housgfcfhml-hml-tot</v>
      </c>
      <c r="K1325" s="471" t="str">
        <f t="shared" si="227"/>
        <v>run-exp</v>
      </c>
      <c r="L1325" s="599"/>
      <c r="M1325" s="471" t="s">
        <v>5636</v>
      </c>
      <c r="N1325" s="471" t="s">
        <v>5637</v>
      </c>
      <c r="O1325" s="471" t="s">
        <v>5638</v>
      </c>
    </row>
    <row r="1326" spans="1:15" x14ac:dyDescent="0.25">
      <c r="A1326" s="471" t="s">
        <v>5675</v>
      </c>
      <c r="B1326" s="1139">
        <f t="shared" ca="1" si="225"/>
        <v>0</v>
      </c>
      <c r="C1326" s="473">
        <f ca="1">IF(ISERROR(VLOOKUP($A$1460,INDIRECT("notes_"&amp;LEFT($A$1460,3)),4,0)),0,VLOOKUP($A$1460,INDIRECT("notes_"&amp;LEFT($A$1460,3)),4,0))</f>
        <v>0</v>
      </c>
      <c r="H1326" s="471">
        <f t="shared" si="224"/>
        <v>5</v>
      </c>
      <c r="I1326" s="471">
        <v>1</v>
      </c>
      <c r="J1326" s="471" t="str">
        <f t="shared" si="226"/>
        <v>housgfcfbnf-rnt-all-dsp</v>
      </c>
      <c r="K1326" s="471" t="str">
        <f t="shared" si="227"/>
        <v>run-exp</v>
      </c>
      <c r="L1326" s="599"/>
      <c r="M1326" s="471" t="s">
        <v>5636</v>
      </c>
      <c r="N1326" s="471" t="s">
        <v>5637</v>
      </c>
      <c r="O1326" s="471" t="s">
        <v>5638</v>
      </c>
    </row>
    <row r="1327" spans="1:15" x14ac:dyDescent="0.25">
      <c r="A1327" s="471" t="s">
        <v>5676</v>
      </c>
      <c r="B1327" s="1139">
        <f t="shared" ca="1" si="225"/>
        <v>0</v>
      </c>
      <c r="C1327" s="473">
        <f ca="1">IF(ISERROR(VLOOKUP($A$1461,INDIRECT("notes_"&amp;LEFT($A$1461,3)),4,0)),0,VLOOKUP($A$1461,INDIRECT("notes_"&amp;LEFT($A$1461,3)),4,0))</f>
        <v>0</v>
      </c>
      <c r="H1327" s="471">
        <f t="shared" si="224"/>
        <v>6</v>
      </c>
      <c r="I1327" s="471">
        <v>1</v>
      </c>
      <c r="J1327" s="471" t="str">
        <f t="shared" si="226"/>
        <v>housgfcfbnf-non-hra-rbt-dsp</v>
      </c>
      <c r="K1327" s="471" t="str">
        <f t="shared" si="227"/>
        <v>run-exp</v>
      </c>
      <c r="L1327" s="599"/>
      <c r="M1327" s="471" t="s">
        <v>5636</v>
      </c>
      <c r="N1327" s="471" t="s">
        <v>5637</v>
      </c>
      <c r="O1327" s="471" t="s">
        <v>5638</v>
      </c>
    </row>
    <row r="1328" spans="1:15" x14ac:dyDescent="0.25">
      <c r="A1328" s="471" t="s">
        <v>5677</v>
      </c>
      <c r="B1328" s="1139">
        <f t="shared" ca="1" si="225"/>
        <v>0</v>
      </c>
      <c r="C1328" s="473">
        <f ca="1">IF(ISERROR(VLOOKUP($A$1462,INDIRECT("notes_"&amp;LEFT($A$1462,3)),4,0)),0,VLOOKUP($A$1462,INDIRECT("notes_"&amp;LEFT($A$1462,3)),4,0))</f>
        <v>0</v>
      </c>
      <c r="H1328" s="471">
        <f t="shared" si="224"/>
        <v>6</v>
      </c>
      <c r="I1328" s="471">
        <v>1</v>
      </c>
      <c r="J1328" s="471" t="str">
        <f t="shared" si="226"/>
        <v>housgfcfbnf-rnt-rbt-hra-dsp</v>
      </c>
      <c r="K1328" s="471" t="str">
        <f t="shared" si="227"/>
        <v>run-exp</v>
      </c>
      <c r="L1328" s="599"/>
      <c r="M1328" s="471" t="s">
        <v>5636</v>
      </c>
      <c r="N1328" s="471" t="s">
        <v>5637</v>
      </c>
      <c r="O1328" s="471" t="s">
        <v>5638</v>
      </c>
    </row>
    <row r="1329" spans="1:15" x14ac:dyDescent="0.25">
      <c r="A1329" s="471" t="s">
        <v>5678</v>
      </c>
      <c r="B1329" s="1139">
        <f t="shared" ca="1" si="225"/>
        <v>0</v>
      </c>
      <c r="C1329" s="473">
        <f ca="1">IF(ISERROR(VLOOKUP($A$1463,INDIRECT("notes_"&amp;LEFT($A$1463,3)),4,0)),0,VLOOKUP($A$1463,INDIRECT("notes_"&amp;LEFT($A$1463,3)),4,0))</f>
        <v>0</v>
      </c>
      <c r="H1329" s="471">
        <f t="shared" si="224"/>
        <v>2</v>
      </c>
      <c r="I1329" s="471">
        <v>1</v>
      </c>
      <c r="J1329" s="471" t="str">
        <f t="shared" si="226"/>
        <v>housgfcfbnfadm</v>
      </c>
      <c r="K1329" s="471" t="str">
        <f t="shared" si="227"/>
        <v>run-exp</v>
      </c>
      <c r="L1329" s="599"/>
      <c r="M1329" s="471" t="s">
        <v>5636</v>
      </c>
      <c r="N1329" s="471" t="s">
        <v>5637</v>
      </c>
      <c r="O1329" s="471" t="s">
        <v>5638</v>
      </c>
    </row>
    <row r="1330" spans="1:15" x14ac:dyDescent="0.25">
      <c r="A1330" s="471" t="s">
        <v>5679</v>
      </c>
      <c r="B1330" s="1139">
        <f t="shared" ca="1" si="225"/>
        <v>0</v>
      </c>
      <c r="C1330" s="473">
        <f ca="1">IF(ISERROR(VLOOKUP($A$1464,INDIRECT("notes_"&amp;LEFT($A$1464,3)),4,0)),0,VLOOKUP($A$1464,INDIRECT("notes_"&amp;LEFT($A$1464,3)),4,0))</f>
        <v>0</v>
      </c>
      <c r="H1330" s="471">
        <f t="shared" si="224"/>
        <v>2</v>
      </c>
      <c r="I1330" s="471">
        <v>1</v>
      </c>
      <c r="J1330" s="471" t="str">
        <f t="shared" si="226"/>
        <v>housgfcfcnc</v>
      </c>
      <c r="K1330" s="471" t="str">
        <f t="shared" si="227"/>
        <v>run-exp</v>
      </c>
      <c r="L1330" s="599"/>
      <c r="M1330" s="471" t="s">
        <v>5636</v>
      </c>
      <c r="N1330" s="471" t="s">
        <v>5637</v>
      </c>
      <c r="O1330" s="471" t="s">
        <v>5638</v>
      </c>
    </row>
    <row r="1331" spans="1:15" x14ac:dyDescent="0.25">
      <c r="A1331" s="471" t="s">
        <v>5680</v>
      </c>
      <c r="B1331" s="1139">
        <f t="shared" ca="1" si="225"/>
        <v>0</v>
      </c>
      <c r="C1331" s="473">
        <f ca="1">IF(ISERROR(VLOOKUP($A$1465,INDIRECT("notes_"&amp;LEFT($A$1465,3)),4,0)),0,VLOOKUP($A$1465,INDIRECT("notes_"&amp;LEFT($A$1465,3)),4,0))</f>
        <v>0</v>
      </c>
      <c r="H1331" s="471">
        <f t="shared" si="224"/>
        <v>2</v>
      </c>
      <c r="I1331" s="471">
        <v>1</v>
      </c>
      <c r="J1331" s="471" t="str">
        <f t="shared" si="226"/>
        <v>housgfcfwlfspp</v>
      </c>
      <c r="K1331" s="471" t="str">
        <f t="shared" si="227"/>
        <v>run-exp</v>
      </c>
      <c r="L1331" s="599"/>
      <c r="M1331" s="471" t="s">
        <v>5636</v>
      </c>
      <c r="N1331" s="471" t="s">
        <v>5637</v>
      </c>
      <c r="O1331" s="471" t="s">
        <v>5638</v>
      </c>
    </row>
    <row r="1332" spans="1:15" x14ac:dyDescent="0.25">
      <c r="A1332" s="471" t="s">
        <v>5681</v>
      </c>
      <c r="B1332" s="1139">
        <f t="shared" ca="1" si="225"/>
        <v>0</v>
      </c>
      <c r="C1332" s="473">
        <f ca="1">IF(ISERROR(VLOOKUP($A$1466,INDIRECT("notes_"&amp;LEFT($A$1466,3)),4,0)),0,VLOOKUP($A$1466,INDIRECT("notes_"&amp;LEFT($A$1466,3)),4,0))</f>
        <v>0</v>
      </c>
      <c r="H1332" s="471">
        <f t="shared" si="224"/>
        <v>2</v>
      </c>
      <c r="I1332" s="471">
        <v>1</v>
      </c>
      <c r="J1332" s="471" t="str">
        <f t="shared" si="226"/>
        <v>housgfcfwlfoth</v>
      </c>
      <c r="K1332" s="471" t="str">
        <f t="shared" si="227"/>
        <v>run-exp</v>
      </c>
      <c r="L1332" s="599"/>
      <c r="M1332" s="471" t="s">
        <v>5636</v>
      </c>
      <c r="N1332" s="471" t="s">
        <v>5637</v>
      </c>
      <c r="O1332" s="471" t="s">
        <v>5638</v>
      </c>
    </row>
    <row r="1333" spans="1:15" x14ac:dyDescent="0.25">
      <c r="A1333" s="471" t="s">
        <v>5682</v>
      </c>
      <c r="B1333" s="1139">
        <f t="shared" ca="1" si="225"/>
        <v>0</v>
      </c>
      <c r="C1333" s="473">
        <f ca="1">IF(ISERROR(VLOOKUP($A$1467,INDIRECT("notes_"&amp;LEFT($A$1467,3)),4,0)),0,VLOOKUP($A$1467,INDIRECT("notes_"&amp;LEFT($A$1467,3)),4,0))</f>
        <v>0</v>
      </c>
      <c r="H1333" s="471">
        <f t="shared" si="224"/>
        <v>2</v>
      </c>
      <c r="I1333" s="471">
        <v>1</v>
      </c>
      <c r="J1333" s="471" t="str">
        <f t="shared" si="226"/>
        <v>housgfcftot</v>
      </c>
      <c r="K1333" s="471" t="str">
        <f t="shared" si="227"/>
        <v>run-exp</v>
      </c>
      <c r="L1333" s="599"/>
      <c r="M1333" s="471" t="s">
        <v>5636</v>
      </c>
      <c r="N1333" s="471" t="s">
        <v>5637</v>
      </c>
      <c r="O1333" s="471" t="s">
        <v>5638</v>
      </c>
    </row>
    <row r="1334" spans="1:15" x14ac:dyDescent="0.25">
      <c r="A1334" s="471" t="s">
        <v>2137</v>
      </c>
      <c r="B1334" s="1139">
        <f t="shared" ca="1" si="225"/>
        <v>0</v>
      </c>
      <c r="C1334" s="473">
        <f ca="1">IF(ISERROR(VLOOKUP($A$1334,INDIRECT("notes_"&amp;LEFT($A$1334,3)),4,0)),0,VLOOKUP($A$1334,INDIRECT("notes_"&amp;LEFT($A$1334,3)),4,0))</f>
        <v>0</v>
      </c>
      <c r="H1334" s="471">
        <f t="shared" si="224"/>
        <v>2</v>
      </c>
      <c r="I1334" s="471">
        <v>1</v>
      </c>
      <c r="J1334" s="471" t="str">
        <f t="shared" si="226"/>
        <v>housgsvmem</v>
      </c>
      <c r="K1334" s="471" t="str">
        <f t="shared" si="227"/>
        <v>run-exp</v>
      </c>
      <c r="L1334" s="599"/>
      <c r="M1334" s="471" t="s">
        <v>5636</v>
      </c>
      <c r="N1334" s="471" t="s">
        <v>5637</v>
      </c>
      <c r="O1334" s="471" t="s">
        <v>5638</v>
      </c>
    </row>
    <row r="1335" spans="1:15" x14ac:dyDescent="0.25">
      <c r="A1335" s="471" t="s">
        <v>5683</v>
      </c>
      <c r="B1335" s="1139">
        <f t="shared" ca="1" si="225"/>
        <v>0</v>
      </c>
      <c r="C1335" s="473">
        <f ca="1">IF(ISERROR(VLOOKUP($A$1446,INDIRECT("notes_"&amp;LEFT($A$1446,3)),4,0)),0,VLOOKUP($A$1446,INDIRECT("notes_"&amp;LEFT($A$1446,3)),4,0))</f>
        <v>0</v>
      </c>
      <c r="H1335" s="471">
        <f t="shared" si="224"/>
        <v>6</v>
      </c>
      <c r="I1335" s="471">
        <v>1</v>
      </c>
      <c r="J1335" s="471" t="str">
        <f t="shared" si="226"/>
        <v>housgfcfstr-hous-str-adv-enb</v>
      </c>
      <c r="K1335" s="471" t="str">
        <f t="shared" si="227"/>
        <v>tot-exp</v>
      </c>
      <c r="L1335" s="599"/>
      <c r="M1335" s="471" t="s">
        <v>5636</v>
      </c>
      <c r="N1335" s="471" t="s">
        <v>5637</v>
      </c>
      <c r="O1335" s="471" t="s">
        <v>5638</v>
      </c>
    </row>
    <row r="1336" spans="1:15" x14ac:dyDescent="0.25">
      <c r="A1336" s="471" t="s">
        <v>5684</v>
      </c>
      <c r="B1336" s="1139">
        <f t="shared" ca="1" si="225"/>
        <v>0</v>
      </c>
      <c r="C1336" s="473">
        <f ca="1">IF(ISERROR(VLOOKUP($A$1447,INDIRECT("notes_"&amp;LEFT($A$1447,3)),4,0)),0,VLOOKUP($A$1447,INDIRECT("notes_"&amp;LEFT($A$1447,3)),4,0))</f>
        <v>0</v>
      </c>
      <c r="H1336" s="471">
        <f t="shared" si="224"/>
        <v>4</v>
      </c>
      <c r="I1336" s="471">
        <v>1</v>
      </c>
      <c r="J1336" s="471" t="str">
        <f t="shared" si="226"/>
        <v>housgfcfstr-hous-adv</v>
      </c>
      <c r="K1336" s="471" t="str">
        <f t="shared" si="227"/>
        <v>tot-exp</v>
      </c>
      <c r="L1336" s="599"/>
      <c r="M1336" s="471" t="s">
        <v>5636</v>
      </c>
      <c r="N1336" s="471" t="s">
        <v>5637</v>
      </c>
      <c r="O1336" s="471" t="s">
        <v>5638</v>
      </c>
    </row>
    <row r="1337" spans="1:15" x14ac:dyDescent="0.25">
      <c r="A1337" s="471" t="s">
        <v>5685</v>
      </c>
      <c r="B1337" s="1139">
        <f t="shared" ca="1" si="225"/>
        <v>0</v>
      </c>
      <c r="C1337" s="473">
        <f ca="1">IF(ISERROR(VLOOKUP($A$1448,INDIRECT("notes_"&amp;LEFT($A$1448,3)),4,0)),0,VLOOKUP($A$1448,INDIRECT("notes_"&amp;LEFT($A$1448,3)),4,0))</f>
        <v>0</v>
      </c>
      <c r="H1337" s="471">
        <f t="shared" si="224"/>
        <v>5</v>
      </c>
      <c r="I1337" s="471">
        <v>1</v>
      </c>
      <c r="J1337" s="471" t="str">
        <f t="shared" si="226"/>
        <v>housprvsecrnw-adm-rpr-imp</v>
      </c>
      <c r="K1337" s="471" t="str">
        <f t="shared" si="227"/>
        <v>tot-exp</v>
      </c>
      <c r="L1337" s="599"/>
      <c r="M1337" s="471" t="s">
        <v>5636</v>
      </c>
      <c r="N1337" s="471" t="s">
        <v>5637</v>
      </c>
      <c r="O1337" s="471" t="s">
        <v>5638</v>
      </c>
    </row>
    <row r="1338" spans="1:15" x14ac:dyDescent="0.25">
      <c r="A1338" s="471" t="s">
        <v>5686</v>
      </c>
      <c r="B1338" s="1139">
        <f t="shared" ca="1" si="225"/>
        <v>0</v>
      </c>
      <c r="C1338" s="473">
        <f ca="1">IF(ISERROR(VLOOKUP($A$1449,INDIRECT("notes_"&amp;LEFT($A$1449,3)),4,0)),0,VLOOKUP($A$1449,INDIRECT("notes_"&amp;LEFT($A$1449,3)),4,0))</f>
        <v>0</v>
      </c>
      <c r="H1338" s="471">
        <f t="shared" si="224"/>
        <v>3</v>
      </c>
      <c r="I1338" s="471">
        <v>1</v>
      </c>
      <c r="J1338" s="471" t="str">
        <f t="shared" si="226"/>
        <v>housprvsecrnw-oth</v>
      </c>
      <c r="K1338" s="471" t="str">
        <f t="shared" si="227"/>
        <v>tot-exp</v>
      </c>
      <c r="L1338" s="599"/>
      <c r="M1338" s="471" t="s">
        <v>5636</v>
      </c>
      <c r="N1338" s="471" t="s">
        <v>5637</v>
      </c>
      <c r="O1338" s="471" t="s">
        <v>5638</v>
      </c>
    </row>
    <row r="1339" spans="1:15" x14ac:dyDescent="0.25">
      <c r="A1339" s="471" t="s">
        <v>5687</v>
      </c>
      <c r="B1339" s="1139">
        <f t="shared" ca="1" si="225"/>
        <v>0</v>
      </c>
      <c r="C1339" s="473">
        <f ca="1">IF(ISERROR(VLOOKUP($A$1450,INDIRECT("notes_"&amp;LEFT($A$1450,3)),4,0)),0,VLOOKUP($A$1450,INDIRECT("notes_"&amp;LEFT($A$1450,3)),4,0))</f>
        <v>0</v>
      </c>
      <c r="H1339" s="471">
        <f t="shared" ref="H1339:H1425" si="228">LEN(A1339)-LEN(SUBSTITUTE(A1339,"-",""))-I1339</f>
        <v>6</v>
      </c>
      <c r="I1339" s="471">
        <v>1</v>
      </c>
      <c r="J1339" s="471" t="str">
        <f t="shared" si="226"/>
        <v>housgfcfhml-ngt-prv-mng-acc</v>
      </c>
      <c r="K1339" s="471" t="str">
        <f t="shared" si="227"/>
        <v>tot-exp</v>
      </c>
      <c r="L1339" s="599"/>
      <c r="M1339" s="471" t="s">
        <v>5636</v>
      </c>
      <c r="N1339" s="471" t="s">
        <v>5637</v>
      </c>
      <c r="O1339" s="471" t="s">
        <v>5638</v>
      </c>
    </row>
    <row r="1340" spans="1:15" x14ac:dyDescent="0.25">
      <c r="A1340" s="471" t="s">
        <v>5688</v>
      </c>
      <c r="B1340" s="1139">
        <f t="shared" ref="B1340:B1426" ca="1" si="229">INDEX(INDIRECT(LEFT($A1340,SEARCH("-",$A1340,1)-1)&amp;"_data"),MATCH(MID($A1340,SEARCH("-",$A1340)+1,SEARCH("#",SUBSTITUTE($A1340,"-","#",H1340),1)-(SEARCH("-",$A1340)+1)),INDIRECT(LEFT($A1340,SEARCH("-",$A1340,1)-1)&amp;"_rows"),0),MATCH(RIGHT($A1340,LEN($A1340)-LEN(LEFT($A1340,SEARCH("#",SUBSTITUTE($A1340,"-","#",H1340),1)))),INDIRECT(LEFT($A1340,SEARCH("-",$A1340,1)-1)&amp;"_Header"),0))</f>
        <v>0</v>
      </c>
      <c r="C1340" s="473">
        <f ca="1">IF(ISERROR(VLOOKUP($A$1451,INDIRECT("notes_"&amp;LEFT($A$1451,3)),4,0)),0,VLOOKUP($A$1451,INDIRECT("notes_"&amp;LEFT($A$1451,3)),4,0))</f>
        <v>0</v>
      </c>
      <c r="H1340" s="471">
        <f t="shared" si="228"/>
        <v>5</v>
      </c>
      <c r="I1340" s="471">
        <v>1</v>
      </c>
      <c r="J1340" s="471" t="str">
        <f t="shared" si="226"/>
        <v>housgfcfhml-prv-acc-lsd</v>
      </c>
      <c r="K1340" s="471" t="str">
        <f t="shared" si="227"/>
        <v>tot-exp</v>
      </c>
      <c r="L1340" s="599"/>
      <c r="M1340" s="471" t="s">
        <v>5636</v>
      </c>
      <c r="N1340" s="471" t="s">
        <v>5637</v>
      </c>
      <c r="O1340" s="471" t="s">
        <v>5638</v>
      </c>
    </row>
    <row r="1341" spans="1:15" x14ac:dyDescent="0.25">
      <c r="A1341" s="471" t="s">
        <v>5689</v>
      </c>
      <c r="B1341" s="1139">
        <f ca="1">INDEX(INDIRECT(LEFT($A1341,SEARCH("-",$A1341,1)-1)&amp;"_data"),MATCH(MID($A1341,SEARCH("-",$A1341)+1,SEARCH("#",SUBSTITUTE($A1341,"-","#",H1341),1)-(SEARCH("-",$A1341)+1)),INDIRECT(LEFT($A1341,SEARCH("-",$A1341,1)-1)&amp;"_rows"),0),MATCH(RIGHT($A1341,LEN($A1341)-LEN(LEFT($A1341,SEARCH("#",SUBSTITUTE($A1341,"-","#",H1341+1),1)))),INDIRECT(LEFT($A1341,SEARCH("-",$A1341,1)-1)&amp;"_Header"),0))</f>
        <v>0</v>
      </c>
      <c r="C1341" s="473">
        <f ca="1">IF(ISERROR(VLOOKUP($A$1452,INDIRECT("notes_"&amp;LEFT($A$1452,3)),4,0)),0,VLOOKUP($A$1452,INDIRECT("notes_"&amp;LEFT($A$1452,3)),4,0))</f>
        <v>0</v>
      </c>
      <c r="H1341" s="471">
        <f t="shared" si="228"/>
        <v>5</v>
      </c>
      <c r="I1341" s="471">
        <v>2</v>
      </c>
      <c r="J1341" s="471" t="str">
        <f t="shared" si="226"/>
        <v>housgfcfhml-hst-incl-rcpt</v>
      </c>
      <c r="K1341" s="471" t="str">
        <f>RIGHT($A1341,LEN($A1341)-SEARCH("#",SUBSTITUTE($A1341,"-","#",H1341+1),1))</f>
        <v>tot-exp</v>
      </c>
      <c r="L1341" s="599"/>
      <c r="M1341" s="471" t="s">
        <v>5636</v>
      </c>
      <c r="N1341" s="471" t="s">
        <v>5637</v>
      </c>
      <c r="O1341" s="471" t="s">
        <v>5638</v>
      </c>
    </row>
    <row r="1342" spans="1:15" x14ac:dyDescent="0.25">
      <c r="A1342" s="471" t="s">
        <v>5690</v>
      </c>
      <c r="B1342" s="1139">
        <f t="shared" ca="1" si="229"/>
        <v>0</v>
      </c>
      <c r="C1342" s="473">
        <f ca="1">IF(ISERROR(VLOOKUP($A$1453,INDIRECT("notes_"&amp;LEFT($A$1453,3)),4,0)),0,VLOOKUP($A$1453,INDIRECT("notes_"&amp;LEFT($A$1453,3)),4,0))</f>
        <v>0</v>
      </c>
      <c r="H1342" s="471">
        <f t="shared" si="228"/>
        <v>4</v>
      </c>
      <c r="I1342" s="471">
        <v>1</v>
      </c>
      <c r="J1342" s="471" t="str">
        <f t="shared" si="226"/>
        <v>housgfcfhml-bb-htls</v>
      </c>
      <c r="K1342" s="471" t="str">
        <f t="shared" si="227"/>
        <v>tot-exp</v>
      </c>
      <c r="L1342" s="599"/>
      <c r="M1342" s="471" t="s">
        <v>5636</v>
      </c>
      <c r="N1342" s="471" t="s">
        <v>5637</v>
      </c>
      <c r="O1342" s="471" t="s">
        <v>5638</v>
      </c>
    </row>
    <row r="1343" spans="1:15" x14ac:dyDescent="0.25">
      <c r="A1343" s="471" t="s">
        <v>5691</v>
      </c>
      <c r="B1343" s="1139">
        <f t="shared" ca="1" si="229"/>
        <v>0</v>
      </c>
      <c r="C1343" s="473">
        <f ca="1">IF(ISERROR(VLOOKUP($A$1454,INDIRECT("notes_"&amp;LEFT($A$1454,3)),4,0)),0,VLOOKUP($A$1454,INDIRECT("notes_"&amp;LEFT($A$1454,3)),4,0))</f>
        <v>0</v>
      </c>
      <c r="H1343" s="471">
        <f t="shared" si="228"/>
        <v>5</v>
      </c>
      <c r="I1343" s="471">
        <v>1</v>
      </c>
      <c r="J1343" s="471" t="str">
        <f t="shared" ref="J1343:J1429" si="230">MID($A1343,SEARCH("-",$A1343)+1,SEARCH("#",SUBSTITUTE($A1343,"-","#",H1343),1)-(SEARCH("-",$A1343)+1))</f>
        <v>housgfcfhml-la-ha-stk</v>
      </c>
      <c r="K1343" s="471" t="str">
        <f t="shared" ref="K1343:K1429" si="231">RIGHT($A1343,LEN($A1343)-SEARCH("#",SUBSTITUTE($A1343,"-","#",H1343),1))</f>
        <v>tot-exp</v>
      </c>
      <c r="L1343" s="599"/>
      <c r="M1343" s="471" t="s">
        <v>5636</v>
      </c>
      <c r="N1343" s="471" t="s">
        <v>5637</v>
      </c>
      <c r="O1343" s="471" t="s">
        <v>5638</v>
      </c>
    </row>
    <row r="1344" spans="1:15" x14ac:dyDescent="0.25">
      <c r="A1344" s="471" t="s">
        <v>5692</v>
      </c>
      <c r="B1344" s="1139">
        <f t="shared" ca="1" si="229"/>
        <v>0</v>
      </c>
      <c r="C1344" s="473">
        <f ca="1">IF(ISERROR(VLOOKUP($A$1455,INDIRECT("notes_"&amp;LEFT($A$1455,3)),4,0)),0,VLOOKUP($A$1455,INDIRECT("notes_"&amp;LEFT($A$1455,3)),4,0))</f>
        <v>0</v>
      </c>
      <c r="H1344" s="471">
        <f t="shared" si="228"/>
        <v>6</v>
      </c>
      <c r="I1344" s="471">
        <v>1</v>
      </c>
      <c r="J1344" s="471" t="str">
        <f t="shared" si="230"/>
        <v>housgfcfhml-any-oth-temp-acc</v>
      </c>
      <c r="K1344" s="471" t="str">
        <f t="shared" si="231"/>
        <v>tot-exp</v>
      </c>
      <c r="L1344" s="599"/>
      <c r="M1344" s="471" t="s">
        <v>5636</v>
      </c>
      <c r="N1344" s="471" t="s">
        <v>5637</v>
      </c>
      <c r="O1344" s="471" t="s">
        <v>5638</v>
      </c>
    </row>
    <row r="1345" spans="1:15" x14ac:dyDescent="0.25">
      <c r="A1345" s="471" t="s">
        <v>5693</v>
      </c>
      <c r="B1345" s="1139">
        <f t="shared" ca="1" si="229"/>
        <v>0</v>
      </c>
      <c r="C1345" s="473">
        <f ca="1">IF(ISERROR(VLOOKUP($A$1456,INDIRECT("notes_"&amp;LEFT($A$1456,3)),4,0)),0,VLOOKUP($A$1456,INDIRECT("notes_"&amp;LEFT($A$1456,3)),4,0))</f>
        <v>0</v>
      </c>
      <c r="H1345" s="471">
        <f t="shared" si="228"/>
        <v>5</v>
      </c>
      <c r="I1345" s="471">
        <v>1</v>
      </c>
      <c r="J1345" s="471" t="str">
        <f t="shared" si="230"/>
        <v>housgfcfhml-tmp-acc-adm</v>
      </c>
      <c r="K1345" s="471" t="str">
        <f t="shared" si="231"/>
        <v>tot-exp</v>
      </c>
      <c r="L1345" s="599"/>
      <c r="M1345" s="471" t="s">
        <v>5636</v>
      </c>
      <c r="N1345" s="471" t="s">
        <v>5637</v>
      </c>
      <c r="O1345" s="471" t="s">
        <v>5638</v>
      </c>
    </row>
    <row r="1346" spans="1:15" x14ac:dyDescent="0.25">
      <c r="A1346" s="471" t="s">
        <v>5694</v>
      </c>
      <c r="B1346" s="1139">
        <f t="shared" ca="1" si="229"/>
        <v>0</v>
      </c>
      <c r="C1346" s="473">
        <f ca="1">IF(ISERROR(VLOOKUP($A$1457,INDIRECT("notes_"&amp;LEFT($A$1457,3)),4,0)),0,VLOOKUP($A$1457,INDIRECT("notes_"&amp;LEFT($A$1457,3)),4,0))</f>
        <v>0</v>
      </c>
      <c r="H1346" s="471">
        <f t="shared" si="228"/>
        <v>5</v>
      </c>
      <c r="I1346" s="471">
        <v>1</v>
      </c>
      <c r="J1346" s="471" t="str">
        <f t="shared" si="230"/>
        <v>housgfcfhml-hml-rdct-act</v>
      </c>
      <c r="K1346" s="471" t="str">
        <f t="shared" si="231"/>
        <v>tot-exp</v>
      </c>
      <c r="L1346" s="599"/>
      <c r="M1346" s="471" t="s">
        <v>5636</v>
      </c>
      <c r="N1346" s="471" t="s">
        <v>5637</v>
      </c>
      <c r="O1346" s="471" t="s">
        <v>5638</v>
      </c>
    </row>
    <row r="1347" spans="1:15" x14ac:dyDescent="0.25">
      <c r="A1347" s="471" t="s">
        <v>5695</v>
      </c>
      <c r="B1347" s="1139">
        <f ca="1">INDEX(INDIRECT(LEFT($A1347,SEARCH("-",$A1347,1)-1)&amp;"_data"),MATCH(MID($A1347,SEARCH("-",$A1347)+1,SEARCH("#",SUBSTITUTE($A1347,"-","#",H1347),1)-(SEARCH("-",$A1347)+1)),INDIRECT(LEFT($A1347,SEARCH("-",$A1347,1)-1)&amp;"_rows"),0),MATCH(RIGHT($A1347,LEN($A1347)-LEN(LEFT($A1347,SEARCH("#",SUBSTITUTE($A1347,"-","#",H1347),1)))),INDIRECT(LEFT($A1347,SEARCH("-",$A1347,1)-1)&amp;"_Header"),0))</f>
        <v>0</v>
      </c>
      <c r="C1347" s="473">
        <f ca="1">IF(ISERROR(VLOOKUP($A$1458,INDIRECT("notes_"&amp;LEFT($A$1458,3)),4,0)),0,VLOOKUP($A$1458,INDIRECT("notes_"&amp;LEFT($A$1458,3)),4,0))</f>
        <v>0</v>
      </c>
      <c r="H1347" s="471">
        <f t="shared" si="228"/>
        <v>6</v>
      </c>
      <c r="I1347" s="471">
        <v>1</v>
      </c>
      <c r="J1347" s="471" t="str">
        <f t="shared" si="230"/>
        <v>housgfcfhml-non-hml-rdct-act</v>
      </c>
      <c r="K1347" s="471" t="str">
        <f t="shared" si="231"/>
        <v>tot-exp</v>
      </c>
      <c r="L1347" s="599"/>
      <c r="M1347" s="471" t="s">
        <v>5636</v>
      </c>
      <c r="N1347" s="471" t="s">
        <v>5637</v>
      </c>
      <c r="O1347" s="471" t="s">
        <v>5638</v>
      </c>
    </row>
    <row r="1348" spans="1:15" x14ac:dyDescent="0.25">
      <c r="A1348" s="471" t="s">
        <v>5696</v>
      </c>
      <c r="B1348" s="1139">
        <f t="shared" ca="1" si="229"/>
        <v>0</v>
      </c>
      <c r="C1348" s="473">
        <f ca="1">IF(ISERROR(VLOOKUP($A$1459,INDIRECT("notes_"&amp;LEFT($A$1459,3)),4,0)),0,VLOOKUP($A$1459,INDIRECT("notes_"&amp;LEFT($A$1459,3)),4,0))</f>
        <v>0</v>
      </c>
      <c r="H1348" s="471">
        <f t="shared" si="228"/>
        <v>4</v>
      </c>
      <c r="I1348" s="471">
        <v>1</v>
      </c>
      <c r="J1348" s="471" t="str">
        <f t="shared" si="230"/>
        <v>housgfcfhml-hml-tot</v>
      </c>
      <c r="K1348" s="471" t="str">
        <f t="shared" si="231"/>
        <v>tot-exp</v>
      </c>
      <c r="L1348" s="599"/>
      <c r="M1348" s="471" t="s">
        <v>5636</v>
      </c>
      <c r="N1348" s="471" t="s">
        <v>5637</v>
      </c>
      <c r="O1348" s="471" t="s">
        <v>5638</v>
      </c>
    </row>
    <row r="1349" spans="1:15" x14ac:dyDescent="0.25">
      <c r="A1349" s="471" t="s">
        <v>5697</v>
      </c>
      <c r="B1349" s="1139">
        <f t="shared" ca="1" si="229"/>
        <v>0</v>
      </c>
      <c r="C1349" s="473">
        <f ca="1">IF(ISERROR(VLOOKUP($A$1460,INDIRECT("notes_"&amp;LEFT($A$1460,3)),4,0)),0,VLOOKUP($A$1460,INDIRECT("notes_"&amp;LEFT($A$1460,3)),4,0))</f>
        <v>0</v>
      </c>
      <c r="H1349" s="471">
        <f t="shared" si="228"/>
        <v>5</v>
      </c>
      <c r="I1349" s="471">
        <v>1</v>
      </c>
      <c r="J1349" s="471" t="str">
        <f t="shared" si="230"/>
        <v>housgfcfbnf-rnt-all-dsp</v>
      </c>
      <c r="K1349" s="471" t="str">
        <f t="shared" si="231"/>
        <v>tot-exp</v>
      </c>
      <c r="L1349" s="599"/>
      <c r="M1349" s="471" t="s">
        <v>5636</v>
      </c>
      <c r="N1349" s="471" t="s">
        <v>5637</v>
      </c>
      <c r="O1349" s="471" t="s">
        <v>5638</v>
      </c>
    </row>
    <row r="1350" spans="1:15" x14ac:dyDescent="0.25">
      <c r="A1350" s="471" t="s">
        <v>5698</v>
      </c>
      <c r="B1350" s="1139">
        <f t="shared" ca="1" si="229"/>
        <v>0</v>
      </c>
      <c r="C1350" s="473">
        <f ca="1">IF(ISERROR(VLOOKUP($A$1461,INDIRECT("notes_"&amp;LEFT($A$1461,3)),4,0)),0,VLOOKUP($A$1461,INDIRECT("notes_"&amp;LEFT($A$1461,3)),4,0))</f>
        <v>0</v>
      </c>
      <c r="H1350" s="471">
        <f t="shared" si="228"/>
        <v>6</v>
      </c>
      <c r="I1350" s="471">
        <v>1</v>
      </c>
      <c r="J1350" s="471" t="str">
        <f t="shared" si="230"/>
        <v>housgfcfbnf-non-hra-rbt-dsp</v>
      </c>
      <c r="K1350" s="471" t="str">
        <f t="shared" si="231"/>
        <v>tot-exp</v>
      </c>
      <c r="L1350" s="599"/>
      <c r="M1350" s="471" t="s">
        <v>5636</v>
      </c>
      <c r="N1350" s="471" t="s">
        <v>5637</v>
      </c>
      <c r="O1350" s="471" t="s">
        <v>5638</v>
      </c>
    </row>
    <row r="1351" spans="1:15" x14ac:dyDescent="0.25">
      <c r="A1351" s="471" t="s">
        <v>5699</v>
      </c>
      <c r="B1351" s="1139">
        <f t="shared" ca="1" si="229"/>
        <v>0</v>
      </c>
      <c r="C1351" s="473">
        <f ca="1">IF(ISERROR(VLOOKUP($A$1462,INDIRECT("notes_"&amp;LEFT($A$1462,3)),4,0)),0,VLOOKUP($A$1462,INDIRECT("notes_"&amp;LEFT($A$1462,3)),4,0))</f>
        <v>0</v>
      </c>
      <c r="H1351" s="471">
        <f t="shared" si="228"/>
        <v>6</v>
      </c>
      <c r="I1351" s="471">
        <v>1</v>
      </c>
      <c r="J1351" s="471" t="str">
        <f t="shared" si="230"/>
        <v>housgfcfbnf-rnt-rbt-hra-dsp</v>
      </c>
      <c r="K1351" s="471" t="str">
        <f t="shared" si="231"/>
        <v>tot-exp</v>
      </c>
      <c r="L1351" s="599"/>
      <c r="M1351" s="471" t="s">
        <v>5636</v>
      </c>
      <c r="N1351" s="471" t="s">
        <v>5637</v>
      </c>
      <c r="O1351" s="471" t="s">
        <v>5638</v>
      </c>
    </row>
    <row r="1352" spans="1:15" x14ac:dyDescent="0.25">
      <c r="A1352" s="471" t="s">
        <v>5700</v>
      </c>
      <c r="B1352" s="1139">
        <f t="shared" ca="1" si="229"/>
        <v>0</v>
      </c>
      <c r="C1352" s="473">
        <f ca="1">IF(ISERROR(VLOOKUP($A$1463,INDIRECT("notes_"&amp;LEFT($A$1463,3)),4,0)),0,VLOOKUP($A$1463,INDIRECT("notes_"&amp;LEFT($A$1463,3)),4,0))</f>
        <v>0</v>
      </c>
      <c r="H1352" s="471">
        <f t="shared" si="228"/>
        <v>2</v>
      </c>
      <c r="I1352" s="471">
        <v>1</v>
      </c>
      <c r="J1352" s="471" t="str">
        <f t="shared" si="230"/>
        <v>housgfcfbnfadm</v>
      </c>
      <c r="K1352" s="471" t="str">
        <f t="shared" si="231"/>
        <v>tot-exp</v>
      </c>
      <c r="L1352" s="599"/>
      <c r="M1352" s="471" t="s">
        <v>5636</v>
      </c>
      <c r="N1352" s="471" t="s">
        <v>5637</v>
      </c>
      <c r="O1352" s="471" t="s">
        <v>5638</v>
      </c>
    </row>
    <row r="1353" spans="1:15" x14ac:dyDescent="0.25">
      <c r="A1353" s="471" t="s">
        <v>5701</v>
      </c>
      <c r="B1353" s="1139">
        <f t="shared" ca="1" si="229"/>
        <v>0</v>
      </c>
      <c r="C1353" s="473">
        <f ca="1">IF(ISERROR(VLOOKUP($A$1464,INDIRECT("notes_"&amp;LEFT($A$1464,3)),4,0)),0,VLOOKUP($A$1464,INDIRECT("notes_"&amp;LEFT($A$1464,3)),4,0))</f>
        <v>0</v>
      </c>
      <c r="H1353" s="471">
        <f t="shared" si="228"/>
        <v>2</v>
      </c>
      <c r="I1353" s="471">
        <v>1</v>
      </c>
      <c r="J1353" s="471" t="str">
        <f t="shared" si="230"/>
        <v>housgfcfcnc</v>
      </c>
      <c r="K1353" s="471" t="str">
        <f t="shared" si="231"/>
        <v>tot-exp</v>
      </c>
      <c r="L1353" s="599"/>
      <c r="M1353" s="471" t="s">
        <v>5636</v>
      </c>
      <c r="N1353" s="471" t="s">
        <v>5637</v>
      </c>
      <c r="O1353" s="471" t="s">
        <v>5638</v>
      </c>
    </row>
    <row r="1354" spans="1:15" x14ac:dyDescent="0.25">
      <c r="A1354" s="471" t="s">
        <v>5702</v>
      </c>
      <c r="B1354" s="1139">
        <f t="shared" ca="1" si="229"/>
        <v>0</v>
      </c>
      <c r="C1354" s="473">
        <f ca="1">IF(ISERROR(VLOOKUP($A$1465,INDIRECT("notes_"&amp;LEFT($A$1465,3)),4,0)),0,VLOOKUP($A$1465,INDIRECT("notes_"&amp;LEFT($A$1465,3)),4,0))</f>
        <v>0</v>
      </c>
      <c r="H1354" s="471">
        <f t="shared" si="228"/>
        <v>2</v>
      </c>
      <c r="I1354" s="471">
        <v>1</v>
      </c>
      <c r="J1354" s="471" t="str">
        <f t="shared" si="230"/>
        <v>housgfcfwlfspp</v>
      </c>
      <c r="K1354" s="471" t="str">
        <f t="shared" si="231"/>
        <v>tot-exp</v>
      </c>
      <c r="L1354" s="599"/>
      <c r="M1354" s="471" t="s">
        <v>5636</v>
      </c>
      <c r="N1354" s="471" t="s">
        <v>5637</v>
      </c>
      <c r="O1354" s="471" t="s">
        <v>5638</v>
      </c>
    </row>
    <row r="1355" spans="1:15" x14ac:dyDescent="0.25">
      <c r="A1355" s="471" t="s">
        <v>5703</v>
      </c>
      <c r="B1355" s="1139">
        <f t="shared" ca="1" si="229"/>
        <v>0</v>
      </c>
      <c r="C1355" s="473">
        <f ca="1">IF(ISERROR(VLOOKUP($A$1466,INDIRECT("notes_"&amp;LEFT($A$1466,3)),4,0)),0,VLOOKUP($A$1466,INDIRECT("notes_"&amp;LEFT($A$1466,3)),4,0))</f>
        <v>0</v>
      </c>
      <c r="H1355" s="471">
        <f t="shared" si="228"/>
        <v>2</v>
      </c>
      <c r="I1355" s="471">
        <v>1</v>
      </c>
      <c r="J1355" s="471" t="str">
        <f t="shared" si="230"/>
        <v>housgfcfwlfoth</v>
      </c>
      <c r="K1355" s="471" t="str">
        <f t="shared" si="231"/>
        <v>tot-exp</v>
      </c>
      <c r="L1355" s="599"/>
      <c r="M1355" s="471" t="s">
        <v>5636</v>
      </c>
      <c r="N1355" s="471" t="s">
        <v>5637</v>
      </c>
      <c r="O1355" s="471" t="s">
        <v>5638</v>
      </c>
    </row>
    <row r="1356" spans="1:15" x14ac:dyDescent="0.25">
      <c r="A1356" s="471" t="s">
        <v>5704</v>
      </c>
      <c r="B1356" s="1139">
        <f t="shared" ca="1" si="229"/>
        <v>0</v>
      </c>
      <c r="C1356" s="473">
        <f ca="1">IF(ISERROR(VLOOKUP($A$1467,INDIRECT("notes_"&amp;LEFT($A$1467,3)),4,0)),0,VLOOKUP($A$1467,INDIRECT("notes_"&amp;LEFT($A$1467,3)),4,0))</f>
        <v>0</v>
      </c>
      <c r="H1356" s="471">
        <f t="shared" si="228"/>
        <v>2</v>
      </c>
      <c r="I1356" s="471">
        <v>1</v>
      </c>
      <c r="J1356" s="471" t="str">
        <f t="shared" si="230"/>
        <v>housgfcftot</v>
      </c>
      <c r="K1356" s="471" t="str">
        <f t="shared" si="231"/>
        <v>tot-exp</v>
      </c>
      <c r="L1356" s="599"/>
      <c r="M1356" s="471" t="s">
        <v>5636</v>
      </c>
      <c r="N1356" s="471" t="s">
        <v>5637</v>
      </c>
      <c r="O1356" s="471" t="s">
        <v>5638</v>
      </c>
    </row>
    <row r="1357" spans="1:15" x14ac:dyDescent="0.25">
      <c r="A1357" s="1205" t="s">
        <v>5705</v>
      </c>
      <c r="B1357" s="1202">
        <f t="shared" ca="1" si="229"/>
        <v>0</v>
      </c>
      <c r="C1357" s="1203">
        <f ca="1">IF(ISERROR(VLOOKUP($A$1446,INDIRECT("notes_"&amp;LEFT($A$1446,3)),4,0)),0,VLOOKUP($A$1446,INDIRECT("notes_"&amp;LEFT($A$1446,3)),4,0))</f>
        <v>0</v>
      </c>
      <c r="H1357" s="1201">
        <f t="shared" si="228"/>
        <v>6</v>
      </c>
      <c r="I1357" s="1201">
        <v>0</v>
      </c>
      <c r="J1357" s="1201" t="str">
        <f t="shared" si="230"/>
        <v>housgfcfstr-hous-str-adv-enb</v>
      </c>
      <c r="K1357" s="1201" t="str">
        <f t="shared" si="231"/>
        <v>mss</v>
      </c>
      <c r="L1357" s="599"/>
      <c r="M1357" s="1201" t="s">
        <v>5636</v>
      </c>
      <c r="N1357" s="1201" t="s">
        <v>5637</v>
      </c>
      <c r="O1357" s="1201" t="s">
        <v>5638</v>
      </c>
    </row>
    <row r="1358" spans="1:15" x14ac:dyDescent="0.25">
      <c r="A1358" s="1205" t="s">
        <v>5706</v>
      </c>
      <c r="B1358" s="1202">
        <f t="shared" ca="1" si="229"/>
        <v>0</v>
      </c>
      <c r="C1358" s="1203">
        <f ca="1">IF(ISERROR(VLOOKUP($A$1447,INDIRECT("notes_"&amp;LEFT($A$1447,3)),4,0)),0,VLOOKUP($A$1447,INDIRECT("notes_"&amp;LEFT($A$1447,3)),4,0))</f>
        <v>0</v>
      </c>
      <c r="H1358" s="1201">
        <f t="shared" si="228"/>
        <v>4</v>
      </c>
      <c r="I1358" s="1201">
        <v>0</v>
      </c>
      <c r="J1358" s="1201" t="str">
        <f t="shared" si="230"/>
        <v>housgfcfstr-hous-adv</v>
      </c>
      <c r="K1358" s="1201" t="str">
        <f t="shared" si="231"/>
        <v>mss</v>
      </c>
      <c r="L1358" s="599"/>
      <c r="M1358" s="1201" t="s">
        <v>5636</v>
      </c>
      <c r="N1358" s="1201" t="s">
        <v>5637</v>
      </c>
      <c r="O1358" s="1201" t="s">
        <v>5638</v>
      </c>
    </row>
    <row r="1359" spans="1:15" x14ac:dyDescent="0.25">
      <c r="A1359" s="1205" t="s">
        <v>5707</v>
      </c>
      <c r="B1359" s="1202">
        <f t="shared" ca="1" si="229"/>
        <v>0</v>
      </c>
      <c r="C1359" s="1203">
        <f ca="1">IF(ISERROR(VLOOKUP($A$1448,INDIRECT("notes_"&amp;LEFT($A$1448,3)),4,0)),0,VLOOKUP($A$1448,INDIRECT("notes_"&amp;LEFT($A$1448,3)),4,0))</f>
        <v>0</v>
      </c>
      <c r="H1359" s="1201">
        <f t="shared" si="228"/>
        <v>5</v>
      </c>
      <c r="I1359" s="1201">
        <v>0</v>
      </c>
      <c r="J1359" s="1201" t="str">
        <f t="shared" si="230"/>
        <v>housprvsecrnw-adm-rpr-imp</v>
      </c>
      <c r="K1359" s="1201" t="str">
        <f t="shared" si="231"/>
        <v>mss</v>
      </c>
      <c r="L1359" s="599"/>
      <c r="M1359" s="1201" t="s">
        <v>5636</v>
      </c>
      <c r="N1359" s="1201" t="s">
        <v>5637</v>
      </c>
      <c r="O1359" s="1201" t="s">
        <v>5638</v>
      </c>
    </row>
    <row r="1360" spans="1:15" x14ac:dyDescent="0.25">
      <c r="A1360" s="1205" t="s">
        <v>5708</v>
      </c>
      <c r="B1360" s="1202">
        <f t="shared" ca="1" si="229"/>
        <v>0</v>
      </c>
      <c r="C1360" s="1203">
        <f ca="1">IF(ISERROR(VLOOKUP($A$1449,INDIRECT("notes_"&amp;LEFT($A$1449,3)),4,0)),0,VLOOKUP($A$1449,INDIRECT("notes_"&amp;LEFT($A$1449,3)),4,0))</f>
        <v>0</v>
      </c>
      <c r="H1360" s="1201">
        <f t="shared" si="228"/>
        <v>3</v>
      </c>
      <c r="I1360" s="1201">
        <v>0</v>
      </c>
      <c r="J1360" s="1201" t="str">
        <f t="shared" si="230"/>
        <v>housprvsecrnw-oth</v>
      </c>
      <c r="K1360" s="1201" t="str">
        <f t="shared" si="231"/>
        <v>mss</v>
      </c>
      <c r="L1360" s="599"/>
      <c r="M1360" s="1201" t="s">
        <v>5636</v>
      </c>
      <c r="N1360" s="1201" t="s">
        <v>5637</v>
      </c>
      <c r="O1360" s="1201" t="s">
        <v>5638</v>
      </c>
    </row>
    <row r="1361" spans="1:15" x14ac:dyDescent="0.25">
      <c r="A1361" s="1205" t="s">
        <v>5709</v>
      </c>
      <c r="B1361" s="1202">
        <f t="shared" ca="1" si="229"/>
        <v>0</v>
      </c>
      <c r="C1361" s="1203">
        <f ca="1">IF(ISERROR(VLOOKUP($A$1450,INDIRECT("notes_"&amp;LEFT($A$1450,3)),4,0)),0,VLOOKUP($A$1450,INDIRECT("notes_"&amp;LEFT($A$1450,3)),4,0))</f>
        <v>0</v>
      </c>
      <c r="H1361" s="1201">
        <f t="shared" si="228"/>
        <v>6</v>
      </c>
      <c r="I1361" s="1201">
        <v>0</v>
      </c>
      <c r="J1361" s="1201" t="str">
        <f t="shared" si="230"/>
        <v>housgfcfhml-ngt-prv-mng-acc</v>
      </c>
      <c r="K1361" s="1201" t="str">
        <f t="shared" si="231"/>
        <v>mss</v>
      </c>
      <c r="L1361" s="599"/>
      <c r="M1361" s="1201" t="s">
        <v>5636</v>
      </c>
      <c r="N1361" s="1201" t="s">
        <v>5637</v>
      </c>
      <c r="O1361" s="1201" t="s">
        <v>5638</v>
      </c>
    </row>
    <row r="1362" spans="1:15" x14ac:dyDescent="0.25">
      <c r="A1362" s="1205" t="s">
        <v>5710</v>
      </c>
      <c r="B1362" s="1202">
        <f t="shared" ca="1" si="229"/>
        <v>0</v>
      </c>
      <c r="C1362" s="1203">
        <f ca="1">IF(ISERROR(VLOOKUP($A$1451,INDIRECT("notes_"&amp;LEFT($A$1451,3)),4,0)),0,VLOOKUP($A$1451,INDIRECT("notes_"&amp;LEFT($A$1451,3)),4,0))</f>
        <v>0</v>
      </c>
      <c r="H1362" s="1201">
        <f t="shared" si="228"/>
        <v>5</v>
      </c>
      <c r="I1362" s="1201">
        <v>0</v>
      </c>
      <c r="J1362" s="1201" t="str">
        <f t="shared" si="230"/>
        <v>housgfcfhml-prv-acc-lsd</v>
      </c>
      <c r="K1362" s="1201" t="str">
        <f t="shared" si="231"/>
        <v>mss</v>
      </c>
      <c r="L1362" s="599"/>
      <c r="M1362" s="1201" t="s">
        <v>5636</v>
      </c>
      <c r="N1362" s="1201" t="s">
        <v>5637</v>
      </c>
      <c r="O1362" s="1201" t="s">
        <v>5638</v>
      </c>
    </row>
    <row r="1363" spans="1:15" x14ac:dyDescent="0.25">
      <c r="A1363" s="1205" t="s">
        <v>5711</v>
      </c>
      <c r="B1363" s="1202">
        <f t="shared" ca="1" si="229"/>
        <v>0</v>
      </c>
      <c r="C1363" s="1203">
        <f ca="1">IF(ISERROR(VLOOKUP($A$1452,INDIRECT("notes_"&amp;LEFT($A$1452,3)),4,0)),0,VLOOKUP($A$1452,INDIRECT("notes_"&amp;LEFT($A$1452,3)),4,0))</f>
        <v>0</v>
      </c>
      <c r="H1363" s="1201">
        <f t="shared" si="228"/>
        <v>5</v>
      </c>
      <c r="I1363" s="1201">
        <v>0</v>
      </c>
      <c r="J1363" s="1201" t="str">
        <f t="shared" si="230"/>
        <v>housgfcfhml-hst-incl-rcpt</v>
      </c>
      <c r="K1363" s="1201" t="str">
        <f t="shared" si="231"/>
        <v>mss</v>
      </c>
      <c r="L1363" s="599"/>
      <c r="M1363" s="1201" t="s">
        <v>5636</v>
      </c>
      <c r="N1363" s="1201" t="s">
        <v>5637</v>
      </c>
      <c r="O1363" s="1201" t="s">
        <v>5638</v>
      </c>
    </row>
    <row r="1364" spans="1:15" x14ac:dyDescent="0.25">
      <c r="A1364" s="1205" t="s">
        <v>5712</v>
      </c>
      <c r="B1364" s="1202">
        <f t="shared" ca="1" si="229"/>
        <v>0</v>
      </c>
      <c r="C1364" s="1203">
        <f ca="1">IF(ISERROR(VLOOKUP($A$1453,INDIRECT("notes_"&amp;LEFT($A$1453,3)),4,0)),0,VLOOKUP($A$1453,INDIRECT("notes_"&amp;LEFT($A$1453,3)),4,0))</f>
        <v>0</v>
      </c>
      <c r="H1364" s="1201">
        <f t="shared" si="228"/>
        <v>4</v>
      </c>
      <c r="I1364" s="1201">
        <v>0</v>
      </c>
      <c r="J1364" s="1201" t="str">
        <f t="shared" si="230"/>
        <v>housgfcfhml-bb-htls</v>
      </c>
      <c r="K1364" s="1201" t="str">
        <f t="shared" si="231"/>
        <v>mss</v>
      </c>
      <c r="L1364" s="599"/>
      <c r="M1364" s="1201" t="s">
        <v>5636</v>
      </c>
      <c r="N1364" s="1201" t="s">
        <v>5637</v>
      </c>
      <c r="O1364" s="1201" t="s">
        <v>5638</v>
      </c>
    </row>
    <row r="1365" spans="1:15" x14ac:dyDescent="0.25">
      <c r="A1365" s="1205" t="s">
        <v>5713</v>
      </c>
      <c r="B1365" s="1202">
        <f t="shared" ca="1" si="229"/>
        <v>0</v>
      </c>
      <c r="C1365" s="1203">
        <f ca="1">IF(ISERROR(VLOOKUP($A$1454,INDIRECT("notes_"&amp;LEFT($A$1454,3)),4,0)),0,VLOOKUP($A$1454,INDIRECT("notes_"&amp;LEFT($A$1454,3)),4,0))</f>
        <v>0</v>
      </c>
      <c r="H1365" s="1201">
        <f t="shared" si="228"/>
        <v>5</v>
      </c>
      <c r="I1365" s="1201">
        <v>0</v>
      </c>
      <c r="J1365" s="1201" t="str">
        <f t="shared" si="230"/>
        <v>housgfcfhml-la-ha-stk</v>
      </c>
      <c r="K1365" s="1201" t="str">
        <f t="shared" si="231"/>
        <v>mss</v>
      </c>
      <c r="L1365" s="599"/>
      <c r="M1365" s="1201" t="s">
        <v>5636</v>
      </c>
      <c r="N1365" s="1201" t="s">
        <v>5637</v>
      </c>
      <c r="O1365" s="1201" t="s">
        <v>5638</v>
      </c>
    </row>
    <row r="1366" spans="1:15" x14ac:dyDescent="0.25">
      <c r="A1366" s="1205" t="s">
        <v>5714</v>
      </c>
      <c r="B1366" s="1202">
        <f t="shared" ca="1" si="229"/>
        <v>0</v>
      </c>
      <c r="C1366" s="1203">
        <f ca="1">IF(ISERROR(VLOOKUP($A$1455,INDIRECT("notes_"&amp;LEFT($A$1455,3)),4,0)),0,VLOOKUP($A$1455,INDIRECT("notes_"&amp;LEFT($A$1455,3)),4,0))</f>
        <v>0</v>
      </c>
      <c r="H1366" s="1201">
        <f t="shared" si="228"/>
        <v>6</v>
      </c>
      <c r="I1366" s="1201">
        <v>0</v>
      </c>
      <c r="J1366" s="1201" t="str">
        <f t="shared" si="230"/>
        <v>housgfcfhml-any-oth-temp-acc</v>
      </c>
      <c r="K1366" s="1201" t="str">
        <f t="shared" si="231"/>
        <v>mss</v>
      </c>
      <c r="L1366" s="599"/>
      <c r="M1366" s="1201" t="s">
        <v>5636</v>
      </c>
      <c r="N1366" s="1201" t="s">
        <v>5637</v>
      </c>
      <c r="O1366" s="1201" t="s">
        <v>5638</v>
      </c>
    </row>
    <row r="1367" spans="1:15" x14ac:dyDescent="0.25">
      <c r="A1367" s="1205" t="s">
        <v>5715</v>
      </c>
      <c r="B1367" s="1202">
        <f t="shared" ca="1" si="229"/>
        <v>0</v>
      </c>
      <c r="C1367" s="1203">
        <f ca="1">IF(ISERROR(VLOOKUP($A$1456,INDIRECT("notes_"&amp;LEFT($A$1456,3)),4,0)),0,VLOOKUP($A$1456,INDIRECT("notes_"&amp;LEFT($A$1456,3)),4,0))</f>
        <v>0</v>
      </c>
      <c r="H1367" s="1201">
        <f t="shared" si="228"/>
        <v>5</v>
      </c>
      <c r="I1367" s="1201">
        <v>0</v>
      </c>
      <c r="J1367" s="1201" t="str">
        <f t="shared" si="230"/>
        <v>housgfcfhml-tmp-acc-adm</v>
      </c>
      <c r="K1367" s="1201" t="str">
        <f t="shared" si="231"/>
        <v>mss</v>
      </c>
      <c r="L1367" s="599"/>
      <c r="M1367" s="1201" t="s">
        <v>5636</v>
      </c>
      <c r="N1367" s="1201" t="s">
        <v>5637</v>
      </c>
      <c r="O1367" s="1201" t="s">
        <v>5638</v>
      </c>
    </row>
    <row r="1368" spans="1:15" x14ac:dyDescent="0.25">
      <c r="A1368" s="1205" t="s">
        <v>5716</v>
      </c>
      <c r="B1368" s="1202">
        <f t="shared" ca="1" si="229"/>
        <v>0</v>
      </c>
      <c r="C1368" s="1203">
        <f ca="1">IF(ISERROR(VLOOKUP($A$1457,INDIRECT("notes_"&amp;LEFT($A$1457,3)),4,0)),0,VLOOKUP($A$1457,INDIRECT("notes_"&amp;LEFT($A$1457,3)),4,0))</f>
        <v>0</v>
      </c>
      <c r="H1368" s="1201">
        <f t="shared" si="228"/>
        <v>5</v>
      </c>
      <c r="I1368" s="1201">
        <v>0</v>
      </c>
      <c r="J1368" s="1201" t="str">
        <f t="shared" si="230"/>
        <v>housgfcfhml-hml-rdct-act</v>
      </c>
      <c r="K1368" s="1201" t="str">
        <f t="shared" si="231"/>
        <v>mss</v>
      </c>
      <c r="L1368" s="599"/>
      <c r="M1368" s="1201" t="s">
        <v>5636</v>
      </c>
      <c r="N1368" s="1201" t="s">
        <v>5637</v>
      </c>
      <c r="O1368" s="1201" t="s">
        <v>5638</v>
      </c>
    </row>
    <row r="1369" spans="1:15" x14ac:dyDescent="0.25">
      <c r="A1369" s="1205" t="s">
        <v>5717</v>
      </c>
      <c r="B1369" s="1202">
        <f t="shared" ca="1" si="229"/>
        <v>0</v>
      </c>
      <c r="C1369" s="1203">
        <f ca="1">IF(ISERROR(VLOOKUP($A$1458,INDIRECT("notes_"&amp;LEFT($A$1458,3)),4,0)),0,VLOOKUP($A$1458,INDIRECT("notes_"&amp;LEFT($A$1458,3)),4,0))</f>
        <v>0</v>
      </c>
      <c r="H1369" s="1201">
        <f t="shared" si="228"/>
        <v>6</v>
      </c>
      <c r="I1369" s="1201">
        <v>0</v>
      </c>
      <c r="J1369" s="1201" t="str">
        <f t="shared" si="230"/>
        <v>housgfcfhml-non-hml-rdct-act</v>
      </c>
      <c r="K1369" s="1201" t="str">
        <f t="shared" si="231"/>
        <v>mss</v>
      </c>
      <c r="L1369" s="599"/>
      <c r="M1369" s="1201" t="s">
        <v>5636</v>
      </c>
      <c r="N1369" s="1201" t="s">
        <v>5637</v>
      </c>
      <c r="O1369" s="1201" t="s">
        <v>5638</v>
      </c>
    </row>
    <row r="1370" spans="1:15" x14ac:dyDescent="0.25">
      <c r="A1370" s="1205" t="s">
        <v>5718</v>
      </c>
      <c r="B1370" s="1202">
        <f t="shared" ca="1" si="229"/>
        <v>0</v>
      </c>
      <c r="C1370" s="1203">
        <f ca="1">IF(ISERROR(VLOOKUP($A$1459,INDIRECT("notes_"&amp;LEFT($A$1459,3)),4,0)),0,VLOOKUP($A$1459,INDIRECT("notes_"&amp;LEFT($A$1459,3)),4,0))</f>
        <v>0</v>
      </c>
      <c r="H1370" s="1201">
        <f t="shared" si="228"/>
        <v>4</v>
      </c>
      <c r="I1370" s="1201">
        <v>0</v>
      </c>
      <c r="J1370" s="1201" t="str">
        <f t="shared" si="230"/>
        <v>housgfcfhml-hml-tot</v>
      </c>
      <c r="K1370" s="1201" t="str">
        <f t="shared" si="231"/>
        <v>mss</v>
      </c>
      <c r="L1370" s="599"/>
      <c r="M1370" s="1201" t="s">
        <v>5636</v>
      </c>
      <c r="N1370" s="1201" t="s">
        <v>5637</v>
      </c>
      <c r="O1370" s="1201" t="s">
        <v>5638</v>
      </c>
    </row>
    <row r="1371" spans="1:15" x14ac:dyDescent="0.25">
      <c r="A1371" s="1205" t="s">
        <v>5719</v>
      </c>
      <c r="B1371" s="1202">
        <f t="shared" ca="1" si="229"/>
        <v>0</v>
      </c>
      <c r="C1371" s="1203">
        <f ca="1">IF(ISERROR(VLOOKUP($A$1460,INDIRECT("notes_"&amp;LEFT($A$1460,3)),4,0)),0,VLOOKUP($A$1460,INDIRECT("notes_"&amp;LEFT($A$1460,3)),4,0))</f>
        <v>0</v>
      </c>
      <c r="H1371" s="1201">
        <f t="shared" si="228"/>
        <v>5</v>
      </c>
      <c r="I1371" s="1201">
        <v>0</v>
      </c>
      <c r="J1371" s="1201" t="str">
        <f t="shared" si="230"/>
        <v>housgfcfbnf-rnt-all-dsp</v>
      </c>
      <c r="K1371" s="1201" t="str">
        <f t="shared" si="231"/>
        <v>mss</v>
      </c>
      <c r="L1371" s="599"/>
      <c r="M1371" s="1201" t="s">
        <v>5636</v>
      </c>
      <c r="N1371" s="1201" t="s">
        <v>5637</v>
      </c>
      <c r="O1371" s="1201" t="s">
        <v>5638</v>
      </c>
    </row>
    <row r="1372" spans="1:15" x14ac:dyDescent="0.25">
      <c r="A1372" s="1205" t="s">
        <v>5720</v>
      </c>
      <c r="B1372" s="1202">
        <f t="shared" ca="1" si="229"/>
        <v>0</v>
      </c>
      <c r="C1372" s="1203">
        <f ca="1">IF(ISERROR(VLOOKUP($A$1461,INDIRECT("notes_"&amp;LEFT($A$1461,3)),4,0)),0,VLOOKUP($A$1461,INDIRECT("notes_"&amp;LEFT($A$1461,3)),4,0))</f>
        <v>0</v>
      </c>
      <c r="H1372" s="1201">
        <f t="shared" si="228"/>
        <v>6</v>
      </c>
      <c r="I1372" s="1201">
        <v>0</v>
      </c>
      <c r="J1372" s="1201" t="str">
        <f t="shared" si="230"/>
        <v>housgfcfbnf-non-hra-rbt-dsp</v>
      </c>
      <c r="K1372" s="1201" t="str">
        <f t="shared" si="231"/>
        <v>mss</v>
      </c>
      <c r="L1372" s="599"/>
      <c r="M1372" s="1201" t="s">
        <v>5636</v>
      </c>
      <c r="N1372" s="1201" t="s">
        <v>5637</v>
      </c>
      <c r="O1372" s="1201" t="s">
        <v>5638</v>
      </c>
    </row>
    <row r="1373" spans="1:15" x14ac:dyDescent="0.25">
      <c r="A1373" s="1205" t="s">
        <v>5721</v>
      </c>
      <c r="B1373" s="1202">
        <f t="shared" ca="1" si="229"/>
        <v>0</v>
      </c>
      <c r="C1373" s="1203">
        <f ca="1">IF(ISERROR(VLOOKUP($A$1462,INDIRECT("notes_"&amp;LEFT($A$1462,3)),4,0)),0,VLOOKUP($A$1462,INDIRECT("notes_"&amp;LEFT($A$1462,3)),4,0))</f>
        <v>0</v>
      </c>
      <c r="H1373" s="1201">
        <f t="shared" si="228"/>
        <v>6</v>
      </c>
      <c r="I1373" s="1201">
        <v>0</v>
      </c>
      <c r="J1373" s="1201" t="str">
        <f t="shared" si="230"/>
        <v>housgfcfbnf-rnt-rbt-hra-dsp</v>
      </c>
      <c r="K1373" s="1201" t="str">
        <f t="shared" si="231"/>
        <v>mss</v>
      </c>
      <c r="L1373" s="599"/>
      <c r="M1373" s="1201" t="s">
        <v>5636</v>
      </c>
      <c r="N1373" s="1201" t="s">
        <v>5637</v>
      </c>
      <c r="O1373" s="1201" t="s">
        <v>5638</v>
      </c>
    </row>
    <row r="1374" spans="1:15" x14ac:dyDescent="0.25">
      <c r="A1374" s="1205" t="s">
        <v>5722</v>
      </c>
      <c r="B1374" s="1202">
        <f t="shared" ca="1" si="229"/>
        <v>0</v>
      </c>
      <c r="C1374" s="1203">
        <f ca="1">IF(ISERROR(VLOOKUP($A$1463,INDIRECT("notes_"&amp;LEFT($A$1463,3)),4,0)),0,VLOOKUP($A$1463,INDIRECT("notes_"&amp;LEFT($A$1463,3)),4,0))</f>
        <v>0</v>
      </c>
      <c r="H1374" s="1201">
        <f t="shared" si="228"/>
        <v>2</v>
      </c>
      <c r="I1374" s="1201">
        <v>0</v>
      </c>
      <c r="J1374" s="1201" t="str">
        <f t="shared" si="230"/>
        <v>housgfcfbnfadm</v>
      </c>
      <c r="K1374" s="1201" t="str">
        <f t="shared" si="231"/>
        <v>mss</v>
      </c>
      <c r="L1374" s="599"/>
      <c r="M1374" s="1201" t="s">
        <v>5636</v>
      </c>
      <c r="N1374" s="1201" t="s">
        <v>5637</v>
      </c>
      <c r="O1374" s="1201" t="s">
        <v>5638</v>
      </c>
    </row>
    <row r="1375" spans="1:15" x14ac:dyDescent="0.25">
      <c r="A1375" s="1205" t="s">
        <v>5723</v>
      </c>
      <c r="B1375" s="1202">
        <f t="shared" ca="1" si="229"/>
        <v>0</v>
      </c>
      <c r="C1375" s="1203">
        <f ca="1">IF(ISERROR(VLOOKUP($A$1464,INDIRECT("notes_"&amp;LEFT($A$1464,3)),4,0)),0,VLOOKUP($A$1464,INDIRECT("notes_"&amp;LEFT($A$1464,3)),4,0))</f>
        <v>0</v>
      </c>
      <c r="H1375" s="1201">
        <f t="shared" si="228"/>
        <v>2</v>
      </c>
      <c r="I1375" s="1201">
        <v>0</v>
      </c>
      <c r="J1375" s="1201" t="str">
        <f t="shared" si="230"/>
        <v>housgfcfcnc</v>
      </c>
      <c r="K1375" s="1201" t="str">
        <f t="shared" si="231"/>
        <v>mss</v>
      </c>
      <c r="L1375" s="599"/>
      <c r="M1375" s="1201" t="s">
        <v>5636</v>
      </c>
      <c r="N1375" s="1201" t="s">
        <v>5637</v>
      </c>
      <c r="O1375" s="1201" t="s">
        <v>5638</v>
      </c>
    </row>
    <row r="1376" spans="1:15" x14ac:dyDescent="0.25">
      <c r="A1376" s="1205" t="s">
        <v>5724</v>
      </c>
      <c r="B1376" s="1202">
        <f t="shared" ca="1" si="229"/>
        <v>0</v>
      </c>
      <c r="C1376" s="1203">
        <f ca="1">IF(ISERROR(VLOOKUP($A$1465,INDIRECT("notes_"&amp;LEFT($A$1465,3)),4,0)),0,VLOOKUP($A$1465,INDIRECT("notes_"&amp;LEFT($A$1465,3)),4,0))</f>
        <v>0</v>
      </c>
      <c r="H1376" s="1201">
        <f t="shared" si="228"/>
        <v>2</v>
      </c>
      <c r="I1376" s="1201">
        <v>0</v>
      </c>
      <c r="J1376" s="1201" t="str">
        <f t="shared" si="230"/>
        <v>housgfcfwlfspp</v>
      </c>
      <c r="K1376" s="1201" t="str">
        <f t="shared" si="231"/>
        <v>mss</v>
      </c>
      <c r="L1376" s="599"/>
      <c r="M1376" s="1201" t="s">
        <v>5636</v>
      </c>
      <c r="N1376" s="1201" t="s">
        <v>5637</v>
      </c>
      <c r="O1376" s="1201" t="s">
        <v>5638</v>
      </c>
    </row>
    <row r="1377" spans="1:15" x14ac:dyDescent="0.25">
      <c r="A1377" s="1205" t="s">
        <v>5725</v>
      </c>
      <c r="B1377" s="1202">
        <f t="shared" ca="1" si="229"/>
        <v>0</v>
      </c>
      <c r="C1377" s="1203">
        <f ca="1">IF(ISERROR(VLOOKUP($A$1466,INDIRECT("notes_"&amp;LEFT($A$1466,3)),4,0)),0,VLOOKUP($A$1466,INDIRECT("notes_"&amp;LEFT($A$1466,3)),4,0))</f>
        <v>0</v>
      </c>
      <c r="H1377" s="1201">
        <f t="shared" si="228"/>
        <v>2</v>
      </c>
      <c r="I1377" s="1201">
        <v>0</v>
      </c>
      <c r="J1377" s="1201" t="str">
        <f t="shared" si="230"/>
        <v>housgfcfwlfoth</v>
      </c>
      <c r="K1377" s="1201" t="str">
        <f t="shared" si="231"/>
        <v>mss</v>
      </c>
      <c r="L1377" s="599"/>
      <c r="M1377" s="1201" t="s">
        <v>5636</v>
      </c>
      <c r="N1377" s="1201" t="s">
        <v>5637</v>
      </c>
      <c r="O1377" s="1201" t="s">
        <v>5638</v>
      </c>
    </row>
    <row r="1378" spans="1:15" x14ac:dyDescent="0.25">
      <c r="A1378" s="1205" t="s">
        <v>5726</v>
      </c>
      <c r="B1378" s="1202">
        <f t="shared" ca="1" si="229"/>
        <v>0</v>
      </c>
      <c r="C1378" s="1203">
        <f ca="1">IF(ISERROR(VLOOKUP($A$1467,INDIRECT("notes_"&amp;LEFT($A$1467,3)),4,0)),0,VLOOKUP($A$1467,INDIRECT("notes_"&amp;LEFT($A$1467,3)),4,0))</f>
        <v>0</v>
      </c>
      <c r="H1378" s="1201">
        <f t="shared" si="228"/>
        <v>2</v>
      </c>
      <c r="I1378" s="1201">
        <v>0</v>
      </c>
      <c r="J1378" s="1201" t="str">
        <f t="shared" si="230"/>
        <v>housgfcftot</v>
      </c>
      <c r="K1378" s="1201" t="str">
        <f t="shared" si="231"/>
        <v>mss</v>
      </c>
      <c r="L1378" s="599"/>
      <c r="M1378" s="1201" t="s">
        <v>5636</v>
      </c>
      <c r="N1378" s="1201" t="s">
        <v>5637</v>
      </c>
      <c r="O1378" s="1201" t="s">
        <v>5638</v>
      </c>
    </row>
    <row r="1379" spans="1:15" x14ac:dyDescent="0.25">
      <c r="A1379" s="471" t="s">
        <v>5727</v>
      </c>
      <c r="B1379" s="1139">
        <f t="shared" ca="1" si="229"/>
        <v>0</v>
      </c>
      <c r="C1379" s="473">
        <f ca="1">IF(ISERROR(VLOOKUP($A$1446,INDIRECT("notes_"&amp;LEFT($A$1446,3)),4,0)),0,VLOOKUP($A$1446,INDIRECT("notes_"&amp;LEFT($A$1446,3)),4,0))</f>
        <v>0</v>
      </c>
      <c r="H1379" s="471">
        <f t="shared" si="228"/>
        <v>6</v>
      </c>
      <c r="I1379" s="471">
        <v>0</v>
      </c>
      <c r="J1379" s="471" t="str">
        <f t="shared" si="230"/>
        <v>housgfcfstr-hous-str-adv-enb</v>
      </c>
      <c r="K1379" s="471" t="str">
        <f t="shared" si="231"/>
        <v>sfc</v>
      </c>
      <c r="L1379" s="599"/>
      <c r="M1379" s="471" t="s">
        <v>5636</v>
      </c>
      <c r="N1379" s="471" t="s">
        <v>5637</v>
      </c>
      <c r="O1379" s="471" t="s">
        <v>5638</v>
      </c>
    </row>
    <row r="1380" spans="1:15" x14ac:dyDescent="0.25">
      <c r="A1380" s="471" t="s">
        <v>5728</v>
      </c>
      <c r="B1380" s="1139">
        <f t="shared" ca="1" si="229"/>
        <v>0</v>
      </c>
      <c r="C1380" s="473">
        <f ca="1">IF(ISERROR(VLOOKUP($A$1447,INDIRECT("notes_"&amp;LEFT($A$1447,3)),4,0)),0,VLOOKUP($A$1447,INDIRECT("notes_"&amp;LEFT($A$1447,3)),4,0))</f>
        <v>0</v>
      </c>
      <c r="H1380" s="471">
        <f t="shared" si="228"/>
        <v>4</v>
      </c>
      <c r="I1380" s="471">
        <v>0</v>
      </c>
      <c r="J1380" s="471" t="str">
        <f t="shared" si="230"/>
        <v>housgfcfstr-hous-adv</v>
      </c>
      <c r="K1380" s="471" t="str">
        <f t="shared" si="231"/>
        <v>sfc</v>
      </c>
      <c r="L1380" s="599"/>
      <c r="M1380" s="471" t="s">
        <v>5636</v>
      </c>
      <c r="N1380" s="471" t="s">
        <v>5637</v>
      </c>
      <c r="O1380" s="471" t="s">
        <v>5638</v>
      </c>
    </row>
    <row r="1381" spans="1:15" x14ac:dyDescent="0.25">
      <c r="A1381" s="471" t="s">
        <v>5729</v>
      </c>
      <c r="B1381" s="1139">
        <f t="shared" ca="1" si="229"/>
        <v>0</v>
      </c>
      <c r="C1381" s="473">
        <f ca="1">IF(ISERROR(VLOOKUP($A$1448,INDIRECT("notes_"&amp;LEFT($A$1448,3)),4,0)),0,VLOOKUP($A$1448,INDIRECT("notes_"&amp;LEFT($A$1448,3)),4,0))</f>
        <v>0</v>
      </c>
      <c r="H1381" s="471">
        <f t="shared" si="228"/>
        <v>5</v>
      </c>
      <c r="I1381" s="471">
        <v>0</v>
      </c>
      <c r="J1381" s="471" t="str">
        <f t="shared" si="230"/>
        <v>housprvsecrnw-adm-rpr-imp</v>
      </c>
      <c r="K1381" s="471" t="str">
        <f t="shared" si="231"/>
        <v>sfc</v>
      </c>
      <c r="L1381" s="599"/>
      <c r="M1381" s="471" t="s">
        <v>5636</v>
      </c>
      <c r="N1381" s="471" t="s">
        <v>5637</v>
      </c>
      <c r="O1381" s="471" t="s">
        <v>5638</v>
      </c>
    </row>
    <row r="1382" spans="1:15" x14ac:dyDescent="0.25">
      <c r="A1382" s="471" t="s">
        <v>5730</v>
      </c>
      <c r="B1382" s="1139">
        <f t="shared" ca="1" si="229"/>
        <v>0</v>
      </c>
      <c r="C1382" s="473">
        <f ca="1">IF(ISERROR(VLOOKUP($A$1449,INDIRECT("notes_"&amp;LEFT($A$1449,3)),4,0)),0,VLOOKUP($A$1449,INDIRECT("notes_"&amp;LEFT($A$1449,3)),4,0))</f>
        <v>0</v>
      </c>
      <c r="H1382" s="471">
        <f t="shared" si="228"/>
        <v>3</v>
      </c>
      <c r="I1382" s="471">
        <v>0</v>
      </c>
      <c r="J1382" s="471" t="str">
        <f t="shared" si="230"/>
        <v>housprvsecrnw-oth</v>
      </c>
      <c r="K1382" s="471" t="str">
        <f t="shared" si="231"/>
        <v>sfc</v>
      </c>
      <c r="L1382" s="599"/>
      <c r="M1382" s="471" t="s">
        <v>5636</v>
      </c>
      <c r="N1382" s="471" t="s">
        <v>5637</v>
      </c>
      <c r="O1382" s="471" t="s">
        <v>5638</v>
      </c>
    </row>
    <row r="1383" spans="1:15" x14ac:dyDescent="0.25">
      <c r="A1383" s="471" t="s">
        <v>5731</v>
      </c>
      <c r="B1383" s="1139">
        <f t="shared" ca="1" si="229"/>
        <v>0</v>
      </c>
      <c r="C1383" s="473">
        <f ca="1">IF(ISERROR(VLOOKUP($A$1450,INDIRECT("notes_"&amp;LEFT($A$1450,3)),4,0)),0,VLOOKUP($A$1450,INDIRECT("notes_"&amp;LEFT($A$1450,3)),4,0))</f>
        <v>0</v>
      </c>
      <c r="H1383" s="471">
        <f t="shared" si="228"/>
        <v>6</v>
      </c>
      <c r="I1383" s="471">
        <v>0</v>
      </c>
      <c r="J1383" s="471" t="str">
        <f t="shared" si="230"/>
        <v>housgfcfhml-ngt-prv-mng-acc</v>
      </c>
      <c r="K1383" s="471" t="str">
        <f t="shared" si="231"/>
        <v>sfc</v>
      </c>
      <c r="L1383" s="599"/>
      <c r="M1383" s="471" t="s">
        <v>5636</v>
      </c>
      <c r="N1383" s="471" t="s">
        <v>5637</v>
      </c>
      <c r="O1383" s="471" t="s">
        <v>5638</v>
      </c>
    </row>
    <row r="1384" spans="1:15" x14ac:dyDescent="0.25">
      <c r="A1384" s="471" t="s">
        <v>5732</v>
      </c>
      <c r="B1384" s="1139">
        <f t="shared" ca="1" si="229"/>
        <v>0</v>
      </c>
      <c r="C1384" s="473">
        <f ca="1">IF(ISERROR(VLOOKUP($A$1451,INDIRECT("notes_"&amp;LEFT($A$1451,3)),4,0)),0,VLOOKUP($A$1451,INDIRECT("notes_"&amp;LEFT($A$1451,3)),4,0))</f>
        <v>0</v>
      </c>
      <c r="H1384" s="471">
        <f t="shared" si="228"/>
        <v>5</v>
      </c>
      <c r="I1384" s="471">
        <v>0</v>
      </c>
      <c r="J1384" s="471" t="str">
        <f t="shared" si="230"/>
        <v>housgfcfhml-prv-acc-lsd</v>
      </c>
      <c r="K1384" s="471" t="str">
        <f t="shared" si="231"/>
        <v>sfc</v>
      </c>
      <c r="L1384" s="599"/>
      <c r="M1384" s="471" t="s">
        <v>5636</v>
      </c>
      <c r="N1384" s="471" t="s">
        <v>5637</v>
      </c>
      <c r="O1384" s="471" t="s">
        <v>5638</v>
      </c>
    </row>
    <row r="1385" spans="1:15" x14ac:dyDescent="0.25">
      <c r="A1385" s="471" t="s">
        <v>5733</v>
      </c>
      <c r="B1385" s="1139">
        <f t="shared" ca="1" si="229"/>
        <v>0</v>
      </c>
      <c r="C1385" s="473">
        <f ca="1">IF(ISERROR(VLOOKUP($A$1452,INDIRECT("notes_"&amp;LEFT($A$1452,3)),4,0)),0,VLOOKUP($A$1452,INDIRECT("notes_"&amp;LEFT($A$1452,3)),4,0))</f>
        <v>0</v>
      </c>
      <c r="H1385" s="471">
        <f t="shared" si="228"/>
        <v>5</v>
      </c>
      <c r="I1385" s="471">
        <v>0</v>
      </c>
      <c r="J1385" s="471" t="str">
        <f t="shared" si="230"/>
        <v>housgfcfhml-hst-incl-rcpt</v>
      </c>
      <c r="K1385" s="471" t="str">
        <f t="shared" si="231"/>
        <v>sfc</v>
      </c>
      <c r="L1385" s="599"/>
      <c r="M1385" s="471" t="s">
        <v>5636</v>
      </c>
      <c r="N1385" s="471" t="s">
        <v>5637</v>
      </c>
      <c r="O1385" s="471" t="s">
        <v>5638</v>
      </c>
    </row>
    <row r="1386" spans="1:15" x14ac:dyDescent="0.25">
      <c r="A1386" s="471" t="s">
        <v>5734</v>
      </c>
      <c r="B1386" s="1139">
        <f t="shared" ca="1" si="229"/>
        <v>0</v>
      </c>
      <c r="C1386" s="473">
        <f ca="1">IF(ISERROR(VLOOKUP($A$1453,INDIRECT("notes_"&amp;LEFT($A$1453,3)),4,0)),0,VLOOKUP($A$1453,INDIRECT("notes_"&amp;LEFT($A$1453,3)),4,0))</f>
        <v>0</v>
      </c>
      <c r="H1386" s="471">
        <f t="shared" si="228"/>
        <v>4</v>
      </c>
      <c r="I1386" s="471">
        <v>0</v>
      </c>
      <c r="J1386" s="471" t="str">
        <f t="shared" si="230"/>
        <v>housgfcfhml-bb-htls</v>
      </c>
      <c r="K1386" s="471" t="str">
        <f t="shared" si="231"/>
        <v>sfc</v>
      </c>
      <c r="L1386" s="599"/>
      <c r="M1386" s="471" t="s">
        <v>5636</v>
      </c>
      <c r="N1386" s="471" t="s">
        <v>5637</v>
      </c>
      <c r="O1386" s="471" t="s">
        <v>5638</v>
      </c>
    </row>
    <row r="1387" spans="1:15" x14ac:dyDescent="0.25">
      <c r="A1387" s="471" t="s">
        <v>5735</v>
      </c>
      <c r="B1387" s="1139">
        <f t="shared" ca="1" si="229"/>
        <v>0</v>
      </c>
      <c r="C1387" s="473">
        <f ca="1">IF(ISERROR(VLOOKUP($A$1454,INDIRECT("notes_"&amp;LEFT($A$1454,3)),4,0)),0,VLOOKUP($A$1454,INDIRECT("notes_"&amp;LEFT($A$1454,3)),4,0))</f>
        <v>0</v>
      </c>
      <c r="H1387" s="471">
        <f t="shared" si="228"/>
        <v>5</v>
      </c>
      <c r="I1387" s="471">
        <v>0</v>
      </c>
      <c r="J1387" s="471" t="str">
        <f t="shared" si="230"/>
        <v>housgfcfhml-la-ha-stk</v>
      </c>
      <c r="K1387" s="471" t="str">
        <f t="shared" si="231"/>
        <v>sfc</v>
      </c>
      <c r="L1387" s="599"/>
      <c r="M1387" s="471" t="s">
        <v>5636</v>
      </c>
      <c r="N1387" s="471" t="s">
        <v>5637</v>
      </c>
      <c r="O1387" s="471" t="s">
        <v>5638</v>
      </c>
    </row>
    <row r="1388" spans="1:15" x14ac:dyDescent="0.25">
      <c r="A1388" s="471" t="s">
        <v>5736</v>
      </c>
      <c r="B1388" s="1139">
        <f t="shared" ca="1" si="229"/>
        <v>0</v>
      </c>
      <c r="C1388" s="473">
        <f ca="1">IF(ISERROR(VLOOKUP($A$1455,INDIRECT("notes_"&amp;LEFT($A$1455,3)),4,0)),0,VLOOKUP($A$1455,INDIRECT("notes_"&amp;LEFT($A$1455,3)),4,0))</f>
        <v>0</v>
      </c>
      <c r="H1388" s="471">
        <f t="shared" si="228"/>
        <v>6</v>
      </c>
      <c r="I1388" s="471">
        <v>0</v>
      </c>
      <c r="J1388" s="471" t="str">
        <f t="shared" si="230"/>
        <v>housgfcfhml-any-oth-temp-acc</v>
      </c>
      <c r="K1388" s="471" t="str">
        <f t="shared" si="231"/>
        <v>sfc</v>
      </c>
      <c r="L1388" s="599"/>
      <c r="M1388" s="471" t="s">
        <v>5636</v>
      </c>
      <c r="N1388" s="471" t="s">
        <v>5637</v>
      </c>
      <c r="O1388" s="471" t="s">
        <v>5638</v>
      </c>
    </row>
    <row r="1389" spans="1:15" x14ac:dyDescent="0.25">
      <c r="A1389" s="471" t="s">
        <v>5737</v>
      </c>
      <c r="B1389" s="1139">
        <f t="shared" ca="1" si="229"/>
        <v>0</v>
      </c>
      <c r="C1389" s="473">
        <f ca="1">IF(ISERROR(VLOOKUP($A$1456,INDIRECT("notes_"&amp;LEFT($A$1456,3)),4,0)),0,VLOOKUP($A$1456,INDIRECT("notes_"&amp;LEFT($A$1456,3)),4,0))</f>
        <v>0</v>
      </c>
      <c r="H1389" s="471">
        <f t="shared" si="228"/>
        <v>5</v>
      </c>
      <c r="I1389" s="471">
        <v>0</v>
      </c>
      <c r="J1389" s="471" t="str">
        <f t="shared" si="230"/>
        <v>housgfcfhml-tmp-acc-adm</v>
      </c>
      <c r="K1389" s="471" t="str">
        <f t="shared" si="231"/>
        <v>sfc</v>
      </c>
      <c r="L1389" s="599"/>
      <c r="M1389" s="471" t="s">
        <v>5636</v>
      </c>
      <c r="N1389" s="471" t="s">
        <v>5637</v>
      </c>
      <c r="O1389" s="471" t="s">
        <v>5638</v>
      </c>
    </row>
    <row r="1390" spans="1:15" x14ac:dyDescent="0.25">
      <c r="A1390" s="471" t="s">
        <v>5738</v>
      </c>
      <c r="B1390" s="1139">
        <f t="shared" ca="1" si="229"/>
        <v>0</v>
      </c>
      <c r="C1390" s="473">
        <f ca="1">IF(ISERROR(VLOOKUP($A$1457,INDIRECT("notes_"&amp;LEFT($A$1457,3)),4,0)),0,VLOOKUP($A$1457,INDIRECT("notes_"&amp;LEFT($A$1457,3)),4,0))</f>
        <v>0</v>
      </c>
      <c r="H1390" s="471">
        <f t="shared" si="228"/>
        <v>5</v>
      </c>
      <c r="I1390" s="471">
        <v>0</v>
      </c>
      <c r="J1390" s="471" t="str">
        <f t="shared" si="230"/>
        <v>housgfcfhml-hml-rdct-act</v>
      </c>
      <c r="K1390" s="471" t="str">
        <f t="shared" si="231"/>
        <v>sfc</v>
      </c>
      <c r="L1390" s="599"/>
      <c r="M1390" s="471" t="s">
        <v>5636</v>
      </c>
      <c r="N1390" s="471" t="s">
        <v>5637</v>
      </c>
      <c r="O1390" s="471" t="s">
        <v>5638</v>
      </c>
    </row>
    <row r="1391" spans="1:15" x14ac:dyDescent="0.25">
      <c r="A1391" s="471" t="s">
        <v>5739</v>
      </c>
      <c r="B1391" s="1139">
        <f ca="1">INDEX(INDIRECT(LEFT($A1391,SEARCH("-",$A1391,1)-1)&amp;"_data"),MATCH(MID($A1391,SEARCH("-",$A1391)+1,SEARCH("#",SUBSTITUTE($A1391,"-","#",H1391),1)-(SEARCH("-",$A1391)+1)),INDIRECT(LEFT($A1391,SEARCH("-",$A1391,1)-1)&amp;"_rows"),0),MATCH(RIGHT($A1391,LEN($A1391)-LEN(LEFT($A1391,SEARCH("#",SUBSTITUTE($A1391,"-","#",H1391+1),1)))),INDIRECT(LEFT($A1391,SEARCH("-",$A1391,1)-1)&amp;"_Header"),0))</f>
        <v>0</v>
      </c>
      <c r="C1391" s="473">
        <f ca="1">IF(ISERROR(VLOOKUP($A$1458,INDIRECT("notes_"&amp;LEFT($A$1458,3)),4,0)),0,VLOOKUP($A$1458,INDIRECT("notes_"&amp;LEFT($A$1458,3)),4,0))</f>
        <v>0</v>
      </c>
      <c r="H1391" s="471">
        <f t="shared" si="228"/>
        <v>6</v>
      </c>
      <c r="I1391" s="471">
        <v>1</v>
      </c>
      <c r="J1391" s="471" t="str">
        <f t="shared" si="230"/>
        <v>housgfcfhml-non-hml-rdct-act</v>
      </c>
      <c r="K1391" s="471" t="str">
        <f>RIGHT($A1391,LEN($A1391)-SEARCH("#",SUBSTITUTE($A1391,"-","#",H1391+1),1))</f>
        <v>sfc</v>
      </c>
      <c r="L1391" s="599"/>
      <c r="M1391" s="471" t="s">
        <v>5636</v>
      </c>
      <c r="N1391" s="471" t="s">
        <v>5637</v>
      </c>
      <c r="O1391" s="471" t="s">
        <v>5638</v>
      </c>
    </row>
    <row r="1392" spans="1:15" x14ac:dyDescent="0.25">
      <c r="A1392" s="471" t="s">
        <v>5740</v>
      </c>
      <c r="B1392" s="1139">
        <f t="shared" ca="1" si="229"/>
        <v>0</v>
      </c>
      <c r="C1392" s="473">
        <f ca="1">IF(ISERROR(VLOOKUP($A$1459,INDIRECT("notes_"&amp;LEFT($A$1459,3)),4,0)),0,VLOOKUP($A$1459,INDIRECT("notes_"&amp;LEFT($A$1459,3)),4,0))</f>
        <v>0</v>
      </c>
      <c r="H1392" s="471">
        <f t="shared" si="228"/>
        <v>4</v>
      </c>
      <c r="I1392" s="471">
        <v>0</v>
      </c>
      <c r="J1392" s="471" t="str">
        <f t="shared" si="230"/>
        <v>housgfcfhml-hml-tot</v>
      </c>
      <c r="K1392" s="471" t="str">
        <f t="shared" si="231"/>
        <v>sfc</v>
      </c>
      <c r="L1392" s="599"/>
      <c r="M1392" s="471" t="s">
        <v>5636</v>
      </c>
      <c r="N1392" s="471" t="s">
        <v>5637</v>
      </c>
      <c r="O1392" s="471" t="s">
        <v>5638</v>
      </c>
    </row>
    <row r="1393" spans="1:15" x14ac:dyDescent="0.25">
      <c r="A1393" s="471" t="s">
        <v>5741</v>
      </c>
      <c r="B1393" s="1139">
        <f t="shared" ca="1" si="229"/>
        <v>0</v>
      </c>
      <c r="C1393" s="473">
        <f ca="1">IF(ISERROR(VLOOKUP($A$1460,INDIRECT("notes_"&amp;LEFT($A$1460,3)),4,0)),0,VLOOKUP($A$1460,INDIRECT("notes_"&amp;LEFT($A$1460,3)),4,0))</f>
        <v>0</v>
      </c>
      <c r="H1393" s="471">
        <f t="shared" si="228"/>
        <v>5</v>
      </c>
      <c r="I1393" s="471">
        <v>0</v>
      </c>
      <c r="J1393" s="471" t="str">
        <f t="shared" si="230"/>
        <v>housgfcfbnf-rnt-all-dsp</v>
      </c>
      <c r="K1393" s="471" t="str">
        <f t="shared" si="231"/>
        <v>sfc</v>
      </c>
      <c r="L1393" s="599"/>
      <c r="M1393" s="471" t="s">
        <v>5636</v>
      </c>
      <c r="N1393" s="471" t="s">
        <v>5637</v>
      </c>
      <c r="O1393" s="471" t="s">
        <v>5638</v>
      </c>
    </row>
    <row r="1394" spans="1:15" x14ac:dyDescent="0.25">
      <c r="A1394" s="471" t="s">
        <v>5742</v>
      </c>
      <c r="B1394" s="1139">
        <f t="shared" ca="1" si="229"/>
        <v>0</v>
      </c>
      <c r="C1394" s="473">
        <f ca="1">IF(ISERROR(VLOOKUP($A$1461,INDIRECT("notes_"&amp;LEFT($A$1461,3)),4,0)),0,VLOOKUP($A$1461,INDIRECT("notes_"&amp;LEFT($A$1461,3)),4,0))</f>
        <v>0</v>
      </c>
      <c r="H1394" s="471">
        <f t="shared" si="228"/>
        <v>6</v>
      </c>
      <c r="I1394" s="471">
        <v>0</v>
      </c>
      <c r="J1394" s="471" t="str">
        <f t="shared" si="230"/>
        <v>housgfcfbnf-non-hra-rbt-dsp</v>
      </c>
      <c r="K1394" s="471" t="str">
        <f t="shared" si="231"/>
        <v>sfc</v>
      </c>
      <c r="L1394" s="599"/>
      <c r="M1394" s="471" t="s">
        <v>5636</v>
      </c>
      <c r="N1394" s="471" t="s">
        <v>5637</v>
      </c>
      <c r="O1394" s="471" t="s">
        <v>5638</v>
      </c>
    </row>
    <row r="1395" spans="1:15" x14ac:dyDescent="0.25">
      <c r="A1395" s="471" t="s">
        <v>5743</v>
      </c>
      <c r="B1395" s="1139">
        <f t="shared" ca="1" si="229"/>
        <v>0</v>
      </c>
      <c r="C1395" s="473">
        <f ca="1">IF(ISERROR(VLOOKUP($A$1462,INDIRECT("notes_"&amp;LEFT($A$1462,3)),4,0)),0,VLOOKUP($A$1462,INDIRECT("notes_"&amp;LEFT($A$1462,3)),4,0))</f>
        <v>0</v>
      </c>
      <c r="H1395" s="471">
        <f t="shared" si="228"/>
        <v>6</v>
      </c>
      <c r="I1395" s="471">
        <v>0</v>
      </c>
      <c r="J1395" s="471" t="str">
        <f t="shared" si="230"/>
        <v>housgfcfbnf-rnt-rbt-hra-dsp</v>
      </c>
      <c r="K1395" s="471" t="str">
        <f t="shared" si="231"/>
        <v>sfc</v>
      </c>
      <c r="L1395" s="599"/>
      <c r="M1395" s="471" t="s">
        <v>5636</v>
      </c>
      <c r="N1395" s="471" t="s">
        <v>5637</v>
      </c>
      <c r="O1395" s="471" t="s">
        <v>5638</v>
      </c>
    </row>
    <row r="1396" spans="1:15" x14ac:dyDescent="0.25">
      <c r="A1396" s="471" t="s">
        <v>5744</v>
      </c>
      <c r="B1396" s="1139">
        <f t="shared" ca="1" si="229"/>
        <v>0</v>
      </c>
      <c r="C1396" s="473">
        <f ca="1">IF(ISERROR(VLOOKUP($A$1463,INDIRECT("notes_"&amp;LEFT($A$1463,3)),4,0)),0,VLOOKUP($A$1463,INDIRECT("notes_"&amp;LEFT($A$1463,3)),4,0))</f>
        <v>0</v>
      </c>
      <c r="H1396" s="471">
        <f t="shared" si="228"/>
        <v>2</v>
      </c>
      <c r="I1396" s="471">
        <v>0</v>
      </c>
      <c r="J1396" s="471" t="str">
        <f t="shared" si="230"/>
        <v>housgfcfbnfadm</v>
      </c>
      <c r="K1396" s="471" t="str">
        <f t="shared" si="231"/>
        <v>sfc</v>
      </c>
      <c r="L1396" s="599"/>
      <c r="M1396" s="471" t="s">
        <v>5636</v>
      </c>
      <c r="N1396" s="471" t="s">
        <v>5637</v>
      </c>
      <c r="O1396" s="471" t="s">
        <v>5638</v>
      </c>
    </row>
    <row r="1397" spans="1:15" x14ac:dyDescent="0.25">
      <c r="A1397" s="471" t="s">
        <v>5745</v>
      </c>
      <c r="B1397" s="1139">
        <f t="shared" ca="1" si="229"/>
        <v>0</v>
      </c>
      <c r="C1397" s="473">
        <f ca="1">IF(ISERROR(VLOOKUP($A$1464,INDIRECT("notes_"&amp;LEFT($A$1464,3)),4,0)),0,VLOOKUP($A$1464,INDIRECT("notes_"&amp;LEFT($A$1464,3)),4,0))</f>
        <v>0</v>
      </c>
      <c r="H1397" s="471">
        <f t="shared" si="228"/>
        <v>2</v>
      </c>
      <c r="I1397" s="471">
        <v>0</v>
      </c>
      <c r="J1397" s="471" t="str">
        <f t="shared" si="230"/>
        <v>housgfcfcnc</v>
      </c>
      <c r="K1397" s="471" t="str">
        <f t="shared" si="231"/>
        <v>sfc</v>
      </c>
      <c r="L1397" s="599"/>
      <c r="M1397" s="471" t="s">
        <v>5636</v>
      </c>
      <c r="N1397" s="471" t="s">
        <v>5637</v>
      </c>
      <c r="O1397" s="471" t="s">
        <v>5638</v>
      </c>
    </row>
    <row r="1398" spans="1:15" x14ac:dyDescent="0.25">
      <c r="A1398" s="471" t="s">
        <v>5746</v>
      </c>
      <c r="B1398" s="1139">
        <f t="shared" ca="1" si="229"/>
        <v>0</v>
      </c>
      <c r="C1398" s="473">
        <f ca="1">IF(ISERROR(VLOOKUP($A$1465,INDIRECT("notes_"&amp;LEFT($A$1465,3)),4,0)),0,VLOOKUP($A$1465,INDIRECT("notes_"&amp;LEFT($A$1465,3)),4,0))</f>
        <v>0</v>
      </c>
      <c r="H1398" s="471">
        <f t="shared" si="228"/>
        <v>2</v>
      </c>
      <c r="I1398" s="471">
        <v>0</v>
      </c>
      <c r="J1398" s="471" t="str">
        <f t="shared" si="230"/>
        <v>housgfcfwlfspp</v>
      </c>
      <c r="K1398" s="471" t="str">
        <f t="shared" si="231"/>
        <v>sfc</v>
      </c>
      <c r="L1398" s="599"/>
      <c r="M1398" s="471" t="s">
        <v>5636</v>
      </c>
      <c r="N1398" s="471" t="s">
        <v>5637</v>
      </c>
      <c r="O1398" s="471" t="s">
        <v>5638</v>
      </c>
    </row>
    <row r="1399" spans="1:15" x14ac:dyDescent="0.25">
      <c r="A1399" s="471" t="s">
        <v>5747</v>
      </c>
      <c r="B1399" s="1139">
        <f t="shared" ca="1" si="229"/>
        <v>0</v>
      </c>
      <c r="C1399" s="473">
        <f ca="1">IF(ISERROR(VLOOKUP($A$1466,INDIRECT("notes_"&amp;LEFT($A$1466,3)),4,0)),0,VLOOKUP($A$1466,INDIRECT("notes_"&amp;LEFT($A$1466,3)),4,0))</f>
        <v>0</v>
      </c>
      <c r="H1399" s="471">
        <f t="shared" si="228"/>
        <v>2</v>
      </c>
      <c r="I1399" s="471">
        <v>0</v>
      </c>
      <c r="J1399" s="471" t="str">
        <f t="shared" si="230"/>
        <v>housgfcfwlfoth</v>
      </c>
      <c r="K1399" s="471" t="str">
        <f t="shared" si="231"/>
        <v>sfc</v>
      </c>
      <c r="L1399" s="599"/>
      <c r="M1399" s="471" t="s">
        <v>5636</v>
      </c>
      <c r="N1399" s="471" t="s">
        <v>5637</v>
      </c>
      <c r="O1399" s="471" t="s">
        <v>5638</v>
      </c>
    </row>
    <row r="1400" spans="1:15" x14ac:dyDescent="0.25">
      <c r="A1400" s="471" t="s">
        <v>5748</v>
      </c>
      <c r="B1400" s="1139">
        <f t="shared" ca="1" si="229"/>
        <v>0</v>
      </c>
      <c r="C1400" s="473">
        <f ca="1">IF(ISERROR(VLOOKUP($A$1467,INDIRECT("notes_"&amp;LEFT($A$1467,3)),4,0)),0,VLOOKUP($A$1467,INDIRECT("notes_"&amp;LEFT($A$1467,3)),4,0))</f>
        <v>0</v>
      </c>
      <c r="H1400" s="471">
        <f t="shared" si="228"/>
        <v>2</v>
      </c>
      <c r="I1400" s="471">
        <v>0</v>
      </c>
      <c r="J1400" s="471" t="str">
        <f t="shared" si="230"/>
        <v>housgfcftot</v>
      </c>
      <c r="K1400" s="471" t="str">
        <f t="shared" si="231"/>
        <v>sfc</v>
      </c>
      <c r="L1400" s="599"/>
      <c r="M1400" s="471" t="s">
        <v>5636</v>
      </c>
      <c r="N1400" s="471" t="s">
        <v>5637</v>
      </c>
      <c r="O1400" s="471" t="s">
        <v>5638</v>
      </c>
    </row>
    <row r="1401" spans="1:15" x14ac:dyDescent="0.25">
      <c r="A1401" s="471" t="s">
        <v>5749</v>
      </c>
      <c r="B1401" s="1139">
        <f t="shared" ca="1" si="229"/>
        <v>0</v>
      </c>
      <c r="C1401" s="473">
        <f ca="1">IF(ISERROR(VLOOKUP($A$1446,INDIRECT("notes_"&amp;LEFT($A$1446,3)),4,0)),0,VLOOKUP($A$1446,INDIRECT("notes_"&amp;LEFT($A$1446,3)),4,0))</f>
        <v>0</v>
      </c>
      <c r="H1401" s="471">
        <f t="shared" si="228"/>
        <v>6</v>
      </c>
      <c r="I1401" s="471">
        <v>1</v>
      </c>
      <c r="J1401" s="471" t="str">
        <f t="shared" si="230"/>
        <v>housgfcfstr-hous-str-adv-enb</v>
      </c>
      <c r="K1401" s="471" t="str">
        <f t="shared" si="231"/>
        <v>oth-inc</v>
      </c>
      <c r="L1401" s="599"/>
      <c r="M1401" s="471" t="s">
        <v>5636</v>
      </c>
      <c r="N1401" s="471" t="s">
        <v>5637</v>
      </c>
      <c r="O1401" s="471" t="s">
        <v>5638</v>
      </c>
    </row>
    <row r="1402" spans="1:15" x14ac:dyDescent="0.25">
      <c r="A1402" s="471" t="s">
        <v>5750</v>
      </c>
      <c r="B1402" s="1139">
        <f t="shared" ca="1" si="229"/>
        <v>0</v>
      </c>
      <c r="C1402" s="473">
        <f ca="1">IF(ISERROR(VLOOKUP($A$1447,INDIRECT("notes_"&amp;LEFT($A$1447,3)),4,0)),0,VLOOKUP($A$1447,INDIRECT("notes_"&amp;LEFT($A$1447,3)),4,0))</f>
        <v>0</v>
      </c>
      <c r="H1402" s="471">
        <f t="shared" si="228"/>
        <v>4</v>
      </c>
      <c r="I1402" s="471">
        <v>1</v>
      </c>
      <c r="J1402" s="471" t="str">
        <f t="shared" si="230"/>
        <v>housgfcfstr-hous-adv</v>
      </c>
      <c r="K1402" s="471" t="str">
        <f t="shared" si="231"/>
        <v>oth-inc</v>
      </c>
      <c r="L1402" s="599"/>
      <c r="M1402" s="471" t="s">
        <v>5636</v>
      </c>
      <c r="N1402" s="471" t="s">
        <v>5637</v>
      </c>
      <c r="O1402" s="471" t="s">
        <v>5638</v>
      </c>
    </row>
    <row r="1403" spans="1:15" x14ac:dyDescent="0.25">
      <c r="A1403" s="471" t="s">
        <v>5751</v>
      </c>
      <c r="B1403" s="1139">
        <f t="shared" ca="1" si="229"/>
        <v>0</v>
      </c>
      <c r="C1403" s="473">
        <f ca="1">IF(ISERROR(VLOOKUP($A$1448,INDIRECT("notes_"&amp;LEFT($A$1448,3)),4,0)),0,VLOOKUP($A$1448,INDIRECT("notes_"&amp;LEFT($A$1448,3)),4,0))</f>
        <v>0</v>
      </c>
      <c r="H1403" s="471">
        <f t="shared" si="228"/>
        <v>5</v>
      </c>
      <c r="I1403" s="471">
        <v>1</v>
      </c>
      <c r="J1403" s="471" t="str">
        <f t="shared" si="230"/>
        <v>housprvsecrnw-adm-rpr-imp</v>
      </c>
      <c r="K1403" s="471" t="str">
        <f t="shared" si="231"/>
        <v>oth-inc</v>
      </c>
      <c r="L1403" s="599"/>
      <c r="M1403" s="471" t="s">
        <v>5636</v>
      </c>
      <c r="N1403" s="471" t="s">
        <v>5637</v>
      </c>
      <c r="O1403" s="471" t="s">
        <v>5638</v>
      </c>
    </row>
    <row r="1404" spans="1:15" x14ac:dyDescent="0.25">
      <c r="A1404" s="471" t="s">
        <v>5752</v>
      </c>
      <c r="B1404" s="1139">
        <f t="shared" ca="1" si="229"/>
        <v>0</v>
      </c>
      <c r="C1404" s="473">
        <f ca="1">IF(ISERROR(VLOOKUP($A$1449,INDIRECT("notes_"&amp;LEFT($A$1449,3)),4,0)),0,VLOOKUP($A$1449,INDIRECT("notes_"&amp;LEFT($A$1449,3)),4,0))</f>
        <v>0</v>
      </c>
      <c r="H1404" s="471">
        <f t="shared" si="228"/>
        <v>3</v>
      </c>
      <c r="I1404" s="471">
        <v>1</v>
      </c>
      <c r="J1404" s="471" t="str">
        <f t="shared" si="230"/>
        <v>housprvsecrnw-oth</v>
      </c>
      <c r="K1404" s="471" t="str">
        <f t="shared" si="231"/>
        <v>oth-inc</v>
      </c>
      <c r="L1404" s="599"/>
      <c r="M1404" s="471" t="s">
        <v>5636</v>
      </c>
      <c r="N1404" s="471" t="s">
        <v>5637</v>
      </c>
      <c r="O1404" s="471" t="s">
        <v>5638</v>
      </c>
    </row>
    <row r="1405" spans="1:15" x14ac:dyDescent="0.25">
      <c r="A1405" s="471" t="s">
        <v>5753</v>
      </c>
      <c r="B1405" s="1139">
        <f t="shared" ca="1" si="229"/>
        <v>0</v>
      </c>
      <c r="C1405" s="473">
        <f ca="1">IF(ISERROR(VLOOKUP($A$1450,INDIRECT("notes_"&amp;LEFT($A$1450,3)),4,0)),0,VLOOKUP($A$1450,INDIRECT("notes_"&amp;LEFT($A$1450,3)),4,0))</f>
        <v>0</v>
      </c>
      <c r="H1405" s="471">
        <f t="shared" si="228"/>
        <v>6</v>
      </c>
      <c r="I1405" s="471">
        <v>1</v>
      </c>
      <c r="J1405" s="471" t="str">
        <f t="shared" si="230"/>
        <v>housgfcfhml-ngt-prv-mng-acc</v>
      </c>
      <c r="K1405" s="471" t="str">
        <f t="shared" si="231"/>
        <v>oth-inc</v>
      </c>
      <c r="L1405" s="599"/>
      <c r="M1405" s="471" t="s">
        <v>5636</v>
      </c>
      <c r="N1405" s="471" t="s">
        <v>5637</v>
      </c>
      <c r="O1405" s="471" t="s">
        <v>5638</v>
      </c>
    </row>
    <row r="1406" spans="1:15" x14ac:dyDescent="0.25">
      <c r="A1406" s="471" t="s">
        <v>5754</v>
      </c>
      <c r="B1406" s="1139">
        <f t="shared" ca="1" si="229"/>
        <v>0</v>
      </c>
      <c r="C1406" s="473">
        <f ca="1">IF(ISERROR(VLOOKUP($A$1451,INDIRECT("notes_"&amp;LEFT($A$1451,3)),4,0)),0,VLOOKUP($A$1451,INDIRECT("notes_"&amp;LEFT($A$1451,3)),4,0))</f>
        <v>0</v>
      </c>
      <c r="H1406" s="471">
        <f t="shared" si="228"/>
        <v>5</v>
      </c>
      <c r="I1406" s="471">
        <v>1</v>
      </c>
      <c r="J1406" s="471" t="str">
        <f t="shared" si="230"/>
        <v>housgfcfhml-prv-acc-lsd</v>
      </c>
      <c r="K1406" s="471" t="str">
        <f t="shared" si="231"/>
        <v>oth-inc</v>
      </c>
      <c r="L1406" s="599"/>
      <c r="M1406" s="471" t="s">
        <v>5636</v>
      </c>
      <c r="N1406" s="471" t="s">
        <v>5637</v>
      </c>
      <c r="O1406" s="471" t="s">
        <v>5638</v>
      </c>
    </row>
    <row r="1407" spans="1:15" x14ac:dyDescent="0.25">
      <c r="A1407" s="471" t="s">
        <v>5755</v>
      </c>
      <c r="B1407" s="1139">
        <f t="shared" ca="1" si="229"/>
        <v>0</v>
      </c>
      <c r="C1407" s="473">
        <f ca="1">IF(ISERROR(VLOOKUP($A$1452,INDIRECT("notes_"&amp;LEFT($A$1452,3)),4,0)),0,VLOOKUP($A$1452,INDIRECT("notes_"&amp;LEFT($A$1452,3)),4,0))</f>
        <v>0</v>
      </c>
      <c r="H1407" s="471">
        <f t="shared" si="228"/>
        <v>5</v>
      </c>
      <c r="I1407" s="471">
        <v>1</v>
      </c>
      <c r="J1407" s="471" t="str">
        <f t="shared" si="230"/>
        <v>housgfcfhml-hst-incl-rcpt</v>
      </c>
      <c r="K1407" s="471" t="str">
        <f t="shared" si="231"/>
        <v>oth-inc</v>
      </c>
      <c r="L1407" s="599"/>
      <c r="M1407" s="471" t="s">
        <v>5636</v>
      </c>
      <c r="N1407" s="471" t="s">
        <v>5637</v>
      </c>
      <c r="O1407" s="471" t="s">
        <v>5638</v>
      </c>
    </row>
    <row r="1408" spans="1:15" x14ac:dyDescent="0.25">
      <c r="A1408" s="471" t="s">
        <v>5756</v>
      </c>
      <c r="B1408" s="1139">
        <f t="shared" ca="1" si="229"/>
        <v>0</v>
      </c>
      <c r="C1408" s="473">
        <f ca="1">IF(ISERROR(VLOOKUP($A$1453,INDIRECT("notes_"&amp;LEFT($A$1453,3)),4,0)),0,VLOOKUP($A$1453,INDIRECT("notes_"&amp;LEFT($A$1453,3)),4,0))</f>
        <v>0</v>
      </c>
      <c r="H1408" s="471">
        <f t="shared" si="228"/>
        <v>4</v>
      </c>
      <c r="I1408" s="471">
        <v>1</v>
      </c>
      <c r="J1408" s="471" t="str">
        <f t="shared" si="230"/>
        <v>housgfcfhml-bb-htls</v>
      </c>
      <c r="K1408" s="471" t="str">
        <f t="shared" si="231"/>
        <v>oth-inc</v>
      </c>
      <c r="L1408" s="599"/>
      <c r="M1408" s="471" t="s">
        <v>5636</v>
      </c>
      <c r="N1408" s="471" t="s">
        <v>5637</v>
      </c>
      <c r="O1408" s="471" t="s">
        <v>5638</v>
      </c>
    </row>
    <row r="1409" spans="1:15" x14ac:dyDescent="0.25">
      <c r="A1409" s="471" t="s">
        <v>5757</v>
      </c>
      <c r="B1409" s="1139">
        <f t="shared" ca="1" si="229"/>
        <v>0</v>
      </c>
      <c r="C1409" s="473">
        <f ca="1">IF(ISERROR(VLOOKUP($A$1454,INDIRECT("notes_"&amp;LEFT($A$1454,3)),4,0)),0,VLOOKUP($A$1454,INDIRECT("notes_"&amp;LEFT($A$1454,3)),4,0))</f>
        <v>0</v>
      </c>
      <c r="H1409" s="471">
        <f t="shared" si="228"/>
        <v>5</v>
      </c>
      <c r="I1409" s="471">
        <v>1</v>
      </c>
      <c r="J1409" s="471" t="str">
        <f t="shared" si="230"/>
        <v>housgfcfhml-la-ha-stk</v>
      </c>
      <c r="K1409" s="471" t="str">
        <f t="shared" si="231"/>
        <v>oth-inc</v>
      </c>
      <c r="L1409" s="599"/>
      <c r="M1409" s="471" t="s">
        <v>5636</v>
      </c>
      <c r="N1409" s="471" t="s">
        <v>5637</v>
      </c>
      <c r="O1409" s="471" t="s">
        <v>5638</v>
      </c>
    </row>
    <row r="1410" spans="1:15" x14ac:dyDescent="0.25">
      <c r="A1410" s="471" t="s">
        <v>5758</v>
      </c>
      <c r="B1410" s="1139">
        <f t="shared" ca="1" si="229"/>
        <v>0</v>
      </c>
      <c r="C1410" s="473">
        <f ca="1">IF(ISERROR(VLOOKUP($A$1455,INDIRECT("notes_"&amp;LEFT($A$1455,3)),4,0)),0,VLOOKUP($A$1455,INDIRECT("notes_"&amp;LEFT($A$1455,3)),4,0))</f>
        <v>0</v>
      </c>
      <c r="H1410" s="471">
        <f t="shared" si="228"/>
        <v>6</v>
      </c>
      <c r="I1410" s="471">
        <v>1</v>
      </c>
      <c r="J1410" s="471" t="str">
        <f t="shared" si="230"/>
        <v>housgfcfhml-any-oth-temp-acc</v>
      </c>
      <c r="K1410" s="471" t="str">
        <f t="shared" si="231"/>
        <v>oth-inc</v>
      </c>
      <c r="L1410" s="599"/>
      <c r="M1410" s="471" t="s">
        <v>5636</v>
      </c>
      <c r="N1410" s="471" t="s">
        <v>5637</v>
      </c>
      <c r="O1410" s="471" t="s">
        <v>5638</v>
      </c>
    </row>
    <row r="1411" spans="1:15" x14ac:dyDescent="0.25">
      <c r="A1411" s="471" t="s">
        <v>5759</v>
      </c>
      <c r="B1411" s="1139">
        <f t="shared" ca="1" si="229"/>
        <v>0</v>
      </c>
      <c r="C1411" s="473">
        <f ca="1">IF(ISERROR(VLOOKUP($A$1456,INDIRECT("notes_"&amp;LEFT($A$1456,3)),4,0)),0,VLOOKUP($A$1456,INDIRECT("notes_"&amp;LEFT($A$1456,3)),4,0))</f>
        <v>0</v>
      </c>
      <c r="H1411" s="471">
        <f t="shared" si="228"/>
        <v>5</v>
      </c>
      <c r="I1411" s="471">
        <v>1</v>
      </c>
      <c r="J1411" s="471" t="str">
        <f t="shared" si="230"/>
        <v>housgfcfhml-tmp-acc-adm</v>
      </c>
      <c r="K1411" s="471" t="str">
        <f t="shared" si="231"/>
        <v>oth-inc</v>
      </c>
      <c r="L1411" s="599"/>
      <c r="M1411" s="471" t="s">
        <v>5636</v>
      </c>
      <c r="N1411" s="471" t="s">
        <v>5637</v>
      </c>
      <c r="O1411" s="471" t="s">
        <v>5638</v>
      </c>
    </row>
    <row r="1412" spans="1:15" x14ac:dyDescent="0.25">
      <c r="A1412" s="471" t="s">
        <v>5760</v>
      </c>
      <c r="B1412" s="1139">
        <f t="shared" ca="1" si="229"/>
        <v>0</v>
      </c>
      <c r="C1412" s="473">
        <f ca="1">IF(ISERROR(VLOOKUP($A$1457,INDIRECT("notes_"&amp;LEFT($A$1457,3)),4,0)),0,VLOOKUP($A$1457,INDIRECT("notes_"&amp;LEFT($A$1457,3)),4,0))</f>
        <v>0</v>
      </c>
      <c r="H1412" s="471">
        <f t="shared" si="228"/>
        <v>5</v>
      </c>
      <c r="I1412" s="471">
        <v>1</v>
      </c>
      <c r="J1412" s="471" t="str">
        <f t="shared" si="230"/>
        <v>housgfcfhml-hml-rdct-act</v>
      </c>
      <c r="K1412" s="471" t="str">
        <f t="shared" si="231"/>
        <v>oth-inc</v>
      </c>
      <c r="L1412" s="599"/>
      <c r="M1412" s="471" t="s">
        <v>5636</v>
      </c>
      <c r="N1412" s="471" t="s">
        <v>5637</v>
      </c>
      <c r="O1412" s="471" t="s">
        <v>5638</v>
      </c>
    </row>
    <row r="1413" spans="1:15" x14ac:dyDescent="0.25">
      <c r="A1413" s="471" t="s">
        <v>5761</v>
      </c>
      <c r="B1413" s="1139">
        <f ca="1">INDEX(INDIRECT(LEFT($A1413,SEARCH("-",$A1413,1)-1)&amp;"_data"),MATCH(MID($A1413,SEARCH("-",$A1413)+1,SEARCH("#",SUBSTITUTE($A1413,"-","#",H1413),1)-(SEARCH("-",$A1413)+1)),INDIRECT(LEFT($A1413,SEARCH("-",$A1413,1)-1)&amp;"_rows"),0),MATCH(RIGHT($A1413,LEN($A1413)-LEN(LEFT($A1413,SEARCH("#",SUBSTITUTE($A1413,"-","#",H1413+1),1)))),INDIRECT(LEFT($A1413,SEARCH("-",$A1413,1)-1)&amp;"_Header"),0))</f>
        <v>0</v>
      </c>
      <c r="C1413" s="473">
        <f ca="1">IF(ISERROR(VLOOKUP($A$1458,INDIRECT("notes_"&amp;LEFT($A$1458,3)),4,0)),0,VLOOKUP($A$1458,INDIRECT("notes_"&amp;LEFT($A$1458,3)),4,0))</f>
        <v>0</v>
      </c>
      <c r="H1413" s="471">
        <f t="shared" si="228"/>
        <v>6</v>
      </c>
      <c r="I1413" s="471">
        <v>2</v>
      </c>
      <c r="J1413" s="471" t="str">
        <f t="shared" si="230"/>
        <v>housgfcfhml-non-hml-rdct-act</v>
      </c>
      <c r="K1413" s="471" t="str">
        <f>RIGHT($A1413,LEN($A1413)-SEARCH("#",SUBSTITUTE($A1413,"-","#",H1413+1),1))</f>
        <v>oth-inc</v>
      </c>
      <c r="L1413" s="599"/>
      <c r="M1413" s="471" t="s">
        <v>5636</v>
      </c>
      <c r="N1413" s="471" t="s">
        <v>5637</v>
      </c>
      <c r="O1413" s="471" t="s">
        <v>5638</v>
      </c>
    </row>
    <row r="1414" spans="1:15" x14ac:dyDescent="0.25">
      <c r="A1414" s="471" t="s">
        <v>5762</v>
      </c>
      <c r="B1414" s="1139">
        <f t="shared" ca="1" si="229"/>
        <v>0</v>
      </c>
      <c r="C1414" s="473">
        <f ca="1">IF(ISERROR(VLOOKUP($A$1459,INDIRECT("notes_"&amp;LEFT($A$1459,3)),4,0)),0,VLOOKUP($A$1459,INDIRECT("notes_"&amp;LEFT($A$1459,3)),4,0))</f>
        <v>0</v>
      </c>
      <c r="H1414" s="471">
        <f t="shared" si="228"/>
        <v>4</v>
      </c>
      <c r="I1414" s="471">
        <v>1</v>
      </c>
      <c r="J1414" s="471" t="str">
        <f t="shared" si="230"/>
        <v>housgfcfhml-hml-tot</v>
      </c>
      <c r="K1414" s="471" t="str">
        <f t="shared" si="231"/>
        <v>oth-inc</v>
      </c>
      <c r="L1414" s="599"/>
      <c r="M1414" s="471" t="s">
        <v>5636</v>
      </c>
      <c r="N1414" s="471" t="s">
        <v>5637</v>
      </c>
      <c r="O1414" s="471" t="s">
        <v>5638</v>
      </c>
    </row>
    <row r="1415" spans="1:15" x14ac:dyDescent="0.25">
      <c r="A1415" s="471" t="s">
        <v>5763</v>
      </c>
      <c r="B1415" s="1139">
        <f t="shared" ca="1" si="229"/>
        <v>0</v>
      </c>
      <c r="C1415" s="473">
        <f ca="1">IF(ISERROR(VLOOKUP($A$1460,INDIRECT("notes_"&amp;LEFT($A$1460,3)),4,0)),0,VLOOKUP($A$1460,INDIRECT("notes_"&amp;LEFT($A$1460,3)),4,0))</f>
        <v>0</v>
      </c>
      <c r="H1415" s="471">
        <f t="shared" si="228"/>
        <v>5</v>
      </c>
      <c r="I1415" s="471">
        <v>1</v>
      </c>
      <c r="J1415" s="471" t="str">
        <f t="shared" si="230"/>
        <v>housgfcfbnf-rnt-all-dsp</v>
      </c>
      <c r="K1415" s="471" t="str">
        <f t="shared" si="231"/>
        <v>oth-inc</v>
      </c>
      <c r="L1415" s="599"/>
      <c r="M1415" s="471" t="s">
        <v>5636</v>
      </c>
      <c r="N1415" s="471" t="s">
        <v>5637</v>
      </c>
      <c r="O1415" s="471" t="s">
        <v>5638</v>
      </c>
    </row>
    <row r="1416" spans="1:15" x14ac:dyDescent="0.25">
      <c r="A1416" s="471" t="s">
        <v>5764</v>
      </c>
      <c r="B1416" s="1139">
        <f t="shared" ca="1" si="229"/>
        <v>0</v>
      </c>
      <c r="C1416" s="473">
        <f ca="1">IF(ISERROR(VLOOKUP($A$1461,INDIRECT("notes_"&amp;LEFT($A$1461,3)),4,0)),0,VLOOKUP($A$1461,INDIRECT("notes_"&amp;LEFT($A$1461,3)),4,0))</f>
        <v>0</v>
      </c>
      <c r="H1416" s="471">
        <f t="shared" si="228"/>
        <v>6</v>
      </c>
      <c r="I1416" s="471">
        <v>1</v>
      </c>
      <c r="J1416" s="471" t="str">
        <f t="shared" si="230"/>
        <v>housgfcfbnf-non-hra-rbt-dsp</v>
      </c>
      <c r="K1416" s="471" t="str">
        <f t="shared" si="231"/>
        <v>oth-inc</v>
      </c>
      <c r="L1416" s="599"/>
      <c r="M1416" s="471" t="s">
        <v>5636</v>
      </c>
      <c r="N1416" s="471" t="s">
        <v>5637</v>
      </c>
      <c r="O1416" s="471" t="s">
        <v>5638</v>
      </c>
    </row>
    <row r="1417" spans="1:15" x14ac:dyDescent="0.25">
      <c r="A1417" s="471" t="s">
        <v>5765</v>
      </c>
      <c r="B1417" s="1139">
        <f t="shared" ca="1" si="229"/>
        <v>0</v>
      </c>
      <c r="C1417" s="473">
        <f ca="1">IF(ISERROR(VLOOKUP($A$1462,INDIRECT("notes_"&amp;LEFT($A$1462,3)),4,0)),0,VLOOKUP($A$1462,INDIRECT("notes_"&amp;LEFT($A$1462,3)),4,0))</f>
        <v>0</v>
      </c>
      <c r="H1417" s="471">
        <f t="shared" si="228"/>
        <v>6</v>
      </c>
      <c r="I1417" s="471">
        <v>1</v>
      </c>
      <c r="J1417" s="471" t="str">
        <f t="shared" si="230"/>
        <v>housgfcfbnf-rnt-rbt-hra-dsp</v>
      </c>
      <c r="K1417" s="471" t="str">
        <f t="shared" si="231"/>
        <v>oth-inc</v>
      </c>
      <c r="L1417" s="599"/>
      <c r="M1417" s="471" t="s">
        <v>5636</v>
      </c>
      <c r="N1417" s="471" t="s">
        <v>5637</v>
      </c>
      <c r="O1417" s="471" t="s">
        <v>5638</v>
      </c>
    </row>
    <row r="1418" spans="1:15" x14ac:dyDescent="0.25">
      <c r="A1418" s="471" t="s">
        <v>5766</v>
      </c>
      <c r="B1418" s="1139">
        <f t="shared" ca="1" si="229"/>
        <v>0</v>
      </c>
      <c r="C1418" s="473">
        <f ca="1">IF(ISERROR(VLOOKUP($A$1463,INDIRECT("notes_"&amp;LEFT($A$1463,3)),4,0)),0,VLOOKUP($A$1463,INDIRECT("notes_"&amp;LEFT($A$1463,3)),4,0))</f>
        <v>0</v>
      </c>
      <c r="H1418" s="471">
        <f t="shared" si="228"/>
        <v>2</v>
      </c>
      <c r="I1418" s="471">
        <v>1</v>
      </c>
      <c r="J1418" s="471" t="str">
        <f t="shared" si="230"/>
        <v>housgfcfbnfadm</v>
      </c>
      <c r="K1418" s="471" t="str">
        <f t="shared" si="231"/>
        <v>oth-inc</v>
      </c>
      <c r="L1418" s="599"/>
      <c r="M1418" s="471" t="s">
        <v>5636</v>
      </c>
      <c r="N1418" s="471" t="s">
        <v>5637</v>
      </c>
      <c r="O1418" s="471" t="s">
        <v>5638</v>
      </c>
    </row>
    <row r="1419" spans="1:15" x14ac:dyDescent="0.25">
      <c r="A1419" s="471" t="s">
        <v>5767</v>
      </c>
      <c r="B1419" s="1139">
        <f t="shared" ca="1" si="229"/>
        <v>0</v>
      </c>
      <c r="C1419" s="473">
        <f ca="1">IF(ISERROR(VLOOKUP($A$1464,INDIRECT("notes_"&amp;LEFT($A$1464,3)),4,0)),0,VLOOKUP($A$1464,INDIRECT("notes_"&amp;LEFT($A$1464,3)),4,0))</f>
        <v>0</v>
      </c>
      <c r="H1419" s="471">
        <f t="shared" si="228"/>
        <v>2</v>
      </c>
      <c r="I1419" s="471">
        <v>1</v>
      </c>
      <c r="J1419" s="471" t="str">
        <f t="shared" si="230"/>
        <v>housgfcfcnc</v>
      </c>
      <c r="K1419" s="471" t="str">
        <f t="shared" si="231"/>
        <v>oth-inc</v>
      </c>
      <c r="L1419" s="599"/>
      <c r="M1419" s="471" t="s">
        <v>5636</v>
      </c>
      <c r="N1419" s="471" t="s">
        <v>5637</v>
      </c>
      <c r="O1419" s="471" t="s">
        <v>5638</v>
      </c>
    </row>
    <row r="1420" spans="1:15" x14ac:dyDescent="0.25">
      <c r="A1420" s="471" t="s">
        <v>5768</v>
      </c>
      <c r="B1420" s="1139">
        <f t="shared" ca="1" si="229"/>
        <v>0</v>
      </c>
      <c r="C1420" s="473">
        <f ca="1">IF(ISERROR(VLOOKUP($A$1465,INDIRECT("notes_"&amp;LEFT($A$1465,3)),4,0)),0,VLOOKUP($A$1465,INDIRECT("notes_"&amp;LEFT($A$1465,3)),4,0))</f>
        <v>0</v>
      </c>
      <c r="H1420" s="471">
        <f t="shared" si="228"/>
        <v>2</v>
      </c>
      <c r="I1420" s="471">
        <v>1</v>
      </c>
      <c r="J1420" s="471" t="str">
        <f t="shared" si="230"/>
        <v>housgfcfwlfspp</v>
      </c>
      <c r="K1420" s="471" t="str">
        <f t="shared" si="231"/>
        <v>oth-inc</v>
      </c>
      <c r="L1420" s="599"/>
      <c r="M1420" s="471" t="s">
        <v>5636</v>
      </c>
      <c r="N1420" s="471" t="s">
        <v>5637</v>
      </c>
      <c r="O1420" s="471" t="s">
        <v>5638</v>
      </c>
    </row>
    <row r="1421" spans="1:15" x14ac:dyDescent="0.25">
      <c r="A1421" s="471" t="s">
        <v>5769</v>
      </c>
      <c r="B1421" s="1139">
        <f t="shared" ca="1" si="229"/>
        <v>0</v>
      </c>
      <c r="C1421" s="473">
        <f ca="1">IF(ISERROR(VLOOKUP($A$1466,INDIRECT("notes_"&amp;LEFT($A$1466,3)),4,0)),0,VLOOKUP($A$1466,INDIRECT("notes_"&amp;LEFT($A$1466,3)),4,0))</f>
        <v>0</v>
      </c>
      <c r="H1421" s="471">
        <f t="shared" si="228"/>
        <v>2</v>
      </c>
      <c r="I1421" s="471">
        <v>1</v>
      </c>
      <c r="J1421" s="471" t="str">
        <f t="shared" si="230"/>
        <v>housgfcfwlfoth</v>
      </c>
      <c r="K1421" s="471" t="str">
        <f t="shared" si="231"/>
        <v>oth-inc</v>
      </c>
      <c r="L1421" s="599"/>
      <c r="M1421" s="471" t="s">
        <v>5636</v>
      </c>
      <c r="N1421" s="471" t="s">
        <v>5637</v>
      </c>
      <c r="O1421" s="471" t="s">
        <v>5638</v>
      </c>
    </row>
    <row r="1422" spans="1:15" x14ac:dyDescent="0.25">
      <c r="A1422" s="471" t="s">
        <v>5770</v>
      </c>
      <c r="B1422" s="1139">
        <f t="shared" ca="1" si="229"/>
        <v>0</v>
      </c>
      <c r="C1422" s="473">
        <f ca="1">IF(ISERROR(VLOOKUP($A$1467,INDIRECT("notes_"&amp;LEFT($A$1467,3)),4,0)),0,VLOOKUP($A$1467,INDIRECT("notes_"&amp;LEFT($A$1467,3)),4,0))</f>
        <v>0</v>
      </c>
      <c r="H1422" s="471">
        <f t="shared" si="228"/>
        <v>2</v>
      </c>
      <c r="I1422" s="471">
        <v>1</v>
      </c>
      <c r="J1422" s="471" t="str">
        <f t="shared" si="230"/>
        <v>housgfcftot</v>
      </c>
      <c r="K1422" s="471" t="str">
        <f t="shared" si="231"/>
        <v>oth-inc</v>
      </c>
      <c r="L1422" s="599"/>
      <c r="M1422" s="471" t="s">
        <v>5636</v>
      </c>
      <c r="N1422" s="471" t="s">
        <v>5637</v>
      </c>
      <c r="O1422" s="471" t="s">
        <v>5638</v>
      </c>
    </row>
    <row r="1423" spans="1:15" x14ac:dyDescent="0.25">
      <c r="A1423" s="471" t="s">
        <v>5771</v>
      </c>
      <c r="B1423" s="1139">
        <f t="shared" ref="B1423" ca="1" si="232">INDEX(INDIRECT(LEFT($A1423,SEARCH("-",$A1423,1)-1)&amp;"_data"),MATCH(MID($A1423,SEARCH("-",$A1423)+1,SEARCH("#",SUBSTITUTE($A1423,"-","#",H1423),1)-(SEARCH("-",$A1423)+1)),INDIRECT(LEFT($A1423,SEARCH("-",$A1423,1)-1)&amp;"_rows"),0),MATCH(RIGHT($A1423,LEN($A1423)-LEN(LEFT($A1423,SEARCH("#",SUBSTITUTE($A1423,"-","#",H1423),1)))),INDIRECT(LEFT($A1423,SEARCH("-",$A1423,1)-1)&amp;"_Header"),0))</f>
        <v>0</v>
      </c>
      <c r="C1423" s="473">
        <f ca="1">IF(ISERROR(VLOOKUP($A$1423,INDIRECT("notes_"&amp;LEFT($A$1423,3)),4,0)),0,VLOOKUP($A$1423,INDIRECT("notes_"&amp;LEFT($A$1423,3)),4,0))</f>
        <v>0</v>
      </c>
      <c r="H1423" s="471">
        <f t="shared" si="228"/>
        <v>2</v>
      </c>
      <c r="I1423" s="471">
        <v>1</v>
      </c>
      <c r="J1423" s="471" t="str">
        <f t="shared" ref="J1423" si="233">MID($A1423,SEARCH("-",$A1423)+1,SEARCH("#",SUBSTITUTE($A1423,"-","#",H1423),1)-(SEARCH("-",$A1423)+1))</f>
        <v>housgsvmemrec</v>
      </c>
      <c r="K1423" s="471" t="str">
        <f t="shared" ref="K1423" si="234">RIGHT($A1423,LEN($A1423)-SEARCH("#",SUBSTITUTE($A1423,"-","#",H1423),1))</f>
        <v>oth-inc</v>
      </c>
      <c r="L1423" s="599"/>
      <c r="M1423" s="471" t="s">
        <v>5636</v>
      </c>
      <c r="N1423" s="471" t="s">
        <v>5637</v>
      </c>
      <c r="O1423" s="471" t="s">
        <v>5638</v>
      </c>
    </row>
    <row r="1424" spans="1:15" x14ac:dyDescent="0.25">
      <c r="A1424" s="471" t="s">
        <v>5772</v>
      </c>
      <c r="B1424" s="1139">
        <f t="shared" ca="1" si="229"/>
        <v>0</v>
      </c>
      <c r="C1424" s="473">
        <f ca="1">IF(ISERROR(VLOOKUP($A$1446,INDIRECT("notes_"&amp;LEFT($A$1446,3)),4,0)),0,VLOOKUP($A$1446,INDIRECT("notes_"&amp;LEFT($A$1446,3)),4,0))</f>
        <v>0</v>
      </c>
      <c r="H1424" s="471">
        <f t="shared" si="228"/>
        <v>6</v>
      </c>
      <c r="I1424" s="471">
        <v>1</v>
      </c>
      <c r="J1424" s="471" t="str">
        <f t="shared" si="230"/>
        <v>housgfcfstr-hous-str-adv-enb</v>
      </c>
      <c r="K1424" s="471" t="str">
        <f t="shared" si="231"/>
        <v>tot-inc</v>
      </c>
      <c r="L1424" s="599"/>
      <c r="M1424" s="471" t="s">
        <v>5636</v>
      </c>
      <c r="N1424" s="471" t="s">
        <v>5637</v>
      </c>
      <c r="O1424" s="471" t="s">
        <v>5638</v>
      </c>
    </row>
    <row r="1425" spans="1:15" x14ac:dyDescent="0.25">
      <c r="A1425" s="471" t="s">
        <v>5773</v>
      </c>
      <c r="B1425" s="1139">
        <f t="shared" ca="1" si="229"/>
        <v>0</v>
      </c>
      <c r="C1425" s="473">
        <f ca="1">IF(ISERROR(VLOOKUP($A$1447,INDIRECT("notes_"&amp;LEFT($A$1447,3)),4,0)),0,VLOOKUP($A$1447,INDIRECT("notes_"&amp;LEFT($A$1447,3)),4,0))</f>
        <v>0</v>
      </c>
      <c r="H1425" s="471">
        <f t="shared" si="228"/>
        <v>4</v>
      </c>
      <c r="I1425" s="471">
        <v>1</v>
      </c>
      <c r="J1425" s="471" t="str">
        <f t="shared" si="230"/>
        <v>housgfcfstr-hous-adv</v>
      </c>
      <c r="K1425" s="471" t="str">
        <f t="shared" si="231"/>
        <v>tot-inc</v>
      </c>
      <c r="L1425" s="599"/>
      <c r="M1425" s="471" t="s">
        <v>5636</v>
      </c>
      <c r="N1425" s="471" t="s">
        <v>5637</v>
      </c>
      <c r="O1425" s="471" t="s">
        <v>5638</v>
      </c>
    </row>
    <row r="1426" spans="1:15" x14ac:dyDescent="0.25">
      <c r="A1426" s="471" t="s">
        <v>5774</v>
      </c>
      <c r="B1426" s="1139">
        <f t="shared" ca="1" si="229"/>
        <v>0</v>
      </c>
      <c r="C1426" s="473">
        <f ca="1">IF(ISERROR(VLOOKUP($A$1448,INDIRECT("notes_"&amp;LEFT($A$1448,3)),4,0)),0,VLOOKUP($A$1448,INDIRECT("notes_"&amp;LEFT($A$1448,3)),4,0))</f>
        <v>0</v>
      </c>
      <c r="H1426" s="471">
        <f t="shared" ref="H1426:H1490" si="235">LEN(A1426)-LEN(SUBSTITUTE(A1426,"-",""))-I1426</f>
        <v>5</v>
      </c>
      <c r="I1426" s="471">
        <v>1</v>
      </c>
      <c r="J1426" s="471" t="str">
        <f t="shared" si="230"/>
        <v>housprvsecrnw-adm-rpr-imp</v>
      </c>
      <c r="K1426" s="471" t="str">
        <f t="shared" si="231"/>
        <v>tot-inc</v>
      </c>
      <c r="L1426" s="599"/>
      <c r="M1426" s="471" t="s">
        <v>5636</v>
      </c>
      <c r="N1426" s="471" t="s">
        <v>5637</v>
      </c>
      <c r="O1426" s="471" t="s">
        <v>5638</v>
      </c>
    </row>
    <row r="1427" spans="1:15" x14ac:dyDescent="0.25">
      <c r="A1427" s="471" t="s">
        <v>5775</v>
      </c>
      <c r="B1427" s="1139">
        <f t="shared" ref="B1427:B1467" ca="1" si="236">INDEX(INDIRECT(LEFT($A1427,SEARCH("-",$A1427,1)-1)&amp;"_data"),MATCH(MID($A1427,SEARCH("-",$A1427)+1,SEARCH("#",SUBSTITUTE($A1427,"-","#",H1427),1)-(SEARCH("-",$A1427)+1)),INDIRECT(LEFT($A1427,SEARCH("-",$A1427,1)-1)&amp;"_rows"),0),MATCH(RIGHT($A1427,LEN($A1427)-LEN(LEFT($A1427,SEARCH("#",SUBSTITUTE($A1427,"-","#",H1427),1)))),INDIRECT(LEFT($A1427,SEARCH("-",$A1427,1)-1)&amp;"_Header"),0))</f>
        <v>0</v>
      </c>
      <c r="C1427" s="473">
        <f ca="1">IF(ISERROR(VLOOKUP($A$1449,INDIRECT("notes_"&amp;LEFT($A$1449,3)),4,0)),0,VLOOKUP($A$1449,INDIRECT("notes_"&amp;LEFT($A$1449,3)),4,0))</f>
        <v>0</v>
      </c>
      <c r="H1427" s="471">
        <f t="shared" si="235"/>
        <v>3</v>
      </c>
      <c r="I1427" s="471">
        <v>1</v>
      </c>
      <c r="J1427" s="471" t="str">
        <f t="shared" si="230"/>
        <v>housprvsecrnw-oth</v>
      </c>
      <c r="K1427" s="471" t="str">
        <f t="shared" si="231"/>
        <v>tot-inc</v>
      </c>
      <c r="L1427" s="599"/>
      <c r="M1427" s="471" t="s">
        <v>5636</v>
      </c>
      <c r="N1427" s="471" t="s">
        <v>5637</v>
      </c>
      <c r="O1427" s="471" t="s">
        <v>5638</v>
      </c>
    </row>
    <row r="1428" spans="1:15" x14ac:dyDescent="0.25">
      <c r="A1428" s="471" t="s">
        <v>5776</v>
      </c>
      <c r="B1428" s="1139">
        <f t="shared" ca="1" si="236"/>
        <v>0</v>
      </c>
      <c r="C1428" s="473">
        <f ca="1">IF(ISERROR(VLOOKUP($A$1450,INDIRECT("notes_"&amp;LEFT($A$1450,3)),4,0)),0,VLOOKUP($A$1450,INDIRECT("notes_"&amp;LEFT($A$1450,3)),4,0))</f>
        <v>0</v>
      </c>
      <c r="H1428" s="471">
        <f t="shared" si="235"/>
        <v>6</v>
      </c>
      <c r="I1428" s="471">
        <v>1</v>
      </c>
      <c r="J1428" s="471" t="str">
        <f t="shared" si="230"/>
        <v>housgfcfhml-ngt-prv-mng-acc</v>
      </c>
      <c r="K1428" s="471" t="str">
        <f t="shared" si="231"/>
        <v>tot-inc</v>
      </c>
      <c r="L1428" s="599"/>
      <c r="M1428" s="471" t="s">
        <v>5636</v>
      </c>
      <c r="N1428" s="471" t="s">
        <v>5637</v>
      </c>
      <c r="O1428" s="471" t="s">
        <v>5638</v>
      </c>
    </row>
    <row r="1429" spans="1:15" x14ac:dyDescent="0.25">
      <c r="A1429" s="471" t="s">
        <v>5777</v>
      </c>
      <c r="B1429" s="1139">
        <f t="shared" ca="1" si="236"/>
        <v>0</v>
      </c>
      <c r="C1429" s="473">
        <f ca="1">IF(ISERROR(VLOOKUP($A$1451,INDIRECT("notes_"&amp;LEFT($A$1451,3)),4,0)),0,VLOOKUP($A$1451,INDIRECT("notes_"&amp;LEFT($A$1451,3)),4,0))</f>
        <v>0</v>
      </c>
      <c r="H1429" s="471">
        <f t="shared" si="235"/>
        <v>5</v>
      </c>
      <c r="I1429" s="471">
        <v>1</v>
      </c>
      <c r="J1429" s="471" t="str">
        <f t="shared" si="230"/>
        <v>housgfcfhml-prv-acc-lsd</v>
      </c>
      <c r="K1429" s="471" t="str">
        <f t="shared" si="231"/>
        <v>tot-inc</v>
      </c>
      <c r="L1429" s="599"/>
      <c r="M1429" s="471" t="s">
        <v>5636</v>
      </c>
      <c r="N1429" s="471" t="s">
        <v>5637</v>
      </c>
      <c r="O1429" s="471" t="s">
        <v>5638</v>
      </c>
    </row>
    <row r="1430" spans="1:15" x14ac:dyDescent="0.25">
      <c r="A1430" s="471" t="s">
        <v>5778</v>
      </c>
      <c r="B1430" s="1139">
        <f t="shared" ca="1" si="236"/>
        <v>0</v>
      </c>
      <c r="C1430" s="473">
        <f ca="1">IF(ISERROR(VLOOKUP($A$1452,INDIRECT("notes_"&amp;LEFT($A$1452,3)),4,0)),0,VLOOKUP($A$1452,INDIRECT("notes_"&amp;LEFT($A$1452,3)),4,0))</f>
        <v>0</v>
      </c>
      <c r="H1430" s="471">
        <f t="shared" si="235"/>
        <v>5</v>
      </c>
      <c r="I1430" s="471">
        <v>1</v>
      </c>
      <c r="J1430" s="471" t="str">
        <f t="shared" ref="J1430:J1493" si="237">MID($A1430,SEARCH("-",$A1430)+1,SEARCH("#",SUBSTITUTE($A1430,"-","#",H1430),1)-(SEARCH("-",$A1430)+1))</f>
        <v>housgfcfhml-hst-incl-rcpt</v>
      </c>
      <c r="K1430" s="471" t="str">
        <f t="shared" ref="K1430:K1494" si="238">RIGHT($A1430,LEN($A1430)-SEARCH("#",SUBSTITUTE($A1430,"-","#",H1430),1))</f>
        <v>tot-inc</v>
      </c>
      <c r="L1430" s="599"/>
      <c r="M1430" s="471" t="s">
        <v>5636</v>
      </c>
      <c r="N1430" s="471" t="s">
        <v>5637</v>
      </c>
      <c r="O1430" s="471" t="s">
        <v>5638</v>
      </c>
    </row>
    <row r="1431" spans="1:15" x14ac:dyDescent="0.25">
      <c r="A1431" s="471" t="s">
        <v>5779</v>
      </c>
      <c r="B1431" s="1139">
        <f t="shared" ca="1" si="236"/>
        <v>0</v>
      </c>
      <c r="C1431" s="473">
        <f ca="1">IF(ISERROR(VLOOKUP($A$1453,INDIRECT("notes_"&amp;LEFT($A$1453,3)),4,0)),0,VLOOKUP($A$1453,INDIRECT("notes_"&amp;LEFT($A$1453,3)),4,0))</f>
        <v>0</v>
      </c>
      <c r="H1431" s="471">
        <f t="shared" si="235"/>
        <v>4</v>
      </c>
      <c r="I1431" s="471">
        <v>1</v>
      </c>
      <c r="J1431" s="471" t="str">
        <f t="shared" si="237"/>
        <v>housgfcfhml-bb-htls</v>
      </c>
      <c r="K1431" s="471" t="str">
        <f t="shared" si="238"/>
        <v>tot-inc</v>
      </c>
      <c r="L1431" s="599"/>
      <c r="M1431" s="471" t="s">
        <v>5636</v>
      </c>
      <c r="N1431" s="471" t="s">
        <v>5637</v>
      </c>
      <c r="O1431" s="471" t="s">
        <v>5638</v>
      </c>
    </row>
    <row r="1432" spans="1:15" x14ac:dyDescent="0.25">
      <c r="A1432" s="471" t="s">
        <v>5780</v>
      </c>
      <c r="B1432" s="1139">
        <f t="shared" ca="1" si="236"/>
        <v>0</v>
      </c>
      <c r="C1432" s="473">
        <f ca="1">IF(ISERROR(VLOOKUP($A$1454,INDIRECT("notes_"&amp;LEFT($A$1454,3)),4,0)),0,VLOOKUP($A$1454,INDIRECT("notes_"&amp;LEFT($A$1454,3)),4,0))</f>
        <v>0</v>
      </c>
      <c r="H1432" s="471">
        <f t="shared" si="235"/>
        <v>5</v>
      </c>
      <c r="I1432" s="471">
        <v>1</v>
      </c>
      <c r="J1432" s="471" t="str">
        <f t="shared" si="237"/>
        <v>housgfcfhml-la-ha-stk</v>
      </c>
      <c r="K1432" s="471" t="str">
        <f t="shared" si="238"/>
        <v>tot-inc</v>
      </c>
      <c r="L1432" s="599"/>
      <c r="M1432" s="471" t="s">
        <v>5636</v>
      </c>
      <c r="N1432" s="471" t="s">
        <v>5637</v>
      </c>
      <c r="O1432" s="471" t="s">
        <v>5638</v>
      </c>
    </row>
    <row r="1433" spans="1:15" x14ac:dyDescent="0.25">
      <c r="A1433" s="471" t="s">
        <v>5781</v>
      </c>
      <c r="B1433" s="1139">
        <f t="shared" ca="1" si="236"/>
        <v>0</v>
      </c>
      <c r="C1433" s="473">
        <f ca="1">IF(ISERROR(VLOOKUP($A$1455,INDIRECT("notes_"&amp;LEFT($A$1455,3)),4,0)),0,VLOOKUP($A$1455,INDIRECT("notes_"&amp;LEFT($A$1455,3)),4,0))</f>
        <v>0</v>
      </c>
      <c r="H1433" s="471">
        <f t="shared" si="235"/>
        <v>6</v>
      </c>
      <c r="I1433" s="471">
        <v>1</v>
      </c>
      <c r="J1433" s="471" t="str">
        <f t="shared" si="237"/>
        <v>housgfcfhml-any-oth-temp-acc</v>
      </c>
      <c r="K1433" s="471" t="str">
        <f t="shared" si="238"/>
        <v>tot-inc</v>
      </c>
      <c r="L1433" s="599"/>
      <c r="M1433" s="471" t="s">
        <v>5636</v>
      </c>
      <c r="N1433" s="471" t="s">
        <v>5637</v>
      </c>
      <c r="O1433" s="471" t="s">
        <v>5638</v>
      </c>
    </row>
    <row r="1434" spans="1:15" x14ac:dyDescent="0.25">
      <c r="A1434" s="471" t="s">
        <v>5782</v>
      </c>
      <c r="B1434" s="1139">
        <f t="shared" ca="1" si="236"/>
        <v>0</v>
      </c>
      <c r="C1434" s="473">
        <f ca="1">IF(ISERROR(VLOOKUP($A$1456,INDIRECT("notes_"&amp;LEFT($A$1456,3)),4,0)),0,VLOOKUP($A$1456,INDIRECT("notes_"&amp;LEFT($A$1456,3)),4,0))</f>
        <v>0</v>
      </c>
      <c r="H1434" s="471">
        <f t="shared" si="235"/>
        <v>5</v>
      </c>
      <c r="I1434" s="471">
        <v>1</v>
      </c>
      <c r="J1434" s="471" t="str">
        <f t="shared" si="237"/>
        <v>housgfcfhml-tmp-acc-adm</v>
      </c>
      <c r="K1434" s="471" t="str">
        <f t="shared" si="238"/>
        <v>tot-inc</v>
      </c>
      <c r="L1434" s="599"/>
      <c r="M1434" s="471" t="s">
        <v>5636</v>
      </c>
      <c r="N1434" s="471" t="s">
        <v>5637</v>
      </c>
      <c r="O1434" s="471" t="s">
        <v>5638</v>
      </c>
    </row>
    <row r="1435" spans="1:15" x14ac:dyDescent="0.25">
      <c r="A1435" s="471" t="s">
        <v>5783</v>
      </c>
      <c r="B1435" s="1139">
        <f t="shared" ca="1" si="236"/>
        <v>0</v>
      </c>
      <c r="C1435" s="473">
        <f ca="1">IF(ISERROR(VLOOKUP($A$1457,INDIRECT("notes_"&amp;LEFT($A$1457,3)),4,0)),0,VLOOKUP($A$1457,INDIRECT("notes_"&amp;LEFT($A$1457,3)),4,0))</f>
        <v>0</v>
      </c>
      <c r="H1435" s="471">
        <f t="shared" si="235"/>
        <v>5</v>
      </c>
      <c r="I1435" s="471">
        <v>1</v>
      </c>
      <c r="J1435" s="471" t="str">
        <f t="shared" si="237"/>
        <v>housgfcfhml-hml-rdct-act</v>
      </c>
      <c r="K1435" s="471" t="str">
        <f t="shared" si="238"/>
        <v>tot-inc</v>
      </c>
      <c r="L1435" s="599"/>
      <c r="M1435" s="471" t="s">
        <v>5636</v>
      </c>
      <c r="N1435" s="471" t="s">
        <v>5637</v>
      </c>
      <c r="O1435" s="471" t="s">
        <v>5638</v>
      </c>
    </row>
    <row r="1436" spans="1:15" x14ac:dyDescent="0.25">
      <c r="A1436" s="471" t="s">
        <v>5784</v>
      </c>
      <c r="B1436" s="1139">
        <f ca="1">INDEX(INDIRECT(LEFT($A1436,SEARCH("-",$A1436,1)-1)&amp;"_data"),MATCH(MID($A1436,SEARCH("-",$A1436)+1,SEARCH("#",SUBSTITUTE($A1436,"-","#",H1436),1)-(SEARCH("-",$A1436)+1)),INDIRECT(LEFT($A1436,SEARCH("-",$A1436,1)-1)&amp;"_rows"),0),MATCH(RIGHT($A1436,LEN($A1436)-LEN(LEFT($A1436,SEARCH("#",SUBSTITUTE($A1436,"-","#",H1436+1),1)))),INDIRECT(LEFT($A1436,SEARCH("-",$A1436,1)-1)&amp;"_Header"),0))</f>
        <v>0</v>
      </c>
      <c r="C1436" s="473">
        <f ca="1">IF(ISERROR(VLOOKUP($A$1458,INDIRECT("notes_"&amp;LEFT($A$1458,3)),4,0)),0,VLOOKUP($A$1458,INDIRECT("notes_"&amp;LEFT($A$1458,3)),4,0))</f>
        <v>0</v>
      </c>
      <c r="H1436" s="471">
        <f t="shared" si="235"/>
        <v>6</v>
      </c>
      <c r="I1436" s="471">
        <v>2</v>
      </c>
      <c r="J1436" s="471" t="str">
        <f t="shared" si="237"/>
        <v>housgfcfhml-non-hml-rdct-act</v>
      </c>
      <c r="K1436" s="471" t="str">
        <f>RIGHT($A1436,LEN($A1436)-SEARCH("#",SUBSTITUTE($A1436,"-","#",H1436+1),1))</f>
        <v>tot-inc</v>
      </c>
      <c r="L1436" s="599"/>
      <c r="M1436" s="471" t="s">
        <v>5636</v>
      </c>
      <c r="N1436" s="471" t="s">
        <v>5637</v>
      </c>
      <c r="O1436" s="471" t="s">
        <v>5638</v>
      </c>
    </row>
    <row r="1437" spans="1:15" x14ac:dyDescent="0.25">
      <c r="A1437" s="471" t="s">
        <v>5785</v>
      </c>
      <c r="B1437" s="1139">
        <f t="shared" ca="1" si="236"/>
        <v>0</v>
      </c>
      <c r="C1437" s="473">
        <f ca="1">IF(ISERROR(VLOOKUP($A$1459,INDIRECT("notes_"&amp;LEFT($A$1459,3)),4,0)),0,VLOOKUP($A$1459,INDIRECT("notes_"&amp;LEFT($A$1459,3)),4,0))</f>
        <v>0</v>
      </c>
      <c r="H1437" s="471">
        <f t="shared" si="235"/>
        <v>4</v>
      </c>
      <c r="I1437" s="471">
        <v>1</v>
      </c>
      <c r="J1437" s="471" t="str">
        <f t="shared" si="237"/>
        <v>housgfcfhml-hml-tot</v>
      </c>
      <c r="K1437" s="471" t="str">
        <f t="shared" si="238"/>
        <v>tot-inc</v>
      </c>
      <c r="L1437" s="599"/>
      <c r="M1437" s="471" t="s">
        <v>5636</v>
      </c>
      <c r="N1437" s="471" t="s">
        <v>5637</v>
      </c>
      <c r="O1437" s="471" t="s">
        <v>5638</v>
      </c>
    </row>
    <row r="1438" spans="1:15" x14ac:dyDescent="0.25">
      <c r="A1438" s="471" t="s">
        <v>5786</v>
      </c>
      <c r="B1438" s="1139">
        <f t="shared" ca="1" si="236"/>
        <v>0</v>
      </c>
      <c r="C1438" s="473">
        <f ca="1">IF(ISERROR(VLOOKUP($A$1460,INDIRECT("notes_"&amp;LEFT($A$1460,3)),4,0)),0,VLOOKUP($A$1460,INDIRECT("notes_"&amp;LEFT($A$1460,3)),4,0))</f>
        <v>0</v>
      </c>
      <c r="H1438" s="471">
        <f t="shared" si="235"/>
        <v>5</v>
      </c>
      <c r="I1438" s="471">
        <v>1</v>
      </c>
      <c r="J1438" s="471" t="str">
        <f t="shared" si="237"/>
        <v>housgfcfbnf-rnt-all-dsp</v>
      </c>
      <c r="K1438" s="471" t="str">
        <f t="shared" si="238"/>
        <v>tot-inc</v>
      </c>
      <c r="L1438" s="599"/>
      <c r="M1438" s="471" t="s">
        <v>5636</v>
      </c>
      <c r="N1438" s="471" t="s">
        <v>5637</v>
      </c>
      <c r="O1438" s="471" t="s">
        <v>5638</v>
      </c>
    </row>
    <row r="1439" spans="1:15" x14ac:dyDescent="0.25">
      <c r="A1439" s="471" t="s">
        <v>5787</v>
      </c>
      <c r="B1439" s="1139">
        <f t="shared" ca="1" si="236"/>
        <v>0</v>
      </c>
      <c r="C1439" s="473">
        <f ca="1">IF(ISERROR(VLOOKUP($A$1461,INDIRECT("notes_"&amp;LEFT($A$1461,3)),4,0)),0,VLOOKUP($A$1461,INDIRECT("notes_"&amp;LEFT($A$1461,3)),4,0))</f>
        <v>0</v>
      </c>
      <c r="H1439" s="471">
        <f t="shared" si="235"/>
        <v>6</v>
      </c>
      <c r="I1439" s="471">
        <v>1</v>
      </c>
      <c r="J1439" s="471" t="str">
        <f t="shared" si="237"/>
        <v>housgfcfbnf-non-hra-rbt-dsp</v>
      </c>
      <c r="K1439" s="471" t="str">
        <f t="shared" si="238"/>
        <v>tot-inc</v>
      </c>
      <c r="L1439" s="599"/>
      <c r="M1439" s="471" t="s">
        <v>5636</v>
      </c>
      <c r="N1439" s="471" t="s">
        <v>5637</v>
      </c>
      <c r="O1439" s="471" t="s">
        <v>5638</v>
      </c>
    </row>
    <row r="1440" spans="1:15" x14ac:dyDescent="0.25">
      <c r="A1440" s="471" t="s">
        <v>5788</v>
      </c>
      <c r="B1440" s="1139">
        <f t="shared" ca="1" si="236"/>
        <v>0</v>
      </c>
      <c r="C1440" s="473">
        <f ca="1">IF(ISERROR(VLOOKUP($A$1462,INDIRECT("notes_"&amp;LEFT($A$1462,3)),4,0)),0,VLOOKUP($A$1462,INDIRECT("notes_"&amp;LEFT($A$1462,3)),4,0))</f>
        <v>0</v>
      </c>
      <c r="H1440" s="471">
        <f t="shared" si="235"/>
        <v>6</v>
      </c>
      <c r="I1440" s="471">
        <v>1</v>
      </c>
      <c r="J1440" s="471" t="str">
        <f t="shared" si="237"/>
        <v>housgfcfbnf-rnt-rbt-hra-dsp</v>
      </c>
      <c r="K1440" s="471" t="str">
        <f t="shared" si="238"/>
        <v>tot-inc</v>
      </c>
      <c r="L1440" s="599"/>
      <c r="M1440" s="471" t="s">
        <v>5636</v>
      </c>
      <c r="N1440" s="471" t="s">
        <v>5637</v>
      </c>
      <c r="O1440" s="471" t="s">
        <v>5638</v>
      </c>
    </row>
    <row r="1441" spans="1:15" x14ac:dyDescent="0.25">
      <c r="A1441" s="471" t="s">
        <v>5789</v>
      </c>
      <c r="B1441" s="1139">
        <f t="shared" ca="1" si="236"/>
        <v>0</v>
      </c>
      <c r="C1441" s="473">
        <f ca="1">IF(ISERROR(VLOOKUP($A$1463,INDIRECT("notes_"&amp;LEFT($A$1463,3)),4,0)),0,VLOOKUP($A$1463,INDIRECT("notes_"&amp;LEFT($A$1463,3)),4,0))</f>
        <v>0</v>
      </c>
      <c r="H1441" s="471">
        <f t="shared" si="235"/>
        <v>2</v>
      </c>
      <c r="I1441" s="471">
        <v>1</v>
      </c>
      <c r="J1441" s="471" t="str">
        <f t="shared" si="237"/>
        <v>housgfcfbnfadm</v>
      </c>
      <c r="K1441" s="471" t="str">
        <f t="shared" si="238"/>
        <v>tot-inc</v>
      </c>
      <c r="L1441" s="599"/>
      <c r="M1441" s="471" t="s">
        <v>5636</v>
      </c>
      <c r="N1441" s="471" t="s">
        <v>5637</v>
      </c>
      <c r="O1441" s="471" t="s">
        <v>5638</v>
      </c>
    </row>
    <row r="1442" spans="1:15" x14ac:dyDescent="0.25">
      <c r="A1442" s="471" t="s">
        <v>5790</v>
      </c>
      <c r="B1442" s="1139">
        <f t="shared" ca="1" si="236"/>
        <v>0</v>
      </c>
      <c r="C1442" s="473">
        <f ca="1">IF(ISERROR(VLOOKUP($A$1464,INDIRECT("notes_"&amp;LEFT($A$1464,3)),4,0)),0,VLOOKUP($A$1464,INDIRECT("notes_"&amp;LEFT($A$1464,3)),4,0))</f>
        <v>0</v>
      </c>
      <c r="H1442" s="471">
        <f t="shared" si="235"/>
        <v>2</v>
      </c>
      <c r="I1442" s="471">
        <v>1</v>
      </c>
      <c r="J1442" s="471" t="str">
        <f t="shared" si="237"/>
        <v>housgfcfcnc</v>
      </c>
      <c r="K1442" s="471" t="str">
        <f t="shared" si="238"/>
        <v>tot-inc</v>
      </c>
      <c r="L1442" s="599"/>
      <c r="M1442" s="471" t="s">
        <v>5636</v>
      </c>
      <c r="N1442" s="471" t="s">
        <v>5637</v>
      </c>
      <c r="O1442" s="471" t="s">
        <v>5638</v>
      </c>
    </row>
    <row r="1443" spans="1:15" x14ac:dyDescent="0.25">
      <c r="A1443" s="471" t="s">
        <v>5791</v>
      </c>
      <c r="B1443" s="1139">
        <f t="shared" ca="1" si="236"/>
        <v>0</v>
      </c>
      <c r="C1443" s="473">
        <f ca="1">IF(ISERROR(VLOOKUP($A$1465,INDIRECT("notes_"&amp;LEFT($A$1465,3)),4,0)),0,VLOOKUP($A$1465,INDIRECT("notes_"&amp;LEFT($A$1465,3)),4,0))</f>
        <v>0</v>
      </c>
      <c r="H1443" s="471">
        <f t="shared" si="235"/>
        <v>2</v>
      </c>
      <c r="I1443" s="471">
        <v>1</v>
      </c>
      <c r="J1443" s="471" t="str">
        <f t="shared" si="237"/>
        <v>housgfcfwlfspp</v>
      </c>
      <c r="K1443" s="471" t="str">
        <f t="shared" si="238"/>
        <v>tot-inc</v>
      </c>
      <c r="L1443" s="599"/>
      <c r="M1443" s="471" t="s">
        <v>5636</v>
      </c>
      <c r="N1443" s="471" t="s">
        <v>5637</v>
      </c>
      <c r="O1443" s="471" t="s">
        <v>5638</v>
      </c>
    </row>
    <row r="1444" spans="1:15" x14ac:dyDescent="0.25">
      <c r="A1444" s="471" t="s">
        <v>5792</v>
      </c>
      <c r="B1444" s="1139">
        <f t="shared" ca="1" si="236"/>
        <v>0</v>
      </c>
      <c r="C1444" s="473">
        <f ca="1">IF(ISERROR(VLOOKUP($A$1466,INDIRECT("notes_"&amp;LEFT($A$1466,3)),4,0)),0,VLOOKUP($A$1466,INDIRECT("notes_"&amp;LEFT($A$1466,3)),4,0))</f>
        <v>0</v>
      </c>
      <c r="H1444" s="471">
        <f t="shared" si="235"/>
        <v>2</v>
      </c>
      <c r="I1444" s="471">
        <v>1</v>
      </c>
      <c r="J1444" s="471" t="str">
        <f t="shared" si="237"/>
        <v>housgfcfwlfoth</v>
      </c>
      <c r="K1444" s="471" t="str">
        <f t="shared" si="238"/>
        <v>tot-inc</v>
      </c>
      <c r="L1444" s="599"/>
      <c r="M1444" s="471" t="s">
        <v>5636</v>
      </c>
      <c r="N1444" s="471" t="s">
        <v>5637</v>
      </c>
      <c r="O1444" s="471" t="s">
        <v>5638</v>
      </c>
    </row>
    <row r="1445" spans="1:15" x14ac:dyDescent="0.25">
      <c r="A1445" s="471" t="s">
        <v>5793</v>
      </c>
      <c r="B1445" s="1139">
        <f t="shared" ca="1" si="236"/>
        <v>0</v>
      </c>
      <c r="C1445" s="473">
        <f ca="1">IF(ISERROR(VLOOKUP($A$1467,INDIRECT("notes_"&amp;LEFT($A$1467,3)),4,0)),0,VLOOKUP($A$1467,INDIRECT("notes_"&amp;LEFT($A$1467,3)),4,0))</f>
        <v>0</v>
      </c>
      <c r="H1445" s="471">
        <f t="shared" si="235"/>
        <v>2</v>
      </c>
      <c r="I1445" s="471">
        <v>1</v>
      </c>
      <c r="J1445" s="471" t="str">
        <f t="shared" si="237"/>
        <v>housgfcftot</v>
      </c>
      <c r="K1445" s="471" t="str">
        <f t="shared" si="238"/>
        <v>tot-inc</v>
      </c>
      <c r="L1445" s="599"/>
      <c r="M1445" s="471" t="s">
        <v>5636</v>
      </c>
      <c r="N1445" s="471" t="s">
        <v>5637</v>
      </c>
      <c r="O1445" s="471" t="s">
        <v>5638</v>
      </c>
    </row>
    <row r="1446" spans="1:15" x14ac:dyDescent="0.25">
      <c r="A1446" s="471" t="s">
        <v>2114</v>
      </c>
      <c r="B1446" s="1139">
        <f t="shared" ca="1" si="236"/>
        <v>0</v>
      </c>
      <c r="C1446" s="473">
        <f ca="1">IF(ISERROR(VLOOKUP($A$1446,INDIRECT("notes_"&amp;LEFT($A$1446,3)),4,0)),0,VLOOKUP($A$1446,INDIRECT("notes_"&amp;LEFT($A$1446,3)),4,0))</f>
        <v>0</v>
      </c>
      <c r="D1446" s="472" t="str">
        <f>'RO4'!N32</f>
        <v/>
      </c>
      <c r="E1446" s="472" t="str">
        <f>'RO4'!O32</f>
        <v/>
      </c>
      <c r="F1446" s="472" t="str">
        <f>'RO4'!Q32</f>
        <v/>
      </c>
      <c r="H1446" s="471">
        <f t="shared" si="235"/>
        <v>6</v>
      </c>
      <c r="I1446" s="471">
        <v>2</v>
      </c>
      <c r="J1446" s="471" t="str">
        <f t="shared" si="237"/>
        <v>housgfcfstr-hous-str-adv-enb</v>
      </c>
      <c r="K1446" s="471" t="str">
        <f t="shared" si="238"/>
        <v>net-cur-exp</v>
      </c>
      <c r="L1446" s="599"/>
      <c r="M1446" s="471" t="s">
        <v>5636</v>
      </c>
      <c r="N1446" s="471" t="s">
        <v>5637</v>
      </c>
      <c r="O1446" s="471" t="s">
        <v>5638</v>
      </c>
    </row>
    <row r="1447" spans="1:15" x14ac:dyDescent="0.25">
      <c r="A1447" s="471" t="s">
        <v>2116</v>
      </c>
      <c r="B1447" s="1139">
        <f t="shared" ca="1" si="236"/>
        <v>0</v>
      </c>
      <c r="C1447" s="473">
        <f ca="1">IF(ISERROR(VLOOKUP($A$1447,INDIRECT("notes_"&amp;LEFT($A$1447,3)),4,0)),0,VLOOKUP($A$1447,INDIRECT("notes_"&amp;LEFT($A$1447,3)),4,0))</f>
        <v>0</v>
      </c>
      <c r="D1447" s="472" t="str">
        <f>'RO4'!N34</f>
        <v/>
      </c>
      <c r="E1447" s="472" t="str">
        <f>'RO4'!O34</f>
        <v/>
      </c>
      <c r="F1447" s="472" t="str">
        <f>'RO4'!Q34</f>
        <v/>
      </c>
      <c r="H1447" s="471">
        <f t="shared" si="235"/>
        <v>4</v>
      </c>
      <c r="I1447" s="471">
        <v>2</v>
      </c>
      <c r="J1447" s="471" t="str">
        <f t="shared" si="237"/>
        <v>housgfcfstr-hous-adv</v>
      </c>
      <c r="K1447" s="471" t="str">
        <f t="shared" si="238"/>
        <v>net-cur-exp</v>
      </c>
      <c r="L1447" s="599"/>
      <c r="M1447" s="471" t="s">
        <v>5636</v>
      </c>
      <c r="N1447" s="471" t="s">
        <v>5637</v>
      </c>
      <c r="O1447" s="471" t="s">
        <v>5638</v>
      </c>
    </row>
    <row r="1448" spans="1:15" x14ac:dyDescent="0.25">
      <c r="A1448" s="471" t="s">
        <v>2117</v>
      </c>
      <c r="B1448" s="1139">
        <f t="shared" ca="1" si="236"/>
        <v>0</v>
      </c>
      <c r="C1448" s="473">
        <f ca="1">IF(ISERROR(VLOOKUP($A$1448,INDIRECT("notes_"&amp;LEFT($A$1448,3)),4,0)),0,VLOOKUP($A$1448,INDIRECT("notes_"&amp;LEFT($A$1448,3)),4,0))</f>
        <v>0</v>
      </c>
      <c r="D1448" s="472" t="str">
        <f>'RO4'!N37</f>
        <v/>
      </c>
      <c r="E1448" s="472" t="str">
        <f>'RO4'!O37</f>
        <v/>
      </c>
      <c r="F1448" s="472" t="str">
        <f>'RO4'!Q37</f>
        <v/>
      </c>
      <c r="H1448" s="471">
        <f t="shared" si="235"/>
        <v>5</v>
      </c>
      <c r="I1448" s="471">
        <v>2</v>
      </c>
      <c r="J1448" s="471" t="str">
        <f t="shared" si="237"/>
        <v>housprvsecrnw-adm-rpr-imp</v>
      </c>
      <c r="K1448" s="471" t="str">
        <f t="shared" si="238"/>
        <v>net-cur-exp</v>
      </c>
      <c r="L1448" s="599"/>
      <c r="M1448" s="471" t="s">
        <v>5636</v>
      </c>
      <c r="N1448" s="471" t="s">
        <v>5637</v>
      </c>
      <c r="O1448" s="471" t="s">
        <v>5638</v>
      </c>
    </row>
    <row r="1449" spans="1:15" x14ac:dyDescent="0.25">
      <c r="A1449" s="471" t="s">
        <v>2118</v>
      </c>
      <c r="B1449" s="1139">
        <f t="shared" ca="1" si="236"/>
        <v>0</v>
      </c>
      <c r="C1449" s="473">
        <f ca="1">IF(ISERROR(VLOOKUP($A$1449,INDIRECT("notes_"&amp;LEFT($A$1449,3)),4,0)),0,VLOOKUP($A$1449,INDIRECT("notes_"&amp;LEFT($A$1449,3)),4,0))</f>
        <v>0</v>
      </c>
      <c r="D1449" s="472" t="str">
        <f>'RO4'!N38</f>
        <v/>
      </c>
      <c r="E1449" s="472" t="str">
        <f>'RO4'!O38</f>
        <v/>
      </c>
      <c r="F1449" s="472" t="str">
        <f>'RO4'!Q38</f>
        <v/>
      </c>
      <c r="H1449" s="471">
        <f t="shared" si="235"/>
        <v>3</v>
      </c>
      <c r="I1449" s="471">
        <v>2</v>
      </c>
      <c r="J1449" s="471" t="str">
        <f t="shared" si="237"/>
        <v>housprvsecrnw-oth</v>
      </c>
      <c r="K1449" s="471" t="str">
        <f t="shared" si="238"/>
        <v>net-cur-exp</v>
      </c>
      <c r="L1449" s="599"/>
      <c r="M1449" s="471" t="s">
        <v>5636</v>
      </c>
      <c r="N1449" s="471" t="s">
        <v>5637</v>
      </c>
      <c r="O1449" s="471" t="s">
        <v>5638</v>
      </c>
    </row>
    <row r="1450" spans="1:15" x14ac:dyDescent="0.25">
      <c r="A1450" s="471" t="s">
        <v>2119</v>
      </c>
      <c r="B1450" s="1139">
        <f t="shared" ca="1" si="236"/>
        <v>0</v>
      </c>
      <c r="C1450" s="473">
        <f ca="1">IF(ISERROR(VLOOKUP($A$1450,INDIRECT("notes_"&amp;LEFT($A$1450,3)),4,0)),0,VLOOKUP($A$1450,INDIRECT("notes_"&amp;LEFT($A$1450,3)),4,0))</f>
        <v>0</v>
      </c>
      <c r="D1450" s="472" t="str">
        <f>'RO4'!N41</f>
        <v/>
      </c>
      <c r="E1450" s="472" t="str">
        <f>'RO4'!O41</f>
        <v/>
      </c>
      <c r="F1450" s="472" t="e">
        <f>'RO4'!Q41</f>
        <v>#N/A</v>
      </c>
      <c r="H1450" s="471">
        <f t="shared" si="235"/>
        <v>6</v>
      </c>
      <c r="I1450" s="471">
        <v>2</v>
      </c>
      <c r="J1450" s="471" t="str">
        <f t="shared" si="237"/>
        <v>housgfcfhml-ngt-prv-mng-acc</v>
      </c>
      <c r="K1450" s="471" t="str">
        <f t="shared" si="238"/>
        <v>net-cur-exp</v>
      </c>
      <c r="L1450" s="599"/>
      <c r="M1450" s="471" t="s">
        <v>5636</v>
      </c>
      <c r="N1450" s="471" t="s">
        <v>5637</v>
      </c>
      <c r="O1450" s="471" t="s">
        <v>5638</v>
      </c>
    </row>
    <row r="1451" spans="1:15" x14ac:dyDescent="0.25">
      <c r="A1451" s="471" t="s">
        <v>2120</v>
      </c>
      <c r="B1451" s="1139">
        <f t="shared" ca="1" si="236"/>
        <v>0</v>
      </c>
      <c r="C1451" s="473">
        <f ca="1">IF(ISERROR(VLOOKUP($A$1451,INDIRECT("notes_"&amp;LEFT($A$1451,3)),4,0)),0,VLOOKUP($A$1451,INDIRECT("notes_"&amp;LEFT($A$1451,3)),4,0))</f>
        <v>0</v>
      </c>
      <c r="D1451" s="472" t="str">
        <f>'RO4'!N42</f>
        <v/>
      </c>
      <c r="E1451" s="472" t="str">
        <f>'RO4'!O42</f>
        <v/>
      </c>
      <c r="F1451" s="472" t="e">
        <f>'RO4'!Q42</f>
        <v>#N/A</v>
      </c>
      <c r="H1451" s="471">
        <f t="shared" si="235"/>
        <v>5</v>
      </c>
      <c r="I1451" s="471">
        <v>2</v>
      </c>
      <c r="J1451" s="471" t="str">
        <f t="shared" si="237"/>
        <v>housgfcfhml-prv-acc-lsd</v>
      </c>
      <c r="K1451" s="471" t="str">
        <f t="shared" si="238"/>
        <v>net-cur-exp</v>
      </c>
      <c r="L1451" s="599"/>
      <c r="M1451" s="471" t="s">
        <v>5636</v>
      </c>
      <c r="N1451" s="471" t="s">
        <v>5637</v>
      </c>
      <c r="O1451" s="471" t="s">
        <v>5638</v>
      </c>
    </row>
    <row r="1452" spans="1:15" x14ac:dyDescent="0.25">
      <c r="A1452" s="471" t="s">
        <v>2121</v>
      </c>
      <c r="B1452" s="1139">
        <f t="shared" ca="1" si="236"/>
        <v>0</v>
      </c>
      <c r="C1452" s="473">
        <f ca="1">IF(ISERROR(VLOOKUP($A$1452,INDIRECT("notes_"&amp;LEFT($A$1452,3)),4,0)),0,VLOOKUP($A$1452,INDIRECT("notes_"&amp;LEFT($A$1452,3)),4,0))</f>
        <v>0</v>
      </c>
      <c r="D1452" s="472" t="str">
        <f>'RO4'!N43</f>
        <v/>
      </c>
      <c r="E1452" s="472" t="str">
        <f>'RO4'!O43</f>
        <v/>
      </c>
      <c r="F1452" s="472" t="e">
        <f>'RO4'!Q43</f>
        <v>#N/A</v>
      </c>
      <c r="H1452" s="471">
        <f t="shared" si="235"/>
        <v>5</v>
      </c>
      <c r="I1452" s="471">
        <v>2</v>
      </c>
      <c r="J1452" s="471" t="str">
        <f t="shared" si="237"/>
        <v>housgfcfhml-hst-incl-rcpt</v>
      </c>
      <c r="K1452" s="471" t="str">
        <f t="shared" si="238"/>
        <v>net-cur-exp</v>
      </c>
      <c r="L1452" s="599"/>
      <c r="M1452" s="471" t="s">
        <v>5636</v>
      </c>
      <c r="N1452" s="471" t="s">
        <v>5637</v>
      </c>
      <c r="O1452" s="471" t="s">
        <v>5638</v>
      </c>
    </row>
    <row r="1453" spans="1:15" x14ac:dyDescent="0.25">
      <c r="A1453" s="471" t="s">
        <v>2122</v>
      </c>
      <c r="B1453" s="1139">
        <f t="shared" ca="1" si="236"/>
        <v>0</v>
      </c>
      <c r="C1453" s="473">
        <f ca="1">IF(ISERROR(VLOOKUP($A$1453,INDIRECT("notes_"&amp;LEFT($A$1453,3)),4,0)),0,VLOOKUP($A$1453,INDIRECT("notes_"&amp;LEFT($A$1453,3)),4,0))</f>
        <v>0</v>
      </c>
      <c r="D1453" s="472" t="str">
        <f>'RO4'!N44</f>
        <v/>
      </c>
      <c r="E1453" s="472" t="str">
        <f>'RO4'!O44</f>
        <v/>
      </c>
      <c r="F1453" s="472" t="e">
        <f>'RO4'!Q44</f>
        <v>#N/A</v>
      </c>
      <c r="H1453" s="471">
        <f t="shared" si="235"/>
        <v>4</v>
      </c>
      <c r="I1453" s="471">
        <v>2</v>
      </c>
      <c r="J1453" s="471" t="str">
        <f t="shared" si="237"/>
        <v>housgfcfhml-bb-htls</v>
      </c>
      <c r="K1453" s="471" t="str">
        <f t="shared" si="238"/>
        <v>net-cur-exp</v>
      </c>
      <c r="L1453" s="599"/>
      <c r="M1453" s="471" t="s">
        <v>5636</v>
      </c>
      <c r="N1453" s="471" t="s">
        <v>5637</v>
      </c>
      <c r="O1453" s="471" t="s">
        <v>5638</v>
      </c>
    </row>
    <row r="1454" spans="1:15" x14ac:dyDescent="0.25">
      <c r="A1454" s="471" t="s">
        <v>2123</v>
      </c>
      <c r="B1454" s="1139">
        <f t="shared" ca="1" si="236"/>
        <v>0</v>
      </c>
      <c r="C1454" s="473">
        <f ca="1">IF(ISERROR(VLOOKUP($A$1454,INDIRECT("notes_"&amp;LEFT($A$1454,3)),4,0)),0,VLOOKUP($A$1454,INDIRECT("notes_"&amp;LEFT($A$1454,3)),4,0))</f>
        <v>0</v>
      </c>
      <c r="D1454" s="472" t="str">
        <f>'RO4'!N45</f>
        <v/>
      </c>
      <c r="E1454" s="472" t="str">
        <f>'RO4'!O45</f>
        <v/>
      </c>
      <c r="F1454" s="472" t="e">
        <f>'RO4'!Q45</f>
        <v>#N/A</v>
      </c>
      <c r="H1454" s="471">
        <f t="shared" si="235"/>
        <v>5</v>
      </c>
      <c r="I1454" s="471">
        <v>2</v>
      </c>
      <c r="J1454" s="471" t="str">
        <f t="shared" si="237"/>
        <v>housgfcfhml-la-ha-stk</v>
      </c>
      <c r="K1454" s="471" t="str">
        <f t="shared" si="238"/>
        <v>net-cur-exp</v>
      </c>
      <c r="L1454" s="599"/>
      <c r="M1454" s="471" t="s">
        <v>5636</v>
      </c>
      <c r="N1454" s="471" t="s">
        <v>5637</v>
      </c>
      <c r="O1454" s="471" t="s">
        <v>5638</v>
      </c>
    </row>
    <row r="1455" spans="1:15" x14ac:dyDescent="0.25">
      <c r="A1455" s="471" t="s">
        <v>2124</v>
      </c>
      <c r="B1455" s="1139">
        <f t="shared" ca="1" si="236"/>
        <v>0</v>
      </c>
      <c r="C1455" s="473">
        <f ca="1">IF(ISERROR(VLOOKUP($A$1455,INDIRECT("notes_"&amp;LEFT($A$1455,3)),4,0)),0,VLOOKUP($A$1455,INDIRECT("notes_"&amp;LEFT($A$1455,3)),4,0))</f>
        <v>0</v>
      </c>
      <c r="D1455" s="472" t="str">
        <f>'RO4'!N46</f>
        <v/>
      </c>
      <c r="E1455" s="472" t="str">
        <f>'RO4'!O46</f>
        <v/>
      </c>
      <c r="F1455" s="472" t="e">
        <f>'RO4'!Q46</f>
        <v>#N/A</v>
      </c>
      <c r="H1455" s="471">
        <f t="shared" si="235"/>
        <v>6</v>
      </c>
      <c r="I1455" s="471">
        <v>2</v>
      </c>
      <c r="J1455" s="471" t="str">
        <f t="shared" si="237"/>
        <v>housgfcfhml-any-oth-temp-acc</v>
      </c>
      <c r="K1455" s="471" t="str">
        <f t="shared" si="238"/>
        <v>net-cur-exp</v>
      </c>
      <c r="L1455" s="599"/>
      <c r="M1455" s="471" t="s">
        <v>5636</v>
      </c>
      <c r="N1455" s="471" t="s">
        <v>5637</v>
      </c>
      <c r="O1455" s="471" t="s">
        <v>5638</v>
      </c>
    </row>
    <row r="1456" spans="1:15" x14ac:dyDescent="0.25">
      <c r="A1456" s="471" t="s">
        <v>2125</v>
      </c>
      <c r="B1456" s="1139">
        <f t="shared" ca="1" si="236"/>
        <v>0</v>
      </c>
      <c r="C1456" s="473">
        <f ca="1">IF(ISERROR(VLOOKUP($A$1456,INDIRECT("notes_"&amp;LEFT($A$1456,3)),4,0)),0,VLOOKUP($A$1456,INDIRECT("notes_"&amp;LEFT($A$1456,3)),4,0))</f>
        <v>0</v>
      </c>
      <c r="D1456" s="472" t="str">
        <f>'RO4'!N47</f>
        <v/>
      </c>
      <c r="E1456" s="472" t="str">
        <f>'RO4'!O47</f>
        <v/>
      </c>
      <c r="F1456" s="472" t="str">
        <f>'RO4'!Q47</f>
        <v/>
      </c>
      <c r="H1456" s="471">
        <f t="shared" si="235"/>
        <v>5</v>
      </c>
      <c r="I1456" s="471">
        <v>2</v>
      </c>
      <c r="J1456" s="471" t="str">
        <f t="shared" si="237"/>
        <v>housgfcfhml-tmp-acc-adm</v>
      </c>
      <c r="K1456" s="471" t="str">
        <f t="shared" si="238"/>
        <v>net-cur-exp</v>
      </c>
      <c r="L1456" s="599"/>
      <c r="M1456" s="471" t="s">
        <v>5636</v>
      </c>
      <c r="N1456" s="471" t="s">
        <v>5637</v>
      </c>
      <c r="O1456" s="471" t="s">
        <v>5638</v>
      </c>
    </row>
    <row r="1457" spans="1:15" x14ac:dyDescent="0.25">
      <c r="A1457" s="471" t="s">
        <v>2126</v>
      </c>
      <c r="B1457" s="1139">
        <f t="shared" ca="1" si="236"/>
        <v>0</v>
      </c>
      <c r="C1457" s="473">
        <f ca="1">IF(ISERROR(VLOOKUP($A$1457,INDIRECT("notes_"&amp;LEFT($A$1457,3)),4,0)),0,VLOOKUP($A$1457,INDIRECT("notes_"&amp;LEFT($A$1457,3)),4,0))</f>
        <v>0</v>
      </c>
      <c r="D1457" s="472" t="str">
        <f>'RO4'!N48</f>
        <v/>
      </c>
      <c r="E1457" s="472" t="str">
        <f>'RO4'!O48</f>
        <v/>
      </c>
      <c r="F1457" s="472" t="str">
        <f>'RO4'!Q48</f>
        <v/>
      </c>
      <c r="H1457" s="471">
        <f t="shared" si="235"/>
        <v>5</v>
      </c>
      <c r="I1457" s="471">
        <v>2</v>
      </c>
      <c r="J1457" s="471" t="str">
        <f t="shared" si="237"/>
        <v>housgfcfhml-hml-rdct-act</v>
      </c>
      <c r="K1457" s="471" t="str">
        <f t="shared" si="238"/>
        <v>net-cur-exp</v>
      </c>
      <c r="L1457" s="599"/>
      <c r="M1457" s="471" t="s">
        <v>5636</v>
      </c>
      <c r="N1457" s="471" t="s">
        <v>5637</v>
      </c>
      <c r="O1457" s="471" t="s">
        <v>5638</v>
      </c>
    </row>
    <row r="1458" spans="1:15" x14ac:dyDescent="0.25">
      <c r="A1458" s="471" t="s">
        <v>2127</v>
      </c>
      <c r="B1458" s="1139">
        <f ca="1">INDEX(INDIRECT(LEFT($A1458,SEARCH("-",$A1458,1)-1)&amp;"_data"),MATCH(MID($A1458,SEARCH("-",$A1458)+1,SEARCH("#",SUBSTITUTE($A1458,"-","#",H1458),1)-(SEARCH("-",$A1458)+1)),INDIRECT(LEFT($A1458,SEARCH("-",$A1458,1)-1)&amp;"_rows"),0),MATCH(RIGHT($A1458,LEN($A1458)-LEN(LEFT($A1458,SEARCH("#",SUBSTITUTE($A1458,"-","#",H1458+1),1)))),INDIRECT(LEFT($A1458,SEARCH("-",$A1458,1)-1)&amp;"_Header"),0))</f>
        <v>0</v>
      </c>
      <c r="C1458" s="473">
        <f ca="1">IF(ISERROR(VLOOKUP($A$1458,INDIRECT("notes_"&amp;LEFT($A$1458,3)),4,0)),0,VLOOKUP($A$1458,INDIRECT("notes_"&amp;LEFT($A$1458,3)),4,0))</f>
        <v>0</v>
      </c>
      <c r="D1458" s="472" t="str">
        <f>'RO4'!N49</f>
        <v/>
      </c>
      <c r="E1458" s="472" t="str">
        <f>'RO4'!O49</f>
        <v/>
      </c>
      <c r="F1458" s="472" t="str">
        <f>'RO4'!Q49</f>
        <v/>
      </c>
      <c r="H1458" s="471">
        <f t="shared" si="235"/>
        <v>6</v>
      </c>
      <c r="I1458" s="471">
        <v>3</v>
      </c>
      <c r="J1458" s="471" t="str">
        <f t="shared" si="237"/>
        <v>housgfcfhml-non-hml-rdct-act</v>
      </c>
      <c r="K1458" s="471" t="str">
        <f>RIGHT($A1458,LEN($A1458)-SEARCH("#",SUBSTITUTE($A1458,"-","#",H1458+1),1))</f>
        <v>net-cur-exp</v>
      </c>
      <c r="L1458" s="599"/>
      <c r="M1458" s="471" t="s">
        <v>5636</v>
      </c>
      <c r="N1458" s="471" t="s">
        <v>5637</v>
      </c>
      <c r="O1458" s="471" t="s">
        <v>5638</v>
      </c>
    </row>
    <row r="1459" spans="1:15" x14ac:dyDescent="0.25">
      <c r="A1459" s="471" t="s">
        <v>2128</v>
      </c>
      <c r="B1459" s="1139">
        <f t="shared" ca="1" si="236"/>
        <v>0</v>
      </c>
      <c r="C1459" s="473">
        <f ca="1">IF(ISERROR(VLOOKUP($A$1459,INDIRECT("notes_"&amp;LEFT($A$1459,3)),4,0)),0,VLOOKUP($A$1459,INDIRECT("notes_"&amp;LEFT($A$1459,3)),4,0))</f>
        <v>0</v>
      </c>
      <c r="D1459" s="472" t="str">
        <f>'RO4'!N50</f>
        <v/>
      </c>
      <c r="E1459" s="472" t="str">
        <f>'RO4'!O50</f>
        <v/>
      </c>
      <c r="F1459" s="472" t="str">
        <f>'RO4'!Q50</f>
        <v/>
      </c>
      <c r="H1459" s="471">
        <f t="shared" si="235"/>
        <v>4</v>
      </c>
      <c r="I1459" s="471">
        <v>2</v>
      </c>
      <c r="J1459" s="471" t="str">
        <f t="shared" si="237"/>
        <v>housgfcfhml-hml-tot</v>
      </c>
      <c r="K1459" s="471" t="str">
        <f t="shared" si="238"/>
        <v>net-cur-exp</v>
      </c>
      <c r="L1459" s="599"/>
      <c r="M1459" s="471" t="s">
        <v>5636</v>
      </c>
      <c r="N1459" s="471" t="s">
        <v>5637</v>
      </c>
      <c r="O1459" s="471" t="s">
        <v>5638</v>
      </c>
    </row>
    <row r="1460" spans="1:15" x14ac:dyDescent="0.25">
      <c r="A1460" s="471" t="s">
        <v>2129</v>
      </c>
      <c r="B1460" s="1139">
        <f t="shared" ca="1" si="236"/>
        <v>0</v>
      </c>
      <c r="C1460" s="473">
        <f ca="1">IF(ISERROR(VLOOKUP($A$1460,INDIRECT("notes_"&amp;LEFT($A$1460,3)),4,0)),0,VLOOKUP($A$1460,INDIRECT("notes_"&amp;LEFT($A$1460,3)),4,0))</f>
        <v>0</v>
      </c>
      <c r="D1460" s="472" t="str">
        <f>'RO4'!N53</f>
        <v/>
      </c>
      <c r="E1460" s="472" t="str">
        <f>'RO4'!O53</f>
        <v/>
      </c>
      <c r="F1460" s="472" t="str">
        <f>'RO4'!Q53</f>
        <v/>
      </c>
      <c r="H1460" s="471">
        <f t="shared" si="235"/>
        <v>5</v>
      </c>
      <c r="I1460" s="471">
        <v>2</v>
      </c>
      <c r="J1460" s="471" t="str">
        <f t="shared" si="237"/>
        <v>housgfcfbnf-rnt-all-dsp</v>
      </c>
      <c r="K1460" s="471" t="str">
        <f t="shared" si="238"/>
        <v>net-cur-exp</v>
      </c>
      <c r="L1460" s="599"/>
      <c r="M1460" s="471" t="s">
        <v>5636</v>
      </c>
      <c r="N1460" s="471" t="s">
        <v>5637</v>
      </c>
      <c r="O1460" s="471" t="s">
        <v>5638</v>
      </c>
    </row>
    <row r="1461" spans="1:15" x14ac:dyDescent="0.25">
      <c r="A1461" s="471" t="s">
        <v>2130</v>
      </c>
      <c r="B1461" s="1139">
        <f t="shared" ca="1" si="236"/>
        <v>0</v>
      </c>
      <c r="C1461" s="473">
        <f ca="1">IF(ISERROR(VLOOKUP($A$1461,INDIRECT("notes_"&amp;LEFT($A$1461,3)),4,0)),0,VLOOKUP($A$1461,INDIRECT("notes_"&amp;LEFT($A$1461,3)),4,0))</f>
        <v>0</v>
      </c>
      <c r="D1461" s="472" t="str">
        <f>'RO4'!N54</f>
        <v/>
      </c>
      <c r="E1461" s="472" t="str">
        <f>'RO4'!O54</f>
        <v/>
      </c>
      <c r="F1461" s="472" t="str">
        <f>'RO4'!Q54</f>
        <v/>
      </c>
      <c r="H1461" s="471">
        <f t="shared" si="235"/>
        <v>6</v>
      </c>
      <c r="I1461" s="471">
        <v>2</v>
      </c>
      <c r="J1461" s="471" t="str">
        <f t="shared" si="237"/>
        <v>housgfcfbnf-non-hra-rbt-dsp</v>
      </c>
      <c r="K1461" s="471" t="str">
        <f t="shared" si="238"/>
        <v>net-cur-exp</v>
      </c>
      <c r="L1461" s="599"/>
      <c r="M1461" s="471" t="s">
        <v>5636</v>
      </c>
      <c r="N1461" s="471" t="s">
        <v>5637</v>
      </c>
      <c r="O1461" s="471" t="s">
        <v>5638</v>
      </c>
    </row>
    <row r="1462" spans="1:15" x14ac:dyDescent="0.25">
      <c r="A1462" s="471" t="s">
        <v>2131</v>
      </c>
      <c r="B1462" s="1139">
        <f t="shared" ca="1" si="236"/>
        <v>0</v>
      </c>
      <c r="C1462" s="473">
        <f ca="1">IF(ISERROR(VLOOKUP($A$1462,INDIRECT("notes_"&amp;LEFT($A$1462,3)),4,0)),0,VLOOKUP($A$1462,INDIRECT("notes_"&amp;LEFT($A$1462,3)),4,0))</f>
        <v>0</v>
      </c>
      <c r="D1462" s="472" t="str">
        <f>'RO4'!N55</f>
        <v/>
      </c>
      <c r="E1462" s="472" t="str">
        <f>'RO4'!O55</f>
        <v/>
      </c>
      <c r="F1462" s="472" t="str">
        <f>'RO4'!Q55</f>
        <v/>
      </c>
      <c r="H1462" s="471">
        <f t="shared" si="235"/>
        <v>6</v>
      </c>
      <c r="I1462" s="471">
        <v>2</v>
      </c>
      <c r="J1462" s="471" t="str">
        <f t="shared" si="237"/>
        <v>housgfcfbnf-rnt-rbt-hra-dsp</v>
      </c>
      <c r="K1462" s="471" t="str">
        <f t="shared" si="238"/>
        <v>net-cur-exp</v>
      </c>
      <c r="L1462" s="599"/>
      <c r="M1462" s="471" t="s">
        <v>5636</v>
      </c>
      <c r="N1462" s="471" t="s">
        <v>5637</v>
      </c>
      <c r="O1462" s="471" t="s">
        <v>5638</v>
      </c>
    </row>
    <row r="1463" spans="1:15" x14ac:dyDescent="0.25">
      <c r="A1463" s="471" t="s">
        <v>2132</v>
      </c>
      <c r="B1463" s="1139">
        <f t="shared" ca="1" si="236"/>
        <v>0</v>
      </c>
      <c r="C1463" s="473">
        <f ca="1">IF(ISERROR(VLOOKUP($A$1463,INDIRECT("notes_"&amp;LEFT($A$1463,3)),4,0)),0,VLOOKUP($A$1463,INDIRECT("notes_"&amp;LEFT($A$1463,3)),4,0))</f>
        <v>0</v>
      </c>
      <c r="D1463" s="472" t="str">
        <f>'RO4'!N56</f>
        <v/>
      </c>
      <c r="E1463" s="472" t="str">
        <f>'RO4'!O56</f>
        <v/>
      </c>
      <c r="F1463" s="472" t="str">
        <f>'RO4'!Q56</f>
        <v/>
      </c>
      <c r="H1463" s="471">
        <f t="shared" si="235"/>
        <v>2</v>
      </c>
      <c r="I1463" s="471">
        <v>2</v>
      </c>
      <c r="J1463" s="471" t="str">
        <f t="shared" si="237"/>
        <v>housgfcfbnfadm</v>
      </c>
      <c r="K1463" s="471" t="str">
        <f t="shared" si="238"/>
        <v>net-cur-exp</v>
      </c>
      <c r="L1463" s="599"/>
      <c r="M1463" s="471" t="s">
        <v>5636</v>
      </c>
      <c r="N1463" s="471" t="s">
        <v>5637</v>
      </c>
      <c r="O1463" s="471" t="s">
        <v>5638</v>
      </c>
    </row>
    <row r="1464" spans="1:15" x14ac:dyDescent="0.25">
      <c r="A1464" s="471" t="s">
        <v>2133</v>
      </c>
      <c r="B1464" s="1139">
        <f t="shared" ca="1" si="236"/>
        <v>0</v>
      </c>
      <c r="C1464" s="473">
        <f ca="1">IF(ISERROR(VLOOKUP($A$1464,INDIRECT("notes_"&amp;LEFT($A$1464,3)),4,0)),0,VLOOKUP($A$1464,INDIRECT("notes_"&amp;LEFT($A$1464,3)),4,0))</f>
        <v>0</v>
      </c>
      <c r="D1464" s="472" t="str">
        <f>'RO4'!N59</f>
        <v/>
      </c>
      <c r="E1464" s="472" t="str">
        <f>'RO4'!O59</f>
        <v/>
      </c>
      <c r="F1464" s="472" t="str">
        <f>'RO4'!Q59</f>
        <v/>
      </c>
      <c r="H1464" s="471">
        <f t="shared" si="235"/>
        <v>2</v>
      </c>
      <c r="I1464" s="471">
        <v>2</v>
      </c>
      <c r="J1464" s="471" t="str">
        <f t="shared" si="237"/>
        <v>housgfcfcnc</v>
      </c>
      <c r="K1464" s="471" t="str">
        <f t="shared" si="238"/>
        <v>net-cur-exp</v>
      </c>
      <c r="L1464" s="599"/>
      <c r="M1464" s="471" t="s">
        <v>5636</v>
      </c>
      <c r="N1464" s="471" t="s">
        <v>5637</v>
      </c>
      <c r="O1464" s="471" t="s">
        <v>5638</v>
      </c>
    </row>
    <row r="1465" spans="1:15" x14ac:dyDescent="0.25">
      <c r="A1465" s="471" t="s">
        <v>2134</v>
      </c>
      <c r="B1465" s="1139">
        <f t="shared" ca="1" si="236"/>
        <v>0</v>
      </c>
      <c r="C1465" s="473">
        <f ca="1">IF(ISERROR(VLOOKUP($A$1465,INDIRECT("notes_"&amp;LEFT($A$1465,3)),4,0)),0,VLOOKUP($A$1465,INDIRECT("notes_"&amp;LEFT($A$1465,3)),4,0))</f>
        <v>0</v>
      </c>
      <c r="D1465" s="472" t="str">
        <f>'RO4'!N62</f>
        <v/>
      </c>
      <c r="E1465" s="472" t="str">
        <f>'RO4'!O62</f>
        <v/>
      </c>
      <c r="F1465" s="472" t="str">
        <f>'RO4'!Q62</f>
        <v/>
      </c>
      <c r="H1465" s="471">
        <f t="shared" si="235"/>
        <v>2</v>
      </c>
      <c r="I1465" s="471">
        <v>2</v>
      </c>
      <c r="J1465" s="471" t="str">
        <f t="shared" si="237"/>
        <v>housgfcfwlfspp</v>
      </c>
      <c r="K1465" s="471" t="str">
        <f t="shared" si="238"/>
        <v>net-cur-exp</v>
      </c>
      <c r="L1465" s="599"/>
      <c r="M1465" s="471" t="s">
        <v>5636</v>
      </c>
      <c r="N1465" s="471" t="s">
        <v>5637</v>
      </c>
      <c r="O1465" s="471" t="s">
        <v>5638</v>
      </c>
    </row>
    <row r="1466" spans="1:15" x14ac:dyDescent="0.25">
      <c r="A1466" s="471" t="s">
        <v>2135</v>
      </c>
      <c r="B1466" s="1139">
        <f t="shared" ca="1" si="236"/>
        <v>0</v>
      </c>
      <c r="C1466" s="473">
        <f ca="1">IF(ISERROR(VLOOKUP($A$1466,INDIRECT("notes_"&amp;LEFT($A$1466,3)),4,0)),0,VLOOKUP($A$1466,INDIRECT("notes_"&amp;LEFT($A$1466,3)),4,0))</f>
        <v>0</v>
      </c>
      <c r="D1466" s="472" t="str">
        <f>'RO4'!N63</f>
        <v/>
      </c>
      <c r="E1466" s="472" t="str">
        <f>'RO4'!O63</f>
        <v/>
      </c>
      <c r="F1466" s="472" t="str">
        <f>'RO4'!Q63</f>
        <v/>
      </c>
      <c r="H1466" s="471">
        <f t="shared" si="235"/>
        <v>2</v>
      </c>
      <c r="I1466" s="471">
        <v>2</v>
      </c>
      <c r="J1466" s="471" t="str">
        <f t="shared" si="237"/>
        <v>housgfcfwlfoth</v>
      </c>
      <c r="K1466" s="471" t="str">
        <f t="shared" si="238"/>
        <v>net-cur-exp</v>
      </c>
      <c r="L1466" s="599"/>
      <c r="M1466" s="471" t="s">
        <v>5636</v>
      </c>
      <c r="N1466" s="471" t="s">
        <v>5637</v>
      </c>
      <c r="O1466" s="471" t="s">
        <v>5638</v>
      </c>
    </row>
    <row r="1467" spans="1:15" x14ac:dyDescent="0.25">
      <c r="A1467" s="471" t="s">
        <v>2136</v>
      </c>
      <c r="B1467" s="1139">
        <f t="shared" ca="1" si="236"/>
        <v>0</v>
      </c>
      <c r="C1467" s="473">
        <f ca="1">IF(ISERROR(VLOOKUP($A$1467,INDIRECT("notes_"&amp;LEFT($A$1467,3)),4,0)),0,VLOOKUP($A$1467,INDIRECT("notes_"&amp;LEFT($A$1467,3)),4,0))</f>
        <v>0</v>
      </c>
      <c r="D1467" s="472" t="str">
        <f>'RO4'!N65</f>
        <v/>
      </c>
      <c r="E1467" s="472" t="str">
        <f>'RO4'!O65</f>
        <v/>
      </c>
      <c r="F1467" s="472" t="str">
        <f>'RO4'!Q65</f>
        <v/>
      </c>
      <c r="H1467" s="471">
        <f t="shared" si="235"/>
        <v>2</v>
      </c>
      <c r="I1467" s="471">
        <v>2</v>
      </c>
      <c r="J1467" s="471" t="str">
        <f t="shared" si="237"/>
        <v>housgfcftot</v>
      </c>
      <c r="K1467" s="471" t="str">
        <f t="shared" si="238"/>
        <v>net-cur-exp</v>
      </c>
      <c r="L1467" s="599"/>
      <c r="M1467" s="471" t="s">
        <v>5636</v>
      </c>
      <c r="N1467" s="471" t="s">
        <v>5637</v>
      </c>
      <c r="O1467" s="471" t="s">
        <v>5638</v>
      </c>
    </row>
    <row r="1468" spans="1:15" x14ac:dyDescent="0.25">
      <c r="A1468" s="471" t="s">
        <v>2138</v>
      </c>
      <c r="B1468" s="1139">
        <f ca="1">INDEX(INDIRECT(LEFT($A1468,SEARCH("-",$A1468,1)-1)&amp;"_hradata"),MATCH(MID($A1468,SEARCH("-",$A1468)+1,SEARCH("#",SUBSTITUTE($A1468,"-","#",H1468),1)-(SEARCH("-",$A1468)+1)),INDIRECT(LEFT($A1468,SEARCH("-",$A1468,1)-1)&amp;"_hraRows"),0),MATCH(RIGHT($A1468,LEN($A1468)-LEN(LEFT($A1468,SEARCH("#",SUBSTITUTE($A1468,"-","#",H1468),1)))),INDIRECT(LEFT($A1468,SEARCH("-",$A1468,1)-1)&amp;"_hraHeader"),0))</f>
        <v>0</v>
      </c>
      <c r="C1468" s="473">
        <f t="shared" ref="C1468:C1491" ca="1" si="239">IF(ISERROR(VLOOKUP(A1468,INDIRECT("notes_"&amp;LEFT(A1468,3)),4,0)),0,VLOOKUP(A1468,INDIRECT("notes_"&amp;LEFT(A1468,3)),4,0))</f>
        <v>0</v>
      </c>
      <c r="D1468" s="472" t="str">
        <f>'RO4'!N79</f>
        <v/>
      </c>
      <c r="E1468" s="472" t="str">
        <f>'RO4'!O79</f>
        <v/>
      </c>
      <c r="F1468" s="472" t="str">
        <f>'RO4'!Q79</f>
        <v/>
      </c>
      <c r="H1468" s="471">
        <f t="shared" si="235"/>
        <v>2</v>
      </c>
      <c r="I1468" s="471">
        <v>2</v>
      </c>
      <c r="J1468" s="471" t="str">
        <f t="shared" si="237"/>
        <v>hraincdwell</v>
      </c>
      <c r="K1468" s="471" t="str">
        <f t="shared" si="238"/>
        <v>net-tot-cst</v>
      </c>
      <c r="L1468" s="599"/>
      <c r="M1468" s="471" t="s">
        <v>5794</v>
      </c>
      <c r="N1468" s="471" t="s">
        <v>5795</v>
      </c>
      <c r="O1468" s="471" t="s">
        <v>5796</v>
      </c>
    </row>
    <row r="1469" spans="1:15" x14ac:dyDescent="0.25">
      <c r="A1469" s="471" t="s">
        <v>2139</v>
      </c>
      <c r="B1469" s="1139">
        <f t="shared" ref="B1469:B1491" ca="1" si="240">INDEX(INDIRECT(LEFT($A1469,SEARCH("-",$A1469,1)-1)&amp;"_hradata"),MATCH(MID($A1469,SEARCH("-",$A1469)+1,SEARCH("#",SUBSTITUTE($A1469,"-","#",H1469),1)-(SEARCH("-",$A1469)+1)),INDIRECT(LEFT($A1469,SEARCH("-",$A1469,1)-1)&amp;"_hraRows"),0),MATCH(RIGHT($A1469,LEN($A1469)-LEN(LEFT($A1469,SEARCH("#",SUBSTITUTE($A1469,"-","#",H1469),1)))),INDIRECT(LEFT($A1469,SEARCH("-",$A1469,1)-1)&amp;"_hraHeader"),0))</f>
        <v>0</v>
      </c>
      <c r="C1469" s="473">
        <f t="shared" ca="1" si="239"/>
        <v>0</v>
      </c>
      <c r="D1469" s="472" t="str">
        <f>'RO4'!N80</f>
        <v/>
      </c>
      <c r="E1469" s="472" t="str">
        <f>'RO4'!O80</f>
        <v/>
      </c>
      <c r="F1469" s="472" t="str">
        <f>'RO4'!Q80</f>
        <v/>
      </c>
      <c r="H1469" s="471">
        <f t="shared" si="235"/>
        <v>2</v>
      </c>
      <c r="I1469" s="471">
        <v>2</v>
      </c>
      <c r="J1469" s="471" t="str">
        <f t="shared" si="237"/>
        <v>hraincnondwell</v>
      </c>
      <c r="K1469" s="471" t="str">
        <f t="shared" si="238"/>
        <v>net-tot-cst</v>
      </c>
      <c r="L1469" s="599"/>
      <c r="M1469" s="471" t="s">
        <v>5794</v>
      </c>
      <c r="N1469" s="471" t="s">
        <v>5795</v>
      </c>
      <c r="O1469" s="471" t="s">
        <v>5796</v>
      </c>
    </row>
    <row r="1470" spans="1:15" x14ac:dyDescent="0.25">
      <c r="A1470" s="471" t="s">
        <v>2140</v>
      </c>
      <c r="B1470" s="1139">
        <f t="shared" ca="1" si="240"/>
        <v>0</v>
      </c>
      <c r="C1470" s="473">
        <f t="shared" ca="1" si="239"/>
        <v>0</v>
      </c>
      <c r="D1470" s="472" t="str">
        <f>'RO4'!N81</f>
        <v/>
      </c>
      <c r="E1470" s="472" t="str">
        <f>'RO4'!O81</f>
        <v/>
      </c>
      <c r="F1470" s="472" t="str">
        <f>'RO4'!Q81</f>
        <v/>
      </c>
      <c r="H1470" s="471">
        <f t="shared" si="235"/>
        <v>2</v>
      </c>
      <c r="I1470" s="471">
        <v>2</v>
      </c>
      <c r="J1470" s="471" t="str">
        <f t="shared" si="237"/>
        <v>hrainctenants</v>
      </c>
      <c r="K1470" s="471" t="str">
        <f t="shared" si="238"/>
        <v>net-tot-cst</v>
      </c>
      <c r="L1470" s="599"/>
      <c r="M1470" s="471" t="s">
        <v>5794</v>
      </c>
      <c r="N1470" s="471" t="s">
        <v>5795</v>
      </c>
      <c r="O1470" s="471" t="s">
        <v>5796</v>
      </c>
    </row>
    <row r="1471" spans="1:15" x14ac:dyDescent="0.25">
      <c r="A1471" s="471" t="s">
        <v>2141</v>
      </c>
      <c r="B1471" s="1139">
        <f t="shared" ca="1" si="240"/>
        <v>0</v>
      </c>
      <c r="C1471" s="473">
        <f t="shared" ca="1" si="239"/>
        <v>0</v>
      </c>
      <c r="D1471" s="472" t="str">
        <f>'RO4'!N82</f>
        <v/>
      </c>
      <c r="E1471" s="472" t="str">
        <f>'RO4'!O82</f>
        <v/>
      </c>
      <c r="F1471" s="472" t="str">
        <f>'RO4'!Q82</f>
        <v/>
      </c>
      <c r="H1471" s="471">
        <f t="shared" si="235"/>
        <v>2</v>
      </c>
      <c r="I1471" s="471">
        <v>2</v>
      </c>
      <c r="J1471" s="471" t="str">
        <f t="shared" si="237"/>
        <v>hrainccnt</v>
      </c>
      <c r="K1471" s="471" t="str">
        <f t="shared" si="238"/>
        <v>net-tot-cst</v>
      </c>
      <c r="L1471" s="599"/>
      <c r="M1471" s="471" t="s">
        <v>5794</v>
      </c>
      <c r="N1471" s="471" t="s">
        <v>5795</v>
      </c>
      <c r="O1471" s="471" t="s">
        <v>5796</v>
      </c>
    </row>
    <row r="1472" spans="1:15" x14ac:dyDescent="0.25">
      <c r="A1472" s="471" t="s">
        <v>2142</v>
      </c>
      <c r="B1472" s="1139">
        <f t="shared" ca="1" si="240"/>
        <v>0</v>
      </c>
      <c r="C1472" s="473">
        <f t="shared" ca="1" si="239"/>
        <v>0</v>
      </c>
      <c r="D1472" s="472" t="str">
        <f>'RO4'!N83</f>
        <v/>
      </c>
      <c r="E1472" s="472" t="str">
        <f>'RO4'!O83</f>
        <v/>
      </c>
      <c r="F1472" s="472" t="str">
        <f>'RO4'!Q83</f>
        <v/>
      </c>
      <c r="H1472" s="471">
        <f t="shared" si="235"/>
        <v>2</v>
      </c>
      <c r="I1472" s="471">
        <v>2</v>
      </c>
      <c r="J1472" s="471" t="str">
        <f t="shared" si="237"/>
        <v>hraincgrant</v>
      </c>
      <c r="K1472" s="471" t="str">
        <f t="shared" si="238"/>
        <v>net-tot-cst</v>
      </c>
      <c r="L1472" s="599"/>
      <c r="M1472" s="471" t="s">
        <v>5794</v>
      </c>
      <c r="N1472" s="471" t="s">
        <v>5795</v>
      </c>
      <c r="O1472" s="471" t="s">
        <v>5796</v>
      </c>
    </row>
    <row r="1473" spans="1:15" x14ac:dyDescent="0.25">
      <c r="A1473" s="471" t="s">
        <v>2143</v>
      </c>
      <c r="B1473" s="1139">
        <f t="shared" ca="1" si="240"/>
        <v>0</v>
      </c>
      <c r="C1473" s="473">
        <f t="shared" ca="1" si="239"/>
        <v>0</v>
      </c>
      <c r="D1473" s="472" t="str">
        <f>'RO4'!N84</f>
        <v/>
      </c>
      <c r="E1473" s="472" t="str">
        <f>'RO4'!O84</f>
        <v/>
      </c>
      <c r="F1473" s="472" t="str">
        <f>'RO4'!Q84</f>
        <v/>
      </c>
      <c r="H1473" s="471">
        <f t="shared" si="235"/>
        <v>2</v>
      </c>
      <c r="I1473" s="471">
        <v>2</v>
      </c>
      <c r="J1473" s="471" t="str">
        <f t="shared" si="237"/>
        <v>hraincintinv</v>
      </c>
      <c r="K1473" s="471" t="str">
        <f t="shared" si="238"/>
        <v>net-tot-cst</v>
      </c>
      <c r="L1473" s="599"/>
      <c r="M1473" s="471" t="s">
        <v>5794</v>
      </c>
      <c r="N1473" s="471" t="s">
        <v>5795</v>
      </c>
      <c r="O1473" s="471" t="s">
        <v>5796</v>
      </c>
    </row>
    <row r="1474" spans="1:15" x14ac:dyDescent="0.25">
      <c r="A1474" s="471" t="s">
        <v>2144</v>
      </c>
      <c r="B1474" s="1139">
        <f t="shared" ca="1" si="240"/>
        <v>0</v>
      </c>
      <c r="C1474" s="473">
        <f t="shared" ca="1" si="239"/>
        <v>0</v>
      </c>
      <c r="D1474" s="472" t="str">
        <f>'RO4'!N85</f>
        <v/>
      </c>
      <c r="E1474" s="472" t="str">
        <f>'RO4'!O85</f>
        <v/>
      </c>
      <c r="F1474" s="472" t="str">
        <f>'RO4'!Q85</f>
        <v/>
      </c>
      <c r="H1474" s="471">
        <f t="shared" si="235"/>
        <v>2</v>
      </c>
      <c r="I1474" s="471">
        <v>2</v>
      </c>
      <c r="J1474" s="471" t="str">
        <f t="shared" si="237"/>
        <v>hrainctrnsgf</v>
      </c>
      <c r="K1474" s="471" t="str">
        <f t="shared" si="238"/>
        <v>net-tot-cst</v>
      </c>
      <c r="L1474" s="599"/>
      <c r="M1474" s="471" t="s">
        <v>5794</v>
      </c>
      <c r="N1474" s="471" t="s">
        <v>5795</v>
      </c>
      <c r="O1474" s="471" t="s">
        <v>5796</v>
      </c>
    </row>
    <row r="1475" spans="1:15" x14ac:dyDescent="0.25">
      <c r="A1475" s="471" t="s">
        <v>2145</v>
      </c>
      <c r="B1475" s="1139">
        <f t="shared" ca="1" si="240"/>
        <v>0</v>
      </c>
      <c r="C1475" s="473">
        <f t="shared" ca="1" si="239"/>
        <v>0</v>
      </c>
      <c r="D1475" s="472" t="str">
        <f>'RO4'!N86</f>
        <v/>
      </c>
      <c r="E1475" s="472" t="str">
        <f>'RO4'!O86</f>
        <v/>
      </c>
      <c r="F1475" s="472" t="str">
        <f>'RO4'!Q86</f>
        <v/>
      </c>
      <c r="H1475" s="471">
        <f t="shared" si="235"/>
        <v>2</v>
      </c>
      <c r="I1475" s="471">
        <v>2</v>
      </c>
      <c r="J1475" s="471" t="str">
        <f t="shared" si="237"/>
        <v>hrainctrnsmrr</v>
      </c>
      <c r="K1475" s="471" t="str">
        <f t="shared" si="238"/>
        <v>net-tot-cst</v>
      </c>
      <c r="L1475" s="599"/>
      <c r="M1475" s="471" t="s">
        <v>5794</v>
      </c>
      <c r="N1475" s="471" t="s">
        <v>5795</v>
      </c>
      <c r="O1475" s="471" t="s">
        <v>5796</v>
      </c>
    </row>
    <row r="1476" spans="1:15" x14ac:dyDescent="0.25">
      <c r="A1476" s="471" t="s">
        <v>2146</v>
      </c>
      <c r="B1476" s="1139">
        <f t="shared" ca="1" si="240"/>
        <v>0</v>
      </c>
      <c r="C1476" s="473">
        <f t="shared" ca="1" si="239"/>
        <v>0</v>
      </c>
      <c r="D1476" s="472" t="str">
        <f>'RO4'!N87</f>
        <v/>
      </c>
      <c r="E1476" s="472" t="str">
        <f>'RO4'!O87</f>
        <v/>
      </c>
      <c r="F1476" s="472" t="str">
        <f>'RO4'!Q87</f>
        <v/>
      </c>
      <c r="H1476" s="471">
        <f t="shared" si="235"/>
        <v>2</v>
      </c>
      <c r="I1476" s="471">
        <v>2</v>
      </c>
      <c r="J1476" s="471" t="str">
        <f t="shared" si="237"/>
        <v>hraincaccumul</v>
      </c>
      <c r="K1476" s="471" t="str">
        <f t="shared" si="238"/>
        <v>net-tot-cst</v>
      </c>
      <c r="L1476" s="599"/>
      <c r="M1476" s="471" t="s">
        <v>5794</v>
      </c>
      <c r="N1476" s="471" t="s">
        <v>5795</v>
      </c>
      <c r="O1476" s="471" t="s">
        <v>5796</v>
      </c>
    </row>
    <row r="1477" spans="1:15" x14ac:dyDescent="0.25">
      <c r="A1477" s="471" t="s">
        <v>2147</v>
      </c>
      <c r="B1477" s="1139">
        <f t="shared" ca="1" si="240"/>
        <v>0</v>
      </c>
      <c r="C1477" s="473">
        <f t="shared" ca="1" si="239"/>
        <v>0</v>
      </c>
      <c r="D1477" s="472"/>
      <c r="E1477" s="472"/>
      <c r="F1477" s="472"/>
      <c r="H1477" s="471">
        <f t="shared" si="235"/>
        <v>2</v>
      </c>
      <c r="I1477" s="471">
        <v>2</v>
      </c>
      <c r="J1477" s="471" t="str">
        <f t="shared" si="237"/>
        <v>hrainctot</v>
      </c>
      <c r="K1477" s="471" t="str">
        <f t="shared" si="238"/>
        <v>net-tot-cst</v>
      </c>
      <c r="L1477" s="599"/>
      <c r="M1477" s="471" t="s">
        <v>5794</v>
      </c>
      <c r="N1477" s="471" t="s">
        <v>5795</v>
      </c>
      <c r="O1477" s="471" t="s">
        <v>5796</v>
      </c>
    </row>
    <row r="1478" spans="1:15" x14ac:dyDescent="0.25">
      <c r="A1478" s="471" t="s">
        <v>2148</v>
      </c>
      <c r="B1478" s="1139">
        <f t="shared" ca="1" si="240"/>
        <v>0</v>
      </c>
      <c r="C1478" s="473">
        <f t="shared" ca="1" si="239"/>
        <v>0</v>
      </c>
      <c r="D1478" s="472" t="str">
        <f>'RO4'!N91</f>
        <v/>
      </c>
      <c r="E1478" s="472" t="str">
        <f>'RO4'!O91</f>
        <v/>
      </c>
      <c r="F1478" s="472" t="str">
        <f>'RO4'!Q91</f>
        <v/>
      </c>
      <c r="H1478" s="471">
        <f t="shared" si="235"/>
        <v>2</v>
      </c>
      <c r="I1478" s="471">
        <v>2</v>
      </c>
      <c r="J1478" s="471" t="str">
        <f t="shared" si="237"/>
        <v>hraexprepair</v>
      </c>
      <c r="K1478" s="471" t="str">
        <f t="shared" si="238"/>
        <v>net-tot-cst</v>
      </c>
      <c r="L1478" s="599"/>
      <c r="M1478" s="471" t="s">
        <v>5794</v>
      </c>
      <c r="N1478" s="471" t="s">
        <v>5795</v>
      </c>
      <c r="O1478" s="471" t="s">
        <v>5796</v>
      </c>
    </row>
    <row r="1479" spans="1:15" x14ac:dyDescent="0.25">
      <c r="A1479" s="471" t="s">
        <v>2149</v>
      </c>
      <c r="B1479" s="1139">
        <f t="shared" ca="1" si="240"/>
        <v>0</v>
      </c>
      <c r="C1479" s="473">
        <f t="shared" ca="1" si="239"/>
        <v>0</v>
      </c>
      <c r="D1479" s="472" t="str">
        <f>'RO4'!N92</f>
        <v/>
      </c>
      <c r="E1479" s="472" t="str">
        <f>'RO4'!O92</f>
        <v/>
      </c>
      <c r="F1479" s="472" t="str">
        <f>'RO4'!Q92</f>
        <v/>
      </c>
      <c r="H1479" s="471">
        <f t="shared" si="235"/>
        <v>2</v>
      </c>
      <c r="I1479" s="471">
        <v>2</v>
      </c>
      <c r="J1479" s="471" t="str">
        <f t="shared" si="237"/>
        <v>hraexpsupervise</v>
      </c>
      <c r="K1479" s="471" t="str">
        <f t="shared" si="238"/>
        <v>net-tot-cst</v>
      </c>
      <c r="L1479" s="599"/>
      <c r="M1479" s="471" t="s">
        <v>5794</v>
      </c>
      <c r="N1479" s="471" t="s">
        <v>5795</v>
      </c>
      <c r="O1479" s="471" t="s">
        <v>5796</v>
      </c>
    </row>
    <row r="1480" spans="1:15" x14ac:dyDescent="0.25">
      <c r="A1480" s="471" t="s">
        <v>2150</v>
      </c>
      <c r="B1480" s="1139">
        <f t="shared" ca="1" si="240"/>
        <v>0</v>
      </c>
      <c r="C1480" s="473">
        <f t="shared" ca="1" si="239"/>
        <v>0</v>
      </c>
      <c r="D1480" s="472" t="str">
        <f>'RO4'!N93</f>
        <v/>
      </c>
      <c r="E1480" s="472" t="str">
        <f>'RO4'!O93</f>
        <v/>
      </c>
      <c r="F1480" s="472" t="str">
        <f>'RO4'!Q93</f>
        <v/>
      </c>
      <c r="H1480" s="471">
        <f t="shared" si="235"/>
        <v>2</v>
      </c>
      <c r="I1480" s="471">
        <v>2</v>
      </c>
      <c r="J1480" s="471" t="str">
        <f t="shared" si="237"/>
        <v>hraexpspecial</v>
      </c>
      <c r="K1480" s="471" t="str">
        <f t="shared" si="238"/>
        <v>net-tot-cst</v>
      </c>
      <c r="L1480" s="599"/>
      <c r="M1480" s="471" t="s">
        <v>5794</v>
      </c>
      <c r="N1480" s="471" t="s">
        <v>5795</v>
      </c>
      <c r="O1480" s="471" t="s">
        <v>5796</v>
      </c>
    </row>
    <row r="1481" spans="1:15" x14ac:dyDescent="0.25">
      <c r="A1481" s="471" t="s">
        <v>2151</v>
      </c>
      <c r="B1481" s="1139">
        <f t="shared" ca="1" si="240"/>
        <v>0</v>
      </c>
      <c r="C1481" s="473">
        <f t="shared" ca="1" si="239"/>
        <v>0</v>
      </c>
      <c r="D1481" s="472" t="str">
        <f>'RO4'!N94</f>
        <v/>
      </c>
      <c r="E1481" s="472" t="str">
        <f>'RO4'!O94</f>
        <v/>
      </c>
      <c r="F1481" s="472" t="str">
        <f>'RO4'!Q94</f>
        <v/>
      </c>
      <c r="H1481" s="471">
        <f t="shared" si="235"/>
        <v>2</v>
      </c>
      <c r="I1481" s="471">
        <v>2</v>
      </c>
      <c r="J1481" s="471" t="str">
        <f t="shared" si="237"/>
        <v>hraexprents</v>
      </c>
      <c r="K1481" s="471" t="str">
        <f t="shared" si="238"/>
        <v>net-tot-cst</v>
      </c>
      <c r="L1481" s="599"/>
      <c r="M1481" s="471" t="s">
        <v>5794</v>
      </c>
      <c r="N1481" s="471" t="s">
        <v>5795</v>
      </c>
      <c r="O1481" s="471" t="s">
        <v>5796</v>
      </c>
    </row>
    <row r="1482" spans="1:15" x14ac:dyDescent="0.25">
      <c r="A1482" s="471" t="s">
        <v>2152</v>
      </c>
      <c r="B1482" s="1139">
        <f t="shared" ca="1" si="240"/>
        <v>0</v>
      </c>
      <c r="C1482" s="473">
        <f t="shared" ca="1" si="239"/>
        <v>0</v>
      </c>
      <c r="D1482" s="472" t="str">
        <f>'RO4'!N95</f>
        <v/>
      </c>
      <c r="E1482" s="472" t="str">
        <f>'RO4'!O95</f>
        <v/>
      </c>
      <c r="F1482" s="472" t="str">
        <f>'RO4'!Q95</f>
        <v/>
      </c>
      <c r="H1482" s="471">
        <f t="shared" si="235"/>
        <v>2</v>
      </c>
      <c r="I1482" s="471">
        <v>2</v>
      </c>
      <c r="J1482" s="471" t="str">
        <f t="shared" si="237"/>
        <v>hraexpintpay</v>
      </c>
      <c r="K1482" s="471" t="str">
        <f t="shared" si="238"/>
        <v>net-tot-cst</v>
      </c>
      <c r="L1482" s="599"/>
      <c r="M1482" s="471" t="s">
        <v>5794</v>
      </c>
      <c r="N1482" s="471" t="s">
        <v>5795</v>
      </c>
      <c r="O1482" s="471" t="s">
        <v>5796</v>
      </c>
    </row>
    <row r="1483" spans="1:15" x14ac:dyDescent="0.25">
      <c r="A1483" s="471" t="s">
        <v>5797</v>
      </c>
      <c r="B1483" s="1139">
        <f t="shared" ca="1" si="240"/>
        <v>0</v>
      </c>
      <c r="C1483" s="473">
        <f t="shared" ca="1" si="239"/>
        <v>0</v>
      </c>
      <c r="D1483" s="472" t="str">
        <f>'RO4'!N96</f>
        <v/>
      </c>
      <c r="E1483" s="472" t="e">
        <f>'RO4'!#REF!</f>
        <v>#REF!</v>
      </c>
      <c r="F1483" s="472" t="e">
        <f>'RO4'!#REF!</f>
        <v>#REF!</v>
      </c>
      <c r="H1483" s="471">
        <f t="shared" si="235"/>
        <v>2</v>
      </c>
      <c r="I1483" s="471">
        <v>2</v>
      </c>
      <c r="J1483" s="471" t="str">
        <f t="shared" si="237"/>
        <v>hraexpdepr</v>
      </c>
      <c r="K1483" s="471" t="str">
        <f t="shared" si="238"/>
        <v>net-tot-cst</v>
      </c>
      <c r="L1483" s="599"/>
      <c r="M1483" s="471" t="s">
        <v>5794</v>
      </c>
      <c r="N1483" s="471" t="s">
        <v>5795</v>
      </c>
      <c r="O1483" s="471" t="s">
        <v>5796</v>
      </c>
    </row>
    <row r="1484" spans="1:15" x14ac:dyDescent="0.25">
      <c r="A1484" s="471" t="s">
        <v>2153</v>
      </c>
      <c r="B1484" s="1139">
        <f t="shared" ca="1" si="240"/>
        <v>0</v>
      </c>
      <c r="C1484" s="473">
        <f t="shared" ca="1" si="239"/>
        <v>0</v>
      </c>
      <c r="D1484" s="472" t="str">
        <f>'RO4'!N97</f>
        <v/>
      </c>
      <c r="E1484" s="472" t="str">
        <f>'RO4'!O97</f>
        <v/>
      </c>
      <c r="F1484" s="472" t="str">
        <f>'RO4'!Q97</f>
        <v/>
      </c>
      <c r="H1484" s="471">
        <f t="shared" si="235"/>
        <v>2</v>
      </c>
      <c r="I1484" s="471">
        <v>2</v>
      </c>
      <c r="J1484" s="471" t="str">
        <f t="shared" si="237"/>
        <v>hraexpdebtrepay</v>
      </c>
      <c r="K1484" s="471" t="str">
        <f t="shared" si="238"/>
        <v>net-tot-cst</v>
      </c>
      <c r="L1484" s="599"/>
      <c r="M1484" s="471" t="s">
        <v>5794</v>
      </c>
      <c r="N1484" s="471" t="s">
        <v>5795</v>
      </c>
      <c r="O1484" s="471" t="s">
        <v>5796</v>
      </c>
    </row>
    <row r="1485" spans="1:15" x14ac:dyDescent="0.25">
      <c r="A1485" s="471" t="s">
        <v>2154</v>
      </c>
      <c r="B1485" s="1139">
        <f t="shared" ca="1" si="240"/>
        <v>0</v>
      </c>
      <c r="C1485" s="473">
        <f t="shared" ca="1" si="239"/>
        <v>0</v>
      </c>
      <c r="D1485" s="472" t="str">
        <f>'RO4'!N98</f>
        <v/>
      </c>
      <c r="E1485" s="472" t="str">
        <f>'RO4'!O98</f>
        <v/>
      </c>
      <c r="F1485" s="472" t="str">
        <f>'RO4'!Q98</f>
        <v/>
      </c>
      <c r="H1485" s="471">
        <f t="shared" si="235"/>
        <v>2</v>
      </c>
      <c r="I1485" s="471">
        <v>2</v>
      </c>
      <c r="J1485" s="471" t="str">
        <f t="shared" si="237"/>
        <v>hraexpcera</v>
      </c>
      <c r="K1485" s="471" t="str">
        <f t="shared" si="238"/>
        <v>net-tot-cst</v>
      </c>
      <c r="L1485" s="599"/>
      <c r="M1485" s="471" t="s">
        <v>5794</v>
      </c>
      <c r="N1485" s="471" t="s">
        <v>5795</v>
      </c>
      <c r="O1485" s="471" t="s">
        <v>5796</v>
      </c>
    </row>
    <row r="1486" spans="1:15" x14ac:dyDescent="0.25">
      <c r="A1486" s="471" t="s">
        <v>2155</v>
      </c>
      <c r="B1486" s="1139">
        <f t="shared" ca="1" si="240"/>
        <v>0</v>
      </c>
      <c r="C1486" s="473">
        <f t="shared" ca="1" si="239"/>
        <v>0</v>
      </c>
      <c r="D1486" s="472" t="str">
        <f>'RO4'!N99</f>
        <v/>
      </c>
      <c r="E1486" s="472" t="str">
        <f>'RO4'!O99</f>
        <v/>
      </c>
      <c r="F1486" s="472" t="str">
        <f>'RO4'!Q99</f>
        <v/>
      </c>
      <c r="H1486" s="471">
        <f t="shared" si="235"/>
        <v>2</v>
      </c>
      <c r="I1486" s="471">
        <v>2</v>
      </c>
      <c r="J1486" s="471" t="str">
        <f t="shared" si="237"/>
        <v>hraexpdebtman</v>
      </c>
      <c r="K1486" s="471" t="str">
        <f t="shared" si="238"/>
        <v>net-tot-cst</v>
      </c>
      <c r="L1486" s="599"/>
      <c r="M1486" s="471" t="s">
        <v>5794</v>
      </c>
      <c r="N1486" s="471" t="s">
        <v>5795</v>
      </c>
      <c r="O1486" s="471" t="s">
        <v>5796</v>
      </c>
    </row>
    <row r="1487" spans="1:15" x14ac:dyDescent="0.25">
      <c r="A1487" s="471" t="s">
        <v>2156</v>
      </c>
      <c r="B1487" s="1139">
        <f t="shared" ca="1" si="240"/>
        <v>0</v>
      </c>
      <c r="C1487" s="473">
        <f t="shared" ca="1" si="239"/>
        <v>0</v>
      </c>
      <c r="D1487" s="472" t="str">
        <f>'RO4'!N100</f>
        <v/>
      </c>
      <c r="E1487" s="472" t="str">
        <f>'RO4'!O100</f>
        <v/>
      </c>
      <c r="F1487" s="472" t="str">
        <f>'RO4'!Q100</f>
        <v/>
      </c>
      <c r="H1487" s="471">
        <f t="shared" si="235"/>
        <v>2</v>
      </c>
      <c r="I1487" s="471">
        <v>2</v>
      </c>
      <c r="J1487" s="471" t="str">
        <f t="shared" si="237"/>
        <v>hraexptrnsgf</v>
      </c>
      <c r="K1487" s="471" t="str">
        <f t="shared" si="238"/>
        <v>net-tot-cst</v>
      </c>
      <c r="L1487" s="599"/>
      <c r="M1487" s="471" t="s">
        <v>5794</v>
      </c>
      <c r="N1487" s="471" t="s">
        <v>5795</v>
      </c>
      <c r="O1487" s="471" t="s">
        <v>5796</v>
      </c>
    </row>
    <row r="1488" spans="1:15" x14ac:dyDescent="0.25">
      <c r="A1488" s="471" t="s">
        <v>2157</v>
      </c>
      <c r="B1488" s="1139">
        <f t="shared" ca="1" si="240"/>
        <v>0</v>
      </c>
      <c r="C1488" s="473">
        <f t="shared" ca="1" si="239"/>
        <v>0</v>
      </c>
      <c r="D1488" s="472" t="str">
        <f>'RO4'!N101</f>
        <v/>
      </c>
      <c r="E1488" s="472" t="str">
        <f>'RO4'!O101</f>
        <v/>
      </c>
      <c r="F1488" s="472" t="str">
        <f>'RO4'!Q101</f>
        <v/>
      </c>
      <c r="H1488" s="471">
        <f t="shared" si="235"/>
        <v>2</v>
      </c>
      <c r="I1488" s="471">
        <v>2</v>
      </c>
      <c r="J1488" s="471" t="str">
        <f t="shared" si="237"/>
        <v>hraexptrnsmrr</v>
      </c>
      <c r="K1488" s="471" t="str">
        <f t="shared" si="238"/>
        <v>net-tot-cst</v>
      </c>
      <c r="L1488" s="599"/>
      <c r="M1488" s="471" t="s">
        <v>5794</v>
      </c>
      <c r="N1488" s="471" t="s">
        <v>5795</v>
      </c>
      <c r="O1488" s="471" t="s">
        <v>5796</v>
      </c>
    </row>
    <row r="1489" spans="1:15" x14ac:dyDescent="0.25">
      <c r="A1489" s="471" t="s">
        <v>2158</v>
      </c>
      <c r="B1489" s="1139">
        <f t="shared" ca="1" si="240"/>
        <v>0</v>
      </c>
      <c r="C1489" s="473">
        <f t="shared" ca="1" si="239"/>
        <v>0</v>
      </c>
      <c r="D1489" s="472" t="str">
        <f>'RO4'!N102</f>
        <v/>
      </c>
      <c r="E1489" s="472" t="str">
        <f>'RO4'!O102</f>
        <v/>
      </c>
      <c r="F1489" s="472" t="str">
        <f>'RO4'!Q102</f>
        <v/>
      </c>
      <c r="H1489" s="471">
        <f t="shared" si="235"/>
        <v>2</v>
      </c>
      <c r="I1489" s="471">
        <v>2</v>
      </c>
      <c r="J1489" s="471" t="str">
        <f t="shared" si="237"/>
        <v>hraexpprovbad</v>
      </c>
      <c r="K1489" s="471" t="str">
        <f t="shared" si="238"/>
        <v>net-tot-cst</v>
      </c>
      <c r="L1489" s="599"/>
      <c r="M1489" s="471" t="s">
        <v>5794</v>
      </c>
      <c r="N1489" s="471" t="s">
        <v>5795</v>
      </c>
      <c r="O1489" s="471" t="s">
        <v>5796</v>
      </c>
    </row>
    <row r="1490" spans="1:15" x14ac:dyDescent="0.25">
      <c r="A1490" s="471" t="s">
        <v>2159</v>
      </c>
      <c r="B1490" s="1139">
        <f t="shared" ca="1" si="240"/>
        <v>0</v>
      </c>
      <c r="C1490" s="473">
        <f t="shared" ca="1" si="239"/>
        <v>0</v>
      </c>
      <c r="H1490" s="471">
        <f t="shared" si="235"/>
        <v>2</v>
      </c>
      <c r="I1490" s="471">
        <v>2</v>
      </c>
      <c r="J1490" s="471" t="str">
        <f t="shared" si="237"/>
        <v>hraexptot</v>
      </c>
      <c r="K1490" s="471" t="str">
        <f t="shared" si="238"/>
        <v>net-tot-cst</v>
      </c>
      <c r="L1490" s="599"/>
      <c r="M1490" s="471" t="s">
        <v>5794</v>
      </c>
      <c r="N1490" s="471" t="s">
        <v>5795</v>
      </c>
      <c r="O1490" s="471" t="s">
        <v>5796</v>
      </c>
    </row>
    <row r="1491" spans="1:15" x14ac:dyDescent="0.25">
      <c r="A1491" s="471" t="s">
        <v>2160</v>
      </c>
      <c r="B1491" s="1139">
        <f t="shared" ca="1" si="240"/>
        <v>0</v>
      </c>
      <c r="C1491" s="473">
        <f t="shared" ca="1" si="239"/>
        <v>0</v>
      </c>
      <c r="H1491" s="471">
        <f t="shared" ref="H1491:H1554" si="241">LEN(A1491)-LEN(SUBSTITUTE(A1491,"-",""))-I1491</f>
        <v>2</v>
      </c>
      <c r="I1491" s="471">
        <v>2</v>
      </c>
      <c r="J1491" s="471" t="str">
        <f t="shared" si="237"/>
        <v>hradiff</v>
      </c>
      <c r="K1491" s="471" t="str">
        <f t="shared" si="238"/>
        <v>net-tot-cst</v>
      </c>
      <c r="L1491" s="599"/>
      <c r="M1491" s="471" t="s">
        <v>5794</v>
      </c>
      <c r="N1491" s="471" t="s">
        <v>5795</v>
      </c>
      <c r="O1491" s="471" t="s">
        <v>5796</v>
      </c>
    </row>
    <row r="1492" spans="1:15" x14ac:dyDescent="0.25">
      <c r="A1492" s="471" t="s">
        <v>2161</v>
      </c>
      <c r="B1492" s="1139" t="e">
        <f ca="1">INDEX(INDIRECT(LEFT($A1492,SEARCH("-",$A1492,1)-1)&amp;"_hraResdata"),MATCH(MID($A1492,SEARCH("-",$A1492)+1,SEARCH("#",SUBSTITUTE($A1492,"-","#",H1492),1)-(SEARCH("-",$A1492)+1)),INDIRECT(LEFT($A1492,SEARCH("-",$A1492,1)-1)&amp;"_hraResRows"),0),MATCH(RIGHT($A1492,LEN($A1492)-LEN(LEFT($A1492,SEARCH("#",SUBSTITUTE($A1492,"-","#",H1492),1)))),INDIRECT(LEFT($A1492,SEARCH("-",$A1492,1)-1)&amp;"_hraResHeader"),0))</f>
        <v>#N/A</v>
      </c>
      <c r="C1492" s="473">
        <f ca="1">IF(ISERROR(VLOOKUP($A$1492,INDIRECT("notes_"&amp;LEFT($A$1492,3)),4,0)),0,VLOOKUP($A$1492,INDIRECT("notes_"&amp;LEFT($A$1492,3)),4,0))</f>
        <v>0</v>
      </c>
      <c r="D1492" s="472" t="str">
        <f>'RO4'!N109</f>
        <v/>
      </c>
      <c r="E1492" s="472" t="e">
        <f>'RO4'!O109</f>
        <v>#N/A</v>
      </c>
      <c r="F1492" s="472" t="e">
        <f>'RO4'!Q109</f>
        <v>#N/A</v>
      </c>
      <c r="H1492" s="471">
        <f t="shared" si="241"/>
        <v>2</v>
      </c>
      <c r="I1492" s="471">
        <v>1</v>
      </c>
      <c r="J1492" s="471" t="str">
        <f t="shared" si="237"/>
        <v>reshra</v>
      </c>
      <c r="K1492" s="471" t="str">
        <f t="shared" si="238"/>
        <v>start-cy</v>
      </c>
      <c r="L1492" s="599"/>
      <c r="M1492" s="471" t="s">
        <v>5798</v>
      </c>
      <c r="N1492" s="471" t="s">
        <v>5799</v>
      </c>
      <c r="O1492" s="471" t="s">
        <v>1110</v>
      </c>
    </row>
    <row r="1493" spans="1:15" x14ac:dyDescent="0.25">
      <c r="A1493" s="471" t="s">
        <v>5800</v>
      </c>
      <c r="B1493" s="1139" t="e">
        <f ca="1">INDEX(INDIRECT(LEFT($A1493,SEARCH("-",$A1493,1)-1)&amp;"_hraResdata"),MATCH(MID($A1493,SEARCH("-",$A1493)+1,SEARCH("#",SUBSTITUTE($A1493,"-","#",H1493),1)-(SEARCH("-",$A1493)+1)),INDIRECT(LEFT($A1493,SEARCH("-",$A1493,1)-1)&amp;"_hraResRows"),0),MATCH(RIGHT($A1493,LEN($A1493)-LEN(LEFT($A1493,SEARCH("#",SUBSTITUTE($A1493,"-","#",H1493),1)))),INDIRECT(LEFT($A1493,SEARCH("-",$A1493,1)-1)&amp;"_hraResHeader"),0))</f>
        <v>#N/A</v>
      </c>
      <c r="C1493" s="473">
        <f ca="1">IF(ISERROR(VLOOKUP($A$1492,INDIRECT("notes_"&amp;LEFT($A$1492,3)),4,0)),0,VLOOKUP($A$1492,INDIRECT("notes_"&amp;LEFT($A$1492,3)),4,0))</f>
        <v>0</v>
      </c>
      <c r="D1493" s="472" t="str">
        <f>'RO4'!R110</f>
        <v/>
      </c>
      <c r="E1493" s="472" t="e">
        <f>'RO4'!S110</f>
        <v>#N/A</v>
      </c>
      <c r="F1493" s="472" t="e">
        <f>'RO4'!U110</f>
        <v>#N/A</v>
      </c>
      <c r="H1493" s="471">
        <f t="shared" si="241"/>
        <v>2</v>
      </c>
      <c r="I1493" s="471">
        <v>1</v>
      </c>
      <c r="J1493" s="471" t="str">
        <f t="shared" si="237"/>
        <v>reshra</v>
      </c>
      <c r="K1493" s="471" t="str">
        <f t="shared" si="238"/>
        <v>end-cy</v>
      </c>
      <c r="L1493" s="599"/>
      <c r="M1493" s="471" t="s">
        <v>5798</v>
      </c>
      <c r="N1493" s="471" t="s">
        <v>5799</v>
      </c>
      <c r="O1493" s="471" t="s">
        <v>1110</v>
      </c>
    </row>
    <row r="1494" spans="1:15" x14ac:dyDescent="0.25">
      <c r="A1494" s="471" t="s">
        <v>5801</v>
      </c>
      <c r="B1494" s="1139" t="str">
        <f ca="1">INDEX(INDIRECT(LEFT($A1494,SEARCH("-",$A1494,1)-1)&amp;"_data"),MATCH(MID($A1494,SEARCH("-",$A1494)+1,SEARCH("#",SUBSTITUTE($A1494,"-","#",H1494),1)-(SEARCH("-",$A1494)+1)),INDIRECT(LEFT($A1494,SEARCH("-",$A1494,1)-1)&amp;"_rows"),0),MATCH(RIGHT($A1494,LEN($A1494)-SEARCH("#",SUBSTITUTE($A1494,"-","#",H1494),1)),INDIRECT(LEFT($A1494,SEARCH("-",$A1494,1)-1)&amp;"_Header"),0))</f>
        <v>There are no outstanding errors or warnings with the RO5 section of the form. Thank you.</v>
      </c>
      <c r="C1494" s="473"/>
      <c r="H1494" s="471">
        <f t="shared" si="241"/>
        <v>2</v>
      </c>
      <c r="I1494" s="471">
        <v>0</v>
      </c>
      <c r="J1494" s="471" t="str">
        <f>MID($A1494,SEARCH("-",$A1494)+1,SEARCH("#",SUBSTITUTE($A1494,"-","#",H1494),1)-(SEARCH("-",$A1494)+1))</f>
        <v>cul</v>
      </c>
      <c r="K1494" s="471" t="str">
        <f t="shared" si="238"/>
        <v>error</v>
      </c>
      <c r="L1494" s="599"/>
      <c r="M1494" s="471" t="s">
        <v>5802</v>
      </c>
      <c r="N1494" s="471" t="s">
        <v>1114</v>
      </c>
      <c r="O1494" s="471" t="s">
        <v>1113</v>
      </c>
    </row>
    <row r="1495" spans="1:15" x14ac:dyDescent="0.25">
      <c r="A1495" s="471" t="s">
        <v>2162</v>
      </c>
      <c r="B1495" s="1139">
        <f t="shared" ref="B1495:B1558" ca="1" si="242">INDEX(INDIRECT(LEFT($A1495,SEARCH("-",$A1495,1)-1)&amp;"_data"),MATCH(MID($A1495,SEARCH("-",$A1495)+1,SEARCH("#",SUBSTITUTE($A1495,"-","#",H1495),1)-(SEARCH("-",$A1495)+1)),INDIRECT(LEFT($A1495,SEARCH("-",$A1495,1)-1)&amp;"_rows"),0),MATCH(RIGHT($A1495,LEN($A1495)-SEARCH("#",SUBSTITUTE($A1495,"-","#",H1495),1)),INDIRECT(LEFT($A1495,SEARCH("-",$A1495,1)-1)&amp;"_Header"),0))</f>
        <v>0</v>
      </c>
      <c r="C1495" s="473">
        <f ca="1">IF(ISERROR(VLOOKUP($A$1495,INDIRECT("notes_"&amp;LEFT($A$1495,3)),4,0)),0,VLOOKUP($A$1495,INDIRECT("notes_"&amp;LEFT($A$1495,3)),4,0))</f>
        <v>0</v>
      </c>
      <c r="H1495" s="471">
        <f t="shared" si="241"/>
        <v>2</v>
      </c>
      <c r="I1495" s="471">
        <v>0</v>
      </c>
      <c r="J1495" s="471" t="str">
        <f t="shared" ref="J1495:J1540" si="243">MID($A1495,SEARCH("-",$A1495)+1,SEARCH("#",SUBSTITUTE($A1495,"-","#",H1495),1)-(SEARCH("-",$A1495)+1))</f>
        <v>culhrtarc</v>
      </c>
      <c r="K1495" s="471" t="str">
        <f t="shared" ref="K1495:K1540" si="244">RIGHT($A1495,LEN($A1495)-SEARCH("#",SUBSTITUTE($A1495,"-","#",H1495),1))</f>
        <v>empl</v>
      </c>
      <c r="L1495" s="599"/>
      <c r="M1495" s="471" t="s">
        <v>5802</v>
      </c>
      <c r="N1495" s="471" t="s">
        <v>1114</v>
      </c>
      <c r="O1495" s="471" t="s">
        <v>1113</v>
      </c>
    </row>
    <row r="1496" spans="1:15" x14ac:dyDescent="0.25">
      <c r="A1496" s="471" t="s">
        <v>2164</v>
      </c>
      <c r="B1496" s="1139">
        <f t="shared" ca="1" si="242"/>
        <v>0</v>
      </c>
      <c r="C1496" s="473">
        <f ca="1">IF(ISERROR(VLOOKUP($A$1496,INDIRECT("notes_"&amp;LEFT($A$1496,3)),4,0)),0,VLOOKUP($A$1496,INDIRECT("notes_"&amp;LEFT($A$1496,3)),4,0))</f>
        <v>0</v>
      </c>
      <c r="H1496" s="471">
        <f t="shared" si="241"/>
        <v>5</v>
      </c>
      <c r="I1496" s="471">
        <v>0</v>
      </c>
      <c r="J1496" s="471" t="str">
        <f t="shared" si="243"/>
        <v>culhrt-art-dvl-spp</v>
      </c>
      <c r="K1496" s="471" t="str">
        <f t="shared" si="244"/>
        <v>empl</v>
      </c>
      <c r="L1496" s="599"/>
      <c r="M1496" s="471" t="s">
        <v>5802</v>
      </c>
      <c r="N1496" s="471" t="s">
        <v>1114</v>
      </c>
      <c r="O1496" s="471" t="s">
        <v>1113</v>
      </c>
    </row>
    <row r="1497" spans="1:15" x14ac:dyDescent="0.25">
      <c r="A1497" s="471" t="s">
        <v>2165</v>
      </c>
      <c r="B1497" s="1139">
        <f t="shared" ca="1" si="242"/>
        <v>0</v>
      </c>
      <c r="C1497" s="473">
        <f ca="1">IF(ISERROR(VLOOKUP($A$1497,INDIRECT("notes_"&amp;LEFT($A$1497,3)),4,0)),0,VLOOKUP($A$1497,INDIRECT("notes_"&amp;LEFT($A$1497,3)),4,0))</f>
        <v>0</v>
      </c>
      <c r="H1497" s="471">
        <f t="shared" si="241"/>
        <v>3</v>
      </c>
      <c r="I1497" s="471">
        <v>0</v>
      </c>
      <c r="J1497" s="471" t="str">
        <f t="shared" si="243"/>
        <v>culhrt-hrt</v>
      </c>
      <c r="K1497" s="471" t="str">
        <f t="shared" si="244"/>
        <v>empl</v>
      </c>
      <c r="L1497" s="599"/>
      <c r="M1497" s="471" t="s">
        <v>5802</v>
      </c>
      <c r="N1497" s="471" t="s">
        <v>1114</v>
      </c>
      <c r="O1497" s="471" t="s">
        <v>1113</v>
      </c>
    </row>
    <row r="1498" spans="1:15" x14ac:dyDescent="0.25">
      <c r="A1498" s="471" t="s">
        <v>2166</v>
      </c>
      <c r="B1498" s="1139">
        <f t="shared" ca="1" si="242"/>
        <v>0</v>
      </c>
      <c r="C1498" s="473">
        <f ca="1">IF(ISERROR(VLOOKUP($A$1498,INDIRECT("notes_"&amp;LEFT($A$1498,3)),4,0)),0,VLOOKUP($A$1498,INDIRECT("notes_"&amp;LEFT($A$1498,3)),4,0))</f>
        <v>0</v>
      </c>
      <c r="H1498" s="471">
        <f t="shared" si="241"/>
        <v>4</v>
      </c>
      <c r="I1498" s="471">
        <v>0</v>
      </c>
      <c r="J1498" s="471" t="str">
        <f t="shared" si="243"/>
        <v>culhrt-msm-gll</v>
      </c>
      <c r="K1498" s="471" t="str">
        <f t="shared" si="244"/>
        <v>empl</v>
      </c>
      <c r="L1498" s="599"/>
      <c r="M1498" s="471" t="s">
        <v>5802</v>
      </c>
      <c r="N1498" s="471" t="s">
        <v>1114</v>
      </c>
      <c r="O1498" s="471" t="s">
        <v>1113</v>
      </c>
    </row>
    <row r="1499" spans="1:15" x14ac:dyDescent="0.25">
      <c r="A1499" s="471" t="s">
        <v>2167</v>
      </c>
      <c r="B1499" s="1139">
        <f t="shared" ca="1" si="242"/>
        <v>0</v>
      </c>
      <c r="C1499" s="473">
        <f ca="1">IF(ISERROR(VLOOKUP($A$1499,INDIRECT("notes_"&amp;LEFT($A$1499,3)),4,0)),0,VLOOKUP($A$1499,INDIRECT("notes_"&amp;LEFT($A$1499,3)),4,0))</f>
        <v>0</v>
      </c>
      <c r="H1499" s="471">
        <f t="shared" si="241"/>
        <v>5</v>
      </c>
      <c r="I1499" s="471">
        <v>0</v>
      </c>
      <c r="J1499" s="471" t="str">
        <f t="shared" si="243"/>
        <v>culhrt-tht-pbl-ent</v>
      </c>
      <c r="K1499" s="471" t="str">
        <f t="shared" si="244"/>
        <v>empl</v>
      </c>
      <c r="L1499" s="599"/>
      <c r="M1499" s="471" t="s">
        <v>5802</v>
      </c>
      <c r="N1499" s="471" t="s">
        <v>1114</v>
      </c>
      <c r="O1499" s="471" t="s">
        <v>1113</v>
      </c>
    </row>
    <row r="1500" spans="1:15" x14ac:dyDescent="0.25">
      <c r="A1500" s="471" t="s">
        <v>2168</v>
      </c>
      <c r="B1500" s="1139">
        <f t="shared" ca="1" si="242"/>
        <v>0</v>
      </c>
      <c r="C1500" s="473">
        <f ca="1">IF(ISERROR(VLOOKUP($A$1500,INDIRECT("notes_"&amp;LEFT($A$1500,3)),4,0)),0,VLOOKUP($A$1500,INDIRECT("notes_"&amp;LEFT($A$1500,3)),4,0))</f>
        <v>0</v>
      </c>
      <c r="H1500" s="471">
        <f t="shared" si="241"/>
        <v>6</v>
      </c>
      <c r="I1500" s="471">
        <v>0</v>
      </c>
      <c r="J1500" s="471" t="str">
        <f t="shared" si="243"/>
        <v>culspr-cmm-cen-pub-hll</v>
      </c>
      <c r="K1500" s="471" t="str">
        <f t="shared" si="244"/>
        <v>empl</v>
      </c>
      <c r="L1500" s="599"/>
      <c r="M1500" s="471" t="s">
        <v>5802</v>
      </c>
      <c r="N1500" s="471" t="s">
        <v>1114</v>
      </c>
      <c r="O1500" s="471" t="s">
        <v>1113</v>
      </c>
    </row>
    <row r="1501" spans="1:15" x14ac:dyDescent="0.25">
      <c r="A1501" s="471" t="s">
        <v>2169</v>
      </c>
      <c r="B1501" s="1139">
        <f t="shared" ca="1" si="242"/>
        <v>0</v>
      </c>
      <c r="C1501" s="473">
        <f ca="1">IF(ISERROR(VLOOKUP($A$1501,INDIRECT("notes_"&amp;LEFT($A$1501,3)),4,0)),0,VLOOKUP($A$1501,INDIRECT("notes_"&amp;LEFT($A$1501,3)),4,0))</f>
        <v>0</v>
      </c>
      <c r="H1501" s="471">
        <f t="shared" si="241"/>
        <v>3</v>
      </c>
      <c r="I1501" s="471">
        <v>0</v>
      </c>
      <c r="J1501" s="471" t="str">
        <f t="shared" si="243"/>
        <v>culspr-frs</v>
      </c>
      <c r="K1501" s="471" t="str">
        <f t="shared" si="244"/>
        <v>empl</v>
      </c>
      <c r="L1501" s="599"/>
      <c r="M1501" s="471" t="s">
        <v>5802</v>
      </c>
      <c r="N1501" s="471" t="s">
        <v>1114</v>
      </c>
      <c r="O1501" s="471" t="s">
        <v>1113</v>
      </c>
    </row>
    <row r="1502" spans="1:15" x14ac:dyDescent="0.25">
      <c r="A1502" s="471" t="s">
        <v>2170</v>
      </c>
      <c r="B1502" s="1139">
        <f t="shared" ca="1" si="242"/>
        <v>0</v>
      </c>
      <c r="C1502" s="473">
        <f ca="1">IF(ISERROR(VLOOKUP($A$1502,INDIRECT("notes_"&amp;LEFT($A$1502,3)),4,0)),0,VLOOKUP($A$1502,INDIRECT("notes_"&amp;LEFT($A$1502,3)),4,0))</f>
        <v>0</v>
      </c>
      <c r="H1502" s="471">
        <f t="shared" si="241"/>
        <v>6</v>
      </c>
      <c r="I1502" s="471">
        <v>0</v>
      </c>
      <c r="J1502" s="471" t="str">
        <f t="shared" si="243"/>
        <v>culspr-spr-dvl-cmm-rec</v>
      </c>
      <c r="K1502" s="471" t="str">
        <f t="shared" si="244"/>
        <v>empl</v>
      </c>
      <c r="L1502" s="599"/>
      <c r="M1502" s="471" t="s">
        <v>5802</v>
      </c>
      <c r="N1502" s="471" t="s">
        <v>1114</v>
      </c>
      <c r="O1502" s="471" t="s">
        <v>1113</v>
      </c>
    </row>
    <row r="1503" spans="1:15" x14ac:dyDescent="0.25">
      <c r="A1503" s="471" t="s">
        <v>2171</v>
      </c>
      <c r="B1503" s="1139">
        <f t="shared" ca="1" si="242"/>
        <v>0</v>
      </c>
      <c r="C1503" s="473">
        <f ca="1">IF(ISERROR(VLOOKUP($A$1503,INDIRECT("notes_"&amp;LEFT($A$1503,3)),4,0)),0,VLOOKUP($A$1503,INDIRECT("notes_"&amp;LEFT($A$1503,3)),4,0))</f>
        <v>0</v>
      </c>
      <c r="H1503" s="471">
        <f t="shared" si="241"/>
        <v>5</v>
      </c>
      <c r="I1503" s="471">
        <v>0</v>
      </c>
      <c r="J1503" s="471" t="str">
        <f t="shared" si="243"/>
        <v>culspr-spr-lsr-fcl</v>
      </c>
      <c r="K1503" s="471" t="str">
        <f t="shared" si="244"/>
        <v>empl</v>
      </c>
      <c r="L1503" s="599"/>
      <c r="M1503" s="471" t="s">
        <v>5802</v>
      </c>
      <c r="N1503" s="471" t="s">
        <v>1114</v>
      </c>
      <c r="O1503" s="471" t="s">
        <v>1113</v>
      </c>
    </row>
    <row r="1504" spans="1:15" x14ac:dyDescent="0.25">
      <c r="A1504" s="471" t="s">
        <v>2172</v>
      </c>
      <c r="B1504" s="1139">
        <f t="shared" ca="1" si="242"/>
        <v>0</v>
      </c>
      <c r="C1504" s="473">
        <f ca="1">IF(ISERROR(VLOOKUP($A$1504,INDIRECT("notes_"&amp;LEFT($A$1504,3)),4,0)),0,VLOOKUP($A$1504,INDIRECT("notes_"&amp;LEFT($A$1504,3)),4,0))</f>
        <v>0</v>
      </c>
      <c r="H1504" s="471">
        <f t="shared" si="241"/>
        <v>3</v>
      </c>
      <c r="I1504" s="471">
        <v>0</v>
      </c>
      <c r="J1504" s="471" t="str">
        <f t="shared" si="243"/>
        <v>culprk-opn</v>
      </c>
      <c r="K1504" s="471" t="str">
        <f t="shared" si="244"/>
        <v>empl</v>
      </c>
      <c r="L1504" s="599"/>
      <c r="M1504" s="471" t="s">
        <v>5802</v>
      </c>
      <c r="N1504" s="471" t="s">
        <v>1114</v>
      </c>
      <c r="O1504" s="471" t="s">
        <v>1113</v>
      </c>
    </row>
    <row r="1505" spans="1:15" x14ac:dyDescent="0.25">
      <c r="A1505" s="471" t="s">
        <v>2173</v>
      </c>
      <c r="B1505" s="1139">
        <f t="shared" ca="1" si="242"/>
        <v>0</v>
      </c>
      <c r="C1505" s="473">
        <f ca="1">IF(ISERROR(VLOOKUP($A$1505,INDIRECT("notes_"&amp;LEFT($A$1505,3)),4,0)),0,VLOOKUP($A$1505,INDIRECT("notes_"&amp;LEFT($A$1505,3)),4,0))</f>
        <v>0</v>
      </c>
      <c r="H1505" s="471">
        <f t="shared" si="241"/>
        <v>2</v>
      </c>
      <c r="I1505" s="471">
        <v>0</v>
      </c>
      <c r="J1505" s="471" t="str">
        <f t="shared" si="243"/>
        <v>culall</v>
      </c>
      <c r="K1505" s="471" t="str">
        <f t="shared" si="244"/>
        <v>empl</v>
      </c>
      <c r="L1505" s="599"/>
      <c r="M1505" s="471" t="s">
        <v>5802</v>
      </c>
      <c r="N1505" s="471" t="s">
        <v>1114</v>
      </c>
      <c r="O1505" s="471" t="s">
        <v>1113</v>
      </c>
    </row>
    <row r="1506" spans="1:15" x14ac:dyDescent="0.25">
      <c r="A1506" s="471" t="s">
        <v>2174</v>
      </c>
      <c r="B1506" s="1139">
        <f t="shared" ca="1" si="242"/>
        <v>0</v>
      </c>
      <c r="C1506" s="473">
        <f ca="1">IF(ISERROR(VLOOKUP($A$1506,INDIRECT("notes_"&amp;LEFT($A$1506,3)),4,0)),0,VLOOKUP($A$1506,INDIRECT("notes_"&amp;LEFT($A$1506,3)),4,0))</f>
        <v>0</v>
      </c>
      <c r="H1506" s="471">
        <f t="shared" si="241"/>
        <v>2</v>
      </c>
      <c r="I1506" s="471">
        <v>0</v>
      </c>
      <c r="J1506" s="471" t="str">
        <f t="shared" si="243"/>
        <v>cultrs</v>
      </c>
      <c r="K1506" s="471" t="str">
        <f t="shared" si="244"/>
        <v>empl</v>
      </c>
      <c r="L1506" s="599"/>
      <c r="M1506" s="471" t="s">
        <v>5802</v>
      </c>
      <c r="N1506" s="471" t="s">
        <v>1114</v>
      </c>
      <c r="O1506" s="471" t="s">
        <v>1113</v>
      </c>
    </row>
    <row r="1507" spans="1:15" x14ac:dyDescent="0.25">
      <c r="A1507" s="471" t="s">
        <v>2175</v>
      </c>
      <c r="B1507" s="1139">
        <f t="shared" ca="1" si="242"/>
        <v>0</v>
      </c>
      <c r="C1507" s="473">
        <f ca="1">IF(ISERROR(VLOOKUP($A$1507,INDIRECT("notes_"&amp;LEFT($A$1507,3)),4,0)),0,VLOOKUP($A$1507,INDIRECT("notes_"&amp;LEFT($A$1507,3)),4,0))</f>
        <v>0</v>
      </c>
      <c r="H1507" s="471">
        <f t="shared" si="241"/>
        <v>2</v>
      </c>
      <c r="I1507" s="471">
        <v>0</v>
      </c>
      <c r="J1507" s="471" t="str">
        <f t="shared" si="243"/>
        <v>cullib</v>
      </c>
      <c r="K1507" s="471" t="str">
        <f t="shared" si="244"/>
        <v>empl</v>
      </c>
      <c r="L1507" s="599"/>
      <c r="M1507" s="471" t="s">
        <v>5802</v>
      </c>
      <c r="N1507" s="471" t="s">
        <v>1114</v>
      </c>
      <c r="O1507" s="471" t="s">
        <v>1113</v>
      </c>
    </row>
    <row r="1508" spans="1:15" x14ac:dyDescent="0.25">
      <c r="A1508" s="471" t="s">
        <v>2176</v>
      </c>
      <c r="B1508" s="1139">
        <f t="shared" ca="1" si="242"/>
        <v>0</v>
      </c>
      <c r="C1508" s="473">
        <f ca="1">IF(ISERROR(VLOOKUP($A$1508,INDIRECT("notes_"&amp;LEFT($A$1508,3)),4,0)),0,VLOOKUP($A$1508,INDIRECT("notes_"&amp;LEFT($A$1508,3)),4,0))</f>
        <v>0</v>
      </c>
      <c r="H1508" s="471">
        <f t="shared" si="241"/>
        <v>2</v>
      </c>
      <c r="I1508" s="471">
        <v>0</v>
      </c>
      <c r="J1508" s="471" t="str">
        <f t="shared" si="243"/>
        <v>cultot</v>
      </c>
      <c r="K1508" s="471" t="str">
        <f t="shared" si="244"/>
        <v>empl</v>
      </c>
      <c r="L1508" s="599"/>
      <c r="M1508" s="471" t="s">
        <v>5802</v>
      </c>
      <c r="N1508" s="471" t="s">
        <v>1114</v>
      </c>
      <c r="O1508" s="471" t="s">
        <v>1113</v>
      </c>
    </row>
    <row r="1509" spans="1:15" x14ac:dyDescent="0.25">
      <c r="A1509" s="471" t="s">
        <v>2178</v>
      </c>
      <c r="B1509" s="1139">
        <f t="shared" ca="1" si="242"/>
        <v>0</v>
      </c>
      <c r="C1509" s="473">
        <f ca="1">IF(ISERROR(VLOOKUP($A$1509,INDIRECT("notes_"&amp;LEFT($A$1509,3)),4,0)),0,VLOOKUP($A$1509,INDIRECT("notes_"&amp;LEFT($A$1509,3)),4,0))</f>
        <v>0</v>
      </c>
      <c r="H1509" s="471">
        <f t="shared" si="241"/>
        <v>2</v>
      </c>
      <c r="I1509" s="471">
        <v>0</v>
      </c>
      <c r="J1509" s="471" t="str">
        <f t="shared" si="243"/>
        <v>envcmt</v>
      </c>
      <c r="K1509" s="471" t="str">
        <f t="shared" si="244"/>
        <v>empl</v>
      </c>
      <c r="L1509" s="599"/>
      <c r="M1509" s="471" t="s">
        <v>5802</v>
      </c>
      <c r="N1509" s="471" t="s">
        <v>1114</v>
      </c>
      <c r="O1509" s="471" t="s">
        <v>1113</v>
      </c>
    </row>
    <row r="1510" spans="1:15" x14ac:dyDescent="0.25">
      <c r="A1510" s="471" t="s">
        <v>2179</v>
      </c>
      <c r="B1510" s="1139">
        <f t="shared" ca="1" si="242"/>
        <v>0</v>
      </c>
      <c r="C1510" s="473">
        <f ca="1">IF(ISERROR(VLOOKUP($A$1510,INDIRECT("notes_"&amp;LEFT($A$1510,3)),4,0)),0,VLOOKUP($A$1510,INDIRECT("notes_"&amp;LEFT($A$1510,3)),4,0))</f>
        <v>0</v>
      </c>
      <c r="H1510" s="471">
        <f t="shared" si="241"/>
        <v>2</v>
      </c>
      <c r="I1510" s="471">
        <v>0</v>
      </c>
      <c r="J1510" s="471" t="str">
        <f t="shared" si="243"/>
        <v>envrgltrd</v>
      </c>
      <c r="K1510" s="471" t="str">
        <f t="shared" si="244"/>
        <v>empl</v>
      </c>
      <c r="L1510" s="599"/>
      <c r="M1510" s="471" t="s">
        <v>5802</v>
      </c>
      <c r="N1510" s="471" t="s">
        <v>1114</v>
      </c>
      <c r="O1510" s="471" t="s">
        <v>1113</v>
      </c>
    </row>
    <row r="1511" spans="1:15" x14ac:dyDescent="0.25">
      <c r="A1511" s="471" t="s">
        <v>2180</v>
      </c>
      <c r="B1511" s="1139">
        <f t="shared" ca="1" si="242"/>
        <v>0</v>
      </c>
      <c r="C1511" s="473">
        <f ca="1">IF(ISERROR(VLOOKUP($A$1511,INDIRECT("notes_"&amp;LEFT($A$1511,3)),4,0)),0,VLOOKUP($A$1511,INDIRECT("notes_"&amp;LEFT($A$1511,3)),4,0))</f>
        <v>0</v>
      </c>
      <c r="H1511" s="471">
        <f t="shared" si="241"/>
        <v>2</v>
      </c>
      <c r="I1511" s="471">
        <v>0</v>
      </c>
      <c r="J1511" s="471" t="str">
        <f t="shared" si="243"/>
        <v>envrglenvwtr</v>
      </c>
      <c r="K1511" s="471" t="str">
        <f t="shared" si="244"/>
        <v>empl</v>
      </c>
      <c r="L1511" s="599"/>
      <c r="M1511" s="471" t="s">
        <v>5802</v>
      </c>
      <c r="N1511" s="471" t="s">
        <v>1114</v>
      </c>
      <c r="O1511" s="471" t="s">
        <v>1113</v>
      </c>
    </row>
    <row r="1512" spans="1:15" x14ac:dyDescent="0.25">
      <c r="A1512" s="471" t="s">
        <v>2181</v>
      </c>
      <c r="B1512" s="1139">
        <f t="shared" ca="1" si="242"/>
        <v>0</v>
      </c>
      <c r="C1512" s="473">
        <f ca="1">IF(ISERROR(VLOOKUP($A$1512,INDIRECT("notes_"&amp;LEFT($A$1512,3)),4,0)),0,VLOOKUP($A$1512,INDIRECT("notes_"&amp;LEFT($A$1512,3)),4,0))</f>
        <v>0</v>
      </c>
      <c r="H1512" s="471">
        <f t="shared" si="241"/>
        <v>2</v>
      </c>
      <c r="I1512" s="471">
        <v>0</v>
      </c>
      <c r="J1512" s="471" t="str">
        <f t="shared" si="243"/>
        <v>envrglenvfd</v>
      </c>
      <c r="K1512" s="471" t="str">
        <f t="shared" si="244"/>
        <v>empl</v>
      </c>
      <c r="L1512" s="599"/>
      <c r="M1512" s="471" t="s">
        <v>5802</v>
      </c>
      <c r="N1512" s="471" t="s">
        <v>1114</v>
      </c>
      <c r="O1512" s="471" t="s">
        <v>1113</v>
      </c>
    </row>
    <row r="1513" spans="1:15" x14ac:dyDescent="0.25">
      <c r="A1513" s="471" t="s">
        <v>2182</v>
      </c>
      <c r="B1513" s="1139">
        <f t="shared" ca="1" si="242"/>
        <v>0</v>
      </c>
      <c r="C1513" s="473">
        <f ca="1">IF(ISERROR(VLOOKUP($A$1513,INDIRECT("notes_"&amp;LEFT($A$1513,3)),4,0)),0,VLOOKUP($A$1513,INDIRECT("notes_"&amp;LEFT($A$1513,3)),4,0))</f>
        <v>0</v>
      </c>
      <c r="H1513" s="471">
        <f t="shared" si="241"/>
        <v>2</v>
      </c>
      <c r="I1513" s="471">
        <v>0</v>
      </c>
      <c r="J1513" s="471" t="str">
        <f t="shared" si="243"/>
        <v>envrglenvenv</v>
      </c>
      <c r="K1513" s="471" t="str">
        <f t="shared" si="244"/>
        <v>empl</v>
      </c>
      <c r="L1513" s="599"/>
      <c r="M1513" s="471" t="s">
        <v>5802</v>
      </c>
      <c r="N1513" s="471" t="s">
        <v>1114</v>
      </c>
      <c r="O1513" s="471" t="s">
        <v>1113</v>
      </c>
    </row>
    <row r="1514" spans="1:15" x14ac:dyDescent="0.25">
      <c r="A1514" s="471" t="s">
        <v>2183</v>
      </c>
      <c r="B1514" s="1139">
        <f t="shared" ca="1" si="242"/>
        <v>0</v>
      </c>
      <c r="C1514" s="473">
        <f ca="1">IF(ISERROR(VLOOKUP($A$1514,INDIRECT("notes_"&amp;LEFT($A$1514,3)),4,0)),0,VLOOKUP($A$1514,INDIRECT("notes_"&amp;LEFT($A$1514,3)),4,0))</f>
        <v>0</v>
      </c>
      <c r="H1514" s="471">
        <f t="shared" si="241"/>
        <v>2</v>
      </c>
      <c r="I1514" s="471">
        <v>0</v>
      </c>
      <c r="J1514" s="471" t="str">
        <f t="shared" si="243"/>
        <v>envrglenvhsn</v>
      </c>
      <c r="K1514" s="471" t="str">
        <f t="shared" si="244"/>
        <v>empl</v>
      </c>
      <c r="L1514" s="599"/>
      <c r="M1514" s="471" t="s">
        <v>5802</v>
      </c>
      <c r="N1514" s="471" t="s">
        <v>1114</v>
      </c>
      <c r="O1514" s="471" t="s">
        <v>1113</v>
      </c>
    </row>
    <row r="1515" spans="1:15" x14ac:dyDescent="0.25">
      <c r="A1515" s="471" t="s">
        <v>2184</v>
      </c>
      <c r="B1515" s="1139">
        <f t="shared" ca="1" si="242"/>
        <v>0</v>
      </c>
      <c r="C1515" s="473">
        <f ca="1">IF(ISERROR(VLOOKUP($A$1515,INDIRECT("notes_"&amp;LEFT($A$1515,3)),4,0)),0,VLOOKUP($A$1515,INDIRECT("notes_"&amp;LEFT($A$1515,3)),4,0))</f>
        <v>0</v>
      </c>
      <c r="H1515" s="471">
        <f t="shared" si="241"/>
        <v>2</v>
      </c>
      <c r="I1515" s="471">
        <v>0</v>
      </c>
      <c r="J1515" s="471" t="str">
        <f t="shared" si="243"/>
        <v>envrglenvhs</v>
      </c>
      <c r="K1515" s="471" t="str">
        <f t="shared" si="244"/>
        <v>empl</v>
      </c>
      <c r="L1515" s="599"/>
      <c r="M1515" s="471" t="s">
        <v>5802</v>
      </c>
      <c r="N1515" s="471" t="s">
        <v>1114</v>
      </c>
      <c r="O1515" s="471" t="s">
        <v>1113</v>
      </c>
    </row>
    <row r="1516" spans="1:15" x14ac:dyDescent="0.25">
      <c r="A1516" s="471" t="s">
        <v>2185</v>
      </c>
      <c r="B1516" s="1139">
        <f t="shared" ca="1" si="242"/>
        <v>0</v>
      </c>
      <c r="C1516" s="473">
        <f ca="1">IF(ISERROR(VLOOKUP($A$1516,INDIRECT("notes_"&amp;LEFT($A$1516,3)),4,0)),0,VLOOKUP($A$1516,INDIRECT("notes_"&amp;LEFT($A$1516,3)),4,0))</f>
        <v>0</v>
      </c>
      <c r="H1516" s="471">
        <f t="shared" si="241"/>
        <v>2</v>
      </c>
      <c r="I1516" s="471">
        <v>0</v>
      </c>
      <c r="J1516" s="471" t="str">
        <f t="shared" si="243"/>
        <v>envrglenvprtxlvs</v>
      </c>
      <c r="K1516" s="471" t="str">
        <f t="shared" si="244"/>
        <v>empl</v>
      </c>
      <c r="L1516" s="599"/>
      <c r="M1516" s="471" t="s">
        <v>5802</v>
      </c>
      <c r="N1516" s="471" t="s">
        <v>1114</v>
      </c>
      <c r="O1516" s="471" t="s">
        <v>1113</v>
      </c>
    </row>
    <row r="1517" spans="1:15" x14ac:dyDescent="0.25">
      <c r="A1517" s="471" t="s">
        <v>2186</v>
      </c>
      <c r="B1517" s="1139">
        <f ca="1">INDEX(INDIRECT(LEFT($A1517,SEARCH("-",$A1517,1)-1)&amp;"_data"),MATCH(MID($A1517,SEARCH("-",$A1517)+1,SEARCH("#",SUBSTITUTE($A1517,"-","#",H1517),1)-(SEARCH("-",$A1517)+1)),INDIRECT(LEFT($A1517,SEARCH("-",$A1517,1)-1)&amp;"_rows"),0),MATCH(RIGHT($A1517,LEN($A1517)-SEARCH("#",SUBSTITUTE($A1517,"-","#",H1517),1)),INDIRECT(LEFT($A1517,SEARCH("-",$A1517,1)-1)&amp;"_Header"),0))</f>
        <v>0</v>
      </c>
      <c r="C1517" s="473">
        <f ca="1">IF(ISERROR(VLOOKUP($A$1517,INDIRECT("notes_"&amp;LEFT($A$1517,3)),4,0)),0,VLOOKUP($A$1517,INDIRECT("notes_"&amp;LEFT($A$1517,3)),4,0))</f>
        <v>0</v>
      </c>
      <c r="H1517" s="471">
        <f t="shared" si="241"/>
        <v>2</v>
      </c>
      <c r="I1517" s="471">
        <v>0</v>
      </c>
      <c r="J1517" s="471" t="str">
        <f t="shared" si="243"/>
        <v>envrglenvprtlvs</v>
      </c>
      <c r="K1517" s="471" t="str">
        <f t="shared" si="244"/>
        <v>empl</v>
      </c>
      <c r="L1517" s="599"/>
      <c r="M1517" s="471" t="s">
        <v>5802</v>
      </c>
      <c r="N1517" s="471" t="s">
        <v>1114</v>
      </c>
      <c r="O1517" s="471" t="s">
        <v>1113</v>
      </c>
    </row>
    <row r="1518" spans="1:15" x14ac:dyDescent="0.25">
      <c r="A1518" s="471" t="s">
        <v>2187</v>
      </c>
      <c r="B1518" s="1139">
        <f t="shared" ca="1" si="242"/>
        <v>0</v>
      </c>
      <c r="C1518" s="473">
        <f ca="1">IF(ISERROR(VLOOKUP($A$1518,INDIRECT("notes_"&amp;LEFT($A$1518,3)),4,0)),0,VLOOKUP($A$1518,INDIRECT("notes_"&amp;LEFT($A$1518,3)),4,0))</f>
        <v>0</v>
      </c>
      <c r="H1518" s="471">
        <f t="shared" si="241"/>
        <v>2</v>
      </c>
      <c r="I1518" s="471">
        <v>0</v>
      </c>
      <c r="J1518" s="471" t="str">
        <f t="shared" si="243"/>
        <v>envrglenvpst</v>
      </c>
      <c r="K1518" s="471" t="str">
        <f t="shared" si="244"/>
        <v>empl</v>
      </c>
      <c r="L1518" s="599"/>
      <c r="M1518" s="471" t="s">
        <v>5802</v>
      </c>
      <c r="N1518" s="471" t="s">
        <v>1114</v>
      </c>
      <c r="O1518" s="471" t="s">
        <v>1113</v>
      </c>
    </row>
    <row r="1519" spans="1:15" x14ac:dyDescent="0.25">
      <c r="A1519" s="471" t="s">
        <v>2188</v>
      </c>
      <c r="B1519" s="1139">
        <f t="shared" ca="1" si="242"/>
        <v>0</v>
      </c>
      <c r="C1519" s="473">
        <f ca="1">IF(ISERROR(VLOOKUP($A$1519,INDIRECT("notes_"&amp;LEFT($A$1519,3)),4,0)),0,VLOOKUP($A$1519,INDIRECT("notes_"&amp;LEFT($A$1519,3)),4,0))</f>
        <v>0</v>
      </c>
      <c r="H1519" s="471">
        <f t="shared" si="241"/>
        <v>2</v>
      </c>
      <c r="I1519" s="471">
        <v>0</v>
      </c>
      <c r="J1519" s="471" t="str">
        <f t="shared" si="243"/>
        <v>envrglenvtlt</v>
      </c>
      <c r="K1519" s="471" t="str">
        <f t="shared" si="244"/>
        <v>empl</v>
      </c>
      <c r="L1519" s="599"/>
      <c r="M1519" s="471" t="s">
        <v>5802</v>
      </c>
      <c r="N1519" s="471" t="s">
        <v>1114</v>
      </c>
      <c r="O1519" s="471" t="s">
        <v>1113</v>
      </c>
    </row>
    <row r="1520" spans="1:15" x14ac:dyDescent="0.25">
      <c r="A1520" s="471" t="s">
        <v>2189</v>
      </c>
      <c r="B1520" s="1139">
        <f t="shared" ca="1" si="242"/>
        <v>0</v>
      </c>
      <c r="C1520" s="473">
        <f ca="1">IF(ISERROR(VLOOKUP($A$1520,INDIRECT("notes_"&amp;LEFT($A$1520,3)),4,0)),0,VLOOKUP($A$1520,INDIRECT("notes_"&amp;LEFT($A$1520,3)),4,0))</f>
        <v>0</v>
      </c>
      <c r="H1520" s="471">
        <f t="shared" si="241"/>
        <v>2</v>
      </c>
      <c r="I1520" s="471">
        <v>0</v>
      </c>
      <c r="J1520" s="471" t="str">
        <f t="shared" si="243"/>
        <v>envrglenvanm</v>
      </c>
      <c r="K1520" s="471" t="str">
        <f t="shared" si="244"/>
        <v>empl</v>
      </c>
      <c r="L1520" s="599"/>
      <c r="M1520" s="471" t="s">
        <v>5802</v>
      </c>
      <c r="N1520" s="471" t="s">
        <v>1114</v>
      </c>
      <c r="O1520" s="471" t="s">
        <v>1113</v>
      </c>
    </row>
    <row r="1521" spans="1:15" x14ac:dyDescent="0.25">
      <c r="A1521" s="471" t="s">
        <v>2190</v>
      </c>
      <c r="B1521" s="1139">
        <f t="shared" ca="1" si="242"/>
        <v>0</v>
      </c>
      <c r="C1521" s="473">
        <f ca="1">IF(ISERROR(VLOOKUP($A$1521,INDIRECT("notes_"&amp;LEFT($A$1521,3)),4,0)),0,VLOOKUP($A$1521,INDIRECT("notes_"&amp;LEFT($A$1521,3)),4,0))</f>
        <v>0</v>
      </c>
      <c r="H1521" s="471">
        <f t="shared" si="241"/>
        <v>2</v>
      </c>
      <c r="I1521" s="471">
        <v>0</v>
      </c>
      <c r="J1521" s="471" t="str">
        <f t="shared" si="243"/>
        <v>envrglenvlcn</v>
      </c>
      <c r="K1521" s="471" t="str">
        <f t="shared" si="244"/>
        <v>empl</v>
      </c>
      <c r="L1521" s="599"/>
      <c r="M1521" s="471" t="s">
        <v>5802</v>
      </c>
      <c r="N1521" s="471" t="s">
        <v>1114</v>
      </c>
      <c r="O1521" s="471" t="s">
        <v>1113</v>
      </c>
    </row>
    <row r="1522" spans="1:15" x14ac:dyDescent="0.25">
      <c r="A1522" s="471" t="s">
        <v>2191</v>
      </c>
      <c r="B1522" s="1139">
        <f t="shared" ca="1" si="242"/>
        <v>0</v>
      </c>
      <c r="C1522" s="473">
        <f ca="1">IF(ISERROR(VLOOKUP($A$1522,INDIRECT("notes_"&amp;LEFT($A$1522,3)),4,0)),0,VLOOKUP($A$1522,INDIRECT("notes_"&amp;LEFT($A$1522,3)),4,0))</f>
        <v>0</v>
      </c>
      <c r="H1522" s="471">
        <f t="shared" si="241"/>
        <v>2</v>
      </c>
      <c r="I1522" s="471">
        <v>0</v>
      </c>
      <c r="J1522" s="471" t="str">
        <f t="shared" si="243"/>
        <v>envcmmcrm</v>
      </c>
      <c r="K1522" s="471" t="str">
        <f t="shared" si="244"/>
        <v>empl</v>
      </c>
      <c r="L1522" s="599"/>
      <c r="M1522" s="471" t="s">
        <v>5802</v>
      </c>
      <c r="N1522" s="471" t="s">
        <v>1114</v>
      </c>
      <c r="O1522" s="471" t="s">
        <v>1113</v>
      </c>
    </row>
    <row r="1523" spans="1:15" x14ac:dyDescent="0.25">
      <c r="A1523" s="471" t="s">
        <v>2192</v>
      </c>
      <c r="B1523" s="1139">
        <f t="shared" ca="1" si="242"/>
        <v>0</v>
      </c>
      <c r="C1523" s="473">
        <f ca="1">IF(ISERROR(VLOOKUP($A$1523,INDIRECT("notes_"&amp;LEFT($A$1523,3)),4,0)),0,VLOOKUP($A$1523,INDIRECT("notes_"&amp;LEFT($A$1523,3)),4,0))</f>
        <v>0</v>
      </c>
      <c r="H1523" s="471">
        <f t="shared" si="241"/>
        <v>2</v>
      </c>
      <c r="I1523" s="471">
        <v>0</v>
      </c>
      <c r="J1523" s="471" t="str">
        <f t="shared" si="243"/>
        <v>envcmmsft</v>
      </c>
      <c r="K1523" s="471" t="str">
        <f t="shared" si="244"/>
        <v>empl</v>
      </c>
      <c r="L1523" s="599"/>
      <c r="M1523" s="471" t="s">
        <v>5802</v>
      </c>
      <c r="N1523" s="471" t="s">
        <v>1114</v>
      </c>
      <c r="O1523" s="471" t="s">
        <v>1113</v>
      </c>
    </row>
    <row r="1524" spans="1:15" x14ac:dyDescent="0.25">
      <c r="A1524" s="471" t="s">
        <v>2193</v>
      </c>
      <c r="B1524" s="1139">
        <f t="shared" ca="1" si="242"/>
        <v>0</v>
      </c>
      <c r="C1524" s="473">
        <f ca="1">IF(ISERROR(VLOOKUP($A$1524,INDIRECT("notes_"&amp;LEFT($A$1524,3)),4,0)),0,VLOOKUP($A$1524,INDIRECT("notes_"&amp;LEFT($A$1524,3)),4,0))</f>
        <v>0</v>
      </c>
      <c r="H1524" s="471">
        <f t="shared" si="241"/>
        <v>2</v>
      </c>
      <c r="I1524" s="471">
        <v>0</v>
      </c>
      <c r="J1524" s="471" t="str">
        <f t="shared" si="243"/>
        <v>envcmmcct</v>
      </c>
      <c r="K1524" s="471" t="str">
        <f t="shared" si="244"/>
        <v>empl</v>
      </c>
      <c r="L1524" s="599"/>
      <c r="M1524" s="471" t="s">
        <v>5802</v>
      </c>
      <c r="N1524" s="471" t="s">
        <v>1114</v>
      </c>
      <c r="O1524" s="471" t="s">
        <v>1113</v>
      </c>
    </row>
    <row r="1525" spans="1:15" x14ac:dyDescent="0.25">
      <c r="A1525" s="471" t="s">
        <v>2194</v>
      </c>
      <c r="B1525" s="1139">
        <f t="shared" ca="1" si="242"/>
        <v>0</v>
      </c>
      <c r="C1525" s="473">
        <f ca="1">IF(ISERROR(VLOOKUP($A$1525,INDIRECT("notes_"&amp;LEFT($A$1525,3)),4,0)),0,VLOOKUP($A$1525,INDIRECT("notes_"&amp;LEFT($A$1525,3)),4,0))</f>
        <v>0</v>
      </c>
      <c r="H1525" s="471">
        <f t="shared" si="241"/>
        <v>2</v>
      </c>
      <c r="I1525" s="471">
        <v>0</v>
      </c>
      <c r="J1525" s="471" t="str">
        <f t="shared" si="243"/>
        <v>envfldfld</v>
      </c>
      <c r="K1525" s="471" t="str">
        <f t="shared" si="244"/>
        <v>empl</v>
      </c>
      <c r="L1525" s="599"/>
      <c r="M1525" s="471" t="s">
        <v>5802</v>
      </c>
      <c r="N1525" s="471" t="s">
        <v>1114</v>
      </c>
      <c r="O1525" s="471" t="s">
        <v>1113</v>
      </c>
    </row>
    <row r="1526" spans="1:15" x14ac:dyDescent="0.25">
      <c r="A1526" s="471" t="s">
        <v>2195</v>
      </c>
      <c r="B1526" s="1139">
        <f t="shared" ca="1" si="242"/>
        <v>0</v>
      </c>
      <c r="C1526" s="473">
        <f ca="1">IF(ISERROR(VLOOKUP($A$1526,INDIRECT("notes_"&amp;LEFT($A$1526,3)),4,0)),0,VLOOKUP($A$1526,INDIRECT("notes_"&amp;LEFT($A$1526,3)),4,0))</f>
        <v>0</v>
      </c>
      <c r="H1526" s="471">
        <f t="shared" si="241"/>
        <v>2</v>
      </c>
      <c r="I1526" s="471">
        <v>0</v>
      </c>
      <c r="J1526" s="471" t="str">
        <f t="shared" si="243"/>
        <v>envflddrn</v>
      </c>
      <c r="K1526" s="471" t="str">
        <f t="shared" si="244"/>
        <v>empl</v>
      </c>
      <c r="L1526" s="599"/>
      <c r="M1526" s="471" t="s">
        <v>5802</v>
      </c>
      <c r="N1526" s="471" t="s">
        <v>1114</v>
      </c>
      <c r="O1526" s="471" t="s">
        <v>1113</v>
      </c>
    </row>
    <row r="1527" spans="1:15" x14ac:dyDescent="0.25">
      <c r="A1527" s="471" t="s">
        <v>2196</v>
      </c>
      <c r="B1527" s="1139">
        <f t="shared" ca="1" si="242"/>
        <v>0</v>
      </c>
      <c r="C1527" s="473">
        <f ca="1">IF(ISERROR(VLOOKUP($A$1527,INDIRECT("notes_"&amp;LEFT($A$1527,3)),4,0)),0,VLOOKUP($A$1527,INDIRECT("notes_"&amp;LEFT($A$1527,3)),4,0))</f>
        <v>0</v>
      </c>
      <c r="H1527" s="471">
        <f t="shared" si="241"/>
        <v>2</v>
      </c>
      <c r="I1527" s="471">
        <v>0</v>
      </c>
      <c r="J1527" s="471" t="str">
        <f t="shared" si="243"/>
        <v>envflddrnlev</v>
      </c>
      <c r="K1527" s="471" t="str">
        <f t="shared" si="244"/>
        <v>empl</v>
      </c>
      <c r="L1527" s="599"/>
      <c r="M1527" s="471" t="s">
        <v>5802</v>
      </c>
      <c r="N1527" s="471" t="s">
        <v>1114</v>
      </c>
      <c r="O1527" s="471" t="s">
        <v>1113</v>
      </c>
    </row>
    <row r="1528" spans="1:15" x14ac:dyDescent="0.25">
      <c r="A1528" s="471" t="s">
        <v>2197</v>
      </c>
      <c r="B1528" s="1139">
        <f t="shared" ca="1" si="242"/>
        <v>0</v>
      </c>
      <c r="C1528" s="473">
        <f ca="1">IF(ISERROR(VLOOKUP($A$1528,INDIRECT("notes_"&amp;LEFT($A$1528,3)),4,0)),0,VLOOKUP($A$1528,INDIRECT("notes_"&amp;LEFT($A$1528,3)),4,0))</f>
        <v>0</v>
      </c>
      <c r="H1528" s="471">
        <f t="shared" si="241"/>
        <v>2</v>
      </c>
      <c r="I1528" s="471">
        <v>0</v>
      </c>
      <c r="J1528" s="471" t="str">
        <f t="shared" si="243"/>
        <v>envcst</v>
      </c>
      <c r="K1528" s="471" t="str">
        <f t="shared" si="244"/>
        <v>empl</v>
      </c>
      <c r="L1528" s="599"/>
      <c r="M1528" s="471" t="s">
        <v>5802</v>
      </c>
      <c r="N1528" s="471" t="s">
        <v>1114</v>
      </c>
      <c r="O1528" s="471" t="s">
        <v>1113</v>
      </c>
    </row>
    <row r="1529" spans="1:15" x14ac:dyDescent="0.25">
      <c r="A1529" s="471" t="s">
        <v>2198</v>
      </c>
      <c r="B1529" s="1139">
        <f t="shared" ca="1" si="242"/>
        <v>0</v>
      </c>
      <c r="C1529" s="473">
        <f ca="1">IF(ISERROR(VLOOKUP($A$1529,INDIRECT("notes_"&amp;LEFT($A$1529,3)),4,0)),0,VLOOKUP($A$1529,INDIRECT("notes_"&amp;LEFT($A$1529,3)),4,0))</f>
        <v>0</v>
      </c>
      <c r="H1529" s="471">
        <f t="shared" si="241"/>
        <v>2</v>
      </c>
      <c r="I1529" s="471">
        <v>0</v>
      </c>
      <c r="J1529" s="471" t="str">
        <f t="shared" si="243"/>
        <v>envagr</v>
      </c>
      <c r="K1529" s="471" t="str">
        <f t="shared" si="244"/>
        <v>empl</v>
      </c>
      <c r="L1529" s="599"/>
      <c r="M1529" s="471" t="s">
        <v>5802</v>
      </c>
      <c r="N1529" s="471" t="s">
        <v>1114</v>
      </c>
      <c r="O1529" s="471" t="s">
        <v>1113</v>
      </c>
    </row>
    <row r="1530" spans="1:15" x14ac:dyDescent="0.25">
      <c r="A1530" s="471" t="s">
        <v>2199</v>
      </c>
      <c r="B1530" s="1139">
        <f t="shared" ca="1" si="242"/>
        <v>0</v>
      </c>
      <c r="C1530" s="473">
        <f ca="1">IF(ISERROR(VLOOKUP($A$1530,INDIRECT("notes_"&amp;LEFT($A$1530,3)),4,0)),0,VLOOKUP($A$1530,INDIRECT("notes_"&amp;LEFT($A$1530,3)),4,0))</f>
        <v>0</v>
      </c>
      <c r="H1530" s="471">
        <f t="shared" si="241"/>
        <v>2</v>
      </c>
      <c r="I1530" s="471">
        <v>0</v>
      </c>
      <c r="J1530" s="471" t="str">
        <f t="shared" si="243"/>
        <v>envstr</v>
      </c>
      <c r="K1530" s="471" t="str">
        <f t="shared" si="244"/>
        <v>empl</v>
      </c>
      <c r="L1530" s="599"/>
      <c r="M1530" s="471" t="s">
        <v>5802</v>
      </c>
      <c r="N1530" s="471" t="s">
        <v>1114</v>
      </c>
      <c r="O1530" s="471" t="s">
        <v>1113</v>
      </c>
    </row>
    <row r="1531" spans="1:15" x14ac:dyDescent="0.25">
      <c r="A1531" s="471" t="s">
        <v>2200</v>
      </c>
      <c r="B1531" s="1139">
        <f t="shared" ca="1" si="242"/>
        <v>0</v>
      </c>
      <c r="C1531" s="473">
        <f ca="1">IF(ISERROR(VLOOKUP($A$1531,INDIRECT("notes_"&amp;LEFT($A$1531,3)),4,0)),0,VLOOKUP($A$1531,INDIRECT("notes_"&amp;LEFT($A$1531,3)),4,0))</f>
        <v>0</v>
      </c>
      <c r="H1531" s="471">
        <f t="shared" si="241"/>
        <v>2</v>
      </c>
      <c r="I1531" s="471">
        <v>0</v>
      </c>
      <c r="J1531" s="471" t="str">
        <f t="shared" si="243"/>
        <v>envcll</v>
      </c>
      <c r="K1531" s="471" t="str">
        <f t="shared" si="244"/>
        <v>empl</v>
      </c>
      <c r="L1531" s="599"/>
      <c r="M1531" s="471" t="s">
        <v>5802</v>
      </c>
      <c r="N1531" s="471" t="s">
        <v>1114</v>
      </c>
      <c r="O1531" s="471" t="s">
        <v>1113</v>
      </c>
    </row>
    <row r="1532" spans="1:15" x14ac:dyDescent="0.25">
      <c r="A1532" s="471" t="s">
        <v>2201</v>
      </c>
      <c r="B1532" s="1139">
        <f t="shared" ca="1" si="242"/>
        <v>0</v>
      </c>
      <c r="C1532" s="473">
        <f ca="1">IF(ISERROR(VLOOKUP($A$1532,INDIRECT("notes_"&amp;LEFT($A$1532,3)),4,0)),0,VLOOKUP($A$1532,INDIRECT("notes_"&amp;LEFT($A$1532,3)),4,0))</f>
        <v>0</v>
      </c>
      <c r="H1532" s="471">
        <f t="shared" si="241"/>
        <v>2</v>
      </c>
      <c r="I1532" s="471">
        <v>0</v>
      </c>
      <c r="J1532" s="471" t="str">
        <f t="shared" si="243"/>
        <v>envdsp</v>
      </c>
      <c r="K1532" s="471" t="str">
        <f t="shared" si="244"/>
        <v>empl</v>
      </c>
      <c r="L1532" s="599"/>
      <c r="M1532" s="471" t="s">
        <v>5802</v>
      </c>
      <c r="N1532" s="471" t="s">
        <v>1114</v>
      </c>
      <c r="O1532" s="471" t="s">
        <v>1113</v>
      </c>
    </row>
    <row r="1533" spans="1:15" x14ac:dyDescent="0.25">
      <c r="A1533" s="471" t="s">
        <v>2202</v>
      </c>
      <c r="B1533" s="1139">
        <f t="shared" ca="1" si="242"/>
        <v>0</v>
      </c>
      <c r="C1533" s="473">
        <f ca="1">IF(ISERROR(VLOOKUP($A$1533,INDIRECT("notes_"&amp;LEFT($A$1533,3)),4,0)),0,VLOOKUP($A$1533,INDIRECT("notes_"&amp;LEFT($A$1533,3)),4,0))</f>
        <v>0</v>
      </c>
      <c r="H1533" s="471">
        <f t="shared" si="241"/>
        <v>2</v>
      </c>
      <c r="I1533" s="471">
        <v>0</v>
      </c>
      <c r="J1533" s="471" t="str">
        <f t="shared" si="243"/>
        <v>envtrd</v>
      </c>
      <c r="K1533" s="471" t="str">
        <f t="shared" si="244"/>
        <v>empl</v>
      </c>
      <c r="L1533" s="599"/>
      <c r="M1533" s="471" t="s">
        <v>5802</v>
      </c>
      <c r="N1533" s="471" t="s">
        <v>1114</v>
      </c>
      <c r="O1533" s="471" t="s">
        <v>1113</v>
      </c>
    </row>
    <row r="1534" spans="1:15" x14ac:dyDescent="0.25">
      <c r="A1534" s="471" t="s">
        <v>2203</v>
      </c>
      <c r="B1534" s="1139">
        <f t="shared" ca="1" si="242"/>
        <v>0</v>
      </c>
      <c r="C1534" s="473">
        <f ca="1">IF(ISERROR(VLOOKUP($A$1534,INDIRECT("notes_"&amp;LEFT($A$1534,3)),4,0)),0,VLOOKUP($A$1534,INDIRECT("notes_"&amp;LEFT($A$1534,3)),4,0))</f>
        <v>0</v>
      </c>
      <c r="H1534" s="471">
        <f t="shared" si="241"/>
        <v>2</v>
      </c>
      <c r="I1534" s="471">
        <v>0</v>
      </c>
      <c r="J1534" s="471" t="str">
        <f t="shared" si="243"/>
        <v>envrcy</v>
      </c>
      <c r="K1534" s="471" t="str">
        <f t="shared" si="244"/>
        <v>empl</v>
      </c>
      <c r="L1534" s="599"/>
      <c r="M1534" s="471" t="s">
        <v>5802</v>
      </c>
      <c r="N1534" s="471" t="s">
        <v>1114</v>
      </c>
      <c r="O1534" s="471" t="s">
        <v>1113</v>
      </c>
    </row>
    <row r="1535" spans="1:15" x14ac:dyDescent="0.25">
      <c r="A1535" s="471" t="s">
        <v>2204</v>
      </c>
      <c r="B1535" s="1139">
        <f t="shared" ca="1" si="242"/>
        <v>0</v>
      </c>
      <c r="C1535" s="473">
        <f ca="1">IF(ISERROR(VLOOKUP($A$1535,INDIRECT("notes_"&amp;LEFT($A$1535,3)),4,0)),0,VLOOKUP($A$1535,INDIRECT("notes_"&amp;LEFT($A$1535,3)),4,0))</f>
        <v>0</v>
      </c>
      <c r="H1535" s="471">
        <f t="shared" si="241"/>
        <v>2</v>
      </c>
      <c r="I1535" s="471">
        <v>0</v>
      </c>
      <c r="J1535" s="471" t="str">
        <f t="shared" si="243"/>
        <v>envmin</v>
      </c>
      <c r="K1535" s="471" t="str">
        <f t="shared" si="244"/>
        <v>empl</v>
      </c>
      <c r="L1535" s="599"/>
      <c r="M1535" s="471" t="s">
        <v>5802</v>
      </c>
      <c r="N1535" s="471" t="s">
        <v>1114</v>
      </c>
      <c r="O1535" s="471" t="s">
        <v>1113</v>
      </c>
    </row>
    <row r="1536" spans="1:15" x14ac:dyDescent="0.25">
      <c r="A1536" s="471" t="s">
        <v>2205</v>
      </c>
      <c r="B1536" s="1139">
        <f t="shared" ca="1" si="242"/>
        <v>0</v>
      </c>
      <c r="C1536" s="473">
        <f ca="1">IF(ISERROR(VLOOKUP($A$1536,INDIRECT("notes_"&amp;LEFT($A$1536,3)),4,0)),0,VLOOKUP($A$1536,INDIRECT("notes_"&amp;LEFT($A$1536,3)),4,0))</f>
        <v>0</v>
      </c>
      <c r="H1536" s="471">
        <f t="shared" si="241"/>
        <v>2</v>
      </c>
      <c r="I1536" s="471">
        <v>0</v>
      </c>
      <c r="J1536" s="471" t="str">
        <f t="shared" si="243"/>
        <v>envclm</v>
      </c>
      <c r="K1536" s="471" t="str">
        <f t="shared" si="244"/>
        <v>empl</v>
      </c>
      <c r="L1536" s="599"/>
      <c r="M1536" s="471" t="s">
        <v>5802</v>
      </c>
      <c r="N1536" s="471" t="s">
        <v>1114</v>
      </c>
      <c r="O1536" s="471" t="s">
        <v>1113</v>
      </c>
    </row>
    <row r="1537" spans="1:15" x14ac:dyDescent="0.25">
      <c r="A1537" s="471" t="s">
        <v>2206</v>
      </c>
      <c r="B1537" s="1139">
        <f ca="1">INDEX(INDIRECT(LEFT($A1537,SEARCH("-",$A1537,1)-1)&amp;"_data"),MATCH(MID($A1537,SEARCH("-",$A1537)+1,SEARCH("#",SUBSTITUTE($A1537,"-","#",H1537),1)-(SEARCH("-",$A1537)+1)),INDIRECT(LEFT($A1537,SEARCH("-",$A1537,1)-1)&amp;"_rows"),0),MATCH(RIGHT($A1537,LEN($A1537)-SEARCH("#",SUBSTITUTE($A1537,"-","#",H1537),1)),INDIRECT(LEFT($A1537,SEARCH("-",$A1537,1)-1)&amp;"_Header"),0))</f>
        <v>0</v>
      </c>
      <c r="C1537" s="473">
        <f ca="1">IF(ISERROR(VLOOKUP($A$1537,INDIRECT("notes_"&amp;LEFT($A$1537,3)),4,0)),0,VLOOKUP($A$1537,INDIRECT("notes_"&amp;LEFT($A$1537,3)),4,0))</f>
        <v>0</v>
      </c>
      <c r="H1537" s="471">
        <f t="shared" si="241"/>
        <v>2</v>
      </c>
      <c r="I1537" s="471">
        <v>0</v>
      </c>
      <c r="J1537" s="471" t="str">
        <f t="shared" si="243"/>
        <v>envtot</v>
      </c>
      <c r="K1537" s="471" t="str">
        <f t="shared" si="244"/>
        <v>empl</v>
      </c>
      <c r="L1537" s="599"/>
      <c r="M1537" s="471" t="s">
        <v>5802</v>
      </c>
      <c r="N1537" s="471" t="s">
        <v>1114</v>
      </c>
      <c r="O1537" s="471" t="s">
        <v>1113</v>
      </c>
    </row>
    <row r="1538" spans="1:15" x14ac:dyDescent="0.25">
      <c r="A1538" s="471" t="s">
        <v>2208</v>
      </c>
      <c r="B1538" s="1139">
        <f t="shared" ca="1" si="242"/>
        <v>0</v>
      </c>
      <c r="C1538" s="473">
        <f ca="1">IF(ISERROR(VLOOKUP($A$1538,INDIRECT("notes_"&amp;LEFT($A$1538,3)),4,0)),0,VLOOKUP($A$1538,INDIRECT("notes_"&amp;LEFT($A$1538,3)),4,0))</f>
        <v>0</v>
      </c>
      <c r="H1538" s="471">
        <f t="shared" si="241"/>
        <v>2</v>
      </c>
      <c r="I1538" s="471">
        <v>0</v>
      </c>
      <c r="J1538" s="471" t="str">
        <f t="shared" si="243"/>
        <v>planbld</v>
      </c>
      <c r="K1538" s="471" t="str">
        <f t="shared" si="244"/>
        <v>empl</v>
      </c>
      <c r="L1538" s="599"/>
      <c r="M1538" s="471" t="s">
        <v>5802</v>
      </c>
      <c r="N1538" s="471" t="s">
        <v>1114</v>
      </c>
      <c r="O1538" s="471" t="s">
        <v>1113</v>
      </c>
    </row>
    <row r="1539" spans="1:15" x14ac:dyDescent="0.25">
      <c r="A1539" s="471" t="s">
        <v>2209</v>
      </c>
      <c r="B1539" s="1139">
        <f t="shared" ca="1" si="242"/>
        <v>0</v>
      </c>
      <c r="C1539" s="473">
        <f ca="1">IF(ISERROR(VLOOKUP($A$1539,INDIRECT("notes_"&amp;LEFT($A$1539,3)),4,0)),0,VLOOKUP($A$1539,INDIRECT("notes_"&amp;LEFT($A$1539,3)),4,0))</f>
        <v>0</v>
      </c>
      <c r="H1539" s="471">
        <f t="shared" si="241"/>
        <v>2</v>
      </c>
      <c r="I1539" s="471">
        <v>0</v>
      </c>
      <c r="J1539" s="471" t="str">
        <f t="shared" si="243"/>
        <v>plandvl</v>
      </c>
      <c r="K1539" s="471" t="str">
        <f t="shared" si="244"/>
        <v>empl</v>
      </c>
      <c r="L1539" s="599"/>
      <c r="M1539" s="471" t="s">
        <v>5802</v>
      </c>
      <c r="N1539" s="471" t="s">
        <v>1114</v>
      </c>
      <c r="O1539" s="471" t="s">
        <v>1113</v>
      </c>
    </row>
    <row r="1540" spans="1:15" x14ac:dyDescent="0.25">
      <c r="A1540" s="471" t="s">
        <v>2210</v>
      </c>
      <c r="B1540" s="1139">
        <f t="shared" ca="1" si="242"/>
        <v>0</v>
      </c>
      <c r="C1540" s="473">
        <f ca="1">IF(ISERROR(VLOOKUP($A$1540,INDIRECT("notes_"&amp;LEFT($A$1540,3)),4,0)),0,VLOOKUP($A$1540,INDIRECT("notes_"&amp;LEFT($A$1540,3)),4,0))</f>
        <v>0</v>
      </c>
      <c r="H1540" s="471">
        <f t="shared" si="241"/>
        <v>5</v>
      </c>
      <c r="I1540" s="471">
        <v>0</v>
      </c>
      <c r="J1540" s="471" t="str">
        <f t="shared" si="243"/>
        <v>planplc-cns-lst-bld</v>
      </c>
      <c r="K1540" s="471" t="str">
        <f t="shared" si="244"/>
        <v>empl</v>
      </c>
      <c r="L1540" s="599"/>
      <c r="M1540" s="471" t="s">
        <v>5802</v>
      </c>
      <c r="N1540" s="471" t="s">
        <v>1114</v>
      </c>
      <c r="O1540" s="471" t="s">
        <v>1113</v>
      </c>
    </row>
    <row r="1541" spans="1:15" x14ac:dyDescent="0.25">
      <c r="A1541" s="471" t="s">
        <v>2211</v>
      </c>
      <c r="B1541" s="1139">
        <f t="shared" ca="1" si="242"/>
        <v>0</v>
      </c>
      <c r="C1541" s="473">
        <f ca="1">IF(ISERROR(VLOOKUP($A$1541,INDIRECT("notes_"&amp;LEFT($A$1541,3)),4,0)),0,VLOOKUP($A$1541,INDIRECT("notes_"&amp;LEFT($A$1541,3)),4,0))</f>
        <v>0</v>
      </c>
      <c r="H1541" s="471">
        <f t="shared" si="241"/>
        <v>3</v>
      </c>
      <c r="I1541" s="471">
        <v>0</v>
      </c>
      <c r="J1541" s="471" t="str">
        <f t="shared" ref="J1541:J1550" si="245">MID($A1541,SEARCH("-",$A1541)+1,SEARCH("#",SUBSTITUTE($A1541,"-","#",H1541),1)-(SEARCH("-",$A1541)+1))</f>
        <v>planplc-oth</v>
      </c>
      <c r="K1541" s="471" t="str">
        <f t="shared" ref="K1541:K1550" si="246">RIGHT($A1541,LEN($A1541)-SEARCH("#",SUBSTITUTE($A1541,"-","#",H1541),1))</f>
        <v>empl</v>
      </c>
      <c r="L1541" s="599"/>
      <c r="M1541" s="471" t="s">
        <v>5802</v>
      </c>
      <c r="N1541" s="471" t="s">
        <v>1114</v>
      </c>
      <c r="O1541" s="471" t="s">
        <v>1113</v>
      </c>
    </row>
    <row r="1542" spans="1:15" x14ac:dyDescent="0.25">
      <c r="A1542" s="471" t="s">
        <v>2212</v>
      </c>
      <c r="B1542" s="1139">
        <f t="shared" ca="1" si="242"/>
        <v>0</v>
      </c>
      <c r="C1542" s="473">
        <f ca="1">IF(ISERROR(VLOOKUP($A$1542,INDIRECT("notes_"&amp;LEFT($A$1542,3)),4,0)),0,VLOOKUP($A$1542,INDIRECT("notes_"&amp;LEFT($A$1542,3)),4,0))</f>
        <v>0</v>
      </c>
      <c r="H1542" s="471">
        <f t="shared" si="241"/>
        <v>2</v>
      </c>
      <c r="I1542" s="471">
        <v>0</v>
      </c>
      <c r="J1542" s="471" t="str">
        <f t="shared" si="245"/>
        <v>planenv</v>
      </c>
      <c r="K1542" s="471" t="str">
        <f t="shared" si="246"/>
        <v>empl</v>
      </c>
      <c r="L1542" s="599"/>
      <c r="M1542" s="471" t="s">
        <v>5802</v>
      </c>
      <c r="N1542" s="471" t="s">
        <v>1114</v>
      </c>
      <c r="O1542" s="471" t="s">
        <v>1113</v>
      </c>
    </row>
    <row r="1543" spans="1:15" x14ac:dyDescent="0.25">
      <c r="A1543" s="471" t="s">
        <v>2213</v>
      </c>
      <c r="B1543" s="1139">
        <f t="shared" ca="1" si="242"/>
        <v>0</v>
      </c>
      <c r="C1543" s="473">
        <f ca="1">IF(ISERROR(VLOOKUP($A$1543,INDIRECT("notes_"&amp;LEFT($A$1543,3)),4,0)),0,VLOOKUP($A$1543,INDIRECT("notes_"&amp;LEFT($A$1543,3)),4,0))</f>
        <v>0</v>
      </c>
      <c r="H1543" s="471">
        <f t="shared" si="241"/>
        <v>2</v>
      </c>
      <c r="I1543" s="471">
        <v>0</v>
      </c>
      <c r="J1543" s="471" t="str">
        <f t="shared" si="245"/>
        <v>planecndev</v>
      </c>
      <c r="K1543" s="471" t="str">
        <f t="shared" si="246"/>
        <v>empl</v>
      </c>
      <c r="L1543" s="599"/>
      <c r="M1543" s="471" t="s">
        <v>5802</v>
      </c>
      <c r="N1543" s="471" t="s">
        <v>1114</v>
      </c>
      <c r="O1543" s="471" t="s">
        <v>1113</v>
      </c>
    </row>
    <row r="1544" spans="1:15" x14ac:dyDescent="0.25">
      <c r="A1544" s="471" t="s">
        <v>2214</v>
      </c>
      <c r="B1544" s="1139">
        <f t="shared" ca="1" si="242"/>
        <v>0</v>
      </c>
      <c r="C1544" s="473">
        <f ca="1">IF(ISERROR(VLOOKUP($A$1544,INDIRECT("notes_"&amp;LEFT($A$1544,3)),4,0)),0,VLOOKUP($A$1544,INDIRECT("notes_"&amp;LEFT($A$1544,3)),4,0))</f>
        <v>0</v>
      </c>
      <c r="H1544" s="471">
        <f t="shared" si="241"/>
        <v>2</v>
      </c>
      <c r="I1544" s="471">
        <v>0</v>
      </c>
      <c r="J1544" s="471" t="str">
        <f t="shared" si="245"/>
        <v>planecnrsr</v>
      </c>
      <c r="K1544" s="471" t="str">
        <f t="shared" si="246"/>
        <v>empl</v>
      </c>
      <c r="L1544" s="599"/>
      <c r="M1544" s="471" t="s">
        <v>5802</v>
      </c>
      <c r="N1544" s="471" t="s">
        <v>1114</v>
      </c>
      <c r="O1544" s="471" t="s">
        <v>1113</v>
      </c>
    </row>
    <row r="1545" spans="1:15" x14ac:dyDescent="0.25">
      <c r="A1545" s="471" t="s">
        <v>2215</v>
      </c>
      <c r="B1545" s="1139">
        <f t="shared" ca="1" si="242"/>
        <v>0</v>
      </c>
      <c r="C1545" s="473">
        <f ca="1">IF(ISERROR(VLOOKUP($A$1545,INDIRECT("notes_"&amp;LEFT($A$1545,3)),4,0)),0,VLOOKUP($A$1545,INDIRECT("notes_"&amp;LEFT($A$1545,3)),4,0))</f>
        <v>0</v>
      </c>
      <c r="H1545" s="471">
        <f t="shared" si="241"/>
        <v>2</v>
      </c>
      <c r="I1545" s="471">
        <v>0</v>
      </c>
      <c r="J1545" s="471" t="str">
        <f t="shared" si="245"/>
        <v>planbsn</v>
      </c>
      <c r="K1545" s="471" t="str">
        <f t="shared" si="246"/>
        <v>empl</v>
      </c>
      <c r="L1545" s="599"/>
      <c r="M1545" s="471" t="s">
        <v>5802</v>
      </c>
      <c r="N1545" s="471" t="s">
        <v>1114</v>
      </c>
      <c r="O1545" s="471" t="s">
        <v>1113</v>
      </c>
    </row>
    <row r="1546" spans="1:15" x14ac:dyDescent="0.25">
      <c r="A1546" s="471" t="s">
        <v>2216</v>
      </c>
      <c r="B1546" s="1139">
        <f t="shared" ca="1" si="242"/>
        <v>0</v>
      </c>
      <c r="C1546" s="473">
        <f ca="1">IF(ISERROR(VLOOKUP($A$1546,INDIRECT("notes_"&amp;LEFT($A$1546,3)),4,0)),0,VLOOKUP($A$1546,INDIRECT("notes_"&amp;LEFT($A$1546,3)),4,0))</f>
        <v>0</v>
      </c>
      <c r="H1546" s="471">
        <f t="shared" si="241"/>
        <v>2</v>
      </c>
      <c r="I1546" s="471">
        <v>0</v>
      </c>
      <c r="J1546" s="471" t="str">
        <f t="shared" si="245"/>
        <v>plancmm</v>
      </c>
      <c r="K1546" s="471" t="str">
        <f t="shared" si="246"/>
        <v>empl</v>
      </c>
      <c r="L1546" s="599"/>
      <c r="M1546" s="471" t="s">
        <v>5802</v>
      </c>
      <c r="N1546" s="471" t="s">
        <v>1114</v>
      </c>
      <c r="O1546" s="471" t="s">
        <v>1113</v>
      </c>
    </row>
    <row r="1547" spans="1:15" x14ac:dyDescent="0.25">
      <c r="A1547" s="471" t="s">
        <v>2217</v>
      </c>
      <c r="B1547" s="1139">
        <f t="shared" ca="1" si="242"/>
        <v>0</v>
      </c>
      <c r="C1547" s="473">
        <f ca="1">IF(ISERROR(VLOOKUP($A$1547,INDIRECT("notes_"&amp;LEFT($A$1547,3)),4,0)),0,VLOOKUP($A$1547,INDIRECT("notes_"&amp;LEFT($A$1547,3)),4,0))</f>
        <v>0</v>
      </c>
      <c r="H1547" s="471">
        <f t="shared" si="241"/>
        <v>2</v>
      </c>
      <c r="I1547" s="471">
        <v>0</v>
      </c>
      <c r="J1547" s="471" t="str">
        <f t="shared" si="245"/>
        <v>plantot</v>
      </c>
      <c r="K1547" s="471" t="str">
        <f t="shared" si="246"/>
        <v>empl</v>
      </c>
      <c r="L1547" s="599"/>
      <c r="M1547" s="471" t="s">
        <v>5802</v>
      </c>
      <c r="N1547" s="471" t="s">
        <v>1114</v>
      </c>
      <c r="O1547" s="471" t="s">
        <v>1113</v>
      </c>
    </row>
    <row r="1548" spans="1:15" x14ac:dyDescent="0.25">
      <c r="A1548" s="471" t="s">
        <v>2219</v>
      </c>
      <c r="B1548" s="1139">
        <f t="shared" ca="1" si="242"/>
        <v>0</v>
      </c>
      <c r="C1548" s="473">
        <f ca="1">IF(ISERROR(VLOOKUP($A$1548,INDIRECT("notes_"&amp;LEFT($A$1548,3)),4,0)),0,VLOOKUP($A$1548,INDIRECT("notes_"&amp;LEFT($A$1548,3)),4,0))</f>
        <v>0</v>
      </c>
      <c r="H1548" s="471">
        <f t="shared" si="241"/>
        <v>2</v>
      </c>
      <c r="I1548" s="471">
        <v>0</v>
      </c>
      <c r="J1548" s="471" t="str">
        <f t="shared" si="245"/>
        <v>culenvplantot</v>
      </c>
      <c r="K1548" s="471" t="str">
        <f t="shared" si="246"/>
        <v>empl</v>
      </c>
      <c r="L1548" s="599"/>
      <c r="M1548" s="471" t="s">
        <v>5802</v>
      </c>
      <c r="N1548" s="471" t="s">
        <v>1114</v>
      </c>
      <c r="O1548" s="471" t="s">
        <v>1113</v>
      </c>
    </row>
    <row r="1549" spans="1:15" x14ac:dyDescent="0.25">
      <c r="A1549" s="471" t="s">
        <v>5803</v>
      </c>
      <c r="B1549" s="1139">
        <f t="shared" ca="1" si="242"/>
        <v>0</v>
      </c>
      <c r="C1549" s="473">
        <f ca="1">IF(ISERROR(VLOOKUP($A$1495,INDIRECT("notes_"&amp;LEFT($A$1495,3)),4,0)),0,VLOOKUP($A$1495,INDIRECT("notes_"&amp;LEFT($A$1495,3)),4,0))</f>
        <v>0</v>
      </c>
      <c r="H1549" s="471">
        <f t="shared" si="241"/>
        <v>2</v>
      </c>
      <c r="I1549" s="471">
        <v>1</v>
      </c>
      <c r="J1549" s="471" t="str">
        <f t="shared" si="245"/>
        <v>culhrtarc</v>
      </c>
      <c r="K1549" s="471" t="str">
        <f t="shared" si="246"/>
        <v>run-exp</v>
      </c>
      <c r="L1549" s="599"/>
      <c r="M1549" s="471" t="s">
        <v>5802</v>
      </c>
      <c r="N1549" s="471" t="s">
        <v>1114</v>
      </c>
      <c r="O1549" s="471" t="s">
        <v>1113</v>
      </c>
    </row>
    <row r="1550" spans="1:15" x14ac:dyDescent="0.25">
      <c r="A1550" s="471" t="s">
        <v>5804</v>
      </c>
      <c r="B1550" s="1139">
        <f t="shared" ca="1" si="242"/>
        <v>0</v>
      </c>
      <c r="C1550" s="473">
        <f ca="1">IF(ISERROR(VLOOKUP($A$1496,INDIRECT("notes_"&amp;LEFT($A$1496,3)),4,0)),0,VLOOKUP($A$1496,INDIRECT("notes_"&amp;LEFT($A$1496,3)),4,0))</f>
        <v>0</v>
      </c>
      <c r="H1550" s="471">
        <f t="shared" si="241"/>
        <v>5</v>
      </c>
      <c r="I1550" s="471">
        <v>1</v>
      </c>
      <c r="J1550" s="471" t="str">
        <f t="shared" si="245"/>
        <v>culhrt-art-dvl-spp</v>
      </c>
      <c r="K1550" s="471" t="str">
        <f t="shared" si="246"/>
        <v>run-exp</v>
      </c>
      <c r="L1550" s="599"/>
      <c r="M1550" s="471" t="s">
        <v>5802</v>
      </c>
      <c r="N1550" s="471" t="s">
        <v>1114</v>
      </c>
      <c r="O1550" s="471" t="s">
        <v>1113</v>
      </c>
    </row>
    <row r="1551" spans="1:15" x14ac:dyDescent="0.25">
      <c r="A1551" s="471" t="s">
        <v>5805</v>
      </c>
      <c r="B1551" s="1139">
        <f t="shared" ca="1" si="242"/>
        <v>0</v>
      </c>
      <c r="C1551" s="473">
        <f ca="1">IF(ISERROR(VLOOKUP($A$1497,INDIRECT("notes_"&amp;LEFT($A$1497,3)),4,0)),0,VLOOKUP($A$1497,INDIRECT("notes_"&amp;LEFT($A$1497,3)),4,0))</f>
        <v>0</v>
      </c>
      <c r="H1551" s="471">
        <f t="shared" si="241"/>
        <v>3</v>
      </c>
      <c r="I1551" s="471">
        <v>1</v>
      </c>
      <c r="J1551" s="471" t="str">
        <f t="shared" ref="J1551:J1606" si="247">MID($A1551,SEARCH("-",$A1551)+1,SEARCH("#",SUBSTITUTE($A1551,"-","#",H1551),1)-(SEARCH("-",$A1551)+1))</f>
        <v>culhrt-hrt</v>
      </c>
      <c r="K1551" s="471" t="str">
        <f t="shared" ref="K1551:K1606" si="248">RIGHT($A1551,LEN($A1551)-SEARCH("#",SUBSTITUTE($A1551,"-","#",H1551),1))</f>
        <v>run-exp</v>
      </c>
      <c r="L1551" s="599"/>
      <c r="M1551" s="471" t="s">
        <v>5802</v>
      </c>
      <c r="N1551" s="471" t="s">
        <v>1114</v>
      </c>
      <c r="O1551" s="471" t="s">
        <v>1113</v>
      </c>
    </row>
    <row r="1552" spans="1:15" x14ac:dyDescent="0.25">
      <c r="A1552" s="471" t="s">
        <v>5806</v>
      </c>
      <c r="B1552" s="1139">
        <f t="shared" ca="1" si="242"/>
        <v>0</v>
      </c>
      <c r="C1552" s="473">
        <f ca="1">IF(ISERROR(VLOOKUP($A$1498,INDIRECT("notes_"&amp;LEFT($A$1498,3)),4,0)),0,VLOOKUP($A$1498,INDIRECT("notes_"&amp;LEFT($A$1498,3)),4,0))</f>
        <v>0</v>
      </c>
      <c r="H1552" s="471">
        <f t="shared" si="241"/>
        <v>4</v>
      </c>
      <c r="I1552" s="471">
        <v>1</v>
      </c>
      <c r="J1552" s="471" t="str">
        <f t="shared" si="247"/>
        <v>culhrt-msm-gll</v>
      </c>
      <c r="K1552" s="471" t="str">
        <f t="shared" si="248"/>
        <v>run-exp</v>
      </c>
      <c r="L1552" s="599"/>
      <c r="M1552" s="471" t="s">
        <v>5802</v>
      </c>
      <c r="N1552" s="471" t="s">
        <v>1114</v>
      </c>
      <c r="O1552" s="471" t="s">
        <v>1113</v>
      </c>
    </row>
    <row r="1553" spans="1:15" x14ac:dyDescent="0.25">
      <c r="A1553" s="471" t="s">
        <v>5807</v>
      </c>
      <c r="B1553" s="1139">
        <f t="shared" ca="1" si="242"/>
        <v>0</v>
      </c>
      <c r="C1553" s="473">
        <f ca="1">IF(ISERROR(VLOOKUP($A$1499,INDIRECT("notes_"&amp;LEFT($A$1499,3)),4,0)),0,VLOOKUP($A$1499,INDIRECT("notes_"&amp;LEFT($A$1499,3)),4,0))</f>
        <v>0</v>
      </c>
      <c r="H1553" s="471">
        <f t="shared" si="241"/>
        <v>5</v>
      </c>
      <c r="I1553" s="471">
        <v>1</v>
      </c>
      <c r="J1553" s="471" t="str">
        <f t="shared" si="247"/>
        <v>culhrt-tht-pbl-ent</v>
      </c>
      <c r="K1553" s="471" t="str">
        <f t="shared" si="248"/>
        <v>run-exp</v>
      </c>
      <c r="L1553" s="599"/>
      <c r="M1553" s="471" t="s">
        <v>5802</v>
      </c>
      <c r="N1553" s="471" t="s">
        <v>1114</v>
      </c>
      <c r="O1553" s="471" t="s">
        <v>1113</v>
      </c>
    </row>
    <row r="1554" spans="1:15" x14ac:dyDescent="0.25">
      <c r="A1554" s="471" t="s">
        <v>5808</v>
      </c>
      <c r="B1554" s="1139">
        <f t="shared" ca="1" si="242"/>
        <v>0</v>
      </c>
      <c r="C1554" s="473">
        <f ca="1">IF(ISERROR(VLOOKUP($A$1500,INDIRECT("notes_"&amp;LEFT($A$1500,3)),4,0)),0,VLOOKUP($A$1500,INDIRECT("notes_"&amp;LEFT($A$1500,3)),4,0))</f>
        <v>0</v>
      </c>
      <c r="H1554" s="471">
        <f t="shared" si="241"/>
        <v>6</v>
      </c>
      <c r="I1554" s="471">
        <v>1</v>
      </c>
      <c r="J1554" s="471" t="str">
        <f t="shared" si="247"/>
        <v>culspr-cmm-cen-pub-hll</v>
      </c>
      <c r="K1554" s="471" t="str">
        <f t="shared" si="248"/>
        <v>run-exp</v>
      </c>
      <c r="L1554" s="599"/>
      <c r="M1554" s="471" t="s">
        <v>5802</v>
      </c>
      <c r="N1554" s="471" t="s">
        <v>1114</v>
      </c>
      <c r="O1554" s="471" t="s">
        <v>1113</v>
      </c>
    </row>
    <row r="1555" spans="1:15" x14ac:dyDescent="0.25">
      <c r="A1555" s="471" t="s">
        <v>5809</v>
      </c>
      <c r="B1555" s="1139">
        <f t="shared" ca="1" si="242"/>
        <v>0</v>
      </c>
      <c r="C1555" s="473">
        <f ca="1">IF(ISERROR(VLOOKUP($A$1501,INDIRECT("notes_"&amp;LEFT($A$1501,3)),4,0)),0,VLOOKUP($A$1501,INDIRECT("notes_"&amp;LEFT($A$1501,3)),4,0))</f>
        <v>0</v>
      </c>
      <c r="H1555" s="471">
        <f t="shared" ref="H1555:H1606" si="249">LEN(A1555)-LEN(SUBSTITUTE(A1555,"-",""))-I1555</f>
        <v>3</v>
      </c>
      <c r="I1555" s="471">
        <v>1</v>
      </c>
      <c r="J1555" s="471" t="str">
        <f t="shared" si="247"/>
        <v>culspr-frs</v>
      </c>
      <c r="K1555" s="471" t="str">
        <f t="shared" si="248"/>
        <v>run-exp</v>
      </c>
      <c r="L1555" s="599"/>
      <c r="M1555" s="471" t="s">
        <v>5802</v>
      </c>
      <c r="N1555" s="471" t="s">
        <v>1114</v>
      </c>
      <c r="O1555" s="471" t="s">
        <v>1113</v>
      </c>
    </row>
    <row r="1556" spans="1:15" x14ac:dyDescent="0.25">
      <c r="A1556" s="471" t="s">
        <v>5810</v>
      </c>
      <c r="B1556" s="1139">
        <f t="shared" ca="1" si="242"/>
        <v>0</v>
      </c>
      <c r="C1556" s="473">
        <f ca="1">IF(ISERROR(VLOOKUP($A$1502,INDIRECT("notes_"&amp;LEFT($A$1502,3)),4,0)),0,VLOOKUP($A$1502,INDIRECT("notes_"&amp;LEFT($A$1502,3)),4,0))</f>
        <v>0</v>
      </c>
      <c r="H1556" s="471">
        <f t="shared" si="249"/>
        <v>6</v>
      </c>
      <c r="I1556" s="471">
        <v>1</v>
      </c>
      <c r="J1556" s="471" t="str">
        <f t="shared" si="247"/>
        <v>culspr-spr-dvl-cmm-rec</v>
      </c>
      <c r="K1556" s="471" t="str">
        <f t="shared" si="248"/>
        <v>run-exp</v>
      </c>
      <c r="L1556" s="599"/>
      <c r="M1556" s="471" t="s">
        <v>5802</v>
      </c>
      <c r="N1556" s="471" t="s">
        <v>1114</v>
      </c>
      <c r="O1556" s="471" t="s">
        <v>1113</v>
      </c>
    </row>
    <row r="1557" spans="1:15" x14ac:dyDescent="0.25">
      <c r="A1557" s="471" t="s">
        <v>5811</v>
      </c>
      <c r="B1557" s="1139">
        <f t="shared" ca="1" si="242"/>
        <v>0</v>
      </c>
      <c r="C1557" s="473">
        <f ca="1">IF(ISERROR(VLOOKUP($A$1503,INDIRECT("notes_"&amp;LEFT($A$1503,3)),4,0)),0,VLOOKUP($A$1503,INDIRECT("notes_"&amp;LEFT($A$1503,3)),4,0))</f>
        <v>0</v>
      </c>
      <c r="H1557" s="471">
        <f t="shared" si="249"/>
        <v>5</v>
      </c>
      <c r="I1557" s="471">
        <v>1</v>
      </c>
      <c r="J1557" s="471" t="str">
        <f t="shared" si="247"/>
        <v>culspr-spr-lsr-fcl</v>
      </c>
      <c r="K1557" s="471" t="str">
        <f t="shared" si="248"/>
        <v>run-exp</v>
      </c>
      <c r="L1557" s="599"/>
      <c r="M1557" s="471" t="s">
        <v>5802</v>
      </c>
      <c r="N1557" s="471" t="s">
        <v>1114</v>
      </c>
      <c r="O1557" s="471" t="s">
        <v>1113</v>
      </c>
    </row>
    <row r="1558" spans="1:15" x14ac:dyDescent="0.25">
      <c r="A1558" s="471" t="s">
        <v>5812</v>
      </c>
      <c r="B1558" s="1139">
        <f t="shared" ca="1" si="242"/>
        <v>0</v>
      </c>
      <c r="C1558" s="473">
        <f ca="1">IF(ISERROR(VLOOKUP($A$1504,INDIRECT("notes_"&amp;LEFT($A$1504,3)),4,0)),0,VLOOKUP($A$1504,INDIRECT("notes_"&amp;LEFT($A$1504,3)),4,0))</f>
        <v>0</v>
      </c>
      <c r="H1558" s="471">
        <f t="shared" si="249"/>
        <v>3</v>
      </c>
      <c r="I1558" s="471">
        <v>1</v>
      </c>
      <c r="J1558" s="471" t="str">
        <f t="shared" si="247"/>
        <v>culprk-opn</v>
      </c>
      <c r="K1558" s="471" t="str">
        <f t="shared" si="248"/>
        <v>run-exp</v>
      </c>
      <c r="L1558" s="599"/>
      <c r="M1558" s="471" t="s">
        <v>5802</v>
      </c>
      <c r="N1558" s="471" t="s">
        <v>1114</v>
      </c>
      <c r="O1558" s="471" t="s">
        <v>1113</v>
      </c>
    </row>
    <row r="1559" spans="1:15" x14ac:dyDescent="0.25">
      <c r="A1559" s="471" t="s">
        <v>5813</v>
      </c>
      <c r="B1559" s="1139">
        <f t="shared" ref="B1559:B1568" ca="1" si="250">INDEX(INDIRECT(LEFT($A1559,SEARCH("-",$A1559,1)-1)&amp;"_data"),MATCH(MID($A1559,SEARCH("-",$A1559)+1,SEARCH("#",SUBSTITUTE($A1559,"-","#",H1559),1)-(SEARCH("-",$A1559)+1)),INDIRECT(LEFT($A1559,SEARCH("-",$A1559,1)-1)&amp;"_rows"),0),MATCH(RIGHT($A1559,LEN($A1559)-SEARCH("#",SUBSTITUTE($A1559,"-","#",H1559),1)),INDIRECT(LEFT($A1559,SEARCH("-",$A1559,1)-1)&amp;"_Header"),0))</f>
        <v>0</v>
      </c>
      <c r="C1559" s="473">
        <f ca="1">IF(ISERROR(VLOOKUP($A$1505,INDIRECT("notes_"&amp;LEFT($A$1505,3)),4,0)),0,VLOOKUP($A$1505,INDIRECT("notes_"&amp;LEFT($A$1505,3)),4,0))</f>
        <v>0</v>
      </c>
      <c r="H1559" s="471">
        <f t="shared" si="249"/>
        <v>2</v>
      </c>
      <c r="I1559" s="471">
        <v>1</v>
      </c>
      <c r="J1559" s="471" t="str">
        <f t="shared" si="247"/>
        <v>culall</v>
      </c>
      <c r="K1559" s="471" t="str">
        <f t="shared" si="248"/>
        <v>run-exp</v>
      </c>
      <c r="L1559" s="599"/>
      <c r="M1559" s="471" t="s">
        <v>5802</v>
      </c>
      <c r="N1559" s="471" t="s">
        <v>1114</v>
      </c>
      <c r="O1559" s="471" t="s">
        <v>1113</v>
      </c>
    </row>
    <row r="1560" spans="1:15" x14ac:dyDescent="0.25">
      <c r="A1560" s="471" t="s">
        <v>5814</v>
      </c>
      <c r="B1560" s="1139">
        <f ca="1">INDEX(INDIRECT(LEFT($A1560,SEARCH("-",$A1560,1)-1)&amp;"_data"),MATCH(MID($A1560,SEARCH("-",$A1560)+1,SEARCH("#",SUBSTITUTE($A1560,"-","#",H1560),1)-(SEARCH("-",$A1560)+1)),INDIRECT(LEFT($A1560,SEARCH("-",$A1560,1)-1)&amp;"_rows"),0),MATCH(RIGHT($A1560,LEN($A1560)-SEARCH("#",SUBSTITUTE($A1560,"-","#",H1560),1)),INDIRECT(LEFT($A1560,SEARCH("-",$A1560,1)-1)&amp;"_Header"),0))</f>
        <v>0</v>
      </c>
      <c r="C1560" s="473">
        <f ca="1">IF(ISERROR(VLOOKUP($A$1506,INDIRECT("notes_"&amp;LEFT($A$1506,3)),4,0)),0,VLOOKUP($A$1506,INDIRECT("notes_"&amp;LEFT($A$1506,3)),4,0))</f>
        <v>0</v>
      </c>
      <c r="H1560" s="471">
        <f t="shared" si="249"/>
        <v>2</v>
      </c>
      <c r="I1560" s="471">
        <v>1</v>
      </c>
      <c r="J1560" s="471" t="str">
        <f t="shared" si="247"/>
        <v>cultrs</v>
      </c>
      <c r="K1560" s="471" t="str">
        <f t="shared" si="248"/>
        <v>run-exp</v>
      </c>
      <c r="L1560" s="599"/>
      <c r="M1560" s="471" t="s">
        <v>5802</v>
      </c>
      <c r="N1560" s="471" t="s">
        <v>1114</v>
      </c>
      <c r="O1560" s="471" t="s">
        <v>1113</v>
      </c>
    </row>
    <row r="1561" spans="1:15" x14ac:dyDescent="0.25">
      <c r="A1561" s="471" t="s">
        <v>5815</v>
      </c>
      <c r="B1561" s="1139">
        <f t="shared" ca="1" si="250"/>
        <v>0</v>
      </c>
      <c r="C1561" s="473">
        <f ca="1">IF(ISERROR(VLOOKUP($A$1507,INDIRECT("notes_"&amp;LEFT($A$1507,3)),4,0)),0,VLOOKUP($A$1507,INDIRECT("notes_"&amp;LEFT($A$1507,3)),4,0))</f>
        <v>0</v>
      </c>
      <c r="H1561" s="471">
        <f t="shared" si="249"/>
        <v>2</v>
      </c>
      <c r="I1561" s="471">
        <v>1</v>
      </c>
      <c r="J1561" s="471" t="str">
        <f t="shared" si="247"/>
        <v>cullib</v>
      </c>
      <c r="K1561" s="471" t="str">
        <f t="shared" si="248"/>
        <v>run-exp</v>
      </c>
      <c r="L1561" s="599"/>
      <c r="M1561" s="471" t="s">
        <v>5802</v>
      </c>
      <c r="N1561" s="471" t="s">
        <v>1114</v>
      </c>
      <c r="O1561" s="471" t="s">
        <v>1113</v>
      </c>
    </row>
    <row r="1562" spans="1:15" x14ac:dyDescent="0.25">
      <c r="A1562" s="471" t="s">
        <v>5816</v>
      </c>
      <c r="B1562" s="1139">
        <f t="shared" ca="1" si="250"/>
        <v>0</v>
      </c>
      <c r="C1562" s="473">
        <f ca="1">IF(ISERROR(VLOOKUP($A$1508,INDIRECT("notes_"&amp;LEFT($A$1508,3)),4,0)),0,VLOOKUP($A$1508,INDIRECT("notes_"&amp;LEFT($A$1508,3)),4,0))</f>
        <v>0</v>
      </c>
      <c r="H1562" s="471">
        <f t="shared" si="249"/>
        <v>2</v>
      </c>
      <c r="I1562" s="471">
        <v>1</v>
      </c>
      <c r="J1562" s="471" t="str">
        <f t="shared" si="247"/>
        <v>cultot</v>
      </c>
      <c r="K1562" s="471" t="str">
        <f t="shared" si="248"/>
        <v>run-exp</v>
      </c>
      <c r="L1562" s="599"/>
      <c r="M1562" s="471" t="s">
        <v>5802</v>
      </c>
      <c r="N1562" s="471" t="s">
        <v>1114</v>
      </c>
      <c r="O1562" s="471" t="s">
        <v>1113</v>
      </c>
    </row>
    <row r="1563" spans="1:15" x14ac:dyDescent="0.25">
      <c r="A1563" s="471" t="s">
        <v>2177</v>
      </c>
      <c r="B1563" s="1139">
        <f t="shared" ca="1" si="250"/>
        <v>0</v>
      </c>
      <c r="C1563" s="473">
        <f ca="1">IF(ISERROR(VLOOKUP($A$1563,INDIRECT("notes_"&amp;LEFT($A$1563,3)),4,0)),0,VLOOKUP($A$1563,INDIRECT("notes_"&amp;LEFT($A$1563,3)),4,0))</f>
        <v>0</v>
      </c>
      <c r="H1563" s="471">
        <f t="shared" si="249"/>
        <v>2</v>
      </c>
      <c r="I1563" s="471">
        <v>1</v>
      </c>
      <c r="J1563" s="471" t="str">
        <f t="shared" si="247"/>
        <v>culsvmem</v>
      </c>
      <c r="K1563" s="471" t="str">
        <f t="shared" si="248"/>
        <v>run-exp</v>
      </c>
      <c r="L1563" s="599"/>
      <c r="M1563" s="471" t="s">
        <v>5802</v>
      </c>
      <c r="N1563" s="471" t="s">
        <v>1114</v>
      </c>
      <c r="O1563" s="471" t="s">
        <v>1113</v>
      </c>
    </row>
    <row r="1564" spans="1:15" x14ac:dyDescent="0.25">
      <c r="A1564" s="471" t="s">
        <v>5817</v>
      </c>
      <c r="B1564" s="1139">
        <f t="shared" ca="1" si="250"/>
        <v>0</v>
      </c>
      <c r="C1564" s="473">
        <f ca="1">IF(ISERROR(VLOOKUP($A$1509,INDIRECT("notes_"&amp;LEFT($A$1509,3)),4,0)),0,VLOOKUP($A$1509,INDIRECT("notes_"&amp;LEFT($A$1509,3)),4,0))</f>
        <v>0</v>
      </c>
      <c r="H1564" s="471">
        <f t="shared" si="249"/>
        <v>2</v>
      </c>
      <c r="I1564" s="471">
        <v>1</v>
      </c>
      <c r="J1564" s="471" t="str">
        <f t="shared" si="247"/>
        <v>envcmt</v>
      </c>
      <c r="K1564" s="471" t="str">
        <f t="shared" si="248"/>
        <v>run-exp</v>
      </c>
      <c r="L1564" s="599"/>
      <c r="M1564" s="471" t="s">
        <v>5802</v>
      </c>
      <c r="N1564" s="471" t="s">
        <v>1114</v>
      </c>
      <c r="O1564" s="471" t="s">
        <v>1113</v>
      </c>
    </row>
    <row r="1565" spans="1:15" x14ac:dyDescent="0.25">
      <c r="A1565" s="471" t="s">
        <v>5818</v>
      </c>
      <c r="B1565" s="1139">
        <f t="shared" ca="1" si="250"/>
        <v>0</v>
      </c>
      <c r="C1565" s="473">
        <f ca="1">IF(ISERROR(VLOOKUP($A$1510,INDIRECT("notes_"&amp;LEFT($A$1510,3)),4,0)),0,VLOOKUP($A$1510,INDIRECT("notes_"&amp;LEFT($A$1510,3)),4,0))</f>
        <v>0</v>
      </c>
      <c r="H1565" s="471">
        <f t="shared" si="249"/>
        <v>2</v>
      </c>
      <c r="I1565" s="471">
        <v>1</v>
      </c>
      <c r="J1565" s="471" t="str">
        <f t="shared" si="247"/>
        <v>envrgltrd</v>
      </c>
      <c r="K1565" s="471" t="str">
        <f t="shared" si="248"/>
        <v>run-exp</v>
      </c>
      <c r="L1565" s="599"/>
      <c r="M1565" s="471" t="s">
        <v>5802</v>
      </c>
      <c r="N1565" s="471" t="s">
        <v>1114</v>
      </c>
      <c r="O1565" s="471" t="s">
        <v>1113</v>
      </c>
    </row>
    <row r="1566" spans="1:15" x14ac:dyDescent="0.25">
      <c r="A1566" s="471" t="s">
        <v>5819</v>
      </c>
      <c r="B1566" s="1139">
        <f t="shared" ca="1" si="250"/>
        <v>0</v>
      </c>
      <c r="C1566" s="473">
        <f ca="1">IF(ISERROR(VLOOKUP($A$1511,INDIRECT("notes_"&amp;LEFT($A$1511,3)),4,0)),0,VLOOKUP($A$1511,INDIRECT("notes_"&amp;LEFT($A$1511,3)),4,0))</f>
        <v>0</v>
      </c>
      <c r="H1566" s="471">
        <f t="shared" si="249"/>
        <v>2</v>
      </c>
      <c r="I1566" s="471">
        <v>1</v>
      </c>
      <c r="J1566" s="471" t="str">
        <f t="shared" si="247"/>
        <v>envrglenvwtr</v>
      </c>
      <c r="K1566" s="471" t="str">
        <f t="shared" si="248"/>
        <v>run-exp</v>
      </c>
      <c r="L1566" s="599"/>
      <c r="M1566" s="471" t="s">
        <v>5802</v>
      </c>
      <c r="N1566" s="471" t="s">
        <v>1114</v>
      </c>
      <c r="O1566" s="471" t="s">
        <v>1113</v>
      </c>
    </row>
    <row r="1567" spans="1:15" x14ac:dyDescent="0.25">
      <c r="A1567" s="471" t="s">
        <v>5820</v>
      </c>
      <c r="B1567" s="1139">
        <f t="shared" ca="1" si="250"/>
        <v>0</v>
      </c>
      <c r="C1567" s="473">
        <f ca="1">IF(ISERROR(VLOOKUP($A$1512,INDIRECT("notes_"&amp;LEFT($A$1512,3)),4,0)),0,VLOOKUP($A$1512,INDIRECT("notes_"&amp;LEFT($A$1512,3)),4,0))</f>
        <v>0</v>
      </c>
      <c r="H1567" s="471">
        <f t="shared" si="249"/>
        <v>2</v>
      </c>
      <c r="I1567" s="471">
        <v>1</v>
      </c>
      <c r="J1567" s="471" t="str">
        <f t="shared" si="247"/>
        <v>envrglenvfd</v>
      </c>
      <c r="K1567" s="471" t="str">
        <f t="shared" si="248"/>
        <v>run-exp</v>
      </c>
      <c r="L1567" s="599"/>
      <c r="M1567" s="471" t="s">
        <v>5802</v>
      </c>
      <c r="N1567" s="471" t="s">
        <v>1114</v>
      </c>
      <c r="O1567" s="471" t="s">
        <v>1113</v>
      </c>
    </row>
    <row r="1568" spans="1:15" x14ac:dyDescent="0.25">
      <c r="A1568" s="471" t="s">
        <v>5821</v>
      </c>
      <c r="B1568" s="1139">
        <f t="shared" ca="1" si="250"/>
        <v>0</v>
      </c>
      <c r="C1568" s="473">
        <f ca="1">IF(ISERROR(VLOOKUP($A$1513,INDIRECT("notes_"&amp;LEFT($A$1513,3)),4,0)),0,VLOOKUP($A$1513,INDIRECT("notes_"&amp;LEFT($A$1513,3)),4,0))</f>
        <v>0</v>
      </c>
      <c r="H1568" s="471">
        <f t="shared" si="249"/>
        <v>2</v>
      </c>
      <c r="I1568" s="471">
        <v>1</v>
      </c>
      <c r="J1568" s="471" t="str">
        <f t="shared" si="247"/>
        <v>envrglenvenv</v>
      </c>
      <c r="K1568" s="471" t="str">
        <f t="shared" si="248"/>
        <v>run-exp</v>
      </c>
      <c r="L1568" s="599"/>
      <c r="M1568" s="471" t="s">
        <v>5802</v>
      </c>
      <c r="N1568" s="471" t="s">
        <v>1114</v>
      </c>
      <c r="O1568" s="471" t="s">
        <v>1113</v>
      </c>
    </row>
    <row r="1569" spans="1:15" x14ac:dyDescent="0.25">
      <c r="A1569" s="471" t="s">
        <v>5822</v>
      </c>
      <c r="B1569" s="1139">
        <f ca="1">INDEX(INDIRECT(LEFT($A1569,SEARCH("-",$A1569,1)-1)&amp;"_data"),MATCH(MID($A1569,SEARCH("-",$A1569)+1,SEARCH("#",SUBSTITUTE($A1569,"-","#",H1569),1)-(SEARCH("-",$A1569)+1)),INDIRECT(LEFT($A1569,SEARCH("-",$A1569,1)-1)&amp;"_rows"),0),MATCH(RIGHT($A1569,LEN($A1569)-SEARCH("#",SUBSTITUTE($A1569,"-","#",H1569),1)),INDIRECT(LEFT($A1569,SEARCH("-",$A1569,1)-1)&amp;"_Header"),0))</f>
        <v>0</v>
      </c>
      <c r="C1569" s="473">
        <f ca="1">IF(ISERROR(VLOOKUP($A$1514,INDIRECT("notes_"&amp;LEFT($A$1514,3)),4,0)),0,VLOOKUP($A$1514,INDIRECT("notes_"&amp;LEFT($A$1514,3)),4,0))</f>
        <v>0</v>
      </c>
      <c r="H1569" s="471">
        <f t="shared" si="249"/>
        <v>2</v>
      </c>
      <c r="I1569" s="471">
        <v>1</v>
      </c>
      <c r="J1569" s="471" t="str">
        <f t="shared" si="247"/>
        <v>envrglenvhsn</v>
      </c>
      <c r="K1569" s="471" t="str">
        <f t="shared" si="248"/>
        <v>run-exp</v>
      </c>
      <c r="L1569" s="599"/>
      <c r="M1569" s="471" t="s">
        <v>5802</v>
      </c>
      <c r="N1569" s="471" t="s">
        <v>1114</v>
      </c>
      <c r="O1569" s="471" t="s">
        <v>1113</v>
      </c>
    </row>
    <row r="1570" spans="1:15" x14ac:dyDescent="0.25">
      <c r="A1570" s="471" t="s">
        <v>5823</v>
      </c>
      <c r="B1570" s="1139">
        <f t="shared" ref="B1570:B1584" ca="1" si="251">INDEX(INDIRECT(LEFT($A1570,SEARCH("-",$A1570,1)-1)&amp;"_data"),MATCH(MID($A1570,SEARCH("-",$A1570)+1,SEARCH("#",SUBSTITUTE($A1570,"-","#",H1570),1)-(SEARCH("-",$A1570)+1)),INDIRECT(LEFT($A1570,SEARCH("-",$A1570,1)-1)&amp;"_rows"),0),MATCH(RIGHT($A1570,LEN($A1570)-SEARCH("#",SUBSTITUTE($A1570,"-","#",H1570),1)),INDIRECT(LEFT($A1570,SEARCH("-",$A1570,1)-1)&amp;"_Header"),0))</f>
        <v>0</v>
      </c>
      <c r="C1570" s="473">
        <f ca="1">IF(ISERROR(VLOOKUP($A$1515,INDIRECT("notes_"&amp;LEFT($A$1515,3)),4,0)),0,VLOOKUP($A$1515,INDIRECT("notes_"&amp;LEFT($A$1515,3)),4,0))</f>
        <v>0</v>
      </c>
      <c r="H1570" s="471">
        <f t="shared" si="249"/>
        <v>2</v>
      </c>
      <c r="I1570" s="471">
        <v>1</v>
      </c>
      <c r="J1570" s="471" t="str">
        <f t="shared" si="247"/>
        <v>envrglenvhs</v>
      </c>
      <c r="K1570" s="471" t="str">
        <f t="shared" si="248"/>
        <v>run-exp</v>
      </c>
      <c r="L1570" s="599"/>
      <c r="M1570" s="471" t="s">
        <v>5802</v>
      </c>
      <c r="N1570" s="471" t="s">
        <v>1114</v>
      </c>
      <c r="O1570" s="471" t="s">
        <v>1113</v>
      </c>
    </row>
    <row r="1571" spans="1:15" x14ac:dyDescent="0.25">
      <c r="A1571" s="471" t="s">
        <v>5824</v>
      </c>
      <c r="B1571" s="1139">
        <f t="shared" ca="1" si="251"/>
        <v>0</v>
      </c>
      <c r="C1571" s="473">
        <f ca="1">IF(ISERROR(VLOOKUP($A$1516,INDIRECT("notes_"&amp;LEFT($A$1516,3)),4,0)),0,VLOOKUP($A$1516,INDIRECT("notes_"&amp;LEFT($A$1516,3)),4,0))</f>
        <v>0</v>
      </c>
      <c r="H1571" s="471">
        <f t="shared" si="249"/>
        <v>2</v>
      </c>
      <c r="I1571" s="471">
        <v>1</v>
      </c>
      <c r="J1571" s="471" t="str">
        <f t="shared" si="247"/>
        <v>envrglenvprtxlvs</v>
      </c>
      <c r="K1571" s="471" t="str">
        <f t="shared" si="248"/>
        <v>run-exp</v>
      </c>
      <c r="L1571" s="599"/>
      <c r="M1571" s="471" t="s">
        <v>5802</v>
      </c>
      <c r="N1571" s="471" t="s">
        <v>1114</v>
      </c>
      <c r="O1571" s="471" t="s">
        <v>1113</v>
      </c>
    </row>
    <row r="1572" spans="1:15" x14ac:dyDescent="0.25">
      <c r="A1572" s="471" t="s">
        <v>5825</v>
      </c>
      <c r="B1572" s="1139">
        <f t="shared" ca="1" si="251"/>
        <v>0</v>
      </c>
      <c r="C1572" s="473">
        <f ca="1">IF(ISERROR(VLOOKUP($A$1517,INDIRECT("notes_"&amp;LEFT($A$1517,3)),4,0)),0,VLOOKUP($A$1517,INDIRECT("notes_"&amp;LEFT($A$1517,3)),4,0))</f>
        <v>0</v>
      </c>
      <c r="H1572" s="471">
        <f t="shared" si="249"/>
        <v>2</v>
      </c>
      <c r="I1572" s="471">
        <v>1</v>
      </c>
      <c r="J1572" s="471" t="str">
        <f t="shared" si="247"/>
        <v>envrglenvprtlvs</v>
      </c>
      <c r="K1572" s="471" t="str">
        <f t="shared" si="248"/>
        <v>run-exp</v>
      </c>
      <c r="L1572" s="599"/>
      <c r="M1572" s="471" t="s">
        <v>5802</v>
      </c>
      <c r="N1572" s="471" t="s">
        <v>1114</v>
      </c>
      <c r="O1572" s="471" t="s">
        <v>1113</v>
      </c>
    </row>
    <row r="1573" spans="1:15" x14ac:dyDescent="0.25">
      <c r="A1573" s="471" t="s">
        <v>5826</v>
      </c>
      <c r="B1573" s="1139">
        <f t="shared" ca="1" si="251"/>
        <v>0</v>
      </c>
      <c r="C1573" s="473">
        <f ca="1">IF(ISERROR(VLOOKUP($A$1518,INDIRECT("notes_"&amp;LEFT($A$1518,3)),4,0)),0,VLOOKUP($A$1518,INDIRECT("notes_"&amp;LEFT($A$1518,3)),4,0))</f>
        <v>0</v>
      </c>
      <c r="H1573" s="471">
        <f t="shared" si="249"/>
        <v>2</v>
      </c>
      <c r="I1573" s="471">
        <v>1</v>
      </c>
      <c r="J1573" s="471" t="str">
        <f t="shared" si="247"/>
        <v>envrglenvpst</v>
      </c>
      <c r="K1573" s="471" t="str">
        <f t="shared" si="248"/>
        <v>run-exp</v>
      </c>
      <c r="L1573" s="599"/>
      <c r="M1573" s="471" t="s">
        <v>5802</v>
      </c>
      <c r="N1573" s="471" t="s">
        <v>1114</v>
      </c>
      <c r="O1573" s="471" t="s">
        <v>1113</v>
      </c>
    </row>
    <row r="1574" spans="1:15" x14ac:dyDescent="0.25">
      <c r="A1574" s="471" t="s">
        <v>5827</v>
      </c>
      <c r="B1574" s="1139">
        <f t="shared" ca="1" si="251"/>
        <v>0</v>
      </c>
      <c r="C1574" s="473">
        <f ca="1">IF(ISERROR(VLOOKUP($A$1519,INDIRECT("notes_"&amp;LEFT($A$1519,3)),4,0)),0,VLOOKUP($A$1519,INDIRECT("notes_"&amp;LEFT($A$1519,3)),4,0))</f>
        <v>0</v>
      </c>
      <c r="H1574" s="471">
        <f t="shared" si="249"/>
        <v>2</v>
      </c>
      <c r="I1574" s="471">
        <v>1</v>
      </c>
      <c r="J1574" s="471" t="str">
        <f t="shared" si="247"/>
        <v>envrglenvtlt</v>
      </c>
      <c r="K1574" s="471" t="str">
        <f t="shared" si="248"/>
        <v>run-exp</v>
      </c>
      <c r="L1574" s="599"/>
      <c r="M1574" s="471" t="s">
        <v>5802</v>
      </c>
      <c r="N1574" s="471" t="s">
        <v>1114</v>
      </c>
      <c r="O1574" s="471" t="s">
        <v>1113</v>
      </c>
    </row>
    <row r="1575" spans="1:15" x14ac:dyDescent="0.25">
      <c r="A1575" s="471" t="s">
        <v>5828</v>
      </c>
      <c r="B1575" s="1139">
        <f t="shared" ca="1" si="251"/>
        <v>0</v>
      </c>
      <c r="C1575" s="473">
        <f ca="1">IF(ISERROR(VLOOKUP($A$1520,INDIRECT("notes_"&amp;LEFT($A$1520,3)),4,0)),0,VLOOKUP($A$1520,INDIRECT("notes_"&amp;LEFT($A$1520,3)),4,0))</f>
        <v>0</v>
      </c>
      <c r="H1575" s="471">
        <f t="shared" si="249"/>
        <v>2</v>
      </c>
      <c r="I1575" s="471">
        <v>1</v>
      </c>
      <c r="J1575" s="471" t="str">
        <f t="shared" si="247"/>
        <v>envrglenvanm</v>
      </c>
      <c r="K1575" s="471" t="str">
        <f t="shared" si="248"/>
        <v>run-exp</v>
      </c>
      <c r="L1575" s="599"/>
      <c r="M1575" s="471" t="s">
        <v>5802</v>
      </c>
      <c r="N1575" s="471" t="s">
        <v>1114</v>
      </c>
      <c r="O1575" s="471" t="s">
        <v>1113</v>
      </c>
    </row>
    <row r="1576" spans="1:15" x14ac:dyDescent="0.25">
      <c r="A1576" s="471" t="s">
        <v>5829</v>
      </c>
      <c r="B1576" s="1139">
        <f t="shared" ca="1" si="251"/>
        <v>0</v>
      </c>
      <c r="C1576" s="473">
        <f ca="1">IF(ISERROR(VLOOKUP($A$1521,INDIRECT("notes_"&amp;LEFT($A$1521,3)),4,0)),0,VLOOKUP($A$1521,INDIRECT("notes_"&amp;LEFT($A$1521,3)),4,0))</f>
        <v>0</v>
      </c>
      <c r="H1576" s="471">
        <f t="shared" si="249"/>
        <v>2</v>
      </c>
      <c r="I1576" s="471">
        <v>1</v>
      </c>
      <c r="J1576" s="471" t="str">
        <f t="shared" si="247"/>
        <v>envrglenvlcn</v>
      </c>
      <c r="K1576" s="471" t="str">
        <f t="shared" si="248"/>
        <v>run-exp</v>
      </c>
      <c r="L1576" s="599"/>
      <c r="M1576" s="471" t="s">
        <v>5802</v>
      </c>
      <c r="N1576" s="471" t="s">
        <v>1114</v>
      </c>
      <c r="O1576" s="471" t="s">
        <v>1113</v>
      </c>
    </row>
    <row r="1577" spans="1:15" x14ac:dyDescent="0.25">
      <c r="A1577" s="471" t="s">
        <v>5830</v>
      </c>
      <c r="B1577" s="1139">
        <f t="shared" ca="1" si="251"/>
        <v>0</v>
      </c>
      <c r="C1577" s="473">
        <f ca="1">IF(ISERROR(VLOOKUP($A$1522,INDIRECT("notes_"&amp;LEFT($A$1522,3)),4,0)),0,VLOOKUP($A$1522,INDIRECT("notes_"&amp;LEFT($A$1522,3)),4,0))</f>
        <v>0</v>
      </c>
      <c r="H1577" s="471">
        <f t="shared" si="249"/>
        <v>2</v>
      </c>
      <c r="I1577" s="471">
        <v>1</v>
      </c>
      <c r="J1577" s="471" t="str">
        <f t="shared" si="247"/>
        <v>envcmmcrm</v>
      </c>
      <c r="K1577" s="471" t="str">
        <f t="shared" si="248"/>
        <v>run-exp</v>
      </c>
      <c r="L1577" s="599"/>
      <c r="M1577" s="471" t="s">
        <v>5802</v>
      </c>
      <c r="N1577" s="471" t="s">
        <v>1114</v>
      </c>
      <c r="O1577" s="471" t="s">
        <v>1113</v>
      </c>
    </row>
    <row r="1578" spans="1:15" x14ac:dyDescent="0.25">
      <c r="A1578" s="471" t="s">
        <v>5831</v>
      </c>
      <c r="B1578" s="1139">
        <f t="shared" ca="1" si="251"/>
        <v>0</v>
      </c>
      <c r="C1578" s="473">
        <f ca="1">IF(ISERROR(VLOOKUP($A$1523,INDIRECT("notes_"&amp;LEFT($A$1523,3)),4,0)),0,VLOOKUP($A$1523,INDIRECT("notes_"&amp;LEFT($A$1523,3)),4,0))</f>
        <v>0</v>
      </c>
      <c r="H1578" s="471">
        <f t="shared" si="249"/>
        <v>2</v>
      </c>
      <c r="I1578" s="471">
        <v>1</v>
      </c>
      <c r="J1578" s="471" t="str">
        <f t="shared" si="247"/>
        <v>envcmmsft</v>
      </c>
      <c r="K1578" s="471" t="str">
        <f t="shared" si="248"/>
        <v>run-exp</v>
      </c>
      <c r="L1578" s="599"/>
      <c r="M1578" s="471" t="s">
        <v>5802</v>
      </c>
      <c r="N1578" s="471" t="s">
        <v>1114</v>
      </c>
      <c r="O1578" s="471" t="s">
        <v>1113</v>
      </c>
    </row>
    <row r="1579" spans="1:15" x14ac:dyDescent="0.25">
      <c r="A1579" s="471" t="s">
        <v>5832</v>
      </c>
      <c r="B1579" s="1139">
        <f t="shared" ca="1" si="251"/>
        <v>0</v>
      </c>
      <c r="C1579" s="473">
        <f ca="1">IF(ISERROR(VLOOKUP($A$1524,INDIRECT("notes_"&amp;LEFT($A$1524,3)),4,0)),0,VLOOKUP($A$1524,INDIRECT("notes_"&amp;LEFT($A$1524,3)),4,0))</f>
        <v>0</v>
      </c>
      <c r="H1579" s="471">
        <f t="shared" si="249"/>
        <v>2</v>
      </c>
      <c r="I1579" s="471">
        <v>1</v>
      </c>
      <c r="J1579" s="471" t="str">
        <f t="shared" si="247"/>
        <v>envcmmcct</v>
      </c>
      <c r="K1579" s="471" t="str">
        <f t="shared" si="248"/>
        <v>run-exp</v>
      </c>
      <c r="L1579" s="599"/>
      <c r="M1579" s="471" t="s">
        <v>5802</v>
      </c>
      <c r="N1579" s="471" t="s">
        <v>1114</v>
      </c>
      <c r="O1579" s="471" t="s">
        <v>1113</v>
      </c>
    </row>
    <row r="1580" spans="1:15" x14ac:dyDescent="0.25">
      <c r="A1580" s="471" t="s">
        <v>5833</v>
      </c>
      <c r="B1580" s="1139">
        <f t="shared" ca="1" si="251"/>
        <v>0</v>
      </c>
      <c r="C1580" s="473">
        <f ca="1">IF(ISERROR(VLOOKUP($A$1525,INDIRECT("notes_"&amp;LEFT($A$1525,3)),4,0)),0,VLOOKUP($A$1525,INDIRECT("notes_"&amp;LEFT($A$1525,3)),4,0))</f>
        <v>0</v>
      </c>
      <c r="H1580" s="471">
        <f t="shared" si="249"/>
        <v>2</v>
      </c>
      <c r="I1580" s="471">
        <v>1</v>
      </c>
      <c r="J1580" s="471" t="str">
        <f t="shared" si="247"/>
        <v>envfldfld</v>
      </c>
      <c r="K1580" s="471" t="str">
        <f t="shared" si="248"/>
        <v>run-exp</v>
      </c>
      <c r="L1580" s="599"/>
      <c r="M1580" s="471" t="s">
        <v>5802</v>
      </c>
      <c r="N1580" s="471" t="s">
        <v>1114</v>
      </c>
      <c r="O1580" s="471" t="s">
        <v>1113</v>
      </c>
    </row>
    <row r="1581" spans="1:15" x14ac:dyDescent="0.25">
      <c r="A1581" s="471" t="s">
        <v>5834</v>
      </c>
      <c r="B1581" s="1139">
        <f t="shared" ca="1" si="251"/>
        <v>0</v>
      </c>
      <c r="C1581" s="473">
        <f ca="1">IF(ISERROR(VLOOKUP($A$1526,INDIRECT("notes_"&amp;LEFT($A$1526,3)),4,0)),0,VLOOKUP($A$1526,INDIRECT("notes_"&amp;LEFT($A$1526,3)),4,0))</f>
        <v>0</v>
      </c>
      <c r="H1581" s="471">
        <f t="shared" si="249"/>
        <v>2</v>
      </c>
      <c r="I1581" s="471">
        <v>1</v>
      </c>
      <c r="J1581" s="471" t="str">
        <f t="shared" si="247"/>
        <v>envflddrn</v>
      </c>
      <c r="K1581" s="471" t="str">
        <f t="shared" si="248"/>
        <v>run-exp</v>
      </c>
      <c r="L1581" s="599"/>
      <c r="M1581" s="471" t="s">
        <v>5802</v>
      </c>
      <c r="N1581" s="471" t="s">
        <v>1114</v>
      </c>
      <c r="O1581" s="471" t="s">
        <v>1113</v>
      </c>
    </row>
    <row r="1582" spans="1:15" x14ac:dyDescent="0.25">
      <c r="A1582" s="471" t="s">
        <v>5835</v>
      </c>
      <c r="B1582" s="1139">
        <f t="shared" ca="1" si="251"/>
        <v>0</v>
      </c>
      <c r="C1582" s="473">
        <f ca="1">IF(ISERROR(VLOOKUP($A$1527,INDIRECT("notes_"&amp;LEFT($A$1527,3)),4,0)),0,VLOOKUP($A$1527,INDIRECT("notes_"&amp;LEFT($A$1527,3)),4,0))</f>
        <v>0</v>
      </c>
      <c r="H1582" s="471">
        <f t="shared" si="249"/>
        <v>2</v>
      </c>
      <c r="I1582" s="471">
        <v>1</v>
      </c>
      <c r="J1582" s="471" t="str">
        <f t="shared" si="247"/>
        <v>envflddrnlev</v>
      </c>
      <c r="K1582" s="471" t="str">
        <f t="shared" si="248"/>
        <v>run-exp</v>
      </c>
      <c r="L1582" s="599"/>
      <c r="M1582" s="471" t="s">
        <v>5802</v>
      </c>
      <c r="N1582" s="471" t="s">
        <v>1114</v>
      </c>
      <c r="O1582" s="471" t="s">
        <v>1113</v>
      </c>
    </row>
    <row r="1583" spans="1:15" x14ac:dyDescent="0.25">
      <c r="A1583" s="471" t="s">
        <v>5836</v>
      </c>
      <c r="B1583" s="1139">
        <f t="shared" ca="1" si="251"/>
        <v>0</v>
      </c>
      <c r="C1583" s="473">
        <f ca="1">IF(ISERROR(VLOOKUP($A$1528,INDIRECT("notes_"&amp;LEFT($A$1528,3)),4,0)),0,VLOOKUP($A$1528,INDIRECT("notes_"&amp;LEFT($A$1528,3)),4,0))</f>
        <v>0</v>
      </c>
      <c r="H1583" s="471">
        <f t="shared" si="249"/>
        <v>2</v>
      </c>
      <c r="I1583" s="471">
        <v>1</v>
      </c>
      <c r="J1583" s="471" t="str">
        <f t="shared" si="247"/>
        <v>envcst</v>
      </c>
      <c r="K1583" s="471" t="str">
        <f t="shared" si="248"/>
        <v>run-exp</v>
      </c>
      <c r="L1583" s="599"/>
      <c r="M1583" s="471" t="s">
        <v>5802</v>
      </c>
      <c r="N1583" s="471" t="s">
        <v>1114</v>
      </c>
      <c r="O1583" s="471" t="s">
        <v>1113</v>
      </c>
    </row>
    <row r="1584" spans="1:15" x14ac:dyDescent="0.25">
      <c r="A1584" s="471" t="s">
        <v>5837</v>
      </c>
      <c r="B1584" s="1139">
        <f t="shared" ca="1" si="251"/>
        <v>0</v>
      </c>
      <c r="C1584" s="473">
        <f ca="1">IF(ISERROR(VLOOKUP($A$1529,INDIRECT("notes_"&amp;LEFT($A$1529,3)),4,0)),0,VLOOKUP($A$1529,INDIRECT("notes_"&amp;LEFT($A$1529,3)),4,0))</f>
        <v>0</v>
      </c>
      <c r="H1584" s="471">
        <f t="shared" si="249"/>
        <v>2</v>
      </c>
      <c r="I1584" s="471">
        <v>1</v>
      </c>
      <c r="J1584" s="471" t="str">
        <f t="shared" si="247"/>
        <v>envagr</v>
      </c>
      <c r="K1584" s="471" t="str">
        <f t="shared" si="248"/>
        <v>run-exp</v>
      </c>
      <c r="L1584" s="599"/>
      <c r="M1584" s="471" t="s">
        <v>5802</v>
      </c>
      <c r="N1584" s="471" t="s">
        <v>1114</v>
      </c>
      <c r="O1584" s="471" t="s">
        <v>1113</v>
      </c>
    </row>
    <row r="1585" spans="1:15" x14ac:dyDescent="0.25">
      <c r="A1585" s="471" t="s">
        <v>5838</v>
      </c>
      <c r="B1585" s="1139">
        <f ca="1">INDEX(INDIRECT(LEFT($A1585,SEARCH("-",$A1585,1)-1)&amp;"_data"),MATCH(MID($A1585,SEARCH("-",$A1585)+1,SEARCH("#",SUBSTITUTE($A1585,"-","#",H1585),1)-(SEARCH("-",$A1585)+1)),INDIRECT(LEFT($A1585,SEARCH("-",$A1585,1)-1)&amp;"_rows"),0),MATCH(RIGHT($A1585,LEN($A1585)-SEARCH("#",SUBSTITUTE($A1585,"-","#",H1585),1)),INDIRECT(LEFT($A1585,SEARCH("-",$A1585,1)-1)&amp;"_Header"),0))</f>
        <v>0</v>
      </c>
      <c r="C1585" s="473">
        <f ca="1">IF(ISERROR(VLOOKUP($A$1530,INDIRECT("notes_"&amp;LEFT($A$1530,3)),4,0)),0,VLOOKUP($A$1530,INDIRECT("notes_"&amp;LEFT($A$1530,3)),4,0))</f>
        <v>0</v>
      </c>
      <c r="H1585" s="471">
        <f t="shared" si="249"/>
        <v>2</v>
      </c>
      <c r="I1585" s="471">
        <v>1</v>
      </c>
      <c r="J1585" s="471" t="str">
        <f t="shared" si="247"/>
        <v>envstr</v>
      </c>
      <c r="K1585" s="471" t="str">
        <f t="shared" si="248"/>
        <v>run-exp</v>
      </c>
      <c r="L1585" s="599"/>
      <c r="M1585" s="471" t="s">
        <v>5802</v>
      </c>
      <c r="N1585" s="471" t="s">
        <v>1114</v>
      </c>
      <c r="O1585" s="471" t="s">
        <v>1113</v>
      </c>
    </row>
    <row r="1586" spans="1:15" x14ac:dyDescent="0.25">
      <c r="A1586" s="471" t="s">
        <v>5839</v>
      </c>
      <c r="B1586" s="1139">
        <f t="shared" ref="B1586:B1649" ca="1" si="252">INDEX(INDIRECT(LEFT($A1586,SEARCH("-",$A1586,1)-1)&amp;"_data"),MATCH(MID($A1586,SEARCH("-",$A1586)+1,SEARCH("#",SUBSTITUTE($A1586,"-","#",H1586),1)-(SEARCH("-",$A1586)+1)),INDIRECT(LEFT($A1586,SEARCH("-",$A1586,1)-1)&amp;"_rows"),0),MATCH(RIGHT($A1586,LEN($A1586)-SEARCH("#",SUBSTITUTE($A1586,"-","#",H1586),1)),INDIRECT(LEFT($A1586,SEARCH("-",$A1586,1)-1)&amp;"_Header"),0))</f>
        <v>0</v>
      </c>
      <c r="C1586" s="473">
        <f ca="1">IF(ISERROR(VLOOKUP($A$1531,INDIRECT("notes_"&amp;LEFT($A$1531,3)),4,0)),0,VLOOKUP($A$1531,INDIRECT("notes_"&amp;LEFT($A$1531,3)),4,0))</f>
        <v>0</v>
      </c>
      <c r="H1586" s="471">
        <f t="shared" si="249"/>
        <v>2</v>
      </c>
      <c r="I1586" s="471">
        <v>1</v>
      </c>
      <c r="J1586" s="471" t="str">
        <f t="shared" si="247"/>
        <v>envcll</v>
      </c>
      <c r="K1586" s="471" t="str">
        <f t="shared" si="248"/>
        <v>run-exp</v>
      </c>
      <c r="L1586" s="599"/>
      <c r="M1586" s="471" t="s">
        <v>5802</v>
      </c>
      <c r="N1586" s="471" t="s">
        <v>1114</v>
      </c>
      <c r="O1586" s="471" t="s">
        <v>1113</v>
      </c>
    </row>
    <row r="1587" spans="1:15" x14ac:dyDescent="0.25">
      <c r="A1587" s="471" t="s">
        <v>5840</v>
      </c>
      <c r="B1587" s="1139">
        <f t="shared" ca="1" si="252"/>
        <v>0</v>
      </c>
      <c r="C1587" s="473">
        <f ca="1">IF(ISERROR(VLOOKUP($A$1532,INDIRECT("notes_"&amp;LEFT($A$1532,3)),4,0)),0,VLOOKUP($A$1532,INDIRECT("notes_"&amp;LEFT($A$1532,3)),4,0))</f>
        <v>0</v>
      </c>
      <c r="H1587" s="471">
        <f t="shared" si="249"/>
        <v>2</v>
      </c>
      <c r="I1587" s="471">
        <v>1</v>
      </c>
      <c r="J1587" s="471" t="str">
        <f t="shared" si="247"/>
        <v>envdsp</v>
      </c>
      <c r="K1587" s="471" t="str">
        <f t="shared" si="248"/>
        <v>run-exp</v>
      </c>
      <c r="L1587" s="599"/>
      <c r="M1587" s="471" t="s">
        <v>5802</v>
      </c>
      <c r="N1587" s="471" t="s">
        <v>1114</v>
      </c>
      <c r="O1587" s="471" t="s">
        <v>1113</v>
      </c>
    </row>
    <row r="1588" spans="1:15" x14ac:dyDescent="0.25">
      <c r="A1588" s="471" t="s">
        <v>5841</v>
      </c>
      <c r="B1588" s="1139">
        <f t="shared" ca="1" si="252"/>
        <v>0</v>
      </c>
      <c r="C1588" s="473">
        <f ca="1">IF(ISERROR(VLOOKUP($A$1533,INDIRECT("notes_"&amp;LEFT($A$1533,3)),4,0)),0,VLOOKUP($A$1533,INDIRECT("notes_"&amp;LEFT($A$1533,3)),4,0))</f>
        <v>0</v>
      </c>
      <c r="H1588" s="471">
        <f t="shared" si="249"/>
        <v>2</v>
      </c>
      <c r="I1588" s="471">
        <v>1</v>
      </c>
      <c r="J1588" s="471" t="str">
        <f t="shared" si="247"/>
        <v>envtrd</v>
      </c>
      <c r="K1588" s="471" t="str">
        <f t="shared" si="248"/>
        <v>run-exp</v>
      </c>
      <c r="L1588" s="599"/>
      <c r="M1588" s="471" t="s">
        <v>5802</v>
      </c>
      <c r="N1588" s="471" t="s">
        <v>1114</v>
      </c>
      <c r="O1588" s="471" t="s">
        <v>1113</v>
      </c>
    </row>
    <row r="1589" spans="1:15" x14ac:dyDescent="0.25">
      <c r="A1589" s="471" t="s">
        <v>5842</v>
      </c>
      <c r="B1589" s="1139">
        <f t="shared" ca="1" si="252"/>
        <v>0</v>
      </c>
      <c r="C1589" s="473">
        <f ca="1">IF(ISERROR(VLOOKUP($A$1534,INDIRECT("notes_"&amp;LEFT($A$1534,3)),4,0)),0,VLOOKUP($A$1534,INDIRECT("notes_"&amp;LEFT($A$1534,3)),4,0))</f>
        <v>0</v>
      </c>
      <c r="H1589" s="471">
        <f t="shared" si="249"/>
        <v>2</v>
      </c>
      <c r="I1589" s="471">
        <v>1</v>
      </c>
      <c r="J1589" s="471" t="str">
        <f t="shared" si="247"/>
        <v>envrcy</v>
      </c>
      <c r="K1589" s="471" t="str">
        <f t="shared" si="248"/>
        <v>run-exp</v>
      </c>
      <c r="L1589" s="599"/>
      <c r="M1589" s="471" t="s">
        <v>5802</v>
      </c>
      <c r="N1589" s="471" t="s">
        <v>1114</v>
      </c>
      <c r="O1589" s="471" t="s">
        <v>1113</v>
      </c>
    </row>
    <row r="1590" spans="1:15" x14ac:dyDescent="0.25">
      <c r="A1590" s="471" t="s">
        <v>5843</v>
      </c>
      <c r="B1590" s="1139">
        <f t="shared" ca="1" si="252"/>
        <v>0</v>
      </c>
      <c r="C1590" s="473">
        <f ca="1">IF(ISERROR(VLOOKUP($A$1535,INDIRECT("notes_"&amp;LEFT($A$1535,3)),4,0)),0,VLOOKUP($A$1535,INDIRECT("notes_"&amp;LEFT($A$1535,3)),4,0))</f>
        <v>0</v>
      </c>
      <c r="H1590" s="471">
        <f t="shared" si="249"/>
        <v>2</v>
      </c>
      <c r="I1590" s="471">
        <v>1</v>
      </c>
      <c r="J1590" s="471" t="str">
        <f t="shared" si="247"/>
        <v>envmin</v>
      </c>
      <c r="K1590" s="471" t="str">
        <f t="shared" si="248"/>
        <v>run-exp</v>
      </c>
      <c r="L1590" s="599"/>
      <c r="M1590" s="471" t="s">
        <v>5802</v>
      </c>
      <c r="N1590" s="471" t="s">
        <v>1114</v>
      </c>
      <c r="O1590" s="471" t="s">
        <v>1113</v>
      </c>
    </row>
    <row r="1591" spans="1:15" x14ac:dyDescent="0.25">
      <c r="A1591" s="471" t="s">
        <v>5844</v>
      </c>
      <c r="B1591" s="1139">
        <f t="shared" ca="1" si="252"/>
        <v>0</v>
      </c>
      <c r="C1591" s="473">
        <f ca="1">IF(ISERROR(VLOOKUP($A$1536,INDIRECT("notes_"&amp;LEFT($A$1536,3)),4,0)),0,VLOOKUP($A$1536,INDIRECT("notes_"&amp;LEFT($A$1536,3)),4,0))</f>
        <v>0</v>
      </c>
      <c r="H1591" s="471">
        <f t="shared" si="249"/>
        <v>2</v>
      </c>
      <c r="I1591" s="471">
        <v>1</v>
      </c>
      <c r="J1591" s="471" t="str">
        <f t="shared" si="247"/>
        <v>envclm</v>
      </c>
      <c r="K1591" s="471" t="str">
        <f t="shared" si="248"/>
        <v>run-exp</v>
      </c>
      <c r="L1591" s="599"/>
      <c r="M1591" s="471" t="s">
        <v>5802</v>
      </c>
      <c r="N1591" s="471" t="s">
        <v>1114</v>
      </c>
      <c r="O1591" s="471" t="s">
        <v>1113</v>
      </c>
    </row>
    <row r="1592" spans="1:15" x14ac:dyDescent="0.25">
      <c r="A1592" s="471" t="s">
        <v>5845</v>
      </c>
      <c r="B1592" s="1139">
        <f t="shared" ca="1" si="252"/>
        <v>0</v>
      </c>
      <c r="C1592" s="473">
        <f ca="1">IF(ISERROR(VLOOKUP($A$1537,INDIRECT("notes_"&amp;LEFT($A$1537,3)),4,0)),0,VLOOKUP($A$1537,INDIRECT("notes_"&amp;LEFT($A$1537,3)),4,0))</f>
        <v>0</v>
      </c>
      <c r="H1592" s="471">
        <f t="shared" si="249"/>
        <v>2</v>
      </c>
      <c r="I1592" s="471">
        <v>1</v>
      </c>
      <c r="J1592" s="471" t="str">
        <f t="shared" si="247"/>
        <v>envtot</v>
      </c>
      <c r="K1592" s="471" t="str">
        <f t="shared" si="248"/>
        <v>run-exp</v>
      </c>
      <c r="L1592" s="599"/>
      <c r="M1592" s="471" t="s">
        <v>5802</v>
      </c>
      <c r="N1592" s="471" t="s">
        <v>1114</v>
      </c>
      <c r="O1592" s="471" t="s">
        <v>1113</v>
      </c>
    </row>
    <row r="1593" spans="1:15" x14ac:dyDescent="0.25">
      <c r="A1593" s="471" t="s">
        <v>2207</v>
      </c>
      <c r="B1593" s="1139">
        <f t="shared" ca="1" si="252"/>
        <v>0</v>
      </c>
      <c r="C1593" s="473">
        <f ca="1">IF(ISERROR(VLOOKUP($A$1593,INDIRECT("notes_"&amp;LEFT($A$1593,3)),4,0)),0,VLOOKUP($A$1593,INDIRECT("notes_"&amp;LEFT($A$1593,3)),4,0))</f>
        <v>0</v>
      </c>
      <c r="H1593" s="471">
        <f t="shared" si="249"/>
        <v>2</v>
      </c>
      <c r="I1593" s="471">
        <v>1</v>
      </c>
      <c r="J1593" s="471" t="str">
        <f t="shared" si="247"/>
        <v>envsvmem</v>
      </c>
      <c r="K1593" s="471" t="str">
        <f t="shared" si="248"/>
        <v>run-exp</v>
      </c>
      <c r="L1593" s="599"/>
      <c r="M1593" s="471" t="s">
        <v>5802</v>
      </c>
      <c r="N1593" s="471" t="s">
        <v>1114</v>
      </c>
      <c r="O1593" s="471" t="s">
        <v>1113</v>
      </c>
    </row>
    <row r="1594" spans="1:15" x14ac:dyDescent="0.25">
      <c r="A1594" s="471" t="s">
        <v>5846</v>
      </c>
      <c r="B1594" s="1139">
        <f t="shared" ca="1" si="252"/>
        <v>0</v>
      </c>
      <c r="C1594" s="473">
        <f ca="1">IF(ISERROR(VLOOKUP($A$1538,INDIRECT("notes_"&amp;LEFT($A$1538,3)),4,0)),0,VLOOKUP($A$1538,INDIRECT("notes_"&amp;LEFT($A$1538,3)),4,0))</f>
        <v>0</v>
      </c>
      <c r="H1594" s="471">
        <f t="shared" si="249"/>
        <v>2</v>
      </c>
      <c r="I1594" s="471">
        <v>1</v>
      </c>
      <c r="J1594" s="471" t="str">
        <f t="shared" si="247"/>
        <v>planbld</v>
      </c>
      <c r="K1594" s="471" t="str">
        <f t="shared" si="248"/>
        <v>run-exp</v>
      </c>
      <c r="L1594" s="599"/>
      <c r="M1594" s="471" t="s">
        <v>5802</v>
      </c>
      <c r="N1594" s="471" t="s">
        <v>1114</v>
      </c>
      <c r="O1594" s="471" t="s">
        <v>1113</v>
      </c>
    </row>
    <row r="1595" spans="1:15" x14ac:dyDescent="0.25">
      <c r="A1595" s="471" t="s">
        <v>5847</v>
      </c>
      <c r="B1595" s="1139">
        <f t="shared" ca="1" si="252"/>
        <v>0</v>
      </c>
      <c r="C1595" s="473">
        <f ca="1">IF(ISERROR(VLOOKUP($A$1539,INDIRECT("notes_"&amp;LEFT($A$1539,3)),4,0)),0,VLOOKUP($A$1539,INDIRECT("notes_"&amp;LEFT($A$1539,3)),4,0))</f>
        <v>0</v>
      </c>
      <c r="H1595" s="471">
        <f t="shared" si="249"/>
        <v>2</v>
      </c>
      <c r="I1595" s="471">
        <v>1</v>
      </c>
      <c r="J1595" s="471" t="str">
        <f t="shared" si="247"/>
        <v>plandvl</v>
      </c>
      <c r="K1595" s="471" t="str">
        <f t="shared" si="248"/>
        <v>run-exp</v>
      </c>
      <c r="L1595" s="599"/>
      <c r="M1595" s="471" t="s">
        <v>5802</v>
      </c>
      <c r="N1595" s="471" t="s">
        <v>1114</v>
      </c>
      <c r="O1595" s="471" t="s">
        <v>1113</v>
      </c>
    </row>
    <row r="1596" spans="1:15" x14ac:dyDescent="0.25">
      <c r="A1596" s="471" t="s">
        <v>5848</v>
      </c>
      <c r="B1596" s="1139">
        <f t="shared" ca="1" si="252"/>
        <v>0</v>
      </c>
      <c r="C1596" s="473">
        <f ca="1">IF(ISERROR(VLOOKUP($A$1540,INDIRECT("notes_"&amp;LEFT($A$1540,3)),4,0)),0,VLOOKUP($A$1540,INDIRECT("notes_"&amp;LEFT($A$1540,3)),4,0))</f>
        <v>0</v>
      </c>
      <c r="H1596" s="471">
        <f t="shared" si="249"/>
        <v>5</v>
      </c>
      <c r="I1596" s="471">
        <v>1</v>
      </c>
      <c r="J1596" s="471" t="str">
        <f t="shared" si="247"/>
        <v>planplc-cns-lst-bld</v>
      </c>
      <c r="K1596" s="471" t="str">
        <f t="shared" si="248"/>
        <v>run-exp</v>
      </c>
      <c r="L1596" s="599"/>
      <c r="M1596" s="471" t="s">
        <v>5802</v>
      </c>
      <c r="N1596" s="471" t="s">
        <v>1114</v>
      </c>
      <c r="O1596" s="471" t="s">
        <v>1113</v>
      </c>
    </row>
    <row r="1597" spans="1:15" x14ac:dyDescent="0.25">
      <c r="A1597" s="471" t="s">
        <v>5849</v>
      </c>
      <c r="B1597" s="1139">
        <f t="shared" ca="1" si="252"/>
        <v>0</v>
      </c>
      <c r="C1597" s="473">
        <f ca="1">IF(ISERROR(VLOOKUP($A$1541,INDIRECT("notes_"&amp;LEFT($A$1541,3)),4,0)),0,VLOOKUP($A$1541,INDIRECT("notes_"&amp;LEFT($A$1541,3)),4,0))</f>
        <v>0</v>
      </c>
      <c r="H1597" s="471">
        <f t="shared" si="249"/>
        <v>3</v>
      </c>
      <c r="I1597" s="471">
        <v>1</v>
      </c>
      <c r="J1597" s="471" t="str">
        <f t="shared" si="247"/>
        <v>planplc-oth</v>
      </c>
      <c r="K1597" s="471" t="str">
        <f t="shared" si="248"/>
        <v>run-exp</v>
      </c>
      <c r="L1597" s="599"/>
      <c r="M1597" s="471" t="s">
        <v>5802</v>
      </c>
      <c r="N1597" s="471" t="s">
        <v>1114</v>
      </c>
      <c r="O1597" s="471" t="s">
        <v>1113</v>
      </c>
    </row>
    <row r="1598" spans="1:15" x14ac:dyDescent="0.25">
      <c r="A1598" s="471" t="s">
        <v>5850</v>
      </c>
      <c r="B1598" s="1139">
        <f t="shared" ca="1" si="252"/>
        <v>0</v>
      </c>
      <c r="C1598" s="473">
        <f ca="1">IF(ISERROR(VLOOKUP($A$1542,INDIRECT("notes_"&amp;LEFT($A$1542,3)),4,0)),0,VLOOKUP($A$1542,INDIRECT("notes_"&amp;LEFT($A$1542,3)),4,0))</f>
        <v>0</v>
      </c>
      <c r="H1598" s="471">
        <f t="shared" si="249"/>
        <v>2</v>
      </c>
      <c r="I1598" s="471">
        <v>1</v>
      </c>
      <c r="J1598" s="471" t="str">
        <f t="shared" si="247"/>
        <v>planenv</v>
      </c>
      <c r="K1598" s="471" t="str">
        <f t="shared" si="248"/>
        <v>run-exp</v>
      </c>
      <c r="L1598" s="599"/>
      <c r="M1598" s="471" t="s">
        <v>5802</v>
      </c>
      <c r="N1598" s="471" t="s">
        <v>1114</v>
      </c>
      <c r="O1598" s="471" t="s">
        <v>1113</v>
      </c>
    </row>
    <row r="1599" spans="1:15" x14ac:dyDescent="0.25">
      <c r="A1599" s="471" t="s">
        <v>5851</v>
      </c>
      <c r="B1599" s="1139">
        <f t="shared" ca="1" si="252"/>
        <v>0</v>
      </c>
      <c r="C1599" s="473">
        <f ca="1">IF(ISERROR(VLOOKUP($A$1543,INDIRECT("notes_"&amp;LEFT($A$1543,3)),4,0)),0,VLOOKUP($A$1543,INDIRECT("notes_"&amp;LEFT($A$1543,3)),4,0))</f>
        <v>0</v>
      </c>
      <c r="H1599" s="471">
        <f t="shared" si="249"/>
        <v>2</v>
      </c>
      <c r="I1599" s="471">
        <v>1</v>
      </c>
      <c r="J1599" s="471" t="str">
        <f t="shared" si="247"/>
        <v>planecndev</v>
      </c>
      <c r="K1599" s="471" t="str">
        <f t="shared" si="248"/>
        <v>run-exp</v>
      </c>
      <c r="L1599" s="599"/>
      <c r="M1599" s="471" t="s">
        <v>5802</v>
      </c>
      <c r="N1599" s="471" t="s">
        <v>1114</v>
      </c>
      <c r="O1599" s="471" t="s">
        <v>1113</v>
      </c>
    </row>
    <row r="1600" spans="1:15" x14ac:dyDescent="0.25">
      <c r="A1600" s="471" t="s">
        <v>5852</v>
      </c>
      <c r="B1600" s="1139">
        <f t="shared" ca="1" si="252"/>
        <v>0</v>
      </c>
      <c r="C1600" s="473">
        <f ca="1">IF(ISERROR(VLOOKUP($A$1544,INDIRECT("notes_"&amp;LEFT($A$1544,3)),4,0)),0,VLOOKUP($A$1544,INDIRECT("notes_"&amp;LEFT($A$1544,3)),4,0))</f>
        <v>0</v>
      </c>
      <c r="H1600" s="471">
        <f t="shared" si="249"/>
        <v>2</v>
      </c>
      <c r="I1600" s="471">
        <v>1</v>
      </c>
      <c r="J1600" s="471" t="str">
        <f t="shared" si="247"/>
        <v>planecnrsr</v>
      </c>
      <c r="K1600" s="471" t="str">
        <f t="shared" si="248"/>
        <v>run-exp</v>
      </c>
      <c r="L1600" s="599"/>
      <c r="M1600" s="471" t="s">
        <v>5802</v>
      </c>
      <c r="N1600" s="471" t="s">
        <v>1114</v>
      </c>
      <c r="O1600" s="471" t="s">
        <v>1113</v>
      </c>
    </row>
    <row r="1601" spans="1:15" x14ac:dyDescent="0.25">
      <c r="A1601" s="471" t="s">
        <v>5853</v>
      </c>
      <c r="B1601" s="1139">
        <f t="shared" ca="1" si="252"/>
        <v>0</v>
      </c>
      <c r="C1601" s="473">
        <f ca="1">IF(ISERROR(VLOOKUP($A$1545,INDIRECT("notes_"&amp;LEFT($A$1545,3)),4,0)),0,VLOOKUP($A$1545,INDIRECT("notes_"&amp;LEFT($A$1545,3)),4,0))</f>
        <v>0</v>
      </c>
      <c r="H1601" s="471">
        <f t="shared" si="249"/>
        <v>2</v>
      </c>
      <c r="I1601" s="471">
        <v>1</v>
      </c>
      <c r="J1601" s="471" t="str">
        <f t="shared" si="247"/>
        <v>planbsn</v>
      </c>
      <c r="K1601" s="471" t="str">
        <f t="shared" si="248"/>
        <v>run-exp</v>
      </c>
      <c r="L1601" s="599"/>
      <c r="M1601" s="471" t="s">
        <v>5802</v>
      </c>
      <c r="N1601" s="471" t="s">
        <v>1114</v>
      </c>
      <c r="O1601" s="471" t="s">
        <v>1113</v>
      </c>
    </row>
    <row r="1602" spans="1:15" x14ac:dyDescent="0.25">
      <c r="A1602" s="471" t="s">
        <v>5854</v>
      </c>
      <c r="B1602" s="1139">
        <f t="shared" ca="1" si="252"/>
        <v>0</v>
      </c>
      <c r="C1602" s="473">
        <f ca="1">IF(ISERROR(VLOOKUP($A$1546,INDIRECT("notes_"&amp;LEFT($A$1546,3)),4,0)),0,VLOOKUP($A$1546,INDIRECT("notes_"&amp;LEFT($A$1546,3)),4,0))</f>
        <v>0</v>
      </c>
      <c r="H1602" s="471">
        <f t="shared" si="249"/>
        <v>2</v>
      </c>
      <c r="I1602" s="471">
        <v>1</v>
      </c>
      <c r="J1602" s="471" t="str">
        <f t="shared" si="247"/>
        <v>plancmm</v>
      </c>
      <c r="K1602" s="471" t="str">
        <f t="shared" si="248"/>
        <v>run-exp</v>
      </c>
      <c r="L1602" s="599"/>
      <c r="M1602" s="471" t="s">
        <v>5802</v>
      </c>
      <c r="N1602" s="471" t="s">
        <v>1114</v>
      </c>
      <c r="O1602" s="471" t="s">
        <v>1113</v>
      </c>
    </row>
    <row r="1603" spans="1:15" x14ac:dyDescent="0.25">
      <c r="A1603" s="471" t="s">
        <v>5855</v>
      </c>
      <c r="B1603" s="1139">
        <f t="shared" ca="1" si="252"/>
        <v>0</v>
      </c>
      <c r="C1603" s="473">
        <f ca="1">IF(ISERROR(VLOOKUP($A$1547,INDIRECT("notes_"&amp;LEFT($A$1547,3)),4,0)),0,VLOOKUP($A$1547,INDIRECT("notes_"&amp;LEFT($A$1547,3)),4,0))</f>
        <v>0</v>
      </c>
      <c r="H1603" s="471">
        <f t="shared" si="249"/>
        <v>2</v>
      </c>
      <c r="I1603" s="471">
        <v>1</v>
      </c>
      <c r="J1603" s="471" t="str">
        <f t="shared" si="247"/>
        <v>plantot</v>
      </c>
      <c r="K1603" s="471" t="str">
        <f t="shared" si="248"/>
        <v>run-exp</v>
      </c>
      <c r="L1603" s="599"/>
      <c r="M1603" s="471" t="s">
        <v>5802</v>
      </c>
      <c r="N1603" s="471" t="s">
        <v>1114</v>
      </c>
      <c r="O1603" s="471" t="s">
        <v>1113</v>
      </c>
    </row>
    <row r="1604" spans="1:15" x14ac:dyDescent="0.25">
      <c r="A1604" s="471" t="s">
        <v>2218</v>
      </c>
      <c r="B1604" s="1139">
        <f t="shared" ca="1" si="252"/>
        <v>0</v>
      </c>
      <c r="C1604" s="473">
        <f ca="1">IF(ISERROR(VLOOKUP($A$1604,INDIRECT("notes_"&amp;LEFT($A$1604,3)),4,0)),0,VLOOKUP($A$1604,INDIRECT("notes_"&amp;LEFT($A$1604,3)),4,0))</f>
        <v>0</v>
      </c>
      <c r="H1604" s="471">
        <f t="shared" si="249"/>
        <v>2</v>
      </c>
      <c r="I1604" s="471">
        <v>1</v>
      </c>
      <c r="J1604" s="471" t="str">
        <f t="shared" si="247"/>
        <v>plansvmem</v>
      </c>
      <c r="K1604" s="471" t="str">
        <f t="shared" si="248"/>
        <v>run-exp</v>
      </c>
      <c r="L1604" s="599"/>
      <c r="M1604" s="471" t="s">
        <v>5802</v>
      </c>
      <c r="N1604" s="471" t="s">
        <v>1114</v>
      </c>
      <c r="O1604" s="471" t="s">
        <v>1113</v>
      </c>
    </row>
    <row r="1605" spans="1:15" x14ac:dyDescent="0.25">
      <c r="A1605" s="471" t="s">
        <v>5856</v>
      </c>
      <c r="B1605" s="1139">
        <f t="shared" ca="1" si="252"/>
        <v>0</v>
      </c>
      <c r="C1605" s="473">
        <f ca="1">IF(ISERROR(VLOOKUP($A$1548,INDIRECT("notes_"&amp;LEFT($A$1548,3)),4,0)),0,VLOOKUP($A$1548,INDIRECT("notes_"&amp;LEFT($A$1548,3)),4,0))</f>
        <v>0</v>
      </c>
      <c r="H1605" s="471">
        <f t="shared" si="249"/>
        <v>2</v>
      </c>
      <c r="I1605" s="471">
        <v>1</v>
      </c>
      <c r="J1605" s="471" t="str">
        <f t="shared" si="247"/>
        <v>culenvplantot</v>
      </c>
      <c r="K1605" s="471" t="str">
        <f t="shared" si="248"/>
        <v>run-exp</v>
      </c>
      <c r="L1605" s="599"/>
      <c r="M1605" s="471" t="s">
        <v>5802</v>
      </c>
      <c r="N1605" s="471" t="s">
        <v>1114</v>
      </c>
      <c r="O1605" s="471" t="s">
        <v>1113</v>
      </c>
    </row>
    <row r="1606" spans="1:15" x14ac:dyDescent="0.25">
      <c r="A1606" s="471" t="s">
        <v>2220</v>
      </c>
      <c r="B1606" s="1139">
        <f t="shared" ca="1" si="252"/>
        <v>0</v>
      </c>
      <c r="C1606" s="473">
        <f ca="1">IF(ISERROR(VLOOKUP($A$1606,INDIRECT("notes_"&amp;LEFT($A$1606,3)),4,0)),0,VLOOKUP($A$1606,INDIRECT("notes_"&amp;LEFT($A$1606,3)),4,0))</f>
        <v>0</v>
      </c>
      <c r="H1606" s="471">
        <f t="shared" si="249"/>
        <v>2</v>
      </c>
      <c r="I1606" s="471">
        <v>1</v>
      </c>
      <c r="J1606" s="471" t="str">
        <f t="shared" si="247"/>
        <v>culenvplantotmem</v>
      </c>
      <c r="K1606" s="471" t="str">
        <f t="shared" si="248"/>
        <v>run-exp</v>
      </c>
      <c r="L1606" s="599"/>
      <c r="M1606" s="471" t="s">
        <v>5802</v>
      </c>
      <c r="N1606" s="471" t="s">
        <v>1114</v>
      </c>
      <c r="O1606" s="471" t="s">
        <v>1113</v>
      </c>
    </row>
    <row r="1607" spans="1:15" x14ac:dyDescent="0.25">
      <c r="A1607" s="471" t="s">
        <v>5857</v>
      </c>
      <c r="B1607" s="1139">
        <f t="shared" ca="1" si="252"/>
        <v>0</v>
      </c>
      <c r="C1607" s="473">
        <f ca="1">IF(ISERROR(VLOOKUP($A$1495,INDIRECT("notes_"&amp;LEFT($A$1495,3)),4,0)),0,VLOOKUP($A$1495,INDIRECT("notes_"&amp;LEFT($A$1495,3)),4,0))</f>
        <v>0</v>
      </c>
      <c r="H1607" s="471">
        <f t="shared" ref="H1607:H1608" si="253">LEN(A1607)-LEN(SUBSTITUTE(A1607,"-",""))-I1607</f>
        <v>2</v>
      </c>
      <c r="I1607" s="471">
        <v>1</v>
      </c>
      <c r="J1607" s="471" t="str">
        <f t="shared" ref="J1607:J1608" si="254">MID($A1607,SEARCH("-",$A1607)+1,SEARCH("#",SUBSTITUTE($A1607,"-","#",H1607),1)-(SEARCH("-",$A1607)+1))</f>
        <v>culhrtarc</v>
      </c>
      <c r="K1607" s="471" t="str">
        <f t="shared" ref="K1607:K1608" si="255">RIGHT($A1607,LEN($A1607)-SEARCH("#",SUBSTITUTE($A1607,"-","#",H1607),1))</f>
        <v>tot-exp</v>
      </c>
      <c r="L1607" s="599"/>
      <c r="M1607" s="471" t="s">
        <v>5802</v>
      </c>
      <c r="N1607" s="471" t="s">
        <v>1114</v>
      </c>
      <c r="O1607" s="471" t="s">
        <v>1113</v>
      </c>
    </row>
    <row r="1608" spans="1:15" x14ac:dyDescent="0.25">
      <c r="A1608" s="471" t="s">
        <v>5858</v>
      </c>
      <c r="B1608" s="1139">
        <f t="shared" ca="1" si="252"/>
        <v>0</v>
      </c>
      <c r="C1608" s="473">
        <f ca="1">IF(ISERROR(VLOOKUP($A$1496,INDIRECT("notes_"&amp;LEFT($A$1496,3)),4,0)),0,VLOOKUP($A$1496,INDIRECT("notes_"&amp;LEFT($A$1496,3)),4,0))</f>
        <v>0</v>
      </c>
      <c r="H1608" s="471">
        <f t="shared" si="253"/>
        <v>5</v>
      </c>
      <c r="I1608" s="471">
        <v>1</v>
      </c>
      <c r="J1608" s="471" t="str">
        <f t="shared" si="254"/>
        <v>culhrt-art-dvl-spp</v>
      </c>
      <c r="K1608" s="471" t="str">
        <f t="shared" si="255"/>
        <v>tot-exp</v>
      </c>
      <c r="L1608" s="599"/>
      <c r="M1608" s="471" t="s">
        <v>5802</v>
      </c>
      <c r="N1608" s="471" t="s">
        <v>1114</v>
      </c>
      <c r="O1608" s="471" t="s">
        <v>1113</v>
      </c>
    </row>
    <row r="1609" spans="1:15" x14ac:dyDescent="0.25">
      <c r="A1609" s="471" t="s">
        <v>5859</v>
      </c>
      <c r="B1609" s="1139">
        <f t="shared" ca="1" si="252"/>
        <v>0</v>
      </c>
      <c r="C1609" s="473">
        <f ca="1">IF(ISERROR(VLOOKUP($A$1497,INDIRECT("notes_"&amp;LEFT($A$1497,3)),4,0)),0,VLOOKUP($A$1497,INDIRECT("notes_"&amp;LEFT($A$1497,3)),4,0))</f>
        <v>0</v>
      </c>
      <c r="H1609" s="471">
        <f t="shared" ref="H1609:H1626" si="256">LEN(A1609)-LEN(SUBSTITUTE(A1609,"-",""))-I1609</f>
        <v>3</v>
      </c>
      <c r="I1609" s="471">
        <v>1</v>
      </c>
      <c r="J1609" s="471" t="str">
        <f t="shared" ref="J1609:J1626" si="257">MID($A1609,SEARCH("-",$A1609)+1,SEARCH("#",SUBSTITUTE($A1609,"-","#",H1609),1)-(SEARCH("-",$A1609)+1))</f>
        <v>culhrt-hrt</v>
      </c>
      <c r="K1609" s="471" t="str">
        <f t="shared" ref="K1609:K1626" si="258">RIGHT($A1609,LEN($A1609)-SEARCH("#",SUBSTITUTE($A1609,"-","#",H1609),1))</f>
        <v>tot-exp</v>
      </c>
      <c r="L1609" s="599"/>
      <c r="M1609" s="471" t="s">
        <v>5802</v>
      </c>
      <c r="N1609" s="471" t="s">
        <v>1114</v>
      </c>
      <c r="O1609" s="471" t="s">
        <v>1113</v>
      </c>
    </row>
    <row r="1610" spans="1:15" x14ac:dyDescent="0.25">
      <c r="A1610" s="471" t="s">
        <v>5860</v>
      </c>
      <c r="B1610" s="1139">
        <f t="shared" ca="1" si="252"/>
        <v>0</v>
      </c>
      <c r="C1610" s="473">
        <f ca="1">IF(ISERROR(VLOOKUP($A$1498,INDIRECT("notes_"&amp;LEFT($A$1498,3)),4,0)),0,VLOOKUP($A$1498,INDIRECT("notes_"&amp;LEFT($A$1498,3)),4,0))</f>
        <v>0</v>
      </c>
      <c r="H1610" s="471">
        <f t="shared" si="256"/>
        <v>4</v>
      </c>
      <c r="I1610" s="471">
        <v>1</v>
      </c>
      <c r="J1610" s="471" t="str">
        <f t="shared" si="257"/>
        <v>culhrt-msm-gll</v>
      </c>
      <c r="K1610" s="471" t="str">
        <f t="shared" si="258"/>
        <v>tot-exp</v>
      </c>
      <c r="L1610" s="599"/>
      <c r="M1610" s="471" t="s">
        <v>5802</v>
      </c>
      <c r="N1610" s="471" t="s">
        <v>1114</v>
      </c>
      <c r="O1610" s="471" t="s">
        <v>1113</v>
      </c>
    </row>
    <row r="1611" spans="1:15" x14ac:dyDescent="0.25">
      <c r="A1611" s="471" t="s">
        <v>5861</v>
      </c>
      <c r="B1611" s="1139">
        <f t="shared" ca="1" si="252"/>
        <v>0</v>
      </c>
      <c r="C1611" s="473">
        <f ca="1">IF(ISERROR(VLOOKUP($A$1499,INDIRECT("notes_"&amp;LEFT($A$1499,3)),4,0)),0,VLOOKUP($A$1499,INDIRECT("notes_"&amp;LEFT($A$1499,3)),4,0))</f>
        <v>0</v>
      </c>
      <c r="H1611" s="471">
        <f t="shared" si="256"/>
        <v>5</v>
      </c>
      <c r="I1611" s="471">
        <v>1</v>
      </c>
      <c r="J1611" s="471" t="str">
        <f t="shared" si="257"/>
        <v>culhrt-tht-pbl-ent</v>
      </c>
      <c r="K1611" s="471" t="str">
        <f t="shared" si="258"/>
        <v>tot-exp</v>
      </c>
      <c r="L1611" s="599"/>
      <c r="M1611" s="471" t="s">
        <v>5802</v>
      </c>
      <c r="N1611" s="471" t="s">
        <v>1114</v>
      </c>
      <c r="O1611" s="471" t="s">
        <v>1113</v>
      </c>
    </row>
    <row r="1612" spans="1:15" x14ac:dyDescent="0.25">
      <c r="A1612" s="471" t="s">
        <v>5862</v>
      </c>
      <c r="B1612" s="1139">
        <f t="shared" ca="1" si="252"/>
        <v>0</v>
      </c>
      <c r="C1612" s="473">
        <f ca="1">IF(ISERROR(VLOOKUP($A$1500,INDIRECT("notes_"&amp;LEFT($A$1500,3)),4,0)),0,VLOOKUP($A$1500,INDIRECT("notes_"&amp;LEFT($A$1500,3)),4,0))</f>
        <v>0</v>
      </c>
      <c r="H1612" s="471">
        <f t="shared" si="256"/>
        <v>6</v>
      </c>
      <c r="I1612" s="471">
        <v>1</v>
      </c>
      <c r="J1612" s="471" t="str">
        <f t="shared" si="257"/>
        <v>culspr-cmm-cen-pub-hll</v>
      </c>
      <c r="K1612" s="471" t="str">
        <f t="shared" si="258"/>
        <v>tot-exp</v>
      </c>
      <c r="L1612" s="599"/>
      <c r="M1612" s="471" t="s">
        <v>5802</v>
      </c>
      <c r="N1612" s="471" t="s">
        <v>1114</v>
      </c>
      <c r="O1612" s="471" t="s">
        <v>1113</v>
      </c>
    </row>
    <row r="1613" spans="1:15" x14ac:dyDescent="0.25">
      <c r="A1613" s="471" t="s">
        <v>5863</v>
      </c>
      <c r="B1613" s="1139">
        <f t="shared" ca="1" si="252"/>
        <v>0</v>
      </c>
      <c r="C1613" s="473">
        <f ca="1">IF(ISERROR(VLOOKUP($A$1501,INDIRECT("notes_"&amp;LEFT($A$1501,3)),4,0)),0,VLOOKUP($A$1501,INDIRECT("notes_"&amp;LEFT($A$1501,3)),4,0))</f>
        <v>0</v>
      </c>
      <c r="H1613" s="471">
        <f t="shared" si="256"/>
        <v>3</v>
      </c>
      <c r="I1613" s="471">
        <v>1</v>
      </c>
      <c r="J1613" s="471" t="str">
        <f t="shared" si="257"/>
        <v>culspr-frs</v>
      </c>
      <c r="K1613" s="471" t="str">
        <f t="shared" si="258"/>
        <v>tot-exp</v>
      </c>
      <c r="L1613" s="599"/>
      <c r="M1613" s="471" t="s">
        <v>5802</v>
      </c>
      <c r="N1613" s="471" t="s">
        <v>1114</v>
      </c>
      <c r="O1613" s="471" t="s">
        <v>1113</v>
      </c>
    </row>
    <row r="1614" spans="1:15" x14ac:dyDescent="0.25">
      <c r="A1614" s="471" t="s">
        <v>5864</v>
      </c>
      <c r="B1614" s="1139">
        <f t="shared" ca="1" si="252"/>
        <v>0</v>
      </c>
      <c r="C1614" s="473">
        <f ca="1">IF(ISERROR(VLOOKUP($A$1502,INDIRECT("notes_"&amp;LEFT($A$1502,3)),4,0)),0,VLOOKUP($A$1502,INDIRECT("notes_"&amp;LEFT($A$1502,3)),4,0))</f>
        <v>0</v>
      </c>
      <c r="H1614" s="471">
        <f t="shared" si="256"/>
        <v>6</v>
      </c>
      <c r="I1614" s="471">
        <v>1</v>
      </c>
      <c r="J1614" s="471" t="str">
        <f t="shared" si="257"/>
        <v>culspr-spr-dvl-cmm-rec</v>
      </c>
      <c r="K1614" s="471" t="str">
        <f t="shared" si="258"/>
        <v>tot-exp</v>
      </c>
      <c r="L1614" s="599"/>
      <c r="M1614" s="471" t="s">
        <v>5802</v>
      </c>
      <c r="N1614" s="471" t="s">
        <v>1114</v>
      </c>
      <c r="O1614" s="471" t="s">
        <v>1113</v>
      </c>
    </row>
    <row r="1615" spans="1:15" x14ac:dyDescent="0.25">
      <c r="A1615" s="471" t="s">
        <v>5865</v>
      </c>
      <c r="B1615" s="1139">
        <f t="shared" ca="1" si="252"/>
        <v>0</v>
      </c>
      <c r="C1615" s="473">
        <f ca="1">IF(ISERROR(VLOOKUP($A$1503,INDIRECT("notes_"&amp;LEFT($A$1503,3)),4,0)),0,VLOOKUP($A$1503,INDIRECT("notes_"&amp;LEFT($A$1503,3)),4,0))</f>
        <v>0</v>
      </c>
      <c r="H1615" s="471">
        <f t="shared" si="256"/>
        <v>5</v>
      </c>
      <c r="I1615" s="471">
        <v>1</v>
      </c>
      <c r="J1615" s="471" t="str">
        <f t="shared" si="257"/>
        <v>culspr-spr-lsr-fcl</v>
      </c>
      <c r="K1615" s="471" t="str">
        <f t="shared" si="258"/>
        <v>tot-exp</v>
      </c>
      <c r="L1615" s="599"/>
      <c r="M1615" s="471" t="s">
        <v>5802</v>
      </c>
      <c r="N1615" s="471" t="s">
        <v>1114</v>
      </c>
      <c r="O1615" s="471" t="s">
        <v>1113</v>
      </c>
    </row>
    <row r="1616" spans="1:15" x14ac:dyDescent="0.25">
      <c r="A1616" s="471" t="s">
        <v>5866</v>
      </c>
      <c r="B1616" s="1139">
        <f t="shared" ca="1" si="252"/>
        <v>0</v>
      </c>
      <c r="C1616" s="473">
        <f ca="1">IF(ISERROR(VLOOKUP($A$1504,INDIRECT("notes_"&amp;LEFT($A$1504,3)),4,0)),0,VLOOKUP($A$1504,INDIRECT("notes_"&amp;LEFT($A$1504,3)),4,0))</f>
        <v>0</v>
      </c>
      <c r="H1616" s="471">
        <f t="shared" si="256"/>
        <v>3</v>
      </c>
      <c r="I1616" s="471">
        <v>1</v>
      </c>
      <c r="J1616" s="471" t="str">
        <f t="shared" si="257"/>
        <v>culprk-opn</v>
      </c>
      <c r="K1616" s="471" t="str">
        <f t="shared" si="258"/>
        <v>tot-exp</v>
      </c>
      <c r="L1616" s="599"/>
      <c r="M1616" s="471" t="s">
        <v>5802</v>
      </c>
      <c r="N1616" s="471" t="s">
        <v>1114</v>
      </c>
      <c r="O1616" s="471" t="s">
        <v>1113</v>
      </c>
    </row>
    <row r="1617" spans="1:15" x14ac:dyDescent="0.25">
      <c r="A1617" s="471" t="s">
        <v>5867</v>
      </c>
      <c r="B1617" s="1139">
        <f t="shared" ca="1" si="252"/>
        <v>0</v>
      </c>
      <c r="C1617" s="473">
        <f ca="1">IF(ISERROR(VLOOKUP($A$1505,INDIRECT("notes_"&amp;LEFT($A$1505,3)),4,0)),0,VLOOKUP($A$1505,INDIRECT("notes_"&amp;LEFT($A$1505,3)),4,0))</f>
        <v>0</v>
      </c>
      <c r="H1617" s="471">
        <f t="shared" si="256"/>
        <v>2</v>
      </c>
      <c r="I1617" s="471">
        <v>1</v>
      </c>
      <c r="J1617" s="471" t="str">
        <f t="shared" si="257"/>
        <v>culall</v>
      </c>
      <c r="K1617" s="471" t="str">
        <f t="shared" si="258"/>
        <v>tot-exp</v>
      </c>
      <c r="L1617" s="599"/>
      <c r="M1617" s="471" t="s">
        <v>5802</v>
      </c>
      <c r="N1617" s="471" t="s">
        <v>1114</v>
      </c>
      <c r="O1617" s="471" t="s">
        <v>1113</v>
      </c>
    </row>
    <row r="1618" spans="1:15" x14ac:dyDescent="0.25">
      <c r="A1618" s="471" t="s">
        <v>5868</v>
      </c>
      <c r="B1618" s="1139">
        <f t="shared" ca="1" si="252"/>
        <v>0</v>
      </c>
      <c r="C1618" s="473">
        <f ca="1">IF(ISERROR(VLOOKUP($A$1506,INDIRECT("notes_"&amp;LEFT($A$1506,3)),4,0)),0,VLOOKUP($A$1506,INDIRECT("notes_"&amp;LEFT($A$1506,3)),4,0))</f>
        <v>0</v>
      </c>
      <c r="H1618" s="471">
        <f t="shared" si="256"/>
        <v>2</v>
      </c>
      <c r="I1618" s="471">
        <v>1</v>
      </c>
      <c r="J1618" s="471" t="str">
        <f t="shared" si="257"/>
        <v>cultrs</v>
      </c>
      <c r="K1618" s="471" t="str">
        <f t="shared" si="258"/>
        <v>tot-exp</v>
      </c>
      <c r="L1618" s="599"/>
      <c r="M1618" s="471" t="s">
        <v>5802</v>
      </c>
      <c r="N1618" s="471" t="s">
        <v>1114</v>
      </c>
      <c r="O1618" s="471" t="s">
        <v>1113</v>
      </c>
    </row>
    <row r="1619" spans="1:15" x14ac:dyDescent="0.25">
      <c r="A1619" s="471" t="s">
        <v>5869</v>
      </c>
      <c r="B1619" s="1139">
        <f t="shared" ca="1" si="252"/>
        <v>0</v>
      </c>
      <c r="C1619" s="473">
        <f ca="1">IF(ISERROR(VLOOKUP($A$1507,INDIRECT("notes_"&amp;LEFT($A$1507,3)),4,0)),0,VLOOKUP($A$1507,INDIRECT("notes_"&amp;LEFT($A$1507,3)),4,0))</f>
        <v>0</v>
      </c>
      <c r="H1619" s="471">
        <f t="shared" si="256"/>
        <v>2</v>
      </c>
      <c r="I1619" s="471">
        <v>1</v>
      </c>
      <c r="J1619" s="471" t="str">
        <f t="shared" si="257"/>
        <v>cullib</v>
      </c>
      <c r="K1619" s="471" t="str">
        <f t="shared" si="258"/>
        <v>tot-exp</v>
      </c>
      <c r="L1619" s="599"/>
      <c r="M1619" s="471" t="s">
        <v>5802</v>
      </c>
      <c r="N1619" s="471" t="s">
        <v>1114</v>
      </c>
      <c r="O1619" s="471" t="s">
        <v>1113</v>
      </c>
    </row>
    <row r="1620" spans="1:15" x14ac:dyDescent="0.25">
      <c r="A1620" s="471" t="s">
        <v>5870</v>
      </c>
      <c r="B1620" s="1139">
        <f t="shared" ca="1" si="252"/>
        <v>0</v>
      </c>
      <c r="C1620" s="473">
        <f ca="1">IF(ISERROR(VLOOKUP($A$1508,INDIRECT("notes_"&amp;LEFT($A$1508,3)),4,0)),0,VLOOKUP($A$1508,INDIRECT("notes_"&amp;LEFT($A$1508,3)),4,0))</f>
        <v>0</v>
      </c>
      <c r="H1620" s="471">
        <f t="shared" si="256"/>
        <v>2</v>
      </c>
      <c r="I1620" s="471">
        <v>1</v>
      </c>
      <c r="J1620" s="471" t="str">
        <f t="shared" si="257"/>
        <v>cultot</v>
      </c>
      <c r="K1620" s="471" t="str">
        <f t="shared" si="258"/>
        <v>tot-exp</v>
      </c>
      <c r="L1620" s="599"/>
      <c r="M1620" s="471" t="s">
        <v>5802</v>
      </c>
      <c r="N1620" s="471" t="s">
        <v>1114</v>
      </c>
      <c r="O1620" s="471" t="s">
        <v>1113</v>
      </c>
    </row>
    <row r="1621" spans="1:15" x14ac:dyDescent="0.25">
      <c r="A1621" s="471" t="s">
        <v>5871</v>
      </c>
      <c r="B1621" s="1139">
        <f t="shared" ca="1" si="252"/>
        <v>0</v>
      </c>
      <c r="C1621" s="473">
        <f ca="1">IF(ISERROR(VLOOKUP($A$1509,INDIRECT("notes_"&amp;LEFT($A$1509,3)),4,0)),0,VLOOKUP($A$1509,INDIRECT("notes_"&amp;LEFT($A$1509,3)),4,0))</f>
        <v>0</v>
      </c>
      <c r="H1621" s="471">
        <f t="shared" si="256"/>
        <v>2</v>
      </c>
      <c r="I1621" s="471">
        <v>1</v>
      </c>
      <c r="J1621" s="471" t="str">
        <f t="shared" si="257"/>
        <v>envcmt</v>
      </c>
      <c r="K1621" s="471" t="str">
        <f t="shared" si="258"/>
        <v>tot-exp</v>
      </c>
      <c r="L1621" s="599"/>
      <c r="M1621" s="471" t="s">
        <v>5802</v>
      </c>
      <c r="N1621" s="471" t="s">
        <v>1114</v>
      </c>
      <c r="O1621" s="471" t="s">
        <v>1113</v>
      </c>
    </row>
    <row r="1622" spans="1:15" x14ac:dyDescent="0.25">
      <c r="A1622" s="471" t="s">
        <v>5872</v>
      </c>
      <c r="B1622" s="1139">
        <f t="shared" ca="1" si="252"/>
        <v>0</v>
      </c>
      <c r="C1622" s="473">
        <f ca="1">IF(ISERROR(VLOOKUP($A$1510,INDIRECT("notes_"&amp;LEFT($A$1510,3)),4,0)),0,VLOOKUP($A$1510,INDIRECT("notes_"&amp;LEFT($A$1510,3)),4,0))</f>
        <v>0</v>
      </c>
      <c r="H1622" s="471">
        <f t="shared" si="256"/>
        <v>2</v>
      </c>
      <c r="I1622" s="471">
        <v>1</v>
      </c>
      <c r="J1622" s="471" t="str">
        <f t="shared" si="257"/>
        <v>envrgltrd</v>
      </c>
      <c r="K1622" s="471" t="str">
        <f t="shared" si="258"/>
        <v>tot-exp</v>
      </c>
      <c r="L1622" s="599"/>
      <c r="M1622" s="471" t="s">
        <v>5802</v>
      </c>
      <c r="N1622" s="471" t="s">
        <v>1114</v>
      </c>
      <c r="O1622" s="471" t="s">
        <v>1113</v>
      </c>
    </row>
    <row r="1623" spans="1:15" x14ac:dyDescent="0.25">
      <c r="A1623" s="471" t="s">
        <v>5873</v>
      </c>
      <c r="B1623" s="1139">
        <f t="shared" ca="1" si="252"/>
        <v>0</v>
      </c>
      <c r="C1623" s="473">
        <f ca="1">IF(ISERROR(VLOOKUP($A$1511,INDIRECT("notes_"&amp;LEFT($A$1511,3)),4,0)),0,VLOOKUP($A$1511,INDIRECT("notes_"&amp;LEFT($A$1511,3)),4,0))</f>
        <v>0</v>
      </c>
      <c r="H1623" s="471">
        <f t="shared" si="256"/>
        <v>2</v>
      </c>
      <c r="I1623" s="471">
        <v>1</v>
      </c>
      <c r="J1623" s="471" t="str">
        <f t="shared" si="257"/>
        <v>envrglenvwtr</v>
      </c>
      <c r="K1623" s="471" t="str">
        <f t="shared" si="258"/>
        <v>tot-exp</v>
      </c>
      <c r="L1623" s="599"/>
      <c r="M1623" s="471" t="s">
        <v>5802</v>
      </c>
      <c r="N1623" s="471" t="s">
        <v>1114</v>
      </c>
      <c r="O1623" s="471" t="s">
        <v>1113</v>
      </c>
    </row>
    <row r="1624" spans="1:15" x14ac:dyDescent="0.25">
      <c r="A1624" s="471" t="s">
        <v>5874</v>
      </c>
      <c r="B1624" s="1139">
        <f t="shared" ca="1" si="252"/>
        <v>0</v>
      </c>
      <c r="C1624" s="473">
        <f ca="1">IF(ISERROR(VLOOKUP($A$1512,INDIRECT("notes_"&amp;LEFT($A$1512,3)),4,0)),0,VLOOKUP($A$1512,INDIRECT("notes_"&amp;LEFT($A$1512,3)),4,0))</f>
        <v>0</v>
      </c>
      <c r="H1624" s="471">
        <f t="shared" si="256"/>
        <v>2</v>
      </c>
      <c r="I1624" s="471">
        <v>1</v>
      </c>
      <c r="J1624" s="471" t="str">
        <f t="shared" si="257"/>
        <v>envrglenvfd</v>
      </c>
      <c r="K1624" s="471" t="str">
        <f t="shared" si="258"/>
        <v>tot-exp</v>
      </c>
      <c r="L1624" s="599"/>
      <c r="M1624" s="471" t="s">
        <v>5802</v>
      </c>
      <c r="N1624" s="471" t="s">
        <v>1114</v>
      </c>
      <c r="O1624" s="471" t="s">
        <v>1113</v>
      </c>
    </row>
    <row r="1625" spans="1:15" x14ac:dyDescent="0.25">
      <c r="A1625" s="471" t="s">
        <v>5875</v>
      </c>
      <c r="B1625" s="1139">
        <f t="shared" ca="1" si="252"/>
        <v>0</v>
      </c>
      <c r="C1625" s="473">
        <f ca="1">IF(ISERROR(VLOOKUP($A$1513,INDIRECT("notes_"&amp;LEFT($A$1513,3)),4,0)),0,VLOOKUP($A$1513,INDIRECT("notes_"&amp;LEFT($A$1513,3)),4,0))</f>
        <v>0</v>
      </c>
      <c r="H1625" s="471">
        <f t="shared" si="256"/>
        <v>2</v>
      </c>
      <c r="I1625" s="471">
        <v>1</v>
      </c>
      <c r="J1625" s="471" t="str">
        <f t="shared" si="257"/>
        <v>envrglenvenv</v>
      </c>
      <c r="K1625" s="471" t="str">
        <f t="shared" si="258"/>
        <v>tot-exp</v>
      </c>
      <c r="L1625" s="599"/>
      <c r="M1625" s="471" t="s">
        <v>5802</v>
      </c>
      <c r="N1625" s="471" t="s">
        <v>1114</v>
      </c>
      <c r="O1625" s="471" t="s">
        <v>1113</v>
      </c>
    </row>
    <row r="1626" spans="1:15" x14ac:dyDescent="0.25">
      <c r="A1626" s="471" t="s">
        <v>5876</v>
      </c>
      <c r="B1626" s="1139">
        <f t="shared" ca="1" si="252"/>
        <v>0</v>
      </c>
      <c r="C1626" s="473">
        <f ca="1">IF(ISERROR(VLOOKUP($A$1514,INDIRECT("notes_"&amp;LEFT($A$1514,3)),4,0)),0,VLOOKUP($A$1514,INDIRECT("notes_"&amp;LEFT($A$1514,3)),4,0))</f>
        <v>0</v>
      </c>
      <c r="H1626" s="471">
        <f t="shared" si="256"/>
        <v>2</v>
      </c>
      <c r="I1626" s="471">
        <v>1</v>
      </c>
      <c r="J1626" s="471" t="str">
        <f t="shared" si="257"/>
        <v>envrglenvhsn</v>
      </c>
      <c r="K1626" s="471" t="str">
        <f t="shared" si="258"/>
        <v>tot-exp</v>
      </c>
      <c r="L1626" s="599"/>
      <c r="M1626" s="471" t="s">
        <v>5802</v>
      </c>
      <c r="N1626" s="471" t="s">
        <v>1114</v>
      </c>
      <c r="O1626" s="471" t="s">
        <v>1113</v>
      </c>
    </row>
    <row r="1627" spans="1:15" x14ac:dyDescent="0.25">
      <c r="A1627" s="471" t="s">
        <v>5877</v>
      </c>
      <c r="B1627" s="1139">
        <f t="shared" ca="1" si="252"/>
        <v>0</v>
      </c>
      <c r="C1627" s="473">
        <f ca="1">IF(ISERROR(VLOOKUP($A$1515,INDIRECT("notes_"&amp;LEFT($A$1515,3)),4,0)),0,VLOOKUP($A$1515,INDIRECT("notes_"&amp;LEFT($A$1515,3)),4,0))</f>
        <v>0</v>
      </c>
      <c r="H1627" s="471">
        <f t="shared" ref="H1627:H1717" si="259">LEN(A1627)-LEN(SUBSTITUTE(A1627,"-",""))-I1627</f>
        <v>2</v>
      </c>
      <c r="I1627" s="471">
        <v>1</v>
      </c>
      <c r="J1627" s="471" t="str">
        <f t="shared" ref="J1627:J1717" si="260">MID($A1627,SEARCH("-",$A1627)+1,SEARCH("#",SUBSTITUTE($A1627,"-","#",H1627),1)-(SEARCH("-",$A1627)+1))</f>
        <v>envrglenvhs</v>
      </c>
      <c r="K1627" s="471" t="str">
        <f t="shared" ref="K1627:K1717" si="261">RIGHT($A1627,LEN($A1627)-SEARCH("#",SUBSTITUTE($A1627,"-","#",H1627),1))</f>
        <v>tot-exp</v>
      </c>
      <c r="L1627" s="599"/>
      <c r="M1627" s="471" t="s">
        <v>5802</v>
      </c>
      <c r="N1627" s="471" t="s">
        <v>1114</v>
      </c>
      <c r="O1627" s="471" t="s">
        <v>1113</v>
      </c>
    </row>
    <row r="1628" spans="1:15" x14ac:dyDescent="0.25">
      <c r="A1628" s="471" t="s">
        <v>5878</v>
      </c>
      <c r="B1628" s="1139">
        <f t="shared" ca="1" si="252"/>
        <v>0</v>
      </c>
      <c r="C1628" s="473">
        <f ca="1">IF(ISERROR(VLOOKUP($A$1516,INDIRECT("notes_"&amp;LEFT($A$1516,3)),4,0)),0,VLOOKUP($A$1516,INDIRECT("notes_"&amp;LEFT($A$1516,3)),4,0))</f>
        <v>0</v>
      </c>
      <c r="H1628" s="471">
        <f t="shared" si="259"/>
        <v>2</v>
      </c>
      <c r="I1628" s="471">
        <v>1</v>
      </c>
      <c r="J1628" s="471" t="str">
        <f t="shared" si="260"/>
        <v>envrglenvprtxlvs</v>
      </c>
      <c r="K1628" s="471" t="str">
        <f t="shared" si="261"/>
        <v>tot-exp</v>
      </c>
      <c r="L1628" s="599"/>
      <c r="M1628" s="471" t="s">
        <v>5802</v>
      </c>
      <c r="N1628" s="471" t="s">
        <v>1114</v>
      </c>
      <c r="O1628" s="471" t="s">
        <v>1113</v>
      </c>
    </row>
    <row r="1629" spans="1:15" x14ac:dyDescent="0.25">
      <c r="A1629" s="471" t="s">
        <v>5879</v>
      </c>
      <c r="B1629" s="1139">
        <f t="shared" ca="1" si="252"/>
        <v>0</v>
      </c>
      <c r="C1629" s="473">
        <f ca="1">IF(ISERROR(VLOOKUP($A$1517,INDIRECT("notes_"&amp;LEFT($A$1517,3)),4,0)),0,VLOOKUP($A$1517,INDIRECT("notes_"&amp;LEFT($A$1517,3)),4,0))</f>
        <v>0</v>
      </c>
      <c r="H1629" s="471">
        <f t="shared" si="259"/>
        <v>2</v>
      </c>
      <c r="I1629" s="471">
        <v>1</v>
      </c>
      <c r="J1629" s="471" t="str">
        <f t="shared" si="260"/>
        <v>envrglenvprtlvs</v>
      </c>
      <c r="K1629" s="471" t="str">
        <f t="shared" si="261"/>
        <v>tot-exp</v>
      </c>
      <c r="L1629" s="599"/>
      <c r="M1629" s="471" t="s">
        <v>5802</v>
      </c>
      <c r="N1629" s="471" t="s">
        <v>1114</v>
      </c>
      <c r="O1629" s="471" t="s">
        <v>1113</v>
      </c>
    </row>
    <row r="1630" spans="1:15" x14ac:dyDescent="0.25">
      <c r="A1630" s="471" t="s">
        <v>5880</v>
      </c>
      <c r="B1630" s="1139">
        <f t="shared" ca="1" si="252"/>
        <v>0</v>
      </c>
      <c r="C1630" s="473">
        <f ca="1">IF(ISERROR(VLOOKUP($A$1518,INDIRECT("notes_"&amp;LEFT($A$1518,3)),4,0)),0,VLOOKUP($A$1518,INDIRECT("notes_"&amp;LEFT($A$1518,3)),4,0))</f>
        <v>0</v>
      </c>
      <c r="H1630" s="471">
        <f t="shared" si="259"/>
        <v>2</v>
      </c>
      <c r="I1630" s="471">
        <v>1</v>
      </c>
      <c r="J1630" s="471" t="str">
        <f t="shared" si="260"/>
        <v>envrglenvpst</v>
      </c>
      <c r="K1630" s="471" t="str">
        <f t="shared" si="261"/>
        <v>tot-exp</v>
      </c>
      <c r="L1630" s="599"/>
      <c r="M1630" s="471" t="s">
        <v>5802</v>
      </c>
      <c r="N1630" s="471" t="s">
        <v>1114</v>
      </c>
      <c r="O1630" s="471" t="s">
        <v>1113</v>
      </c>
    </row>
    <row r="1631" spans="1:15" x14ac:dyDescent="0.25">
      <c r="A1631" s="471" t="s">
        <v>5881</v>
      </c>
      <c r="B1631" s="1139">
        <f t="shared" ca="1" si="252"/>
        <v>0</v>
      </c>
      <c r="C1631" s="473">
        <f ca="1">IF(ISERROR(VLOOKUP($A$1519,INDIRECT("notes_"&amp;LEFT($A$1519,3)),4,0)),0,VLOOKUP($A$1519,INDIRECT("notes_"&amp;LEFT($A$1519,3)),4,0))</f>
        <v>0</v>
      </c>
      <c r="H1631" s="471">
        <f t="shared" si="259"/>
        <v>2</v>
      </c>
      <c r="I1631" s="471">
        <v>1</v>
      </c>
      <c r="J1631" s="471" t="str">
        <f t="shared" si="260"/>
        <v>envrglenvtlt</v>
      </c>
      <c r="K1631" s="471" t="str">
        <f t="shared" si="261"/>
        <v>tot-exp</v>
      </c>
      <c r="L1631" s="599"/>
      <c r="M1631" s="471" t="s">
        <v>5802</v>
      </c>
      <c r="N1631" s="471" t="s">
        <v>1114</v>
      </c>
      <c r="O1631" s="471" t="s">
        <v>1113</v>
      </c>
    </row>
    <row r="1632" spans="1:15" x14ac:dyDescent="0.25">
      <c r="A1632" s="471" t="s">
        <v>5882</v>
      </c>
      <c r="B1632" s="1139">
        <f t="shared" ca="1" si="252"/>
        <v>0</v>
      </c>
      <c r="C1632" s="473">
        <f ca="1">IF(ISERROR(VLOOKUP($A$1520,INDIRECT("notes_"&amp;LEFT($A$1520,3)),4,0)),0,VLOOKUP($A$1520,INDIRECT("notes_"&amp;LEFT($A$1520,3)),4,0))</f>
        <v>0</v>
      </c>
      <c r="H1632" s="471">
        <f t="shared" si="259"/>
        <v>2</v>
      </c>
      <c r="I1632" s="471">
        <v>1</v>
      </c>
      <c r="J1632" s="471" t="str">
        <f t="shared" si="260"/>
        <v>envrglenvanm</v>
      </c>
      <c r="K1632" s="471" t="str">
        <f t="shared" si="261"/>
        <v>tot-exp</v>
      </c>
      <c r="L1632" s="599"/>
      <c r="M1632" s="471" t="s">
        <v>5802</v>
      </c>
      <c r="N1632" s="471" t="s">
        <v>1114</v>
      </c>
      <c r="O1632" s="471" t="s">
        <v>1113</v>
      </c>
    </row>
    <row r="1633" spans="1:15" x14ac:dyDescent="0.25">
      <c r="A1633" s="471" t="s">
        <v>5883</v>
      </c>
      <c r="B1633" s="1139">
        <f t="shared" ca="1" si="252"/>
        <v>0</v>
      </c>
      <c r="C1633" s="473">
        <f ca="1">IF(ISERROR(VLOOKUP($A$1521,INDIRECT("notes_"&amp;LEFT($A$1521,3)),4,0)),0,VLOOKUP($A$1521,INDIRECT("notes_"&amp;LEFT($A$1521,3)),4,0))</f>
        <v>0</v>
      </c>
      <c r="H1633" s="471">
        <f t="shared" si="259"/>
        <v>2</v>
      </c>
      <c r="I1633" s="471">
        <v>1</v>
      </c>
      <c r="J1633" s="471" t="str">
        <f t="shared" si="260"/>
        <v>envrglenvlcn</v>
      </c>
      <c r="K1633" s="471" t="str">
        <f t="shared" si="261"/>
        <v>tot-exp</v>
      </c>
      <c r="L1633" s="599"/>
      <c r="M1633" s="471" t="s">
        <v>5802</v>
      </c>
      <c r="N1633" s="471" t="s">
        <v>1114</v>
      </c>
      <c r="O1633" s="471" t="s">
        <v>1113</v>
      </c>
    </row>
    <row r="1634" spans="1:15" x14ac:dyDescent="0.25">
      <c r="A1634" s="471" t="s">
        <v>5884</v>
      </c>
      <c r="B1634" s="1139">
        <f t="shared" ca="1" si="252"/>
        <v>0</v>
      </c>
      <c r="C1634" s="473">
        <f ca="1">IF(ISERROR(VLOOKUP($A$1522,INDIRECT("notes_"&amp;LEFT($A$1522,3)),4,0)),0,VLOOKUP($A$1522,INDIRECT("notes_"&amp;LEFT($A$1522,3)),4,0))</f>
        <v>0</v>
      </c>
      <c r="H1634" s="471">
        <f t="shared" si="259"/>
        <v>2</v>
      </c>
      <c r="I1634" s="471">
        <v>1</v>
      </c>
      <c r="J1634" s="471" t="str">
        <f t="shared" si="260"/>
        <v>envcmmcrm</v>
      </c>
      <c r="K1634" s="471" t="str">
        <f t="shared" si="261"/>
        <v>tot-exp</v>
      </c>
      <c r="L1634" s="599"/>
      <c r="M1634" s="471" t="s">
        <v>5802</v>
      </c>
      <c r="N1634" s="471" t="s">
        <v>1114</v>
      </c>
      <c r="O1634" s="471" t="s">
        <v>1113</v>
      </c>
    </row>
    <row r="1635" spans="1:15" x14ac:dyDescent="0.25">
      <c r="A1635" s="471" t="s">
        <v>5885</v>
      </c>
      <c r="B1635" s="1139">
        <f t="shared" ca="1" si="252"/>
        <v>0</v>
      </c>
      <c r="C1635" s="473">
        <f ca="1">IF(ISERROR(VLOOKUP($A$1523,INDIRECT("notes_"&amp;LEFT($A$1523,3)),4,0)),0,VLOOKUP($A$1523,INDIRECT("notes_"&amp;LEFT($A$1523,3)),4,0))</f>
        <v>0</v>
      </c>
      <c r="H1635" s="471">
        <f t="shared" si="259"/>
        <v>2</v>
      </c>
      <c r="I1635" s="471">
        <v>1</v>
      </c>
      <c r="J1635" s="471" t="str">
        <f t="shared" si="260"/>
        <v>envcmmsft</v>
      </c>
      <c r="K1635" s="471" t="str">
        <f t="shared" si="261"/>
        <v>tot-exp</v>
      </c>
      <c r="L1635" s="599"/>
      <c r="M1635" s="471" t="s">
        <v>5802</v>
      </c>
      <c r="N1635" s="471" t="s">
        <v>1114</v>
      </c>
      <c r="O1635" s="471" t="s">
        <v>1113</v>
      </c>
    </row>
    <row r="1636" spans="1:15" x14ac:dyDescent="0.25">
      <c r="A1636" s="471" t="s">
        <v>5886</v>
      </c>
      <c r="B1636" s="1139">
        <f t="shared" ca="1" si="252"/>
        <v>0</v>
      </c>
      <c r="C1636" s="473">
        <f ca="1">IF(ISERROR(VLOOKUP($A$1524,INDIRECT("notes_"&amp;LEFT($A$1524,3)),4,0)),0,VLOOKUP($A$1524,INDIRECT("notes_"&amp;LEFT($A$1524,3)),4,0))</f>
        <v>0</v>
      </c>
      <c r="H1636" s="471">
        <f t="shared" si="259"/>
        <v>2</v>
      </c>
      <c r="I1636" s="471">
        <v>1</v>
      </c>
      <c r="J1636" s="471" t="str">
        <f t="shared" si="260"/>
        <v>envcmmcct</v>
      </c>
      <c r="K1636" s="471" t="str">
        <f t="shared" si="261"/>
        <v>tot-exp</v>
      </c>
      <c r="L1636" s="599"/>
      <c r="M1636" s="471" t="s">
        <v>5802</v>
      </c>
      <c r="N1636" s="471" t="s">
        <v>1114</v>
      </c>
      <c r="O1636" s="471" t="s">
        <v>1113</v>
      </c>
    </row>
    <row r="1637" spans="1:15" x14ac:dyDescent="0.25">
      <c r="A1637" s="471" t="s">
        <v>5887</v>
      </c>
      <c r="B1637" s="1139">
        <f t="shared" ca="1" si="252"/>
        <v>0</v>
      </c>
      <c r="C1637" s="473">
        <f ca="1">IF(ISERROR(VLOOKUP($A$1525,INDIRECT("notes_"&amp;LEFT($A$1525,3)),4,0)),0,VLOOKUP($A$1525,INDIRECT("notes_"&amp;LEFT($A$1525,3)),4,0))</f>
        <v>0</v>
      </c>
      <c r="H1637" s="471">
        <f t="shared" si="259"/>
        <v>2</v>
      </c>
      <c r="I1637" s="471">
        <v>1</v>
      </c>
      <c r="J1637" s="471" t="str">
        <f t="shared" si="260"/>
        <v>envfldfld</v>
      </c>
      <c r="K1637" s="471" t="str">
        <f t="shared" si="261"/>
        <v>tot-exp</v>
      </c>
      <c r="L1637" s="599"/>
      <c r="M1637" s="471" t="s">
        <v>5802</v>
      </c>
      <c r="N1637" s="471" t="s">
        <v>1114</v>
      </c>
      <c r="O1637" s="471" t="s">
        <v>1113</v>
      </c>
    </row>
    <row r="1638" spans="1:15" x14ac:dyDescent="0.25">
      <c r="A1638" s="471" t="s">
        <v>5888</v>
      </c>
      <c r="B1638" s="1139">
        <f t="shared" ca="1" si="252"/>
        <v>0</v>
      </c>
      <c r="C1638" s="473">
        <f ca="1">IF(ISERROR(VLOOKUP($A$1526,INDIRECT("notes_"&amp;LEFT($A$1526,3)),4,0)),0,VLOOKUP($A$1526,INDIRECT("notes_"&amp;LEFT($A$1526,3)),4,0))</f>
        <v>0</v>
      </c>
      <c r="H1638" s="471">
        <f t="shared" si="259"/>
        <v>2</v>
      </c>
      <c r="I1638" s="471">
        <v>1</v>
      </c>
      <c r="J1638" s="471" t="str">
        <f t="shared" si="260"/>
        <v>envflddrn</v>
      </c>
      <c r="K1638" s="471" t="str">
        <f t="shared" si="261"/>
        <v>tot-exp</v>
      </c>
      <c r="L1638" s="599"/>
      <c r="M1638" s="471" t="s">
        <v>5802</v>
      </c>
      <c r="N1638" s="471" t="s">
        <v>1114</v>
      </c>
      <c r="O1638" s="471" t="s">
        <v>1113</v>
      </c>
    </row>
    <row r="1639" spans="1:15" x14ac:dyDescent="0.25">
      <c r="A1639" s="471" t="s">
        <v>5889</v>
      </c>
      <c r="B1639" s="1139">
        <f t="shared" ca="1" si="252"/>
        <v>0</v>
      </c>
      <c r="C1639" s="473">
        <f ca="1">IF(ISERROR(VLOOKUP($A$1527,INDIRECT("notes_"&amp;LEFT($A$1527,3)),4,0)),0,VLOOKUP($A$1527,INDIRECT("notes_"&amp;LEFT($A$1527,3)),4,0))</f>
        <v>0</v>
      </c>
      <c r="H1639" s="471">
        <f t="shared" si="259"/>
        <v>2</v>
      </c>
      <c r="I1639" s="471">
        <v>1</v>
      </c>
      <c r="J1639" s="471" t="str">
        <f t="shared" si="260"/>
        <v>envflddrnlev</v>
      </c>
      <c r="K1639" s="471" t="str">
        <f t="shared" si="261"/>
        <v>tot-exp</v>
      </c>
      <c r="L1639" s="599"/>
      <c r="M1639" s="471" t="s">
        <v>5802</v>
      </c>
      <c r="N1639" s="471" t="s">
        <v>1114</v>
      </c>
      <c r="O1639" s="471" t="s">
        <v>1113</v>
      </c>
    </row>
    <row r="1640" spans="1:15" x14ac:dyDescent="0.25">
      <c r="A1640" s="471" t="s">
        <v>5890</v>
      </c>
      <c r="B1640" s="1139">
        <f t="shared" ca="1" si="252"/>
        <v>0</v>
      </c>
      <c r="C1640" s="473">
        <f ca="1">IF(ISERROR(VLOOKUP($A$1528,INDIRECT("notes_"&amp;LEFT($A$1528,3)),4,0)),0,VLOOKUP($A$1528,INDIRECT("notes_"&amp;LEFT($A$1528,3)),4,0))</f>
        <v>0</v>
      </c>
      <c r="H1640" s="471">
        <f t="shared" si="259"/>
        <v>2</v>
      </c>
      <c r="I1640" s="471">
        <v>1</v>
      </c>
      <c r="J1640" s="471" t="str">
        <f t="shared" si="260"/>
        <v>envcst</v>
      </c>
      <c r="K1640" s="471" t="str">
        <f t="shared" si="261"/>
        <v>tot-exp</v>
      </c>
      <c r="L1640" s="599"/>
      <c r="M1640" s="471" t="s">
        <v>5802</v>
      </c>
      <c r="N1640" s="471" t="s">
        <v>1114</v>
      </c>
      <c r="O1640" s="471" t="s">
        <v>1113</v>
      </c>
    </row>
    <row r="1641" spans="1:15" x14ac:dyDescent="0.25">
      <c r="A1641" s="471" t="s">
        <v>5891</v>
      </c>
      <c r="B1641" s="1139">
        <f t="shared" ca="1" si="252"/>
        <v>0</v>
      </c>
      <c r="C1641" s="473">
        <f ca="1">IF(ISERROR(VLOOKUP($A$1529,INDIRECT("notes_"&amp;LEFT($A$1529,3)),4,0)),0,VLOOKUP($A$1529,INDIRECT("notes_"&amp;LEFT($A$1529,3)),4,0))</f>
        <v>0</v>
      </c>
      <c r="H1641" s="471">
        <f t="shared" si="259"/>
        <v>2</v>
      </c>
      <c r="I1641" s="471">
        <v>1</v>
      </c>
      <c r="J1641" s="471" t="str">
        <f t="shared" si="260"/>
        <v>envagr</v>
      </c>
      <c r="K1641" s="471" t="str">
        <f t="shared" si="261"/>
        <v>tot-exp</v>
      </c>
      <c r="L1641" s="599"/>
      <c r="M1641" s="471" t="s">
        <v>5802</v>
      </c>
      <c r="N1641" s="471" t="s">
        <v>1114</v>
      </c>
      <c r="O1641" s="471" t="s">
        <v>1113</v>
      </c>
    </row>
    <row r="1642" spans="1:15" x14ac:dyDescent="0.25">
      <c r="A1642" s="471" t="s">
        <v>5892</v>
      </c>
      <c r="B1642" s="1139">
        <f t="shared" ca="1" si="252"/>
        <v>0</v>
      </c>
      <c r="C1642" s="473">
        <f ca="1">IF(ISERROR(VLOOKUP($A$1530,INDIRECT("notes_"&amp;LEFT($A$1530,3)),4,0)),0,VLOOKUP($A$1530,INDIRECT("notes_"&amp;LEFT($A$1530,3)),4,0))</f>
        <v>0</v>
      </c>
      <c r="H1642" s="471">
        <f t="shared" si="259"/>
        <v>2</v>
      </c>
      <c r="I1642" s="471">
        <v>1</v>
      </c>
      <c r="J1642" s="471" t="str">
        <f t="shared" si="260"/>
        <v>envstr</v>
      </c>
      <c r="K1642" s="471" t="str">
        <f t="shared" si="261"/>
        <v>tot-exp</v>
      </c>
      <c r="L1642" s="599"/>
      <c r="M1642" s="471" t="s">
        <v>5802</v>
      </c>
      <c r="N1642" s="471" t="s">
        <v>1114</v>
      </c>
      <c r="O1642" s="471" t="s">
        <v>1113</v>
      </c>
    </row>
    <row r="1643" spans="1:15" x14ac:dyDescent="0.25">
      <c r="A1643" s="471" t="s">
        <v>5893</v>
      </c>
      <c r="B1643" s="1139">
        <f t="shared" ca="1" si="252"/>
        <v>0</v>
      </c>
      <c r="C1643" s="473">
        <f ca="1">IF(ISERROR(VLOOKUP($A$1531,INDIRECT("notes_"&amp;LEFT($A$1531,3)),4,0)),0,VLOOKUP($A$1531,INDIRECT("notes_"&amp;LEFT($A$1531,3)),4,0))</f>
        <v>0</v>
      </c>
      <c r="H1643" s="471">
        <f t="shared" si="259"/>
        <v>2</v>
      </c>
      <c r="I1643" s="471">
        <v>1</v>
      </c>
      <c r="J1643" s="471" t="str">
        <f t="shared" si="260"/>
        <v>envcll</v>
      </c>
      <c r="K1643" s="471" t="str">
        <f t="shared" si="261"/>
        <v>tot-exp</v>
      </c>
      <c r="L1643" s="599"/>
      <c r="M1643" s="471" t="s">
        <v>5802</v>
      </c>
      <c r="N1643" s="471" t="s">
        <v>1114</v>
      </c>
      <c r="O1643" s="471" t="s">
        <v>1113</v>
      </c>
    </row>
    <row r="1644" spans="1:15" x14ac:dyDescent="0.25">
      <c r="A1644" s="471" t="s">
        <v>5894</v>
      </c>
      <c r="B1644" s="1139">
        <f t="shared" ca="1" si="252"/>
        <v>0</v>
      </c>
      <c r="C1644" s="473">
        <f ca="1">IF(ISERROR(VLOOKUP($A$1532,INDIRECT("notes_"&amp;LEFT($A$1532,3)),4,0)),0,VLOOKUP($A$1532,INDIRECT("notes_"&amp;LEFT($A$1532,3)),4,0))</f>
        <v>0</v>
      </c>
      <c r="H1644" s="471">
        <f t="shared" si="259"/>
        <v>2</v>
      </c>
      <c r="I1644" s="471">
        <v>1</v>
      </c>
      <c r="J1644" s="471" t="str">
        <f t="shared" si="260"/>
        <v>envdsp</v>
      </c>
      <c r="K1644" s="471" t="str">
        <f t="shared" si="261"/>
        <v>tot-exp</v>
      </c>
      <c r="L1644" s="599"/>
      <c r="M1644" s="471" t="s">
        <v>5802</v>
      </c>
      <c r="N1644" s="471" t="s">
        <v>1114</v>
      </c>
      <c r="O1644" s="471" t="s">
        <v>1113</v>
      </c>
    </row>
    <row r="1645" spans="1:15" x14ac:dyDescent="0.25">
      <c r="A1645" s="471" t="s">
        <v>5895</v>
      </c>
      <c r="B1645" s="1139">
        <f t="shared" ca="1" si="252"/>
        <v>0</v>
      </c>
      <c r="C1645" s="473">
        <f ca="1">IF(ISERROR(VLOOKUP($A$1533,INDIRECT("notes_"&amp;LEFT($A$1533,3)),4,0)),0,VLOOKUP($A$1533,INDIRECT("notes_"&amp;LEFT($A$1533,3)),4,0))</f>
        <v>0</v>
      </c>
      <c r="H1645" s="471">
        <f t="shared" si="259"/>
        <v>2</v>
      </c>
      <c r="I1645" s="471">
        <v>1</v>
      </c>
      <c r="J1645" s="471" t="str">
        <f t="shared" si="260"/>
        <v>envtrd</v>
      </c>
      <c r="K1645" s="471" t="str">
        <f t="shared" si="261"/>
        <v>tot-exp</v>
      </c>
      <c r="L1645" s="599"/>
      <c r="M1645" s="471" t="s">
        <v>5802</v>
      </c>
      <c r="N1645" s="471" t="s">
        <v>1114</v>
      </c>
      <c r="O1645" s="471" t="s">
        <v>1113</v>
      </c>
    </row>
    <row r="1646" spans="1:15" x14ac:dyDescent="0.25">
      <c r="A1646" s="471" t="s">
        <v>5896</v>
      </c>
      <c r="B1646" s="1139">
        <f t="shared" ca="1" si="252"/>
        <v>0</v>
      </c>
      <c r="C1646" s="473">
        <f ca="1">IF(ISERROR(VLOOKUP($A$1534,INDIRECT("notes_"&amp;LEFT($A$1534,3)),4,0)),0,VLOOKUP($A$1534,INDIRECT("notes_"&amp;LEFT($A$1534,3)),4,0))</f>
        <v>0</v>
      </c>
      <c r="H1646" s="471">
        <f t="shared" si="259"/>
        <v>2</v>
      </c>
      <c r="I1646" s="471">
        <v>1</v>
      </c>
      <c r="J1646" s="471" t="str">
        <f t="shared" si="260"/>
        <v>envrcy</v>
      </c>
      <c r="K1646" s="471" t="str">
        <f t="shared" si="261"/>
        <v>tot-exp</v>
      </c>
      <c r="L1646" s="599"/>
      <c r="M1646" s="471" t="s">
        <v>5802</v>
      </c>
      <c r="N1646" s="471" t="s">
        <v>1114</v>
      </c>
      <c r="O1646" s="471" t="s">
        <v>1113</v>
      </c>
    </row>
    <row r="1647" spans="1:15" x14ac:dyDescent="0.25">
      <c r="A1647" s="471" t="s">
        <v>5897</v>
      </c>
      <c r="B1647" s="1139">
        <f t="shared" ca="1" si="252"/>
        <v>0</v>
      </c>
      <c r="C1647" s="473">
        <f ca="1">IF(ISERROR(VLOOKUP($A$1535,INDIRECT("notes_"&amp;LEFT($A$1535,3)),4,0)),0,VLOOKUP($A$1535,INDIRECT("notes_"&amp;LEFT($A$1535,3)),4,0))</f>
        <v>0</v>
      </c>
      <c r="H1647" s="471">
        <f t="shared" si="259"/>
        <v>2</v>
      </c>
      <c r="I1647" s="471">
        <v>1</v>
      </c>
      <c r="J1647" s="471" t="str">
        <f t="shared" si="260"/>
        <v>envmin</v>
      </c>
      <c r="K1647" s="471" t="str">
        <f t="shared" si="261"/>
        <v>tot-exp</v>
      </c>
      <c r="L1647" s="599"/>
      <c r="M1647" s="471" t="s">
        <v>5802</v>
      </c>
      <c r="N1647" s="471" t="s">
        <v>1114</v>
      </c>
      <c r="O1647" s="471" t="s">
        <v>1113</v>
      </c>
    </row>
    <row r="1648" spans="1:15" x14ac:dyDescent="0.25">
      <c r="A1648" s="471" t="s">
        <v>5898</v>
      </c>
      <c r="B1648" s="1139">
        <f t="shared" ca="1" si="252"/>
        <v>0</v>
      </c>
      <c r="C1648" s="473">
        <f ca="1">IF(ISERROR(VLOOKUP($A$1536,INDIRECT("notes_"&amp;LEFT($A$1536,3)),4,0)),0,VLOOKUP($A$1536,INDIRECT("notes_"&amp;LEFT($A$1536,3)),4,0))</f>
        <v>0</v>
      </c>
      <c r="H1648" s="471">
        <f t="shared" si="259"/>
        <v>2</v>
      </c>
      <c r="I1648" s="471">
        <v>1</v>
      </c>
      <c r="J1648" s="471" t="str">
        <f t="shared" si="260"/>
        <v>envclm</v>
      </c>
      <c r="K1648" s="471" t="str">
        <f t="shared" si="261"/>
        <v>tot-exp</v>
      </c>
      <c r="L1648" s="599"/>
      <c r="M1648" s="471" t="s">
        <v>5802</v>
      </c>
      <c r="N1648" s="471" t="s">
        <v>1114</v>
      </c>
      <c r="O1648" s="471" t="s">
        <v>1113</v>
      </c>
    </row>
    <row r="1649" spans="1:15" x14ac:dyDescent="0.25">
      <c r="A1649" s="471" t="s">
        <v>5899</v>
      </c>
      <c r="B1649" s="1139">
        <f t="shared" ca="1" si="252"/>
        <v>0</v>
      </c>
      <c r="C1649" s="473">
        <f ca="1">IF(ISERROR(VLOOKUP($A$1537,INDIRECT("notes_"&amp;LEFT($A$1537,3)),4,0)),0,VLOOKUP($A$1537,INDIRECT("notes_"&amp;LEFT($A$1537,3)),4,0))</f>
        <v>0</v>
      </c>
      <c r="H1649" s="471">
        <f t="shared" si="259"/>
        <v>2</v>
      </c>
      <c r="I1649" s="471">
        <v>1</v>
      </c>
      <c r="J1649" s="471" t="str">
        <f t="shared" si="260"/>
        <v>envtot</v>
      </c>
      <c r="K1649" s="471" t="str">
        <f t="shared" si="261"/>
        <v>tot-exp</v>
      </c>
      <c r="L1649" s="599"/>
      <c r="M1649" s="471" t="s">
        <v>5802</v>
      </c>
      <c r="N1649" s="471" t="s">
        <v>1114</v>
      </c>
      <c r="O1649" s="471" t="s">
        <v>1113</v>
      </c>
    </row>
    <row r="1650" spans="1:15" x14ac:dyDescent="0.25">
      <c r="A1650" s="471" t="s">
        <v>5900</v>
      </c>
      <c r="B1650" s="1139">
        <f t="shared" ref="B1650:B1768" ca="1" si="262">INDEX(INDIRECT(LEFT($A1650,SEARCH("-",$A1650,1)-1)&amp;"_data"),MATCH(MID($A1650,SEARCH("-",$A1650)+1,SEARCH("#",SUBSTITUTE($A1650,"-","#",H1650),1)-(SEARCH("-",$A1650)+1)),INDIRECT(LEFT($A1650,SEARCH("-",$A1650,1)-1)&amp;"_rows"),0),MATCH(RIGHT($A1650,LEN($A1650)-SEARCH("#",SUBSTITUTE($A1650,"-","#",H1650),1)),INDIRECT(LEFT($A1650,SEARCH("-",$A1650,1)-1)&amp;"_Header"),0))</f>
        <v>0</v>
      </c>
      <c r="C1650" s="473">
        <f ca="1">IF(ISERROR(VLOOKUP($A$1538,INDIRECT("notes_"&amp;LEFT($A$1538,3)),4,0)),0,VLOOKUP($A$1538,INDIRECT("notes_"&amp;LEFT($A$1538,3)),4,0))</f>
        <v>0</v>
      </c>
      <c r="H1650" s="471">
        <f t="shared" si="259"/>
        <v>2</v>
      </c>
      <c r="I1650" s="471">
        <v>1</v>
      </c>
      <c r="J1650" s="471" t="str">
        <f t="shared" si="260"/>
        <v>planbld</v>
      </c>
      <c r="K1650" s="471" t="str">
        <f t="shared" si="261"/>
        <v>tot-exp</v>
      </c>
      <c r="L1650" s="599"/>
      <c r="M1650" s="471" t="s">
        <v>5802</v>
      </c>
      <c r="N1650" s="471" t="s">
        <v>1114</v>
      </c>
      <c r="O1650" s="471" t="s">
        <v>1113</v>
      </c>
    </row>
    <row r="1651" spans="1:15" x14ac:dyDescent="0.25">
      <c r="A1651" s="471" t="s">
        <v>5901</v>
      </c>
      <c r="B1651" s="1139">
        <f t="shared" ca="1" si="262"/>
        <v>0</v>
      </c>
      <c r="C1651" s="473">
        <f ca="1">IF(ISERROR(VLOOKUP($A$1539,INDIRECT("notes_"&amp;LEFT($A$1539,3)),4,0)),0,VLOOKUP($A$1539,INDIRECT("notes_"&amp;LEFT($A$1539,3)),4,0))</f>
        <v>0</v>
      </c>
      <c r="H1651" s="471">
        <f t="shared" si="259"/>
        <v>2</v>
      </c>
      <c r="I1651" s="471">
        <v>1</v>
      </c>
      <c r="J1651" s="471" t="str">
        <f t="shared" si="260"/>
        <v>plandvl</v>
      </c>
      <c r="K1651" s="471" t="str">
        <f t="shared" si="261"/>
        <v>tot-exp</v>
      </c>
      <c r="L1651" s="599"/>
      <c r="M1651" s="471" t="s">
        <v>5802</v>
      </c>
      <c r="N1651" s="471" t="s">
        <v>1114</v>
      </c>
      <c r="O1651" s="471" t="s">
        <v>1113</v>
      </c>
    </row>
    <row r="1652" spans="1:15" x14ac:dyDescent="0.25">
      <c r="A1652" s="471" t="s">
        <v>5902</v>
      </c>
      <c r="B1652" s="1139">
        <f t="shared" ca="1" si="262"/>
        <v>0</v>
      </c>
      <c r="C1652" s="473">
        <f ca="1">IF(ISERROR(VLOOKUP($A$1540,INDIRECT("notes_"&amp;LEFT($A$1540,3)),4,0)),0,VLOOKUP($A$1540,INDIRECT("notes_"&amp;LEFT($A$1540,3)),4,0))</f>
        <v>0</v>
      </c>
      <c r="H1652" s="471">
        <f t="shared" si="259"/>
        <v>5</v>
      </c>
      <c r="I1652" s="471">
        <v>1</v>
      </c>
      <c r="J1652" s="471" t="str">
        <f t="shared" si="260"/>
        <v>planplc-cns-lst-bld</v>
      </c>
      <c r="K1652" s="471" t="str">
        <f t="shared" si="261"/>
        <v>tot-exp</v>
      </c>
      <c r="L1652" s="599"/>
      <c r="M1652" s="471" t="s">
        <v>5802</v>
      </c>
      <c r="N1652" s="471" t="s">
        <v>1114</v>
      </c>
      <c r="O1652" s="471" t="s">
        <v>1113</v>
      </c>
    </row>
    <row r="1653" spans="1:15" x14ac:dyDescent="0.25">
      <c r="A1653" s="471" t="s">
        <v>5903</v>
      </c>
      <c r="B1653" s="1139">
        <f t="shared" ca="1" si="262"/>
        <v>0</v>
      </c>
      <c r="C1653" s="473">
        <f ca="1">IF(ISERROR(VLOOKUP($A$1541,INDIRECT("notes_"&amp;LEFT($A$1541,3)),4,0)),0,VLOOKUP($A$1541,INDIRECT("notes_"&amp;LEFT($A$1541,3)),4,0))</f>
        <v>0</v>
      </c>
      <c r="H1653" s="471">
        <f t="shared" si="259"/>
        <v>3</v>
      </c>
      <c r="I1653" s="471">
        <v>1</v>
      </c>
      <c r="J1653" s="471" t="str">
        <f t="shared" si="260"/>
        <v>planplc-oth</v>
      </c>
      <c r="K1653" s="471" t="str">
        <f t="shared" si="261"/>
        <v>tot-exp</v>
      </c>
      <c r="L1653" s="599"/>
      <c r="M1653" s="471" t="s">
        <v>5802</v>
      </c>
      <c r="N1653" s="471" t="s">
        <v>1114</v>
      </c>
      <c r="O1653" s="471" t="s">
        <v>1113</v>
      </c>
    </row>
    <row r="1654" spans="1:15" x14ac:dyDescent="0.25">
      <c r="A1654" s="471" t="s">
        <v>5904</v>
      </c>
      <c r="B1654" s="1139">
        <f t="shared" ca="1" si="262"/>
        <v>0</v>
      </c>
      <c r="C1654" s="473">
        <f ca="1">IF(ISERROR(VLOOKUP($A$1542,INDIRECT("notes_"&amp;LEFT($A$1542,3)),4,0)),0,VLOOKUP($A$1542,INDIRECT("notes_"&amp;LEFT($A$1542,3)),4,0))</f>
        <v>0</v>
      </c>
      <c r="H1654" s="471">
        <f t="shared" si="259"/>
        <v>2</v>
      </c>
      <c r="I1654" s="471">
        <v>1</v>
      </c>
      <c r="J1654" s="471" t="str">
        <f t="shared" si="260"/>
        <v>planenv</v>
      </c>
      <c r="K1654" s="471" t="str">
        <f t="shared" si="261"/>
        <v>tot-exp</v>
      </c>
      <c r="L1654" s="599"/>
      <c r="M1654" s="471" t="s">
        <v>5802</v>
      </c>
      <c r="N1654" s="471" t="s">
        <v>1114</v>
      </c>
      <c r="O1654" s="471" t="s">
        <v>1113</v>
      </c>
    </row>
    <row r="1655" spans="1:15" x14ac:dyDescent="0.25">
      <c r="A1655" s="471" t="s">
        <v>5905</v>
      </c>
      <c r="B1655" s="1139">
        <f t="shared" ca="1" si="262"/>
        <v>0</v>
      </c>
      <c r="C1655" s="473">
        <f ca="1">IF(ISERROR(VLOOKUP($A$1543,INDIRECT("notes_"&amp;LEFT($A$1543,3)),4,0)),0,VLOOKUP($A$1543,INDIRECT("notes_"&amp;LEFT($A$1543,3)),4,0))</f>
        <v>0</v>
      </c>
      <c r="H1655" s="471">
        <f t="shared" si="259"/>
        <v>2</v>
      </c>
      <c r="I1655" s="471">
        <v>1</v>
      </c>
      <c r="J1655" s="471" t="str">
        <f t="shared" si="260"/>
        <v>planecndev</v>
      </c>
      <c r="K1655" s="471" t="str">
        <f t="shared" si="261"/>
        <v>tot-exp</v>
      </c>
      <c r="L1655" s="599"/>
      <c r="M1655" s="471" t="s">
        <v>5802</v>
      </c>
      <c r="N1655" s="471" t="s">
        <v>1114</v>
      </c>
      <c r="O1655" s="471" t="s">
        <v>1113</v>
      </c>
    </row>
    <row r="1656" spans="1:15" x14ac:dyDescent="0.25">
      <c r="A1656" s="471" t="s">
        <v>5906</v>
      </c>
      <c r="B1656" s="1139">
        <f t="shared" ca="1" si="262"/>
        <v>0</v>
      </c>
      <c r="C1656" s="473">
        <f ca="1">IF(ISERROR(VLOOKUP($A$1544,INDIRECT("notes_"&amp;LEFT($A$1544,3)),4,0)),0,VLOOKUP($A$1544,INDIRECT("notes_"&amp;LEFT($A$1544,3)),4,0))</f>
        <v>0</v>
      </c>
      <c r="H1656" s="471">
        <f t="shared" si="259"/>
        <v>2</v>
      </c>
      <c r="I1656" s="471">
        <v>1</v>
      </c>
      <c r="J1656" s="471" t="str">
        <f t="shared" si="260"/>
        <v>planecnrsr</v>
      </c>
      <c r="K1656" s="471" t="str">
        <f t="shared" si="261"/>
        <v>tot-exp</v>
      </c>
      <c r="L1656" s="599"/>
      <c r="M1656" s="471" t="s">
        <v>5802</v>
      </c>
      <c r="N1656" s="471" t="s">
        <v>1114</v>
      </c>
      <c r="O1656" s="471" t="s">
        <v>1113</v>
      </c>
    </row>
    <row r="1657" spans="1:15" x14ac:dyDescent="0.25">
      <c r="A1657" s="471" t="s">
        <v>5907</v>
      </c>
      <c r="B1657" s="1139">
        <f t="shared" ca="1" si="262"/>
        <v>0</v>
      </c>
      <c r="C1657" s="473">
        <f ca="1">IF(ISERROR(VLOOKUP($A$1545,INDIRECT("notes_"&amp;LEFT($A$1545,3)),4,0)),0,VLOOKUP($A$1545,INDIRECT("notes_"&amp;LEFT($A$1545,3)),4,0))</f>
        <v>0</v>
      </c>
      <c r="H1657" s="471">
        <f t="shared" si="259"/>
        <v>2</v>
      </c>
      <c r="I1657" s="471">
        <v>1</v>
      </c>
      <c r="J1657" s="471" t="str">
        <f t="shared" si="260"/>
        <v>planbsn</v>
      </c>
      <c r="K1657" s="471" t="str">
        <f t="shared" si="261"/>
        <v>tot-exp</v>
      </c>
      <c r="L1657" s="599"/>
      <c r="M1657" s="471" t="s">
        <v>5802</v>
      </c>
      <c r="N1657" s="471" t="s">
        <v>1114</v>
      </c>
      <c r="O1657" s="471" t="s">
        <v>1113</v>
      </c>
    </row>
    <row r="1658" spans="1:15" x14ac:dyDescent="0.25">
      <c r="A1658" s="471" t="s">
        <v>5908</v>
      </c>
      <c r="B1658" s="1139">
        <f t="shared" ca="1" si="262"/>
        <v>0</v>
      </c>
      <c r="C1658" s="473">
        <f ca="1">IF(ISERROR(VLOOKUP($A$1546,INDIRECT("notes_"&amp;LEFT($A$1546,3)),4,0)),0,VLOOKUP($A$1546,INDIRECT("notes_"&amp;LEFT($A$1546,3)),4,0))</f>
        <v>0</v>
      </c>
      <c r="H1658" s="471">
        <f t="shared" si="259"/>
        <v>2</v>
      </c>
      <c r="I1658" s="471">
        <v>1</v>
      </c>
      <c r="J1658" s="471" t="str">
        <f t="shared" si="260"/>
        <v>plancmm</v>
      </c>
      <c r="K1658" s="471" t="str">
        <f t="shared" si="261"/>
        <v>tot-exp</v>
      </c>
      <c r="L1658" s="599"/>
      <c r="M1658" s="471" t="s">
        <v>5802</v>
      </c>
      <c r="N1658" s="471" t="s">
        <v>1114</v>
      </c>
      <c r="O1658" s="471" t="s">
        <v>1113</v>
      </c>
    </row>
    <row r="1659" spans="1:15" x14ac:dyDescent="0.25">
      <c r="A1659" s="471" t="s">
        <v>5909</v>
      </c>
      <c r="B1659" s="1139">
        <f t="shared" ca="1" si="262"/>
        <v>0</v>
      </c>
      <c r="C1659" s="473">
        <f ca="1">IF(ISERROR(VLOOKUP($A$1547,INDIRECT("notes_"&amp;LEFT($A$1547,3)),4,0)),0,VLOOKUP($A$1547,INDIRECT("notes_"&amp;LEFT($A$1547,3)),4,0))</f>
        <v>0</v>
      </c>
      <c r="H1659" s="471">
        <f t="shared" si="259"/>
        <v>2</v>
      </c>
      <c r="I1659" s="471">
        <v>1</v>
      </c>
      <c r="J1659" s="471" t="str">
        <f t="shared" si="260"/>
        <v>plantot</v>
      </c>
      <c r="K1659" s="471" t="str">
        <f t="shared" si="261"/>
        <v>tot-exp</v>
      </c>
      <c r="L1659" s="599"/>
      <c r="M1659" s="471" t="s">
        <v>5802</v>
      </c>
      <c r="N1659" s="471" t="s">
        <v>1114</v>
      </c>
      <c r="O1659" s="471" t="s">
        <v>1113</v>
      </c>
    </row>
    <row r="1660" spans="1:15" x14ac:dyDescent="0.25">
      <c r="A1660" s="471" t="s">
        <v>5910</v>
      </c>
      <c r="B1660" s="1139">
        <f t="shared" ca="1" si="262"/>
        <v>0</v>
      </c>
      <c r="C1660" s="473">
        <f ca="1">IF(ISERROR(VLOOKUP($A$1548,INDIRECT("notes_"&amp;LEFT($A$1548,3)),4,0)),0,VLOOKUP($A$1548,INDIRECT("notes_"&amp;LEFT($A$1548,3)),4,0))</f>
        <v>0</v>
      </c>
      <c r="H1660" s="471">
        <f t="shared" si="259"/>
        <v>2</v>
      </c>
      <c r="I1660" s="471">
        <v>1</v>
      </c>
      <c r="J1660" s="471" t="str">
        <f t="shared" si="260"/>
        <v>culenvplantot</v>
      </c>
      <c r="K1660" s="471" t="str">
        <f t="shared" si="261"/>
        <v>tot-exp</v>
      </c>
      <c r="L1660" s="599"/>
      <c r="M1660" s="471" t="s">
        <v>5802</v>
      </c>
      <c r="N1660" s="471" t="s">
        <v>1114</v>
      </c>
      <c r="O1660" s="471" t="s">
        <v>1113</v>
      </c>
    </row>
    <row r="1661" spans="1:15" x14ac:dyDescent="0.25">
      <c r="A1661" s="1205" t="s">
        <v>5911</v>
      </c>
      <c r="B1661" s="1202">
        <f t="shared" ca="1" si="262"/>
        <v>0</v>
      </c>
      <c r="C1661" s="1203">
        <f ca="1">IF(ISERROR(VLOOKUP($A$1495,INDIRECT("notes_"&amp;LEFT($A$1495,3)),4,0)),0,VLOOKUP($A$1495,INDIRECT("notes_"&amp;LEFT($A$1495,3)),4,0))</f>
        <v>0</v>
      </c>
      <c r="H1661" s="1201">
        <f t="shared" si="259"/>
        <v>2</v>
      </c>
      <c r="I1661" s="1201">
        <v>0</v>
      </c>
      <c r="J1661" s="1201" t="str">
        <f t="shared" si="260"/>
        <v>culhrtarc</v>
      </c>
      <c r="K1661" s="1201" t="str">
        <f t="shared" si="261"/>
        <v>mss</v>
      </c>
      <c r="L1661" s="599"/>
      <c r="M1661" s="1201" t="s">
        <v>5802</v>
      </c>
      <c r="N1661" s="1201" t="s">
        <v>1114</v>
      </c>
      <c r="O1661" s="1201" t="s">
        <v>1113</v>
      </c>
    </row>
    <row r="1662" spans="1:15" x14ac:dyDescent="0.25">
      <c r="A1662" s="1205" t="s">
        <v>5912</v>
      </c>
      <c r="B1662" s="1202">
        <f t="shared" ca="1" si="262"/>
        <v>0</v>
      </c>
      <c r="C1662" s="1203">
        <f ca="1">IF(ISERROR(VLOOKUP($A$1496,INDIRECT("notes_"&amp;LEFT($A$1496,3)),4,0)),0,VLOOKUP($A$1496,INDIRECT("notes_"&amp;LEFT($A$1496,3)),4,0))</f>
        <v>0</v>
      </c>
      <c r="H1662" s="1201">
        <f t="shared" si="259"/>
        <v>5</v>
      </c>
      <c r="I1662" s="1201">
        <v>0</v>
      </c>
      <c r="J1662" s="1201" t="str">
        <f t="shared" si="260"/>
        <v>culhrt-art-dvl-spp</v>
      </c>
      <c r="K1662" s="1201" t="str">
        <f t="shared" si="261"/>
        <v>mss</v>
      </c>
      <c r="L1662" s="599"/>
      <c r="M1662" s="1201" t="s">
        <v>5802</v>
      </c>
      <c r="N1662" s="1201" t="s">
        <v>1114</v>
      </c>
      <c r="O1662" s="1201" t="s">
        <v>1113</v>
      </c>
    </row>
    <row r="1663" spans="1:15" x14ac:dyDescent="0.25">
      <c r="A1663" s="1205" t="s">
        <v>5913</v>
      </c>
      <c r="B1663" s="1202">
        <f t="shared" ca="1" si="262"/>
        <v>0</v>
      </c>
      <c r="C1663" s="1203">
        <f ca="1">IF(ISERROR(VLOOKUP($A$1497,INDIRECT("notes_"&amp;LEFT($A$1497,3)),4,0)),0,VLOOKUP($A$1497,INDIRECT("notes_"&amp;LEFT($A$1497,3)),4,0))</f>
        <v>0</v>
      </c>
      <c r="H1663" s="1201">
        <f t="shared" si="259"/>
        <v>3</v>
      </c>
      <c r="I1663" s="1201">
        <v>0</v>
      </c>
      <c r="J1663" s="1201" t="str">
        <f t="shared" si="260"/>
        <v>culhrt-hrt</v>
      </c>
      <c r="K1663" s="1201" t="str">
        <f t="shared" si="261"/>
        <v>mss</v>
      </c>
      <c r="L1663" s="599"/>
      <c r="M1663" s="1201" t="s">
        <v>5802</v>
      </c>
      <c r="N1663" s="1201" t="s">
        <v>1114</v>
      </c>
      <c r="O1663" s="1201" t="s">
        <v>1113</v>
      </c>
    </row>
    <row r="1664" spans="1:15" x14ac:dyDescent="0.25">
      <c r="A1664" s="1205" t="s">
        <v>5914</v>
      </c>
      <c r="B1664" s="1202">
        <f t="shared" ca="1" si="262"/>
        <v>0</v>
      </c>
      <c r="C1664" s="1203">
        <f ca="1">IF(ISERROR(VLOOKUP($A$1498,INDIRECT("notes_"&amp;LEFT($A$1498,3)),4,0)),0,VLOOKUP($A$1498,INDIRECT("notes_"&amp;LEFT($A$1498,3)),4,0))</f>
        <v>0</v>
      </c>
      <c r="H1664" s="1201">
        <f t="shared" si="259"/>
        <v>4</v>
      </c>
      <c r="I1664" s="1201">
        <v>0</v>
      </c>
      <c r="J1664" s="1201" t="str">
        <f t="shared" si="260"/>
        <v>culhrt-msm-gll</v>
      </c>
      <c r="K1664" s="1201" t="str">
        <f t="shared" si="261"/>
        <v>mss</v>
      </c>
      <c r="L1664" s="599"/>
      <c r="M1664" s="1201" t="s">
        <v>5802</v>
      </c>
      <c r="N1664" s="1201" t="s">
        <v>1114</v>
      </c>
      <c r="O1664" s="1201" t="s">
        <v>1113</v>
      </c>
    </row>
    <row r="1665" spans="1:15" x14ac:dyDescent="0.25">
      <c r="A1665" s="1205" t="s">
        <v>5915</v>
      </c>
      <c r="B1665" s="1202">
        <f t="shared" ca="1" si="262"/>
        <v>0</v>
      </c>
      <c r="C1665" s="1203">
        <f ca="1">IF(ISERROR(VLOOKUP($A$1499,INDIRECT("notes_"&amp;LEFT($A$1499,3)),4,0)),0,VLOOKUP($A$1499,INDIRECT("notes_"&amp;LEFT($A$1499,3)),4,0))</f>
        <v>0</v>
      </c>
      <c r="H1665" s="1201">
        <f t="shared" si="259"/>
        <v>5</v>
      </c>
      <c r="I1665" s="1201">
        <v>0</v>
      </c>
      <c r="J1665" s="1201" t="str">
        <f t="shared" si="260"/>
        <v>culhrt-tht-pbl-ent</v>
      </c>
      <c r="K1665" s="1201" t="str">
        <f t="shared" si="261"/>
        <v>mss</v>
      </c>
      <c r="L1665" s="599"/>
      <c r="M1665" s="1201" t="s">
        <v>5802</v>
      </c>
      <c r="N1665" s="1201" t="s">
        <v>1114</v>
      </c>
      <c r="O1665" s="1201" t="s">
        <v>1113</v>
      </c>
    </row>
    <row r="1666" spans="1:15" x14ac:dyDescent="0.25">
      <c r="A1666" s="1205" t="s">
        <v>5916</v>
      </c>
      <c r="B1666" s="1202">
        <f t="shared" ca="1" si="262"/>
        <v>0</v>
      </c>
      <c r="C1666" s="1203">
        <f ca="1">IF(ISERROR(VLOOKUP($A$1500,INDIRECT("notes_"&amp;LEFT($A$1500,3)),4,0)),0,VLOOKUP($A$1500,INDIRECT("notes_"&amp;LEFT($A$1500,3)),4,0))</f>
        <v>0</v>
      </c>
      <c r="H1666" s="1201">
        <f t="shared" si="259"/>
        <v>6</v>
      </c>
      <c r="I1666" s="1201">
        <v>0</v>
      </c>
      <c r="J1666" s="1201" t="str">
        <f t="shared" si="260"/>
        <v>culspr-cmm-cen-pub-hll</v>
      </c>
      <c r="K1666" s="1201" t="str">
        <f t="shared" si="261"/>
        <v>mss</v>
      </c>
      <c r="L1666" s="599"/>
      <c r="M1666" s="1201" t="s">
        <v>5802</v>
      </c>
      <c r="N1666" s="1201" t="s">
        <v>1114</v>
      </c>
      <c r="O1666" s="1201" t="s">
        <v>1113</v>
      </c>
    </row>
    <row r="1667" spans="1:15" x14ac:dyDescent="0.25">
      <c r="A1667" s="1205" t="s">
        <v>5917</v>
      </c>
      <c r="B1667" s="1202">
        <f t="shared" ca="1" si="262"/>
        <v>0</v>
      </c>
      <c r="C1667" s="1203">
        <f ca="1">IF(ISERROR(VLOOKUP($A$1501,INDIRECT("notes_"&amp;LEFT($A$1501,3)),4,0)),0,VLOOKUP($A$1501,INDIRECT("notes_"&amp;LEFT($A$1501,3)),4,0))</f>
        <v>0</v>
      </c>
      <c r="H1667" s="1201">
        <f t="shared" si="259"/>
        <v>3</v>
      </c>
      <c r="I1667" s="1201">
        <v>0</v>
      </c>
      <c r="J1667" s="1201" t="str">
        <f t="shared" si="260"/>
        <v>culspr-frs</v>
      </c>
      <c r="K1667" s="1201" t="str">
        <f t="shared" si="261"/>
        <v>mss</v>
      </c>
      <c r="L1667" s="599"/>
      <c r="M1667" s="1201" t="s">
        <v>5802</v>
      </c>
      <c r="N1667" s="1201" t="s">
        <v>1114</v>
      </c>
      <c r="O1667" s="1201" t="s">
        <v>1113</v>
      </c>
    </row>
    <row r="1668" spans="1:15" x14ac:dyDescent="0.25">
      <c r="A1668" s="1205" t="s">
        <v>5918</v>
      </c>
      <c r="B1668" s="1202">
        <f t="shared" ca="1" si="262"/>
        <v>0</v>
      </c>
      <c r="C1668" s="1203">
        <f ca="1">IF(ISERROR(VLOOKUP($A$1502,INDIRECT("notes_"&amp;LEFT($A$1502,3)),4,0)),0,VLOOKUP($A$1502,INDIRECT("notes_"&amp;LEFT($A$1502,3)),4,0))</f>
        <v>0</v>
      </c>
      <c r="H1668" s="1201">
        <f t="shared" si="259"/>
        <v>6</v>
      </c>
      <c r="I1668" s="1201">
        <v>0</v>
      </c>
      <c r="J1668" s="1201" t="str">
        <f t="shared" si="260"/>
        <v>culspr-spr-dvl-cmm-rec</v>
      </c>
      <c r="K1668" s="1201" t="str">
        <f t="shared" si="261"/>
        <v>mss</v>
      </c>
      <c r="L1668" s="599"/>
      <c r="M1668" s="1201" t="s">
        <v>5802</v>
      </c>
      <c r="N1668" s="1201" t="s">
        <v>1114</v>
      </c>
      <c r="O1668" s="1201" t="s">
        <v>1113</v>
      </c>
    </row>
    <row r="1669" spans="1:15" x14ac:dyDescent="0.25">
      <c r="A1669" s="1205" t="s">
        <v>5919</v>
      </c>
      <c r="B1669" s="1202">
        <f t="shared" ca="1" si="262"/>
        <v>0</v>
      </c>
      <c r="C1669" s="1203">
        <f ca="1">IF(ISERROR(VLOOKUP($A$1503,INDIRECT("notes_"&amp;LEFT($A$1503,3)),4,0)),0,VLOOKUP($A$1503,INDIRECT("notes_"&amp;LEFT($A$1503,3)),4,0))</f>
        <v>0</v>
      </c>
      <c r="H1669" s="1201">
        <f t="shared" si="259"/>
        <v>5</v>
      </c>
      <c r="I1669" s="1201">
        <v>0</v>
      </c>
      <c r="J1669" s="1201" t="str">
        <f t="shared" si="260"/>
        <v>culspr-spr-lsr-fcl</v>
      </c>
      <c r="K1669" s="1201" t="str">
        <f t="shared" si="261"/>
        <v>mss</v>
      </c>
      <c r="L1669" s="599"/>
      <c r="M1669" s="1201" t="s">
        <v>5802</v>
      </c>
      <c r="N1669" s="1201" t="s">
        <v>1114</v>
      </c>
      <c r="O1669" s="1201" t="s">
        <v>1113</v>
      </c>
    </row>
    <row r="1670" spans="1:15" x14ac:dyDescent="0.25">
      <c r="A1670" s="1205" t="s">
        <v>5920</v>
      </c>
      <c r="B1670" s="1202">
        <f t="shared" ca="1" si="262"/>
        <v>0</v>
      </c>
      <c r="C1670" s="1203">
        <f ca="1">IF(ISERROR(VLOOKUP($A$1504,INDIRECT("notes_"&amp;LEFT($A$1504,3)),4,0)),0,VLOOKUP($A$1504,INDIRECT("notes_"&amp;LEFT($A$1504,3)),4,0))</f>
        <v>0</v>
      </c>
      <c r="H1670" s="1201">
        <f t="shared" si="259"/>
        <v>3</v>
      </c>
      <c r="I1670" s="1201">
        <v>0</v>
      </c>
      <c r="J1670" s="1201" t="str">
        <f t="shared" si="260"/>
        <v>culprk-opn</v>
      </c>
      <c r="K1670" s="1201" t="str">
        <f t="shared" si="261"/>
        <v>mss</v>
      </c>
      <c r="L1670" s="599"/>
      <c r="M1670" s="1201" t="s">
        <v>5802</v>
      </c>
      <c r="N1670" s="1201" t="s">
        <v>1114</v>
      </c>
      <c r="O1670" s="1201" t="s">
        <v>1113</v>
      </c>
    </row>
    <row r="1671" spans="1:15" x14ac:dyDescent="0.25">
      <c r="A1671" s="1205" t="s">
        <v>5921</v>
      </c>
      <c r="B1671" s="1202">
        <f t="shared" ca="1" si="262"/>
        <v>0</v>
      </c>
      <c r="C1671" s="1203">
        <f ca="1">IF(ISERROR(VLOOKUP($A$1505,INDIRECT("notes_"&amp;LEFT($A$1505,3)),4,0)),0,VLOOKUP($A$1505,INDIRECT("notes_"&amp;LEFT($A$1505,3)),4,0))</f>
        <v>0</v>
      </c>
      <c r="H1671" s="1201">
        <f t="shared" si="259"/>
        <v>2</v>
      </c>
      <c r="I1671" s="1201">
        <v>0</v>
      </c>
      <c r="J1671" s="1201" t="str">
        <f t="shared" si="260"/>
        <v>culall</v>
      </c>
      <c r="K1671" s="1201" t="str">
        <f t="shared" si="261"/>
        <v>mss</v>
      </c>
      <c r="L1671" s="599"/>
      <c r="M1671" s="1201" t="s">
        <v>5802</v>
      </c>
      <c r="N1671" s="1201" t="s">
        <v>1114</v>
      </c>
      <c r="O1671" s="1201" t="s">
        <v>1113</v>
      </c>
    </row>
    <row r="1672" spans="1:15" x14ac:dyDescent="0.25">
      <c r="A1672" s="1205" t="s">
        <v>5922</v>
      </c>
      <c r="B1672" s="1202">
        <f ca="1">INDEX(INDIRECT(LEFT($A1672,SEARCH("-",$A1672,1)-1)&amp;"_data"),MATCH(MID($A1672,SEARCH("-",$A1672)+1,SEARCH("#",SUBSTITUTE($A1672,"-","#",H1672),1)-(SEARCH("-",$A1672)+1)),INDIRECT(LEFT($A1672,SEARCH("-",$A1672,1)-1)&amp;"_rows"),0),MATCH(RIGHT($A1672,LEN($A1672)-SEARCH("#",SUBSTITUTE($A1672,"-","#",H1672),1)),INDIRECT(LEFT($A1672,SEARCH("-",$A1672,1)-1)&amp;"_Header"),0))</f>
        <v>0</v>
      </c>
      <c r="C1672" s="1203">
        <f ca="1">IF(ISERROR(VLOOKUP($A$1506,INDIRECT("notes_"&amp;LEFT($A$1506,3)),4,0)),0,VLOOKUP($A$1506,INDIRECT("notes_"&amp;LEFT($A$1506,3)),4,0))</f>
        <v>0</v>
      </c>
      <c r="H1672" s="1201">
        <f t="shared" si="259"/>
        <v>2</v>
      </c>
      <c r="I1672" s="1201">
        <v>0</v>
      </c>
      <c r="J1672" s="1201" t="str">
        <f t="shared" si="260"/>
        <v>cultrs</v>
      </c>
      <c r="K1672" s="1201" t="str">
        <f t="shared" si="261"/>
        <v>mss</v>
      </c>
      <c r="L1672" s="599"/>
      <c r="M1672" s="1201" t="s">
        <v>5802</v>
      </c>
      <c r="N1672" s="1201" t="s">
        <v>1114</v>
      </c>
      <c r="O1672" s="1201" t="s">
        <v>1113</v>
      </c>
    </row>
    <row r="1673" spans="1:15" x14ac:dyDescent="0.25">
      <c r="A1673" s="1205" t="s">
        <v>5923</v>
      </c>
      <c r="B1673" s="1202">
        <f t="shared" ref="B1673:B1679" ca="1" si="263">INDEX(INDIRECT(LEFT($A1673,SEARCH("-",$A1673,1)-1)&amp;"_data"),MATCH(MID($A1673,SEARCH("-",$A1673)+1,SEARCH("#",SUBSTITUTE($A1673,"-","#",H1673),1)-(SEARCH("-",$A1673)+1)),INDIRECT(LEFT($A1673,SEARCH("-",$A1673,1)-1)&amp;"_rows"),0),MATCH(RIGHT($A1673,LEN($A1673)-SEARCH("#",SUBSTITUTE($A1673,"-","#",H1673),1)),INDIRECT(LEFT($A1673,SEARCH("-",$A1673,1)-1)&amp;"_Header"),0))</f>
        <v>0</v>
      </c>
      <c r="C1673" s="1203">
        <f ca="1">IF(ISERROR(VLOOKUP($A$1507,INDIRECT("notes_"&amp;LEFT($A$1507,3)),4,0)),0,VLOOKUP($A$1507,INDIRECT("notes_"&amp;LEFT($A$1507,3)),4,0))</f>
        <v>0</v>
      </c>
      <c r="H1673" s="1201">
        <f t="shared" si="259"/>
        <v>2</v>
      </c>
      <c r="I1673" s="1201">
        <v>0</v>
      </c>
      <c r="J1673" s="1201" t="str">
        <f t="shared" si="260"/>
        <v>cullib</v>
      </c>
      <c r="K1673" s="1201" t="str">
        <f t="shared" si="261"/>
        <v>mss</v>
      </c>
      <c r="L1673" s="599"/>
      <c r="M1673" s="1201" t="s">
        <v>5802</v>
      </c>
      <c r="N1673" s="1201" t="s">
        <v>1114</v>
      </c>
      <c r="O1673" s="1201" t="s">
        <v>1113</v>
      </c>
    </row>
    <row r="1674" spans="1:15" x14ac:dyDescent="0.25">
      <c r="A1674" s="1205" t="s">
        <v>5924</v>
      </c>
      <c r="B1674" s="1202">
        <f t="shared" ca="1" si="263"/>
        <v>0</v>
      </c>
      <c r="C1674" s="1203">
        <f ca="1">IF(ISERROR(VLOOKUP($A$1508,INDIRECT("notes_"&amp;LEFT($A$1508,3)),4,0)),0,VLOOKUP($A$1508,INDIRECT("notes_"&amp;LEFT($A$1508,3)),4,0))</f>
        <v>0</v>
      </c>
      <c r="H1674" s="1201">
        <f t="shared" si="259"/>
        <v>2</v>
      </c>
      <c r="I1674" s="1201">
        <v>0</v>
      </c>
      <c r="J1674" s="1201" t="str">
        <f t="shared" si="260"/>
        <v>cultot</v>
      </c>
      <c r="K1674" s="1201" t="str">
        <f t="shared" si="261"/>
        <v>mss</v>
      </c>
      <c r="L1674" s="599"/>
      <c r="M1674" s="1201" t="s">
        <v>5802</v>
      </c>
      <c r="N1674" s="1201" t="s">
        <v>1114</v>
      </c>
      <c r="O1674" s="1201" t="s">
        <v>1113</v>
      </c>
    </row>
    <row r="1675" spans="1:15" x14ac:dyDescent="0.25">
      <c r="A1675" s="1205" t="s">
        <v>5925</v>
      </c>
      <c r="B1675" s="1202">
        <f t="shared" ca="1" si="263"/>
        <v>0</v>
      </c>
      <c r="C1675" s="1203">
        <f ca="1">IF(ISERROR(VLOOKUP($A$1509,INDIRECT("notes_"&amp;LEFT($A$1509,3)),4,0)),0,VLOOKUP($A$1509,INDIRECT("notes_"&amp;LEFT($A$1509,3)),4,0))</f>
        <v>0</v>
      </c>
      <c r="H1675" s="1201">
        <f t="shared" si="259"/>
        <v>2</v>
      </c>
      <c r="I1675" s="1201">
        <v>0</v>
      </c>
      <c r="J1675" s="1201" t="str">
        <f t="shared" si="260"/>
        <v>envcmt</v>
      </c>
      <c r="K1675" s="1201" t="str">
        <f t="shared" si="261"/>
        <v>mss</v>
      </c>
      <c r="L1675" s="599"/>
      <c r="M1675" s="1201" t="s">
        <v>5802</v>
      </c>
      <c r="N1675" s="1201" t="s">
        <v>1114</v>
      </c>
      <c r="O1675" s="1201" t="s">
        <v>1113</v>
      </c>
    </row>
    <row r="1676" spans="1:15" x14ac:dyDescent="0.25">
      <c r="A1676" s="1205" t="s">
        <v>5926</v>
      </c>
      <c r="B1676" s="1202">
        <f t="shared" ca="1" si="263"/>
        <v>0</v>
      </c>
      <c r="C1676" s="1203">
        <f ca="1">IF(ISERROR(VLOOKUP($A$1510,INDIRECT("notes_"&amp;LEFT($A$1510,3)),4,0)),0,VLOOKUP($A$1510,INDIRECT("notes_"&amp;LEFT($A$1510,3)),4,0))</f>
        <v>0</v>
      </c>
      <c r="H1676" s="1201">
        <f t="shared" si="259"/>
        <v>2</v>
      </c>
      <c r="I1676" s="1201">
        <v>0</v>
      </c>
      <c r="J1676" s="1201" t="str">
        <f t="shared" si="260"/>
        <v>envrgltrd</v>
      </c>
      <c r="K1676" s="1201" t="str">
        <f t="shared" si="261"/>
        <v>mss</v>
      </c>
      <c r="L1676" s="599"/>
      <c r="M1676" s="1201" t="s">
        <v>5802</v>
      </c>
      <c r="N1676" s="1201" t="s">
        <v>1114</v>
      </c>
      <c r="O1676" s="1201" t="s">
        <v>1113</v>
      </c>
    </row>
    <row r="1677" spans="1:15" x14ac:dyDescent="0.25">
      <c r="A1677" s="1205" t="s">
        <v>5927</v>
      </c>
      <c r="B1677" s="1202">
        <f t="shared" ca="1" si="263"/>
        <v>0</v>
      </c>
      <c r="C1677" s="1203">
        <f ca="1">IF(ISERROR(VLOOKUP($A$1511,INDIRECT("notes_"&amp;LEFT($A$1511,3)),4,0)),0,VLOOKUP($A$1511,INDIRECT("notes_"&amp;LEFT($A$1511,3)),4,0))</f>
        <v>0</v>
      </c>
      <c r="H1677" s="1201">
        <f t="shared" si="259"/>
        <v>2</v>
      </c>
      <c r="I1677" s="1201">
        <v>0</v>
      </c>
      <c r="J1677" s="1201" t="str">
        <f t="shared" si="260"/>
        <v>envrglenvwtr</v>
      </c>
      <c r="K1677" s="1201" t="str">
        <f t="shared" si="261"/>
        <v>mss</v>
      </c>
      <c r="L1677" s="599"/>
      <c r="M1677" s="1201" t="s">
        <v>5802</v>
      </c>
      <c r="N1677" s="1201" t="s">
        <v>1114</v>
      </c>
      <c r="O1677" s="1201" t="s">
        <v>1113</v>
      </c>
    </row>
    <row r="1678" spans="1:15" x14ac:dyDescent="0.25">
      <c r="A1678" s="1205" t="s">
        <v>5928</v>
      </c>
      <c r="B1678" s="1202">
        <f t="shared" ca="1" si="263"/>
        <v>0</v>
      </c>
      <c r="C1678" s="1203">
        <f ca="1">IF(ISERROR(VLOOKUP($A$1512,INDIRECT("notes_"&amp;LEFT($A$1512,3)),4,0)),0,VLOOKUP($A$1512,INDIRECT("notes_"&amp;LEFT($A$1512,3)),4,0))</f>
        <v>0</v>
      </c>
      <c r="H1678" s="1201">
        <f t="shared" si="259"/>
        <v>2</v>
      </c>
      <c r="I1678" s="1201">
        <v>0</v>
      </c>
      <c r="J1678" s="1201" t="str">
        <f t="shared" si="260"/>
        <v>envrglenvfd</v>
      </c>
      <c r="K1678" s="1201" t="str">
        <f t="shared" si="261"/>
        <v>mss</v>
      </c>
      <c r="L1678" s="599"/>
      <c r="M1678" s="1201" t="s">
        <v>5802</v>
      </c>
      <c r="N1678" s="1201" t="s">
        <v>1114</v>
      </c>
      <c r="O1678" s="1201" t="s">
        <v>1113</v>
      </c>
    </row>
    <row r="1679" spans="1:15" x14ac:dyDescent="0.25">
      <c r="A1679" s="1205" t="s">
        <v>5929</v>
      </c>
      <c r="B1679" s="1202">
        <f t="shared" ca="1" si="263"/>
        <v>0</v>
      </c>
      <c r="C1679" s="1203">
        <f ca="1">IF(ISERROR(VLOOKUP($A$1513,INDIRECT("notes_"&amp;LEFT($A$1513,3)),4,0)),0,VLOOKUP($A$1513,INDIRECT("notes_"&amp;LEFT($A$1513,3)),4,0))</f>
        <v>0</v>
      </c>
      <c r="H1679" s="1201">
        <f t="shared" si="259"/>
        <v>2</v>
      </c>
      <c r="I1679" s="1201">
        <v>0</v>
      </c>
      <c r="J1679" s="1201" t="str">
        <f t="shared" si="260"/>
        <v>envrglenvenv</v>
      </c>
      <c r="K1679" s="1201" t="str">
        <f t="shared" si="261"/>
        <v>mss</v>
      </c>
      <c r="L1679" s="599"/>
      <c r="M1679" s="1201" t="s">
        <v>5802</v>
      </c>
      <c r="N1679" s="1201" t="s">
        <v>1114</v>
      </c>
      <c r="O1679" s="1201" t="s">
        <v>1113</v>
      </c>
    </row>
    <row r="1680" spans="1:15" x14ac:dyDescent="0.25">
      <c r="A1680" s="1205" t="s">
        <v>5930</v>
      </c>
      <c r="B1680" s="1202">
        <f ca="1">INDEX(INDIRECT(LEFT($A1680,SEARCH("-",$A1680,1)-1)&amp;"_data"),MATCH(MID($A1680,SEARCH("-",$A1680)+1,SEARCH("#",SUBSTITUTE($A1680,"-","#",H1680),1)-(SEARCH("-",$A1680)+1)),INDIRECT(LEFT($A1680,SEARCH("-",$A1680,1)-1)&amp;"_rows"),0),MATCH(RIGHT($A1680,LEN($A1680)-SEARCH("#",SUBSTITUTE($A1680,"-","#",H1680),1)),INDIRECT(LEFT($A1680,SEARCH("-",$A1680,1)-1)&amp;"_Header"),0))</f>
        <v>0</v>
      </c>
      <c r="C1680" s="1203">
        <f ca="1">IF(ISERROR(VLOOKUP($A$1514,INDIRECT("notes_"&amp;LEFT($A$1514,3)),4,0)),0,VLOOKUP($A$1514,INDIRECT("notes_"&amp;LEFT($A$1514,3)),4,0))</f>
        <v>0</v>
      </c>
      <c r="H1680" s="1201">
        <f t="shared" si="259"/>
        <v>2</v>
      </c>
      <c r="I1680" s="1201">
        <v>0</v>
      </c>
      <c r="J1680" s="1201" t="str">
        <f t="shared" si="260"/>
        <v>envrglenvhsn</v>
      </c>
      <c r="K1680" s="1201" t="str">
        <f t="shared" si="261"/>
        <v>mss</v>
      </c>
      <c r="L1680" s="599"/>
      <c r="M1680" s="1201" t="s">
        <v>5802</v>
      </c>
      <c r="N1680" s="1201" t="s">
        <v>1114</v>
      </c>
      <c r="O1680" s="1201" t="s">
        <v>1113</v>
      </c>
    </row>
    <row r="1681" spans="1:15" x14ac:dyDescent="0.25">
      <c r="A1681" s="1205" t="s">
        <v>5931</v>
      </c>
      <c r="B1681" s="1202">
        <f t="shared" ref="B1681:B1695" ca="1" si="264">INDEX(INDIRECT(LEFT($A1681,SEARCH("-",$A1681,1)-1)&amp;"_data"),MATCH(MID($A1681,SEARCH("-",$A1681)+1,SEARCH("#",SUBSTITUTE($A1681,"-","#",H1681),1)-(SEARCH("-",$A1681)+1)),INDIRECT(LEFT($A1681,SEARCH("-",$A1681,1)-1)&amp;"_rows"),0),MATCH(RIGHT($A1681,LEN($A1681)-SEARCH("#",SUBSTITUTE($A1681,"-","#",H1681),1)),INDIRECT(LEFT($A1681,SEARCH("-",$A1681,1)-1)&amp;"_Header"),0))</f>
        <v>0</v>
      </c>
      <c r="C1681" s="1203">
        <f ca="1">IF(ISERROR(VLOOKUP($A$1515,INDIRECT("notes_"&amp;LEFT($A$1515,3)),4,0)),0,VLOOKUP($A$1515,INDIRECT("notes_"&amp;LEFT($A$1515,3)),4,0))</f>
        <v>0</v>
      </c>
      <c r="H1681" s="1201">
        <f t="shared" si="259"/>
        <v>2</v>
      </c>
      <c r="I1681" s="1201">
        <v>0</v>
      </c>
      <c r="J1681" s="1201" t="str">
        <f t="shared" si="260"/>
        <v>envrglenvhs</v>
      </c>
      <c r="K1681" s="1201" t="str">
        <f t="shared" si="261"/>
        <v>mss</v>
      </c>
      <c r="L1681" s="599"/>
      <c r="M1681" s="1201" t="s">
        <v>5802</v>
      </c>
      <c r="N1681" s="1201" t="s">
        <v>1114</v>
      </c>
      <c r="O1681" s="1201" t="s">
        <v>1113</v>
      </c>
    </row>
    <row r="1682" spans="1:15" x14ac:dyDescent="0.25">
      <c r="A1682" s="1205" t="s">
        <v>5932</v>
      </c>
      <c r="B1682" s="1202">
        <f t="shared" ca="1" si="264"/>
        <v>0</v>
      </c>
      <c r="C1682" s="1203">
        <f ca="1">IF(ISERROR(VLOOKUP($A$1516,INDIRECT("notes_"&amp;LEFT($A$1516,3)),4,0)),0,VLOOKUP($A$1516,INDIRECT("notes_"&amp;LEFT($A$1516,3)),4,0))</f>
        <v>0</v>
      </c>
      <c r="H1682" s="1201">
        <f t="shared" si="259"/>
        <v>2</v>
      </c>
      <c r="I1682" s="1201">
        <v>0</v>
      </c>
      <c r="J1682" s="1201" t="str">
        <f t="shared" si="260"/>
        <v>envrglenvprtxlvs</v>
      </c>
      <c r="K1682" s="1201" t="str">
        <f t="shared" si="261"/>
        <v>mss</v>
      </c>
      <c r="L1682" s="599"/>
      <c r="M1682" s="1201" t="s">
        <v>5802</v>
      </c>
      <c r="N1682" s="1201" t="s">
        <v>1114</v>
      </c>
      <c r="O1682" s="1201" t="s">
        <v>1113</v>
      </c>
    </row>
    <row r="1683" spans="1:15" x14ac:dyDescent="0.25">
      <c r="A1683" s="1205" t="s">
        <v>5933</v>
      </c>
      <c r="B1683" s="1202">
        <f t="shared" ca="1" si="264"/>
        <v>0</v>
      </c>
      <c r="C1683" s="1203">
        <f ca="1">IF(ISERROR(VLOOKUP($A$1517,INDIRECT("notes_"&amp;LEFT($A$1517,3)),4,0)),0,VLOOKUP($A$1517,INDIRECT("notes_"&amp;LEFT($A$1517,3)),4,0))</f>
        <v>0</v>
      </c>
      <c r="H1683" s="1201">
        <f t="shared" si="259"/>
        <v>2</v>
      </c>
      <c r="I1683" s="1201">
        <v>0</v>
      </c>
      <c r="J1683" s="1201" t="str">
        <f t="shared" si="260"/>
        <v>envrglenvprtlvs</v>
      </c>
      <c r="K1683" s="1201" t="str">
        <f t="shared" si="261"/>
        <v>mss</v>
      </c>
      <c r="L1683" s="599"/>
      <c r="M1683" s="1201" t="s">
        <v>5802</v>
      </c>
      <c r="N1683" s="1201" t="s">
        <v>1114</v>
      </c>
      <c r="O1683" s="1201" t="s">
        <v>1113</v>
      </c>
    </row>
    <row r="1684" spans="1:15" x14ac:dyDescent="0.25">
      <c r="A1684" s="1205" t="s">
        <v>5934</v>
      </c>
      <c r="B1684" s="1202">
        <f t="shared" ca="1" si="264"/>
        <v>0</v>
      </c>
      <c r="C1684" s="1203">
        <f ca="1">IF(ISERROR(VLOOKUP($A$1518,INDIRECT("notes_"&amp;LEFT($A$1518,3)),4,0)),0,VLOOKUP($A$1518,INDIRECT("notes_"&amp;LEFT($A$1518,3)),4,0))</f>
        <v>0</v>
      </c>
      <c r="H1684" s="1201">
        <f t="shared" si="259"/>
        <v>2</v>
      </c>
      <c r="I1684" s="1201">
        <v>0</v>
      </c>
      <c r="J1684" s="1201" t="str">
        <f t="shared" si="260"/>
        <v>envrglenvpst</v>
      </c>
      <c r="K1684" s="1201" t="str">
        <f t="shared" si="261"/>
        <v>mss</v>
      </c>
      <c r="L1684" s="599"/>
      <c r="M1684" s="1201" t="s">
        <v>5802</v>
      </c>
      <c r="N1684" s="1201" t="s">
        <v>1114</v>
      </c>
      <c r="O1684" s="1201" t="s">
        <v>1113</v>
      </c>
    </row>
    <row r="1685" spans="1:15" x14ac:dyDescent="0.25">
      <c r="A1685" s="1205" t="s">
        <v>5935</v>
      </c>
      <c r="B1685" s="1202">
        <f t="shared" ca="1" si="264"/>
        <v>0</v>
      </c>
      <c r="C1685" s="1203">
        <f ca="1">IF(ISERROR(VLOOKUP($A$1519,INDIRECT("notes_"&amp;LEFT($A$1519,3)),4,0)),0,VLOOKUP($A$1519,INDIRECT("notes_"&amp;LEFT($A$1519,3)),4,0))</f>
        <v>0</v>
      </c>
      <c r="H1685" s="1201">
        <f t="shared" si="259"/>
        <v>2</v>
      </c>
      <c r="I1685" s="1201">
        <v>0</v>
      </c>
      <c r="J1685" s="1201" t="str">
        <f t="shared" si="260"/>
        <v>envrglenvtlt</v>
      </c>
      <c r="K1685" s="1201" t="str">
        <f t="shared" si="261"/>
        <v>mss</v>
      </c>
      <c r="L1685" s="599"/>
      <c r="M1685" s="1201" t="s">
        <v>5802</v>
      </c>
      <c r="N1685" s="1201" t="s">
        <v>1114</v>
      </c>
      <c r="O1685" s="1201" t="s">
        <v>1113</v>
      </c>
    </row>
    <row r="1686" spans="1:15" x14ac:dyDescent="0.25">
      <c r="A1686" s="1205" t="s">
        <v>5936</v>
      </c>
      <c r="B1686" s="1202">
        <f t="shared" ca="1" si="264"/>
        <v>0</v>
      </c>
      <c r="C1686" s="1203">
        <f ca="1">IF(ISERROR(VLOOKUP($A$1520,INDIRECT("notes_"&amp;LEFT($A$1520,3)),4,0)),0,VLOOKUP($A$1520,INDIRECT("notes_"&amp;LEFT($A$1520,3)),4,0))</f>
        <v>0</v>
      </c>
      <c r="H1686" s="1201">
        <f t="shared" si="259"/>
        <v>2</v>
      </c>
      <c r="I1686" s="1201">
        <v>0</v>
      </c>
      <c r="J1686" s="1201" t="str">
        <f t="shared" si="260"/>
        <v>envrglenvanm</v>
      </c>
      <c r="K1686" s="1201" t="str">
        <f t="shared" si="261"/>
        <v>mss</v>
      </c>
      <c r="L1686" s="599"/>
      <c r="M1686" s="1201" t="s">
        <v>5802</v>
      </c>
      <c r="N1686" s="1201" t="s">
        <v>1114</v>
      </c>
      <c r="O1686" s="1201" t="s">
        <v>1113</v>
      </c>
    </row>
    <row r="1687" spans="1:15" x14ac:dyDescent="0.25">
      <c r="A1687" s="1205" t="s">
        <v>5937</v>
      </c>
      <c r="B1687" s="1202">
        <f t="shared" ca="1" si="264"/>
        <v>0</v>
      </c>
      <c r="C1687" s="1203">
        <f ca="1">IF(ISERROR(VLOOKUP($A$1521,INDIRECT("notes_"&amp;LEFT($A$1521,3)),4,0)),0,VLOOKUP($A$1521,INDIRECT("notes_"&amp;LEFT($A$1521,3)),4,0))</f>
        <v>0</v>
      </c>
      <c r="H1687" s="1201">
        <f t="shared" si="259"/>
        <v>2</v>
      </c>
      <c r="I1687" s="1201">
        <v>0</v>
      </c>
      <c r="J1687" s="1201" t="str">
        <f t="shared" si="260"/>
        <v>envrglenvlcn</v>
      </c>
      <c r="K1687" s="1201" t="str">
        <f t="shared" si="261"/>
        <v>mss</v>
      </c>
      <c r="L1687" s="599"/>
      <c r="M1687" s="1201" t="s">
        <v>5802</v>
      </c>
      <c r="N1687" s="1201" t="s">
        <v>1114</v>
      </c>
      <c r="O1687" s="1201" t="s">
        <v>1113</v>
      </c>
    </row>
    <row r="1688" spans="1:15" x14ac:dyDescent="0.25">
      <c r="A1688" s="1205" t="s">
        <v>5938</v>
      </c>
      <c r="B1688" s="1202">
        <f t="shared" ca="1" si="264"/>
        <v>0</v>
      </c>
      <c r="C1688" s="1203">
        <f ca="1">IF(ISERROR(VLOOKUP($A$1522,INDIRECT("notes_"&amp;LEFT($A$1522,3)),4,0)),0,VLOOKUP($A$1522,INDIRECT("notes_"&amp;LEFT($A$1522,3)),4,0))</f>
        <v>0</v>
      </c>
      <c r="H1688" s="1201">
        <f t="shared" si="259"/>
        <v>2</v>
      </c>
      <c r="I1688" s="1201">
        <v>0</v>
      </c>
      <c r="J1688" s="1201" t="str">
        <f t="shared" si="260"/>
        <v>envcmmcrm</v>
      </c>
      <c r="K1688" s="1201" t="str">
        <f t="shared" si="261"/>
        <v>mss</v>
      </c>
      <c r="L1688" s="599"/>
      <c r="M1688" s="1201" t="s">
        <v>5802</v>
      </c>
      <c r="N1688" s="1201" t="s">
        <v>1114</v>
      </c>
      <c r="O1688" s="1201" t="s">
        <v>1113</v>
      </c>
    </row>
    <row r="1689" spans="1:15" x14ac:dyDescent="0.25">
      <c r="A1689" s="1205" t="s">
        <v>5939</v>
      </c>
      <c r="B1689" s="1202">
        <f t="shared" ca="1" si="264"/>
        <v>0</v>
      </c>
      <c r="C1689" s="1203">
        <f ca="1">IF(ISERROR(VLOOKUP($A$1523,INDIRECT("notes_"&amp;LEFT($A$1523,3)),4,0)),0,VLOOKUP($A$1523,INDIRECT("notes_"&amp;LEFT($A$1523,3)),4,0))</f>
        <v>0</v>
      </c>
      <c r="H1689" s="1201">
        <f t="shared" si="259"/>
        <v>2</v>
      </c>
      <c r="I1689" s="1201">
        <v>0</v>
      </c>
      <c r="J1689" s="1201" t="str">
        <f t="shared" si="260"/>
        <v>envcmmsft</v>
      </c>
      <c r="K1689" s="1201" t="str">
        <f t="shared" si="261"/>
        <v>mss</v>
      </c>
      <c r="L1689" s="599"/>
      <c r="M1689" s="1201" t="s">
        <v>5802</v>
      </c>
      <c r="N1689" s="1201" t="s">
        <v>1114</v>
      </c>
      <c r="O1689" s="1201" t="s">
        <v>1113</v>
      </c>
    </row>
    <row r="1690" spans="1:15" x14ac:dyDescent="0.25">
      <c r="A1690" s="1205" t="s">
        <v>5940</v>
      </c>
      <c r="B1690" s="1202">
        <f t="shared" ca="1" si="264"/>
        <v>0</v>
      </c>
      <c r="C1690" s="1203">
        <f ca="1">IF(ISERROR(VLOOKUP($A$1524,INDIRECT("notes_"&amp;LEFT($A$1524,3)),4,0)),0,VLOOKUP($A$1524,INDIRECT("notes_"&amp;LEFT($A$1524,3)),4,0))</f>
        <v>0</v>
      </c>
      <c r="H1690" s="1201">
        <f t="shared" si="259"/>
        <v>2</v>
      </c>
      <c r="I1690" s="1201">
        <v>0</v>
      </c>
      <c r="J1690" s="1201" t="str">
        <f t="shared" si="260"/>
        <v>envcmmcct</v>
      </c>
      <c r="K1690" s="1201" t="str">
        <f t="shared" si="261"/>
        <v>mss</v>
      </c>
      <c r="L1690" s="599"/>
      <c r="M1690" s="1201" t="s">
        <v>5802</v>
      </c>
      <c r="N1690" s="1201" t="s">
        <v>1114</v>
      </c>
      <c r="O1690" s="1201" t="s">
        <v>1113</v>
      </c>
    </row>
    <row r="1691" spans="1:15" x14ac:dyDescent="0.25">
      <c r="A1691" s="1205" t="s">
        <v>5941</v>
      </c>
      <c r="B1691" s="1202">
        <f t="shared" ca="1" si="264"/>
        <v>0</v>
      </c>
      <c r="C1691" s="1203">
        <f ca="1">IF(ISERROR(VLOOKUP($A$1525,INDIRECT("notes_"&amp;LEFT($A$1525,3)),4,0)),0,VLOOKUP($A$1525,INDIRECT("notes_"&amp;LEFT($A$1525,3)),4,0))</f>
        <v>0</v>
      </c>
      <c r="H1691" s="1201">
        <f t="shared" si="259"/>
        <v>2</v>
      </c>
      <c r="I1691" s="1201">
        <v>0</v>
      </c>
      <c r="J1691" s="1201" t="str">
        <f t="shared" si="260"/>
        <v>envfldfld</v>
      </c>
      <c r="K1691" s="1201" t="str">
        <f t="shared" si="261"/>
        <v>mss</v>
      </c>
      <c r="L1691" s="599"/>
      <c r="M1691" s="1201" t="s">
        <v>5802</v>
      </c>
      <c r="N1691" s="1201" t="s">
        <v>1114</v>
      </c>
      <c r="O1691" s="1201" t="s">
        <v>1113</v>
      </c>
    </row>
    <row r="1692" spans="1:15" x14ac:dyDescent="0.25">
      <c r="A1692" s="1205" t="s">
        <v>5942</v>
      </c>
      <c r="B1692" s="1202">
        <f t="shared" ca="1" si="264"/>
        <v>0</v>
      </c>
      <c r="C1692" s="1203">
        <f ca="1">IF(ISERROR(VLOOKUP($A$1526,INDIRECT("notes_"&amp;LEFT($A$1526,3)),4,0)),0,VLOOKUP($A$1526,INDIRECT("notes_"&amp;LEFT($A$1526,3)),4,0))</f>
        <v>0</v>
      </c>
      <c r="H1692" s="1201">
        <f t="shared" si="259"/>
        <v>2</v>
      </c>
      <c r="I1692" s="1201">
        <v>0</v>
      </c>
      <c r="J1692" s="1201" t="str">
        <f t="shared" si="260"/>
        <v>envflddrn</v>
      </c>
      <c r="K1692" s="1201" t="str">
        <f t="shared" si="261"/>
        <v>mss</v>
      </c>
      <c r="L1692" s="599"/>
      <c r="M1692" s="1201" t="s">
        <v>5802</v>
      </c>
      <c r="N1692" s="1201" t="s">
        <v>1114</v>
      </c>
      <c r="O1692" s="1201" t="s">
        <v>1113</v>
      </c>
    </row>
    <row r="1693" spans="1:15" x14ac:dyDescent="0.25">
      <c r="A1693" s="1205" t="s">
        <v>5943</v>
      </c>
      <c r="B1693" s="1202">
        <f t="shared" ca="1" si="264"/>
        <v>0</v>
      </c>
      <c r="C1693" s="1203">
        <f ca="1">IF(ISERROR(VLOOKUP($A$1527,INDIRECT("notes_"&amp;LEFT($A$1527,3)),4,0)),0,VLOOKUP($A$1527,INDIRECT("notes_"&amp;LEFT($A$1527,3)),4,0))</f>
        <v>0</v>
      </c>
      <c r="H1693" s="1201">
        <f t="shared" si="259"/>
        <v>2</v>
      </c>
      <c r="I1693" s="1201">
        <v>0</v>
      </c>
      <c r="J1693" s="1201" t="str">
        <f t="shared" si="260"/>
        <v>envflddrnlev</v>
      </c>
      <c r="K1693" s="1201" t="str">
        <f t="shared" si="261"/>
        <v>mss</v>
      </c>
      <c r="L1693" s="599"/>
      <c r="M1693" s="1201" t="s">
        <v>5802</v>
      </c>
      <c r="N1693" s="1201" t="s">
        <v>1114</v>
      </c>
      <c r="O1693" s="1201" t="s">
        <v>1113</v>
      </c>
    </row>
    <row r="1694" spans="1:15" x14ac:dyDescent="0.25">
      <c r="A1694" s="1205" t="s">
        <v>5944</v>
      </c>
      <c r="B1694" s="1202">
        <f t="shared" ca="1" si="264"/>
        <v>0</v>
      </c>
      <c r="C1694" s="1203">
        <f ca="1">IF(ISERROR(VLOOKUP($A$1528,INDIRECT("notes_"&amp;LEFT($A$1528,3)),4,0)),0,VLOOKUP($A$1528,INDIRECT("notes_"&amp;LEFT($A$1528,3)),4,0))</f>
        <v>0</v>
      </c>
      <c r="H1694" s="1201">
        <f t="shared" si="259"/>
        <v>2</v>
      </c>
      <c r="I1694" s="1201">
        <v>0</v>
      </c>
      <c r="J1694" s="1201" t="str">
        <f t="shared" si="260"/>
        <v>envcst</v>
      </c>
      <c r="K1694" s="1201" t="str">
        <f t="shared" si="261"/>
        <v>mss</v>
      </c>
      <c r="L1694" s="599"/>
      <c r="M1694" s="1201" t="s">
        <v>5802</v>
      </c>
      <c r="N1694" s="1201" t="s">
        <v>1114</v>
      </c>
      <c r="O1694" s="1201" t="s">
        <v>1113</v>
      </c>
    </row>
    <row r="1695" spans="1:15" x14ac:dyDescent="0.25">
      <c r="A1695" s="1205" t="s">
        <v>5945</v>
      </c>
      <c r="B1695" s="1202">
        <f t="shared" ca="1" si="264"/>
        <v>0</v>
      </c>
      <c r="C1695" s="1203">
        <f ca="1">IF(ISERROR(VLOOKUP($A$1529,INDIRECT("notes_"&amp;LEFT($A$1529,3)),4,0)),0,VLOOKUP($A$1529,INDIRECT("notes_"&amp;LEFT($A$1529,3)),4,0))</f>
        <v>0</v>
      </c>
      <c r="H1695" s="1201">
        <f t="shared" si="259"/>
        <v>2</v>
      </c>
      <c r="I1695" s="1201">
        <v>0</v>
      </c>
      <c r="J1695" s="1201" t="str">
        <f t="shared" si="260"/>
        <v>envagr</v>
      </c>
      <c r="K1695" s="1201" t="str">
        <f t="shared" si="261"/>
        <v>mss</v>
      </c>
      <c r="L1695" s="599"/>
      <c r="M1695" s="1201" t="s">
        <v>5802</v>
      </c>
      <c r="N1695" s="1201" t="s">
        <v>1114</v>
      </c>
      <c r="O1695" s="1201" t="s">
        <v>1113</v>
      </c>
    </row>
    <row r="1696" spans="1:15" x14ac:dyDescent="0.25">
      <c r="A1696" s="1205" t="s">
        <v>5946</v>
      </c>
      <c r="B1696" s="1202">
        <f ca="1">INDEX(INDIRECT(LEFT($A1696,SEARCH("-",$A1696,1)-1)&amp;"_data"),MATCH(MID($A1696,SEARCH("-",$A1696)+1,SEARCH("#",SUBSTITUTE($A1696,"-","#",H1696),1)-(SEARCH("-",$A1696)+1)),INDIRECT(LEFT($A1696,SEARCH("-",$A1696,1)-1)&amp;"_rows"),0),MATCH(RIGHT($A1696,LEN($A1696)-SEARCH("#",SUBSTITUTE($A1696,"-","#",H1696),1)),INDIRECT(LEFT($A1696,SEARCH("-",$A1696,1)-1)&amp;"_Header"),0))</f>
        <v>0</v>
      </c>
      <c r="C1696" s="1203">
        <f ca="1">IF(ISERROR(VLOOKUP($A$1530,INDIRECT("notes_"&amp;LEFT($A$1530,3)),4,0)),0,VLOOKUP($A$1530,INDIRECT("notes_"&amp;LEFT($A$1530,3)),4,0))</f>
        <v>0</v>
      </c>
      <c r="H1696" s="1201">
        <f t="shared" si="259"/>
        <v>2</v>
      </c>
      <c r="I1696" s="1201">
        <v>0</v>
      </c>
      <c r="J1696" s="1201" t="str">
        <f t="shared" si="260"/>
        <v>envstr</v>
      </c>
      <c r="K1696" s="1201" t="str">
        <f t="shared" si="261"/>
        <v>mss</v>
      </c>
      <c r="L1696" s="599"/>
      <c r="M1696" s="1201" t="s">
        <v>5802</v>
      </c>
      <c r="N1696" s="1201" t="s">
        <v>1114</v>
      </c>
      <c r="O1696" s="1201" t="s">
        <v>1113</v>
      </c>
    </row>
    <row r="1697" spans="1:15" x14ac:dyDescent="0.25">
      <c r="A1697" s="1205" t="s">
        <v>5947</v>
      </c>
      <c r="B1697" s="1202">
        <f t="shared" ref="B1697:B1715" ca="1" si="265">INDEX(INDIRECT(LEFT($A1697,SEARCH("-",$A1697,1)-1)&amp;"_data"),MATCH(MID($A1697,SEARCH("-",$A1697)+1,SEARCH("#",SUBSTITUTE($A1697,"-","#",H1697),1)-(SEARCH("-",$A1697)+1)),INDIRECT(LEFT($A1697,SEARCH("-",$A1697,1)-1)&amp;"_rows"),0),MATCH(RIGHT($A1697,LEN($A1697)-SEARCH("#",SUBSTITUTE($A1697,"-","#",H1697),1)),INDIRECT(LEFT($A1697,SEARCH("-",$A1697,1)-1)&amp;"_Header"),0))</f>
        <v>0</v>
      </c>
      <c r="C1697" s="1203">
        <f ca="1">IF(ISERROR(VLOOKUP($A$1531,INDIRECT("notes_"&amp;LEFT($A$1531,3)),4,0)),0,VLOOKUP($A$1531,INDIRECT("notes_"&amp;LEFT($A$1531,3)),4,0))</f>
        <v>0</v>
      </c>
      <c r="H1697" s="1201">
        <f t="shared" si="259"/>
        <v>2</v>
      </c>
      <c r="I1697" s="1201">
        <v>0</v>
      </c>
      <c r="J1697" s="1201" t="str">
        <f t="shared" si="260"/>
        <v>envcll</v>
      </c>
      <c r="K1697" s="1201" t="str">
        <f t="shared" si="261"/>
        <v>mss</v>
      </c>
      <c r="L1697" s="599"/>
      <c r="M1697" s="1201" t="s">
        <v>5802</v>
      </c>
      <c r="N1697" s="1201" t="s">
        <v>1114</v>
      </c>
      <c r="O1697" s="1201" t="s">
        <v>1113</v>
      </c>
    </row>
    <row r="1698" spans="1:15" x14ac:dyDescent="0.25">
      <c r="A1698" s="1205" t="s">
        <v>5948</v>
      </c>
      <c r="B1698" s="1202">
        <f t="shared" ca="1" si="265"/>
        <v>0</v>
      </c>
      <c r="C1698" s="1203">
        <f ca="1">IF(ISERROR(VLOOKUP($A$1532,INDIRECT("notes_"&amp;LEFT($A$1532,3)),4,0)),0,VLOOKUP($A$1532,INDIRECT("notes_"&amp;LEFT($A$1532,3)),4,0))</f>
        <v>0</v>
      </c>
      <c r="H1698" s="1201">
        <f t="shared" si="259"/>
        <v>2</v>
      </c>
      <c r="I1698" s="1201">
        <v>0</v>
      </c>
      <c r="J1698" s="1201" t="str">
        <f t="shared" si="260"/>
        <v>envdsp</v>
      </c>
      <c r="K1698" s="1201" t="str">
        <f t="shared" si="261"/>
        <v>mss</v>
      </c>
      <c r="L1698" s="599"/>
      <c r="M1698" s="1201" t="s">
        <v>5802</v>
      </c>
      <c r="N1698" s="1201" t="s">
        <v>1114</v>
      </c>
      <c r="O1698" s="1201" t="s">
        <v>1113</v>
      </c>
    </row>
    <row r="1699" spans="1:15" x14ac:dyDescent="0.25">
      <c r="A1699" s="1205" t="s">
        <v>5949</v>
      </c>
      <c r="B1699" s="1202">
        <f t="shared" ca="1" si="265"/>
        <v>0</v>
      </c>
      <c r="C1699" s="1203">
        <f ca="1">IF(ISERROR(VLOOKUP($A$1533,INDIRECT("notes_"&amp;LEFT($A$1533,3)),4,0)),0,VLOOKUP($A$1533,INDIRECT("notes_"&amp;LEFT($A$1533,3)),4,0))</f>
        <v>0</v>
      </c>
      <c r="H1699" s="1201">
        <f t="shared" si="259"/>
        <v>2</v>
      </c>
      <c r="I1699" s="1201">
        <v>0</v>
      </c>
      <c r="J1699" s="1201" t="str">
        <f t="shared" si="260"/>
        <v>envtrd</v>
      </c>
      <c r="K1699" s="1201" t="str">
        <f t="shared" si="261"/>
        <v>mss</v>
      </c>
      <c r="L1699" s="599"/>
      <c r="M1699" s="1201" t="s">
        <v>5802</v>
      </c>
      <c r="N1699" s="1201" t="s">
        <v>1114</v>
      </c>
      <c r="O1699" s="1201" t="s">
        <v>1113</v>
      </c>
    </row>
    <row r="1700" spans="1:15" x14ac:dyDescent="0.25">
      <c r="A1700" s="1205" t="s">
        <v>5950</v>
      </c>
      <c r="B1700" s="1202">
        <f t="shared" ca="1" si="265"/>
        <v>0</v>
      </c>
      <c r="C1700" s="1203">
        <f ca="1">IF(ISERROR(VLOOKUP($A$1534,INDIRECT("notes_"&amp;LEFT($A$1534,3)),4,0)),0,VLOOKUP($A$1534,INDIRECT("notes_"&amp;LEFT($A$1534,3)),4,0))</f>
        <v>0</v>
      </c>
      <c r="H1700" s="1201">
        <f t="shared" si="259"/>
        <v>2</v>
      </c>
      <c r="I1700" s="1201">
        <v>0</v>
      </c>
      <c r="J1700" s="1201" t="str">
        <f t="shared" si="260"/>
        <v>envrcy</v>
      </c>
      <c r="K1700" s="1201" t="str">
        <f t="shared" si="261"/>
        <v>mss</v>
      </c>
      <c r="L1700" s="599"/>
      <c r="M1700" s="1201" t="s">
        <v>5802</v>
      </c>
      <c r="N1700" s="1201" t="s">
        <v>1114</v>
      </c>
      <c r="O1700" s="1201" t="s">
        <v>1113</v>
      </c>
    </row>
    <row r="1701" spans="1:15" x14ac:dyDescent="0.25">
      <c r="A1701" s="1205" t="s">
        <v>5951</v>
      </c>
      <c r="B1701" s="1202">
        <f t="shared" ca="1" si="265"/>
        <v>0</v>
      </c>
      <c r="C1701" s="1203">
        <f ca="1">IF(ISERROR(VLOOKUP($A$1535,INDIRECT("notes_"&amp;LEFT($A$1535,3)),4,0)),0,VLOOKUP($A$1535,INDIRECT("notes_"&amp;LEFT($A$1535,3)),4,0))</f>
        <v>0</v>
      </c>
      <c r="H1701" s="1201">
        <f t="shared" si="259"/>
        <v>2</v>
      </c>
      <c r="I1701" s="1201">
        <v>0</v>
      </c>
      <c r="J1701" s="1201" t="str">
        <f t="shared" si="260"/>
        <v>envmin</v>
      </c>
      <c r="K1701" s="1201" t="str">
        <f t="shared" si="261"/>
        <v>mss</v>
      </c>
      <c r="L1701" s="599"/>
      <c r="M1701" s="1201" t="s">
        <v>5802</v>
      </c>
      <c r="N1701" s="1201" t="s">
        <v>1114</v>
      </c>
      <c r="O1701" s="1201" t="s">
        <v>1113</v>
      </c>
    </row>
    <row r="1702" spans="1:15" x14ac:dyDescent="0.25">
      <c r="A1702" s="1205" t="s">
        <v>5952</v>
      </c>
      <c r="B1702" s="1202">
        <f t="shared" ca="1" si="265"/>
        <v>0</v>
      </c>
      <c r="C1702" s="1203">
        <f ca="1">IF(ISERROR(VLOOKUP($A$1536,INDIRECT("notes_"&amp;LEFT($A$1536,3)),4,0)),0,VLOOKUP($A$1536,INDIRECT("notes_"&amp;LEFT($A$1536,3)),4,0))</f>
        <v>0</v>
      </c>
      <c r="H1702" s="1201">
        <f t="shared" si="259"/>
        <v>2</v>
      </c>
      <c r="I1702" s="1201">
        <v>0</v>
      </c>
      <c r="J1702" s="1201" t="str">
        <f t="shared" si="260"/>
        <v>envclm</v>
      </c>
      <c r="K1702" s="1201" t="str">
        <f t="shared" si="261"/>
        <v>mss</v>
      </c>
      <c r="L1702" s="599"/>
      <c r="M1702" s="1201" t="s">
        <v>5802</v>
      </c>
      <c r="N1702" s="1201" t="s">
        <v>1114</v>
      </c>
      <c r="O1702" s="1201" t="s">
        <v>1113</v>
      </c>
    </row>
    <row r="1703" spans="1:15" x14ac:dyDescent="0.25">
      <c r="A1703" s="1205" t="s">
        <v>5953</v>
      </c>
      <c r="B1703" s="1202">
        <f t="shared" ca="1" si="265"/>
        <v>0</v>
      </c>
      <c r="C1703" s="1203">
        <f ca="1">IF(ISERROR(VLOOKUP($A$1537,INDIRECT("notes_"&amp;LEFT($A$1537,3)),4,0)),0,VLOOKUP($A$1537,INDIRECT("notes_"&amp;LEFT($A$1537,3)),4,0))</f>
        <v>0</v>
      </c>
      <c r="H1703" s="1201">
        <f t="shared" si="259"/>
        <v>2</v>
      </c>
      <c r="I1703" s="1201">
        <v>0</v>
      </c>
      <c r="J1703" s="1201" t="str">
        <f t="shared" si="260"/>
        <v>envtot</v>
      </c>
      <c r="K1703" s="1201" t="str">
        <f t="shared" si="261"/>
        <v>mss</v>
      </c>
      <c r="L1703" s="599"/>
      <c r="M1703" s="1201" t="s">
        <v>5802</v>
      </c>
      <c r="N1703" s="1201" t="s">
        <v>1114</v>
      </c>
      <c r="O1703" s="1201" t="s">
        <v>1113</v>
      </c>
    </row>
    <row r="1704" spans="1:15" x14ac:dyDescent="0.25">
      <c r="A1704" s="1205" t="s">
        <v>5954</v>
      </c>
      <c r="B1704" s="1202">
        <f t="shared" ca="1" si="265"/>
        <v>0</v>
      </c>
      <c r="C1704" s="1203">
        <f ca="1">IF(ISERROR(VLOOKUP($A$1538,INDIRECT("notes_"&amp;LEFT($A$1538,3)),4,0)),0,VLOOKUP($A$1538,INDIRECT("notes_"&amp;LEFT($A$1538,3)),4,0))</f>
        <v>0</v>
      </c>
      <c r="H1704" s="1201">
        <f t="shared" si="259"/>
        <v>2</v>
      </c>
      <c r="I1704" s="1201">
        <v>0</v>
      </c>
      <c r="J1704" s="1201" t="str">
        <f t="shared" si="260"/>
        <v>planbld</v>
      </c>
      <c r="K1704" s="1201" t="str">
        <f t="shared" si="261"/>
        <v>mss</v>
      </c>
      <c r="L1704" s="599"/>
      <c r="M1704" s="1201" t="s">
        <v>5802</v>
      </c>
      <c r="N1704" s="1201" t="s">
        <v>1114</v>
      </c>
      <c r="O1704" s="1201" t="s">
        <v>1113</v>
      </c>
    </row>
    <row r="1705" spans="1:15" x14ac:dyDescent="0.25">
      <c r="A1705" s="1205" t="s">
        <v>5955</v>
      </c>
      <c r="B1705" s="1202">
        <f t="shared" ca="1" si="265"/>
        <v>0</v>
      </c>
      <c r="C1705" s="1203">
        <f ca="1">IF(ISERROR(VLOOKUP($A$1539,INDIRECT("notes_"&amp;LEFT($A$1539,3)),4,0)),0,VLOOKUP($A$1539,INDIRECT("notes_"&amp;LEFT($A$1539,3)),4,0))</f>
        <v>0</v>
      </c>
      <c r="H1705" s="1201">
        <f t="shared" si="259"/>
        <v>2</v>
      </c>
      <c r="I1705" s="1201">
        <v>0</v>
      </c>
      <c r="J1705" s="1201" t="str">
        <f t="shared" si="260"/>
        <v>plandvl</v>
      </c>
      <c r="K1705" s="1201" t="str">
        <f t="shared" si="261"/>
        <v>mss</v>
      </c>
      <c r="L1705" s="599"/>
      <c r="M1705" s="1201" t="s">
        <v>5802</v>
      </c>
      <c r="N1705" s="1201" t="s">
        <v>1114</v>
      </c>
      <c r="O1705" s="1201" t="s">
        <v>1113</v>
      </c>
    </row>
    <row r="1706" spans="1:15" x14ac:dyDescent="0.25">
      <c r="A1706" s="1205" t="s">
        <v>5956</v>
      </c>
      <c r="B1706" s="1202">
        <f t="shared" ca="1" si="265"/>
        <v>0</v>
      </c>
      <c r="C1706" s="1203">
        <f ca="1">IF(ISERROR(VLOOKUP($A$1540,INDIRECT("notes_"&amp;LEFT($A$1540,3)),4,0)),0,VLOOKUP($A$1540,INDIRECT("notes_"&amp;LEFT($A$1540,3)),4,0))</f>
        <v>0</v>
      </c>
      <c r="H1706" s="1201">
        <f t="shared" si="259"/>
        <v>5</v>
      </c>
      <c r="I1706" s="1201">
        <v>0</v>
      </c>
      <c r="J1706" s="1201" t="str">
        <f t="shared" si="260"/>
        <v>planplc-cns-lst-bld</v>
      </c>
      <c r="K1706" s="1201" t="str">
        <f t="shared" si="261"/>
        <v>mss</v>
      </c>
      <c r="L1706" s="599"/>
      <c r="M1706" s="1201" t="s">
        <v>5802</v>
      </c>
      <c r="N1706" s="1201" t="s">
        <v>1114</v>
      </c>
      <c r="O1706" s="1201" t="s">
        <v>1113</v>
      </c>
    </row>
    <row r="1707" spans="1:15" x14ac:dyDescent="0.25">
      <c r="A1707" s="1205" t="s">
        <v>5957</v>
      </c>
      <c r="B1707" s="1202">
        <f t="shared" ca="1" si="265"/>
        <v>0</v>
      </c>
      <c r="C1707" s="1203">
        <f ca="1">IF(ISERROR(VLOOKUP($A$1541,INDIRECT("notes_"&amp;LEFT($A$1541,3)),4,0)),0,VLOOKUP($A$1541,INDIRECT("notes_"&amp;LEFT($A$1541,3)),4,0))</f>
        <v>0</v>
      </c>
      <c r="H1707" s="1201">
        <f t="shared" si="259"/>
        <v>3</v>
      </c>
      <c r="I1707" s="1201">
        <v>0</v>
      </c>
      <c r="J1707" s="1201" t="str">
        <f t="shared" si="260"/>
        <v>planplc-oth</v>
      </c>
      <c r="K1707" s="1201" t="str">
        <f t="shared" si="261"/>
        <v>mss</v>
      </c>
      <c r="L1707" s="599"/>
      <c r="M1707" s="1201" t="s">
        <v>5802</v>
      </c>
      <c r="N1707" s="1201" t="s">
        <v>1114</v>
      </c>
      <c r="O1707" s="1201" t="s">
        <v>1113</v>
      </c>
    </row>
    <row r="1708" spans="1:15" x14ac:dyDescent="0.25">
      <c r="A1708" s="1205" t="s">
        <v>5958</v>
      </c>
      <c r="B1708" s="1202">
        <f t="shared" ca="1" si="265"/>
        <v>0</v>
      </c>
      <c r="C1708" s="1203">
        <f ca="1">IF(ISERROR(VLOOKUP($A$1542,INDIRECT("notes_"&amp;LEFT($A$1542,3)),4,0)),0,VLOOKUP($A$1542,INDIRECT("notes_"&amp;LEFT($A$1542,3)),4,0))</f>
        <v>0</v>
      </c>
      <c r="H1708" s="1201">
        <f t="shared" si="259"/>
        <v>2</v>
      </c>
      <c r="I1708" s="1201">
        <v>0</v>
      </c>
      <c r="J1708" s="1201" t="str">
        <f t="shared" si="260"/>
        <v>planenv</v>
      </c>
      <c r="K1708" s="1201" t="str">
        <f t="shared" si="261"/>
        <v>mss</v>
      </c>
      <c r="L1708" s="599"/>
      <c r="M1708" s="1201" t="s">
        <v>5802</v>
      </c>
      <c r="N1708" s="1201" t="s">
        <v>1114</v>
      </c>
      <c r="O1708" s="1201" t="s">
        <v>1113</v>
      </c>
    </row>
    <row r="1709" spans="1:15" x14ac:dyDescent="0.25">
      <c r="A1709" s="1205" t="s">
        <v>5959</v>
      </c>
      <c r="B1709" s="1202">
        <f t="shared" ca="1" si="265"/>
        <v>0</v>
      </c>
      <c r="C1709" s="1203">
        <f ca="1">IF(ISERROR(VLOOKUP($A$1543,INDIRECT("notes_"&amp;LEFT($A$1543,3)),4,0)),0,VLOOKUP($A$1543,INDIRECT("notes_"&amp;LEFT($A$1543,3)),4,0))</f>
        <v>0</v>
      </c>
      <c r="H1709" s="1201">
        <f t="shared" si="259"/>
        <v>2</v>
      </c>
      <c r="I1709" s="1201">
        <v>0</v>
      </c>
      <c r="J1709" s="1201" t="str">
        <f t="shared" si="260"/>
        <v>planecndev</v>
      </c>
      <c r="K1709" s="1201" t="str">
        <f t="shared" si="261"/>
        <v>mss</v>
      </c>
      <c r="L1709" s="599"/>
      <c r="M1709" s="1201" t="s">
        <v>5802</v>
      </c>
      <c r="N1709" s="1201" t="s">
        <v>1114</v>
      </c>
      <c r="O1709" s="1201" t="s">
        <v>1113</v>
      </c>
    </row>
    <row r="1710" spans="1:15" x14ac:dyDescent="0.25">
      <c r="A1710" s="1205" t="s">
        <v>5960</v>
      </c>
      <c r="B1710" s="1202">
        <f t="shared" ca="1" si="265"/>
        <v>0</v>
      </c>
      <c r="C1710" s="1203">
        <f ca="1">IF(ISERROR(VLOOKUP($A$1544,INDIRECT("notes_"&amp;LEFT($A$1544,3)),4,0)),0,VLOOKUP($A$1544,INDIRECT("notes_"&amp;LEFT($A$1544,3)),4,0))</f>
        <v>0</v>
      </c>
      <c r="H1710" s="1201">
        <f t="shared" si="259"/>
        <v>2</v>
      </c>
      <c r="I1710" s="1201">
        <v>0</v>
      </c>
      <c r="J1710" s="1201" t="str">
        <f t="shared" si="260"/>
        <v>planecnrsr</v>
      </c>
      <c r="K1710" s="1201" t="str">
        <f t="shared" si="261"/>
        <v>mss</v>
      </c>
      <c r="L1710" s="599"/>
      <c r="M1710" s="1201" t="s">
        <v>5802</v>
      </c>
      <c r="N1710" s="1201" t="s">
        <v>1114</v>
      </c>
      <c r="O1710" s="1201" t="s">
        <v>1113</v>
      </c>
    </row>
    <row r="1711" spans="1:15" x14ac:dyDescent="0.25">
      <c r="A1711" s="1205" t="s">
        <v>5961</v>
      </c>
      <c r="B1711" s="1202">
        <f t="shared" ca="1" si="265"/>
        <v>0</v>
      </c>
      <c r="C1711" s="1203">
        <f ca="1">IF(ISERROR(VLOOKUP($A$1545,INDIRECT("notes_"&amp;LEFT($A$1545,3)),4,0)),0,VLOOKUP($A$1545,INDIRECT("notes_"&amp;LEFT($A$1545,3)),4,0))</f>
        <v>0</v>
      </c>
      <c r="H1711" s="1201">
        <f t="shared" si="259"/>
        <v>2</v>
      </c>
      <c r="I1711" s="1201">
        <v>0</v>
      </c>
      <c r="J1711" s="1201" t="str">
        <f t="shared" si="260"/>
        <v>planbsn</v>
      </c>
      <c r="K1711" s="1201" t="str">
        <f t="shared" si="261"/>
        <v>mss</v>
      </c>
      <c r="L1711" s="599"/>
      <c r="M1711" s="1201" t="s">
        <v>5802</v>
      </c>
      <c r="N1711" s="1201" t="s">
        <v>1114</v>
      </c>
      <c r="O1711" s="1201" t="s">
        <v>1113</v>
      </c>
    </row>
    <row r="1712" spans="1:15" x14ac:dyDescent="0.25">
      <c r="A1712" s="1205" t="s">
        <v>5962</v>
      </c>
      <c r="B1712" s="1202">
        <f t="shared" ca="1" si="265"/>
        <v>0</v>
      </c>
      <c r="C1712" s="1203">
        <f ca="1">IF(ISERROR(VLOOKUP($A$1546,INDIRECT("notes_"&amp;LEFT($A$1546,3)),4,0)),0,VLOOKUP($A$1546,INDIRECT("notes_"&amp;LEFT($A$1546,3)),4,0))</f>
        <v>0</v>
      </c>
      <c r="H1712" s="1201">
        <f t="shared" si="259"/>
        <v>2</v>
      </c>
      <c r="I1712" s="1201">
        <v>0</v>
      </c>
      <c r="J1712" s="1201" t="str">
        <f t="shared" si="260"/>
        <v>plancmm</v>
      </c>
      <c r="K1712" s="1201" t="str">
        <f t="shared" si="261"/>
        <v>mss</v>
      </c>
      <c r="L1712" s="599"/>
      <c r="M1712" s="1201" t="s">
        <v>5802</v>
      </c>
      <c r="N1712" s="1201" t="s">
        <v>1114</v>
      </c>
      <c r="O1712" s="1201" t="s">
        <v>1113</v>
      </c>
    </row>
    <row r="1713" spans="1:15" x14ac:dyDescent="0.25">
      <c r="A1713" s="1205" t="s">
        <v>5963</v>
      </c>
      <c r="B1713" s="1202">
        <f t="shared" ca="1" si="265"/>
        <v>0</v>
      </c>
      <c r="C1713" s="1203">
        <f ca="1">IF(ISERROR(VLOOKUP($A$1547,INDIRECT("notes_"&amp;LEFT($A$1547,3)),4,0)),0,VLOOKUP($A$1547,INDIRECT("notes_"&amp;LEFT($A$1547,3)),4,0))</f>
        <v>0</v>
      </c>
      <c r="H1713" s="1201">
        <f t="shared" si="259"/>
        <v>2</v>
      </c>
      <c r="I1713" s="1201">
        <v>0</v>
      </c>
      <c r="J1713" s="1201" t="str">
        <f t="shared" si="260"/>
        <v>plantot</v>
      </c>
      <c r="K1713" s="1201" t="str">
        <f t="shared" si="261"/>
        <v>mss</v>
      </c>
      <c r="L1713" s="599"/>
      <c r="M1713" s="1201" t="s">
        <v>5802</v>
      </c>
      <c r="N1713" s="1201" t="s">
        <v>1114</v>
      </c>
      <c r="O1713" s="1201" t="s">
        <v>1113</v>
      </c>
    </row>
    <row r="1714" spans="1:15" x14ac:dyDescent="0.25">
      <c r="A1714" s="1205" t="s">
        <v>5964</v>
      </c>
      <c r="B1714" s="1202">
        <f t="shared" ca="1" si="265"/>
        <v>0</v>
      </c>
      <c r="C1714" s="1203">
        <f ca="1">IF(ISERROR(VLOOKUP($A$1604,INDIRECT("notes_"&amp;LEFT($A$1604,3)),4,0)),0,VLOOKUP($A$1604,INDIRECT("notes_"&amp;LEFT($A$1604,3)),4,0))</f>
        <v>0</v>
      </c>
      <c r="H1714" s="1201">
        <f t="shared" si="259"/>
        <v>2</v>
      </c>
      <c r="I1714" s="1201">
        <v>0</v>
      </c>
      <c r="J1714" s="1201" t="str">
        <f t="shared" si="260"/>
        <v>plansvmem</v>
      </c>
      <c r="K1714" s="1201" t="str">
        <f t="shared" si="261"/>
        <v>mss</v>
      </c>
      <c r="L1714" s="599"/>
      <c r="M1714" s="1201" t="s">
        <v>5802</v>
      </c>
      <c r="N1714" s="1201" t="s">
        <v>1114</v>
      </c>
      <c r="O1714" s="1201" t="s">
        <v>1113</v>
      </c>
    </row>
    <row r="1715" spans="1:15" x14ac:dyDescent="0.25">
      <c r="A1715" s="1205" t="s">
        <v>5965</v>
      </c>
      <c r="B1715" s="1202">
        <f t="shared" ca="1" si="265"/>
        <v>0</v>
      </c>
      <c r="C1715" s="1203">
        <f ca="1">IF(ISERROR(VLOOKUP($A$1548,INDIRECT("notes_"&amp;LEFT($A$1548,3)),4,0)),0,VLOOKUP($A$1548,INDIRECT("notes_"&amp;LEFT($A$1548,3)),4,0))</f>
        <v>0</v>
      </c>
      <c r="H1715" s="1201">
        <f t="shared" si="259"/>
        <v>2</v>
      </c>
      <c r="I1715" s="1201">
        <v>0</v>
      </c>
      <c r="J1715" s="1201" t="str">
        <f t="shared" si="260"/>
        <v>culenvplantot</v>
      </c>
      <c r="K1715" s="1201" t="str">
        <f t="shared" si="261"/>
        <v>mss</v>
      </c>
      <c r="L1715" s="599"/>
      <c r="M1715" s="1201" t="s">
        <v>5802</v>
      </c>
      <c r="N1715" s="1201" t="s">
        <v>1114</v>
      </c>
      <c r="O1715" s="1201" t="s">
        <v>1113</v>
      </c>
    </row>
    <row r="1716" spans="1:15" x14ac:dyDescent="0.25">
      <c r="A1716" s="471" t="s">
        <v>5966</v>
      </c>
      <c r="B1716" s="1139">
        <f t="shared" ca="1" si="262"/>
        <v>0</v>
      </c>
      <c r="C1716" s="473">
        <f ca="1">IF(ISERROR(VLOOKUP($A$1495,INDIRECT("notes_"&amp;LEFT($A$1495,3)),4,0)),0,VLOOKUP($A$1495,INDIRECT("notes_"&amp;LEFT($A$1495,3)),4,0))</f>
        <v>0</v>
      </c>
      <c r="H1716" s="471">
        <f t="shared" si="259"/>
        <v>2</v>
      </c>
      <c r="I1716" s="471">
        <v>0</v>
      </c>
      <c r="J1716" s="471" t="str">
        <f t="shared" si="260"/>
        <v>culhrtarc</v>
      </c>
      <c r="K1716" s="471" t="str">
        <f t="shared" si="261"/>
        <v>sfc</v>
      </c>
      <c r="L1716" s="599"/>
      <c r="M1716" s="471" t="s">
        <v>5802</v>
      </c>
      <c r="N1716" s="471" t="s">
        <v>1114</v>
      </c>
      <c r="O1716" s="471" t="s">
        <v>1113</v>
      </c>
    </row>
    <row r="1717" spans="1:15" x14ac:dyDescent="0.25">
      <c r="A1717" s="471" t="s">
        <v>5967</v>
      </c>
      <c r="B1717" s="1139">
        <f t="shared" ca="1" si="262"/>
        <v>0</v>
      </c>
      <c r="C1717" s="473">
        <f ca="1">IF(ISERROR(VLOOKUP($A$1496,INDIRECT("notes_"&amp;LEFT($A$1496,3)),4,0)),0,VLOOKUP($A$1496,INDIRECT("notes_"&amp;LEFT($A$1496,3)),4,0))</f>
        <v>0</v>
      </c>
      <c r="H1717" s="471">
        <f t="shared" si="259"/>
        <v>5</v>
      </c>
      <c r="I1717" s="471">
        <v>0</v>
      </c>
      <c r="J1717" s="471" t="str">
        <f t="shared" si="260"/>
        <v>culhrt-art-dvl-spp</v>
      </c>
      <c r="K1717" s="471" t="str">
        <f t="shared" si="261"/>
        <v>sfc</v>
      </c>
      <c r="L1717" s="599"/>
      <c r="M1717" s="471" t="s">
        <v>5802</v>
      </c>
      <c r="N1717" s="471" t="s">
        <v>1114</v>
      </c>
      <c r="O1717" s="471" t="s">
        <v>1113</v>
      </c>
    </row>
    <row r="1718" spans="1:15" x14ac:dyDescent="0.25">
      <c r="A1718" s="471" t="s">
        <v>5968</v>
      </c>
      <c r="B1718" s="1139">
        <f t="shared" ca="1" si="262"/>
        <v>0</v>
      </c>
      <c r="C1718" s="473">
        <f ca="1">IF(ISERROR(VLOOKUP($A$1497,INDIRECT("notes_"&amp;LEFT($A$1497,3)),4,0)),0,VLOOKUP($A$1497,INDIRECT("notes_"&amp;LEFT($A$1497,3)),4,0))</f>
        <v>0</v>
      </c>
      <c r="H1718" s="471">
        <f t="shared" ref="H1718:H1742" si="266">LEN(A1718)-LEN(SUBSTITUTE(A1718,"-",""))-I1718</f>
        <v>3</v>
      </c>
      <c r="I1718" s="471">
        <v>0</v>
      </c>
      <c r="J1718" s="471" t="str">
        <f t="shared" ref="J1718:J1742" si="267">MID($A1718,SEARCH("-",$A1718)+1,SEARCH("#",SUBSTITUTE($A1718,"-","#",H1718),1)-(SEARCH("-",$A1718)+1))</f>
        <v>culhrt-hrt</v>
      </c>
      <c r="K1718" s="471" t="str">
        <f t="shared" ref="K1718:K1742" si="268">RIGHT($A1718,LEN($A1718)-SEARCH("#",SUBSTITUTE($A1718,"-","#",H1718),1))</f>
        <v>sfc</v>
      </c>
      <c r="L1718" s="599"/>
      <c r="M1718" s="471" t="s">
        <v>5802</v>
      </c>
      <c r="N1718" s="471" t="s">
        <v>1114</v>
      </c>
      <c r="O1718" s="471" t="s">
        <v>1113</v>
      </c>
    </row>
    <row r="1719" spans="1:15" x14ac:dyDescent="0.25">
      <c r="A1719" s="471" t="s">
        <v>5969</v>
      </c>
      <c r="B1719" s="1139">
        <f t="shared" ca="1" si="262"/>
        <v>0</v>
      </c>
      <c r="C1719" s="473">
        <f ca="1">IF(ISERROR(VLOOKUP($A$1498,INDIRECT("notes_"&amp;LEFT($A$1498,3)),4,0)),0,VLOOKUP($A$1498,INDIRECT("notes_"&amp;LEFT($A$1498,3)),4,0))</f>
        <v>0</v>
      </c>
      <c r="H1719" s="471">
        <f t="shared" si="266"/>
        <v>4</v>
      </c>
      <c r="I1719" s="471">
        <v>0</v>
      </c>
      <c r="J1719" s="471" t="str">
        <f t="shared" si="267"/>
        <v>culhrt-msm-gll</v>
      </c>
      <c r="K1719" s="471" t="str">
        <f t="shared" si="268"/>
        <v>sfc</v>
      </c>
      <c r="L1719" s="599"/>
      <c r="M1719" s="471" t="s">
        <v>5802</v>
      </c>
      <c r="N1719" s="471" t="s">
        <v>1114</v>
      </c>
      <c r="O1719" s="471" t="s">
        <v>1113</v>
      </c>
    </row>
    <row r="1720" spans="1:15" x14ac:dyDescent="0.25">
      <c r="A1720" s="471" t="s">
        <v>5970</v>
      </c>
      <c r="B1720" s="1139">
        <f t="shared" ca="1" si="262"/>
        <v>0</v>
      </c>
      <c r="C1720" s="473">
        <f ca="1">IF(ISERROR(VLOOKUP($A$1499,INDIRECT("notes_"&amp;LEFT($A$1499,3)),4,0)),0,VLOOKUP($A$1499,INDIRECT("notes_"&amp;LEFT($A$1499,3)),4,0))</f>
        <v>0</v>
      </c>
      <c r="H1720" s="471">
        <f t="shared" si="266"/>
        <v>5</v>
      </c>
      <c r="I1720" s="471">
        <v>0</v>
      </c>
      <c r="J1720" s="471" t="str">
        <f t="shared" si="267"/>
        <v>culhrt-tht-pbl-ent</v>
      </c>
      <c r="K1720" s="471" t="str">
        <f t="shared" si="268"/>
        <v>sfc</v>
      </c>
      <c r="L1720" s="599"/>
      <c r="M1720" s="471" t="s">
        <v>5802</v>
      </c>
      <c r="N1720" s="471" t="s">
        <v>1114</v>
      </c>
      <c r="O1720" s="471" t="s">
        <v>1113</v>
      </c>
    </row>
    <row r="1721" spans="1:15" x14ac:dyDescent="0.25">
      <c r="A1721" s="471" t="s">
        <v>5971</v>
      </c>
      <c r="B1721" s="1139">
        <f t="shared" ca="1" si="262"/>
        <v>0</v>
      </c>
      <c r="C1721" s="473">
        <f ca="1">IF(ISERROR(VLOOKUP($A$1500,INDIRECT("notes_"&amp;LEFT($A$1500,3)),4,0)),0,VLOOKUP($A$1500,INDIRECT("notes_"&amp;LEFT($A$1500,3)),4,0))</f>
        <v>0</v>
      </c>
      <c r="H1721" s="471">
        <f t="shared" si="266"/>
        <v>6</v>
      </c>
      <c r="I1721" s="471">
        <v>0</v>
      </c>
      <c r="J1721" s="471" t="str">
        <f t="shared" si="267"/>
        <v>culspr-cmm-cen-pub-hll</v>
      </c>
      <c r="K1721" s="471" t="str">
        <f t="shared" si="268"/>
        <v>sfc</v>
      </c>
      <c r="L1721" s="599"/>
      <c r="M1721" s="471" t="s">
        <v>5802</v>
      </c>
      <c r="N1721" s="471" t="s">
        <v>1114</v>
      </c>
      <c r="O1721" s="471" t="s">
        <v>1113</v>
      </c>
    </row>
    <row r="1722" spans="1:15" x14ac:dyDescent="0.25">
      <c r="A1722" s="471" t="s">
        <v>5972</v>
      </c>
      <c r="B1722" s="1139">
        <f t="shared" ca="1" si="262"/>
        <v>0</v>
      </c>
      <c r="C1722" s="473">
        <f ca="1">IF(ISERROR(VLOOKUP($A$1501,INDIRECT("notes_"&amp;LEFT($A$1501,3)),4,0)),0,VLOOKUP($A$1501,INDIRECT("notes_"&amp;LEFT($A$1501,3)),4,0))</f>
        <v>0</v>
      </c>
      <c r="H1722" s="471">
        <f t="shared" si="266"/>
        <v>3</v>
      </c>
      <c r="I1722" s="471">
        <v>0</v>
      </c>
      <c r="J1722" s="471" t="str">
        <f t="shared" si="267"/>
        <v>culspr-frs</v>
      </c>
      <c r="K1722" s="471" t="str">
        <f t="shared" si="268"/>
        <v>sfc</v>
      </c>
      <c r="L1722" s="599"/>
      <c r="M1722" s="471" t="s">
        <v>5802</v>
      </c>
      <c r="N1722" s="471" t="s">
        <v>1114</v>
      </c>
      <c r="O1722" s="471" t="s">
        <v>1113</v>
      </c>
    </row>
    <row r="1723" spans="1:15" x14ac:dyDescent="0.25">
      <c r="A1723" s="471" t="s">
        <v>5973</v>
      </c>
      <c r="B1723" s="1139">
        <f t="shared" ca="1" si="262"/>
        <v>0</v>
      </c>
      <c r="C1723" s="473">
        <f ca="1">IF(ISERROR(VLOOKUP($A$1502,INDIRECT("notes_"&amp;LEFT($A$1502,3)),4,0)),0,VLOOKUP($A$1502,INDIRECT("notes_"&amp;LEFT($A$1502,3)),4,0))</f>
        <v>0</v>
      </c>
      <c r="H1723" s="471">
        <f t="shared" si="266"/>
        <v>6</v>
      </c>
      <c r="I1723" s="471">
        <v>0</v>
      </c>
      <c r="J1723" s="471" t="str">
        <f t="shared" si="267"/>
        <v>culspr-spr-dvl-cmm-rec</v>
      </c>
      <c r="K1723" s="471" t="str">
        <f t="shared" si="268"/>
        <v>sfc</v>
      </c>
      <c r="L1723" s="599"/>
      <c r="M1723" s="471" t="s">
        <v>5802</v>
      </c>
      <c r="N1723" s="471" t="s">
        <v>1114</v>
      </c>
      <c r="O1723" s="471" t="s">
        <v>1113</v>
      </c>
    </row>
    <row r="1724" spans="1:15" x14ac:dyDescent="0.25">
      <c r="A1724" s="471" t="s">
        <v>5974</v>
      </c>
      <c r="B1724" s="1139">
        <f t="shared" ca="1" si="262"/>
        <v>0</v>
      </c>
      <c r="C1724" s="473">
        <f ca="1">IF(ISERROR(VLOOKUP($A$1503,INDIRECT("notes_"&amp;LEFT($A$1503,3)),4,0)),0,VLOOKUP($A$1503,INDIRECT("notes_"&amp;LEFT($A$1503,3)),4,0))</f>
        <v>0</v>
      </c>
      <c r="H1724" s="471">
        <f t="shared" si="266"/>
        <v>5</v>
      </c>
      <c r="I1724" s="471">
        <v>0</v>
      </c>
      <c r="J1724" s="471" t="str">
        <f t="shared" si="267"/>
        <v>culspr-spr-lsr-fcl</v>
      </c>
      <c r="K1724" s="471" t="str">
        <f t="shared" si="268"/>
        <v>sfc</v>
      </c>
      <c r="L1724" s="599"/>
      <c r="M1724" s="471" t="s">
        <v>5802</v>
      </c>
      <c r="N1724" s="471" t="s">
        <v>1114</v>
      </c>
      <c r="O1724" s="471" t="s">
        <v>1113</v>
      </c>
    </row>
    <row r="1725" spans="1:15" x14ac:dyDescent="0.25">
      <c r="A1725" s="471" t="s">
        <v>5975</v>
      </c>
      <c r="B1725" s="1139">
        <f t="shared" ca="1" si="262"/>
        <v>0</v>
      </c>
      <c r="C1725" s="473">
        <f ca="1">IF(ISERROR(VLOOKUP($A$1504,INDIRECT("notes_"&amp;LEFT($A$1504,3)),4,0)),0,VLOOKUP($A$1504,INDIRECT("notes_"&amp;LEFT($A$1504,3)),4,0))</f>
        <v>0</v>
      </c>
      <c r="H1725" s="471">
        <f t="shared" si="266"/>
        <v>3</v>
      </c>
      <c r="I1725" s="471">
        <v>0</v>
      </c>
      <c r="J1725" s="471" t="str">
        <f t="shared" si="267"/>
        <v>culprk-opn</v>
      </c>
      <c r="K1725" s="471" t="str">
        <f t="shared" si="268"/>
        <v>sfc</v>
      </c>
      <c r="L1725" s="599"/>
      <c r="M1725" s="471" t="s">
        <v>5802</v>
      </c>
      <c r="N1725" s="471" t="s">
        <v>1114</v>
      </c>
      <c r="O1725" s="471" t="s">
        <v>1113</v>
      </c>
    </row>
    <row r="1726" spans="1:15" x14ac:dyDescent="0.25">
      <c r="A1726" s="471" t="s">
        <v>5976</v>
      </c>
      <c r="B1726" s="1139">
        <f t="shared" ca="1" si="262"/>
        <v>0</v>
      </c>
      <c r="C1726" s="473">
        <f ca="1">IF(ISERROR(VLOOKUP($A$1505,INDIRECT("notes_"&amp;LEFT($A$1505,3)),4,0)),0,VLOOKUP($A$1505,INDIRECT("notes_"&amp;LEFT($A$1505,3)),4,0))</f>
        <v>0</v>
      </c>
      <c r="H1726" s="471">
        <f t="shared" si="266"/>
        <v>2</v>
      </c>
      <c r="I1726" s="471">
        <v>0</v>
      </c>
      <c r="J1726" s="471" t="str">
        <f t="shared" si="267"/>
        <v>culall</v>
      </c>
      <c r="K1726" s="471" t="str">
        <f t="shared" si="268"/>
        <v>sfc</v>
      </c>
      <c r="L1726" s="599"/>
      <c r="M1726" s="471" t="s">
        <v>5802</v>
      </c>
      <c r="N1726" s="471" t="s">
        <v>1114</v>
      </c>
      <c r="O1726" s="471" t="s">
        <v>1113</v>
      </c>
    </row>
    <row r="1727" spans="1:15" x14ac:dyDescent="0.25">
      <c r="A1727" s="471" t="s">
        <v>5977</v>
      </c>
      <c r="B1727" s="1139">
        <f t="shared" ca="1" si="262"/>
        <v>0</v>
      </c>
      <c r="C1727" s="473">
        <f ca="1">IF(ISERROR(VLOOKUP($A$1506,INDIRECT("notes_"&amp;LEFT($A$1506,3)),4,0)),0,VLOOKUP($A$1506,INDIRECT("notes_"&amp;LEFT($A$1506,3)),4,0))</f>
        <v>0</v>
      </c>
      <c r="H1727" s="471">
        <f t="shared" si="266"/>
        <v>2</v>
      </c>
      <c r="I1727" s="471">
        <v>0</v>
      </c>
      <c r="J1727" s="471" t="str">
        <f t="shared" si="267"/>
        <v>cultrs</v>
      </c>
      <c r="K1727" s="471" t="str">
        <f t="shared" si="268"/>
        <v>sfc</v>
      </c>
      <c r="L1727" s="599"/>
      <c r="M1727" s="471" t="s">
        <v>5802</v>
      </c>
      <c r="N1727" s="471" t="s">
        <v>1114</v>
      </c>
      <c r="O1727" s="471" t="s">
        <v>1113</v>
      </c>
    </row>
    <row r="1728" spans="1:15" x14ac:dyDescent="0.25">
      <c r="A1728" s="471" t="s">
        <v>5978</v>
      </c>
      <c r="B1728" s="1139">
        <f t="shared" ca="1" si="262"/>
        <v>0</v>
      </c>
      <c r="C1728" s="473">
        <f ca="1">IF(ISERROR(VLOOKUP($A$1507,INDIRECT("notes_"&amp;LEFT($A$1507,3)),4,0)),0,VLOOKUP($A$1507,INDIRECT("notes_"&amp;LEFT($A$1507,3)),4,0))</f>
        <v>0</v>
      </c>
      <c r="H1728" s="471">
        <f t="shared" si="266"/>
        <v>2</v>
      </c>
      <c r="I1728" s="471">
        <v>0</v>
      </c>
      <c r="J1728" s="471" t="str">
        <f t="shared" si="267"/>
        <v>cullib</v>
      </c>
      <c r="K1728" s="471" t="str">
        <f t="shared" si="268"/>
        <v>sfc</v>
      </c>
      <c r="L1728" s="599"/>
      <c r="M1728" s="471" t="s">
        <v>5802</v>
      </c>
      <c r="N1728" s="471" t="s">
        <v>1114</v>
      </c>
      <c r="O1728" s="471" t="s">
        <v>1113</v>
      </c>
    </row>
    <row r="1729" spans="1:15" x14ac:dyDescent="0.25">
      <c r="A1729" s="471" t="s">
        <v>5979</v>
      </c>
      <c r="B1729" s="1139">
        <f t="shared" ca="1" si="262"/>
        <v>0</v>
      </c>
      <c r="C1729" s="473">
        <f ca="1">IF(ISERROR(VLOOKUP($A$1508,INDIRECT("notes_"&amp;LEFT($A$1508,3)),4,0)),0,VLOOKUP($A$1508,INDIRECT("notes_"&amp;LEFT($A$1508,3)),4,0))</f>
        <v>0</v>
      </c>
      <c r="H1729" s="471">
        <f t="shared" si="266"/>
        <v>2</v>
      </c>
      <c r="I1729" s="471">
        <v>0</v>
      </c>
      <c r="J1729" s="471" t="str">
        <f t="shared" si="267"/>
        <v>cultot</v>
      </c>
      <c r="K1729" s="471" t="str">
        <f t="shared" si="268"/>
        <v>sfc</v>
      </c>
      <c r="L1729" s="599"/>
      <c r="M1729" s="471" t="s">
        <v>5802</v>
      </c>
      <c r="N1729" s="471" t="s">
        <v>1114</v>
      </c>
      <c r="O1729" s="471" t="s">
        <v>1113</v>
      </c>
    </row>
    <row r="1730" spans="1:15" x14ac:dyDescent="0.25">
      <c r="A1730" s="471" t="s">
        <v>5980</v>
      </c>
      <c r="B1730" s="1139">
        <f t="shared" ca="1" si="262"/>
        <v>0</v>
      </c>
      <c r="C1730" s="473">
        <f ca="1">IF(ISERROR(VLOOKUP($A$1509,INDIRECT("notes_"&amp;LEFT($A$1509,3)),4,0)),0,VLOOKUP($A$1509,INDIRECT("notes_"&amp;LEFT($A$1509,3)),4,0))</f>
        <v>0</v>
      </c>
      <c r="H1730" s="471">
        <f t="shared" si="266"/>
        <v>2</v>
      </c>
      <c r="I1730" s="471">
        <v>0</v>
      </c>
      <c r="J1730" s="471" t="str">
        <f t="shared" si="267"/>
        <v>envcmt</v>
      </c>
      <c r="K1730" s="471" t="str">
        <f t="shared" si="268"/>
        <v>sfc</v>
      </c>
      <c r="L1730" s="599"/>
      <c r="M1730" s="471" t="s">
        <v>5802</v>
      </c>
      <c r="N1730" s="471" t="s">
        <v>1114</v>
      </c>
      <c r="O1730" s="471" t="s">
        <v>1113</v>
      </c>
    </row>
    <row r="1731" spans="1:15" x14ac:dyDescent="0.25">
      <c r="A1731" s="471" t="s">
        <v>5981</v>
      </c>
      <c r="B1731" s="1139">
        <f t="shared" ca="1" si="262"/>
        <v>0</v>
      </c>
      <c r="C1731" s="473">
        <f ca="1">IF(ISERROR(VLOOKUP($A$1510,INDIRECT("notes_"&amp;LEFT($A$1510,3)),4,0)),0,VLOOKUP($A$1510,INDIRECT("notes_"&amp;LEFT($A$1510,3)),4,0))</f>
        <v>0</v>
      </c>
      <c r="H1731" s="471">
        <f t="shared" si="266"/>
        <v>2</v>
      </c>
      <c r="I1731" s="471">
        <v>0</v>
      </c>
      <c r="J1731" s="471" t="str">
        <f t="shared" si="267"/>
        <v>envrgltrd</v>
      </c>
      <c r="K1731" s="471" t="str">
        <f t="shared" si="268"/>
        <v>sfc</v>
      </c>
      <c r="L1731" s="599"/>
      <c r="M1731" s="471" t="s">
        <v>5802</v>
      </c>
      <c r="N1731" s="471" t="s">
        <v>1114</v>
      </c>
      <c r="O1731" s="471" t="s">
        <v>1113</v>
      </c>
    </row>
    <row r="1732" spans="1:15" x14ac:dyDescent="0.25">
      <c r="A1732" s="471" t="s">
        <v>5982</v>
      </c>
      <c r="B1732" s="1139">
        <f t="shared" ca="1" si="262"/>
        <v>0</v>
      </c>
      <c r="C1732" s="473">
        <f ca="1">IF(ISERROR(VLOOKUP($A$1511,INDIRECT("notes_"&amp;LEFT($A$1511,3)),4,0)),0,VLOOKUP($A$1511,INDIRECT("notes_"&amp;LEFT($A$1511,3)),4,0))</f>
        <v>0</v>
      </c>
      <c r="H1732" s="471">
        <f t="shared" si="266"/>
        <v>2</v>
      </c>
      <c r="I1732" s="471">
        <v>0</v>
      </c>
      <c r="J1732" s="471" t="str">
        <f t="shared" si="267"/>
        <v>envrglenvwtr</v>
      </c>
      <c r="K1732" s="471" t="str">
        <f t="shared" si="268"/>
        <v>sfc</v>
      </c>
      <c r="L1732" s="599"/>
      <c r="M1732" s="471" t="s">
        <v>5802</v>
      </c>
      <c r="N1732" s="471" t="s">
        <v>1114</v>
      </c>
      <c r="O1732" s="471" t="s">
        <v>1113</v>
      </c>
    </row>
    <row r="1733" spans="1:15" x14ac:dyDescent="0.25">
      <c r="A1733" s="471" t="s">
        <v>5983</v>
      </c>
      <c r="B1733" s="1139">
        <f t="shared" ca="1" si="262"/>
        <v>0</v>
      </c>
      <c r="C1733" s="473">
        <f ca="1">IF(ISERROR(VLOOKUP($A$1512,INDIRECT("notes_"&amp;LEFT($A$1512,3)),4,0)),0,VLOOKUP($A$1512,INDIRECT("notes_"&amp;LEFT($A$1512,3)),4,0))</f>
        <v>0</v>
      </c>
      <c r="H1733" s="471">
        <f t="shared" si="266"/>
        <v>2</v>
      </c>
      <c r="I1733" s="471">
        <v>0</v>
      </c>
      <c r="J1733" s="471" t="str">
        <f t="shared" si="267"/>
        <v>envrglenvfd</v>
      </c>
      <c r="K1733" s="471" t="str">
        <f t="shared" si="268"/>
        <v>sfc</v>
      </c>
      <c r="L1733" s="599"/>
      <c r="M1733" s="471" t="s">
        <v>5802</v>
      </c>
      <c r="N1733" s="471" t="s">
        <v>1114</v>
      </c>
      <c r="O1733" s="471" t="s">
        <v>1113</v>
      </c>
    </row>
    <row r="1734" spans="1:15" x14ac:dyDescent="0.25">
      <c r="A1734" s="471" t="s">
        <v>5984</v>
      </c>
      <c r="B1734" s="1139">
        <f t="shared" ca="1" si="262"/>
        <v>0</v>
      </c>
      <c r="C1734" s="473">
        <f ca="1">IF(ISERROR(VLOOKUP($A$1513,INDIRECT("notes_"&amp;LEFT($A$1513,3)),4,0)),0,VLOOKUP($A$1513,INDIRECT("notes_"&amp;LEFT($A$1513,3)),4,0))</f>
        <v>0</v>
      </c>
      <c r="H1734" s="471">
        <f t="shared" si="266"/>
        <v>2</v>
      </c>
      <c r="I1734" s="471">
        <v>0</v>
      </c>
      <c r="J1734" s="471" t="str">
        <f t="shared" si="267"/>
        <v>envrglenvenv</v>
      </c>
      <c r="K1734" s="471" t="str">
        <f t="shared" si="268"/>
        <v>sfc</v>
      </c>
      <c r="L1734" s="599"/>
      <c r="M1734" s="471" t="s">
        <v>5802</v>
      </c>
      <c r="N1734" s="471" t="s">
        <v>1114</v>
      </c>
      <c r="O1734" s="471" t="s">
        <v>1113</v>
      </c>
    </row>
    <row r="1735" spans="1:15" x14ac:dyDescent="0.25">
      <c r="A1735" s="471" t="s">
        <v>5985</v>
      </c>
      <c r="B1735" s="1139">
        <f t="shared" ca="1" si="262"/>
        <v>0</v>
      </c>
      <c r="C1735" s="473">
        <f ca="1">IF(ISERROR(VLOOKUP($A$1514,INDIRECT("notes_"&amp;LEFT($A$1514,3)),4,0)),0,VLOOKUP($A$1514,INDIRECT("notes_"&amp;LEFT($A$1514,3)),4,0))</f>
        <v>0</v>
      </c>
      <c r="H1735" s="471">
        <f t="shared" si="266"/>
        <v>2</v>
      </c>
      <c r="I1735" s="471">
        <v>0</v>
      </c>
      <c r="J1735" s="471" t="str">
        <f t="shared" si="267"/>
        <v>envrglenvhsn</v>
      </c>
      <c r="K1735" s="471" t="str">
        <f t="shared" si="268"/>
        <v>sfc</v>
      </c>
      <c r="L1735" s="599"/>
      <c r="M1735" s="471" t="s">
        <v>5802</v>
      </c>
      <c r="N1735" s="471" t="s">
        <v>1114</v>
      </c>
      <c r="O1735" s="471" t="s">
        <v>1113</v>
      </c>
    </row>
    <row r="1736" spans="1:15" x14ac:dyDescent="0.25">
      <c r="A1736" s="471" t="s">
        <v>5986</v>
      </c>
      <c r="B1736" s="1139">
        <f t="shared" ca="1" si="262"/>
        <v>0</v>
      </c>
      <c r="C1736" s="473">
        <f ca="1">IF(ISERROR(VLOOKUP($A$1515,INDIRECT("notes_"&amp;LEFT($A$1515,3)),4,0)),0,VLOOKUP($A$1515,INDIRECT("notes_"&amp;LEFT($A$1515,3)),4,0))</f>
        <v>0</v>
      </c>
      <c r="H1736" s="471">
        <f t="shared" si="266"/>
        <v>2</v>
      </c>
      <c r="I1736" s="471">
        <v>0</v>
      </c>
      <c r="J1736" s="471" t="str">
        <f t="shared" si="267"/>
        <v>envrglenvhs</v>
      </c>
      <c r="K1736" s="471" t="str">
        <f t="shared" si="268"/>
        <v>sfc</v>
      </c>
      <c r="L1736" s="599"/>
      <c r="M1736" s="471" t="s">
        <v>5802</v>
      </c>
      <c r="N1736" s="471" t="s">
        <v>1114</v>
      </c>
      <c r="O1736" s="471" t="s">
        <v>1113</v>
      </c>
    </row>
    <row r="1737" spans="1:15" x14ac:dyDescent="0.25">
      <c r="A1737" s="471" t="s">
        <v>5987</v>
      </c>
      <c r="B1737" s="1139">
        <f t="shared" ca="1" si="262"/>
        <v>0</v>
      </c>
      <c r="C1737" s="473">
        <f ca="1">IF(ISERROR(VLOOKUP($A$1516,INDIRECT("notes_"&amp;LEFT($A$1516,3)),4,0)),0,VLOOKUP($A$1516,INDIRECT("notes_"&amp;LEFT($A$1516,3)),4,0))</f>
        <v>0</v>
      </c>
      <c r="H1737" s="471">
        <f t="shared" si="266"/>
        <v>2</v>
      </c>
      <c r="I1737" s="471">
        <v>0</v>
      </c>
      <c r="J1737" s="471" t="str">
        <f t="shared" si="267"/>
        <v>envrglenvprtxlvs</v>
      </c>
      <c r="K1737" s="471" t="str">
        <f t="shared" si="268"/>
        <v>sfc</v>
      </c>
      <c r="L1737" s="599"/>
      <c r="M1737" s="471" t="s">
        <v>5802</v>
      </c>
      <c r="N1737" s="471" t="s">
        <v>1114</v>
      </c>
      <c r="O1737" s="471" t="s">
        <v>1113</v>
      </c>
    </row>
    <row r="1738" spans="1:15" x14ac:dyDescent="0.25">
      <c r="A1738" s="471" t="s">
        <v>5988</v>
      </c>
      <c r="B1738" s="1139">
        <f t="shared" ca="1" si="262"/>
        <v>0</v>
      </c>
      <c r="C1738" s="473">
        <f ca="1">IF(ISERROR(VLOOKUP($A$1517,INDIRECT("notes_"&amp;LEFT($A$1517,3)),4,0)),0,VLOOKUP($A$1517,INDIRECT("notes_"&amp;LEFT($A$1517,3)),4,0))</f>
        <v>0</v>
      </c>
      <c r="H1738" s="471">
        <f t="shared" si="266"/>
        <v>2</v>
      </c>
      <c r="I1738" s="471">
        <v>0</v>
      </c>
      <c r="J1738" s="471" t="str">
        <f t="shared" si="267"/>
        <v>envrglenvprtlvs</v>
      </c>
      <c r="K1738" s="471" t="str">
        <f t="shared" si="268"/>
        <v>sfc</v>
      </c>
      <c r="L1738" s="599"/>
      <c r="M1738" s="471" t="s">
        <v>5802</v>
      </c>
      <c r="N1738" s="471" t="s">
        <v>1114</v>
      </c>
      <c r="O1738" s="471" t="s">
        <v>1113</v>
      </c>
    </row>
    <row r="1739" spans="1:15" x14ac:dyDescent="0.25">
      <c r="A1739" s="471" t="s">
        <v>5989</v>
      </c>
      <c r="B1739" s="1139">
        <f t="shared" ca="1" si="262"/>
        <v>0</v>
      </c>
      <c r="C1739" s="473">
        <f ca="1">IF(ISERROR(VLOOKUP($A$1518,INDIRECT("notes_"&amp;LEFT($A$1518,3)),4,0)),0,VLOOKUP($A$1518,INDIRECT("notes_"&amp;LEFT($A$1518,3)),4,0))</f>
        <v>0</v>
      </c>
      <c r="H1739" s="471">
        <f t="shared" si="266"/>
        <v>2</v>
      </c>
      <c r="I1739" s="471">
        <v>0</v>
      </c>
      <c r="J1739" s="471" t="str">
        <f t="shared" si="267"/>
        <v>envrglenvpst</v>
      </c>
      <c r="K1739" s="471" t="str">
        <f t="shared" si="268"/>
        <v>sfc</v>
      </c>
      <c r="L1739" s="599"/>
      <c r="M1739" s="471" t="s">
        <v>5802</v>
      </c>
      <c r="N1739" s="471" t="s">
        <v>1114</v>
      </c>
      <c r="O1739" s="471" t="s">
        <v>1113</v>
      </c>
    </row>
    <row r="1740" spans="1:15" x14ac:dyDescent="0.25">
      <c r="A1740" s="471" t="s">
        <v>5990</v>
      </c>
      <c r="B1740" s="1139">
        <f t="shared" ca="1" si="262"/>
        <v>0</v>
      </c>
      <c r="C1740" s="473">
        <f ca="1">IF(ISERROR(VLOOKUP($A$1519,INDIRECT("notes_"&amp;LEFT($A$1519,3)),4,0)),0,VLOOKUP($A$1519,INDIRECT("notes_"&amp;LEFT($A$1519,3)),4,0))</f>
        <v>0</v>
      </c>
      <c r="H1740" s="471">
        <f t="shared" si="266"/>
        <v>2</v>
      </c>
      <c r="I1740" s="471">
        <v>0</v>
      </c>
      <c r="J1740" s="471" t="str">
        <f t="shared" si="267"/>
        <v>envrglenvtlt</v>
      </c>
      <c r="K1740" s="471" t="str">
        <f t="shared" si="268"/>
        <v>sfc</v>
      </c>
      <c r="L1740" s="599"/>
      <c r="M1740" s="471" t="s">
        <v>5802</v>
      </c>
      <c r="N1740" s="471" t="s">
        <v>1114</v>
      </c>
      <c r="O1740" s="471" t="s">
        <v>1113</v>
      </c>
    </row>
    <row r="1741" spans="1:15" x14ac:dyDescent="0.25">
      <c r="A1741" s="471" t="s">
        <v>5991</v>
      </c>
      <c r="B1741" s="1139">
        <f t="shared" ca="1" si="262"/>
        <v>0</v>
      </c>
      <c r="C1741" s="473">
        <f ca="1">IF(ISERROR(VLOOKUP($A$1520,INDIRECT("notes_"&amp;LEFT($A$1520,3)),4,0)),0,VLOOKUP($A$1520,INDIRECT("notes_"&amp;LEFT($A$1520,3)),4,0))</f>
        <v>0</v>
      </c>
      <c r="H1741" s="471">
        <f t="shared" si="266"/>
        <v>2</v>
      </c>
      <c r="I1741" s="471">
        <v>0</v>
      </c>
      <c r="J1741" s="471" t="str">
        <f t="shared" si="267"/>
        <v>envrglenvanm</v>
      </c>
      <c r="K1741" s="471" t="str">
        <f t="shared" si="268"/>
        <v>sfc</v>
      </c>
      <c r="L1741" s="599"/>
      <c r="M1741" s="471" t="s">
        <v>5802</v>
      </c>
      <c r="N1741" s="471" t="s">
        <v>1114</v>
      </c>
      <c r="O1741" s="471" t="s">
        <v>1113</v>
      </c>
    </row>
    <row r="1742" spans="1:15" x14ac:dyDescent="0.25">
      <c r="A1742" s="471" t="s">
        <v>5992</v>
      </c>
      <c r="B1742" s="1139">
        <f t="shared" ca="1" si="262"/>
        <v>0</v>
      </c>
      <c r="C1742" s="473">
        <f ca="1">IF(ISERROR(VLOOKUP($A$1521,INDIRECT("notes_"&amp;LEFT($A$1521,3)),4,0)),0,VLOOKUP($A$1521,INDIRECT("notes_"&amp;LEFT($A$1521,3)),4,0))</f>
        <v>0</v>
      </c>
      <c r="H1742" s="471">
        <f t="shared" si="266"/>
        <v>2</v>
      </c>
      <c r="I1742" s="471">
        <v>0</v>
      </c>
      <c r="J1742" s="471" t="str">
        <f t="shared" si="267"/>
        <v>envrglenvlcn</v>
      </c>
      <c r="K1742" s="471" t="str">
        <f t="shared" si="268"/>
        <v>sfc</v>
      </c>
      <c r="L1742" s="599"/>
      <c r="M1742" s="471" t="s">
        <v>5802</v>
      </c>
      <c r="N1742" s="471" t="s">
        <v>1114</v>
      </c>
      <c r="O1742" s="471" t="s">
        <v>1113</v>
      </c>
    </row>
    <row r="1743" spans="1:15" x14ac:dyDescent="0.25">
      <c r="A1743" s="471" t="s">
        <v>5993</v>
      </c>
      <c r="B1743" s="1139">
        <f t="shared" ca="1" si="262"/>
        <v>0</v>
      </c>
      <c r="C1743" s="473">
        <f ca="1">IF(ISERROR(VLOOKUP($A$1522,INDIRECT("notes_"&amp;LEFT($A$1522,3)),4,0)),0,VLOOKUP($A$1522,INDIRECT("notes_"&amp;LEFT($A$1522,3)),4,0))</f>
        <v>0</v>
      </c>
      <c r="H1743" s="471">
        <f t="shared" ref="H1743:H1771" si="269">LEN(A1743)-LEN(SUBSTITUTE(A1743,"-",""))-I1743</f>
        <v>2</v>
      </c>
      <c r="I1743" s="471">
        <v>0</v>
      </c>
      <c r="J1743" s="471" t="str">
        <f t="shared" ref="J1743:J1771" si="270">MID($A1743,SEARCH("-",$A1743)+1,SEARCH("#",SUBSTITUTE($A1743,"-","#",H1743),1)-(SEARCH("-",$A1743)+1))</f>
        <v>envcmmcrm</v>
      </c>
      <c r="K1743" s="471" t="str">
        <f t="shared" ref="K1743:K1771" si="271">RIGHT($A1743,LEN($A1743)-SEARCH("#",SUBSTITUTE($A1743,"-","#",H1743),1))</f>
        <v>sfc</v>
      </c>
      <c r="L1743" s="599"/>
      <c r="M1743" s="471" t="s">
        <v>5802</v>
      </c>
      <c r="N1743" s="471" t="s">
        <v>1114</v>
      </c>
      <c r="O1743" s="471" t="s">
        <v>1113</v>
      </c>
    </row>
    <row r="1744" spans="1:15" x14ac:dyDescent="0.25">
      <c r="A1744" s="471" t="s">
        <v>5994</v>
      </c>
      <c r="B1744" s="1139">
        <f t="shared" ca="1" si="262"/>
        <v>0</v>
      </c>
      <c r="C1744" s="473">
        <f ca="1">IF(ISERROR(VLOOKUP($A$1523,INDIRECT("notes_"&amp;LEFT($A$1523,3)),4,0)),0,VLOOKUP($A$1523,INDIRECT("notes_"&amp;LEFT($A$1523,3)),4,0))</f>
        <v>0</v>
      </c>
      <c r="H1744" s="471">
        <f t="shared" si="269"/>
        <v>2</v>
      </c>
      <c r="I1744" s="471">
        <v>0</v>
      </c>
      <c r="J1744" s="471" t="str">
        <f t="shared" si="270"/>
        <v>envcmmsft</v>
      </c>
      <c r="K1744" s="471" t="str">
        <f t="shared" si="271"/>
        <v>sfc</v>
      </c>
      <c r="L1744" s="599"/>
      <c r="M1744" s="471" t="s">
        <v>5802</v>
      </c>
      <c r="N1744" s="471" t="s">
        <v>1114</v>
      </c>
      <c r="O1744" s="471" t="s">
        <v>1113</v>
      </c>
    </row>
    <row r="1745" spans="1:15" x14ac:dyDescent="0.25">
      <c r="A1745" s="471" t="s">
        <v>5995</v>
      </c>
      <c r="B1745" s="1139">
        <f t="shared" ca="1" si="262"/>
        <v>0</v>
      </c>
      <c r="C1745" s="473">
        <f ca="1">IF(ISERROR(VLOOKUP($A$1524,INDIRECT("notes_"&amp;LEFT($A$1524,3)),4,0)),0,VLOOKUP($A$1524,INDIRECT("notes_"&amp;LEFT($A$1524,3)),4,0))</f>
        <v>0</v>
      </c>
      <c r="H1745" s="471">
        <f t="shared" si="269"/>
        <v>2</v>
      </c>
      <c r="I1745" s="471">
        <v>0</v>
      </c>
      <c r="J1745" s="471" t="str">
        <f t="shared" si="270"/>
        <v>envcmmcct</v>
      </c>
      <c r="K1745" s="471" t="str">
        <f t="shared" si="271"/>
        <v>sfc</v>
      </c>
      <c r="L1745" s="599"/>
      <c r="M1745" s="471" t="s">
        <v>5802</v>
      </c>
      <c r="N1745" s="471" t="s">
        <v>1114</v>
      </c>
      <c r="O1745" s="471" t="s">
        <v>1113</v>
      </c>
    </row>
    <row r="1746" spans="1:15" x14ac:dyDescent="0.25">
      <c r="A1746" s="471" t="s">
        <v>5996</v>
      </c>
      <c r="B1746" s="1139">
        <f t="shared" ca="1" si="262"/>
        <v>0</v>
      </c>
      <c r="C1746" s="473">
        <f ca="1">IF(ISERROR(VLOOKUP($A$1525,INDIRECT("notes_"&amp;LEFT($A$1525,3)),4,0)),0,VLOOKUP($A$1525,INDIRECT("notes_"&amp;LEFT($A$1525,3)),4,0))</f>
        <v>0</v>
      </c>
      <c r="H1746" s="471">
        <f t="shared" si="269"/>
        <v>2</v>
      </c>
      <c r="I1746" s="471">
        <v>0</v>
      </c>
      <c r="J1746" s="471" t="str">
        <f t="shared" si="270"/>
        <v>envfldfld</v>
      </c>
      <c r="K1746" s="471" t="str">
        <f t="shared" si="271"/>
        <v>sfc</v>
      </c>
      <c r="L1746" s="599"/>
      <c r="M1746" s="471" t="s">
        <v>5802</v>
      </c>
      <c r="N1746" s="471" t="s">
        <v>1114</v>
      </c>
      <c r="O1746" s="471" t="s">
        <v>1113</v>
      </c>
    </row>
    <row r="1747" spans="1:15" x14ac:dyDescent="0.25">
      <c r="A1747" s="471" t="s">
        <v>5997</v>
      </c>
      <c r="B1747" s="1139">
        <f t="shared" ca="1" si="262"/>
        <v>0</v>
      </c>
      <c r="C1747" s="473">
        <f ca="1">IF(ISERROR(VLOOKUP($A$1526,INDIRECT("notes_"&amp;LEFT($A$1526,3)),4,0)),0,VLOOKUP($A$1526,INDIRECT("notes_"&amp;LEFT($A$1526,3)),4,0))</f>
        <v>0</v>
      </c>
      <c r="H1747" s="471">
        <f t="shared" si="269"/>
        <v>2</v>
      </c>
      <c r="I1747" s="471">
        <v>0</v>
      </c>
      <c r="J1747" s="471" t="str">
        <f t="shared" si="270"/>
        <v>envflddrn</v>
      </c>
      <c r="K1747" s="471" t="str">
        <f t="shared" si="271"/>
        <v>sfc</v>
      </c>
      <c r="L1747" s="599"/>
      <c r="M1747" s="471" t="s">
        <v>5802</v>
      </c>
      <c r="N1747" s="471" t="s">
        <v>1114</v>
      </c>
      <c r="O1747" s="471" t="s">
        <v>1113</v>
      </c>
    </row>
    <row r="1748" spans="1:15" x14ac:dyDescent="0.25">
      <c r="A1748" s="471" t="s">
        <v>5998</v>
      </c>
      <c r="B1748" s="1139">
        <f t="shared" ca="1" si="262"/>
        <v>0</v>
      </c>
      <c r="C1748" s="473">
        <f ca="1">IF(ISERROR(VLOOKUP($A$1527,INDIRECT("notes_"&amp;LEFT($A$1527,3)),4,0)),0,VLOOKUP($A$1527,INDIRECT("notes_"&amp;LEFT($A$1527,3)),4,0))</f>
        <v>0</v>
      </c>
      <c r="H1748" s="471">
        <f t="shared" si="269"/>
        <v>2</v>
      </c>
      <c r="I1748" s="471">
        <v>0</v>
      </c>
      <c r="J1748" s="471" t="str">
        <f t="shared" si="270"/>
        <v>envflddrnlev</v>
      </c>
      <c r="K1748" s="471" t="str">
        <f t="shared" si="271"/>
        <v>sfc</v>
      </c>
      <c r="L1748" s="599"/>
      <c r="M1748" s="471" t="s">
        <v>5802</v>
      </c>
      <c r="N1748" s="471" t="s">
        <v>1114</v>
      </c>
      <c r="O1748" s="471" t="s">
        <v>1113</v>
      </c>
    </row>
    <row r="1749" spans="1:15" x14ac:dyDescent="0.25">
      <c r="A1749" s="471" t="s">
        <v>5999</v>
      </c>
      <c r="B1749" s="1139">
        <f t="shared" ca="1" si="262"/>
        <v>0</v>
      </c>
      <c r="C1749" s="473">
        <f ca="1">IF(ISERROR(VLOOKUP($A$1528,INDIRECT("notes_"&amp;LEFT($A$1528,3)),4,0)),0,VLOOKUP($A$1528,INDIRECT("notes_"&amp;LEFT($A$1528,3)),4,0))</f>
        <v>0</v>
      </c>
      <c r="H1749" s="471">
        <f t="shared" si="269"/>
        <v>2</v>
      </c>
      <c r="I1749" s="471">
        <v>0</v>
      </c>
      <c r="J1749" s="471" t="str">
        <f t="shared" si="270"/>
        <v>envcst</v>
      </c>
      <c r="K1749" s="471" t="str">
        <f t="shared" si="271"/>
        <v>sfc</v>
      </c>
      <c r="L1749" s="599"/>
      <c r="M1749" s="471" t="s">
        <v>5802</v>
      </c>
      <c r="N1749" s="471" t="s">
        <v>1114</v>
      </c>
      <c r="O1749" s="471" t="s">
        <v>1113</v>
      </c>
    </row>
    <row r="1750" spans="1:15" x14ac:dyDescent="0.25">
      <c r="A1750" s="471" t="s">
        <v>6000</v>
      </c>
      <c r="B1750" s="1139">
        <f t="shared" ca="1" si="262"/>
        <v>0</v>
      </c>
      <c r="C1750" s="473">
        <f ca="1">IF(ISERROR(VLOOKUP($A$1529,INDIRECT("notes_"&amp;LEFT($A$1529,3)),4,0)),0,VLOOKUP($A$1529,INDIRECT("notes_"&amp;LEFT($A$1529,3)),4,0))</f>
        <v>0</v>
      </c>
      <c r="H1750" s="471">
        <f t="shared" si="269"/>
        <v>2</v>
      </c>
      <c r="I1750" s="471">
        <v>0</v>
      </c>
      <c r="J1750" s="471" t="str">
        <f t="shared" si="270"/>
        <v>envagr</v>
      </c>
      <c r="K1750" s="471" t="str">
        <f t="shared" si="271"/>
        <v>sfc</v>
      </c>
      <c r="L1750" s="599"/>
      <c r="M1750" s="471" t="s">
        <v>5802</v>
      </c>
      <c r="N1750" s="471" t="s">
        <v>1114</v>
      </c>
      <c r="O1750" s="471" t="s">
        <v>1113</v>
      </c>
    </row>
    <row r="1751" spans="1:15" x14ac:dyDescent="0.25">
      <c r="A1751" s="471" t="s">
        <v>6001</v>
      </c>
      <c r="B1751" s="1139">
        <f t="shared" ca="1" si="262"/>
        <v>0</v>
      </c>
      <c r="C1751" s="473">
        <f ca="1">IF(ISERROR(VLOOKUP($A$1530,INDIRECT("notes_"&amp;LEFT($A$1530,3)),4,0)),0,VLOOKUP($A$1530,INDIRECT("notes_"&amp;LEFT($A$1530,3)),4,0))</f>
        <v>0</v>
      </c>
      <c r="H1751" s="471">
        <f t="shared" si="269"/>
        <v>2</v>
      </c>
      <c r="I1751" s="471">
        <v>0</v>
      </c>
      <c r="J1751" s="471" t="str">
        <f t="shared" si="270"/>
        <v>envstr</v>
      </c>
      <c r="K1751" s="471" t="str">
        <f t="shared" si="271"/>
        <v>sfc</v>
      </c>
      <c r="L1751" s="599"/>
      <c r="M1751" s="471" t="s">
        <v>5802</v>
      </c>
      <c r="N1751" s="471" t="s">
        <v>1114</v>
      </c>
      <c r="O1751" s="471" t="s">
        <v>1113</v>
      </c>
    </row>
    <row r="1752" spans="1:15" x14ac:dyDescent="0.25">
      <c r="A1752" s="471" t="s">
        <v>6002</v>
      </c>
      <c r="B1752" s="1139">
        <f t="shared" ca="1" si="262"/>
        <v>0</v>
      </c>
      <c r="C1752" s="473">
        <f ca="1">IF(ISERROR(VLOOKUP($A$1531,INDIRECT("notes_"&amp;LEFT($A$1531,3)),4,0)),0,VLOOKUP($A$1531,INDIRECT("notes_"&amp;LEFT($A$1531,3)),4,0))</f>
        <v>0</v>
      </c>
      <c r="H1752" s="471">
        <f t="shared" si="269"/>
        <v>2</v>
      </c>
      <c r="I1752" s="471">
        <v>0</v>
      </c>
      <c r="J1752" s="471" t="str">
        <f t="shared" si="270"/>
        <v>envcll</v>
      </c>
      <c r="K1752" s="471" t="str">
        <f t="shared" si="271"/>
        <v>sfc</v>
      </c>
      <c r="L1752" s="599"/>
      <c r="M1752" s="471" t="s">
        <v>5802</v>
      </c>
      <c r="N1752" s="471" t="s">
        <v>1114</v>
      </c>
      <c r="O1752" s="471" t="s">
        <v>1113</v>
      </c>
    </row>
    <row r="1753" spans="1:15" x14ac:dyDescent="0.25">
      <c r="A1753" s="471" t="s">
        <v>6003</v>
      </c>
      <c r="B1753" s="1139">
        <f t="shared" ca="1" si="262"/>
        <v>0</v>
      </c>
      <c r="C1753" s="473">
        <f ca="1">IF(ISERROR(VLOOKUP($A$1532,INDIRECT("notes_"&amp;LEFT($A$1532,3)),4,0)),0,VLOOKUP($A$1532,INDIRECT("notes_"&amp;LEFT($A$1532,3)),4,0))</f>
        <v>0</v>
      </c>
      <c r="H1753" s="471">
        <f t="shared" si="269"/>
        <v>2</v>
      </c>
      <c r="I1753" s="471">
        <v>0</v>
      </c>
      <c r="J1753" s="471" t="str">
        <f t="shared" si="270"/>
        <v>envdsp</v>
      </c>
      <c r="K1753" s="471" t="str">
        <f t="shared" si="271"/>
        <v>sfc</v>
      </c>
      <c r="L1753" s="599"/>
      <c r="M1753" s="471" t="s">
        <v>5802</v>
      </c>
      <c r="N1753" s="471" t="s">
        <v>1114</v>
      </c>
      <c r="O1753" s="471" t="s">
        <v>1113</v>
      </c>
    </row>
    <row r="1754" spans="1:15" x14ac:dyDescent="0.25">
      <c r="A1754" s="471" t="s">
        <v>6004</v>
      </c>
      <c r="B1754" s="1139">
        <f t="shared" ca="1" si="262"/>
        <v>0</v>
      </c>
      <c r="C1754" s="473">
        <f ca="1">IF(ISERROR(VLOOKUP($A$1533,INDIRECT("notes_"&amp;LEFT($A$1533,3)),4,0)),0,VLOOKUP($A$1533,INDIRECT("notes_"&amp;LEFT($A$1533,3)),4,0))</f>
        <v>0</v>
      </c>
      <c r="H1754" s="471">
        <f t="shared" si="269"/>
        <v>2</v>
      </c>
      <c r="I1754" s="471">
        <v>0</v>
      </c>
      <c r="J1754" s="471" t="str">
        <f t="shared" si="270"/>
        <v>envtrd</v>
      </c>
      <c r="K1754" s="471" t="str">
        <f t="shared" si="271"/>
        <v>sfc</v>
      </c>
      <c r="L1754" s="599"/>
      <c r="M1754" s="471" t="s">
        <v>5802</v>
      </c>
      <c r="N1754" s="471" t="s">
        <v>1114</v>
      </c>
      <c r="O1754" s="471" t="s">
        <v>1113</v>
      </c>
    </row>
    <row r="1755" spans="1:15" x14ac:dyDescent="0.25">
      <c r="A1755" s="471" t="s">
        <v>6005</v>
      </c>
      <c r="B1755" s="1139">
        <f t="shared" ca="1" si="262"/>
        <v>0</v>
      </c>
      <c r="C1755" s="473">
        <f ca="1">IF(ISERROR(VLOOKUP($A$1534,INDIRECT("notes_"&amp;LEFT($A$1534,3)),4,0)),0,VLOOKUP($A$1534,INDIRECT("notes_"&amp;LEFT($A$1534,3)),4,0))</f>
        <v>0</v>
      </c>
      <c r="H1755" s="471">
        <f t="shared" si="269"/>
        <v>2</v>
      </c>
      <c r="I1755" s="471">
        <v>0</v>
      </c>
      <c r="J1755" s="471" t="str">
        <f t="shared" si="270"/>
        <v>envrcy</v>
      </c>
      <c r="K1755" s="471" t="str">
        <f t="shared" si="271"/>
        <v>sfc</v>
      </c>
      <c r="L1755" s="599"/>
      <c r="M1755" s="471" t="s">
        <v>5802</v>
      </c>
      <c r="N1755" s="471" t="s">
        <v>1114</v>
      </c>
      <c r="O1755" s="471" t="s">
        <v>1113</v>
      </c>
    </row>
    <row r="1756" spans="1:15" x14ac:dyDescent="0.25">
      <c r="A1756" s="471" t="s">
        <v>6006</v>
      </c>
      <c r="B1756" s="1139">
        <f t="shared" ca="1" si="262"/>
        <v>0</v>
      </c>
      <c r="C1756" s="473">
        <f ca="1">IF(ISERROR(VLOOKUP($A$1535,INDIRECT("notes_"&amp;LEFT($A$1535,3)),4,0)),0,VLOOKUP($A$1535,INDIRECT("notes_"&amp;LEFT($A$1535,3)),4,0))</f>
        <v>0</v>
      </c>
      <c r="H1756" s="471">
        <f t="shared" si="269"/>
        <v>2</v>
      </c>
      <c r="I1756" s="471">
        <v>0</v>
      </c>
      <c r="J1756" s="471" t="str">
        <f t="shared" si="270"/>
        <v>envmin</v>
      </c>
      <c r="K1756" s="471" t="str">
        <f t="shared" si="271"/>
        <v>sfc</v>
      </c>
      <c r="L1756" s="599"/>
      <c r="M1756" s="471" t="s">
        <v>5802</v>
      </c>
      <c r="N1756" s="471" t="s">
        <v>1114</v>
      </c>
      <c r="O1756" s="471" t="s">
        <v>1113</v>
      </c>
    </row>
    <row r="1757" spans="1:15" x14ac:dyDescent="0.25">
      <c r="A1757" s="471" t="s">
        <v>6007</v>
      </c>
      <c r="B1757" s="1139">
        <f t="shared" ca="1" si="262"/>
        <v>0</v>
      </c>
      <c r="C1757" s="473">
        <f ca="1">IF(ISERROR(VLOOKUP($A$1536,INDIRECT("notes_"&amp;LEFT($A$1536,3)),4,0)),0,VLOOKUP($A$1536,INDIRECT("notes_"&amp;LEFT($A$1536,3)),4,0))</f>
        <v>0</v>
      </c>
      <c r="H1757" s="471">
        <f t="shared" si="269"/>
        <v>2</v>
      </c>
      <c r="I1757" s="471">
        <v>0</v>
      </c>
      <c r="J1757" s="471" t="str">
        <f t="shared" si="270"/>
        <v>envclm</v>
      </c>
      <c r="K1757" s="471" t="str">
        <f t="shared" si="271"/>
        <v>sfc</v>
      </c>
      <c r="L1757" s="599"/>
      <c r="M1757" s="471" t="s">
        <v>5802</v>
      </c>
      <c r="N1757" s="471" t="s">
        <v>1114</v>
      </c>
      <c r="O1757" s="471" t="s">
        <v>1113</v>
      </c>
    </row>
    <row r="1758" spans="1:15" x14ac:dyDescent="0.25">
      <c r="A1758" s="471" t="s">
        <v>6008</v>
      </c>
      <c r="B1758" s="1139">
        <f t="shared" ca="1" si="262"/>
        <v>0</v>
      </c>
      <c r="C1758" s="473">
        <f ca="1">IF(ISERROR(VLOOKUP($A$1537,INDIRECT("notes_"&amp;LEFT($A$1537,3)),4,0)),0,VLOOKUP($A$1537,INDIRECT("notes_"&amp;LEFT($A$1537,3)),4,0))</f>
        <v>0</v>
      </c>
      <c r="H1758" s="471">
        <f t="shared" si="269"/>
        <v>2</v>
      </c>
      <c r="I1758" s="471">
        <v>0</v>
      </c>
      <c r="J1758" s="471" t="str">
        <f t="shared" si="270"/>
        <v>envtot</v>
      </c>
      <c r="K1758" s="471" t="str">
        <f t="shared" si="271"/>
        <v>sfc</v>
      </c>
      <c r="L1758" s="599"/>
      <c r="M1758" s="471" t="s">
        <v>5802</v>
      </c>
      <c r="N1758" s="471" t="s">
        <v>1114</v>
      </c>
      <c r="O1758" s="471" t="s">
        <v>1113</v>
      </c>
    </row>
    <row r="1759" spans="1:15" x14ac:dyDescent="0.25">
      <c r="A1759" s="471" t="s">
        <v>6009</v>
      </c>
      <c r="B1759" s="1139">
        <f t="shared" ca="1" si="262"/>
        <v>0</v>
      </c>
      <c r="C1759" s="473">
        <f ca="1">IF(ISERROR(VLOOKUP($A$1538,INDIRECT("notes_"&amp;LEFT($A$1538,3)),4,0)),0,VLOOKUP($A$1538,INDIRECT("notes_"&amp;LEFT($A$1538,3)),4,0))</f>
        <v>0</v>
      </c>
      <c r="H1759" s="471">
        <f t="shared" si="269"/>
        <v>2</v>
      </c>
      <c r="I1759" s="471">
        <v>0</v>
      </c>
      <c r="J1759" s="471" t="str">
        <f t="shared" si="270"/>
        <v>planbld</v>
      </c>
      <c r="K1759" s="471" t="str">
        <f t="shared" si="271"/>
        <v>sfc</v>
      </c>
      <c r="L1759" s="599"/>
      <c r="M1759" s="471" t="s">
        <v>5802</v>
      </c>
      <c r="N1759" s="471" t="s">
        <v>1114</v>
      </c>
      <c r="O1759" s="471" t="s">
        <v>1113</v>
      </c>
    </row>
    <row r="1760" spans="1:15" x14ac:dyDescent="0.25">
      <c r="A1760" s="471" t="s">
        <v>6010</v>
      </c>
      <c r="B1760" s="1139">
        <f t="shared" ca="1" si="262"/>
        <v>0</v>
      </c>
      <c r="C1760" s="473">
        <f ca="1">IF(ISERROR(VLOOKUP($A$1539,INDIRECT("notes_"&amp;LEFT($A$1539,3)),4,0)),0,VLOOKUP($A$1539,INDIRECT("notes_"&amp;LEFT($A$1539,3)),4,0))</f>
        <v>0</v>
      </c>
      <c r="H1760" s="471">
        <f t="shared" si="269"/>
        <v>2</v>
      </c>
      <c r="I1760" s="471">
        <v>0</v>
      </c>
      <c r="J1760" s="471" t="str">
        <f t="shared" si="270"/>
        <v>plandvl</v>
      </c>
      <c r="K1760" s="471" t="str">
        <f t="shared" si="271"/>
        <v>sfc</v>
      </c>
      <c r="L1760" s="599"/>
      <c r="M1760" s="471" t="s">
        <v>5802</v>
      </c>
      <c r="N1760" s="471" t="s">
        <v>1114</v>
      </c>
      <c r="O1760" s="471" t="s">
        <v>1113</v>
      </c>
    </row>
    <row r="1761" spans="1:15" x14ac:dyDescent="0.25">
      <c r="A1761" s="471" t="s">
        <v>6011</v>
      </c>
      <c r="B1761" s="1139">
        <f t="shared" ca="1" si="262"/>
        <v>0</v>
      </c>
      <c r="C1761" s="473">
        <f ca="1">IF(ISERROR(VLOOKUP($A$1540,INDIRECT("notes_"&amp;LEFT($A$1540,3)),4,0)),0,VLOOKUP($A$1540,INDIRECT("notes_"&amp;LEFT($A$1540,3)),4,0))</f>
        <v>0</v>
      </c>
      <c r="H1761" s="471">
        <f t="shared" si="269"/>
        <v>5</v>
      </c>
      <c r="I1761" s="471">
        <v>0</v>
      </c>
      <c r="J1761" s="471" t="str">
        <f t="shared" si="270"/>
        <v>planplc-cns-lst-bld</v>
      </c>
      <c r="K1761" s="471" t="str">
        <f t="shared" si="271"/>
        <v>sfc</v>
      </c>
      <c r="L1761" s="599"/>
      <c r="M1761" s="471" t="s">
        <v>5802</v>
      </c>
      <c r="N1761" s="471" t="s">
        <v>1114</v>
      </c>
      <c r="O1761" s="471" t="s">
        <v>1113</v>
      </c>
    </row>
    <row r="1762" spans="1:15" x14ac:dyDescent="0.25">
      <c r="A1762" s="471" t="s">
        <v>6012</v>
      </c>
      <c r="B1762" s="1139">
        <f t="shared" ca="1" si="262"/>
        <v>0</v>
      </c>
      <c r="C1762" s="473">
        <f ca="1">IF(ISERROR(VLOOKUP($A$1541,INDIRECT("notes_"&amp;LEFT($A$1541,3)),4,0)),0,VLOOKUP($A$1541,INDIRECT("notes_"&amp;LEFT($A$1541,3)),4,0))</f>
        <v>0</v>
      </c>
      <c r="H1762" s="471">
        <f t="shared" si="269"/>
        <v>3</v>
      </c>
      <c r="I1762" s="471">
        <v>0</v>
      </c>
      <c r="J1762" s="471" t="str">
        <f t="shared" si="270"/>
        <v>planplc-oth</v>
      </c>
      <c r="K1762" s="471" t="str">
        <f t="shared" si="271"/>
        <v>sfc</v>
      </c>
      <c r="L1762" s="599"/>
      <c r="M1762" s="471" t="s">
        <v>5802</v>
      </c>
      <c r="N1762" s="471" t="s">
        <v>1114</v>
      </c>
      <c r="O1762" s="471" t="s">
        <v>1113</v>
      </c>
    </row>
    <row r="1763" spans="1:15" x14ac:dyDescent="0.25">
      <c r="A1763" s="471" t="s">
        <v>6013</v>
      </c>
      <c r="B1763" s="1139">
        <f t="shared" ca="1" si="262"/>
        <v>0</v>
      </c>
      <c r="C1763" s="473">
        <f ca="1">IF(ISERROR(VLOOKUP($A$1542,INDIRECT("notes_"&amp;LEFT($A$1542,3)),4,0)),0,VLOOKUP($A$1542,INDIRECT("notes_"&amp;LEFT($A$1542,3)),4,0))</f>
        <v>0</v>
      </c>
      <c r="H1763" s="471">
        <f t="shared" si="269"/>
        <v>2</v>
      </c>
      <c r="I1763" s="471">
        <v>0</v>
      </c>
      <c r="J1763" s="471" t="str">
        <f t="shared" si="270"/>
        <v>planenv</v>
      </c>
      <c r="K1763" s="471" t="str">
        <f t="shared" si="271"/>
        <v>sfc</v>
      </c>
      <c r="L1763" s="599"/>
      <c r="M1763" s="471" t="s">
        <v>5802</v>
      </c>
      <c r="N1763" s="471" t="s">
        <v>1114</v>
      </c>
      <c r="O1763" s="471" t="s">
        <v>1113</v>
      </c>
    </row>
    <row r="1764" spans="1:15" x14ac:dyDescent="0.25">
      <c r="A1764" s="471" t="s">
        <v>6014</v>
      </c>
      <c r="B1764" s="1139">
        <f t="shared" ca="1" si="262"/>
        <v>0</v>
      </c>
      <c r="C1764" s="473">
        <f ca="1">IF(ISERROR(VLOOKUP($A$1543,INDIRECT("notes_"&amp;LEFT($A$1543,3)),4,0)),0,VLOOKUP($A$1543,INDIRECT("notes_"&amp;LEFT($A$1543,3)),4,0))</f>
        <v>0</v>
      </c>
      <c r="H1764" s="471">
        <f t="shared" si="269"/>
        <v>2</v>
      </c>
      <c r="I1764" s="471">
        <v>0</v>
      </c>
      <c r="J1764" s="471" t="str">
        <f t="shared" si="270"/>
        <v>planecndev</v>
      </c>
      <c r="K1764" s="471" t="str">
        <f t="shared" si="271"/>
        <v>sfc</v>
      </c>
      <c r="L1764" s="599"/>
      <c r="M1764" s="471" t="s">
        <v>5802</v>
      </c>
      <c r="N1764" s="471" t="s">
        <v>1114</v>
      </c>
      <c r="O1764" s="471" t="s">
        <v>1113</v>
      </c>
    </row>
    <row r="1765" spans="1:15" x14ac:dyDescent="0.25">
      <c r="A1765" s="471" t="s">
        <v>6015</v>
      </c>
      <c r="B1765" s="1139">
        <f t="shared" ca="1" si="262"/>
        <v>0</v>
      </c>
      <c r="C1765" s="473">
        <f ca="1">IF(ISERROR(VLOOKUP($A$1544,INDIRECT("notes_"&amp;LEFT($A$1544,3)),4,0)),0,VLOOKUP($A$1544,INDIRECT("notes_"&amp;LEFT($A$1544,3)),4,0))</f>
        <v>0</v>
      </c>
      <c r="H1765" s="471">
        <f t="shared" si="269"/>
        <v>2</v>
      </c>
      <c r="I1765" s="471">
        <v>0</v>
      </c>
      <c r="J1765" s="471" t="str">
        <f t="shared" si="270"/>
        <v>planecnrsr</v>
      </c>
      <c r="K1765" s="471" t="str">
        <f t="shared" si="271"/>
        <v>sfc</v>
      </c>
      <c r="L1765" s="599"/>
      <c r="M1765" s="471" t="s">
        <v>5802</v>
      </c>
      <c r="N1765" s="471" t="s">
        <v>1114</v>
      </c>
      <c r="O1765" s="471" t="s">
        <v>1113</v>
      </c>
    </row>
    <row r="1766" spans="1:15" x14ac:dyDescent="0.25">
      <c r="A1766" s="471" t="s">
        <v>6016</v>
      </c>
      <c r="B1766" s="1139">
        <f t="shared" ca="1" si="262"/>
        <v>0</v>
      </c>
      <c r="C1766" s="473">
        <f ca="1">IF(ISERROR(VLOOKUP($A$1545,INDIRECT("notes_"&amp;LEFT($A$1545,3)),4,0)),0,VLOOKUP($A$1545,INDIRECT("notes_"&amp;LEFT($A$1545,3)),4,0))</f>
        <v>0</v>
      </c>
      <c r="H1766" s="471">
        <f t="shared" si="269"/>
        <v>2</v>
      </c>
      <c r="I1766" s="471">
        <v>0</v>
      </c>
      <c r="J1766" s="471" t="str">
        <f t="shared" si="270"/>
        <v>planbsn</v>
      </c>
      <c r="K1766" s="471" t="str">
        <f t="shared" si="271"/>
        <v>sfc</v>
      </c>
      <c r="L1766" s="599"/>
      <c r="M1766" s="471" t="s">
        <v>5802</v>
      </c>
      <c r="N1766" s="471" t="s">
        <v>1114</v>
      </c>
      <c r="O1766" s="471" t="s">
        <v>1113</v>
      </c>
    </row>
    <row r="1767" spans="1:15" x14ac:dyDescent="0.25">
      <c r="A1767" s="471" t="s">
        <v>6017</v>
      </c>
      <c r="B1767" s="1139">
        <f t="shared" ca="1" si="262"/>
        <v>0</v>
      </c>
      <c r="C1767" s="473">
        <f ca="1">IF(ISERROR(VLOOKUP($A$1546,INDIRECT("notes_"&amp;LEFT($A$1546,3)),4,0)),0,VLOOKUP($A$1546,INDIRECT("notes_"&amp;LEFT($A$1546,3)),4,0))</f>
        <v>0</v>
      </c>
      <c r="H1767" s="471">
        <f t="shared" si="269"/>
        <v>2</v>
      </c>
      <c r="I1767" s="471">
        <v>0</v>
      </c>
      <c r="J1767" s="471" t="str">
        <f t="shared" si="270"/>
        <v>plancmm</v>
      </c>
      <c r="K1767" s="471" t="str">
        <f t="shared" si="271"/>
        <v>sfc</v>
      </c>
      <c r="L1767" s="599"/>
      <c r="M1767" s="471" t="s">
        <v>5802</v>
      </c>
      <c r="N1767" s="471" t="s">
        <v>1114</v>
      </c>
      <c r="O1767" s="471" t="s">
        <v>1113</v>
      </c>
    </row>
    <row r="1768" spans="1:15" x14ac:dyDescent="0.25">
      <c r="A1768" s="471" t="s">
        <v>6018</v>
      </c>
      <c r="B1768" s="1139">
        <f t="shared" ca="1" si="262"/>
        <v>0</v>
      </c>
      <c r="C1768" s="473">
        <f ca="1">IF(ISERROR(VLOOKUP($A$1547,INDIRECT("notes_"&amp;LEFT($A$1547,3)),4,0)),0,VLOOKUP($A$1547,INDIRECT("notes_"&amp;LEFT($A$1547,3)),4,0))</f>
        <v>0</v>
      </c>
      <c r="H1768" s="471">
        <f t="shared" si="269"/>
        <v>2</v>
      </c>
      <c r="I1768" s="471">
        <v>0</v>
      </c>
      <c r="J1768" s="471" t="str">
        <f t="shared" si="270"/>
        <v>plantot</v>
      </c>
      <c r="K1768" s="471" t="str">
        <f t="shared" si="271"/>
        <v>sfc</v>
      </c>
      <c r="L1768" s="599"/>
      <c r="M1768" s="471" t="s">
        <v>5802</v>
      </c>
      <c r="N1768" s="471" t="s">
        <v>1114</v>
      </c>
      <c r="O1768" s="471" t="s">
        <v>1113</v>
      </c>
    </row>
    <row r="1769" spans="1:15" x14ac:dyDescent="0.25">
      <c r="A1769" s="471" t="s">
        <v>6019</v>
      </c>
      <c r="B1769" s="1139">
        <f t="shared" ref="B1769:B1836" ca="1" si="272">INDEX(INDIRECT(LEFT($A1769,SEARCH("-",$A1769,1)-1)&amp;"_data"),MATCH(MID($A1769,SEARCH("-",$A1769)+1,SEARCH("#",SUBSTITUTE($A1769,"-","#",H1769),1)-(SEARCH("-",$A1769)+1)),INDIRECT(LEFT($A1769,SEARCH("-",$A1769,1)-1)&amp;"_rows"),0),MATCH(RIGHT($A1769,LEN($A1769)-SEARCH("#",SUBSTITUTE($A1769,"-","#",H1769),1)),INDIRECT(LEFT($A1769,SEARCH("-",$A1769,1)-1)&amp;"_Header"),0))</f>
        <v>0</v>
      </c>
      <c r="C1769" s="473">
        <f ca="1">IF(ISERROR(VLOOKUP($A$1548,INDIRECT("notes_"&amp;LEFT($A$1548,3)),4,0)),0,VLOOKUP($A$1548,INDIRECT("notes_"&amp;LEFT($A$1548,3)),4,0))</f>
        <v>0</v>
      </c>
      <c r="H1769" s="471">
        <f t="shared" si="269"/>
        <v>2</v>
      </c>
      <c r="I1769" s="471">
        <v>0</v>
      </c>
      <c r="J1769" s="471" t="str">
        <f t="shared" si="270"/>
        <v>culenvplantot</v>
      </c>
      <c r="K1769" s="471" t="str">
        <f t="shared" si="271"/>
        <v>sfc</v>
      </c>
      <c r="L1769" s="599"/>
      <c r="M1769" s="471" t="s">
        <v>5802</v>
      </c>
      <c r="N1769" s="471" t="s">
        <v>1114</v>
      </c>
      <c r="O1769" s="471" t="s">
        <v>1113</v>
      </c>
    </row>
    <row r="1770" spans="1:15" x14ac:dyDescent="0.25">
      <c r="A1770" s="471" t="s">
        <v>6020</v>
      </c>
      <c r="B1770" s="1139">
        <f t="shared" ca="1" si="272"/>
        <v>0</v>
      </c>
      <c r="C1770" s="473">
        <f ca="1">IF(ISERROR(VLOOKUP($A$1495,INDIRECT("notes_"&amp;LEFT($A$1495,3)),4,0)),0,VLOOKUP($A$1495,INDIRECT("notes_"&amp;LEFT($A$1495,3)),4,0))</f>
        <v>0</v>
      </c>
      <c r="H1770" s="471">
        <f t="shared" si="269"/>
        <v>2</v>
      </c>
      <c r="I1770" s="471">
        <v>1</v>
      </c>
      <c r="J1770" s="471" t="str">
        <f t="shared" si="270"/>
        <v>culhrtarc</v>
      </c>
      <c r="K1770" s="471" t="str">
        <f t="shared" si="271"/>
        <v>oth-inc</v>
      </c>
      <c r="L1770" s="599"/>
      <c r="M1770" s="471" t="s">
        <v>5802</v>
      </c>
      <c r="N1770" s="471" t="s">
        <v>1114</v>
      </c>
      <c r="O1770" s="471" t="s">
        <v>1113</v>
      </c>
    </row>
    <row r="1771" spans="1:15" x14ac:dyDescent="0.25">
      <c r="A1771" s="471" t="s">
        <v>6021</v>
      </c>
      <c r="B1771" s="1139">
        <f t="shared" ca="1" si="272"/>
        <v>0</v>
      </c>
      <c r="C1771" s="473">
        <f ca="1">IF(ISERROR(VLOOKUP($A$1496,INDIRECT("notes_"&amp;LEFT($A$1496,3)),4,0)),0,VLOOKUP($A$1496,INDIRECT("notes_"&amp;LEFT($A$1496,3)),4,0))</f>
        <v>0</v>
      </c>
      <c r="H1771" s="471">
        <f t="shared" si="269"/>
        <v>5</v>
      </c>
      <c r="I1771" s="471">
        <v>1</v>
      </c>
      <c r="J1771" s="471" t="str">
        <f t="shared" si="270"/>
        <v>culhrt-art-dvl-spp</v>
      </c>
      <c r="K1771" s="471" t="str">
        <f t="shared" si="271"/>
        <v>oth-inc</v>
      </c>
      <c r="L1771" s="599"/>
      <c r="M1771" s="471" t="s">
        <v>5802</v>
      </c>
      <c r="N1771" s="471" t="s">
        <v>1114</v>
      </c>
      <c r="O1771" s="471" t="s">
        <v>1113</v>
      </c>
    </row>
    <row r="1772" spans="1:15" x14ac:dyDescent="0.25">
      <c r="A1772" s="471" t="s">
        <v>6022</v>
      </c>
      <c r="B1772" s="1139">
        <f t="shared" ca="1" si="272"/>
        <v>0</v>
      </c>
      <c r="C1772" s="473">
        <f ca="1">IF(ISERROR(VLOOKUP($A$1497,INDIRECT("notes_"&amp;LEFT($A$1497,3)),4,0)),0,VLOOKUP($A$1497,INDIRECT("notes_"&amp;LEFT($A$1497,3)),4,0))</f>
        <v>0</v>
      </c>
      <c r="H1772" s="471">
        <f t="shared" ref="H1772:H1789" si="273">LEN(A1772)-LEN(SUBSTITUTE(A1772,"-",""))-I1772</f>
        <v>3</v>
      </c>
      <c r="I1772" s="471">
        <v>1</v>
      </c>
      <c r="J1772" s="471" t="str">
        <f t="shared" ref="J1772:J1789" si="274">MID($A1772,SEARCH("-",$A1772)+1,SEARCH("#",SUBSTITUTE($A1772,"-","#",H1772),1)-(SEARCH("-",$A1772)+1))</f>
        <v>culhrt-hrt</v>
      </c>
      <c r="K1772" s="471" t="str">
        <f t="shared" ref="K1772:K1789" si="275">RIGHT($A1772,LEN($A1772)-SEARCH("#",SUBSTITUTE($A1772,"-","#",H1772),1))</f>
        <v>oth-inc</v>
      </c>
      <c r="L1772" s="599"/>
      <c r="M1772" s="471" t="s">
        <v>5802</v>
      </c>
      <c r="N1772" s="471" t="s">
        <v>1114</v>
      </c>
      <c r="O1772" s="471" t="s">
        <v>1113</v>
      </c>
    </row>
    <row r="1773" spans="1:15" x14ac:dyDescent="0.25">
      <c r="A1773" s="471" t="s">
        <v>6023</v>
      </c>
      <c r="B1773" s="1139">
        <f t="shared" ca="1" si="272"/>
        <v>0</v>
      </c>
      <c r="C1773" s="473">
        <f ca="1">IF(ISERROR(VLOOKUP($A$1498,INDIRECT("notes_"&amp;LEFT($A$1498,3)),4,0)),0,VLOOKUP($A$1498,INDIRECT("notes_"&amp;LEFT($A$1498,3)),4,0))</f>
        <v>0</v>
      </c>
      <c r="H1773" s="471">
        <f t="shared" si="273"/>
        <v>4</v>
      </c>
      <c r="I1773" s="471">
        <v>1</v>
      </c>
      <c r="J1773" s="471" t="str">
        <f t="shared" si="274"/>
        <v>culhrt-msm-gll</v>
      </c>
      <c r="K1773" s="471" t="str">
        <f t="shared" si="275"/>
        <v>oth-inc</v>
      </c>
      <c r="L1773" s="599"/>
      <c r="M1773" s="471" t="s">
        <v>5802</v>
      </c>
      <c r="N1773" s="471" t="s">
        <v>1114</v>
      </c>
      <c r="O1773" s="471" t="s">
        <v>1113</v>
      </c>
    </row>
    <row r="1774" spans="1:15" x14ac:dyDescent="0.25">
      <c r="A1774" s="471" t="s">
        <v>6024</v>
      </c>
      <c r="B1774" s="1139">
        <f t="shared" ca="1" si="272"/>
        <v>0</v>
      </c>
      <c r="C1774" s="473">
        <f ca="1">IF(ISERROR(VLOOKUP($A$1499,INDIRECT("notes_"&amp;LEFT($A$1499,3)),4,0)),0,VLOOKUP($A$1499,INDIRECT("notes_"&amp;LEFT($A$1499,3)),4,0))</f>
        <v>0</v>
      </c>
      <c r="H1774" s="471">
        <f t="shared" si="273"/>
        <v>5</v>
      </c>
      <c r="I1774" s="471">
        <v>1</v>
      </c>
      <c r="J1774" s="471" t="str">
        <f t="shared" si="274"/>
        <v>culhrt-tht-pbl-ent</v>
      </c>
      <c r="K1774" s="471" t="str">
        <f t="shared" si="275"/>
        <v>oth-inc</v>
      </c>
      <c r="L1774" s="599"/>
      <c r="M1774" s="471" t="s">
        <v>5802</v>
      </c>
      <c r="N1774" s="471" t="s">
        <v>1114</v>
      </c>
      <c r="O1774" s="471" t="s">
        <v>1113</v>
      </c>
    </row>
    <row r="1775" spans="1:15" x14ac:dyDescent="0.25">
      <c r="A1775" s="471" t="s">
        <v>6025</v>
      </c>
      <c r="B1775" s="1139">
        <f t="shared" ca="1" si="272"/>
        <v>0</v>
      </c>
      <c r="C1775" s="473">
        <f ca="1">IF(ISERROR(VLOOKUP($A$1500,INDIRECT("notes_"&amp;LEFT($A$1500,3)),4,0)),0,VLOOKUP($A$1500,INDIRECT("notes_"&amp;LEFT($A$1500,3)),4,0))</f>
        <v>0</v>
      </c>
      <c r="H1775" s="471">
        <f t="shared" si="273"/>
        <v>6</v>
      </c>
      <c r="I1775" s="471">
        <v>1</v>
      </c>
      <c r="J1775" s="471" t="str">
        <f t="shared" si="274"/>
        <v>culspr-cmm-cen-pub-hll</v>
      </c>
      <c r="K1775" s="471" t="str">
        <f t="shared" si="275"/>
        <v>oth-inc</v>
      </c>
      <c r="L1775" s="599"/>
      <c r="M1775" s="471" t="s">
        <v>5802</v>
      </c>
      <c r="N1775" s="471" t="s">
        <v>1114</v>
      </c>
      <c r="O1775" s="471" t="s">
        <v>1113</v>
      </c>
    </row>
    <row r="1776" spans="1:15" x14ac:dyDescent="0.25">
      <c r="A1776" s="471" t="s">
        <v>6026</v>
      </c>
      <c r="B1776" s="1139">
        <f t="shared" ca="1" si="272"/>
        <v>0</v>
      </c>
      <c r="C1776" s="473">
        <f ca="1">IF(ISERROR(VLOOKUP($A$1501,INDIRECT("notes_"&amp;LEFT($A$1501,3)),4,0)),0,VLOOKUP($A$1501,INDIRECT("notes_"&amp;LEFT($A$1501,3)),4,0))</f>
        <v>0</v>
      </c>
      <c r="H1776" s="471">
        <f t="shared" si="273"/>
        <v>3</v>
      </c>
      <c r="I1776" s="471">
        <v>1</v>
      </c>
      <c r="J1776" s="471" t="str">
        <f t="shared" si="274"/>
        <v>culspr-frs</v>
      </c>
      <c r="K1776" s="471" t="str">
        <f t="shared" si="275"/>
        <v>oth-inc</v>
      </c>
      <c r="L1776" s="599"/>
      <c r="M1776" s="471" t="s">
        <v>5802</v>
      </c>
      <c r="N1776" s="471" t="s">
        <v>1114</v>
      </c>
      <c r="O1776" s="471" t="s">
        <v>1113</v>
      </c>
    </row>
    <row r="1777" spans="1:15" x14ac:dyDescent="0.25">
      <c r="A1777" s="471" t="s">
        <v>6027</v>
      </c>
      <c r="B1777" s="1139">
        <f t="shared" ca="1" si="272"/>
        <v>0</v>
      </c>
      <c r="C1777" s="473">
        <f ca="1">IF(ISERROR(VLOOKUP($A$1502,INDIRECT("notes_"&amp;LEFT($A$1502,3)),4,0)),0,VLOOKUP($A$1502,INDIRECT("notes_"&amp;LEFT($A$1502,3)),4,0))</f>
        <v>0</v>
      </c>
      <c r="H1777" s="471">
        <f t="shared" si="273"/>
        <v>6</v>
      </c>
      <c r="I1777" s="471">
        <v>1</v>
      </c>
      <c r="J1777" s="471" t="str">
        <f t="shared" si="274"/>
        <v>culspr-spr-dvl-cmm-rec</v>
      </c>
      <c r="K1777" s="471" t="str">
        <f t="shared" si="275"/>
        <v>oth-inc</v>
      </c>
      <c r="L1777" s="599"/>
      <c r="M1777" s="471" t="s">
        <v>5802</v>
      </c>
      <c r="N1777" s="471" t="s">
        <v>1114</v>
      </c>
      <c r="O1777" s="471" t="s">
        <v>1113</v>
      </c>
    </row>
    <row r="1778" spans="1:15" x14ac:dyDescent="0.25">
      <c r="A1778" s="471" t="s">
        <v>6028</v>
      </c>
      <c r="B1778" s="1139">
        <f t="shared" ca="1" si="272"/>
        <v>0</v>
      </c>
      <c r="C1778" s="473">
        <f ca="1">IF(ISERROR(VLOOKUP($A$1503,INDIRECT("notes_"&amp;LEFT($A$1503,3)),4,0)),0,VLOOKUP($A$1503,INDIRECT("notes_"&amp;LEFT($A$1503,3)),4,0))</f>
        <v>0</v>
      </c>
      <c r="H1778" s="471">
        <f t="shared" si="273"/>
        <v>5</v>
      </c>
      <c r="I1778" s="471">
        <v>1</v>
      </c>
      <c r="J1778" s="471" t="str">
        <f t="shared" si="274"/>
        <v>culspr-spr-lsr-fcl</v>
      </c>
      <c r="K1778" s="471" t="str">
        <f t="shared" si="275"/>
        <v>oth-inc</v>
      </c>
      <c r="L1778" s="599"/>
      <c r="M1778" s="471" t="s">
        <v>5802</v>
      </c>
      <c r="N1778" s="471" t="s">
        <v>1114</v>
      </c>
      <c r="O1778" s="471" t="s">
        <v>1113</v>
      </c>
    </row>
    <row r="1779" spans="1:15" x14ac:dyDescent="0.25">
      <c r="A1779" s="471" t="s">
        <v>6029</v>
      </c>
      <c r="B1779" s="1139">
        <f t="shared" ca="1" si="272"/>
        <v>0</v>
      </c>
      <c r="C1779" s="473">
        <f ca="1">IF(ISERROR(VLOOKUP($A$1504,INDIRECT("notes_"&amp;LEFT($A$1504,3)),4,0)),0,VLOOKUP($A$1504,INDIRECT("notes_"&amp;LEFT($A$1504,3)),4,0))</f>
        <v>0</v>
      </c>
      <c r="H1779" s="471">
        <f t="shared" si="273"/>
        <v>3</v>
      </c>
      <c r="I1779" s="471">
        <v>1</v>
      </c>
      <c r="J1779" s="471" t="str">
        <f t="shared" si="274"/>
        <v>culprk-opn</v>
      </c>
      <c r="K1779" s="471" t="str">
        <f t="shared" si="275"/>
        <v>oth-inc</v>
      </c>
      <c r="L1779" s="599"/>
      <c r="M1779" s="471" t="s">
        <v>5802</v>
      </c>
      <c r="N1779" s="471" t="s">
        <v>1114</v>
      </c>
      <c r="O1779" s="471" t="s">
        <v>1113</v>
      </c>
    </row>
    <row r="1780" spans="1:15" x14ac:dyDescent="0.25">
      <c r="A1780" s="471" t="s">
        <v>6030</v>
      </c>
      <c r="B1780" s="1139">
        <f t="shared" ca="1" si="272"/>
        <v>0</v>
      </c>
      <c r="C1780" s="473">
        <f ca="1">IF(ISERROR(VLOOKUP($A$1505,INDIRECT("notes_"&amp;LEFT($A$1505,3)),4,0)),0,VLOOKUP($A$1505,INDIRECT("notes_"&amp;LEFT($A$1505,3)),4,0))</f>
        <v>0</v>
      </c>
      <c r="H1780" s="471">
        <f t="shared" si="273"/>
        <v>2</v>
      </c>
      <c r="I1780" s="471">
        <v>1</v>
      </c>
      <c r="J1780" s="471" t="str">
        <f t="shared" si="274"/>
        <v>culall</v>
      </c>
      <c r="K1780" s="471" t="str">
        <f t="shared" si="275"/>
        <v>oth-inc</v>
      </c>
      <c r="L1780" s="599"/>
      <c r="M1780" s="471" t="s">
        <v>5802</v>
      </c>
      <c r="N1780" s="471" t="s">
        <v>1114</v>
      </c>
      <c r="O1780" s="471" t="s">
        <v>1113</v>
      </c>
    </row>
    <row r="1781" spans="1:15" x14ac:dyDescent="0.25">
      <c r="A1781" s="471" t="s">
        <v>6031</v>
      </c>
      <c r="B1781" s="1139">
        <f t="shared" ca="1" si="272"/>
        <v>0</v>
      </c>
      <c r="C1781" s="473">
        <f ca="1">IF(ISERROR(VLOOKUP($A$1506,INDIRECT("notes_"&amp;LEFT($A$1506,3)),4,0)),0,VLOOKUP($A$1506,INDIRECT("notes_"&amp;LEFT($A$1506,3)),4,0))</f>
        <v>0</v>
      </c>
      <c r="H1781" s="471">
        <f t="shared" si="273"/>
        <v>2</v>
      </c>
      <c r="I1781" s="471">
        <v>1</v>
      </c>
      <c r="J1781" s="471" t="str">
        <f t="shared" si="274"/>
        <v>cultrs</v>
      </c>
      <c r="K1781" s="471" t="str">
        <f t="shared" si="275"/>
        <v>oth-inc</v>
      </c>
      <c r="L1781" s="599"/>
      <c r="M1781" s="471" t="s">
        <v>5802</v>
      </c>
      <c r="N1781" s="471" t="s">
        <v>1114</v>
      </c>
      <c r="O1781" s="471" t="s">
        <v>1113</v>
      </c>
    </row>
    <row r="1782" spans="1:15" x14ac:dyDescent="0.25">
      <c r="A1782" s="471" t="s">
        <v>6032</v>
      </c>
      <c r="B1782" s="1139">
        <f t="shared" ca="1" si="272"/>
        <v>0</v>
      </c>
      <c r="C1782" s="473">
        <f ca="1">IF(ISERROR(VLOOKUP($A$1507,INDIRECT("notes_"&amp;LEFT($A$1507,3)),4,0)),0,VLOOKUP($A$1507,INDIRECT("notes_"&amp;LEFT($A$1507,3)),4,0))</f>
        <v>0</v>
      </c>
      <c r="H1782" s="471">
        <f t="shared" si="273"/>
        <v>2</v>
      </c>
      <c r="I1782" s="471">
        <v>1</v>
      </c>
      <c r="J1782" s="471" t="str">
        <f t="shared" si="274"/>
        <v>cullib</v>
      </c>
      <c r="K1782" s="471" t="str">
        <f t="shared" si="275"/>
        <v>oth-inc</v>
      </c>
      <c r="L1782" s="599"/>
      <c r="M1782" s="471" t="s">
        <v>5802</v>
      </c>
      <c r="N1782" s="471" t="s">
        <v>1114</v>
      </c>
      <c r="O1782" s="471" t="s">
        <v>1113</v>
      </c>
    </row>
    <row r="1783" spans="1:15" x14ac:dyDescent="0.25">
      <c r="A1783" s="471" t="s">
        <v>6033</v>
      </c>
      <c r="B1783" s="1139">
        <f t="shared" ca="1" si="272"/>
        <v>0</v>
      </c>
      <c r="C1783" s="473">
        <f ca="1">IF(ISERROR(VLOOKUP($A$1508,INDIRECT("notes_"&amp;LEFT($A$1508,3)),4,0)),0,VLOOKUP($A$1508,INDIRECT("notes_"&amp;LEFT($A$1508,3)),4,0))</f>
        <v>0</v>
      </c>
      <c r="H1783" s="471">
        <f t="shared" si="273"/>
        <v>2</v>
      </c>
      <c r="I1783" s="471">
        <v>1</v>
      </c>
      <c r="J1783" s="471" t="str">
        <f t="shared" si="274"/>
        <v>cultot</v>
      </c>
      <c r="K1783" s="471" t="str">
        <f t="shared" si="275"/>
        <v>oth-inc</v>
      </c>
      <c r="L1783" s="599"/>
      <c r="M1783" s="471" t="s">
        <v>5802</v>
      </c>
      <c r="N1783" s="471" t="s">
        <v>1114</v>
      </c>
      <c r="O1783" s="471" t="s">
        <v>1113</v>
      </c>
    </row>
    <row r="1784" spans="1:15" x14ac:dyDescent="0.25">
      <c r="A1784" s="1120" t="s">
        <v>6034</v>
      </c>
      <c r="B1784" s="1139">
        <f t="shared" ca="1" si="272"/>
        <v>0</v>
      </c>
      <c r="C1784" s="473">
        <f ca="1">IF(ISERROR(VLOOKUP($A$1784,INDIRECT("notes_"&amp;LEFT($A$1784,3)),4,0)),0,VLOOKUP($A$1784,INDIRECT("notes_"&amp;LEFT($A$1784,3)),4,0))</f>
        <v>0</v>
      </c>
      <c r="H1784" s="471">
        <f t="shared" si="273"/>
        <v>2</v>
      </c>
      <c r="I1784" s="471">
        <v>1</v>
      </c>
      <c r="J1784" s="471" t="str">
        <f t="shared" ref="J1784" si="276">MID($A1784,SEARCH("-",$A1784)+1,SEARCH("#",SUBSTITUTE($A1784,"-","#",H1784),1)-(SEARCH("-",$A1784)+1))</f>
        <v>culsvmemrec</v>
      </c>
      <c r="K1784" s="471" t="str">
        <f t="shared" ref="K1784" si="277">RIGHT($A1784,LEN($A1784)-SEARCH("#",SUBSTITUTE($A1784,"-","#",H1784),1))</f>
        <v>oth-inc</v>
      </c>
      <c r="L1784" s="599"/>
      <c r="M1784" s="471" t="s">
        <v>5802</v>
      </c>
      <c r="N1784" s="471" t="s">
        <v>1114</v>
      </c>
      <c r="O1784" s="471" t="s">
        <v>1113</v>
      </c>
    </row>
    <row r="1785" spans="1:15" x14ac:dyDescent="0.25">
      <c r="A1785" s="471" t="s">
        <v>6035</v>
      </c>
      <c r="B1785" s="1139">
        <f t="shared" ca="1" si="272"/>
        <v>0</v>
      </c>
      <c r="C1785" s="473">
        <f ca="1">IF(ISERROR(VLOOKUP($A$1509,INDIRECT("notes_"&amp;LEFT($A$1509,3)),4,0)),0,VLOOKUP($A$1509,INDIRECT("notes_"&amp;LEFT($A$1509,3)),4,0))</f>
        <v>0</v>
      </c>
      <c r="H1785" s="471">
        <f t="shared" si="273"/>
        <v>2</v>
      </c>
      <c r="I1785" s="471">
        <v>1</v>
      </c>
      <c r="J1785" s="471" t="str">
        <f t="shared" si="274"/>
        <v>envcmt</v>
      </c>
      <c r="K1785" s="471" t="str">
        <f t="shared" si="275"/>
        <v>oth-inc</v>
      </c>
      <c r="L1785" s="599"/>
      <c r="M1785" s="471" t="s">
        <v>5802</v>
      </c>
      <c r="N1785" s="471" t="s">
        <v>1114</v>
      </c>
      <c r="O1785" s="471" t="s">
        <v>1113</v>
      </c>
    </row>
    <row r="1786" spans="1:15" x14ac:dyDescent="0.25">
      <c r="A1786" s="471" t="s">
        <v>6036</v>
      </c>
      <c r="B1786" s="1139">
        <f t="shared" ca="1" si="272"/>
        <v>0</v>
      </c>
      <c r="C1786" s="473">
        <f ca="1">IF(ISERROR(VLOOKUP($A$1510,INDIRECT("notes_"&amp;LEFT($A$1510,3)),4,0)),0,VLOOKUP($A$1510,INDIRECT("notes_"&amp;LEFT($A$1510,3)),4,0))</f>
        <v>0</v>
      </c>
      <c r="H1786" s="471">
        <f t="shared" si="273"/>
        <v>2</v>
      </c>
      <c r="I1786" s="471">
        <v>1</v>
      </c>
      <c r="J1786" s="471" t="str">
        <f t="shared" si="274"/>
        <v>envrgltrd</v>
      </c>
      <c r="K1786" s="471" t="str">
        <f t="shared" si="275"/>
        <v>oth-inc</v>
      </c>
      <c r="L1786" s="599"/>
      <c r="M1786" s="471" t="s">
        <v>5802</v>
      </c>
      <c r="N1786" s="471" t="s">
        <v>1114</v>
      </c>
      <c r="O1786" s="471" t="s">
        <v>1113</v>
      </c>
    </row>
    <row r="1787" spans="1:15" x14ac:dyDescent="0.25">
      <c r="A1787" s="471" t="s">
        <v>6037</v>
      </c>
      <c r="B1787" s="1139">
        <f t="shared" ca="1" si="272"/>
        <v>0</v>
      </c>
      <c r="C1787" s="473">
        <f ca="1">IF(ISERROR(VLOOKUP($A$1511,INDIRECT("notes_"&amp;LEFT($A$1511,3)),4,0)),0,VLOOKUP($A$1511,INDIRECT("notes_"&amp;LEFT($A$1511,3)),4,0))</f>
        <v>0</v>
      </c>
      <c r="H1787" s="471">
        <f t="shared" si="273"/>
        <v>2</v>
      </c>
      <c r="I1787" s="471">
        <v>1</v>
      </c>
      <c r="J1787" s="471" t="str">
        <f t="shared" si="274"/>
        <v>envrglenvwtr</v>
      </c>
      <c r="K1787" s="471" t="str">
        <f t="shared" si="275"/>
        <v>oth-inc</v>
      </c>
      <c r="L1787" s="599"/>
      <c r="M1787" s="471" t="s">
        <v>5802</v>
      </c>
      <c r="N1787" s="471" t="s">
        <v>1114</v>
      </c>
      <c r="O1787" s="471" t="s">
        <v>1113</v>
      </c>
    </row>
    <row r="1788" spans="1:15" x14ac:dyDescent="0.25">
      <c r="A1788" s="471" t="s">
        <v>6038</v>
      </c>
      <c r="B1788" s="1139">
        <f t="shared" ca="1" si="272"/>
        <v>0</v>
      </c>
      <c r="C1788" s="473">
        <f ca="1">IF(ISERROR(VLOOKUP($A$1512,INDIRECT("notes_"&amp;LEFT($A$1512,3)),4,0)),0,VLOOKUP($A$1512,INDIRECT("notes_"&amp;LEFT($A$1512,3)),4,0))</f>
        <v>0</v>
      </c>
      <c r="H1788" s="471">
        <f t="shared" si="273"/>
        <v>2</v>
      </c>
      <c r="I1788" s="471">
        <v>1</v>
      </c>
      <c r="J1788" s="471" t="str">
        <f t="shared" si="274"/>
        <v>envrglenvfd</v>
      </c>
      <c r="K1788" s="471" t="str">
        <f t="shared" si="275"/>
        <v>oth-inc</v>
      </c>
      <c r="L1788" s="599"/>
      <c r="M1788" s="471" t="s">
        <v>5802</v>
      </c>
      <c r="N1788" s="471" t="s">
        <v>1114</v>
      </c>
      <c r="O1788" s="471" t="s">
        <v>1113</v>
      </c>
    </row>
    <row r="1789" spans="1:15" x14ac:dyDescent="0.25">
      <c r="A1789" s="471" t="s">
        <v>6039</v>
      </c>
      <c r="B1789" s="1139">
        <f t="shared" ca="1" si="272"/>
        <v>0</v>
      </c>
      <c r="C1789" s="473">
        <f ca="1">IF(ISERROR(VLOOKUP($A$1513,INDIRECT("notes_"&amp;LEFT($A$1513,3)),4,0)),0,VLOOKUP($A$1513,INDIRECT("notes_"&amp;LEFT($A$1513,3)),4,0))</f>
        <v>0</v>
      </c>
      <c r="H1789" s="471">
        <f t="shared" si="273"/>
        <v>2</v>
      </c>
      <c r="I1789" s="471">
        <v>1</v>
      </c>
      <c r="J1789" s="471" t="str">
        <f t="shared" si="274"/>
        <v>envrglenvenv</v>
      </c>
      <c r="K1789" s="471" t="str">
        <f t="shared" si="275"/>
        <v>oth-inc</v>
      </c>
      <c r="L1789" s="599"/>
      <c r="M1789" s="471" t="s">
        <v>5802</v>
      </c>
      <c r="N1789" s="471" t="s">
        <v>1114</v>
      </c>
      <c r="O1789" s="471" t="s">
        <v>1113</v>
      </c>
    </row>
    <row r="1790" spans="1:15" x14ac:dyDescent="0.25">
      <c r="A1790" s="471" t="s">
        <v>6040</v>
      </c>
      <c r="B1790" s="1139">
        <f t="shared" ca="1" si="272"/>
        <v>0</v>
      </c>
      <c r="C1790" s="473">
        <f ca="1">IF(ISERROR(VLOOKUP($A$1514,INDIRECT("notes_"&amp;LEFT($A$1514,3)),4,0)),0,VLOOKUP($A$1514,INDIRECT("notes_"&amp;LEFT($A$1514,3)),4,0))</f>
        <v>0</v>
      </c>
      <c r="H1790" s="471">
        <f t="shared" ref="H1790:H1856" si="278">LEN(A1790)-LEN(SUBSTITUTE(A1790,"-",""))-I1790</f>
        <v>2</v>
      </c>
      <c r="I1790" s="471">
        <v>1</v>
      </c>
      <c r="J1790" s="471" t="str">
        <f t="shared" ref="J1790:J1856" si="279">MID($A1790,SEARCH("-",$A1790)+1,SEARCH("#",SUBSTITUTE($A1790,"-","#",H1790),1)-(SEARCH("-",$A1790)+1))</f>
        <v>envrglenvhsn</v>
      </c>
      <c r="K1790" s="471" t="str">
        <f t="shared" ref="K1790:K1856" si="280">RIGHT($A1790,LEN($A1790)-SEARCH("#",SUBSTITUTE($A1790,"-","#",H1790),1))</f>
        <v>oth-inc</v>
      </c>
      <c r="L1790" s="599"/>
      <c r="M1790" s="471" t="s">
        <v>5802</v>
      </c>
      <c r="N1790" s="471" t="s">
        <v>1114</v>
      </c>
      <c r="O1790" s="471" t="s">
        <v>1113</v>
      </c>
    </row>
    <row r="1791" spans="1:15" x14ac:dyDescent="0.25">
      <c r="A1791" s="471" t="s">
        <v>6041</v>
      </c>
      <c r="B1791" s="1139">
        <f t="shared" ca="1" si="272"/>
        <v>0</v>
      </c>
      <c r="C1791" s="473">
        <f ca="1">IF(ISERROR(VLOOKUP($A$1515,INDIRECT("notes_"&amp;LEFT($A$1515,3)),4,0)),0,VLOOKUP($A$1515,INDIRECT("notes_"&amp;LEFT($A$1515,3)),4,0))</f>
        <v>0</v>
      </c>
      <c r="H1791" s="471">
        <f t="shared" si="278"/>
        <v>2</v>
      </c>
      <c r="I1791" s="471">
        <v>1</v>
      </c>
      <c r="J1791" s="471" t="str">
        <f t="shared" si="279"/>
        <v>envrglenvhs</v>
      </c>
      <c r="K1791" s="471" t="str">
        <f t="shared" si="280"/>
        <v>oth-inc</v>
      </c>
      <c r="L1791" s="599"/>
      <c r="M1791" s="471" t="s">
        <v>5802</v>
      </c>
      <c r="N1791" s="471" t="s">
        <v>1114</v>
      </c>
      <c r="O1791" s="471" t="s">
        <v>1113</v>
      </c>
    </row>
    <row r="1792" spans="1:15" x14ac:dyDescent="0.25">
      <c r="A1792" s="471" t="s">
        <v>6042</v>
      </c>
      <c r="B1792" s="1139">
        <f t="shared" ca="1" si="272"/>
        <v>0</v>
      </c>
      <c r="C1792" s="473">
        <f ca="1">IF(ISERROR(VLOOKUP($A$1516,INDIRECT("notes_"&amp;LEFT($A$1516,3)),4,0)),0,VLOOKUP($A$1516,INDIRECT("notes_"&amp;LEFT($A$1516,3)),4,0))</f>
        <v>0</v>
      </c>
      <c r="H1792" s="471">
        <f t="shared" si="278"/>
        <v>2</v>
      </c>
      <c r="I1792" s="471">
        <v>1</v>
      </c>
      <c r="J1792" s="471" t="str">
        <f t="shared" si="279"/>
        <v>envrglenvprtxlvs</v>
      </c>
      <c r="K1792" s="471" t="str">
        <f t="shared" si="280"/>
        <v>oth-inc</v>
      </c>
      <c r="L1792" s="599"/>
      <c r="M1792" s="471" t="s">
        <v>5802</v>
      </c>
      <c r="N1792" s="471" t="s">
        <v>1114</v>
      </c>
      <c r="O1792" s="471" t="s">
        <v>1113</v>
      </c>
    </row>
    <row r="1793" spans="1:15" x14ac:dyDescent="0.25">
      <c r="A1793" s="471" t="s">
        <v>6043</v>
      </c>
      <c r="B1793" s="1139">
        <f t="shared" ca="1" si="272"/>
        <v>0</v>
      </c>
      <c r="C1793" s="473">
        <f ca="1">IF(ISERROR(VLOOKUP($A$1517,INDIRECT("notes_"&amp;LEFT($A$1517,3)),4,0)),0,VLOOKUP($A$1517,INDIRECT("notes_"&amp;LEFT($A$1517,3)),4,0))</f>
        <v>0</v>
      </c>
      <c r="H1793" s="471">
        <f t="shared" si="278"/>
        <v>2</v>
      </c>
      <c r="I1793" s="471">
        <v>1</v>
      </c>
      <c r="J1793" s="471" t="str">
        <f t="shared" si="279"/>
        <v>envrglenvprtlvs</v>
      </c>
      <c r="K1793" s="471" t="str">
        <f t="shared" si="280"/>
        <v>oth-inc</v>
      </c>
      <c r="L1793" s="599"/>
      <c r="M1793" s="471" t="s">
        <v>5802</v>
      </c>
      <c r="N1793" s="471" t="s">
        <v>1114</v>
      </c>
      <c r="O1793" s="471" t="s">
        <v>1113</v>
      </c>
    </row>
    <row r="1794" spans="1:15" x14ac:dyDescent="0.25">
      <c r="A1794" s="471" t="s">
        <v>6044</v>
      </c>
      <c r="B1794" s="1139">
        <f t="shared" ca="1" si="272"/>
        <v>0</v>
      </c>
      <c r="C1794" s="473">
        <f ca="1">IF(ISERROR(VLOOKUP($A$1518,INDIRECT("notes_"&amp;LEFT($A$1518,3)),4,0)),0,VLOOKUP($A$1518,INDIRECT("notes_"&amp;LEFT($A$1518,3)),4,0))</f>
        <v>0</v>
      </c>
      <c r="H1794" s="471">
        <f t="shared" si="278"/>
        <v>2</v>
      </c>
      <c r="I1794" s="471">
        <v>1</v>
      </c>
      <c r="J1794" s="471" t="str">
        <f t="shared" si="279"/>
        <v>envrglenvpst</v>
      </c>
      <c r="K1794" s="471" t="str">
        <f t="shared" si="280"/>
        <v>oth-inc</v>
      </c>
      <c r="L1794" s="599"/>
      <c r="M1794" s="471" t="s">
        <v>5802</v>
      </c>
      <c r="N1794" s="471" t="s">
        <v>1114</v>
      </c>
      <c r="O1794" s="471" t="s">
        <v>1113</v>
      </c>
    </row>
    <row r="1795" spans="1:15" x14ac:dyDescent="0.25">
      <c r="A1795" s="471" t="s">
        <v>6045</v>
      </c>
      <c r="B1795" s="1139">
        <f t="shared" ca="1" si="272"/>
        <v>0</v>
      </c>
      <c r="C1795" s="473">
        <f ca="1">IF(ISERROR(VLOOKUP($A$1519,INDIRECT("notes_"&amp;LEFT($A$1519,3)),4,0)),0,VLOOKUP($A$1519,INDIRECT("notes_"&amp;LEFT($A$1519,3)),4,0))</f>
        <v>0</v>
      </c>
      <c r="H1795" s="471">
        <f t="shared" si="278"/>
        <v>2</v>
      </c>
      <c r="I1795" s="471">
        <v>1</v>
      </c>
      <c r="J1795" s="471" t="str">
        <f t="shared" si="279"/>
        <v>envrglenvtlt</v>
      </c>
      <c r="K1795" s="471" t="str">
        <f t="shared" si="280"/>
        <v>oth-inc</v>
      </c>
      <c r="L1795" s="599"/>
      <c r="M1795" s="471" t="s">
        <v>5802</v>
      </c>
      <c r="N1795" s="471" t="s">
        <v>1114</v>
      </c>
      <c r="O1795" s="471" t="s">
        <v>1113</v>
      </c>
    </row>
    <row r="1796" spans="1:15" x14ac:dyDescent="0.25">
      <c r="A1796" s="471" t="s">
        <v>6046</v>
      </c>
      <c r="B1796" s="1139">
        <f t="shared" ca="1" si="272"/>
        <v>0</v>
      </c>
      <c r="C1796" s="473">
        <f ca="1">IF(ISERROR(VLOOKUP($A$1520,INDIRECT("notes_"&amp;LEFT($A$1520,3)),4,0)),0,VLOOKUP($A$1520,INDIRECT("notes_"&amp;LEFT($A$1520,3)),4,0))</f>
        <v>0</v>
      </c>
      <c r="H1796" s="471">
        <f t="shared" si="278"/>
        <v>2</v>
      </c>
      <c r="I1796" s="471">
        <v>1</v>
      </c>
      <c r="J1796" s="471" t="str">
        <f t="shared" si="279"/>
        <v>envrglenvanm</v>
      </c>
      <c r="K1796" s="471" t="str">
        <f t="shared" si="280"/>
        <v>oth-inc</v>
      </c>
      <c r="L1796" s="599"/>
      <c r="M1796" s="471" t="s">
        <v>5802</v>
      </c>
      <c r="N1796" s="471" t="s">
        <v>1114</v>
      </c>
      <c r="O1796" s="471" t="s">
        <v>1113</v>
      </c>
    </row>
    <row r="1797" spans="1:15" x14ac:dyDescent="0.25">
      <c r="A1797" s="471" t="s">
        <v>6047</v>
      </c>
      <c r="B1797" s="1139">
        <f t="shared" ca="1" si="272"/>
        <v>0</v>
      </c>
      <c r="C1797" s="473">
        <f ca="1">IF(ISERROR(VLOOKUP($A$1521,INDIRECT("notes_"&amp;LEFT($A$1521,3)),4,0)),0,VLOOKUP($A$1521,INDIRECT("notes_"&amp;LEFT($A$1521,3)),4,0))</f>
        <v>0</v>
      </c>
      <c r="H1797" s="471">
        <f t="shared" si="278"/>
        <v>2</v>
      </c>
      <c r="I1797" s="471">
        <v>1</v>
      </c>
      <c r="J1797" s="471" t="str">
        <f t="shared" si="279"/>
        <v>envrglenvlcn</v>
      </c>
      <c r="K1797" s="471" t="str">
        <f t="shared" si="280"/>
        <v>oth-inc</v>
      </c>
      <c r="L1797" s="599"/>
      <c r="M1797" s="471" t="s">
        <v>5802</v>
      </c>
      <c r="N1797" s="471" t="s">
        <v>1114</v>
      </c>
      <c r="O1797" s="471" t="s">
        <v>1113</v>
      </c>
    </row>
    <row r="1798" spans="1:15" x14ac:dyDescent="0.25">
      <c r="A1798" s="471" t="s">
        <v>6048</v>
      </c>
      <c r="B1798" s="1139">
        <f t="shared" ca="1" si="272"/>
        <v>0</v>
      </c>
      <c r="C1798" s="473">
        <f ca="1">IF(ISERROR(VLOOKUP($A$1522,INDIRECT("notes_"&amp;LEFT($A$1522,3)),4,0)),0,VLOOKUP($A$1522,INDIRECT("notes_"&amp;LEFT($A$1522,3)),4,0))</f>
        <v>0</v>
      </c>
      <c r="H1798" s="471">
        <f t="shared" si="278"/>
        <v>2</v>
      </c>
      <c r="I1798" s="471">
        <v>1</v>
      </c>
      <c r="J1798" s="471" t="str">
        <f t="shared" si="279"/>
        <v>envcmmcrm</v>
      </c>
      <c r="K1798" s="471" t="str">
        <f t="shared" si="280"/>
        <v>oth-inc</v>
      </c>
      <c r="L1798" s="599"/>
      <c r="M1798" s="471" t="s">
        <v>5802</v>
      </c>
      <c r="N1798" s="471" t="s">
        <v>1114</v>
      </c>
      <c r="O1798" s="471" t="s">
        <v>1113</v>
      </c>
    </row>
    <row r="1799" spans="1:15" x14ac:dyDescent="0.25">
      <c r="A1799" s="471" t="s">
        <v>6049</v>
      </c>
      <c r="B1799" s="1139">
        <f t="shared" ca="1" si="272"/>
        <v>0</v>
      </c>
      <c r="C1799" s="473">
        <f ca="1">IF(ISERROR(VLOOKUP($A$1523,INDIRECT("notes_"&amp;LEFT($A$1523,3)),4,0)),0,VLOOKUP($A$1523,INDIRECT("notes_"&amp;LEFT($A$1523,3)),4,0))</f>
        <v>0</v>
      </c>
      <c r="H1799" s="471">
        <f t="shared" si="278"/>
        <v>2</v>
      </c>
      <c r="I1799" s="471">
        <v>1</v>
      </c>
      <c r="J1799" s="471" t="str">
        <f t="shared" si="279"/>
        <v>envcmmsft</v>
      </c>
      <c r="K1799" s="471" t="str">
        <f t="shared" si="280"/>
        <v>oth-inc</v>
      </c>
      <c r="L1799" s="599"/>
      <c r="M1799" s="471" t="s">
        <v>5802</v>
      </c>
      <c r="N1799" s="471" t="s">
        <v>1114</v>
      </c>
      <c r="O1799" s="471" t="s">
        <v>1113</v>
      </c>
    </row>
    <row r="1800" spans="1:15" x14ac:dyDescent="0.25">
      <c r="A1800" s="471" t="s">
        <v>6050</v>
      </c>
      <c r="B1800" s="1139">
        <f t="shared" ca="1" si="272"/>
        <v>0</v>
      </c>
      <c r="C1800" s="473">
        <f ca="1">IF(ISERROR(VLOOKUP($A$1524,INDIRECT("notes_"&amp;LEFT($A$1524,3)),4,0)),0,VLOOKUP($A$1524,INDIRECT("notes_"&amp;LEFT($A$1524,3)),4,0))</f>
        <v>0</v>
      </c>
      <c r="H1800" s="471">
        <f t="shared" si="278"/>
        <v>2</v>
      </c>
      <c r="I1800" s="471">
        <v>1</v>
      </c>
      <c r="J1800" s="471" t="str">
        <f t="shared" si="279"/>
        <v>envcmmcct</v>
      </c>
      <c r="K1800" s="471" t="str">
        <f t="shared" si="280"/>
        <v>oth-inc</v>
      </c>
      <c r="L1800" s="599"/>
      <c r="M1800" s="471" t="s">
        <v>5802</v>
      </c>
      <c r="N1800" s="471" t="s">
        <v>1114</v>
      </c>
      <c r="O1800" s="471" t="s">
        <v>1113</v>
      </c>
    </row>
    <row r="1801" spans="1:15" x14ac:dyDescent="0.25">
      <c r="A1801" s="471" t="s">
        <v>6051</v>
      </c>
      <c r="B1801" s="1139">
        <f t="shared" ca="1" si="272"/>
        <v>0</v>
      </c>
      <c r="C1801" s="473">
        <f ca="1">IF(ISERROR(VLOOKUP($A$1525,INDIRECT("notes_"&amp;LEFT($A$1525,3)),4,0)),0,VLOOKUP($A$1525,INDIRECT("notes_"&amp;LEFT($A$1525,3)),4,0))</f>
        <v>0</v>
      </c>
      <c r="H1801" s="471">
        <f t="shared" si="278"/>
        <v>2</v>
      </c>
      <c r="I1801" s="471">
        <v>1</v>
      </c>
      <c r="J1801" s="471" t="str">
        <f t="shared" si="279"/>
        <v>envfldfld</v>
      </c>
      <c r="K1801" s="471" t="str">
        <f t="shared" si="280"/>
        <v>oth-inc</v>
      </c>
      <c r="L1801" s="599"/>
      <c r="M1801" s="471" t="s">
        <v>5802</v>
      </c>
      <c r="N1801" s="471" t="s">
        <v>1114</v>
      </c>
      <c r="O1801" s="471" t="s">
        <v>1113</v>
      </c>
    </row>
    <row r="1802" spans="1:15" x14ac:dyDescent="0.25">
      <c r="A1802" s="471" t="s">
        <v>6052</v>
      </c>
      <c r="B1802" s="1139">
        <f t="shared" ca="1" si="272"/>
        <v>0</v>
      </c>
      <c r="C1802" s="473">
        <f ca="1">IF(ISERROR(VLOOKUP($A$1526,INDIRECT("notes_"&amp;LEFT($A$1526,3)),4,0)),0,VLOOKUP($A$1526,INDIRECT("notes_"&amp;LEFT($A$1526,3)),4,0))</f>
        <v>0</v>
      </c>
      <c r="H1802" s="471">
        <f t="shared" si="278"/>
        <v>2</v>
      </c>
      <c r="I1802" s="471">
        <v>1</v>
      </c>
      <c r="J1802" s="471" t="str">
        <f t="shared" si="279"/>
        <v>envflddrn</v>
      </c>
      <c r="K1802" s="471" t="str">
        <f t="shared" si="280"/>
        <v>oth-inc</v>
      </c>
      <c r="L1802" s="599"/>
      <c r="M1802" s="471" t="s">
        <v>5802</v>
      </c>
      <c r="N1802" s="471" t="s">
        <v>1114</v>
      </c>
      <c r="O1802" s="471" t="s">
        <v>1113</v>
      </c>
    </row>
    <row r="1803" spans="1:15" x14ac:dyDescent="0.25">
      <c r="A1803" s="471" t="s">
        <v>6053</v>
      </c>
      <c r="B1803" s="1139">
        <f t="shared" ca="1" si="272"/>
        <v>0</v>
      </c>
      <c r="C1803" s="473">
        <f ca="1">IF(ISERROR(VLOOKUP($A$1527,INDIRECT("notes_"&amp;LEFT($A$1527,3)),4,0)),0,VLOOKUP($A$1527,INDIRECT("notes_"&amp;LEFT($A$1527,3)),4,0))</f>
        <v>0</v>
      </c>
      <c r="H1803" s="471">
        <f t="shared" si="278"/>
        <v>2</v>
      </c>
      <c r="I1803" s="471">
        <v>1</v>
      </c>
      <c r="J1803" s="471" t="str">
        <f t="shared" si="279"/>
        <v>envflddrnlev</v>
      </c>
      <c r="K1803" s="471" t="str">
        <f t="shared" si="280"/>
        <v>oth-inc</v>
      </c>
      <c r="L1803" s="599"/>
      <c r="M1803" s="471" t="s">
        <v>5802</v>
      </c>
      <c r="N1803" s="471" t="s">
        <v>1114</v>
      </c>
      <c r="O1803" s="471" t="s">
        <v>1113</v>
      </c>
    </row>
    <row r="1804" spans="1:15" x14ac:dyDescent="0.25">
      <c r="A1804" s="471" t="s">
        <v>6054</v>
      </c>
      <c r="B1804" s="1139">
        <f t="shared" ca="1" si="272"/>
        <v>0</v>
      </c>
      <c r="C1804" s="473">
        <f ca="1">IF(ISERROR(VLOOKUP($A$1528,INDIRECT("notes_"&amp;LEFT($A$1528,3)),4,0)),0,VLOOKUP($A$1528,INDIRECT("notes_"&amp;LEFT($A$1528,3)),4,0))</f>
        <v>0</v>
      </c>
      <c r="H1804" s="471">
        <f t="shared" si="278"/>
        <v>2</v>
      </c>
      <c r="I1804" s="471">
        <v>1</v>
      </c>
      <c r="J1804" s="471" t="str">
        <f t="shared" si="279"/>
        <v>envcst</v>
      </c>
      <c r="K1804" s="471" t="str">
        <f t="shared" si="280"/>
        <v>oth-inc</v>
      </c>
      <c r="L1804" s="599"/>
      <c r="M1804" s="471" t="s">
        <v>5802</v>
      </c>
      <c r="N1804" s="471" t="s">
        <v>1114</v>
      </c>
      <c r="O1804" s="471" t="s">
        <v>1113</v>
      </c>
    </row>
    <row r="1805" spans="1:15" x14ac:dyDescent="0.25">
      <c r="A1805" s="471" t="s">
        <v>6055</v>
      </c>
      <c r="B1805" s="1139">
        <f t="shared" ca="1" si="272"/>
        <v>0</v>
      </c>
      <c r="C1805" s="473">
        <f ca="1">IF(ISERROR(VLOOKUP($A$1529,INDIRECT("notes_"&amp;LEFT($A$1529,3)),4,0)),0,VLOOKUP($A$1529,INDIRECT("notes_"&amp;LEFT($A$1529,3)),4,0))</f>
        <v>0</v>
      </c>
      <c r="H1805" s="471">
        <f t="shared" si="278"/>
        <v>2</v>
      </c>
      <c r="I1805" s="471">
        <v>1</v>
      </c>
      <c r="J1805" s="471" t="str">
        <f t="shared" si="279"/>
        <v>envagr</v>
      </c>
      <c r="K1805" s="471" t="str">
        <f t="shared" si="280"/>
        <v>oth-inc</v>
      </c>
      <c r="L1805" s="599"/>
      <c r="M1805" s="471" t="s">
        <v>5802</v>
      </c>
      <c r="N1805" s="471" t="s">
        <v>1114</v>
      </c>
      <c r="O1805" s="471" t="s">
        <v>1113</v>
      </c>
    </row>
    <row r="1806" spans="1:15" x14ac:dyDescent="0.25">
      <c r="A1806" s="471" t="s">
        <v>6056</v>
      </c>
      <c r="B1806" s="1139">
        <f t="shared" ca="1" si="272"/>
        <v>0</v>
      </c>
      <c r="C1806" s="473">
        <f ca="1">IF(ISERROR(VLOOKUP($A$1530,INDIRECT("notes_"&amp;LEFT($A$1530,3)),4,0)),0,VLOOKUP($A$1530,INDIRECT("notes_"&amp;LEFT($A$1530,3)),4,0))</f>
        <v>0</v>
      </c>
      <c r="H1806" s="471">
        <f t="shared" si="278"/>
        <v>2</v>
      </c>
      <c r="I1806" s="471">
        <v>1</v>
      </c>
      <c r="J1806" s="471" t="str">
        <f t="shared" si="279"/>
        <v>envstr</v>
      </c>
      <c r="K1806" s="471" t="str">
        <f t="shared" si="280"/>
        <v>oth-inc</v>
      </c>
      <c r="L1806" s="599"/>
      <c r="M1806" s="471" t="s">
        <v>5802</v>
      </c>
      <c r="N1806" s="471" t="s">
        <v>1114</v>
      </c>
      <c r="O1806" s="471" t="s">
        <v>1113</v>
      </c>
    </row>
    <row r="1807" spans="1:15" x14ac:dyDescent="0.25">
      <c r="A1807" s="471" t="s">
        <v>6057</v>
      </c>
      <c r="B1807" s="1139">
        <f t="shared" ca="1" si="272"/>
        <v>0</v>
      </c>
      <c r="C1807" s="473">
        <f ca="1">IF(ISERROR(VLOOKUP($A$1531,INDIRECT("notes_"&amp;LEFT($A$1531,3)),4,0)),0,VLOOKUP($A$1531,INDIRECT("notes_"&amp;LEFT($A$1531,3)),4,0))</f>
        <v>0</v>
      </c>
      <c r="H1807" s="471">
        <f t="shared" si="278"/>
        <v>2</v>
      </c>
      <c r="I1807" s="471">
        <v>1</v>
      </c>
      <c r="J1807" s="471" t="str">
        <f t="shared" si="279"/>
        <v>envcll</v>
      </c>
      <c r="K1807" s="471" t="str">
        <f t="shared" si="280"/>
        <v>oth-inc</v>
      </c>
      <c r="L1807" s="599"/>
      <c r="M1807" s="471" t="s">
        <v>5802</v>
      </c>
      <c r="N1807" s="471" t="s">
        <v>1114</v>
      </c>
      <c r="O1807" s="471" t="s">
        <v>1113</v>
      </c>
    </row>
    <row r="1808" spans="1:15" x14ac:dyDescent="0.25">
      <c r="A1808" s="471" t="s">
        <v>6058</v>
      </c>
      <c r="B1808" s="1139">
        <f t="shared" ca="1" si="272"/>
        <v>0</v>
      </c>
      <c r="C1808" s="473">
        <f ca="1">IF(ISERROR(VLOOKUP($A$1532,INDIRECT("notes_"&amp;LEFT($A$1532,3)),4,0)),0,VLOOKUP($A$1532,INDIRECT("notes_"&amp;LEFT($A$1532,3)),4,0))</f>
        <v>0</v>
      </c>
      <c r="H1808" s="471">
        <f t="shared" si="278"/>
        <v>2</v>
      </c>
      <c r="I1808" s="471">
        <v>1</v>
      </c>
      <c r="J1808" s="471" t="str">
        <f t="shared" si="279"/>
        <v>envdsp</v>
      </c>
      <c r="K1808" s="471" t="str">
        <f t="shared" si="280"/>
        <v>oth-inc</v>
      </c>
      <c r="L1808" s="599"/>
      <c r="M1808" s="471" t="s">
        <v>5802</v>
      </c>
      <c r="N1808" s="471" t="s">
        <v>1114</v>
      </c>
      <c r="O1808" s="471" t="s">
        <v>1113</v>
      </c>
    </row>
    <row r="1809" spans="1:15" x14ac:dyDescent="0.25">
      <c r="A1809" s="471" t="s">
        <v>6059</v>
      </c>
      <c r="B1809" s="1139">
        <f t="shared" ca="1" si="272"/>
        <v>0</v>
      </c>
      <c r="C1809" s="473">
        <f ca="1">IF(ISERROR(VLOOKUP($A$1533,INDIRECT("notes_"&amp;LEFT($A$1533,3)),4,0)),0,VLOOKUP($A$1533,INDIRECT("notes_"&amp;LEFT($A$1533,3)),4,0))</f>
        <v>0</v>
      </c>
      <c r="H1809" s="471">
        <f t="shared" si="278"/>
        <v>2</v>
      </c>
      <c r="I1809" s="471">
        <v>1</v>
      </c>
      <c r="J1809" s="471" t="str">
        <f t="shared" si="279"/>
        <v>envtrd</v>
      </c>
      <c r="K1809" s="471" t="str">
        <f t="shared" si="280"/>
        <v>oth-inc</v>
      </c>
      <c r="L1809" s="599"/>
      <c r="M1809" s="471" t="s">
        <v>5802</v>
      </c>
      <c r="N1809" s="471" t="s">
        <v>1114</v>
      </c>
      <c r="O1809" s="471" t="s">
        <v>1113</v>
      </c>
    </row>
    <row r="1810" spans="1:15" x14ac:dyDescent="0.25">
      <c r="A1810" s="471" t="s">
        <v>6060</v>
      </c>
      <c r="B1810" s="1139">
        <f t="shared" ca="1" si="272"/>
        <v>0</v>
      </c>
      <c r="C1810" s="473">
        <f ca="1">IF(ISERROR(VLOOKUP($A$1534,INDIRECT("notes_"&amp;LEFT($A$1534,3)),4,0)),0,VLOOKUP($A$1534,INDIRECT("notes_"&amp;LEFT($A$1534,3)),4,0))</f>
        <v>0</v>
      </c>
      <c r="H1810" s="471">
        <f t="shared" si="278"/>
        <v>2</v>
      </c>
      <c r="I1810" s="471">
        <v>1</v>
      </c>
      <c r="J1810" s="471" t="str">
        <f t="shared" si="279"/>
        <v>envrcy</v>
      </c>
      <c r="K1810" s="471" t="str">
        <f t="shared" si="280"/>
        <v>oth-inc</v>
      </c>
      <c r="L1810" s="599"/>
      <c r="M1810" s="471" t="s">
        <v>5802</v>
      </c>
      <c r="N1810" s="471" t="s">
        <v>1114</v>
      </c>
      <c r="O1810" s="471" t="s">
        <v>1113</v>
      </c>
    </row>
    <row r="1811" spans="1:15" x14ac:dyDescent="0.25">
      <c r="A1811" s="471" t="s">
        <v>6061</v>
      </c>
      <c r="B1811" s="1139">
        <f t="shared" ca="1" si="272"/>
        <v>0</v>
      </c>
      <c r="C1811" s="473">
        <f ca="1">IF(ISERROR(VLOOKUP($A$1535,INDIRECT("notes_"&amp;LEFT($A$1535,3)),4,0)),0,VLOOKUP($A$1535,INDIRECT("notes_"&amp;LEFT($A$1535,3)),4,0))</f>
        <v>0</v>
      </c>
      <c r="H1811" s="471">
        <f t="shared" si="278"/>
        <v>2</v>
      </c>
      <c r="I1811" s="471">
        <v>1</v>
      </c>
      <c r="J1811" s="471" t="str">
        <f t="shared" si="279"/>
        <v>envmin</v>
      </c>
      <c r="K1811" s="471" t="str">
        <f t="shared" si="280"/>
        <v>oth-inc</v>
      </c>
      <c r="L1811" s="599"/>
      <c r="M1811" s="471" t="s">
        <v>5802</v>
      </c>
      <c r="N1811" s="471" t="s">
        <v>1114</v>
      </c>
      <c r="O1811" s="471" t="s">
        <v>1113</v>
      </c>
    </row>
    <row r="1812" spans="1:15" x14ac:dyDescent="0.25">
      <c r="A1812" s="471" t="s">
        <v>6062</v>
      </c>
      <c r="B1812" s="1139">
        <f t="shared" ca="1" si="272"/>
        <v>0</v>
      </c>
      <c r="C1812" s="473">
        <f ca="1">IF(ISERROR(VLOOKUP($A$1536,INDIRECT("notes_"&amp;LEFT($A$1536,3)),4,0)),0,VLOOKUP($A$1536,INDIRECT("notes_"&amp;LEFT($A$1536,3)),4,0))</f>
        <v>0</v>
      </c>
      <c r="H1812" s="471">
        <f t="shared" si="278"/>
        <v>2</v>
      </c>
      <c r="I1812" s="471">
        <v>1</v>
      </c>
      <c r="J1812" s="471" t="str">
        <f t="shared" si="279"/>
        <v>envclm</v>
      </c>
      <c r="K1812" s="471" t="str">
        <f t="shared" si="280"/>
        <v>oth-inc</v>
      </c>
      <c r="L1812" s="599"/>
      <c r="M1812" s="471" t="s">
        <v>5802</v>
      </c>
      <c r="N1812" s="471" t="s">
        <v>1114</v>
      </c>
      <c r="O1812" s="471" t="s">
        <v>1113</v>
      </c>
    </row>
    <row r="1813" spans="1:15" x14ac:dyDescent="0.25">
      <c r="A1813" s="471" t="s">
        <v>6063</v>
      </c>
      <c r="B1813" s="1139">
        <f t="shared" ca="1" si="272"/>
        <v>0</v>
      </c>
      <c r="C1813" s="473">
        <f ca="1">IF(ISERROR(VLOOKUP($A$1537,INDIRECT("notes_"&amp;LEFT($A$1537,3)),4,0)),0,VLOOKUP($A$1537,INDIRECT("notes_"&amp;LEFT($A$1537,3)),4,0))</f>
        <v>0</v>
      </c>
      <c r="H1813" s="471">
        <f t="shared" si="278"/>
        <v>2</v>
      </c>
      <c r="I1813" s="471">
        <v>1</v>
      </c>
      <c r="J1813" s="471" t="str">
        <f t="shared" si="279"/>
        <v>envtot</v>
      </c>
      <c r="K1813" s="471" t="str">
        <f t="shared" si="280"/>
        <v>oth-inc</v>
      </c>
      <c r="L1813" s="599"/>
      <c r="M1813" s="471" t="s">
        <v>5802</v>
      </c>
      <c r="N1813" s="471" t="s">
        <v>1114</v>
      </c>
      <c r="O1813" s="471" t="s">
        <v>1113</v>
      </c>
    </row>
    <row r="1814" spans="1:15" x14ac:dyDescent="0.25">
      <c r="A1814" s="1120" t="s">
        <v>6064</v>
      </c>
      <c r="B1814" s="1139">
        <f t="shared" ca="1" si="272"/>
        <v>0</v>
      </c>
      <c r="C1814" s="473">
        <f ca="1">IF(ISERROR(VLOOKUP($A$1814,INDIRECT("notes_"&amp;LEFT($A$1814,3)),4,0)),0,VLOOKUP($A$1814,INDIRECT("notes_"&amp;LEFT($A$1814,3)),4,0))</f>
        <v>0</v>
      </c>
      <c r="H1814" s="471">
        <f t="shared" si="278"/>
        <v>2</v>
      </c>
      <c r="I1814" s="471">
        <v>1</v>
      </c>
      <c r="J1814" s="471" t="str">
        <f t="shared" ref="J1814" si="281">MID($A1814,SEARCH("-",$A1814)+1,SEARCH("#",SUBSTITUTE($A1814,"-","#",H1814),1)-(SEARCH("-",$A1814)+1))</f>
        <v>envsvmemrec</v>
      </c>
      <c r="K1814" s="471" t="str">
        <f t="shared" ref="K1814" si="282">RIGHT($A1814,LEN($A1814)-SEARCH("#",SUBSTITUTE($A1814,"-","#",H1814),1))</f>
        <v>oth-inc</v>
      </c>
      <c r="L1814" s="599"/>
      <c r="M1814" s="471" t="s">
        <v>5802</v>
      </c>
      <c r="N1814" s="471" t="s">
        <v>1114</v>
      </c>
      <c r="O1814" s="471" t="s">
        <v>1113</v>
      </c>
    </row>
    <row r="1815" spans="1:15" x14ac:dyDescent="0.25">
      <c r="A1815" s="471" t="s">
        <v>6065</v>
      </c>
      <c r="B1815" s="1139">
        <f t="shared" ca="1" si="272"/>
        <v>0</v>
      </c>
      <c r="C1815" s="473">
        <f ca="1">IF(ISERROR(VLOOKUP($A$1538,INDIRECT("notes_"&amp;LEFT($A$1538,3)),4,0)),0,VLOOKUP($A$1538,INDIRECT("notes_"&amp;LEFT($A$1538,3)),4,0))</f>
        <v>0</v>
      </c>
      <c r="H1815" s="471">
        <f t="shared" si="278"/>
        <v>2</v>
      </c>
      <c r="I1815" s="471">
        <v>1</v>
      </c>
      <c r="J1815" s="471" t="str">
        <f t="shared" si="279"/>
        <v>planbld</v>
      </c>
      <c r="K1815" s="471" t="str">
        <f t="shared" si="280"/>
        <v>oth-inc</v>
      </c>
      <c r="L1815" s="599"/>
      <c r="M1815" s="471" t="s">
        <v>5802</v>
      </c>
      <c r="N1815" s="471" t="s">
        <v>1114</v>
      </c>
      <c r="O1815" s="471" t="s">
        <v>1113</v>
      </c>
    </row>
    <row r="1816" spans="1:15" x14ac:dyDescent="0.25">
      <c r="A1816" s="471" t="s">
        <v>6066</v>
      </c>
      <c r="B1816" s="1139">
        <f t="shared" ca="1" si="272"/>
        <v>0</v>
      </c>
      <c r="C1816" s="473">
        <f ca="1">IF(ISERROR(VLOOKUP($A$1539,INDIRECT("notes_"&amp;LEFT($A$1539,3)),4,0)),0,VLOOKUP($A$1539,INDIRECT("notes_"&amp;LEFT($A$1539,3)),4,0))</f>
        <v>0</v>
      </c>
      <c r="H1816" s="471">
        <f t="shared" si="278"/>
        <v>2</v>
      </c>
      <c r="I1816" s="471">
        <v>1</v>
      </c>
      <c r="J1816" s="471" t="str">
        <f t="shared" si="279"/>
        <v>plandvl</v>
      </c>
      <c r="K1816" s="471" t="str">
        <f t="shared" si="280"/>
        <v>oth-inc</v>
      </c>
      <c r="L1816" s="599"/>
      <c r="M1816" s="471" t="s">
        <v>5802</v>
      </c>
      <c r="N1816" s="471" t="s">
        <v>1114</v>
      </c>
      <c r="O1816" s="471" t="s">
        <v>1113</v>
      </c>
    </row>
    <row r="1817" spans="1:15" x14ac:dyDescent="0.25">
      <c r="A1817" s="471" t="s">
        <v>6067</v>
      </c>
      <c r="B1817" s="1139">
        <f t="shared" ca="1" si="272"/>
        <v>0</v>
      </c>
      <c r="C1817" s="473">
        <f ca="1">IF(ISERROR(VLOOKUP($A$1540,INDIRECT("notes_"&amp;LEFT($A$1540,3)),4,0)),0,VLOOKUP($A$1540,INDIRECT("notes_"&amp;LEFT($A$1540,3)),4,0))</f>
        <v>0</v>
      </c>
      <c r="H1817" s="471">
        <f t="shared" si="278"/>
        <v>5</v>
      </c>
      <c r="I1817" s="471">
        <v>1</v>
      </c>
      <c r="J1817" s="471" t="str">
        <f t="shared" si="279"/>
        <v>planplc-cns-lst-bld</v>
      </c>
      <c r="K1817" s="471" t="str">
        <f t="shared" si="280"/>
        <v>oth-inc</v>
      </c>
      <c r="L1817" s="599"/>
      <c r="M1817" s="471" t="s">
        <v>5802</v>
      </c>
      <c r="N1817" s="471" t="s">
        <v>1114</v>
      </c>
      <c r="O1817" s="471" t="s">
        <v>1113</v>
      </c>
    </row>
    <row r="1818" spans="1:15" x14ac:dyDescent="0.25">
      <c r="A1818" s="471" t="s">
        <v>6068</v>
      </c>
      <c r="B1818" s="1139">
        <f t="shared" ca="1" si="272"/>
        <v>0</v>
      </c>
      <c r="C1818" s="473">
        <f ca="1">IF(ISERROR(VLOOKUP($A$1541,INDIRECT("notes_"&amp;LEFT($A$1541,3)),4,0)),0,VLOOKUP($A$1541,INDIRECT("notes_"&amp;LEFT($A$1541,3)),4,0))</f>
        <v>0</v>
      </c>
      <c r="H1818" s="471">
        <f t="shared" si="278"/>
        <v>3</v>
      </c>
      <c r="I1818" s="471">
        <v>1</v>
      </c>
      <c r="J1818" s="471" t="str">
        <f t="shared" si="279"/>
        <v>planplc-oth</v>
      </c>
      <c r="K1818" s="471" t="str">
        <f t="shared" si="280"/>
        <v>oth-inc</v>
      </c>
      <c r="L1818" s="599"/>
      <c r="M1818" s="471" t="s">
        <v>5802</v>
      </c>
      <c r="N1818" s="471" t="s">
        <v>1114</v>
      </c>
      <c r="O1818" s="471" t="s">
        <v>1113</v>
      </c>
    </row>
    <row r="1819" spans="1:15" x14ac:dyDescent="0.25">
      <c r="A1819" s="471" t="s">
        <v>6069</v>
      </c>
      <c r="B1819" s="1139">
        <f t="shared" ca="1" si="272"/>
        <v>0</v>
      </c>
      <c r="C1819" s="473">
        <f ca="1">IF(ISERROR(VLOOKUP($A$1542,INDIRECT("notes_"&amp;LEFT($A$1542,3)),4,0)),0,VLOOKUP($A$1542,INDIRECT("notes_"&amp;LEFT($A$1542,3)),4,0))</f>
        <v>0</v>
      </c>
      <c r="H1819" s="471">
        <f t="shared" si="278"/>
        <v>2</v>
      </c>
      <c r="I1819" s="471">
        <v>1</v>
      </c>
      <c r="J1819" s="471" t="str">
        <f t="shared" si="279"/>
        <v>planenv</v>
      </c>
      <c r="K1819" s="471" t="str">
        <f t="shared" si="280"/>
        <v>oth-inc</v>
      </c>
      <c r="L1819" s="599"/>
      <c r="M1819" s="471" t="s">
        <v>5802</v>
      </c>
      <c r="N1819" s="471" t="s">
        <v>1114</v>
      </c>
      <c r="O1819" s="471" t="s">
        <v>1113</v>
      </c>
    </row>
    <row r="1820" spans="1:15" x14ac:dyDescent="0.25">
      <c r="A1820" s="471" t="s">
        <v>6070</v>
      </c>
      <c r="B1820" s="1139">
        <f t="shared" ca="1" si="272"/>
        <v>0</v>
      </c>
      <c r="C1820" s="473">
        <f ca="1">IF(ISERROR(VLOOKUP($A$1543,INDIRECT("notes_"&amp;LEFT($A$1543,3)),4,0)),0,VLOOKUP($A$1543,INDIRECT("notes_"&amp;LEFT($A$1543,3)),4,0))</f>
        <v>0</v>
      </c>
      <c r="H1820" s="471">
        <f t="shared" si="278"/>
        <v>2</v>
      </c>
      <c r="I1820" s="471">
        <v>1</v>
      </c>
      <c r="J1820" s="471" t="str">
        <f t="shared" si="279"/>
        <v>planecndev</v>
      </c>
      <c r="K1820" s="471" t="str">
        <f t="shared" si="280"/>
        <v>oth-inc</v>
      </c>
      <c r="L1820" s="599"/>
      <c r="M1820" s="471" t="s">
        <v>5802</v>
      </c>
      <c r="N1820" s="471" t="s">
        <v>1114</v>
      </c>
      <c r="O1820" s="471" t="s">
        <v>1113</v>
      </c>
    </row>
    <row r="1821" spans="1:15" x14ac:dyDescent="0.25">
      <c r="A1821" s="471" t="s">
        <v>6071</v>
      </c>
      <c r="B1821" s="1139">
        <f t="shared" ca="1" si="272"/>
        <v>0</v>
      </c>
      <c r="C1821" s="473">
        <f ca="1">IF(ISERROR(VLOOKUP($A$1544,INDIRECT("notes_"&amp;LEFT($A$1544,3)),4,0)),0,VLOOKUP($A$1544,INDIRECT("notes_"&amp;LEFT($A$1544,3)),4,0))</f>
        <v>0</v>
      </c>
      <c r="H1821" s="471">
        <f t="shared" si="278"/>
        <v>2</v>
      </c>
      <c r="I1821" s="471">
        <v>1</v>
      </c>
      <c r="J1821" s="471" t="str">
        <f t="shared" si="279"/>
        <v>planecnrsr</v>
      </c>
      <c r="K1821" s="471" t="str">
        <f t="shared" si="280"/>
        <v>oth-inc</v>
      </c>
      <c r="L1821" s="599"/>
      <c r="M1821" s="471" t="s">
        <v>5802</v>
      </c>
      <c r="N1821" s="471" t="s">
        <v>1114</v>
      </c>
      <c r="O1821" s="471" t="s">
        <v>1113</v>
      </c>
    </row>
    <row r="1822" spans="1:15" x14ac:dyDescent="0.25">
      <c r="A1822" s="471" t="s">
        <v>6072</v>
      </c>
      <c r="B1822" s="1139">
        <f t="shared" ca="1" si="272"/>
        <v>0</v>
      </c>
      <c r="C1822" s="473">
        <f ca="1">IF(ISERROR(VLOOKUP($A$1545,INDIRECT("notes_"&amp;LEFT($A$1545,3)),4,0)),0,VLOOKUP($A$1545,INDIRECT("notes_"&amp;LEFT($A$1545,3)),4,0))</f>
        <v>0</v>
      </c>
      <c r="H1822" s="471">
        <f t="shared" si="278"/>
        <v>2</v>
      </c>
      <c r="I1822" s="471">
        <v>1</v>
      </c>
      <c r="J1822" s="471" t="str">
        <f t="shared" si="279"/>
        <v>planbsn</v>
      </c>
      <c r="K1822" s="471" t="str">
        <f t="shared" si="280"/>
        <v>oth-inc</v>
      </c>
      <c r="L1822" s="599"/>
      <c r="M1822" s="471" t="s">
        <v>5802</v>
      </c>
      <c r="N1822" s="471" t="s">
        <v>1114</v>
      </c>
      <c r="O1822" s="471" t="s">
        <v>1113</v>
      </c>
    </row>
    <row r="1823" spans="1:15" x14ac:dyDescent="0.25">
      <c r="A1823" s="471" t="s">
        <v>6073</v>
      </c>
      <c r="B1823" s="1139">
        <f t="shared" ca="1" si="272"/>
        <v>0</v>
      </c>
      <c r="C1823" s="473">
        <f ca="1">IF(ISERROR(VLOOKUP($A$1546,INDIRECT("notes_"&amp;LEFT($A$1546,3)),4,0)),0,VLOOKUP($A$1546,INDIRECT("notes_"&amp;LEFT($A$1546,3)),4,0))</f>
        <v>0</v>
      </c>
      <c r="H1823" s="471">
        <f t="shared" si="278"/>
        <v>2</v>
      </c>
      <c r="I1823" s="471">
        <v>1</v>
      </c>
      <c r="J1823" s="471" t="str">
        <f t="shared" si="279"/>
        <v>plancmm</v>
      </c>
      <c r="K1823" s="471" t="str">
        <f t="shared" si="280"/>
        <v>oth-inc</v>
      </c>
      <c r="L1823" s="599"/>
      <c r="M1823" s="471" t="s">
        <v>5802</v>
      </c>
      <c r="N1823" s="471" t="s">
        <v>1114</v>
      </c>
      <c r="O1823" s="471" t="s">
        <v>1113</v>
      </c>
    </row>
    <row r="1824" spans="1:15" x14ac:dyDescent="0.25">
      <c r="A1824" s="471" t="s">
        <v>6074</v>
      </c>
      <c r="B1824" s="1139">
        <f t="shared" ca="1" si="272"/>
        <v>0</v>
      </c>
      <c r="C1824" s="473">
        <f ca="1">IF(ISERROR(VLOOKUP($A$1547,INDIRECT("notes_"&amp;LEFT($A$1547,3)),4,0)),0,VLOOKUP($A$1547,INDIRECT("notes_"&amp;LEFT($A$1547,3)),4,0))</f>
        <v>0</v>
      </c>
      <c r="H1824" s="471">
        <f t="shared" si="278"/>
        <v>2</v>
      </c>
      <c r="I1824" s="471">
        <v>1</v>
      </c>
      <c r="J1824" s="471" t="str">
        <f t="shared" si="279"/>
        <v>plantot</v>
      </c>
      <c r="K1824" s="471" t="str">
        <f t="shared" si="280"/>
        <v>oth-inc</v>
      </c>
      <c r="L1824" s="599"/>
      <c r="M1824" s="471" t="s">
        <v>5802</v>
      </c>
      <c r="N1824" s="471" t="s">
        <v>1114</v>
      </c>
      <c r="O1824" s="471" t="s">
        <v>1113</v>
      </c>
    </row>
    <row r="1825" spans="1:15" x14ac:dyDescent="0.25">
      <c r="A1825" s="1120" t="s">
        <v>6075</v>
      </c>
      <c r="B1825" s="1139">
        <f t="shared" ca="1" si="272"/>
        <v>0</v>
      </c>
      <c r="C1825" s="473">
        <f ca="1">IF(ISERROR(VLOOKUP($A$1825,INDIRECT("notes_"&amp;LEFT($A$1825,3)),4,0)),0,VLOOKUP($A$1825,INDIRECT("notes_"&amp;LEFT($A$1825,3)),4,0))</f>
        <v>0</v>
      </c>
      <c r="H1825" s="471">
        <f t="shared" si="278"/>
        <v>2</v>
      </c>
      <c r="I1825" s="471">
        <v>1</v>
      </c>
      <c r="J1825" s="471" t="str">
        <f t="shared" ref="J1825" si="283">MID($A1825,SEARCH("-",$A1825)+1,SEARCH("#",SUBSTITUTE($A1825,"-","#",H1825),1)-(SEARCH("-",$A1825)+1))</f>
        <v>plansvmemrec</v>
      </c>
      <c r="K1825" s="471" t="str">
        <f t="shared" ref="K1825" si="284">RIGHT($A1825,LEN($A1825)-SEARCH("#",SUBSTITUTE($A1825,"-","#",H1825),1))</f>
        <v>oth-inc</v>
      </c>
      <c r="L1825" s="599"/>
      <c r="M1825" s="471" t="s">
        <v>5802</v>
      </c>
      <c r="N1825" s="471" t="s">
        <v>1114</v>
      </c>
      <c r="O1825" s="471" t="s">
        <v>1113</v>
      </c>
    </row>
    <row r="1826" spans="1:15" x14ac:dyDescent="0.25">
      <c r="A1826" s="471" t="s">
        <v>6076</v>
      </c>
      <c r="B1826" s="1139">
        <f t="shared" ca="1" si="272"/>
        <v>0</v>
      </c>
      <c r="C1826" s="473">
        <f ca="1">IF(ISERROR(VLOOKUP($A$1548,INDIRECT("notes_"&amp;LEFT($A$1548,3)),4,0)),0,VLOOKUP($A$1548,INDIRECT("notes_"&amp;LEFT($A$1548,3)),4,0))</f>
        <v>0</v>
      </c>
      <c r="H1826" s="471">
        <f t="shared" si="278"/>
        <v>2</v>
      </c>
      <c r="I1826" s="471">
        <v>1</v>
      </c>
      <c r="J1826" s="471" t="str">
        <f t="shared" si="279"/>
        <v>culenvplantot</v>
      </c>
      <c r="K1826" s="471" t="str">
        <f t="shared" si="280"/>
        <v>oth-inc</v>
      </c>
      <c r="L1826" s="599"/>
      <c r="M1826" s="471" t="s">
        <v>5802</v>
      </c>
      <c r="N1826" s="471" t="s">
        <v>1114</v>
      </c>
      <c r="O1826" s="471" t="s">
        <v>1113</v>
      </c>
    </row>
    <row r="1827" spans="1:15" x14ac:dyDescent="0.25">
      <c r="A1827" s="1120" t="s">
        <v>6077</v>
      </c>
      <c r="B1827" s="1139">
        <f t="shared" ca="1" si="272"/>
        <v>0</v>
      </c>
      <c r="C1827" s="473">
        <f ca="1">IF(ISERROR(VLOOKUP($A$1827,INDIRECT("notes_"&amp;LEFT($A$1827,3)),4,0)),0,VLOOKUP($A$1827,INDIRECT("notes_"&amp;LEFT($A$1827,3)),4,0))</f>
        <v>0</v>
      </c>
      <c r="H1827" s="471">
        <f t="shared" si="278"/>
        <v>2</v>
      </c>
      <c r="I1827" s="471">
        <v>1</v>
      </c>
      <c r="J1827" s="471" t="str">
        <f t="shared" ref="J1827" si="285">MID($A1827,SEARCH("-",$A1827)+1,SEARCH("#",SUBSTITUTE($A1827,"-","#",H1827),1)-(SEARCH("-",$A1827)+1))</f>
        <v>culenvplantotmemrec</v>
      </c>
      <c r="K1827" s="471" t="str">
        <f t="shared" ref="K1827" si="286">RIGHT($A1827,LEN($A1827)-SEARCH("#",SUBSTITUTE($A1827,"-","#",H1827),1))</f>
        <v>oth-inc</v>
      </c>
      <c r="L1827" s="599"/>
      <c r="M1827" s="471" t="s">
        <v>5802</v>
      </c>
      <c r="N1827" s="471" t="s">
        <v>1114</v>
      </c>
      <c r="O1827" s="471" t="s">
        <v>1113</v>
      </c>
    </row>
    <row r="1828" spans="1:15" x14ac:dyDescent="0.25">
      <c r="A1828" s="471" t="s">
        <v>6078</v>
      </c>
      <c r="B1828" s="1139">
        <f t="shared" ca="1" si="272"/>
        <v>0</v>
      </c>
      <c r="C1828" s="473">
        <f ca="1">IF(ISERROR(VLOOKUP($A$1495,INDIRECT("notes_"&amp;LEFT($A$1495,3)),4,0)),0,VLOOKUP($A$1495,INDIRECT("notes_"&amp;LEFT($A$1495,3)),4,0))</f>
        <v>0</v>
      </c>
      <c r="H1828" s="471">
        <f t="shared" si="278"/>
        <v>2</v>
      </c>
      <c r="I1828" s="471">
        <v>1</v>
      </c>
      <c r="J1828" s="471" t="str">
        <f t="shared" si="279"/>
        <v>culhrtarc</v>
      </c>
      <c r="K1828" s="471" t="str">
        <f t="shared" si="280"/>
        <v>tot-inc</v>
      </c>
      <c r="L1828" s="599"/>
      <c r="M1828" s="471" t="s">
        <v>5802</v>
      </c>
      <c r="N1828" s="471" t="s">
        <v>1114</v>
      </c>
      <c r="O1828" s="471" t="s">
        <v>1113</v>
      </c>
    </row>
    <row r="1829" spans="1:15" x14ac:dyDescent="0.25">
      <c r="A1829" s="471" t="s">
        <v>6079</v>
      </c>
      <c r="B1829" s="1139">
        <f t="shared" ca="1" si="272"/>
        <v>0</v>
      </c>
      <c r="C1829" s="473">
        <f ca="1">IF(ISERROR(VLOOKUP($A$1496,INDIRECT("notes_"&amp;LEFT($A$1496,3)),4,0)),0,VLOOKUP($A$1496,INDIRECT("notes_"&amp;LEFT($A$1496,3)),4,0))</f>
        <v>0</v>
      </c>
      <c r="H1829" s="471">
        <f t="shared" si="278"/>
        <v>5</v>
      </c>
      <c r="I1829" s="471">
        <v>1</v>
      </c>
      <c r="J1829" s="471" t="str">
        <f t="shared" si="279"/>
        <v>culhrt-art-dvl-spp</v>
      </c>
      <c r="K1829" s="471" t="str">
        <f t="shared" si="280"/>
        <v>tot-inc</v>
      </c>
      <c r="L1829" s="599"/>
      <c r="M1829" s="471" t="s">
        <v>5802</v>
      </c>
      <c r="N1829" s="471" t="s">
        <v>1114</v>
      </c>
      <c r="O1829" s="471" t="s">
        <v>1113</v>
      </c>
    </row>
    <row r="1830" spans="1:15" x14ac:dyDescent="0.25">
      <c r="A1830" s="471" t="s">
        <v>6080</v>
      </c>
      <c r="B1830" s="1139">
        <f t="shared" ca="1" si="272"/>
        <v>0</v>
      </c>
      <c r="C1830" s="473">
        <f ca="1">IF(ISERROR(VLOOKUP($A$1497,INDIRECT("notes_"&amp;LEFT($A$1497,3)),4,0)),0,VLOOKUP($A$1497,INDIRECT("notes_"&amp;LEFT($A$1497,3)),4,0))</f>
        <v>0</v>
      </c>
      <c r="H1830" s="471">
        <f t="shared" si="278"/>
        <v>3</v>
      </c>
      <c r="I1830" s="471">
        <v>1</v>
      </c>
      <c r="J1830" s="471" t="str">
        <f t="shared" si="279"/>
        <v>culhrt-hrt</v>
      </c>
      <c r="K1830" s="471" t="str">
        <f t="shared" si="280"/>
        <v>tot-inc</v>
      </c>
      <c r="L1830" s="599"/>
      <c r="M1830" s="471" t="s">
        <v>5802</v>
      </c>
      <c r="N1830" s="471" t="s">
        <v>1114</v>
      </c>
      <c r="O1830" s="471" t="s">
        <v>1113</v>
      </c>
    </row>
    <row r="1831" spans="1:15" x14ac:dyDescent="0.25">
      <c r="A1831" s="471" t="s">
        <v>6081</v>
      </c>
      <c r="B1831" s="1139">
        <f t="shared" ca="1" si="272"/>
        <v>0</v>
      </c>
      <c r="C1831" s="473">
        <f ca="1">IF(ISERROR(VLOOKUP($A$1498,INDIRECT("notes_"&amp;LEFT($A$1498,3)),4,0)),0,VLOOKUP($A$1498,INDIRECT("notes_"&amp;LEFT($A$1498,3)),4,0))</f>
        <v>0</v>
      </c>
      <c r="H1831" s="471">
        <f t="shared" si="278"/>
        <v>4</v>
      </c>
      <c r="I1831" s="471">
        <v>1</v>
      </c>
      <c r="J1831" s="471" t="str">
        <f t="shared" si="279"/>
        <v>culhrt-msm-gll</v>
      </c>
      <c r="K1831" s="471" t="str">
        <f t="shared" si="280"/>
        <v>tot-inc</v>
      </c>
      <c r="L1831" s="599"/>
      <c r="M1831" s="471" t="s">
        <v>5802</v>
      </c>
      <c r="N1831" s="471" t="s">
        <v>1114</v>
      </c>
      <c r="O1831" s="471" t="s">
        <v>1113</v>
      </c>
    </row>
    <row r="1832" spans="1:15" x14ac:dyDescent="0.25">
      <c r="A1832" s="471" t="s">
        <v>6082</v>
      </c>
      <c r="B1832" s="1139">
        <f t="shared" ca="1" si="272"/>
        <v>0</v>
      </c>
      <c r="C1832" s="473">
        <f ca="1">IF(ISERROR(VLOOKUP($A$1499,INDIRECT("notes_"&amp;LEFT($A$1499,3)),4,0)),0,VLOOKUP($A$1499,INDIRECT("notes_"&amp;LEFT($A$1499,3)),4,0))</f>
        <v>0</v>
      </c>
      <c r="H1832" s="471">
        <f t="shared" si="278"/>
        <v>5</v>
      </c>
      <c r="I1832" s="471">
        <v>1</v>
      </c>
      <c r="J1832" s="471" t="str">
        <f t="shared" si="279"/>
        <v>culhrt-tht-pbl-ent</v>
      </c>
      <c r="K1832" s="471" t="str">
        <f t="shared" si="280"/>
        <v>tot-inc</v>
      </c>
      <c r="L1832" s="599"/>
      <c r="M1832" s="471" t="s">
        <v>5802</v>
      </c>
      <c r="N1832" s="471" t="s">
        <v>1114</v>
      </c>
      <c r="O1832" s="471" t="s">
        <v>1113</v>
      </c>
    </row>
    <row r="1833" spans="1:15" x14ac:dyDescent="0.25">
      <c r="A1833" s="471" t="s">
        <v>6083</v>
      </c>
      <c r="B1833" s="1139">
        <f t="shared" ca="1" si="272"/>
        <v>0</v>
      </c>
      <c r="C1833" s="473">
        <f ca="1">IF(ISERROR(VLOOKUP($A$1500,INDIRECT("notes_"&amp;LEFT($A$1500,3)),4,0)),0,VLOOKUP($A$1500,INDIRECT("notes_"&amp;LEFT($A$1500,3)),4,0))</f>
        <v>0</v>
      </c>
      <c r="H1833" s="471">
        <f t="shared" si="278"/>
        <v>6</v>
      </c>
      <c r="I1833" s="471">
        <v>1</v>
      </c>
      <c r="J1833" s="471" t="str">
        <f t="shared" si="279"/>
        <v>culspr-cmm-cen-pub-hll</v>
      </c>
      <c r="K1833" s="471" t="str">
        <f t="shared" si="280"/>
        <v>tot-inc</v>
      </c>
      <c r="L1833" s="599"/>
      <c r="M1833" s="471" t="s">
        <v>5802</v>
      </c>
      <c r="N1833" s="471" t="s">
        <v>1114</v>
      </c>
      <c r="O1833" s="471" t="s">
        <v>1113</v>
      </c>
    </row>
    <row r="1834" spans="1:15" x14ac:dyDescent="0.25">
      <c r="A1834" s="471" t="s">
        <v>6084</v>
      </c>
      <c r="B1834" s="1139">
        <f t="shared" ca="1" si="272"/>
        <v>0</v>
      </c>
      <c r="C1834" s="473">
        <f ca="1">IF(ISERROR(VLOOKUP($A$1501,INDIRECT("notes_"&amp;LEFT($A$1501,3)),4,0)),0,VLOOKUP($A$1501,INDIRECT("notes_"&amp;LEFT($A$1501,3)),4,0))</f>
        <v>0</v>
      </c>
      <c r="H1834" s="471">
        <f t="shared" si="278"/>
        <v>3</v>
      </c>
      <c r="I1834" s="471">
        <v>1</v>
      </c>
      <c r="J1834" s="471" t="str">
        <f t="shared" si="279"/>
        <v>culspr-frs</v>
      </c>
      <c r="K1834" s="471" t="str">
        <f t="shared" si="280"/>
        <v>tot-inc</v>
      </c>
      <c r="L1834" s="599"/>
      <c r="M1834" s="471" t="s">
        <v>5802</v>
      </c>
      <c r="N1834" s="471" t="s">
        <v>1114</v>
      </c>
      <c r="O1834" s="471" t="s">
        <v>1113</v>
      </c>
    </row>
    <row r="1835" spans="1:15" x14ac:dyDescent="0.25">
      <c r="A1835" s="471" t="s">
        <v>6085</v>
      </c>
      <c r="B1835" s="1139">
        <f t="shared" ca="1" si="272"/>
        <v>0</v>
      </c>
      <c r="C1835" s="473">
        <f ca="1">IF(ISERROR(VLOOKUP($A$1502,INDIRECT("notes_"&amp;LEFT($A$1502,3)),4,0)),0,VLOOKUP($A$1502,INDIRECT("notes_"&amp;LEFT($A$1502,3)),4,0))</f>
        <v>0</v>
      </c>
      <c r="H1835" s="471">
        <f t="shared" si="278"/>
        <v>6</v>
      </c>
      <c r="I1835" s="471">
        <v>1</v>
      </c>
      <c r="J1835" s="471" t="str">
        <f t="shared" si="279"/>
        <v>culspr-spr-dvl-cmm-rec</v>
      </c>
      <c r="K1835" s="471" t="str">
        <f t="shared" si="280"/>
        <v>tot-inc</v>
      </c>
      <c r="L1835" s="599"/>
      <c r="M1835" s="471" t="s">
        <v>5802</v>
      </c>
      <c r="N1835" s="471" t="s">
        <v>1114</v>
      </c>
      <c r="O1835" s="471" t="s">
        <v>1113</v>
      </c>
    </row>
    <row r="1836" spans="1:15" x14ac:dyDescent="0.25">
      <c r="A1836" s="471" t="s">
        <v>6086</v>
      </c>
      <c r="B1836" s="1139">
        <f t="shared" ca="1" si="272"/>
        <v>0</v>
      </c>
      <c r="C1836" s="473">
        <f ca="1">IF(ISERROR(VLOOKUP($A$1503,INDIRECT("notes_"&amp;LEFT($A$1503,3)),4,0)),0,VLOOKUP($A$1503,INDIRECT("notes_"&amp;LEFT($A$1503,3)),4,0))</f>
        <v>0</v>
      </c>
      <c r="H1836" s="471">
        <f t="shared" si="278"/>
        <v>5</v>
      </c>
      <c r="I1836" s="471">
        <v>1</v>
      </c>
      <c r="J1836" s="471" t="str">
        <f t="shared" si="279"/>
        <v>culspr-spr-lsr-fcl</v>
      </c>
      <c r="K1836" s="471" t="str">
        <f t="shared" si="280"/>
        <v>tot-inc</v>
      </c>
      <c r="L1836" s="599"/>
      <c r="M1836" s="471" t="s">
        <v>5802</v>
      </c>
      <c r="N1836" s="471" t="s">
        <v>1114</v>
      </c>
      <c r="O1836" s="471" t="s">
        <v>1113</v>
      </c>
    </row>
    <row r="1837" spans="1:15" x14ac:dyDescent="0.25">
      <c r="A1837" s="471" t="s">
        <v>6087</v>
      </c>
      <c r="B1837" s="1139">
        <f t="shared" ref="B1837:B1900" ca="1" si="287">INDEX(INDIRECT(LEFT($A1837,SEARCH("-",$A1837,1)-1)&amp;"_data"),MATCH(MID($A1837,SEARCH("-",$A1837)+1,SEARCH("#",SUBSTITUTE($A1837,"-","#",H1837),1)-(SEARCH("-",$A1837)+1)),INDIRECT(LEFT($A1837,SEARCH("-",$A1837,1)-1)&amp;"_rows"),0),MATCH(RIGHT($A1837,LEN($A1837)-SEARCH("#",SUBSTITUTE($A1837,"-","#",H1837),1)),INDIRECT(LEFT($A1837,SEARCH("-",$A1837,1)-1)&amp;"_Header"),0))</f>
        <v>0</v>
      </c>
      <c r="C1837" s="473">
        <f ca="1">IF(ISERROR(VLOOKUP($A$1504,INDIRECT("notes_"&amp;LEFT($A$1504,3)),4,0)),0,VLOOKUP($A$1504,INDIRECT("notes_"&amp;LEFT($A$1504,3)),4,0))</f>
        <v>0</v>
      </c>
      <c r="H1837" s="471">
        <f t="shared" si="278"/>
        <v>3</v>
      </c>
      <c r="I1837" s="471">
        <v>1</v>
      </c>
      <c r="J1837" s="471" t="str">
        <f t="shared" si="279"/>
        <v>culprk-opn</v>
      </c>
      <c r="K1837" s="471" t="str">
        <f t="shared" si="280"/>
        <v>tot-inc</v>
      </c>
      <c r="L1837" s="599"/>
      <c r="M1837" s="471" t="s">
        <v>5802</v>
      </c>
      <c r="N1837" s="471" t="s">
        <v>1114</v>
      </c>
      <c r="O1837" s="471" t="s">
        <v>1113</v>
      </c>
    </row>
    <row r="1838" spans="1:15" x14ac:dyDescent="0.25">
      <c r="A1838" s="471" t="s">
        <v>6088</v>
      </c>
      <c r="B1838" s="1139">
        <f t="shared" ca="1" si="287"/>
        <v>0</v>
      </c>
      <c r="C1838" s="473">
        <f ca="1">IF(ISERROR(VLOOKUP($A$1505,INDIRECT("notes_"&amp;LEFT($A$1505,3)),4,0)),0,VLOOKUP($A$1505,INDIRECT("notes_"&amp;LEFT($A$1505,3)),4,0))</f>
        <v>0</v>
      </c>
      <c r="H1838" s="471">
        <f t="shared" si="278"/>
        <v>2</v>
      </c>
      <c r="I1838" s="471">
        <v>1</v>
      </c>
      <c r="J1838" s="471" t="str">
        <f t="shared" si="279"/>
        <v>culall</v>
      </c>
      <c r="K1838" s="471" t="str">
        <f t="shared" si="280"/>
        <v>tot-inc</v>
      </c>
      <c r="L1838" s="599"/>
      <c r="M1838" s="471" t="s">
        <v>5802</v>
      </c>
      <c r="N1838" s="471" t="s">
        <v>1114</v>
      </c>
      <c r="O1838" s="471" t="s">
        <v>1113</v>
      </c>
    </row>
    <row r="1839" spans="1:15" x14ac:dyDescent="0.25">
      <c r="A1839" s="471" t="s">
        <v>6089</v>
      </c>
      <c r="B1839" s="1139">
        <f t="shared" ca="1" si="287"/>
        <v>0</v>
      </c>
      <c r="C1839" s="473">
        <f ca="1">IF(ISERROR(VLOOKUP($A$1506,INDIRECT("notes_"&amp;LEFT($A$1506,3)),4,0)),0,VLOOKUP($A$1506,INDIRECT("notes_"&amp;LEFT($A$1506,3)),4,0))</f>
        <v>0</v>
      </c>
      <c r="H1839" s="471">
        <f t="shared" si="278"/>
        <v>2</v>
      </c>
      <c r="I1839" s="471">
        <v>1</v>
      </c>
      <c r="J1839" s="471" t="str">
        <f t="shared" si="279"/>
        <v>cultrs</v>
      </c>
      <c r="K1839" s="471" t="str">
        <f t="shared" si="280"/>
        <v>tot-inc</v>
      </c>
      <c r="L1839" s="599"/>
      <c r="M1839" s="471" t="s">
        <v>5802</v>
      </c>
      <c r="N1839" s="471" t="s">
        <v>1114</v>
      </c>
      <c r="O1839" s="471" t="s">
        <v>1113</v>
      </c>
    </row>
    <row r="1840" spans="1:15" x14ac:dyDescent="0.25">
      <c r="A1840" s="471" t="s">
        <v>6090</v>
      </c>
      <c r="B1840" s="1139">
        <f t="shared" ca="1" si="287"/>
        <v>0</v>
      </c>
      <c r="C1840" s="473">
        <f ca="1">IF(ISERROR(VLOOKUP($A$1507,INDIRECT("notes_"&amp;LEFT($A$1507,3)),4,0)),0,VLOOKUP($A$1507,INDIRECT("notes_"&amp;LEFT($A$1507,3)),4,0))</f>
        <v>0</v>
      </c>
      <c r="H1840" s="471">
        <f t="shared" si="278"/>
        <v>2</v>
      </c>
      <c r="I1840" s="471">
        <v>1</v>
      </c>
      <c r="J1840" s="471" t="str">
        <f t="shared" si="279"/>
        <v>cullib</v>
      </c>
      <c r="K1840" s="471" t="str">
        <f t="shared" si="280"/>
        <v>tot-inc</v>
      </c>
      <c r="L1840" s="599"/>
      <c r="M1840" s="471" t="s">
        <v>5802</v>
      </c>
      <c r="N1840" s="471" t="s">
        <v>1114</v>
      </c>
      <c r="O1840" s="471" t="s">
        <v>1113</v>
      </c>
    </row>
    <row r="1841" spans="1:15" x14ac:dyDescent="0.25">
      <c r="A1841" s="471" t="s">
        <v>6091</v>
      </c>
      <c r="B1841" s="1139">
        <f t="shared" ca="1" si="287"/>
        <v>0</v>
      </c>
      <c r="C1841" s="473">
        <f ca="1">IF(ISERROR(VLOOKUP($A$1508,INDIRECT("notes_"&amp;LEFT($A$1508,3)),4,0)),0,VLOOKUP($A$1508,INDIRECT("notes_"&amp;LEFT($A$1508,3)),4,0))</f>
        <v>0</v>
      </c>
      <c r="H1841" s="471">
        <f t="shared" si="278"/>
        <v>2</v>
      </c>
      <c r="I1841" s="471">
        <v>1</v>
      </c>
      <c r="J1841" s="471" t="str">
        <f t="shared" si="279"/>
        <v>cultot</v>
      </c>
      <c r="K1841" s="471" t="str">
        <f t="shared" si="280"/>
        <v>tot-inc</v>
      </c>
      <c r="L1841" s="599"/>
      <c r="M1841" s="471" t="s">
        <v>5802</v>
      </c>
      <c r="N1841" s="471" t="s">
        <v>1114</v>
      </c>
      <c r="O1841" s="471" t="s">
        <v>1113</v>
      </c>
    </row>
    <row r="1842" spans="1:15" x14ac:dyDescent="0.25">
      <c r="A1842" s="471" t="s">
        <v>6092</v>
      </c>
      <c r="B1842" s="1139">
        <f t="shared" ca="1" si="287"/>
        <v>0</v>
      </c>
      <c r="C1842" s="473">
        <f ca="1">IF(ISERROR(VLOOKUP($A$1509,INDIRECT("notes_"&amp;LEFT($A$1509,3)),4,0)),0,VLOOKUP($A$1509,INDIRECT("notes_"&amp;LEFT($A$1509,3)),4,0))</f>
        <v>0</v>
      </c>
      <c r="H1842" s="471">
        <f t="shared" si="278"/>
        <v>2</v>
      </c>
      <c r="I1842" s="471">
        <v>1</v>
      </c>
      <c r="J1842" s="471" t="str">
        <f t="shared" si="279"/>
        <v>envcmt</v>
      </c>
      <c r="K1842" s="471" t="str">
        <f t="shared" si="280"/>
        <v>tot-inc</v>
      </c>
      <c r="L1842" s="599"/>
      <c r="M1842" s="471" t="s">
        <v>5802</v>
      </c>
      <c r="N1842" s="471" t="s">
        <v>1114</v>
      </c>
      <c r="O1842" s="471" t="s">
        <v>1113</v>
      </c>
    </row>
    <row r="1843" spans="1:15" x14ac:dyDescent="0.25">
      <c r="A1843" s="471" t="s">
        <v>6093</v>
      </c>
      <c r="B1843" s="1139">
        <f t="shared" ca="1" si="287"/>
        <v>0</v>
      </c>
      <c r="C1843" s="473">
        <f ca="1">IF(ISERROR(VLOOKUP($A$1510,INDIRECT("notes_"&amp;LEFT($A$1510,3)),4,0)),0,VLOOKUP($A$1510,INDIRECT("notes_"&amp;LEFT($A$1510,3)),4,0))</f>
        <v>0</v>
      </c>
      <c r="H1843" s="471">
        <f t="shared" si="278"/>
        <v>2</v>
      </c>
      <c r="I1843" s="471">
        <v>1</v>
      </c>
      <c r="J1843" s="471" t="str">
        <f t="shared" si="279"/>
        <v>envrgltrd</v>
      </c>
      <c r="K1843" s="471" t="str">
        <f t="shared" si="280"/>
        <v>tot-inc</v>
      </c>
      <c r="L1843" s="599"/>
      <c r="M1843" s="471" t="s">
        <v>5802</v>
      </c>
      <c r="N1843" s="471" t="s">
        <v>1114</v>
      </c>
      <c r="O1843" s="471" t="s">
        <v>1113</v>
      </c>
    </row>
    <row r="1844" spans="1:15" x14ac:dyDescent="0.25">
      <c r="A1844" s="471" t="s">
        <v>6094</v>
      </c>
      <c r="B1844" s="1139">
        <f t="shared" ca="1" si="287"/>
        <v>0</v>
      </c>
      <c r="C1844" s="473">
        <f ca="1">IF(ISERROR(VLOOKUP($A$1511,INDIRECT("notes_"&amp;LEFT($A$1511,3)),4,0)),0,VLOOKUP($A$1511,INDIRECT("notes_"&amp;LEFT($A$1511,3)),4,0))</f>
        <v>0</v>
      </c>
      <c r="H1844" s="471">
        <f t="shared" si="278"/>
        <v>2</v>
      </c>
      <c r="I1844" s="471">
        <v>1</v>
      </c>
      <c r="J1844" s="471" t="str">
        <f t="shared" si="279"/>
        <v>envrglenvwtr</v>
      </c>
      <c r="K1844" s="471" t="str">
        <f t="shared" si="280"/>
        <v>tot-inc</v>
      </c>
      <c r="L1844" s="599"/>
      <c r="M1844" s="471" t="s">
        <v>5802</v>
      </c>
      <c r="N1844" s="471" t="s">
        <v>1114</v>
      </c>
      <c r="O1844" s="471" t="s">
        <v>1113</v>
      </c>
    </row>
    <row r="1845" spans="1:15" x14ac:dyDescent="0.25">
      <c r="A1845" s="471" t="s">
        <v>6095</v>
      </c>
      <c r="B1845" s="1139">
        <f t="shared" ca="1" si="287"/>
        <v>0</v>
      </c>
      <c r="C1845" s="473">
        <f ca="1">IF(ISERROR(VLOOKUP($A$1512,INDIRECT("notes_"&amp;LEFT($A$1512,3)),4,0)),0,VLOOKUP($A$1512,INDIRECT("notes_"&amp;LEFT($A$1512,3)),4,0))</f>
        <v>0</v>
      </c>
      <c r="H1845" s="471">
        <f t="shared" si="278"/>
        <v>2</v>
      </c>
      <c r="I1845" s="471">
        <v>1</v>
      </c>
      <c r="J1845" s="471" t="str">
        <f t="shared" si="279"/>
        <v>envrglenvfd</v>
      </c>
      <c r="K1845" s="471" t="str">
        <f t="shared" si="280"/>
        <v>tot-inc</v>
      </c>
      <c r="L1845" s="599"/>
      <c r="M1845" s="471" t="s">
        <v>5802</v>
      </c>
      <c r="N1845" s="471" t="s">
        <v>1114</v>
      </c>
      <c r="O1845" s="471" t="s">
        <v>1113</v>
      </c>
    </row>
    <row r="1846" spans="1:15" x14ac:dyDescent="0.25">
      <c r="A1846" s="471" t="s">
        <v>6096</v>
      </c>
      <c r="B1846" s="1139">
        <f t="shared" ca="1" si="287"/>
        <v>0</v>
      </c>
      <c r="C1846" s="473">
        <f ca="1">IF(ISERROR(VLOOKUP($A$1513,INDIRECT("notes_"&amp;LEFT($A$1513,3)),4,0)),0,VLOOKUP($A$1513,INDIRECT("notes_"&amp;LEFT($A$1513,3)),4,0))</f>
        <v>0</v>
      </c>
      <c r="H1846" s="471">
        <f t="shared" si="278"/>
        <v>2</v>
      </c>
      <c r="I1846" s="471">
        <v>1</v>
      </c>
      <c r="J1846" s="471" t="str">
        <f t="shared" si="279"/>
        <v>envrglenvenv</v>
      </c>
      <c r="K1846" s="471" t="str">
        <f t="shared" si="280"/>
        <v>tot-inc</v>
      </c>
      <c r="L1846" s="599"/>
      <c r="M1846" s="471" t="s">
        <v>5802</v>
      </c>
      <c r="N1846" s="471" t="s">
        <v>1114</v>
      </c>
      <c r="O1846" s="471" t="s">
        <v>1113</v>
      </c>
    </row>
    <row r="1847" spans="1:15" x14ac:dyDescent="0.25">
      <c r="A1847" s="471" t="s">
        <v>6097</v>
      </c>
      <c r="B1847" s="1139">
        <f t="shared" ca="1" si="287"/>
        <v>0</v>
      </c>
      <c r="C1847" s="473">
        <f ca="1">IF(ISERROR(VLOOKUP($A$1514,INDIRECT("notes_"&amp;LEFT($A$1514,3)),4,0)),0,VLOOKUP($A$1514,INDIRECT("notes_"&amp;LEFT($A$1514,3)),4,0))</f>
        <v>0</v>
      </c>
      <c r="H1847" s="471">
        <f t="shared" si="278"/>
        <v>2</v>
      </c>
      <c r="I1847" s="471">
        <v>1</v>
      </c>
      <c r="J1847" s="471" t="str">
        <f t="shared" si="279"/>
        <v>envrglenvhsn</v>
      </c>
      <c r="K1847" s="471" t="str">
        <f t="shared" si="280"/>
        <v>tot-inc</v>
      </c>
      <c r="L1847" s="599"/>
      <c r="M1847" s="471" t="s">
        <v>5802</v>
      </c>
      <c r="N1847" s="471" t="s">
        <v>1114</v>
      </c>
      <c r="O1847" s="471" t="s">
        <v>1113</v>
      </c>
    </row>
    <row r="1848" spans="1:15" x14ac:dyDescent="0.25">
      <c r="A1848" s="471" t="s">
        <v>6098</v>
      </c>
      <c r="B1848" s="1139">
        <f t="shared" ca="1" si="287"/>
        <v>0</v>
      </c>
      <c r="C1848" s="473">
        <f ca="1">IF(ISERROR(VLOOKUP($A$1515,INDIRECT("notes_"&amp;LEFT($A$1515,3)),4,0)),0,VLOOKUP($A$1515,INDIRECT("notes_"&amp;LEFT($A$1515,3)),4,0))</f>
        <v>0</v>
      </c>
      <c r="H1848" s="471">
        <f t="shared" si="278"/>
        <v>2</v>
      </c>
      <c r="I1848" s="471">
        <v>1</v>
      </c>
      <c r="J1848" s="471" t="str">
        <f t="shared" si="279"/>
        <v>envrglenvhs</v>
      </c>
      <c r="K1848" s="471" t="str">
        <f t="shared" si="280"/>
        <v>tot-inc</v>
      </c>
      <c r="L1848" s="599"/>
      <c r="M1848" s="471" t="s">
        <v>5802</v>
      </c>
      <c r="N1848" s="471" t="s">
        <v>1114</v>
      </c>
      <c r="O1848" s="471" t="s">
        <v>1113</v>
      </c>
    </row>
    <row r="1849" spans="1:15" x14ac:dyDescent="0.25">
      <c r="A1849" s="471" t="s">
        <v>6099</v>
      </c>
      <c r="B1849" s="1139">
        <f t="shared" ca="1" si="287"/>
        <v>0</v>
      </c>
      <c r="C1849" s="473">
        <f ca="1">IF(ISERROR(VLOOKUP($A$1516,INDIRECT("notes_"&amp;LEFT($A$1516,3)),4,0)),0,VLOOKUP($A$1516,INDIRECT("notes_"&amp;LEFT($A$1516,3)),4,0))</f>
        <v>0</v>
      </c>
      <c r="H1849" s="471">
        <f t="shared" si="278"/>
        <v>2</v>
      </c>
      <c r="I1849" s="471">
        <v>1</v>
      </c>
      <c r="J1849" s="471" t="str">
        <f t="shared" si="279"/>
        <v>envrglenvprtxlvs</v>
      </c>
      <c r="K1849" s="471" t="str">
        <f t="shared" si="280"/>
        <v>tot-inc</v>
      </c>
      <c r="L1849" s="599"/>
      <c r="M1849" s="471" t="s">
        <v>5802</v>
      </c>
      <c r="N1849" s="471" t="s">
        <v>1114</v>
      </c>
      <c r="O1849" s="471" t="s">
        <v>1113</v>
      </c>
    </row>
    <row r="1850" spans="1:15" x14ac:dyDescent="0.25">
      <c r="A1850" s="471" t="s">
        <v>6100</v>
      </c>
      <c r="B1850" s="1139">
        <f t="shared" ca="1" si="287"/>
        <v>0</v>
      </c>
      <c r="C1850" s="473">
        <f ca="1">IF(ISERROR(VLOOKUP($A$1517,INDIRECT("notes_"&amp;LEFT($A$1517,3)),4,0)),0,VLOOKUP($A$1517,INDIRECT("notes_"&amp;LEFT($A$1517,3)),4,0))</f>
        <v>0</v>
      </c>
      <c r="H1850" s="471">
        <f t="shared" si="278"/>
        <v>2</v>
      </c>
      <c r="I1850" s="471">
        <v>1</v>
      </c>
      <c r="J1850" s="471" t="str">
        <f t="shared" si="279"/>
        <v>envrglenvprtlvs</v>
      </c>
      <c r="K1850" s="471" t="str">
        <f t="shared" si="280"/>
        <v>tot-inc</v>
      </c>
      <c r="L1850" s="599"/>
      <c r="M1850" s="471" t="s">
        <v>5802</v>
      </c>
      <c r="N1850" s="471" t="s">
        <v>1114</v>
      </c>
      <c r="O1850" s="471" t="s">
        <v>1113</v>
      </c>
    </row>
    <row r="1851" spans="1:15" x14ac:dyDescent="0.25">
      <c r="A1851" s="471" t="s">
        <v>6101</v>
      </c>
      <c r="B1851" s="1139">
        <f t="shared" ca="1" si="287"/>
        <v>0</v>
      </c>
      <c r="C1851" s="473">
        <f ca="1">IF(ISERROR(VLOOKUP($A$1518,INDIRECT("notes_"&amp;LEFT($A$1518,3)),4,0)),0,VLOOKUP($A$1518,INDIRECT("notes_"&amp;LEFT($A$1518,3)),4,0))</f>
        <v>0</v>
      </c>
      <c r="H1851" s="471">
        <f t="shared" si="278"/>
        <v>2</v>
      </c>
      <c r="I1851" s="471">
        <v>1</v>
      </c>
      <c r="J1851" s="471" t="str">
        <f t="shared" si="279"/>
        <v>envrglenvpst</v>
      </c>
      <c r="K1851" s="471" t="str">
        <f t="shared" si="280"/>
        <v>tot-inc</v>
      </c>
      <c r="L1851" s="599"/>
      <c r="M1851" s="471" t="s">
        <v>5802</v>
      </c>
      <c r="N1851" s="471" t="s">
        <v>1114</v>
      </c>
      <c r="O1851" s="471" t="s">
        <v>1113</v>
      </c>
    </row>
    <row r="1852" spans="1:15" x14ac:dyDescent="0.25">
      <c r="A1852" s="471" t="s">
        <v>6102</v>
      </c>
      <c r="B1852" s="1139">
        <f t="shared" ca="1" si="287"/>
        <v>0</v>
      </c>
      <c r="C1852" s="473">
        <f ca="1">IF(ISERROR(VLOOKUP($A$1519,INDIRECT("notes_"&amp;LEFT($A$1519,3)),4,0)),0,VLOOKUP($A$1519,INDIRECT("notes_"&amp;LEFT($A$1519,3)),4,0))</f>
        <v>0</v>
      </c>
      <c r="H1852" s="471">
        <f t="shared" si="278"/>
        <v>2</v>
      </c>
      <c r="I1852" s="471">
        <v>1</v>
      </c>
      <c r="J1852" s="471" t="str">
        <f t="shared" si="279"/>
        <v>envrglenvtlt</v>
      </c>
      <c r="K1852" s="471" t="str">
        <f t="shared" si="280"/>
        <v>tot-inc</v>
      </c>
      <c r="L1852" s="599"/>
      <c r="M1852" s="471" t="s">
        <v>5802</v>
      </c>
      <c r="N1852" s="471" t="s">
        <v>1114</v>
      </c>
      <c r="O1852" s="471" t="s">
        <v>1113</v>
      </c>
    </row>
    <row r="1853" spans="1:15" x14ac:dyDescent="0.25">
      <c r="A1853" s="471" t="s">
        <v>6103</v>
      </c>
      <c r="B1853" s="1139">
        <f t="shared" ca="1" si="287"/>
        <v>0</v>
      </c>
      <c r="C1853" s="473">
        <f ca="1">IF(ISERROR(VLOOKUP($A$1520,INDIRECT("notes_"&amp;LEFT($A$1520,3)),4,0)),0,VLOOKUP($A$1520,INDIRECT("notes_"&amp;LEFT($A$1520,3)),4,0))</f>
        <v>0</v>
      </c>
      <c r="H1853" s="471">
        <f t="shared" si="278"/>
        <v>2</v>
      </c>
      <c r="I1853" s="471">
        <v>1</v>
      </c>
      <c r="J1853" s="471" t="str">
        <f t="shared" si="279"/>
        <v>envrglenvanm</v>
      </c>
      <c r="K1853" s="471" t="str">
        <f t="shared" si="280"/>
        <v>tot-inc</v>
      </c>
      <c r="L1853" s="599"/>
      <c r="M1853" s="471" t="s">
        <v>5802</v>
      </c>
      <c r="N1853" s="471" t="s">
        <v>1114</v>
      </c>
      <c r="O1853" s="471" t="s">
        <v>1113</v>
      </c>
    </row>
    <row r="1854" spans="1:15" x14ac:dyDescent="0.25">
      <c r="A1854" s="471" t="s">
        <v>6104</v>
      </c>
      <c r="B1854" s="1139">
        <f t="shared" ca="1" si="287"/>
        <v>0</v>
      </c>
      <c r="C1854" s="473">
        <f ca="1">IF(ISERROR(VLOOKUP($A$1521,INDIRECT("notes_"&amp;LEFT($A$1521,3)),4,0)),0,VLOOKUP($A$1521,INDIRECT("notes_"&amp;LEFT($A$1521,3)),4,0))</f>
        <v>0</v>
      </c>
      <c r="H1854" s="471">
        <f t="shared" si="278"/>
        <v>2</v>
      </c>
      <c r="I1854" s="471">
        <v>1</v>
      </c>
      <c r="J1854" s="471" t="str">
        <f t="shared" si="279"/>
        <v>envrglenvlcn</v>
      </c>
      <c r="K1854" s="471" t="str">
        <f t="shared" si="280"/>
        <v>tot-inc</v>
      </c>
      <c r="L1854" s="599"/>
      <c r="M1854" s="471" t="s">
        <v>5802</v>
      </c>
      <c r="N1854" s="471" t="s">
        <v>1114</v>
      </c>
      <c r="O1854" s="471" t="s">
        <v>1113</v>
      </c>
    </row>
    <row r="1855" spans="1:15" x14ac:dyDescent="0.25">
      <c r="A1855" s="471" t="s">
        <v>6105</v>
      </c>
      <c r="B1855" s="1139">
        <f t="shared" ca="1" si="287"/>
        <v>0</v>
      </c>
      <c r="C1855" s="473">
        <f ca="1">IF(ISERROR(VLOOKUP($A$1522,INDIRECT("notes_"&amp;LEFT($A$1522,3)),4,0)),0,VLOOKUP($A$1522,INDIRECT("notes_"&amp;LEFT($A$1522,3)),4,0))</f>
        <v>0</v>
      </c>
      <c r="H1855" s="471">
        <f t="shared" si="278"/>
        <v>2</v>
      </c>
      <c r="I1855" s="471">
        <v>1</v>
      </c>
      <c r="J1855" s="471" t="str">
        <f t="shared" si="279"/>
        <v>envcmmcrm</v>
      </c>
      <c r="K1855" s="471" t="str">
        <f t="shared" si="280"/>
        <v>tot-inc</v>
      </c>
      <c r="L1855" s="599"/>
      <c r="M1855" s="471" t="s">
        <v>5802</v>
      </c>
      <c r="N1855" s="471" t="s">
        <v>1114</v>
      </c>
      <c r="O1855" s="471" t="s">
        <v>1113</v>
      </c>
    </row>
    <row r="1856" spans="1:15" x14ac:dyDescent="0.25">
      <c r="A1856" s="471" t="s">
        <v>6106</v>
      </c>
      <c r="B1856" s="1139">
        <f t="shared" ca="1" si="287"/>
        <v>0</v>
      </c>
      <c r="C1856" s="473">
        <f ca="1">IF(ISERROR(VLOOKUP($A$1523,INDIRECT("notes_"&amp;LEFT($A$1523,3)),4,0)),0,VLOOKUP($A$1523,INDIRECT("notes_"&amp;LEFT($A$1523,3)),4,0))</f>
        <v>0</v>
      </c>
      <c r="H1856" s="471">
        <f t="shared" si="278"/>
        <v>2</v>
      </c>
      <c r="I1856" s="471">
        <v>1</v>
      </c>
      <c r="J1856" s="471" t="str">
        <f t="shared" si="279"/>
        <v>envcmmsft</v>
      </c>
      <c r="K1856" s="471" t="str">
        <f t="shared" si="280"/>
        <v>tot-inc</v>
      </c>
      <c r="L1856" s="599"/>
      <c r="M1856" s="471" t="s">
        <v>5802</v>
      </c>
      <c r="N1856" s="471" t="s">
        <v>1114</v>
      </c>
      <c r="O1856" s="471" t="s">
        <v>1113</v>
      </c>
    </row>
    <row r="1857" spans="1:15" x14ac:dyDescent="0.25">
      <c r="A1857" s="471" t="s">
        <v>6107</v>
      </c>
      <c r="B1857" s="1139">
        <f t="shared" ca="1" si="287"/>
        <v>0</v>
      </c>
      <c r="C1857" s="473">
        <f ca="1">IF(ISERROR(VLOOKUP($A$1524,INDIRECT("notes_"&amp;LEFT($A$1524,3)),4,0)),0,VLOOKUP($A$1524,INDIRECT("notes_"&amp;LEFT($A$1524,3)),4,0))</f>
        <v>0</v>
      </c>
      <c r="H1857" s="471">
        <f t="shared" ref="H1857:H1920" si="288">LEN(A1857)-LEN(SUBSTITUTE(A1857,"-",""))-I1857</f>
        <v>2</v>
      </c>
      <c r="I1857" s="471">
        <v>1</v>
      </c>
      <c r="J1857" s="471" t="str">
        <f t="shared" ref="J1857:J1920" si="289">MID($A1857,SEARCH("-",$A1857)+1,SEARCH("#",SUBSTITUTE($A1857,"-","#",H1857),1)-(SEARCH("-",$A1857)+1))</f>
        <v>envcmmcct</v>
      </c>
      <c r="K1857" s="471" t="str">
        <f t="shared" ref="K1857:K1920" si="290">RIGHT($A1857,LEN($A1857)-SEARCH("#",SUBSTITUTE($A1857,"-","#",H1857),1))</f>
        <v>tot-inc</v>
      </c>
      <c r="L1857" s="599"/>
      <c r="M1857" s="471" t="s">
        <v>5802</v>
      </c>
      <c r="N1857" s="471" t="s">
        <v>1114</v>
      </c>
      <c r="O1857" s="471" t="s">
        <v>1113</v>
      </c>
    </row>
    <row r="1858" spans="1:15" x14ac:dyDescent="0.25">
      <c r="A1858" s="471" t="s">
        <v>6108</v>
      </c>
      <c r="B1858" s="1139">
        <f t="shared" ca="1" si="287"/>
        <v>0</v>
      </c>
      <c r="C1858" s="473">
        <f ca="1">IF(ISERROR(VLOOKUP($A$1525,INDIRECT("notes_"&amp;LEFT($A$1525,3)),4,0)),0,VLOOKUP($A$1525,INDIRECT("notes_"&amp;LEFT($A$1525,3)),4,0))</f>
        <v>0</v>
      </c>
      <c r="H1858" s="471">
        <f t="shared" si="288"/>
        <v>2</v>
      </c>
      <c r="I1858" s="471">
        <v>1</v>
      </c>
      <c r="J1858" s="471" t="str">
        <f t="shared" si="289"/>
        <v>envfldfld</v>
      </c>
      <c r="K1858" s="471" t="str">
        <f t="shared" si="290"/>
        <v>tot-inc</v>
      </c>
      <c r="L1858" s="599"/>
      <c r="M1858" s="471" t="s">
        <v>5802</v>
      </c>
      <c r="N1858" s="471" t="s">
        <v>1114</v>
      </c>
      <c r="O1858" s="471" t="s">
        <v>1113</v>
      </c>
    </row>
    <row r="1859" spans="1:15" x14ac:dyDescent="0.25">
      <c r="A1859" s="471" t="s">
        <v>6109</v>
      </c>
      <c r="B1859" s="1139">
        <f t="shared" ca="1" si="287"/>
        <v>0</v>
      </c>
      <c r="C1859" s="473">
        <f ca="1">IF(ISERROR(VLOOKUP($A$1526,INDIRECT("notes_"&amp;LEFT($A$1526,3)),4,0)),0,VLOOKUP($A$1526,INDIRECT("notes_"&amp;LEFT($A$1526,3)),4,0))</f>
        <v>0</v>
      </c>
      <c r="H1859" s="471">
        <f t="shared" si="288"/>
        <v>2</v>
      </c>
      <c r="I1859" s="471">
        <v>1</v>
      </c>
      <c r="J1859" s="471" t="str">
        <f t="shared" si="289"/>
        <v>envflddrn</v>
      </c>
      <c r="K1859" s="471" t="str">
        <f t="shared" si="290"/>
        <v>tot-inc</v>
      </c>
      <c r="L1859" s="599"/>
      <c r="M1859" s="471" t="s">
        <v>5802</v>
      </c>
      <c r="N1859" s="471" t="s">
        <v>1114</v>
      </c>
      <c r="O1859" s="471" t="s">
        <v>1113</v>
      </c>
    </row>
    <row r="1860" spans="1:15" x14ac:dyDescent="0.25">
      <c r="A1860" s="471" t="s">
        <v>6110</v>
      </c>
      <c r="B1860" s="1139">
        <f t="shared" ca="1" si="287"/>
        <v>0</v>
      </c>
      <c r="C1860" s="473">
        <f ca="1">IF(ISERROR(VLOOKUP($A$1527,INDIRECT("notes_"&amp;LEFT($A$1527,3)),4,0)),0,VLOOKUP($A$1527,INDIRECT("notes_"&amp;LEFT($A$1527,3)),4,0))</f>
        <v>0</v>
      </c>
      <c r="H1860" s="471">
        <f t="shared" si="288"/>
        <v>2</v>
      </c>
      <c r="I1860" s="471">
        <v>1</v>
      </c>
      <c r="J1860" s="471" t="str">
        <f t="shared" si="289"/>
        <v>envflddrnlev</v>
      </c>
      <c r="K1860" s="471" t="str">
        <f t="shared" si="290"/>
        <v>tot-inc</v>
      </c>
      <c r="L1860" s="599"/>
      <c r="M1860" s="471" t="s">
        <v>5802</v>
      </c>
      <c r="N1860" s="471" t="s">
        <v>1114</v>
      </c>
      <c r="O1860" s="471" t="s">
        <v>1113</v>
      </c>
    </row>
    <row r="1861" spans="1:15" x14ac:dyDescent="0.25">
      <c r="A1861" s="471" t="s">
        <v>6111</v>
      </c>
      <c r="B1861" s="1139">
        <f t="shared" ca="1" si="287"/>
        <v>0</v>
      </c>
      <c r="C1861" s="473">
        <f ca="1">IF(ISERROR(VLOOKUP($A$1528,INDIRECT("notes_"&amp;LEFT($A$1528,3)),4,0)),0,VLOOKUP($A$1528,INDIRECT("notes_"&amp;LEFT($A$1528,3)),4,0))</f>
        <v>0</v>
      </c>
      <c r="H1861" s="471">
        <f t="shared" si="288"/>
        <v>2</v>
      </c>
      <c r="I1861" s="471">
        <v>1</v>
      </c>
      <c r="J1861" s="471" t="str">
        <f t="shared" si="289"/>
        <v>envcst</v>
      </c>
      <c r="K1861" s="471" t="str">
        <f t="shared" si="290"/>
        <v>tot-inc</v>
      </c>
      <c r="L1861" s="599"/>
      <c r="M1861" s="471" t="s">
        <v>5802</v>
      </c>
      <c r="N1861" s="471" t="s">
        <v>1114</v>
      </c>
      <c r="O1861" s="471" t="s">
        <v>1113</v>
      </c>
    </row>
    <row r="1862" spans="1:15" x14ac:dyDescent="0.25">
      <c r="A1862" s="471" t="s">
        <v>6112</v>
      </c>
      <c r="B1862" s="1139">
        <f t="shared" ca="1" si="287"/>
        <v>0</v>
      </c>
      <c r="C1862" s="473">
        <f ca="1">IF(ISERROR(VLOOKUP($A$1529,INDIRECT("notes_"&amp;LEFT($A$1529,3)),4,0)),0,VLOOKUP($A$1529,INDIRECT("notes_"&amp;LEFT($A$1529,3)),4,0))</f>
        <v>0</v>
      </c>
      <c r="H1862" s="471">
        <f t="shared" si="288"/>
        <v>2</v>
      </c>
      <c r="I1862" s="471">
        <v>1</v>
      </c>
      <c r="J1862" s="471" t="str">
        <f t="shared" si="289"/>
        <v>envagr</v>
      </c>
      <c r="K1862" s="471" t="str">
        <f t="shared" si="290"/>
        <v>tot-inc</v>
      </c>
      <c r="L1862" s="599"/>
      <c r="M1862" s="471" t="s">
        <v>5802</v>
      </c>
      <c r="N1862" s="471" t="s">
        <v>1114</v>
      </c>
      <c r="O1862" s="471" t="s">
        <v>1113</v>
      </c>
    </row>
    <row r="1863" spans="1:15" x14ac:dyDescent="0.25">
      <c r="A1863" s="471" t="s">
        <v>6113</v>
      </c>
      <c r="B1863" s="1139">
        <f t="shared" ca="1" si="287"/>
        <v>0</v>
      </c>
      <c r="C1863" s="473">
        <f ca="1">IF(ISERROR(VLOOKUP($A$1530,INDIRECT("notes_"&amp;LEFT($A$1530,3)),4,0)),0,VLOOKUP($A$1530,INDIRECT("notes_"&amp;LEFT($A$1530,3)),4,0))</f>
        <v>0</v>
      </c>
      <c r="H1863" s="471">
        <f t="shared" si="288"/>
        <v>2</v>
      </c>
      <c r="I1863" s="471">
        <v>1</v>
      </c>
      <c r="J1863" s="471" t="str">
        <f t="shared" si="289"/>
        <v>envstr</v>
      </c>
      <c r="K1863" s="471" t="str">
        <f t="shared" si="290"/>
        <v>tot-inc</v>
      </c>
      <c r="L1863" s="599"/>
      <c r="M1863" s="471" t="s">
        <v>5802</v>
      </c>
      <c r="N1863" s="471" t="s">
        <v>1114</v>
      </c>
      <c r="O1863" s="471" t="s">
        <v>1113</v>
      </c>
    </row>
    <row r="1864" spans="1:15" x14ac:dyDescent="0.25">
      <c r="A1864" s="471" t="s">
        <v>6114</v>
      </c>
      <c r="B1864" s="1139">
        <f t="shared" ca="1" si="287"/>
        <v>0</v>
      </c>
      <c r="C1864" s="473">
        <f ca="1">IF(ISERROR(VLOOKUP($A$1531,INDIRECT("notes_"&amp;LEFT($A$1531,3)),4,0)),0,VLOOKUP($A$1531,INDIRECT("notes_"&amp;LEFT($A$1531,3)),4,0))</f>
        <v>0</v>
      </c>
      <c r="H1864" s="471">
        <f t="shared" si="288"/>
        <v>2</v>
      </c>
      <c r="I1864" s="471">
        <v>1</v>
      </c>
      <c r="J1864" s="471" t="str">
        <f t="shared" si="289"/>
        <v>envcll</v>
      </c>
      <c r="K1864" s="471" t="str">
        <f t="shared" si="290"/>
        <v>tot-inc</v>
      </c>
      <c r="L1864" s="599"/>
      <c r="M1864" s="471" t="s">
        <v>5802</v>
      </c>
      <c r="N1864" s="471" t="s">
        <v>1114</v>
      </c>
      <c r="O1864" s="471" t="s">
        <v>1113</v>
      </c>
    </row>
    <row r="1865" spans="1:15" x14ac:dyDescent="0.25">
      <c r="A1865" s="471" t="s">
        <v>6115</v>
      </c>
      <c r="B1865" s="1139">
        <f t="shared" ca="1" si="287"/>
        <v>0</v>
      </c>
      <c r="C1865" s="473">
        <f ca="1">IF(ISERROR(VLOOKUP($A$1532,INDIRECT("notes_"&amp;LEFT($A$1532,3)),4,0)),0,VLOOKUP($A$1532,INDIRECT("notes_"&amp;LEFT($A$1532,3)),4,0))</f>
        <v>0</v>
      </c>
      <c r="H1865" s="471">
        <f t="shared" si="288"/>
        <v>2</v>
      </c>
      <c r="I1865" s="471">
        <v>1</v>
      </c>
      <c r="J1865" s="471" t="str">
        <f t="shared" si="289"/>
        <v>envdsp</v>
      </c>
      <c r="K1865" s="471" t="str">
        <f t="shared" si="290"/>
        <v>tot-inc</v>
      </c>
      <c r="L1865" s="599"/>
      <c r="M1865" s="471" t="s">
        <v>5802</v>
      </c>
      <c r="N1865" s="471" t="s">
        <v>1114</v>
      </c>
      <c r="O1865" s="471" t="s">
        <v>1113</v>
      </c>
    </row>
    <row r="1866" spans="1:15" x14ac:dyDescent="0.25">
      <c r="A1866" s="471" t="s">
        <v>6116</v>
      </c>
      <c r="B1866" s="1139">
        <f t="shared" ca="1" si="287"/>
        <v>0</v>
      </c>
      <c r="C1866" s="473">
        <f ca="1">IF(ISERROR(VLOOKUP($A$1533,INDIRECT("notes_"&amp;LEFT($A$1533,3)),4,0)),0,VLOOKUP($A$1533,INDIRECT("notes_"&amp;LEFT($A$1533,3)),4,0))</f>
        <v>0</v>
      </c>
      <c r="H1866" s="471">
        <f t="shared" si="288"/>
        <v>2</v>
      </c>
      <c r="I1866" s="471">
        <v>1</v>
      </c>
      <c r="J1866" s="471" t="str">
        <f t="shared" si="289"/>
        <v>envtrd</v>
      </c>
      <c r="K1866" s="471" t="str">
        <f t="shared" si="290"/>
        <v>tot-inc</v>
      </c>
      <c r="L1866" s="599"/>
      <c r="M1866" s="471" t="s">
        <v>5802</v>
      </c>
      <c r="N1866" s="471" t="s">
        <v>1114</v>
      </c>
      <c r="O1866" s="471" t="s">
        <v>1113</v>
      </c>
    </row>
    <row r="1867" spans="1:15" x14ac:dyDescent="0.25">
      <c r="A1867" s="471" t="s">
        <v>6117</v>
      </c>
      <c r="B1867" s="1139">
        <f t="shared" ca="1" si="287"/>
        <v>0</v>
      </c>
      <c r="C1867" s="473">
        <f ca="1">IF(ISERROR(VLOOKUP($A$1534,INDIRECT("notes_"&amp;LEFT($A$1534,3)),4,0)),0,VLOOKUP($A$1534,INDIRECT("notes_"&amp;LEFT($A$1534,3)),4,0))</f>
        <v>0</v>
      </c>
      <c r="H1867" s="471">
        <f t="shared" si="288"/>
        <v>2</v>
      </c>
      <c r="I1867" s="471">
        <v>1</v>
      </c>
      <c r="J1867" s="471" t="str">
        <f t="shared" si="289"/>
        <v>envrcy</v>
      </c>
      <c r="K1867" s="471" t="str">
        <f t="shared" si="290"/>
        <v>tot-inc</v>
      </c>
      <c r="L1867" s="599"/>
      <c r="M1867" s="471" t="s">
        <v>5802</v>
      </c>
      <c r="N1867" s="471" t="s">
        <v>1114</v>
      </c>
      <c r="O1867" s="471" t="s">
        <v>1113</v>
      </c>
    </row>
    <row r="1868" spans="1:15" x14ac:dyDescent="0.25">
      <c r="A1868" s="471" t="s">
        <v>6118</v>
      </c>
      <c r="B1868" s="1139">
        <f t="shared" ca="1" si="287"/>
        <v>0</v>
      </c>
      <c r="C1868" s="473">
        <f ca="1">IF(ISERROR(VLOOKUP($A$1535,INDIRECT("notes_"&amp;LEFT($A$1535,3)),4,0)),0,VLOOKUP($A$1535,INDIRECT("notes_"&amp;LEFT($A$1535,3)),4,0))</f>
        <v>0</v>
      </c>
      <c r="H1868" s="471">
        <f t="shared" si="288"/>
        <v>2</v>
      </c>
      <c r="I1868" s="471">
        <v>1</v>
      </c>
      <c r="J1868" s="471" t="str">
        <f t="shared" si="289"/>
        <v>envmin</v>
      </c>
      <c r="K1868" s="471" t="str">
        <f t="shared" si="290"/>
        <v>tot-inc</v>
      </c>
      <c r="L1868" s="599"/>
      <c r="M1868" s="471" t="s">
        <v>5802</v>
      </c>
      <c r="N1868" s="471" t="s">
        <v>1114</v>
      </c>
      <c r="O1868" s="471" t="s">
        <v>1113</v>
      </c>
    </row>
    <row r="1869" spans="1:15" x14ac:dyDescent="0.25">
      <c r="A1869" s="471" t="s">
        <v>6119</v>
      </c>
      <c r="B1869" s="1139">
        <f t="shared" ca="1" si="287"/>
        <v>0</v>
      </c>
      <c r="C1869" s="473">
        <f ca="1">IF(ISERROR(VLOOKUP($A$1536,INDIRECT("notes_"&amp;LEFT($A$1536,3)),4,0)),0,VLOOKUP($A$1536,INDIRECT("notes_"&amp;LEFT($A$1536,3)),4,0))</f>
        <v>0</v>
      </c>
      <c r="H1869" s="471">
        <f t="shared" si="288"/>
        <v>2</v>
      </c>
      <c r="I1869" s="471">
        <v>1</v>
      </c>
      <c r="J1869" s="471" t="str">
        <f t="shared" si="289"/>
        <v>envclm</v>
      </c>
      <c r="K1869" s="471" t="str">
        <f t="shared" si="290"/>
        <v>tot-inc</v>
      </c>
      <c r="L1869" s="599"/>
      <c r="M1869" s="471" t="s">
        <v>5802</v>
      </c>
      <c r="N1869" s="471" t="s">
        <v>1114</v>
      </c>
      <c r="O1869" s="471" t="s">
        <v>1113</v>
      </c>
    </row>
    <row r="1870" spans="1:15" x14ac:dyDescent="0.25">
      <c r="A1870" s="471" t="s">
        <v>6120</v>
      </c>
      <c r="B1870" s="1139">
        <f t="shared" ca="1" si="287"/>
        <v>0</v>
      </c>
      <c r="C1870" s="473">
        <f ca="1">IF(ISERROR(VLOOKUP($A$1537,INDIRECT("notes_"&amp;LEFT($A$1537,3)),4,0)),0,VLOOKUP($A$1537,INDIRECT("notes_"&amp;LEFT($A$1537,3)),4,0))</f>
        <v>0</v>
      </c>
      <c r="H1870" s="471">
        <f t="shared" si="288"/>
        <v>2</v>
      </c>
      <c r="I1870" s="471">
        <v>1</v>
      </c>
      <c r="J1870" s="471" t="str">
        <f t="shared" si="289"/>
        <v>envtot</v>
      </c>
      <c r="K1870" s="471" t="str">
        <f t="shared" si="290"/>
        <v>tot-inc</v>
      </c>
      <c r="L1870" s="599"/>
      <c r="M1870" s="471" t="s">
        <v>5802</v>
      </c>
      <c r="N1870" s="471" t="s">
        <v>1114</v>
      </c>
      <c r="O1870" s="471" t="s">
        <v>1113</v>
      </c>
    </row>
    <row r="1871" spans="1:15" x14ac:dyDescent="0.25">
      <c r="A1871" s="471" t="s">
        <v>6121</v>
      </c>
      <c r="B1871" s="1139">
        <f t="shared" ca="1" si="287"/>
        <v>0</v>
      </c>
      <c r="C1871" s="473">
        <f ca="1">IF(ISERROR(VLOOKUP($A$1538,INDIRECT("notes_"&amp;LEFT($A$1538,3)),4,0)),0,VLOOKUP($A$1538,INDIRECT("notes_"&amp;LEFT($A$1538,3)),4,0))</f>
        <v>0</v>
      </c>
      <c r="H1871" s="471">
        <f t="shared" si="288"/>
        <v>2</v>
      </c>
      <c r="I1871" s="471">
        <v>1</v>
      </c>
      <c r="J1871" s="471" t="str">
        <f t="shared" si="289"/>
        <v>planbld</v>
      </c>
      <c r="K1871" s="471" t="str">
        <f t="shared" si="290"/>
        <v>tot-inc</v>
      </c>
      <c r="L1871" s="599"/>
      <c r="M1871" s="471" t="s">
        <v>5802</v>
      </c>
      <c r="N1871" s="471" t="s">
        <v>1114</v>
      </c>
      <c r="O1871" s="471" t="s">
        <v>1113</v>
      </c>
    </row>
    <row r="1872" spans="1:15" x14ac:dyDescent="0.25">
      <c r="A1872" s="471" t="s">
        <v>6122</v>
      </c>
      <c r="B1872" s="1139">
        <f t="shared" ca="1" si="287"/>
        <v>0</v>
      </c>
      <c r="C1872" s="473">
        <f ca="1">IF(ISERROR(VLOOKUP($A$1539,INDIRECT("notes_"&amp;LEFT($A$1539,3)),4,0)),0,VLOOKUP($A$1539,INDIRECT("notes_"&amp;LEFT($A$1539,3)),4,0))</f>
        <v>0</v>
      </c>
      <c r="H1872" s="471">
        <f t="shared" si="288"/>
        <v>2</v>
      </c>
      <c r="I1872" s="471">
        <v>1</v>
      </c>
      <c r="J1872" s="471" t="str">
        <f t="shared" si="289"/>
        <v>plandvl</v>
      </c>
      <c r="K1872" s="471" t="str">
        <f t="shared" si="290"/>
        <v>tot-inc</v>
      </c>
      <c r="L1872" s="599"/>
      <c r="M1872" s="471" t="s">
        <v>5802</v>
      </c>
      <c r="N1872" s="471" t="s">
        <v>1114</v>
      </c>
      <c r="O1872" s="471" t="s">
        <v>1113</v>
      </c>
    </row>
    <row r="1873" spans="1:15" x14ac:dyDescent="0.25">
      <c r="A1873" s="471" t="s">
        <v>6123</v>
      </c>
      <c r="B1873" s="1139">
        <f t="shared" ca="1" si="287"/>
        <v>0</v>
      </c>
      <c r="C1873" s="473">
        <f ca="1">IF(ISERROR(VLOOKUP($A$1540,INDIRECT("notes_"&amp;LEFT($A$1540,3)),4,0)),0,VLOOKUP($A$1540,INDIRECT("notes_"&amp;LEFT($A$1540,3)),4,0))</f>
        <v>0</v>
      </c>
      <c r="H1873" s="471">
        <f t="shared" si="288"/>
        <v>5</v>
      </c>
      <c r="I1873" s="471">
        <v>1</v>
      </c>
      <c r="J1873" s="471" t="str">
        <f t="shared" si="289"/>
        <v>planplc-cns-lst-bld</v>
      </c>
      <c r="K1873" s="471" t="str">
        <f t="shared" si="290"/>
        <v>tot-inc</v>
      </c>
      <c r="L1873" s="599"/>
      <c r="M1873" s="471" t="s">
        <v>5802</v>
      </c>
      <c r="N1873" s="471" t="s">
        <v>1114</v>
      </c>
      <c r="O1873" s="471" t="s">
        <v>1113</v>
      </c>
    </row>
    <row r="1874" spans="1:15" x14ac:dyDescent="0.25">
      <c r="A1874" s="471" t="s">
        <v>6124</v>
      </c>
      <c r="B1874" s="1139">
        <f t="shared" ca="1" si="287"/>
        <v>0</v>
      </c>
      <c r="C1874" s="473">
        <f ca="1">IF(ISERROR(VLOOKUP($A$1541,INDIRECT("notes_"&amp;LEFT($A$1541,3)),4,0)),0,VLOOKUP($A$1541,INDIRECT("notes_"&amp;LEFT($A$1541,3)),4,0))</f>
        <v>0</v>
      </c>
      <c r="H1874" s="471">
        <f t="shared" si="288"/>
        <v>3</v>
      </c>
      <c r="I1874" s="471">
        <v>1</v>
      </c>
      <c r="J1874" s="471" t="str">
        <f t="shared" si="289"/>
        <v>planplc-oth</v>
      </c>
      <c r="K1874" s="471" t="str">
        <f t="shared" si="290"/>
        <v>tot-inc</v>
      </c>
      <c r="L1874" s="599"/>
      <c r="M1874" s="471" t="s">
        <v>5802</v>
      </c>
      <c r="N1874" s="471" t="s">
        <v>1114</v>
      </c>
      <c r="O1874" s="471" t="s">
        <v>1113</v>
      </c>
    </row>
    <row r="1875" spans="1:15" x14ac:dyDescent="0.25">
      <c r="A1875" s="471" t="s">
        <v>6125</v>
      </c>
      <c r="B1875" s="1139">
        <f t="shared" ca="1" si="287"/>
        <v>0</v>
      </c>
      <c r="C1875" s="473">
        <f ca="1">IF(ISERROR(VLOOKUP($A$1542,INDIRECT("notes_"&amp;LEFT($A$1542,3)),4,0)),0,VLOOKUP($A$1542,INDIRECT("notes_"&amp;LEFT($A$1542,3)),4,0))</f>
        <v>0</v>
      </c>
      <c r="H1875" s="471">
        <f t="shared" si="288"/>
        <v>2</v>
      </c>
      <c r="I1875" s="471">
        <v>1</v>
      </c>
      <c r="J1875" s="471" t="str">
        <f t="shared" si="289"/>
        <v>planenv</v>
      </c>
      <c r="K1875" s="471" t="str">
        <f t="shared" si="290"/>
        <v>tot-inc</v>
      </c>
      <c r="L1875" s="599"/>
      <c r="M1875" s="471" t="s">
        <v>5802</v>
      </c>
      <c r="N1875" s="471" t="s">
        <v>1114</v>
      </c>
      <c r="O1875" s="471" t="s">
        <v>1113</v>
      </c>
    </row>
    <row r="1876" spans="1:15" x14ac:dyDescent="0.25">
      <c r="A1876" s="471" t="s">
        <v>6126</v>
      </c>
      <c r="B1876" s="1139">
        <f t="shared" ca="1" si="287"/>
        <v>0</v>
      </c>
      <c r="C1876" s="473">
        <f ca="1">IF(ISERROR(VLOOKUP($A$1543,INDIRECT("notes_"&amp;LEFT($A$1543,3)),4,0)),0,VLOOKUP($A$1543,INDIRECT("notes_"&amp;LEFT($A$1543,3)),4,0))</f>
        <v>0</v>
      </c>
      <c r="H1876" s="471">
        <f t="shared" si="288"/>
        <v>2</v>
      </c>
      <c r="I1876" s="471">
        <v>1</v>
      </c>
      <c r="J1876" s="471" t="str">
        <f t="shared" si="289"/>
        <v>planecndev</v>
      </c>
      <c r="K1876" s="471" t="str">
        <f t="shared" si="290"/>
        <v>tot-inc</v>
      </c>
      <c r="L1876" s="599"/>
      <c r="M1876" s="471" t="s">
        <v>5802</v>
      </c>
      <c r="N1876" s="471" t="s">
        <v>1114</v>
      </c>
      <c r="O1876" s="471" t="s">
        <v>1113</v>
      </c>
    </row>
    <row r="1877" spans="1:15" x14ac:dyDescent="0.25">
      <c r="A1877" s="471" t="s">
        <v>6127</v>
      </c>
      <c r="B1877" s="1139">
        <f t="shared" ca="1" si="287"/>
        <v>0</v>
      </c>
      <c r="C1877" s="473">
        <f ca="1">IF(ISERROR(VLOOKUP($A$1544,INDIRECT("notes_"&amp;LEFT($A$1544,3)),4,0)),0,VLOOKUP($A$1544,INDIRECT("notes_"&amp;LEFT($A$1544,3)),4,0))</f>
        <v>0</v>
      </c>
      <c r="H1877" s="471">
        <f t="shared" si="288"/>
        <v>2</v>
      </c>
      <c r="I1877" s="471">
        <v>1</v>
      </c>
      <c r="J1877" s="471" t="str">
        <f t="shared" si="289"/>
        <v>planecnrsr</v>
      </c>
      <c r="K1877" s="471" t="str">
        <f t="shared" si="290"/>
        <v>tot-inc</v>
      </c>
      <c r="L1877" s="599"/>
      <c r="M1877" s="471" t="s">
        <v>5802</v>
      </c>
      <c r="N1877" s="471" t="s">
        <v>1114</v>
      </c>
      <c r="O1877" s="471" t="s">
        <v>1113</v>
      </c>
    </row>
    <row r="1878" spans="1:15" x14ac:dyDescent="0.25">
      <c r="A1878" s="471" t="s">
        <v>6128</v>
      </c>
      <c r="B1878" s="1139">
        <f t="shared" ca="1" si="287"/>
        <v>0</v>
      </c>
      <c r="C1878" s="473">
        <f ca="1">IF(ISERROR(VLOOKUP($A$1545,INDIRECT("notes_"&amp;LEFT($A$1545,3)),4,0)),0,VLOOKUP($A$1545,INDIRECT("notes_"&amp;LEFT($A$1545,3)),4,0))</f>
        <v>0</v>
      </c>
      <c r="H1878" s="471">
        <f t="shared" si="288"/>
        <v>2</v>
      </c>
      <c r="I1878" s="471">
        <v>1</v>
      </c>
      <c r="J1878" s="471" t="str">
        <f t="shared" si="289"/>
        <v>planbsn</v>
      </c>
      <c r="K1878" s="471" t="str">
        <f t="shared" si="290"/>
        <v>tot-inc</v>
      </c>
      <c r="L1878" s="599"/>
      <c r="M1878" s="471" t="s">
        <v>5802</v>
      </c>
      <c r="N1878" s="471" t="s">
        <v>1114</v>
      </c>
      <c r="O1878" s="471" t="s">
        <v>1113</v>
      </c>
    </row>
    <row r="1879" spans="1:15" x14ac:dyDescent="0.25">
      <c r="A1879" s="471" t="s">
        <v>6129</v>
      </c>
      <c r="B1879" s="1139">
        <f t="shared" ca="1" si="287"/>
        <v>0</v>
      </c>
      <c r="C1879" s="473">
        <f ca="1">IF(ISERROR(VLOOKUP($A$1546,INDIRECT("notes_"&amp;LEFT($A$1546,3)),4,0)),0,VLOOKUP($A$1546,INDIRECT("notes_"&amp;LEFT($A$1546,3)),4,0))</f>
        <v>0</v>
      </c>
      <c r="H1879" s="471">
        <f t="shared" si="288"/>
        <v>2</v>
      </c>
      <c r="I1879" s="471">
        <v>1</v>
      </c>
      <c r="J1879" s="471" t="str">
        <f t="shared" si="289"/>
        <v>plancmm</v>
      </c>
      <c r="K1879" s="471" t="str">
        <f t="shared" si="290"/>
        <v>tot-inc</v>
      </c>
      <c r="L1879" s="599"/>
      <c r="M1879" s="471" t="s">
        <v>5802</v>
      </c>
      <c r="N1879" s="471" t="s">
        <v>1114</v>
      </c>
      <c r="O1879" s="471" t="s">
        <v>1113</v>
      </c>
    </row>
    <row r="1880" spans="1:15" x14ac:dyDescent="0.25">
      <c r="A1880" s="471" t="s">
        <v>6130</v>
      </c>
      <c r="B1880" s="1139">
        <f t="shared" ca="1" si="287"/>
        <v>0</v>
      </c>
      <c r="C1880" s="473">
        <f ca="1">IF(ISERROR(VLOOKUP($A$1547,INDIRECT("notes_"&amp;LEFT($A$1547,3)),4,0)),0,VLOOKUP($A$1547,INDIRECT("notes_"&amp;LEFT($A$1547,3)),4,0))</f>
        <v>0</v>
      </c>
      <c r="H1880" s="471">
        <f t="shared" si="288"/>
        <v>2</v>
      </c>
      <c r="I1880" s="471">
        <v>1</v>
      </c>
      <c r="J1880" s="471" t="str">
        <f t="shared" si="289"/>
        <v>plantot</v>
      </c>
      <c r="K1880" s="471" t="str">
        <f t="shared" si="290"/>
        <v>tot-inc</v>
      </c>
      <c r="L1880" s="599"/>
      <c r="M1880" s="471" t="s">
        <v>5802</v>
      </c>
      <c r="N1880" s="471" t="s">
        <v>1114</v>
      </c>
      <c r="O1880" s="471" t="s">
        <v>1113</v>
      </c>
    </row>
    <row r="1881" spans="1:15" x14ac:dyDescent="0.25">
      <c r="A1881" s="471" t="s">
        <v>6131</v>
      </c>
      <c r="B1881" s="1139">
        <f t="shared" ca="1" si="287"/>
        <v>0</v>
      </c>
      <c r="C1881" s="473">
        <f ca="1">IF(ISERROR(VLOOKUP($A$1548,INDIRECT("notes_"&amp;LEFT($A$1548,3)),4,0)),0,VLOOKUP($A$1548,INDIRECT("notes_"&amp;LEFT($A$1548,3)),4,0))</f>
        <v>0</v>
      </c>
      <c r="H1881" s="471">
        <f t="shared" si="288"/>
        <v>2</v>
      </c>
      <c r="I1881" s="471">
        <v>1</v>
      </c>
      <c r="J1881" s="471" t="str">
        <f t="shared" si="289"/>
        <v>culenvplantot</v>
      </c>
      <c r="K1881" s="471" t="str">
        <f t="shared" si="290"/>
        <v>tot-inc</v>
      </c>
      <c r="L1881" s="599"/>
      <c r="M1881" s="471" t="s">
        <v>5802</v>
      </c>
      <c r="N1881" s="471" t="s">
        <v>1114</v>
      </c>
      <c r="O1881" s="471" t="s">
        <v>1113</v>
      </c>
    </row>
    <row r="1882" spans="1:15" x14ac:dyDescent="0.25">
      <c r="A1882" s="471" t="s">
        <v>6132</v>
      </c>
      <c r="B1882" s="1139">
        <f t="shared" ca="1" si="287"/>
        <v>0</v>
      </c>
      <c r="C1882" s="473">
        <f ca="1">IF(ISERROR(VLOOKUP($A$1495,INDIRECT("notes_"&amp;LEFT($A$1495,3)),4,0)),0,VLOOKUP($A$1495,INDIRECT("notes_"&amp;LEFT($A$1495,3)),4,0))</f>
        <v>0</v>
      </c>
      <c r="D1882" s="472" t="str">
        <f>'RO5'!N33</f>
        <v/>
      </c>
      <c r="E1882" s="472" t="str">
        <f>'RO5'!O33</f>
        <v/>
      </c>
      <c r="F1882" s="472" t="str">
        <f>'RO5'!Q33</f>
        <v/>
      </c>
      <c r="H1882" s="471">
        <f t="shared" si="288"/>
        <v>2</v>
      </c>
      <c r="I1882" s="471">
        <v>2</v>
      </c>
      <c r="J1882" s="471" t="str">
        <f t="shared" si="289"/>
        <v>culhrtarc</v>
      </c>
      <c r="K1882" s="471" t="str">
        <f t="shared" si="290"/>
        <v>net-cur-exp</v>
      </c>
      <c r="L1882" s="599"/>
      <c r="M1882" s="471" t="s">
        <v>5802</v>
      </c>
      <c r="N1882" s="471" t="s">
        <v>1114</v>
      </c>
      <c r="O1882" s="471" t="s">
        <v>1113</v>
      </c>
    </row>
    <row r="1883" spans="1:15" x14ac:dyDescent="0.25">
      <c r="A1883" s="471" t="s">
        <v>6133</v>
      </c>
      <c r="B1883" s="1139">
        <f t="shared" ca="1" si="287"/>
        <v>0</v>
      </c>
      <c r="C1883" s="473">
        <f ca="1">IF(ISERROR(VLOOKUP($A$1496,INDIRECT("notes_"&amp;LEFT($A$1496,3)),4,0)),0,VLOOKUP($A$1496,INDIRECT("notes_"&amp;LEFT($A$1496,3)),4,0))</f>
        <v>0</v>
      </c>
      <c r="D1883" s="472" t="str">
        <f>'RO5'!N34</f>
        <v/>
      </c>
      <c r="E1883" s="472" t="str">
        <f>'RO5'!O34</f>
        <v/>
      </c>
      <c r="F1883" s="472" t="str">
        <f>'RO5'!Q34</f>
        <v/>
      </c>
      <c r="H1883" s="471">
        <f t="shared" si="288"/>
        <v>5</v>
      </c>
      <c r="I1883" s="471">
        <v>2</v>
      </c>
      <c r="J1883" s="471" t="str">
        <f t="shared" si="289"/>
        <v>culhrt-art-dvl-spp</v>
      </c>
      <c r="K1883" s="471" t="str">
        <f t="shared" si="290"/>
        <v>net-cur-exp</v>
      </c>
      <c r="L1883" s="599"/>
      <c r="M1883" s="471" t="s">
        <v>5802</v>
      </c>
      <c r="N1883" s="471" t="s">
        <v>1114</v>
      </c>
      <c r="O1883" s="471" t="s">
        <v>1113</v>
      </c>
    </row>
    <row r="1884" spans="1:15" x14ac:dyDescent="0.25">
      <c r="A1884" s="471" t="s">
        <v>6134</v>
      </c>
      <c r="B1884" s="1139">
        <f t="shared" ca="1" si="287"/>
        <v>0</v>
      </c>
      <c r="C1884" s="473">
        <f ca="1">IF(ISERROR(VLOOKUP($A$1497,INDIRECT("notes_"&amp;LEFT($A$1497,3)),4,0)),0,VLOOKUP($A$1497,INDIRECT("notes_"&amp;LEFT($A$1497,3)),4,0))</f>
        <v>0</v>
      </c>
      <c r="D1884" s="472" t="str">
        <f>'RO5'!N35</f>
        <v/>
      </c>
      <c r="E1884" s="472" t="str">
        <f>'RO5'!O35</f>
        <v/>
      </c>
      <c r="F1884" s="472" t="str">
        <f>'RO5'!Q35</f>
        <v/>
      </c>
      <c r="H1884" s="471">
        <f t="shared" si="288"/>
        <v>3</v>
      </c>
      <c r="I1884" s="471">
        <v>2</v>
      </c>
      <c r="J1884" s="471" t="str">
        <f t="shared" si="289"/>
        <v>culhrt-hrt</v>
      </c>
      <c r="K1884" s="471" t="str">
        <f t="shared" si="290"/>
        <v>net-cur-exp</v>
      </c>
      <c r="L1884" s="599"/>
      <c r="M1884" s="471" t="s">
        <v>5802</v>
      </c>
      <c r="N1884" s="471" t="s">
        <v>1114</v>
      </c>
      <c r="O1884" s="471" t="s">
        <v>1113</v>
      </c>
    </row>
    <row r="1885" spans="1:15" x14ac:dyDescent="0.25">
      <c r="A1885" s="471" t="s">
        <v>6135</v>
      </c>
      <c r="B1885" s="1139">
        <f t="shared" ca="1" si="287"/>
        <v>0</v>
      </c>
      <c r="C1885" s="473">
        <f ca="1">IF(ISERROR(VLOOKUP($A$1498,INDIRECT("notes_"&amp;LEFT($A$1498,3)),4,0)),0,VLOOKUP($A$1498,INDIRECT("notes_"&amp;LEFT($A$1498,3)),4,0))</f>
        <v>0</v>
      </c>
      <c r="D1885" s="472" t="str">
        <f>'RO5'!N36</f>
        <v/>
      </c>
      <c r="E1885" s="472" t="str">
        <f>'RO5'!O36</f>
        <v/>
      </c>
      <c r="F1885" s="472" t="str">
        <f>'RO5'!Q36</f>
        <v/>
      </c>
      <c r="H1885" s="471">
        <f t="shared" si="288"/>
        <v>4</v>
      </c>
      <c r="I1885" s="471">
        <v>2</v>
      </c>
      <c r="J1885" s="471" t="str">
        <f t="shared" si="289"/>
        <v>culhrt-msm-gll</v>
      </c>
      <c r="K1885" s="471" t="str">
        <f t="shared" si="290"/>
        <v>net-cur-exp</v>
      </c>
      <c r="L1885" s="599"/>
      <c r="M1885" s="471" t="s">
        <v>5802</v>
      </c>
      <c r="N1885" s="471" t="s">
        <v>1114</v>
      </c>
      <c r="O1885" s="471" t="s">
        <v>1113</v>
      </c>
    </row>
    <row r="1886" spans="1:15" x14ac:dyDescent="0.25">
      <c r="A1886" s="471" t="s">
        <v>6136</v>
      </c>
      <c r="B1886" s="1139">
        <f t="shared" ca="1" si="287"/>
        <v>0</v>
      </c>
      <c r="C1886" s="473">
        <f ca="1">IF(ISERROR(VLOOKUP($A$1499,INDIRECT("notes_"&amp;LEFT($A$1499,3)),4,0)),0,VLOOKUP($A$1499,INDIRECT("notes_"&amp;LEFT($A$1499,3)),4,0))</f>
        <v>0</v>
      </c>
      <c r="D1886" s="472" t="str">
        <f>'RO5'!N37</f>
        <v/>
      </c>
      <c r="E1886" s="472" t="str">
        <f>'RO5'!O37</f>
        <v/>
      </c>
      <c r="F1886" s="472" t="str">
        <f>'RO5'!Q37</f>
        <v/>
      </c>
      <c r="H1886" s="471">
        <f t="shared" si="288"/>
        <v>5</v>
      </c>
      <c r="I1886" s="471">
        <v>2</v>
      </c>
      <c r="J1886" s="471" t="str">
        <f t="shared" si="289"/>
        <v>culhrt-tht-pbl-ent</v>
      </c>
      <c r="K1886" s="471" t="str">
        <f t="shared" si="290"/>
        <v>net-cur-exp</v>
      </c>
      <c r="L1886" s="599"/>
      <c r="M1886" s="471" t="s">
        <v>5802</v>
      </c>
      <c r="N1886" s="471" t="s">
        <v>1114</v>
      </c>
      <c r="O1886" s="471" t="s">
        <v>1113</v>
      </c>
    </row>
    <row r="1887" spans="1:15" x14ac:dyDescent="0.25">
      <c r="A1887" s="471" t="s">
        <v>6137</v>
      </c>
      <c r="B1887" s="1139">
        <f t="shared" ca="1" si="287"/>
        <v>0</v>
      </c>
      <c r="C1887" s="473">
        <f ca="1">IF(ISERROR(VLOOKUP($A$1500,INDIRECT("notes_"&amp;LEFT($A$1500,3)),4,0)),0,VLOOKUP($A$1500,INDIRECT("notes_"&amp;LEFT($A$1500,3)),4,0))</f>
        <v>0</v>
      </c>
      <c r="D1887" s="472" t="str">
        <f>'RO5'!N40</f>
        <v/>
      </c>
      <c r="E1887" s="472" t="str">
        <f>'RO5'!O40</f>
        <v/>
      </c>
      <c r="F1887" s="472" t="str">
        <f>'RO5'!Q40</f>
        <v/>
      </c>
      <c r="H1887" s="471">
        <f t="shared" si="288"/>
        <v>6</v>
      </c>
      <c r="I1887" s="471">
        <v>2</v>
      </c>
      <c r="J1887" s="471" t="str">
        <f t="shared" si="289"/>
        <v>culspr-cmm-cen-pub-hll</v>
      </c>
      <c r="K1887" s="471" t="str">
        <f t="shared" si="290"/>
        <v>net-cur-exp</v>
      </c>
      <c r="L1887" s="599"/>
      <c r="M1887" s="471" t="s">
        <v>5802</v>
      </c>
      <c r="N1887" s="471" t="s">
        <v>1114</v>
      </c>
      <c r="O1887" s="471" t="s">
        <v>1113</v>
      </c>
    </row>
    <row r="1888" spans="1:15" x14ac:dyDescent="0.25">
      <c r="A1888" s="471" t="s">
        <v>6138</v>
      </c>
      <c r="B1888" s="1139">
        <f t="shared" ca="1" si="287"/>
        <v>0</v>
      </c>
      <c r="C1888" s="473">
        <f ca="1">IF(ISERROR(VLOOKUP($A$1501,INDIRECT("notes_"&amp;LEFT($A$1501,3)),4,0)),0,VLOOKUP($A$1501,INDIRECT("notes_"&amp;LEFT($A$1501,3)),4,0))</f>
        <v>0</v>
      </c>
      <c r="D1888" s="472" t="str">
        <f>'RO5'!N41</f>
        <v/>
      </c>
      <c r="E1888" s="472" t="str">
        <f>'RO5'!O41</f>
        <v/>
      </c>
      <c r="F1888" s="472" t="str">
        <f>'RO5'!Q41</f>
        <v/>
      </c>
      <c r="H1888" s="471">
        <f t="shared" si="288"/>
        <v>3</v>
      </c>
      <c r="I1888" s="471">
        <v>2</v>
      </c>
      <c r="J1888" s="471" t="str">
        <f t="shared" si="289"/>
        <v>culspr-frs</v>
      </c>
      <c r="K1888" s="471" t="str">
        <f t="shared" si="290"/>
        <v>net-cur-exp</v>
      </c>
      <c r="L1888" s="599"/>
      <c r="M1888" s="471" t="s">
        <v>5802</v>
      </c>
      <c r="N1888" s="471" t="s">
        <v>1114</v>
      </c>
      <c r="O1888" s="471" t="s">
        <v>1113</v>
      </c>
    </row>
    <row r="1889" spans="1:15" x14ac:dyDescent="0.25">
      <c r="A1889" s="471" t="s">
        <v>6139</v>
      </c>
      <c r="B1889" s="1139">
        <f t="shared" ca="1" si="287"/>
        <v>0</v>
      </c>
      <c r="C1889" s="473">
        <f ca="1">IF(ISERROR(VLOOKUP($A$1502,INDIRECT("notes_"&amp;LEFT($A$1502,3)),4,0)),0,VLOOKUP($A$1502,INDIRECT("notes_"&amp;LEFT($A$1502,3)),4,0))</f>
        <v>0</v>
      </c>
      <c r="D1889" s="472" t="str">
        <f>'RO5'!N42</f>
        <v/>
      </c>
      <c r="E1889" s="472" t="str">
        <f>'RO5'!O42</f>
        <v/>
      </c>
      <c r="F1889" s="472" t="str">
        <f>'RO5'!Q42</f>
        <v/>
      </c>
      <c r="H1889" s="471">
        <f t="shared" si="288"/>
        <v>6</v>
      </c>
      <c r="I1889" s="471">
        <v>2</v>
      </c>
      <c r="J1889" s="471" t="str">
        <f t="shared" si="289"/>
        <v>culspr-spr-dvl-cmm-rec</v>
      </c>
      <c r="K1889" s="471" t="str">
        <f t="shared" si="290"/>
        <v>net-cur-exp</v>
      </c>
      <c r="L1889" s="599"/>
      <c r="M1889" s="471" t="s">
        <v>5802</v>
      </c>
      <c r="N1889" s="471" t="s">
        <v>1114</v>
      </c>
      <c r="O1889" s="471" t="s">
        <v>1113</v>
      </c>
    </row>
    <row r="1890" spans="1:15" x14ac:dyDescent="0.25">
      <c r="A1890" s="471" t="s">
        <v>6140</v>
      </c>
      <c r="B1890" s="1139">
        <f t="shared" ca="1" si="287"/>
        <v>0</v>
      </c>
      <c r="C1890" s="473">
        <f ca="1">IF(ISERROR(VLOOKUP($A$1503,INDIRECT("notes_"&amp;LEFT($A$1503,3)),4,0)),0,VLOOKUP($A$1503,INDIRECT("notes_"&amp;LEFT($A$1503,3)),4,0))</f>
        <v>0</v>
      </c>
      <c r="D1890" s="472" t="str">
        <f>'RO5'!N43</f>
        <v/>
      </c>
      <c r="E1890" s="472" t="str">
        <f>'RO5'!O43</f>
        <v/>
      </c>
      <c r="F1890" s="472" t="str">
        <f>'RO5'!Q43</f>
        <v/>
      </c>
      <c r="H1890" s="471">
        <f t="shared" si="288"/>
        <v>5</v>
      </c>
      <c r="I1890" s="471">
        <v>2</v>
      </c>
      <c r="J1890" s="471" t="str">
        <f t="shared" si="289"/>
        <v>culspr-spr-lsr-fcl</v>
      </c>
      <c r="K1890" s="471" t="str">
        <f t="shared" si="290"/>
        <v>net-cur-exp</v>
      </c>
      <c r="L1890" s="599"/>
      <c r="M1890" s="471" t="s">
        <v>5802</v>
      </c>
      <c r="N1890" s="471" t="s">
        <v>1114</v>
      </c>
      <c r="O1890" s="471" t="s">
        <v>1113</v>
      </c>
    </row>
    <row r="1891" spans="1:15" x14ac:dyDescent="0.25">
      <c r="A1891" s="471" t="s">
        <v>6141</v>
      </c>
      <c r="B1891" s="1139">
        <f t="shared" ca="1" si="287"/>
        <v>0</v>
      </c>
      <c r="C1891" s="473">
        <f ca="1">IF(ISERROR(VLOOKUP($A$1504,INDIRECT("notes_"&amp;LEFT($A$1504,3)),4,0)),0,VLOOKUP($A$1504,INDIRECT("notes_"&amp;LEFT($A$1504,3)),4,0))</f>
        <v>0</v>
      </c>
      <c r="D1891" s="472" t="str">
        <f>'RO5'!N45</f>
        <v/>
      </c>
      <c r="E1891" s="472" t="str">
        <f>'RO5'!O45</f>
        <v/>
      </c>
      <c r="F1891" s="472" t="str">
        <f>'RO5'!Q45</f>
        <v/>
      </c>
      <c r="H1891" s="471">
        <f t="shared" si="288"/>
        <v>3</v>
      </c>
      <c r="I1891" s="471">
        <v>2</v>
      </c>
      <c r="J1891" s="471" t="str">
        <f t="shared" si="289"/>
        <v>culprk-opn</v>
      </c>
      <c r="K1891" s="471" t="str">
        <f t="shared" si="290"/>
        <v>net-cur-exp</v>
      </c>
      <c r="L1891" s="599"/>
      <c r="M1891" s="471" t="s">
        <v>5802</v>
      </c>
      <c r="N1891" s="471" t="s">
        <v>1114</v>
      </c>
      <c r="O1891" s="471" t="s">
        <v>1113</v>
      </c>
    </row>
    <row r="1892" spans="1:15" x14ac:dyDescent="0.25">
      <c r="A1892" s="471" t="s">
        <v>6142</v>
      </c>
      <c r="B1892" s="1139">
        <f t="shared" ca="1" si="287"/>
        <v>0</v>
      </c>
      <c r="C1892" s="473">
        <f ca="1">IF(ISERROR(VLOOKUP($A$1505,INDIRECT("notes_"&amp;LEFT($A$1505,3)),4,0)),0,VLOOKUP($A$1505,INDIRECT("notes_"&amp;LEFT($A$1505,3)),4,0))</f>
        <v>0</v>
      </c>
      <c r="D1892" s="472" t="str">
        <f>'RO5'!N47</f>
        <v/>
      </c>
      <c r="E1892" s="472" t="str">
        <f>'RO5'!O47</f>
        <v/>
      </c>
      <c r="F1892" s="472" t="str">
        <f>'RO5'!Q47</f>
        <v/>
      </c>
      <c r="H1892" s="471">
        <f t="shared" si="288"/>
        <v>2</v>
      </c>
      <c r="I1892" s="471">
        <v>2</v>
      </c>
      <c r="J1892" s="471" t="str">
        <f t="shared" si="289"/>
        <v>culall</v>
      </c>
      <c r="K1892" s="471" t="str">
        <f t="shared" si="290"/>
        <v>net-cur-exp</v>
      </c>
      <c r="L1892" s="599"/>
      <c r="M1892" s="471" t="s">
        <v>5802</v>
      </c>
      <c r="N1892" s="471" t="s">
        <v>1114</v>
      </c>
      <c r="O1892" s="471" t="s">
        <v>1113</v>
      </c>
    </row>
    <row r="1893" spans="1:15" x14ac:dyDescent="0.25">
      <c r="A1893" s="471" t="s">
        <v>6143</v>
      </c>
      <c r="B1893" s="1139">
        <f t="shared" ca="1" si="287"/>
        <v>0</v>
      </c>
      <c r="C1893" s="473">
        <f ca="1">IF(ISERROR(VLOOKUP($A$1506,INDIRECT("notes_"&amp;LEFT($A$1506,3)),4,0)),0,VLOOKUP($A$1506,INDIRECT("notes_"&amp;LEFT($A$1506,3)),4,0))</f>
        <v>0</v>
      </c>
      <c r="D1893" s="472" t="str">
        <f>'RO5'!N49</f>
        <v/>
      </c>
      <c r="E1893" s="472" t="str">
        <f>'RO5'!O49</f>
        <v/>
      </c>
      <c r="F1893" s="472" t="str">
        <f>'RO5'!Q49</f>
        <v/>
      </c>
      <c r="H1893" s="471">
        <f t="shared" si="288"/>
        <v>2</v>
      </c>
      <c r="I1893" s="471">
        <v>2</v>
      </c>
      <c r="J1893" s="471" t="str">
        <f t="shared" si="289"/>
        <v>cultrs</v>
      </c>
      <c r="K1893" s="471" t="str">
        <f t="shared" si="290"/>
        <v>net-cur-exp</v>
      </c>
      <c r="L1893" s="599"/>
      <c r="M1893" s="471" t="s">
        <v>5802</v>
      </c>
      <c r="N1893" s="471" t="s">
        <v>1114</v>
      </c>
      <c r="O1893" s="471" t="s">
        <v>1113</v>
      </c>
    </row>
    <row r="1894" spans="1:15" x14ac:dyDescent="0.25">
      <c r="A1894" s="471" t="s">
        <v>6144</v>
      </c>
      <c r="B1894" s="1139">
        <f t="shared" ca="1" si="287"/>
        <v>0</v>
      </c>
      <c r="C1894" s="473">
        <f ca="1">IF(ISERROR(VLOOKUP($A$1507,INDIRECT("notes_"&amp;LEFT($A$1507,3)),4,0)),0,VLOOKUP($A$1507,INDIRECT("notes_"&amp;LEFT($A$1507,3)),4,0))</f>
        <v>0</v>
      </c>
      <c r="D1894" s="472" t="str">
        <f>'RO5'!N51</f>
        <v/>
      </c>
      <c r="E1894" s="472" t="e">
        <f>'RO5'!O51</f>
        <v>#N/A</v>
      </c>
      <c r="F1894" s="472" t="e">
        <f>'RO5'!Q51</f>
        <v>#N/A</v>
      </c>
      <c r="H1894" s="471">
        <f t="shared" si="288"/>
        <v>2</v>
      </c>
      <c r="I1894" s="471">
        <v>2</v>
      </c>
      <c r="J1894" s="471" t="str">
        <f t="shared" si="289"/>
        <v>cullib</v>
      </c>
      <c r="K1894" s="471" t="str">
        <f t="shared" si="290"/>
        <v>net-cur-exp</v>
      </c>
      <c r="L1894" s="599"/>
      <c r="M1894" s="471" t="s">
        <v>5802</v>
      </c>
      <c r="N1894" s="471" t="s">
        <v>1114</v>
      </c>
      <c r="O1894" s="471" t="s">
        <v>1113</v>
      </c>
    </row>
    <row r="1895" spans="1:15" x14ac:dyDescent="0.25">
      <c r="A1895" s="471" t="s">
        <v>6145</v>
      </c>
      <c r="B1895" s="1139">
        <f t="shared" ca="1" si="287"/>
        <v>0</v>
      </c>
      <c r="C1895" s="473">
        <f ca="1">IF(ISERROR(VLOOKUP($A$1508,INDIRECT("notes_"&amp;LEFT($A$1508,3)),4,0)),0,VLOOKUP($A$1508,INDIRECT("notes_"&amp;LEFT($A$1508,3)),4,0))</f>
        <v>0</v>
      </c>
      <c r="D1895" s="472" t="str">
        <f>'RO5'!N53</f>
        <v/>
      </c>
      <c r="E1895" s="472" t="str">
        <f>'RO5'!O53</f>
        <v/>
      </c>
      <c r="F1895" s="472" t="str">
        <f>'RO5'!Q53</f>
        <v/>
      </c>
      <c r="H1895" s="471">
        <f t="shared" si="288"/>
        <v>2</v>
      </c>
      <c r="I1895" s="471">
        <v>2</v>
      </c>
      <c r="J1895" s="471" t="str">
        <f t="shared" si="289"/>
        <v>cultot</v>
      </c>
      <c r="K1895" s="471" t="str">
        <f t="shared" si="290"/>
        <v>net-cur-exp</v>
      </c>
      <c r="L1895" s="599"/>
      <c r="M1895" s="471" t="s">
        <v>5802</v>
      </c>
      <c r="N1895" s="471" t="s">
        <v>1114</v>
      </c>
      <c r="O1895" s="471" t="s">
        <v>1113</v>
      </c>
    </row>
    <row r="1896" spans="1:15" x14ac:dyDescent="0.25">
      <c r="A1896" s="471" t="s">
        <v>6146</v>
      </c>
      <c r="B1896" s="1139">
        <f t="shared" ca="1" si="287"/>
        <v>0</v>
      </c>
      <c r="C1896" s="473">
        <f ca="1">IF(ISERROR(VLOOKUP($A$1509,INDIRECT("notes_"&amp;LEFT($A$1509,3)),4,0)),0,VLOOKUP($A$1509,INDIRECT("notes_"&amp;LEFT($A$1509,3)),4,0))</f>
        <v>0</v>
      </c>
      <c r="D1896" s="472" t="str">
        <f>'RO5'!N64</f>
        <v/>
      </c>
      <c r="E1896" s="472" t="str">
        <f>'RO5'!O64</f>
        <v/>
      </c>
      <c r="F1896" s="472" t="str">
        <f>'RO5'!Q64</f>
        <v/>
      </c>
      <c r="H1896" s="471">
        <f t="shared" si="288"/>
        <v>2</v>
      </c>
      <c r="I1896" s="471">
        <v>2</v>
      </c>
      <c r="J1896" s="471" t="str">
        <f t="shared" si="289"/>
        <v>envcmt</v>
      </c>
      <c r="K1896" s="471" t="str">
        <f t="shared" si="290"/>
        <v>net-cur-exp</v>
      </c>
      <c r="L1896" s="599"/>
      <c r="M1896" s="471" t="s">
        <v>5802</v>
      </c>
      <c r="N1896" s="471" t="s">
        <v>1114</v>
      </c>
      <c r="O1896" s="471" t="s">
        <v>1113</v>
      </c>
    </row>
    <row r="1897" spans="1:15" x14ac:dyDescent="0.25">
      <c r="A1897" s="471" t="s">
        <v>6147</v>
      </c>
      <c r="B1897" s="1139">
        <f t="shared" ca="1" si="287"/>
        <v>0</v>
      </c>
      <c r="C1897" s="473">
        <f ca="1">IF(ISERROR(VLOOKUP($A$1510,INDIRECT("notes_"&amp;LEFT($A$1510,3)),4,0)),0,VLOOKUP($A$1510,INDIRECT("notes_"&amp;LEFT($A$1510,3)),4,0))</f>
        <v>0</v>
      </c>
      <c r="D1897" s="472" t="str">
        <f>'RO5'!N67</f>
        <v/>
      </c>
      <c r="E1897" s="472" t="e">
        <f>'RO5'!O67</f>
        <v>#N/A</v>
      </c>
      <c r="F1897" s="472" t="e">
        <f>'RO5'!Q67</f>
        <v>#N/A</v>
      </c>
      <c r="H1897" s="471">
        <f t="shared" si="288"/>
        <v>2</v>
      </c>
      <c r="I1897" s="471">
        <v>2</v>
      </c>
      <c r="J1897" s="471" t="str">
        <f t="shared" si="289"/>
        <v>envrgltrd</v>
      </c>
      <c r="K1897" s="471" t="str">
        <f t="shared" si="290"/>
        <v>net-cur-exp</v>
      </c>
      <c r="L1897" s="599"/>
      <c r="M1897" s="471" t="s">
        <v>5802</v>
      </c>
      <c r="N1897" s="471" t="s">
        <v>1114</v>
      </c>
      <c r="O1897" s="471" t="s">
        <v>1113</v>
      </c>
    </row>
    <row r="1898" spans="1:15" x14ac:dyDescent="0.25">
      <c r="A1898" s="471" t="s">
        <v>6148</v>
      </c>
      <c r="B1898" s="1139">
        <f t="shared" ca="1" si="287"/>
        <v>0</v>
      </c>
      <c r="C1898" s="473">
        <f ca="1">IF(ISERROR(VLOOKUP($A$1511,INDIRECT("notes_"&amp;LEFT($A$1511,3)),4,0)),0,VLOOKUP($A$1511,INDIRECT("notes_"&amp;LEFT($A$1511,3)),4,0))</f>
        <v>0</v>
      </c>
      <c r="D1898" s="472" t="str">
        <f>'RO5'!N68</f>
        <v/>
      </c>
      <c r="E1898" s="472" t="str">
        <f>'RO5'!O68</f>
        <v/>
      </c>
      <c r="F1898" s="472" t="str">
        <f>'RO5'!Q68</f>
        <v/>
      </c>
      <c r="H1898" s="471">
        <f t="shared" si="288"/>
        <v>2</v>
      </c>
      <c r="I1898" s="471">
        <v>2</v>
      </c>
      <c r="J1898" s="471" t="str">
        <f t="shared" si="289"/>
        <v>envrglenvwtr</v>
      </c>
      <c r="K1898" s="471" t="str">
        <f t="shared" si="290"/>
        <v>net-cur-exp</v>
      </c>
      <c r="L1898" s="599"/>
      <c r="M1898" s="471" t="s">
        <v>5802</v>
      </c>
      <c r="N1898" s="471" t="s">
        <v>1114</v>
      </c>
      <c r="O1898" s="471" t="s">
        <v>1113</v>
      </c>
    </row>
    <row r="1899" spans="1:15" x14ac:dyDescent="0.25">
      <c r="A1899" s="471" t="s">
        <v>6149</v>
      </c>
      <c r="B1899" s="1139">
        <f t="shared" ca="1" si="287"/>
        <v>0</v>
      </c>
      <c r="C1899" s="473">
        <f ca="1">IF(ISERROR(VLOOKUP($A$1512,INDIRECT("notes_"&amp;LEFT($A$1512,3)),4,0)),0,VLOOKUP($A$1512,INDIRECT("notes_"&amp;LEFT($A$1512,3)),4,0))</f>
        <v>0</v>
      </c>
      <c r="D1899" s="472" t="str">
        <f>'RO5'!N69</f>
        <v/>
      </c>
      <c r="E1899" s="472" t="str">
        <f>'RO5'!O69</f>
        <v/>
      </c>
      <c r="F1899" s="472" t="str">
        <f>'RO5'!Q69</f>
        <v/>
      </c>
      <c r="H1899" s="471">
        <f t="shared" si="288"/>
        <v>2</v>
      </c>
      <c r="I1899" s="471">
        <v>2</v>
      </c>
      <c r="J1899" s="471" t="str">
        <f t="shared" si="289"/>
        <v>envrglenvfd</v>
      </c>
      <c r="K1899" s="471" t="str">
        <f t="shared" si="290"/>
        <v>net-cur-exp</v>
      </c>
      <c r="L1899" s="599"/>
      <c r="M1899" s="471" t="s">
        <v>5802</v>
      </c>
      <c r="N1899" s="471" t="s">
        <v>1114</v>
      </c>
      <c r="O1899" s="471" t="s">
        <v>1113</v>
      </c>
    </row>
    <row r="1900" spans="1:15" x14ac:dyDescent="0.25">
      <c r="A1900" s="471" t="s">
        <v>6150</v>
      </c>
      <c r="B1900" s="1139">
        <f t="shared" ca="1" si="287"/>
        <v>0</v>
      </c>
      <c r="C1900" s="473">
        <f ca="1">IF(ISERROR(VLOOKUP($A$1513,INDIRECT("notes_"&amp;LEFT($A$1513,3)),4,0)),0,VLOOKUP($A$1513,INDIRECT("notes_"&amp;LEFT($A$1513,3)),4,0))</f>
        <v>0</v>
      </c>
      <c r="D1900" s="472" t="str">
        <f>'RO5'!N70</f>
        <v/>
      </c>
      <c r="E1900" s="472" t="str">
        <f>'RO5'!O70</f>
        <v/>
      </c>
      <c r="F1900" s="472" t="str">
        <f>'RO5'!Q70</f>
        <v/>
      </c>
      <c r="H1900" s="471">
        <f t="shared" si="288"/>
        <v>2</v>
      </c>
      <c r="I1900" s="471">
        <v>2</v>
      </c>
      <c r="J1900" s="471" t="str">
        <f t="shared" si="289"/>
        <v>envrglenvenv</v>
      </c>
      <c r="K1900" s="471" t="str">
        <f t="shared" si="290"/>
        <v>net-cur-exp</v>
      </c>
      <c r="L1900" s="599"/>
      <c r="M1900" s="471" t="s">
        <v>5802</v>
      </c>
      <c r="N1900" s="471" t="s">
        <v>1114</v>
      </c>
      <c r="O1900" s="471" t="s">
        <v>1113</v>
      </c>
    </row>
    <row r="1901" spans="1:15" x14ac:dyDescent="0.25">
      <c r="A1901" s="471" t="s">
        <v>6151</v>
      </c>
      <c r="B1901" s="1139">
        <f t="shared" ref="B1901:B1965" ca="1" si="291">INDEX(INDIRECT(LEFT($A1901,SEARCH("-",$A1901,1)-1)&amp;"_data"),MATCH(MID($A1901,SEARCH("-",$A1901)+1,SEARCH("#",SUBSTITUTE($A1901,"-","#",H1901),1)-(SEARCH("-",$A1901)+1)),INDIRECT(LEFT($A1901,SEARCH("-",$A1901,1)-1)&amp;"_rows"),0),MATCH(RIGHT($A1901,LEN($A1901)-SEARCH("#",SUBSTITUTE($A1901,"-","#",H1901),1)),INDIRECT(LEFT($A1901,SEARCH("-",$A1901,1)-1)&amp;"_Header"),0))</f>
        <v>0</v>
      </c>
      <c r="C1901" s="473">
        <f ca="1">IF(ISERROR(VLOOKUP($A$1514,INDIRECT("notes_"&amp;LEFT($A$1514,3)),4,0)),0,VLOOKUP($A$1514,INDIRECT("notes_"&amp;LEFT($A$1514,3)),4,0))</f>
        <v>0</v>
      </c>
      <c r="D1901" s="472" t="str">
        <f>'RO5'!N71</f>
        <v/>
      </c>
      <c r="E1901" s="472" t="str">
        <f>'RO5'!O71</f>
        <v/>
      </c>
      <c r="F1901" s="472" t="str">
        <f>'RO5'!Q71</f>
        <v/>
      </c>
      <c r="H1901" s="471">
        <f t="shared" si="288"/>
        <v>2</v>
      </c>
      <c r="I1901" s="471">
        <v>2</v>
      </c>
      <c r="J1901" s="471" t="str">
        <f t="shared" si="289"/>
        <v>envrglenvhsn</v>
      </c>
      <c r="K1901" s="471" t="str">
        <f t="shared" si="290"/>
        <v>net-cur-exp</v>
      </c>
      <c r="L1901" s="599"/>
      <c r="M1901" s="471" t="s">
        <v>5802</v>
      </c>
      <c r="N1901" s="471" t="s">
        <v>1114</v>
      </c>
      <c r="O1901" s="471" t="s">
        <v>1113</v>
      </c>
    </row>
    <row r="1902" spans="1:15" x14ac:dyDescent="0.25">
      <c r="A1902" s="471" t="s">
        <v>6152</v>
      </c>
      <c r="B1902" s="1139">
        <f t="shared" ca="1" si="291"/>
        <v>0</v>
      </c>
      <c r="C1902" s="473">
        <f ca="1">IF(ISERROR(VLOOKUP($A$1515,INDIRECT("notes_"&amp;LEFT($A$1515,3)),4,0)),0,VLOOKUP($A$1515,INDIRECT("notes_"&amp;LEFT($A$1515,3)),4,0))</f>
        <v>0</v>
      </c>
      <c r="D1902" s="472" t="str">
        <f>'RO5'!N72</f>
        <v/>
      </c>
      <c r="E1902" s="472" t="str">
        <f>'RO5'!O72</f>
        <v/>
      </c>
      <c r="F1902" s="472" t="str">
        <f>'RO5'!Q72</f>
        <v/>
      </c>
      <c r="H1902" s="471">
        <f t="shared" si="288"/>
        <v>2</v>
      </c>
      <c r="I1902" s="471">
        <v>2</v>
      </c>
      <c r="J1902" s="471" t="str">
        <f t="shared" si="289"/>
        <v>envrglenvhs</v>
      </c>
      <c r="K1902" s="471" t="str">
        <f t="shared" si="290"/>
        <v>net-cur-exp</v>
      </c>
      <c r="L1902" s="599"/>
      <c r="M1902" s="471" t="s">
        <v>5802</v>
      </c>
      <c r="N1902" s="471" t="s">
        <v>1114</v>
      </c>
      <c r="O1902" s="471" t="s">
        <v>1113</v>
      </c>
    </row>
    <row r="1903" spans="1:15" x14ac:dyDescent="0.25">
      <c r="A1903" s="471" t="s">
        <v>6153</v>
      </c>
      <c r="B1903" s="1139">
        <f t="shared" ca="1" si="291"/>
        <v>0</v>
      </c>
      <c r="C1903" s="473">
        <f ca="1">IF(ISERROR(VLOOKUP($A$1516,INDIRECT("notes_"&amp;LEFT($A$1516,3)),4,0)),0,VLOOKUP($A$1516,INDIRECT("notes_"&amp;LEFT($A$1516,3)),4,0))</f>
        <v>0</v>
      </c>
      <c r="D1903" s="472" t="str">
        <f>'RO5'!N73</f>
        <v/>
      </c>
      <c r="E1903" s="472" t="str">
        <f>'RO5'!O73</f>
        <v/>
      </c>
      <c r="F1903" s="472" t="str">
        <f>'RO5'!Q73</f>
        <v/>
      </c>
      <c r="H1903" s="471">
        <f t="shared" si="288"/>
        <v>2</v>
      </c>
      <c r="I1903" s="471">
        <v>2</v>
      </c>
      <c r="J1903" s="471" t="str">
        <f t="shared" si="289"/>
        <v>envrglenvprtxlvs</v>
      </c>
      <c r="K1903" s="471" t="str">
        <f t="shared" si="290"/>
        <v>net-cur-exp</v>
      </c>
      <c r="L1903" s="599"/>
      <c r="M1903" s="471" t="s">
        <v>5802</v>
      </c>
      <c r="N1903" s="471" t="s">
        <v>1114</v>
      </c>
      <c r="O1903" s="471" t="s">
        <v>1113</v>
      </c>
    </row>
    <row r="1904" spans="1:15" x14ac:dyDescent="0.25">
      <c r="A1904" s="471" t="s">
        <v>6154</v>
      </c>
      <c r="B1904" s="1139">
        <f t="shared" ca="1" si="291"/>
        <v>0</v>
      </c>
      <c r="C1904" s="473">
        <f ca="1">IF(ISERROR(VLOOKUP($A$1517,INDIRECT("notes_"&amp;LEFT($A$1517,3)),4,0)),0,VLOOKUP($A$1517,INDIRECT("notes_"&amp;LEFT($A$1517,3)),4,0))</f>
        <v>0</v>
      </c>
      <c r="D1904" s="472" t="str">
        <f>'RO5'!N74</f>
        <v/>
      </c>
      <c r="E1904" s="472" t="str">
        <f>'RO5'!O74</f>
        <v/>
      </c>
      <c r="F1904" s="472" t="str">
        <f>'RO5'!Q74</f>
        <v/>
      </c>
      <c r="H1904" s="471">
        <f t="shared" si="288"/>
        <v>2</v>
      </c>
      <c r="I1904" s="471">
        <v>2</v>
      </c>
      <c r="J1904" s="471" t="str">
        <f t="shared" si="289"/>
        <v>envrglenvprtlvs</v>
      </c>
      <c r="K1904" s="471" t="str">
        <f t="shared" si="290"/>
        <v>net-cur-exp</v>
      </c>
      <c r="L1904" s="599"/>
      <c r="M1904" s="471" t="s">
        <v>5802</v>
      </c>
      <c r="N1904" s="471" t="s">
        <v>1114</v>
      </c>
      <c r="O1904" s="471" t="s">
        <v>1113</v>
      </c>
    </row>
    <row r="1905" spans="1:15" x14ac:dyDescent="0.25">
      <c r="A1905" s="471" t="s">
        <v>6155</v>
      </c>
      <c r="B1905" s="1139">
        <f t="shared" ca="1" si="291"/>
        <v>0</v>
      </c>
      <c r="C1905" s="473">
        <f ca="1">IF(ISERROR(VLOOKUP($A$1518,INDIRECT("notes_"&amp;LEFT($A$1518,3)),4,0)),0,VLOOKUP($A$1518,INDIRECT("notes_"&amp;LEFT($A$1518,3)),4,0))</f>
        <v>0</v>
      </c>
      <c r="D1905" s="472" t="str">
        <f>'RO5'!N75</f>
        <v/>
      </c>
      <c r="E1905" s="472" t="str">
        <f>'RO5'!O75</f>
        <v/>
      </c>
      <c r="F1905" s="472" t="str">
        <f>'RO5'!Q75</f>
        <v/>
      </c>
      <c r="H1905" s="471">
        <f t="shared" si="288"/>
        <v>2</v>
      </c>
      <c r="I1905" s="471">
        <v>2</v>
      </c>
      <c r="J1905" s="471" t="str">
        <f t="shared" si="289"/>
        <v>envrglenvpst</v>
      </c>
      <c r="K1905" s="471" t="str">
        <f t="shared" si="290"/>
        <v>net-cur-exp</v>
      </c>
      <c r="L1905" s="599"/>
      <c r="M1905" s="471" t="s">
        <v>5802</v>
      </c>
      <c r="N1905" s="471" t="s">
        <v>1114</v>
      </c>
      <c r="O1905" s="471" t="s">
        <v>1113</v>
      </c>
    </row>
    <row r="1906" spans="1:15" x14ac:dyDescent="0.25">
      <c r="A1906" s="471" t="s">
        <v>6156</v>
      </c>
      <c r="B1906" s="1139">
        <f t="shared" ca="1" si="291"/>
        <v>0</v>
      </c>
      <c r="C1906" s="473">
        <f ca="1">IF(ISERROR(VLOOKUP($A$1519,INDIRECT("notes_"&amp;LEFT($A$1519,3)),4,0)),0,VLOOKUP($A$1519,INDIRECT("notes_"&amp;LEFT($A$1519,3)),4,0))</f>
        <v>0</v>
      </c>
      <c r="D1906" s="472" t="str">
        <f>'RO5'!N76</f>
        <v/>
      </c>
      <c r="E1906" s="472" t="str">
        <f>'RO5'!O76</f>
        <v/>
      </c>
      <c r="F1906" s="472" t="str">
        <f>'RO5'!Q76</f>
        <v/>
      </c>
      <c r="H1906" s="471">
        <f t="shared" si="288"/>
        <v>2</v>
      </c>
      <c r="I1906" s="471">
        <v>2</v>
      </c>
      <c r="J1906" s="471" t="str">
        <f t="shared" si="289"/>
        <v>envrglenvtlt</v>
      </c>
      <c r="K1906" s="471" t="str">
        <f t="shared" si="290"/>
        <v>net-cur-exp</v>
      </c>
      <c r="L1906" s="599"/>
      <c r="M1906" s="471" t="s">
        <v>5802</v>
      </c>
      <c r="N1906" s="471" t="s">
        <v>1114</v>
      </c>
      <c r="O1906" s="471" t="s">
        <v>1113</v>
      </c>
    </row>
    <row r="1907" spans="1:15" x14ac:dyDescent="0.25">
      <c r="A1907" s="471" t="s">
        <v>6157</v>
      </c>
      <c r="B1907" s="1139">
        <f t="shared" ca="1" si="291"/>
        <v>0</v>
      </c>
      <c r="C1907" s="473">
        <f ca="1">IF(ISERROR(VLOOKUP($A$1520,INDIRECT("notes_"&amp;LEFT($A$1520,3)),4,0)),0,VLOOKUP($A$1520,INDIRECT("notes_"&amp;LEFT($A$1520,3)),4,0))</f>
        <v>0</v>
      </c>
      <c r="D1907" s="472" t="str">
        <f>'RO5'!N77</f>
        <v/>
      </c>
      <c r="E1907" s="472" t="str">
        <f>'RO5'!O77</f>
        <v/>
      </c>
      <c r="F1907" s="472" t="str">
        <f>'RO5'!Q77</f>
        <v/>
      </c>
      <c r="H1907" s="471">
        <f t="shared" si="288"/>
        <v>2</v>
      </c>
      <c r="I1907" s="471">
        <v>2</v>
      </c>
      <c r="J1907" s="471" t="str">
        <f t="shared" si="289"/>
        <v>envrglenvanm</v>
      </c>
      <c r="K1907" s="471" t="str">
        <f t="shared" si="290"/>
        <v>net-cur-exp</v>
      </c>
      <c r="L1907" s="599"/>
      <c r="M1907" s="471" t="s">
        <v>5802</v>
      </c>
      <c r="N1907" s="471" t="s">
        <v>1114</v>
      </c>
      <c r="O1907" s="471" t="s">
        <v>1113</v>
      </c>
    </row>
    <row r="1908" spans="1:15" x14ac:dyDescent="0.25">
      <c r="A1908" s="471" t="s">
        <v>6158</v>
      </c>
      <c r="B1908" s="1139">
        <f t="shared" ca="1" si="291"/>
        <v>0</v>
      </c>
      <c r="C1908" s="473">
        <f ca="1">IF(ISERROR(VLOOKUP($A$1521,INDIRECT("notes_"&amp;LEFT($A$1521,3)),4,0)),0,VLOOKUP($A$1521,INDIRECT("notes_"&amp;LEFT($A$1521,3)),4,0))</f>
        <v>0</v>
      </c>
      <c r="D1908" s="472" t="str">
        <f>'RO5'!N78</f>
        <v/>
      </c>
      <c r="E1908" s="472" t="str">
        <f>'RO5'!O78</f>
        <v/>
      </c>
      <c r="F1908" s="472" t="str">
        <f>'RO5'!Q78</f>
        <v/>
      </c>
      <c r="H1908" s="471">
        <f t="shared" si="288"/>
        <v>2</v>
      </c>
      <c r="I1908" s="471">
        <v>2</v>
      </c>
      <c r="J1908" s="471" t="str">
        <f t="shared" si="289"/>
        <v>envrglenvlcn</v>
      </c>
      <c r="K1908" s="471" t="str">
        <f t="shared" si="290"/>
        <v>net-cur-exp</v>
      </c>
      <c r="L1908" s="599"/>
      <c r="M1908" s="471" t="s">
        <v>5802</v>
      </c>
      <c r="N1908" s="471" t="s">
        <v>1114</v>
      </c>
      <c r="O1908" s="471" t="s">
        <v>1113</v>
      </c>
    </row>
    <row r="1909" spans="1:15" x14ac:dyDescent="0.25">
      <c r="A1909" s="471" t="s">
        <v>6159</v>
      </c>
      <c r="B1909" s="1139">
        <f t="shared" ca="1" si="291"/>
        <v>0</v>
      </c>
      <c r="C1909" s="473">
        <f ca="1">IF(ISERROR(VLOOKUP($A$1522,INDIRECT("notes_"&amp;LEFT($A$1522,3)),4,0)),0,VLOOKUP($A$1522,INDIRECT("notes_"&amp;LEFT($A$1522,3)),4,0))</f>
        <v>0</v>
      </c>
      <c r="D1909" s="472" t="str">
        <f>'RO5'!N81</f>
        <v/>
      </c>
      <c r="E1909" s="472" t="str">
        <f>'RO5'!O81</f>
        <v/>
      </c>
      <c r="F1909" s="472" t="str">
        <f>'RO5'!Q81</f>
        <v/>
      </c>
      <c r="H1909" s="471">
        <f t="shared" si="288"/>
        <v>2</v>
      </c>
      <c r="I1909" s="471">
        <v>2</v>
      </c>
      <c r="J1909" s="471" t="str">
        <f t="shared" si="289"/>
        <v>envcmmcrm</v>
      </c>
      <c r="K1909" s="471" t="str">
        <f t="shared" si="290"/>
        <v>net-cur-exp</v>
      </c>
      <c r="L1909" s="599"/>
      <c r="M1909" s="471" t="s">
        <v>5802</v>
      </c>
      <c r="N1909" s="471" t="s">
        <v>1114</v>
      </c>
      <c r="O1909" s="471" t="s">
        <v>1113</v>
      </c>
    </row>
    <row r="1910" spans="1:15" x14ac:dyDescent="0.25">
      <c r="A1910" s="471" t="s">
        <v>6160</v>
      </c>
      <c r="B1910" s="1139">
        <f t="shared" ca="1" si="291"/>
        <v>0</v>
      </c>
      <c r="C1910" s="473">
        <f ca="1">IF(ISERROR(VLOOKUP($A$1523,INDIRECT("notes_"&amp;LEFT($A$1523,3)),4,0)),0,VLOOKUP($A$1523,INDIRECT("notes_"&amp;LEFT($A$1523,3)),4,0))</f>
        <v>0</v>
      </c>
      <c r="D1910" s="472" t="str">
        <f>'RO5'!N82</f>
        <v/>
      </c>
      <c r="E1910" s="472" t="str">
        <f>'RO5'!O82</f>
        <v/>
      </c>
      <c r="F1910" s="472" t="str">
        <f>'RO5'!Q82</f>
        <v/>
      </c>
      <c r="H1910" s="471">
        <f t="shared" si="288"/>
        <v>2</v>
      </c>
      <c r="I1910" s="471">
        <v>2</v>
      </c>
      <c r="J1910" s="471" t="str">
        <f t="shared" si="289"/>
        <v>envcmmsft</v>
      </c>
      <c r="K1910" s="471" t="str">
        <f t="shared" si="290"/>
        <v>net-cur-exp</v>
      </c>
      <c r="L1910" s="599"/>
      <c r="M1910" s="471" t="s">
        <v>5802</v>
      </c>
      <c r="N1910" s="471" t="s">
        <v>1114</v>
      </c>
      <c r="O1910" s="471" t="s">
        <v>1113</v>
      </c>
    </row>
    <row r="1911" spans="1:15" x14ac:dyDescent="0.25">
      <c r="A1911" s="471" t="s">
        <v>6161</v>
      </c>
      <c r="B1911" s="1139">
        <f t="shared" ca="1" si="291"/>
        <v>0</v>
      </c>
      <c r="C1911" s="473">
        <f ca="1">IF(ISERROR(VLOOKUP($A$1524,INDIRECT("notes_"&amp;LEFT($A$1524,3)),4,0)),0,VLOOKUP($A$1524,INDIRECT("notes_"&amp;LEFT($A$1524,3)),4,0))</f>
        <v>0</v>
      </c>
      <c r="D1911" s="472" t="str">
        <f>'RO5'!N83</f>
        <v/>
      </c>
      <c r="E1911" s="472" t="str">
        <f>'RO5'!O83</f>
        <v/>
      </c>
      <c r="F1911" s="472" t="str">
        <f>'RO5'!Q83</f>
        <v/>
      </c>
      <c r="H1911" s="471">
        <f t="shared" si="288"/>
        <v>2</v>
      </c>
      <c r="I1911" s="471">
        <v>2</v>
      </c>
      <c r="J1911" s="471" t="str">
        <f t="shared" si="289"/>
        <v>envcmmcct</v>
      </c>
      <c r="K1911" s="471" t="str">
        <f t="shared" si="290"/>
        <v>net-cur-exp</v>
      </c>
      <c r="L1911" s="599"/>
      <c r="M1911" s="471" t="s">
        <v>5802</v>
      </c>
      <c r="N1911" s="471" t="s">
        <v>1114</v>
      </c>
      <c r="O1911" s="471" t="s">
        <v>1113</v>
      </c>
    </row>
    <row r="1912" spans="1:15" x14ac:dyDescent="0.25">
      <c r="A1912" s="471" t="s">
        <v>6162</v>
      </c>
      <c r="B1912" s="1139">
        <f t="shared" ca="1" si="291"/>
        <v>0</v>
      </c>
      <c r="C1912" s="473">
        <f ca="1">IF(ISERROR(VLOOKUP($A$1525,INDIRECT("notes_"&amp;LEFT($A$1525,3)),4,0)),0,VLOOKUP($A$1525,INDIRECT("notes_"&amp;LEFT($A$1525,3)),4,0))</f>
        <v>0</v>
      </c>
      <c r="D1912" s="472" t="str">
        <f>'RO5'!N86</f>
        <v/>
      </c>
      <c r="E1912" s="472" t="str">
        <f>'RO5'!O86</f>
        <v/>
      </c>
      <c r="F1912" s="472" t="str">
        <f>'RO5'!Q86</f>
        <v/>
      </c>
      <c r="H1912" s="471">
        <f t="shared" si="288"/>
        <v>2</v>
      </c>
      <c r="I1912" s="471">
        <v>2</v>
      </c>
      <c r="J1912" s="471" t="str">
        <f t="shared" si="289"/>
        <v>envfldfld</v>
      </c>
      <c r="K1912" s="471" t="str">
        <f t="shared" si="290"/>
        <v>net-cur-exp</v>
      </c>
      <c r="L1912" s="599"/>
      <c r="M1912" s="471" t="s">
        <v>5802</v>
      </c>
      <c r="N1912" s="471" t="s">
        <v>1114</v>
      </c>
      <c r="O1912" s="471" t="s">
        <v>1113</v>
      </c>
    </row>
    <row r="1913" spans="1:15" x14ac:dyDescent="0.25">
      <c r="A1913" s="471" t="s">
        <v>6163</v>
      </c>
      <c r="B1913" s="1139">
        <f t="shared" ca="1" si="291"/>
        <v>0</v>
      </c>
      <c r="C1913" s="473">
        <f ca="1">IF(ISERROR(VLOOKUP($A$1526,INDIRECT("notes_"&amp;LEFT($A$1526,3)),4,0)),0,VLOOKUP($A$1526,INDIRECT("notes_"&amp;LEFT($A$1526,3)),4,0))</f>
        <v>0</v>
      </c>
      <c r="D1913" s="472" t="str">
        <f>'RO5'!N87</f>
        <v/>
      </c>
      <c r="E1913" s="472" t="str">
        <f>'RO5'!O87</f>
        <v/>
      </c>
      <c r="F1913" s="472" t="str">
        <f>'RO5'!Q87</f>
        <v/>
      </c>
      <c r="H1913" s="471">
        <f t="shared" si="288"/>
        <v>2</v>
      </c>
      <c r="I1913" s="471">
        <v>2</v>
      </c>
      <c r="J1913" s="471" t="str">
        <f t="shared" si="289"/>
        <v>envflddrn</v>
      </c>
      <c r="K1913" s="471" t="str">
        <f t="shared" si="290"/>
        <v>net-cur-exp</v>
      </c>
      <c r="L1913" s="599"/>
      <c r="M1913" s="471" t="s">
        <v>5802</v>
      </c>
      <c r="N1913" s="471" t="s">
        <v>1114</v>
      </c>
      <c r="O1913" s="471" t="s">
        <v>1113</v>
      </c>
    </row>
    <row r="1914" spans="1:15" x14ac:dyDescent="0.25">
      <c r="A1914" s="471" t="s">
        <v>6164</v>
      </c>
      <c r="B1914" s="1139">
        <f t="shared" ca="1" si="291"/>
        <v>0</v>
      </c>
      <c r="C1914" s="473">
        <f ca="1">IF(ISERROR(VLOOKUP($A$1527,INDIRECT("notes_"&amp;LEFT($A$1527,3)),4,0)),0,VLOOKUP($A$1527,INDIRECT("notes_"&amp;LEFT($A$1527,3)),4,0))</f>
        <v>0</v>
      </c>
      <c r="D1914" s="472" t="str">
        <f>'RO5'!N88</f>
        <v/>
      </c>
      <c r="E1914" s="472" t="str">
        <f>'RO5'!O88</f>
        <v/>
      </c>
      <c r="F1914" s="472" t="str">
        <f>'RO5'!Q88</f>
        <v/>
      </c>
      <c r="H1914" s="471">
        <f t="shared" si="288"/>
        <v>2</v>
      </c>
      <c r="I1914" s="471">
        <v>2</v>
      </c>
      <c r="J1914" s="471" t="str">
        <f t="shared" si="289"/>
        <v>envflddrnlev</v>
      </c>
      <c r="K1914" s="471" t="str">
        <f t="shared" si="290"/>
        <v>net-cur-exp</v>
      </c>
      <c r="L1914" s="599"/>
      <c r="M1914" s="471" t="s">
        <v>5802</v>
      </c>
      <c r="N1914" s="471" t="s">
        <v>1114</v>
      </c>
      <c r="O1914" s="471" t="s">
        <v>1113</v>
      </c>
    </row>
    <row r="1915" spans="1:15" x14ac:dyDescent="0.25">
      <c r="A1915" s="471" t="s">
        <v>6165</v>
      </c>
      <c r="B1915" s="1139">
        <f t="shared" ca="1" si="291"/>
        <v>0</v>
      </c>
      <c r="C1915" s="473">
        <f ca="1">IF(ISERROR(VLOOKUP($A$1528,INDIRECT("notes_"&amp;LEFT($A$1528,3)),4,0)),0,VLOOKUP($A$1528,INDIRECT("notes_"&amp;LEFT($A$1528,3)),4,0))</f>
        <v>0</v>
      </c>
      <c r="D1915" s="472" t="str">
        <f>'RO5'!N89</f>
        <v/>
      </c>
      <c r="E1915" s="472" t="str">
        <f>'RO5'!O89</f>
        <v/>
      </c>
      <c r="F1915" s="472" t="str">
        <f>'RO5'!Q89</f>
        <v/>
      </c>
      <c r="H1915" s="471">
        <f t="shared" si="288"/>
        <v>2</v>
      </c>
      <c r="I1915" s="471">
        <v>2</v>
      </c>
      <c r="J1915" s="471" t="str">
        <f t="shared" si="289"/>
        <v>envcst</v>
      </c>
      <c r="K1915" s="471" t="str">
        <f t="shared" si="290"/>
        <v>net-cur-exp</v>
      </c>
      <c r="L1915" s="599"/>
      <c r="M1915" s="471" t="s">
        <v>5802</v>
      </c>
      <c r="N1915" s="471" t="s">
        <v>1114</v>
      </c>
      <c r="O1915" s="471" t="s">
        <v>1113</v>
      </c>
    </row>
    <row r="1916" spans="1:15" x14ac:dyDescent="0.25">
      <c r="A1916" s="471" t="s">
        <v>6166</v>
      </c>
      <c r="B1916" s="1139">
        <f t="shared" ca="1" si="291"/>
        <v>0</v>
      </c>
      <c r="C1916" s="473">
        <f ca="1">IF(ISERROR(VLOOKUP($A$1529,INDIRECT("notes_"&amp;LEFT($A$1529,3)),4,0)),0,VLOOKUP($A$1529,INDIRECT("notes_"&amp;LEFT($A$1529,3)),4,0))</f>
        <v>0</v>
      </c>
      <c r="D1916" s="472" t="str">
        <f>'RO5'!N91</f>
        <v/>
      </c>
      <c r="E1916" s="472" t="str">
        <f>'RO5'!O91</f>
        <v/>
      </c>
      <c r="F1916" s="472" t="str">
        <f>'RO5'!Q91</f>
        <v/>
      </c>
      <c r="H1916" s="471">
        <f t="shared" si="288"/>
        <v>2</v>
      </c>
      <c r="I1916" s="471">
        <v>2</v>
      </c>
      <c r="J1916" s="471" t="str">
        <f t="shared" si="289"/>
        <v>envagr</v>
      </c>
      <c r="K1916" s="471" t="str">
        <f t="shared" si="290"/>
        <v>net-cur-exp</v>
      </c>
      <c r="L1916" s="599"/>
      <c r="M1916" s="471" t="s">
        <v>5802</v>
      </c>
      <c r="N1916" s="471" t="s">
        <v>1114</v>
      </c>
      <c r="O1916" s="471" t="s">
        <v>1113</v>
      </c>
    </row>
    <row r="1917" spans="1:15" x14ac:dyDescent="0.25">
      <c r="A1917" s="471" t="s">
        <v>6167</v>
      </c>
      <c r="B1917" s="1139">
        <f t="shared" ca="1" si="291"/>
        <v>0</v>
      </c>
      <c r="C1917" s="473">
        <f ca="1">IF(ISERROR(VLOOKUP($A$1530,INDIRECT("notes_"&amp;LEFT($A$1530,3)),4,0)),0,VLOOKUP($A$1530,INDIRECT("notes_"&amp;LEFT($A$1530,3)),4,0))</f>
        <v>0</v>
      </c>
      <c r="D1917" s="472" t="str">
        <f>'RO5'!N94</f>
        <v/>
      </c>
      <c r="E1917" s="472" t="str">
        <f>'RO5'!O94</f>
        <v/>
      </c>
      <c r="F1917" s="472" t="str">
        <f>'RO5'!Q94</f>
        <v/>
      </c>
      <c r="H1917" s="471">
        <f t="shared" si="288"/>
        <v>2</v>
      </c>
      <c r="I1917" s="471">
        <v>2</v>
      </c>
      <c r="J1917" s="471" t="str">
        <f t="shared" si="289"/>
        <v>envstr</v>
      </c>
      <c r="K1917" s="471" t="str">
        <f t="shared" si="290"/>
        <v>net-cur-exp</v>
      </c>
      <c r="L1917" s="599"/>
      <c r="M1917" s="471" t="s">
        <v>5802</v>
      </c>
      <c r="N1917" s="471" t="s">
        <v>1114</v>
      </c>
      <c r="O1917" s="471" t="s">
        <v>1113</v>
      </c>
    </row>
    <row r="1918" spans="1:15" x14ac:dyDescent="0.25">
      <c r="A1918" s="471" t="s">
        <v>6168</v>
      </c>
      <c r="B1918" s="1139">
        <f t="shared" ca="1" si="291"/>
        <v>0</v>
      </c>
      <c r="C1918" s="473">
        <f ca="1">IF(ISERROR(VLOOKUP($A$1531,INDIRECT("notes_"&amp;LEFT($A$1531,3)),4,0)),0,VLOOKUP($A$1531,INDIRECT("notes_"&amp;LEFT($A$1531,3)),4,0))</f>
        <v>0</v>
      </c>
      <c r="D1918" s="472" t="str">
        <f>'RO5'!N97</f>
        <v/>
      </c>
      <c r="E1918" s="472" t="str">
        <f>'RO5'!O97</f>
        <v/>
      </c>
      <c r="F1918" s="472" t="str">
        <f>'RO5'!Q97</f>
        <v/>
      </c>
      <c r="H1918" s="471">
        <f t="shared" si="288"/>
        <v>2</v>
      </c>
      <c r="I1918" s="471">
        <v>2</v>
      </c>
      <c r="J1918" s="471" t="str">
        <f t="shared" si="289"/>
        <v>envcll</v>
      </c>
      <c r="K1918" s="471" t="str">
        <f t="shared" si="290"/>
        <v>net-cur-exp</v>
      </c>
      <c r="L1918" s="599"/>
      <c r="M1918" s="471" t="s">
        <v>5802</v>
      </c>
      <c r="N1918" s="471" t="s">
        <v>1114</v>
      </c>
      <c r="O1918" s="471" t="s">
        <v>1113</v>
      </c>
    </row>
    <row r="1919" spans="1:15" x14ac:dyDescent="0.25">
      <c r="A1919" s="471" t="s">
        <v>6169</v>
      </c>
      <c r="B1919" s="1139">
        <f t="shared" ca="1" si="291"/>
        <v>0</v>
      </c>
      <c r="C1919" s="473">
        <f ca="1">IF(ISERROR(VLOOKUP($A$1532,INDIRECT("notes_"&amp;LEFT($A$1532,3)),4,0)),0,VLOOKUP($A$1532,INDIRECT("notes_"&amp;LEFT($A$1532,3)),4,0))</f>
        <v>0</v>
      </c>
      <c r="D1919" s="472" t="str">
        <f>'RO5'!N98</f>
        <v/>
      </c>
      <c r="E1919" s="472" t="str">
        <f>'RO5'!O98</f>
        <v/>
      </c>
      <c r="F1919" s="472" t="str">
        <f>'RO5'!Q98</f>
        <v/>
      </c>
      <c r="H1919" s="471">
        <f t="shared" si="288"/>
        <v>2</v>
      </c>
      <c r="I1919" s="471">
        <v>2</v>
      </c>
      <c r="J1919" s="471" t="str">
        <f t="shared" si="289"/>
        <v>envdsp</v>
      </c>
      <c r="K1919" s="471" t="str">
        <f t="shared" si="290"/>
        <v>net-cur-exp</v>
      </c>
      <c r="L1919" s="599"/>
      <c r="M1919" s="471" t="s">
        <v>5802</v>
      </c>
      <c r="N1919" s="471" t="s">
        <v>1114</v>
      </c>
      <c r="O1919" s="471" t="s">
        <v>1113</v>
      </c>
    </row>
    <row r="1920" spans="1:15" x14ac:dyDescent="0.25">
      <c r="A1920" s="471" t="s">
        <v>6170</v>
      </c>
      <c r="B1920" s="1139">
        <f t="shared" ca="1" si="291"/>
        <v>0</v>
      </c>
      <c r="C1920" s="473">
        <f ca="1">IF(ISERROR(VLOOKUP($A$1533,INDIRECT("notes_"&amp;LEFT($A$1533,3)),4,0)),0,VLOOKUP($A$1533,INDIRECT("notes_"&amp;LEFT($A$1533,3)),4,0))</f>
        <v>0</v>
      </c>
      <c r="D1920" s="472" t="str">
        <f>'RO5'!N99</f>
        <v/>
      </c>
      <c r="E1920" s="472" t="str">
        <f>'RO5'!O99</f>
        <v/>
      </c>
      <c r="F1920" s="472" t="str">
        <f>'RO5'!Q99</f>
        <v/>
      </c>
      <c r="H1920" s="471">
        <f t="shared" si="288"/>
        <v>2</v>
      </c>
      <c r="I1920" s="471">
        <v>2</v>
      </c>
      <c r="J1920" s="471" t="str">
        <f t="shared" si="289"/>
        <v>envtrd</v>
      </c>
      <c r="K1920" s="471" t="str">
        <f t="shared" si="290"/>
        <v>net-cur-exp</v>
      </c>
      <c r="L1920" s="599"/>
      <c r="M1920" s="471" t="s">
        <v>5802</v>
      </c>
      <c r="N1920" s="471" t="s">
        <v>1114</v>
      </c>
      <c r="O1920" s="471" t="s">
        <v>1113</v>
      </c>
    </row>
    <row r="1921" spans="1:15" x14ac:dyDescent="0.25">
      <c r="A1921" s="471" t="s">
        <v>6171</v>
      </c>
      <c r="B1921" s="1139">
        <f t="shared" ca="1" si="291"/>
        <v>0</v>
      </c>
      <c r="C1921" s="473">
        <f ca="1">IF(ISERROR(VLOOKUP($A$1534,INDIRECT("notes_"&amp;LEFT($A$1534,3)),4,0)),0,VLOOKUP($A$1534,INDIRECT("notes_"&amp;LEFT($A$1534,3)),4,0))</f>
        <v>0</v>
      </c>
      <c r="D1921" s="472" t="str">
        <f>'RO5'!N100</f>
        <v/>
      </c>
      <c r="E1921" s="472" t="str">
        <f>'RO5'!O100</f>
        <v/>
      </c>
      <c r="F1921" s="472" t="str">
        <f>'RO5'!Q100</f>
        <v/>
      </c>
      <c r="H1921" s="471">
        <f t="shared" ref="H1921:H1985" si="292">LEN(A1921)-LEN(SUBSTITUTE(A1921,"-",""))-I1921</f>
        <v>2</v>
      </c>
      <c r="I1921" s="471">
        <v>2</v>
      </c>
      <c r="J1921" s="471" t="str">
        <f t="shared" ref="J1921:J1938" si="293">MID($A1921,SEARCH("-",$A1921)+1,SEARCH("#",SUBSTITUTE($A1921,"-","#",H1921),1)-(SEARCH("-",$A1921)+1))</f>
        <v>envrcy</v>
      </c>
      <c r="K1921" s="471" t="str">
        <f t="shared" ref="K1921:K1938" si="294">RIGHT($A1921,LEN($A1921)-SEARCH("#",SUBSTITUTE($A1921,"-","#",H1921),1))</f>
        <v>net-cur-exp</v>
      </c>
      <c r="L1921" s="599"/>
      <c r="M1921" s="471" t="s">
        <v>5802</v>
      </c>
      <c r="N1921" s="471" t="s">
        <v>1114</v>
      </c>
      <c r="O1921" s="471" t="s">
        <v>1113</v>
      </c>
    </row>
    <row r="1922" spans="1:15" x14ac:dyDescent="0.25">
      <c r="A1922" s="471" t="s">
        <v>6172</v>
      </c>
      <c r="B1922" s="1139">
        <f t="shared" ca="1" si="291"/>
        <v>0</v>
      </c>
      <c r="C1922" s="473">
        <f ca="1">IF(ISERROR(VLOOKUP($A$1535,INDIRECT("notes_"&amp;LEFT($A$1535,3)),4,0)),0,VLOOKUP($A$1535,INDIRECT("notes_"&amp;LEFT($A$1535,3)),4,0))</f>
        <v>0</v>
      </c>
      <c r="D1922" s="472" t="str">
        <f>'RO5'!N101</f>
        <v/>
      </c>
      <c r="E1922" s="472" t="str">
        <f>'RO5'!O101</f>
        <v/>
      </c>
      <c r="F1922" s="472" t="str">
        <f>'RO5'!Q101</f>
        <v/>
      </c>
      <c r="H1922" s="471">
        <f t="shared" si="292"/>
        <v>2</v>
      </c>
      <c r="I1922" s="471">
        <v>2</v>
      </c>
      <c r="J1922" s="471" t="str">
        <f t="shared" si="293"/>
        <v>envmin</v>
      </c>
      <c r="K1922" s="471" t="str">
        <f t="shared" si="294"/>
        <v>net-cur-exp</v>
      </c>
      <c r="L1922" s="599"/>
      <c r="M1922" s="471" t="s">
        <v>5802</v>
      </c>
      <c r="N1922" s="471" t="s">
        <v>1114</v>
      </c>
      <c r="O1922" s="471" t="s">
        <v>1113</v>
      </c>
    </row>
    <row r="1923" spans="1:15" x14ac:dyDescent="0.25">
      <c r="A1923" s="471" t="s">
        <v>6173</v>
      </c>
      <c r="B1923" s="1139">
        <f t="shared" ca="1" si="291"/>
        <v>0</v>
      </c>
      <c r="C1923" s="473">
        <f ca="1">IF(ISERROR(VLOOKUP($A$1536,INDIRECT("notes_"&amp;LEFT($A$1536,3)),4,0)),0,VLOOKUP($A$1536,INDIRECT("notes_"&amp;LEFT($A$1536,3)),4,0))</f>
        <v>0</v>
      </c>
      <c r="D1923" s="472" t="str">
        <f>'RO5'!N102</f>
        <v/>
      </c>
      <c r="E1923" s="472" t="str">
        <f>'RO5'!O102</f>
        <v/>
      </c>
      <c r="F1923" s="472" t="str">
        <f>'RO5'!Q102</f>
        <v/>
      </c>
      <c r="H1923" s="471">
        <f t="shared" si="292"/>
        <v>2</v>
      </c>
      <c r="I1923" s="471">
        <v>2</v>
      </c>
      <c r="J1923" s="471" t="str">
        <f t="shared" si="293"/>
        <v>envclm</v>
      </c>
      <c r="K1923" s="471" t="str">
        <f t="shared" si="294"/>
        <v>net-cur-exp</v>
      </c>
      <c r="L1923" s="599"/>
      <c r="M1923" s="471" t="s">
        <v>5802</v>
      </c>
      <c r="N1923" s="471" t="s">
        <v>1114</v>
      </c>
      <c r="O1923" s="471" t="s">
        <v>1113</v>
      </c>
    </row>
    <row r="1924" spans="1:15" x14ac:dyDescent="0.25">
      <c r="A1924" s="471" t="s">
        <v>6174</v>
      </c>
      <c r="B1924" s="1139">
        <f t="shared" ca="1" si="291"/>
        <v>0</v>
      </c>
      <c r="C1924" s="473">
        <f ca="1">IF(ISERROR(VLOOKUP($A$1537,INDIRECT("notes_"&amp;LEFT($A$1537,3)),4,0)),0,VLOOKUP($A$1537,INDIRECT("notes_"&amp;LEFT($A$1537,3)),4,0))</f>
        <v>0</v>
      </c>
      <c r="D1924" s="472" t="str">
        <f>'RO5'!N104</f>
        <v/>
      </c>
      <c r="E1924" s="472" t="str">
        <f>'RO5'!O104</f>
        <v/>
      </c>
      <c r="F1924" s="472" t="str">
        <f>'RO5'!Q104</f>
        <v/>
      </c>
      <c r="H1924" s="471">
        <f t="shared" si="292"/>
        <v>2</v>
      </c>
      <c r="I1924" s="471">
        <v>2</v>
      </c>
      <c r="J1924" s="471" t="str">
        <f t="shared" si="293"/>
        <v>envtot</v>
      </c>
      <c r="K1924" s="471" t="str">
        <f t="shared" si="294"/>
        <v>net-cur-exp</v>
      </c>
      <c r="L1924" s="599"/>
      <c r="M1924" s="471" t="s">
        <v>5802</v>
      </c>
      <c r="N1924" s="471" t="s">
        <v>1114</v>
      </c>
      <c r="O1924" s="471" t="s">
        <v>1113</v>
      </c>
    </row>
    <row r="1925" spans="1:15" x14ac:dyDescent="0.25">
      <c r="A1925" s="471" t="s">
        <v>6175</v>
      </c>
      <c r="B1925" s="1139">
        <f t="shared" ca="1" si="291"/>
        <v>0</v>
      </c>
      <c r="C1925" s="473">
        <f ca="1">IF(ISERROR(VLOOKUP($A$1538,INDIRECT("notes_"&amp;LEFT($A$1538,3)),4,0)),0,VLOOKUP($A$1538,INDIRECT("notes_"&amp;LEFT($A$1538,3)),4,0))</f>
        <v>0</v>
      </c>
      <c r="D1925" s="472" t="str">
        <f>'RO5'!N115</f>
        <v/>
      </c>
      <c r="E1925" s="472" t="str">
        <f>'RO5'!O115</f>
        <v/>
      </c>
      <c r="F1925" s="472" t="str">
        <f>'RO5'!Q115</f>
        <v/>
      </c>
      <c r="H1925" s="471">
        <f t="shared" si="292"/>
        <v>2</v>
      </c>
      <c r="I1925" s="471">
        <v>2</v>
      </c>
      <c r="J1925" s="471" t="str">
        <f t="shared" si="293"/>
        <v>planbld</v>
      </c>
      <c r="K1925" s="471" t="str">
        <f t="shared" si="294"/>
        <v>net-cur-exp</v>
      </c>
      <c r="L1925" s="599"/>
      <c r="M1925" s="471" t="s">
        <v>5802</v>
      </c>
      <c r="N1925" s="471" t="s">
        <v>1114</v>
      </c>
      <c r="O1925" s="471" t="s">
        <v>1113</v>
      </c>
    </row>
    <row r="1926" spans="1:15" x14ac:dyDescent="0.25">
      <c r="A1926" s="471" t="s">
        <v>6176</v>
      </c>
      <c r="B1926" s="1139">
        <f t="shared" ca="1" si="291"/>
        <v>0</v>
      </c>
      <c r="C1926" s="473">
        <f ca="1">IF(ISERROR(VLOOKUP($A$1539,INDIRECT("notes_"&amp;LEFT($A$1539,3)),4,0)),0,VLOOKUP($A$1539,INDIRECT("notes_"&amp;LEFT($A$1539,3)),4,0))</f>
        <v>0</v>
      </c>
      <c r="D1926" s="472" t="str">
        <f>'RO5'!N117</f>
        <v/>
      </c>
      <c r="E1926" s="472" t="str">
        <f>'RO5'!O117</f>
        <v/>
      </c>
      <c r="F1926" s="472" t="str">
        <f>'RO5'!Q117</f>
        <v/>
      </c>
      <c r="H1926" s="471">
        <f t="shared" si="292"/>
        <v>2</v>
      </c>
      <c r="I1926" s="471">
        <v>2</v>
      </c>
      <c r="J1926" s="471" t="str">
        <f t="shared" si="293"/>
        <v>plandvl</v>
      </c>
      <c r="K1926" s="471" t="str">
        <f t="shared" si="294"/>
        <v>net-cur-exp</v>
      </c>
      <c r="L1926" s="599"/>
      <c r="M1926" s="471" t="s">
        <v>5802</v>
      </c>
      <c r="N1926" s="471" t="s">
        <v>1114</v>
      </c>
      <c r="O1926" s="471" t="s">
        <v>1113</v>
      </c>
    </row>
    <row r="1927" spans="1:15" x14ac:dyDescent="0.25">
      <c r="A1927" s="471" t="s">
        <v>6177</v>
      </c>
      <c r="B1927" s="1139">
        <f t="shared" ca="1" si="291"/>
        <v>0</v>
      </c>
      <c r="C1927" s="473">
        <f ca="1">IF(ISERROR(VLOOKUP($A$1540,INDIRECT("notes_"&amp;LEFT($A$1540,3)),4,0)),0,VLOOKUP($A$1540,INDIRECT("notes_"&amp;LEFT($A$1540,3)),4,0))</f>
        <v>0</v>
      </c>
      <c r="D1927" s="472" t="str">
        <f>'RO5'!N120</f>
        <v/>
      </c>
      <c r="E1927" s="472" t="str">
        <f>'RO5'!O120</f>
        <v/>
      </c>
      <c r="F1927" s="472" t="str">
        <f>'RO5'!Q120</f>
        <v/>
      </c>
      <c r="H1927" s="471">
        <f t="shared" si="292"/>
        <v>5</v>
      </c>
      <c r="I1927" s="471">
        <v>2</v>
      </c>
      <c r="J1927" s="471" t="str">
        <f t="shared" si="293"/>
        <v>planplc-cns-lst-bld</v>
      </c>
      <c r="K1927" s="471" t="str">
        <f t="shared" si="294"/>
        <v>net-cur-exp</v>
      </c>
      <c r="L1927" s="599"/>
      <c r="M1927" s="471" t="s">
        <v>5802</v>
      </c>
      <c r="N1927" s="471" t="s">
        <v>1114</v>
      </c>
      <c r="O1927" s="471" t="s">
        <v>1113</v>
      </c>
    </row>
    <row r="1928" spans="1:15" x14ac:dyDescent="0.25">
      <c r="A1928" s="471" t="s">
        <v>6178</v>
      </c>
      <c r="B1928" s="1139">
        <f t="shared" ca="1" si="291"/>
        <v>0</v>
      </c>
      <c r="C1928" s="473">
        <f ca="1">IF(ISERROR(VLOOKUP($A$1541,INDIRECT("notes_"&amp;LEFT($A$1541,3)),4,0)),0,VLOOKUP($A$1541,INDIRECT("notes_"&amp;LEFT($A$1541,3)),4,0))</f>
        <v>0</v>
      </c>
      <c r="D1928" s="472" t="str">
        <f>'RO5'!N121</f>
        <v/>
      </c>
      <c r="E1928" s="472" t="str">
        <f>'RO5'!O121</f>
        <v/>
      </c>
      <c r="F1928" s="472" t="str">
        <f>'RO5'!Q121</f>
        <v/>
      </c>
      <c r="H1928" s="471">
        <f t="shared" si="292"/>
        <v>3</v>
      </c>
      <c r="I1928" s="471">
        <v>2</v>
      </c>
      <c r="J1928" s="471" t="str">
        <f t="shared" si="293"/>
        <v>planplc-oth</v>
      </c>
      <c r="K1928" s="471" t="str">
        <f t="shared" si="294"/>
        <v>net-cur-exp</v>
      </c>
      <c r="L1928" s="599"/>
      <c r="M1928" s="471" t="s">
        <v>5802</v>
      </c>
      <c r="N1928" s="471" t="s">
        <v>1114</v>
      </c>
      <c r="O1928" s="471" t="s">
        <v>1113</v>
      </c>
    </row>
    <row r="1929" spans="1:15" x14ac:dyDescent="0.25">
      <c r="A1929" s="471" t="s">
        <v>6179</v>
      </c>
      <c r="B1929" s="1139">
        <f t="shared" ca="1" si="291"/>
        <v>0</v>
      </c>
      <c r="C1929" s="473">
        <f ca="1">IF(ISERROR(VLOOKUP($A$1542,INDIRECT("notes_"&amp;LEFT($A$1542,3)),4,0)),0,VLOOKUP($A$1542,INDIRECT("notes_"&amp;LEFT($A$1542,3)),4,0))</f>
        <v>0</v>
      </c>
      <c r="D1929" s="472" t="str">
        <f>'RO5'!N123</f>
        <v/>
      </c>
      <c r="E1929" s="472" t="str">
        <f>'RO5'!O123</f>
        <v/>
      </c>
      <c r="F1929" s="472" t="str">
        <f>'RO5'!Q123</f>
        <v/>
      </c>
      <c r="H1929" s="471">
        <f t="shared" si="292"/>
        <v>2</v>
      </c>
      <c r="I1929" s="471">
        <v>2</v>
      </c>
      <c r="J1929" s="471" t="str">
        <f t="shared" si="293"/>
        <v>planenv</v>
      </c>
      <c r="K1929" s="471" t="str">
        <f t="shared" si="294"/>
        <v>net-cur-exp</v>
      </c>
      <c r="L1929" s="599"/>
      <c r="M1929" s="471" t="s">
        <v>5802</v>
      </c>
      <c r="N1929" s="471" t="s">
        <v>1114</v>
      </c>
      <c r="O1929" s="471" t="s">
        <v>1113</v>
      </c>
    </row>
    <row r="1930" spans="1:15" x14ac:dyDescent="0.25">
      <c r="A1930" s="471" t="s">
        <v>6180</v>
      </c>
      <c r="B1930" s="1139">
        <f t="shared" ca="1" si="291"/>
        <v>0</v>
      </c>
      <c r="C1930" s="473">
        <f ca="1">IF(ISERROR(VLOOKUP($A$1543,INDIRECT("notes_"&amp;LEFT($A$1543,3)),4,0)),0,VLOOKUP($A$1543,INDIRECT("notes_"&amp;LEFT($A$1543,3)),4,0))</f>
        <v>0</v>
      </c>
      <c r="D1930" s="472" t="str">
        <f>'RO5'!N125</f>
        <v/>
      </c>
      <c r="E1930" s="472" t="str">
        <f>'RO5'!O125</f>
        <v/>
      </c>
      <c r="F1930" s="472" t="str">
        <f>'RO5'!Q125</f>
        <v/>
      </c>
      <c r="H1930" s="471">
        <f t="shared" si="292"/>
        <v>2</v>
      </c>
      <c r="I1930" s="471">
        <v>2</v>
      </c>
      <c r="J1930" s="471" t="str">
        <f t="shared" si="293"/>
        <v>planecndev</v>
      </c>
      <c r="K1930" s="471" t="str">
        <f t="shared" si="294"/>
        <v>net-cur-exp</v>
      </c>
      <c r="L1930" s="599"/>
      <c r="M1930" s="471" t="s">
        <v>5802</v>
      </c>
      <c r="N1930" s="471" t="s">
        <v>1114</v>
      </c>
      <c r="O1930" s="471" t="s">
        <v>1113</v>
      </c>
    </row>
    <row r="1931" spans="1:15" x14ac:dyDescent="0.25">
      <c r="A1931" s="471" t="s">
        <v>6181</v>
      </c>
      <c r="B1931" s="1139">
        <f t="shared" ca="1" si="291"/>
        <v>0</v>
      </c>
      <c r="C1931" s="473">
        <f ca="1">IF(ISERROR(VLOOKUP($A$1544,INDIRECT("notes_"&amp;LEFT($A$1544,3)),4,0)),0,VLOOKUP($A$1544,INDIRECT("notes_"&amp;LEFT($A$1544,3)),4,0))</f>
        <v>0</v>
      </c>
      <c r="D1931" s="472" t="str">
        <f>'RO5'!N126</f>
        <v/>
      </c>
      <c r="E1931" s="472" t="str">
        <f>'RO5'!O126</f>
        <v/>
      </c>
      <c r="F1931" s="472" t="str">
        <f>'RO5'!Q126</f>
        <v/>
      </c>
      <c r="H1931" s="471">
        <f t="shared" si="292"/>
        <v>2</v>
      </c>
      <c r="I1931" s="471">
        <v>2</v>
      </c>
      <c r="J1931" s="471" t="str">
        <f t="shared" si="293"/>
        <v>planecnrsr</v>
      </c>
      <c r="K1931" s="471" t="str">
        <f t="shared" si="294"/>
        <v>net-cur-exp</v>
      </c>
      <c r="L1931" s="599"/>
      <c r="M1931" s="471" t="s">
        <v>5802</v>
      </c>
      <c r="N1931" s="471" t="s">
        <v>1114</v>
      </c>
      <c r="O1931" s="471" t="s">
        <v>1113</v>
      </c>
    </row>
    <row r="1932" spans="1:15" x14ac:dyDescent="0.25">
      <c r="A1932" s="471" t="s">
        <v>6182</v>
      </c>
      <c r="B1932" s="1139">
        <f t="shared" ca="1" si="291"/>
        <v>0</v>
      </c>
      <c r="C1932" s="473">
        <f ca="1">IF(ISERROR(VLOOKUP($A$1545,INDIRECT("notes_"&amp;LEFT($A$1545,3)),4,0)),0,VLOOKUP($A$1545,INDIRECT("notes_"&amp;LEFT($A$1545,3)),4,0))</f>
        <v>0</v>
      </c>
      <c r="D1932" s="472" t="str">
        <f>'RO5'!N127</f>
        <v/>
      </c>
      <c r="E1932" s="472" t="str">
        <f>'RO5'!O127</f>
        <v/>
      </c>
      <c r="F1932" s="472" t="str">
        <f>'RO5'!Q127</f>
        <v/>
      </c>
      <c r="H1932" s="471">
        <f t="shared" si="292"/>
        <v>2</v>
      </c>
      <c r="I1932" s="471">
        <v>2</v>
      </c>
      <c r="J1932" s="471" t="str">
        <f t="shared" si="293"/>
        <v>planbsn</v>
      </c>
      <c r="K1932" s="471" t="str">
        <f t="shared" si="294"/>
        <v>net-cur-exp</v>
      </c>
      <c r="L1932" s="599"/>
      <c r="M1932" s="471" t="s">
        <v>5802</v>
      </c>
      <c r="N1932" s="471" t="s">
        <v>1114</v>
      </c>
      <c r="O1932" s="471" t="s">
        <v>1113</v>
      </c>
    </row>
    <row r="1933" spans="1:15" x14ac:dyDescent="0.25">
      <c r="A1933" s="471" t="s">
        <v>6183</v>
      </c>
      <c r="B1933" s="1139">
        <f t="shared" ca="1" si="291"/>
        <v>0</v>
      </c>
      <c r="C1933" s="473">
        <f ca="1">IF(ISERROR(VLOOKUP($A$1546,INDIRECT("notes_"&amp;LEFT($A$1546,3)),4,0)),0,VLOOKUP($A$1546,INDIRECT("notes_"&amp;LEFT($A$1546,3)),4,0))</f>
        <v>0</v>
      </c>
      <c r="D1933" s="472" t="str">
        <f>'RO5'!N129</f>
        <v/>
      </c>
      <c r="E1933" s="472" t="str">
        <f>'RO5'!O129</f>
        <v/>
      </c>
      <c r="F1933" s="472" t="str">
        <f>'RO5'!Q129</f>
        <v/>
      </c>
      <c r="H1933" s="471">
        <f t="shared" si="292"/>
        <v>2</v>
      </c>
      <c r="I1933" s="471">
        <v>2</v>
      </c>
      <c r="J1933" s="471" t="str">
        <f t="shared" si="293"/>
        <v>plancmm</v>
      </c>
      <c r="K1933" s="471" t="str">
        <f t="shared" si="294"/>
        <v>net-cur-exp</v>
      </c>
      <c r="L1933" s="599"/>
      <c r="M1933" s="471" t="s">
        <v>5802</v>
      </c>
      <c r="N1933" s="471" t="s">
        <v>1114</v>
      </c>
      <c r="O1933" s="471" t="s">
        <v>1113</v>
      </c>
    </row>
    <row r="1934" spans="1:15" x14ac:dyDescent="0.25">
      <c r="A1934" s="471" t="s">
        <v>6184</v>
      </c>
      <c r="B1934" s="1139">
        <f t="shared" ca="1" si="291"/>
        <v>0</v>
      </c>
      <c r="C1934" s="473">
        <f ca="1">IF(ISERROR(VLOOKUP($A$1547,INDIRECT("notes_"&amp;LEFT($A$1547,3)),4,0)),0,VLOOKUP($A$1547,INDIRECT("notes_"&amp;LEFT($A$1547,3)),4,0))</f>
        <v>0</v>
      </c>
      <c r="D1934" s="472" t="str">
        <f>'RO5'!N131</f>
        <v/>
      </c>
      <c r="E1934" s="472" t="str">
        <f>'RO5'!O131</f>
        <v/>
      </c>
      <c r="F1934" s="472" t="str">
        <f>'RO5'!Q131</f>
        <v/>
      </c>
      <c r="H1934" s="471">
        <f t="shared" si="292"/>
        <v>2</v>
      </c>
      <c r="I1934" s="471">
        <v>2</v>
      </c>
      <c r="J1934" s="471" t="str">
        <f t="shared" si="293"/>
        <v>plantot</v>
      </c>
      <c r="K1934" s="471" t="str">
        <f t="shared" si="294"/>
        <v>net-cur-exp</v>
      </c>
      <c r="L1934" s="599"/>
      <c r="M1934" s="471" t="s">
        <v>5802</v>
      </c>
      <c r="N1934" s="471" t="s">
        <v>1114</v>
      </c>
      <c r="O1934" s="471" t="s">
        <v>1113</v>
      </c>
    </row>
    <row r="1935" spans="1:15" x14ac:dyDescent="0.25">
      <c r="A1935" s="471" t="s">
        <v>6185</v>
      </c>
      <c r="B1935" s="1139">
        <f t="shared" ca="1" si="291"/>
        <v>0</v>
      </c>
      <c r="C1935" s="473">
        <f ca="1">IF(ISERROR(VLOOKUP($A$1548,INDIRECT("notes_"&amp;LEFT($A$1548,3)),4,0)),0,VLOOKUP($A$1548,INDIRECT("notes_"&amp;LEFT($A$1548,3)),4,0))</f>
        <v>0</v>
      </c>
      <c r="D1935" s="472" t="str">
        <f>'RO5'!N140</f>
        <v/>
      </c>
      <c r="E1935" s="472" t="str">
        <f>'RO5'!O140</f>
        <v/>
      </c>
      <c r="F1935" s="472" t="str">
        <f>'RO5'!Q140</f>
        <v/>
      </c>
      <c r="H1935" s="471">
        <f t="shared" si="292"/>
        <v>2</v>
      </c>
      <c r="I1935" s="471">
        <v>2</v>
      </c>
      <c r="J1935" s="471" t="str">
        <f t="shared" si="293"/>
        <v>culenvplantot</v>
      </c>
      <c r="K1935" s="471" t="str">
        <f t="shared" si="294"/>
        <v>net-cur-exp</v>
      </c>
      <c r="L1935" s="599"/>
      <c r="M1935" s="471" t="s">
        <v>5802</v>
      </c>
      <c r="N1935" s="471" t="s">
        <v>1114</v>
      </c>
      <c r="O1935" s="471" t="s">
        <v>1113</v>
      </c>
    </row>
    <row r="1936" spans="1:15" x14ac:dyDescent="0.25">
      <c r="A1936" s="471" t="s">
        <v>6186</v>
      </c>
      <c r="B1936" s="1139" t="str">
        <f t="shared" ca="1" si="291"/>
        <v>There are no outstanding errors or warnings with the RO6 section of the form. Thank you.</v>
      </c>
      <c r="C1936" s="473"/>
      <c r="H1936" s="471">
        <f t="shared" si="292"/>
        <v>2</v>
      </c>
      <c r="I1936" s="471">
        <v>0</v>
      </c>
      <c r="J1936" s="471" t="str">
        <f t="shared" si="293"/>
        <v>cen</v>
      </c>
      <c r="K1936" s="471" t="str">
        <f t="shared" si="294"/>
        <v>error</v>
      </c>
      <c r="L1936" s="599"/>
      <c r="M1936" s="471" t="s">
        <v>6187</v>
      </c>
      <c r="N1936" s="471" t="s">
        <v>1251</v>
      </c>
      <c r="O1936" s="471" t="s">
        <v>1250</v>
      </c>
    </row>
    <row r="1937" spans="1:15" x14ac:dyDescent="0.25">
      <c r="A1937" s="1120" t="s">
        <v>6188</v>
      </c>
      <c r="B1937" s="1139" t="str">
        <f t="shared" ca="1" si="291"/>
        <v>drop down options</v>
      </c>
      <c r="C1937" s="473"/>
      <c r="H1937" s="471">
        <f t="shared" si="292"/>
        <v>4</v>
      </c>
      <c r="I1937" s="471">
        <v>0</v>
      </c>
      <c r="J1937" s="471" t="str">
        <f t="shared" ref="J1937" si="295">MID($A1937,SEARCH("-",$A1937)+1,SEARCH("#",SUBSTITUTE($A1937,"-","#",H1937),1)-(SEARCH("-",$A1937)+1))</f>
        <v>cennd-rch-conf</v>
      </c>
      <c r="K1937" s="471" t="str">
        <f t="shared" ref="K1937" si="296">RIGHT($A1937,LEN($A1937)-SEARCH("#",SUBSTITUTE($A1937,"-","#",H1937),1))</f>
        <v>error</v>
      </c>
      <c r="L1937" s="599"/>
      <c r="M1937" s="471" t="s">
        <v>6187</v>
      </c>
      <c r="N1937" s="471" t="s">
        <v>1251</v>
      </c>
      <c r="O1937" s="471" t="s">
        <v>1250</v>
      </c>
    </row>
    <row r="1938" spans="1:15" x14ac:dyDescent="0.25">
      <c r="A1938" s="471" t="s">
        <v>2221</v>
      </c>
      <c r="B1938" s="1139">
        <f t="shared" ca="1" si="291"/>
        <v>0</v>
      </c>
      <c r="C1938" s="473">
        <f ca="1">IF(ISERROR(VLOOKUP($A$1938,INDIRECT("notes_"&amp;LEFT($A$1938,3)),4,0)),0,VLOOKUP($A$1938,INDIRECT("notes_"&amp;LEFT($A$1938,3)),4,0))</f>
        <v>0</v>
      </c>
      <c r="H1938" s="471">
        <f t="shared" si="292"/>
        <v>2</v>
      </c>
      <c r="I1938" s="471">
        <v>0</v>
      </c>
      <c r="J1938" s="471" t="str">
        <f t="shared" si="293"/>
        <v>poltot</v>
      </c>
      <c r="K1938" s="471" t="str">
        <f t="shared" si="294"/>
        <v>empl</v>
      </c>
      <c r="L1938" s="599"/>
      <c r="M1938" s="471" t="s">
        <v>6187</v>
      </c>
      <c r="N1938" s="471" t="s">
        <v>1251</v>
      </c>
      <c r="O1938" s="471" t="s">
        <v>1250</v>
      </c>
    </row>
    <row r="1939" spans="1:15" x14ac:dyDescent="0.25">
      <c r="A1939" s="471" t="s">
        <v>2224</v>
      </c>
      <c r="B1939" s="1139">
        <f t="shared" ca="1" si="291"/>
        <v>0</v>
      </c>
      <c r="C1939" s="473">
        <f ca="1">IF(ISERROR(VLOOKUP($A$1939,INDIRECT("notes_"&amp;LEFT($A$1939,3)),4,0)),0,VLOOKUP($A$1939,INDIRECT("notes_"&amp;LEFT($A$1939,3)),4,0))</f>
        <v>0</v>
      </c>
      <c r="H1939" s="471">
        <f t="shared" si="292"/>
        <v>4</v>
      </c>
      <c r="I1939" s="471">
        <v>0</v>
      </c>
      <c r="J1939" s="471" t="str">
        <f t="shared" ref="J1939:J2002" si="297">MID($A1939,SEARCH("-",$A1939)+1,SEARCH("#",SUBSTITUTE($A1939,"-","#",H1939),1)-(SEARCH("-",$A1939)+1))</f>
        <v>frs-cmm-fs</v>
      </c>
      <c r="K1939" s="471" t="str">
        <f t="shared" ref="K1939:K2002" si="298">RIGHT($A1939,LEN($A1939)-SEARCH("#",SUBSTITUTE($A1939,"-","#",H1939),1))</f>
        <v>empl</v>
      </c>
      <c r="L1939" s="599"/>
      <c r="M1939" s="471" t="s">
        <v>6187</v>
      </c>
      <c r="N1939" s="471" t="s">
        <v>1251</v>
      </c>
      <c r="O1939" s="471" t="s">
        <v>1250</v>
      </c>
    </row>
    <row r="1940" spans="1:15" x14ac:dyDescent="0.25">
      <c r="A1940" s="471" t="s">
        <v>2225</v>
      </c>
      <c r="B1940" s="1139">
        <f t="shared" ca="1" si="291"/>
        <v>0</v>
      </c>
      <c r="C1940" s="473">
        <f ca="1">IF(ISERROR(VLOOKUP($A$1940,INDIRECT("notes_"&amp;LEFT($A$1940,3)),4,0)),0,VLOOKUP($A$1940,INDIRECT("notes_"&amp;LEFT($A$1940,3)),4,0))</f>
        <v>0</v>
      </c>
      <c r="H1940" s="471">
        <f t="shared" si="292"/>
        <v>4</v>
      </c>
      <c r="I1940" s="471">
        <v>0</v>
      </c>
      <c r="J1940" s="471" t="str">
        <f t="shared" si="297"/>
        <v>frs-ffr-opr</v>
      </c>
      <c r="K1940" s="471" t="str">
        <f t="shared" si="298"/>
        <v>empl</v>
      </c>
      <c r="L1940" s="599"/>
      <c r="M1940" s="471" t="s">
        <v>6187</v>
      </c>
      <c r="N1940" s="471" t="s">
        <v>1251</v>
      </c>
      <c r="O1940" s="471" t="s">
        <v>1250</v>
      </c>
    </row>
    <row r="1941" spans="1:15" x14ac:dyDescent="0.25">
      <c r="A1941" s="471" t="s">
        <v>2226</v>
      </c>
      <c r="B1941" s="1139">
        <f t="shared" ca="1" si="291"/>
        <v>0</v>
      </c>
      <c r="C1941" s="473">
        <f ca="1">IF(ISERROR(VLOOKUP($A$1941,INDIRECT("notes_"&amp;LEFT($A$1941,3)),4,0)),0,VLOOKUP($A$1941,INDIRECT("notes_"&amp;LEFT($A$1941,3)),4,0))</f>
        <v>0</v>
      </c>
      <c r="H1941" s="471">
        <f t="shared" si="292"/>
        <v>5</v>
      </c>
      <c r="I1941" s="471">
        <v>0</v>
      </c>
      <c r="J1941" s="471" t="str">
        <f t="shared" si="297"/>
        <v>frs-frs-emr-pln</v>
      </c>
      <c r="K1941" s="471" t="str">
        <f t="shared" si="298"/>
        <v>empl</v>
      </c>
      <c r="L1941" s="599"/>
      <c r="M1941" s="471" t="s">
        <v>6187</v>
      </c>
      <c r="N1941" s="471" t="s">
        <v>1251</v>
      </c>
      <c r="O1941" s="471" t="s">
        <v>1250</v>
      </c>
    </row>
    <row r="1942" spans="1:15" x14ac:dyDescent="0.25">
      <c r="A1942" s="471" t="s">
        <v>2227</v>
      </c>
      <c r="B1942" s="1139">
        <f t="shared" ca="1" si="291"/>
        <v>0</v>
      </c>
      <c r="C1942" s="473">
        <f ca="1">IF(ISERROR(VLOOKUP($A$1942,INDIRECT("notes_"&amp;LEFT($A$1942,3)),4,0)),0,VLOOKUP($A$1942,INDIRECT("notes_"&amp;LEFT($A$1942,3)),4,0))</f>
        <v>0</v>
      </c>
      <c r="H1942" s="471">
        <f t="shared" si="292"/>
        <v>2</v>
      </c>
      <c r="I1942" s="471">
        <v>0</v>
      </c>
      <c r="J1942" s="471" t="str">
        <f t="shared" si="297"/>
        <v>frstot</v>
      </c>
      <c r="K1942" s="471" t="str">
        <f t="shared" si="298"/>
        <v>empl</v>
      </c>
      <c r="L1942" s="599"/>
      <c r="M1942" s="471" t="s">
        <v>6187</v>
      </c>
      <c r="N1942" s="471" t="s">
        <v>1251</v>
      </c>
      <c r="O1942" s="471" t="s">
        <v>1250</v>
      </c>
    </row>
    <row r="1943" spans="1:15" x14ac:dyDescent="0.25">
      <c r="A1943" s="471" t="s">
        <v>2229</v>
      </c>
      <c r="B1943" s="1139">
        <f t="shared" ca="1" si="291"/>
        <v>0</v>
      </c>
      <c r="C1943" s="473">
        <f ca="1">IF(ISERROR(VLOOKUP($A$1943,INDIRECT("notes_"&amp;LEFT($A$1943,3)),4,0)),0,VLOOKUP($A$1943,INDIRECT("notes_"&amp;LEFT($A$1943,3)),4,0))</f>
        <v>0</v>
      </c>
      <c r="H1943" s="471">
        <f t="shared" si="292"/>
        <v>2</v>
      </c>
      <c r="I1943" s="471">
        <v>0</v>
      </c>
      <c r="J1943" s="471" t="str">
        <f t="shared" si="297"/>
        <v>cencrp</v>
      </c>
      <c r="K1943" s="471" t="str">
        <f t="shared" si="298"/>
        <v>empl</v>
      </c>
      <c r="L1943" s="599"/>
      <c r="M1943" s="471" t="s">
        <v>6187</v>
      </c>
      <c r="N1943" s="471" t="s">
        <v>1251</v>
      </c>
      <c r="O1943" s="471" t="s">
        <v>1250</v>
      </c>
    </row>
    <row r="1944" spans="1:15" x14ac:dyDescent="0.25">
      <c r="A1944" s="471" t="s">
        <v>2230</v>
      </c>
      <c r="B1944" s="1139">
        <f t="shared" ca="1" si="291"/>
        <v>0</v>
      </c>
      <c r="C1944" s="473">
        <f ca="1">IF(ISERROR(VLOOKUP($A$1944,INDIRECT("notes_"&amp;LEFT($A$1944,3)),4,0)),0,VLOOKUP($A$1944,INDIRECT("notes_"&amp;LEFT($A$1944,3)),4,0))</f>
        <v>0</v>
      </c>
      <c r="H1944" s="471">
        <f t="shared" si="292"/>
        <v>3</v>
      </c>
      <c r="I1944" s="471">
        <v>0</v>
      </c>
      <c r="J1944" s="471" t="str">
        <f t="shared" si="297"/>
        <v>centax-cll</v>
      </c>
      <c r="K1944" s="471" t="str">
        <f t="shared" si="298"/>
        <v>empl</v>
      </c>
      <c r="L1944" s="599"/>
      <c r="M1944" s="471" t="s">
        <v>6187</v>
      </c>
      <c r="N1944" s="471" t="s">
        <v>1251</v>
      </c>
      <c r="O1944" s="471" t="s">
        <v>1250</v>
      </c>
    </row>
    <row r="1945" spans="1:15" x14ac:dyDescent="0.25">
      <c r="A1945" s="471" t="s">
        <v>2231</v>
      </c>
      <c r="B1945" s="1139">
        <f t="shared" ca="1" si="291"/>
        <v>0</v>
      </c>
      <c r="C1945" s="473">
        <f ca="1">IF(ISERROR(VLOOKUP($A$1945,INDIRECT("notes_"&amp;LEFT($A$1945,3)),4,0)),0,VLOOKUP($A$1945,INDIRECT("notes_"&amp;LEFT($A$1945,3)),4,0))</f>
        <v>0</v>
      </c>
      <c r="H1945" s="471">
        <f t="shared" si="292"/>
        <v>4</v>
      </c>
      <c r="I1945" s="471">
        <v>0</v>
      </c>
      <c r="J1945" s="471" t="str">
        <f t="shared" si="297"/>
        <v>centaxdsc-prm-pym</v>
      </c>
      <c r="K1945" s="471" t="str">
        <f t="shared" si="298"/>
        <v>empl</v>
      </c>
      <c r="L1945" s="599"/>
      <c r="M1945" s="471" t="s">
        <v>6187</v>
      </c>
      <c r="N1945" s="471" t="s">
        <v>1251</v>
      </c>
      <c r="O1945" s="471" t="s">
        <v>1250</v>
      </c>
    </row>
    <row r="1946" spans="1:15" x14ac:dyDescent="0.25">
      <c r="A1946" s="471" t="s">
        <v>2232</v>
      </c>
      <c r="B1946" s="1139">
        <f t="shared" ca="1" si="291"/>
        <v>0</v>
      </c>
      <c r="C1946" s="473">
        <f ca="1">IF(ISERROR(VLOOKUP($A$1946,INDIRECT("notes_"&amp;LEFT($A$1946,3)),4,0)),0,VLOOKUP($A$1946,INDIRECT("notes_"&amp;LEFT($A$1946,3)),4,0))</f>
        <v>0</v>
      </c>
      <c r="H1946" s="471">
        <f t="shared" si="292"/>
        <v>2</v>
      </c>
      <c r="I1946" s="471">
        <v>0</v>
      </c>
      <c r="J1946" s="471" t="str">
        <f t="shared" si="297"/>
        <v>centaxdsc</v>
      </c>
      <c r="K1946" s="471" t="str">
        <f t="shared" si="298"/>
        <v>empl</v>
      </c>
      <c r="L1946" s="599"/>
      <c r="M1946" s="471" t="s">
        <v>6187</v>
      </c>
      <c r="N1946" s="471" t="s">
        <v>1251</v>
      </c>
      <c r="O1946" s="471" t="s">
        <v>1250</v>
      </c>
    </row>
    <row r="1947" spans="1:15" x14ac:dyDescent="0.25">
      <c r="A1947" s="471" t="s">
        <v>2233</v>
      </c>
      <c r="B1947" s="1139">
        <f t="shared" ca="1" si="291"/>
        <v>0</v>
      </c>
      <c r="C1947" s="473">
        <f ca="1">IF(ISERROR(VLOOKUP($A$1947,INDIRECT("notes_"&amp;LEFT($A$1947,3)),4,0)),0,VLOOKUP($A$1947,INDIRECT("notes_"&amp;LEFT($A$1947,3)),4,0))</f>
        <v>0</v>
      </c>
      <c r="H1947" s="471">
        <f t="shared" si="292"/>
        <v>2</v>
      </c>
      <c r="I1947" s="471">
        <v>0</v>
      </c>
      <c r="J1947" s="471" t="str">
        <f t="shared" si="297"/>
        <v>centaxadm</v>
      </c>
      <c r="K1947" s="471" t="str">
        <f t="shared" si="298"/>
        <v>empl</v>
      </c>
      <c r="L1947" s="599"/>
      <c r="M1947" s="471" t="s">
        <v>6187</v>
      </c>
      <c r="N1947" s="471" t="s">
        <v>1251</v>
      </c>
      <c r="O1947" s="471" t="s">
        <v>1250</v>
      </c>
    </row>
    <row r="1948" spans="1:15" x14ac:dyDescent="0.25">
      <c r="A1948" s="471" t="s">
        <v>2234</v>
      </c>
      <c r="B1948" s="1139">
        <f t="shared" ca="1" si="291"/>
        <v>0</v>
      </c>
      <c r="C1948" s="473">
        <f ca="1">IF(ISERROR(VLOOKUP($A$1948,INDIRECT("notes_"&amp;LEFT($A$1948,3)),4,0)),0,VLOOKUP($A$1948,INDIRECT("notes_"&amp;LEFT($A$1948,3)),4,0))</f>
        <v>0</v>
      </c>
      <c r="H1948" s="471">
        <f t="shared" si="292"/>
        <v>5</v>
      </c>
      <c r="I1948" s="471">
        <v>0</v>
      </c>
      <c r="J1948" s="471" t="str">
        <f t="shared" si="297"/>
        <v>centaxoth-non-dms-cll</v>
      </c>
      <c r="K1948" s="471" t="str">
        <f t="shared" si="298"/>
        <v>empl</v>
      </c>
      <c r="L1948" s="599"/>
      <c r="M1948" s="471" t="s">
        <v>6187</v>
      </c>
      <c r="N1948" s="471" t="s">
        <v>1251</v>
      </c>
      <c r="O1948" s="471" t="s">
        <v>1250</v>
      </c>
    </row>
    <row r="1949" spans="1:15" x14ac:dyDescent="0.25">
      <c r="A1949" s="471" t="s">
        <v>2235</v>
      </c>
      <c r="B1949" s="1139">
        <f t="shared" ca="1" si="291"/>
        <v>0</v>
      </c>
      <c r="C1949" s="473">
        <f ca="1">IF(ISERROR(VLOOKUP($A$1949,INDIRECT("notes_"&amp;LEFT($A$1949,3)),4,0)),0,VLOOKUP($A$1949,INDIRECT("notes_"&amp;LEFT($A$1949,3)),4,0))</f>
        <v>0</v>
      </c>
      <c r="H1949" s="471">
        <f t="shared" si="292"/>
        <v>4</v>
      </c>
      <c r="I1949" s="471">
        <v>0</v>
      </c>
      <c r="J1949" s="471" t="str">
        <f t="shared" si="297"/>
        <v>centaxoth-bid-bll</v>
      </c>
      <c r="K1949" s="471" t="str">
        <f t="shared" si="298"/>
        <v>empl</v>
      </c>
      <c r="L1949" s="599"/>
      <c r="M1949" s="471" t="s">
        <v>6187</v>
      </c>
      <c r="N1949" s="471" t="s">
        <v>1251</v>
      </c>
      <c r="O1949" s="471" t="s">
        <v>1250</v>
      </c>
    </row>
    <row r="1950" spans="1:15" x14ac:dyDescent="0.25">
      <c r="A1950" s="471" t="s">
        <v>2236</v>
      </c>
      <c r="B1950" s="1139">
        <f t="shared" ca="1" si="291"/>
        <v>0</v>
      </c>
      <c r="C1950" s="473">
        <f ca="1">IF(ISERROR(VLOOKUP($A$1950,INDIRECT("notes_"&amp;LEFT($A$1950,3)),4,0)),0,VLOOKUP($A$1950,INDIRECT("notes_"&amp;LEFT($A$1950,3)),4,0))</f>
        <v>0</v>
      </c>
      <c r="H1950" s="471">
        <f t="shared" si="292"/>
        <v>4</v>
      </c>
      <c r="I1950" s="471">
        <v>0</v>
      </c>
      <c r="J1950" s="471" t="str">
        <f t="shared" si="297"/>
        <v>cencntbrt-dth-mrr</v>
      </c>
      <c r="K1950" s="471" t="str">
        <f t="shared" si="298"/>
        <v>empl</v>
      </c>
      <c r="L1950" s="599"/>
      <c r="M1950" s="471" t="s">
        <v>6187</v>
      </c>
      <c r="N1950" s="471" t="s">
        <v>1251</v>
      </c>
      <c r="O1950" s="471" t="s">
        <v>1250</v>
      </c>
    </row>
    <row r="1951" spans="1:15" x14ac:dyDescent="0.25">
      <c r="A1951" s="471" t="s">
        <v>2237</v>
      </c>
      <c r="B1951" s="1139">
        <f t="shared" ca="1" si="291"/>
        <v>0</v>
      </c>
      <c r="C1951" s="473">
        <f ca="1">IF(ISERROR(VLOOKUP($A$1951,INDIRECT("notes_"&amp;LEFT($A$1951,3)),4,0)),0,VLOOKUP($A$1951,INDIRECT("notes_"&amp;LEFT($A$1951,3)),4,0))</f>
        <v>0</v>
      </c>
      <c r="H1951" s="471">
        <f t="shared" si="292"/>
        <v>4</v>
      </c>
      <c r="I1951" s="471">
        <v>0</v>
      </c>
      <c r="J1951" s="471" t="str">
        <f t="shared" si="297"/>
        <v>cencnt-rgs-elc</v>
      </c>
      <c r="K1951" s="471" t="str">
        <f t="shared" si="298"/>
        <v>empl</v>
      </c>
      <c r="L1951" s="599"/>
      <c r="M1951" s="471" t="s">
        <v>6187</v>
      </c>
      <c r="N1951" s="471" t="s">
        <v>1251</v>
      </c>
      <c r="O1951" s="471" t="s">
        <v>1250</v>
      </c>
    </row>
    <row r="1952" spans="1:15" x14ac:dyDescent="0.25">
      <c r="A1952" s="471" t="s">
        <v>2238</v>
      </c>
      <c r="B1952" s="1139">
        <f t="shared" ca="1" si="291"/>
        <v>0</v>
      </c>
      <c r="C1952" s="473">
        <f ca="1">IF(ISERROR(VLOOKUP($A$1952,INDIRECT("notes_"&amp;LEFT($A$1952,3)),4,0)),0,VLOOKUP($A$1952,INDIRECT("notes_"&amp;LEFT($A$1952,3)),4,0))</f>
        <v>0</v>
      </c>
      <c r="H1952" s="471">
        <f t="shared" si="292"/>
        <v>4</v>
      </c>
      <c r="I1952" s="471">
        <v>0</v>
      </c>
      <c r="J1952" s="471" t="str">
        <f t="shared" si="297"/>
        <v>cencnt-cnd-elc</v>
      </c>
      <c r="K1952" s="471" t="str">
        <f t="shared" si="298"/>
        <v>empl</v>
      </c>
      <c r="L1952" s="599"/>
      <c r="M1952" s="471" t="s">
        <v>6187</v>
      </c>
      <c r="N1952" s="471" t="s">
        <v>1251</v>
      </c>
      <c r="O1952" s="471" t="s">
        <v>1250</v>
      </c>
    </row>
    <row r="1953" spans="1:15" x14ac:dyDescent="0.25">
      <c r="A1953" s="471" t="s">
        <v>2239</v>
      </c>
      <c r="B1953" s="1139">
        <f t="shared" ca="1" si="291"/>
        <v>0</v>
      </c>
      <c r="C1953" s="473">
        <f ca="1">IF(ISERROR(VLOOKUP($A$1953,INDIRECT("notes_"&amp;LEFT($A$1953,3)),4,0)),0,VLOOKUP($A$1953,INDIRECT("notes_"&amp;LEFT($A$1953,3)),4,0))</f>
        <v>0</v>
      </c>
      <c r="H1953" s="471">
        <f t="shared" si="292"/>
        <v>2</v>
      </c>
      <c r="I1953" s="471">
        <v>0</v>
      </c>
      <c r="J1953" s="471" t="str">
        <f t="shared" si="297"/>
        <v>cenemr</v>
      </c>
      <c r="K1953" s="471" t="str">
        <f t="shared" si="298"/>
        <v>empl</v>
      </c>
      <c r="L1953" s="599"/>
      <c r="M1953" s="471" t="s">
        <v>6187</v>
      </c>
      <c r="N1953" s="471" t="s">
        <v>1251</v>
      </c>
      <c r="O1953" s="471" t="s">
        <v>1250</v>
      </c>
    </row>
    <row r="1954" spans="1:15" x14ac:dyDescent="0.25">
      <c r="A1954" s="471" t="s">
        <v>2240</v>
      </c>
      <c r="B1954" s="1139">
        <f t="shared" ca="1" si="291"/>
        <v>0</v>
      </c>
      <c r="C1954" s="473">
        <f ca="1">IF(ISERROR(VLOOKUP($A$1954,INDIRECT("notes_"&amp;LEFT($A$1954,3)),4,0)),0,VLOOKUP($A$1954,INDIRECT("notes_"&amp;LEFT($A$1954,3)),4,0))</f>
        <v>0</v>
      </c>
      <c r="H1954" s="471">
        <f t="shared" si="292"/>
        <v>5</v>
      </c>
      <c r="I1954" s="471">
        <v>0</v>
      </c>
      <c r="J1954" s="471" t="str">
        <f t="shared" si="297"/>
        <v>cencnt-lcl-lnd-chr</v>
      </c>
      <c r="K1954" s="471" t="str">
        <f t="shared" si="298"/>
        <v>empl</v>
      </c>
      <c r="L1954" s="599"/>
      <c r="M1954" s="471" t="s">
        <v>6187</v>
      </c>
      <c r="N1954" s="471" t="s">
        <v>1251</v>
      </c>
      <c r="O1954" s="471" t="s">
        <v>1250</v>
      </c>
    </row>
    <row r="1955" spans="1:15" x14ac:dyDescent="0.25">
      <c r="A1955" s="471" t="s">
        <v>2241</v>
      </c>
      <c r="B1955" s="1139">
        <f t="shared" ca="1" si="291"/>
        <v>0</v>
      </c>
      <c r="C1955" s="473">
        <f ca="1">IF(ISERROR(VLOOKUP($A$1955,INDIRECT("notes_"&amp;LEFT($A$1955,3)),4,0)),0,VLOOKUP($A$1955,INDIRECT("notes_"&amp;LEFT($A$1955,3)),4,0))</f>
        <v>0</v>
      </c>
      <c r="H1955" s="471">
        <f t="shared" si="292"/>
        <v>4</v>
      </c>
      <c r="I1955" s="471">
        <v>0</v>
      </c>
      <c r="J1955" s="471" t="str">
        <f t="shared" si="297"/>
        <v>cencnt-lcl-wlf</v>
      </c>
      <c r="K1955" s="471" t="str">
        <f t="shared" si="298"/>
        <v>empl</v>
      </c>
      <c r="L1955" s="599"/>
      <c r="M1955" s="471" t="s">
        <v>6187</v>
      </c>
      <c r="N1955" s="471" t="s">
        <v>1251</v>
      </c>
      <c r="O1955" s="471" t="s">
        <v>1250</v>
      </c>
    </row>
    <row r="1956" spans="1:15" x14ac:dyDescent="0.25">
      <c r="A1956" s="471" t="s">
        <v>2242</v>
      </c>
      <c r="B1956" s="1139">
        <f t="shared" ca="1" si="291"/>
        <v>0</v>
      </c>
      <c r="C1956" s="473">
        <f ca="1">IF(ISERROR(VLOOKUP($A$1956,INDIRECT("notes_"&amp;LEFT($A$1956,3)),4,0)),0,VLOOKUP($A$1956,INDIRECT("notes_"&amp;LEFT($A$1956,3)),4,0))</f>
        <v>0</v>
      </c>
      <c r="H1956" s="471">
        <f t="shared" si="292"/>
        <v>5</v>
      </c>
      <c r="I1956" s="471">
        <v>0</v>
      </c>
      <c r="J1956" s="471" t="str">
        <f t="shared" si="297"/>
        <v>cencnt-gnr-bqs-dnt</v>
      </c>
      <c r="K1956" s="471" t="str">
        <f t="shared" si="298"/>
        <v>empl</v>
      </c>
      <c r="L1956" s="599"/>
      <c r="M1956" s="471" t="s">
        <v>6187</v>
      </c>
      <c r="N1956" s="471" t="s">
        <v>1251</v>
      </c>
      <c r="O1956" s="471" t="s">
        <v>1250</v>
      </c>
    </row>
    <row r="1957" spans="1:15" x14ac:dyDescent="0.25">
      <c r="A1957" s="471" t="s">
        <v>2243</v>
      </c>
      <c r="B1957" s="1139">
        <f t="shared" ca="1" si="291"/>
        <v>0</v>
      </c>
      <c r="C1957" s="473">
        <f ca="1">IF(ISERROR(VLOOKUP($A$1957,INDIRECT("notes_"&amp;LEFT($A$1957,3)),4,0)),0,VLOOKUP($A$1957,INDIRECT("notes_"&amp;LEFT($A$1957,3)),4,0))</f>
        <v>0</v>
      </c>
      <c r="H1957" s="471">
        <f t="shared" si="292"/>
        <v>2</v>
      </c>
      <c r="I1957" s="471">
        <v>0</v>
      </c>
      <c r="J1957" s="471" t="str">
        <f t="shared" si="297"/>
        <v>cencrn</v>
      </c>
      <c r="K1957" s="471" t="str">
        <f t="shared" si="298"/>
        <v>empl</v>
      </c>
      <c r="L1957" s="599"/>
      <c r="M1957" s="471" t="s">
        <v>6187</v>
      </c>
      <c r="N1957" s="471" t="s">
        <v>1251</v>
      </c>
      <c r="O1957" s="471" t="s">
        <v>1250</v>
      </c>
    </row>
    <row r="1958" spans="1:15" x14ac:dyDescent="0.25">
      <c r="A1958" s="471" t="s">
        <v>2244</v>
      </c>
      <c r="B1958" s="1139">
        <f t="shared" ca="1" si="291"/>
        <v>0</v>
      </c>
      <c r="C1958" s="473">
        <f ca="1">IF(ISERROR(VLOOKUP($A$1958,INDIRECT("notes_"&amp;LEFT($A$1958,3)),4,0)),0,VLOOKUP($A$1958,INDIRECT("notes_"&amp;LEFT($A$1958,3)),4,0))</f>
        <v>0</v>
      </c>
      <c r="H1958" s="471">
        <f t="shared" si="292"/>
        <v>2</v>
      </c>
      <c r="I1958" s="471">
        <v>0</v>
      </c>
      <c r="J1958" s="471" t="str">
        <f t="shared" si="297"/>
        <v>cencrtoth</v>
      </c>
      <c r="K1958" s="471" t="str">
        <f t="shared" si="298"/>
        <v>empl</v>
      </c>
      <c r="L1958" s="599"/>
      <c r="M1958" s="471" t="s">
        <v>6187</v>
      </c>
      <c r="N1958" s="471" t="s">
        <v>1251</v>
      </c>
      <c r="O1958" s="471" t="s">
        <v>1250</v>
      </c>
    </row>
    <row r="1959" spans="1:15" x14ac:dyDescent="0.25">
      <c r="A1959" s="471" t="s">
        <v>2245</v>
      </c>
      <c r="B1959" s="1139">
        <f t="shared" ca="1" si="291"/>
        <v>0</v>
      </c>
      <c r="C1959" s="473">
        <f ca="1">IF(ISERROR(VLOOKUP($A$1959,INDIRECT("notes_"&amp;LEFT($A$1959,3)),4,0)),0,VLOOKUP($A$1959,INDIRECT("notes_"&amp;LEFT($A$1959,3)),4,0))</f>
        <v>0</v>
      </c>
      <c r="H1959" s="471">
        <f t="shared" si="292"/>
        <v>2</v>
      </c>
      <c r="I1959" s="471">
        <v>0</v>
      </c>
      <c r="J1959" s="471" t="str">
        <f t="shared" si="297"/>
        <v>cenndcrtr</v>
      </c>
      <c r="K1959" s="471" t="str">
        <f t="shared" si="298"/>
        <v>empl</v>
      </c>
      <c r="L1959" s="599"/>
      <c r="M1959" s="471" t="s">
        <v>6187</v>
      </c>
      <c r="N1959" s="471" t="s">
        <v>1251</v>
      </c>
      <c r="O1959" s="471" t="s">
        <v>1250</v>
      </c>
    </row>
    <row r="1960" spans="1:15" x14ac:dyDescent="0.25">
      <c r="A1960" s="471" t="s">
        <v>2246</v>
      </c>
      <c r="B1960" s="1139">
        <f t="shared" ca="1" si="291"/>
        <v>0</v>
      </c>
      <c r="C1960" s="473">
        <f ca="1">IF(ISERROR(VLOOKUP($A$1960,INDIRECT("notes_"&amp;LEFT($A$1960,3)),4,0)),0,VLOOKUP($A$1960,INDIRECT("notes_"&amp;LEFT($A$1960,3)),4,0))</f>
        <v>0</v>
      </c>
      <c r="H1960" s="471">
        <f t="shared" si="292"/>
        <v>2</v>
      </c>
      <c r="I1960" s="471">
        <v>0</v>
      </c>
      <c r="J1960" s="471" t="str">
        <f t="shared" si="297"/>
        <v>cenndcit</v>
      </c>
      <c r="K1960" s="471" t="str">
        <f t="shared" si="298"/>
        <v>empl</v>
      </c>
      <c r="L1960" s="599"/>
      <c r="M1960" s="471" t="s">
        <v>6187</v>
      </c>
      <c r="N1960" s="471" t="s">
        <v>1251</v>
      </c>
      <c r="O1960" s="471" t="s">
        <v>1250</v>
      </c>
    </row>
    <row r="1961" spans="1:15" x14ac:dyDescent="0.25">
      <c r="A1961" s="471" t="s">
        <v>2247</v>
      </c>
      <c r="B1961" s="1139">
        <f t="shared" ca="1" si="291"/>
        <v>0</v>
      </c>
      <c r="C1961" s="473">
        <f ca="1">IF(ISERROR(VLOOKUP($A$1961,INDIRECT("notes_"&amp;LEFT($A$1961,3)),4,0)),0,VLOOKUP($A$1961,INDIRECT("notes_"&amp;LEFT($A$1961,3)),4,0))</f>
        <v>0</v>
      </c>
      <c r="H1961" s="471">
        <f t="shared" si="292"/>
        <v>2</v>
      </c>
      <c r="I1961" s="471">
        <v>0</v>
      </c>
      <c r="J1961" s="471" t="str">
        <f t="shared" si="297"/>
        <v>cenndcsrp</v>
      </c>
      <c r="K1961" s="471" t="str">
        <f t="shared" si="298"/>
        <v>empl</v>
      </c>
      <c r="L1961" s="599"/>
      <c r="M1961" s="471" t="s">
        <v>6187</v>
      </c>
      <c r="N1961" s="471" t="s">
        <v>1251</v>
      </c>
      <c r="O1961" s="471" t="s">
        <v>1250</v>
      </c>
    </row>
    <row r="1962" spans="1:15" x14ac:dyDescent="0.25">
      <c r="A1962" s="471" t="s">
        <v>2248</v>
      </c>
      <c r="B1962" s="1139">
        <f t="shared" ca="1" si="291"/>
        <v>0</v>
      </c>
      <c r="C1962" s="473">
        <f ca="1">IF(ISERROR(VLOOKUP($A$1962,INDIRECT("notes_"&amp;LEFT($A$1962,3)),4,0)),0,VLOOKUP($A$1962,INDIRECT("notes_"&amp;LEFT($A$1962,3)),4,0))</f>
        <v>0</v>
      </c>
      <c r="H1962" s="471">
        <f t="shared" si="292"/>
        <v>4</v>
      </c>
      <c r="I1962" s="471">
        <v>0</v>
      </c>
      <c r="J1962" s="471" t="str">
        <f t="shared" si="297"/>
        <v>cennd-mng-spp</v>
      </c>
      <c r="K1962" s="471" t="str">
        <f t="shared" si="298"/>
        <v>empl</v>
      </c>
      <c r="L1962" s="599"/>
      <c r="M1962" s="471" t="s">
        <v>6187</v>
      </c>
      <c r="N1962" s="471" t="s">
        <v>1251</v>
      </c>
      <c r="O1962" s="471" t="s">
        <v>1250</v>
      </c>
    </row>
    <row r="1963" spans="1:15" x14ac:dyDescent="0.25">
      <c r="A1963" s="471" t="s">
        <v>2249</v>
      </c>
      <c r="B1963" s="1139">
        <f t="shared" ca="1" si="291"/>
        <v>0</v>
      </c>
      <c r="C1963" s="473">
        <f ca="1">IF(ISERROR(VLOOKUP($A$1963,INDIRECT("notes_"&amp;LEFT($A$1963,3)),4,0)),0,VLOOKUP($A$1963,INDIRECT("notes_"&amp;LEFT($A$1963,3)),4,0))</f>
        <v>0</v>
      </c>
      <c r="H1963" s="471">
        <f t="shared" si="292"/>
        <v>2</v>
      </c>
      <c r="I1963" s="471">
        <v>0</v>
      </c>
      <c r="J1963" s="471" t="str">
        <f t="shared" si="297"/>
        <v>centot</v>
      </c>
      <c r="K1963" s="471" t="str">
        <f t="shared" si="298"/>
        <v>empl</v>
      </c>
      <c r="L1963" s="599"/>
      <c r="M1963" s="471" t="s">
        <v>6187</v>
      </c>
      <c r="N1963" s="471" t="s">
        <v>1251</v>
      </c>
      <c r="O1963" s="471" t="s">
        <v>1250</v>
      </c>
    </row>
    <row r="1964" spans="1:15" x14ac:dyDescent="0.25">
      <c r="A1964" s="471" t="s">
        <v>2256</v>
      </c>
      <c r="B1964" s="1139">
        <f t="shared" ca="1" si="291"/>
        <v>0</v>
      </c>
      <c r="C1964" s="473">
        <f ca="1">IF(ISERROR(VLOOKUP($A$1964,INDIRECT("notes_"&amp;LEFT($A$1964,3)),4,0)),0,VLOOKUP($A$1964,INDIRECT("notes_"&amp;LEFT($A$1964,3)),4,0))</f>
        <v>0</v>
      </c>
      <c r="H1964" s="471">
        <f t="shared" si="292"/>
        <v>2</v>
      </c>
      <c r="I1964" s="471">
        <v>0</v>
      </c>
      <c r="J1964" s="471" t="str">
        <f t="shared" si="297"/>
        <v>cenothtot</v>
      </c>
      <c r="K1964" s="471" t="str">
        <f t="shared" si="298"/>
        <v>empl</v>
      </c>
      <c r="L1964" s="599"/>
      <c r="M1964" s="471" t="s">
        <v>6187</v>
      </c>
      <c r="N1964" s="471" t="s">
        <v>1251</v>
      </c>
      <c r="O1964" s="471" t="s">
        <v>1250</v>
      </c>
    </row>
    <row r="1965" spans="1:15" x14ac:dyDescent="0.25">
      <c r="A1965" s="471" t="s">
        <v>2258</v>
      </c>
      <c r="B1965" s="1139">
        <f t="shared" ca="1" si="291"/>
        <v>0</v>
      </c>
      <c r="C1965" s="473">
        <f ca="1">IF(ISERROR(VLOOKUP($A$1965,INDIRECT("notes_"&amp;LEFT($A$1965,3)),4,0)),0,VLOOKUP($A$1965,INDIRECT("notes_"&amp;LEFT($A$1965,3)),4,0))</f>
        <v>0</v>
      </c>
      <c r="G1965" s="471" t="str">
        <f>IF(ISNUMBER(SEARCH("specify",'RO6'!C131)),"",'RO6'!C131)</f>
        <v/>
      </c>
      <c r="H1965" s="471">
        <f t="shared" si="292"/>
        <v>3</v>
      </c>
      <c r="I1965" s="471">
        <v>0</v>
      </c>
      <c r="J1965" s="471" t="str">
        <f t="shared" si="297"/>
        <v>cenoth1-n cenoth1</v>
      </c>
      <c r="K1965" s="471" t="str">
        <f t="shared" si="298"/>
        <v>empl</v>
      </c>
      <c r="L1965" s="599"/>
      <c r="M1965" s="471" t="s">
        <v>6187</v>
      </c>
      <c r="N1965" s="471" t="s">
        <v>1251</v>
      </c>
      <c r="O1965" s="471" t="s">
        <v>1250</v>
      </c>
    </row>
    <row r="1966" spans="1:15" x14ac:dyDescent="0.25">
      <c r="A1966" s="471" t="s">
        <v>2259</v>
      </c>
      <c r="B1966" s="1139">
        <f t="shared" ref="B1966:B2029" ca="1" si="299">INDEX(INDIRECT(LEFT($A1966,SEARCH("-",$A1966,1)-1)&amp;"_data"),MATCH(MID($A1966,SEARCH("-",$A1966)+1,SEARCH("#",SUBSTITUTE($A1966,"-","#",H1966),1)-(SEARCH("-",$A1966)+1)),INDIRECT(LEFT($A1966,SEARCH("-",$A1966,1)-1)&amp;"_rows"),0),MATCH(RIGHT($A1966,LEN($A1966)-SEARCH("#",SUBSTITUTE($A1966,"-","#",H1966),1)),INDIRECT(LEFT($A1966,SEARCH("-",$A1966,1)-1)&amp;"_Header"),0))</f>
        <v>0</v>
      </c>
      <c r="C1966" s="473">
        <f ca="1">IF(ISERROR(VLOOKUP($A$1966,INDIRECT("notes_"&amp;LEFT($A$1966,3)),4,0)),0,VLOOKUP($A$1966,INDIRECT("notes_"&amp;LEFT($A$1966,3)),4,0))</f>
        <v>0</v>
      </c>
      <c r="G1966" s="471" t="str">
        <f>IF(ISNUMBER(SEARCH("specify",'RO6'!C132)),"",'RO6'!C132)</f>
        <v/>
      </c>
      <c r="H1966" s="471">
        <f t="shared" si="292"/>
        <v>3</v>
      </c>
      <c r="I1966" s="471">
        <v>0</v>
      </c>
      <c r="J1966" s="471" t="str">
        <f t="shared" si="297"/>
        <v>cenoth2-n cenoth2</v>
      </c>
      <c r="K1966" s="471" t="str">
        <f t="shared" si="298"/>
        <v>empl</v>
      </c>
      <c r="L1966" s="599"/>
      <c r="M1966" s="471" t="s">
        <v>6187</v>
      </c>
      <c r="N1966" s="471" t="s">
        <v>1251</v>
      </c>
      <c r="O1966" s="471" t="s">
        <v>1250</v>
      </c>
    </row>
    <row r="1967" spans="1:15" x14ac:dyDescent="0.25">
      <c r="A1967" s="471" t="s">
        <v>2260</v>
      </c>
      <c r="B1967" s="1139">
        <f t="shared" ca="1" si="299"/>
        <v>0</v>
      </c>
      <c r="C1967" s="473">
        <f ca="1">IF(ISERROR(VLOOKUP($A$1967,INDIRECT("notes_"&amp;LEFT($A$1967,3)),4,0)),0,VLOOKUP($A$1967,INDIRECT("notes_"&amp;LEFT($A$1967,3)),4,0))</f>
        <v>0</v>
      </c>
      <c r="G1967" s="471" t="str">
        <f>IF(ISNUMBER(SEARCH("specify",'RO6'!C133)),"",'RO6'!C133)</f>
        <v/>
      </c>
      <c r="H1967" s="471">
        <f t="shared" si="292"/>
        <v>3</v>
      </c>
      <c r="I1967" s="471">
        <v>0</v>
      </c>
      <c r="J1967" s="471" t="str">
        <f t="shared" si="297"/>
        <v>cenoth3-n cenoth3</v>
      </c>
      <c r="K1967" s="471" t="str">
        <f t="shared" si="298"/>
        <v>empl</v>
      </c>
      <c r="L1967" s="599"/>
      <c r="M1967" s="471" t="s">
        <v>6187</v>
      </c>
      <c r="N1967" s="471" t="s">
        <v>1251</v>
      </c>
      <c r="O1967" s="471" t="s">
        <v>1250</v>
      </c>
    </row>
    <row r="1968" spans="1:15" x14ac:dyDescent="0.25">
      <c r="A1968" s="471" t="s">
        <v>2261</v>
      </c>
      <c r="B1968" s="1139">
        <f t="shared" ca="1" si="299"/>
        <v>0</v>
      </c>
      <c r="C1968" s="473">
        <f ca="1">IF(ISERROR(VLOOKUP($A$1968,INDIRECT("notes_"&amp;LEFT($A$1968,3)),4,0)),0,VLOOKUP($A$1968,INDIRECT("notes_"&amp;LEFT($A$1968,3)),4,0))</f>
        <v>0</v>
      </c>
      <c r="G1968" s="471" t="str">
        <f>IF(ISNUMBER(SEARCH("specify",'RO6'!C134)),"",'RO6'!C134)</f>
        <v/>
      </c>
      <c r="H1968" s="471">
        <f t="shared" si="292"/>
        <v>3</v>
      </c>
      <c r="I1968" s="471">
        <v>0</v>
      </c>
      <c r="J1968" s="471" t="str">
        <f t="shared" si="297"/>
        <v>cenoth4-n cenoth4</v>
      </c>
      <c r="K1968" s="471" t="str">
        <f t="shared" si="298"/>
        <v>empl</v>
      </c>
      <c r="L1968" s="599"/>
      <c r="M1968" s="471" t="s">
        <v>6187</v>
      </c>
      <c r="N1968" s="471" t="s">
        <v>1251</v>
      </c>
      <c r="O1968" s="471" t="s">
        <v>1250</v>
      </c>
    </row>
    <row r="1969" spans="1:15" x14ac:dyDescent="0.25">
      <c r="A1969" s="471" t="s">
        <v>2262</v>
      </c>
      <c r="B1969" s="1139">
        <f t="shared" ca="1" si="299"/>
        <v>0</v>
      </c>
      <c r="C1969" s="473">
        <f ca="1">IF(ISERROR(VLOOKUP($A$1969,INDIRECT("notes_"&amp;LEFT($A$1969,3)),4,0)),0,VLOOKUP($A$1969,INDIRECT("notes_"&amp;LEFT($A$1969,3)),4,0))</f>
        <v>0</v>
      </c>
      <c r="G1969" s="471" t="str">
        <f>IF(ISNUMBER(SEARCH("specify",'RO6'!C135)),"",'RO6'!C135)</f>
        <v/>
      </c>
      <c r="H1969" s="471">
        <f t="shared" si="292"/>
        <v>3</v>
      </c>
      <c r="I1969" s="471">
        <v>0</v>
      </c>
      <c r="J1969" s="471" t="str">
        <f t="shared" si="297"/>
        <v>cenoth5-n cenoth5</v>
      </c>
      <c r="K1969" s="471" t="str">
        <f t="shared" si="298"/>
        <v>empl</v>
      </c>
      <c r="L1969" s="599"/>
      <c r="M1969" s="471" t="s">
        <v>6187</v>
      </c>
      <c r="N1969" s="471" t="s">
        <v>1251</v>
      </c>
      <c r="O1969" s="471" t="s">
        <v>1250</v>
      </c>
    </row>
    <row r="1970" spans="1:15" x14ac:dyDescent="0.25">
      <c r="A1970" s="471" t="s">
        <v>2263</v>
      </c>
      <c r="B1970" s="1139">
        <f t="shared" ca="1" si="299"/>
        <v>0</v>
      </c>
      <c r="C1970" s="473">
        <f ca="1">IF(ISERROR(VLOOKUP($A$1970,INDIRECT("notes_"&amp;LEFT($A$1970,3)),4,0)),0,VLOOKUP($A$1970,INDIRECT("notes_"&amp;LEFT($A$1970,3)),4,0))</f>
        <v>0</v>
      </c>
      <c r="G1970" s="471" t="str">
        <f>IF(ISNUMBER(SEARCH("specify",'RO6'!C136)),"",'RO6'!C136)</f>
        <v/>
      </c>
      <c r="H1970" s="471">
        <f t="shared" si="292"/>
        <v>3</v>
      </c>
      <c r="I1970" s="471">
        <v>0</v>
      </c>
      <c r="J1970" s="471" t="str">
        <f t="shared" si="297"/>
        <v>cenoth6-n cenoth6</v>
      </c>
      <c r="K1970" s="471" t="str">
        <f t="shared" si="298"/>
        <v>empl</v>
      </c>
      <c r="L1970" s="599"/>
      <c r="M1970" s="471" t="s">
        <v>6187</v>
      </c>
      <c r="N1970" s="471" t="s">
        <v>1251</v>
      </c>
      <c r="O1970" s="471" t="s">
        <v>1250</v>
      </c>
    </row>
    <row r="1971" spans="1:15" x14ac:dyDescent="0.25">
      <c r="A1971" s="471" t="s">
        <v>2264</v>
      </c>
      <c r="B1971" s="1139">
        <f t="shared" ca="1" si="299"/>
        <v>0</v>
      </c>
      <c r="C1971" s="473">
        <f ca="1">IF(ISERROR(VLOOKUP($A$1971,INDIRECT("notes_"&amp;LEFT($A$1971,3)),4,0)),0,VLOOKUP($A$1971,INDIRECT("notes_"&amp;LEFT($A$1971,3)),4,0))</f>
        <v>0</v>
      </c>
      <c r="G1971" s="471" t="str">
        <f>IF(ISNUMBER(SEARCH("specify",'RO6'!C137)),"",'RO6'!C137)</f>
        <v/>
      </c>
      <c r="H1971" s="471">
        <f t="shared" si="292"/>
        <v>3</v>
      </c>
      <c r="I1971" s="471">
        <v>0</v>
      </c>
      <c r="J1971" s="471" t="str">
        <f t="shared" si="297"/>
        <v>cenoth7-n cenoth7</v>
      </c>
      <c r="K1971" s="471" t="str">
        <f t="shared" si="298"/>
        <v>empl</v>
      </c>
      <c r="L1971" s="599"/>
      <c r="M1971" s="471" t="s">
        <v>6187</v>
      </c>
      <c r="N1971" s="471" t="s">
        <v>1251</v>
      </c>
      <c r="O1971" s="471" t="s">
        <v>1250</v>
      </c>
    </row>
    <row r="1972" spans="1:15" x14ac:dyDescent="0.25">
      <c r="A1972" s="471" t="s">
        <v>2265</v>
      </c>
      <c r="B1972" s="1139">
        <f t="shared" ca="1" si="299"/>
        <v>0</v>
      </c>
      <c r="C1972" s="473">
        <f ca="1">IF(ISERROR(VLOOKUP($A$1972,INDIRECT("notes_"&amp;LEFT($A$1972,3)),4,0)),0,VLOOKUP($A$1972,INDIRECT("notes_"&amp;LEFT($A$1972,3)),4,0))</f>
        <v>0</v>
      </c>
      <c r="G1972" s="471" t="str">
        <f>IF(ISNUMBER(SEARCH("specify",'RO6'!C138)),"",'RO6'!C138)</f>
        <v/>
      </c>
      <c r="H1972" s="471">
        <f t="shared" si="292"/>
        <v>3</v>
      </c>
      <c r="I1972" s="471">
        <v>0</v>
      </c>
      <c r="J1972" s="471" t="str">
        <f t="shared" si="297"/>
        <v>cenoth8-n cenoth8</v>
      </c>
      <c r="K1972" s="471" t="str">
        <f t="shared" si="298"/>
        <v>empl</v>
      </c>
      <c r="L1972" s="599"/>
      <c r="M1972" s="471" t="s">
        <v>6187</v>
      </c>
      <c r="N1972" s="471" t="s">
        <v>1251</v>
      </c>
      <c r="O1972" s="471" t="s">
        <v>1250</v>
      </c>
    </row>
    <row r="1973" spans="1:15" x14ac:dyDescent="0.25">
      <c r="A1973" s="471" t="s">
        <v>2266</v>
      </c>
      <c r="B1973" s="1139">
        <f t="shared" ca="1" si="299"/>
        <v>0</v>
      </c>
      <c r="C1973" s="473">
        <f ca="1">IF(ISERROR(VLOOKUP($A$1973,INDIRECT("notes_"&amp;LEFT($A$1973,3)),4,0)),0,VLOOKUP($A$1973,INDIRECT("notes_"&amp;LEFT($A$1973,3)),4,0))</f>
        <v>0</v>
      </c>
      <c r="G1973" s="471" t="str">
        <f>IF(ISNUMBER(SEARCH("specify",'RO6'!C139)),"",'RO6'!C139)</f>
        <v/>
      </c>
      <c r="H1973" s="471">
        <f t="shared" si="292"/>
        <v>3</v>
      </c>
      <c r="I1973" s="471">
        <v>0</v>
      </c>
      <c r="J1973" s="471" t="str">
        <f t="shared" si="297"/>
        <v>cenoth9-n cenoth9</v>
      </c>
      <c r="K1973" s="471" t="str">
        <f t="shared" si="298"/>
        <v>empl</v>
      </c>
      <c r="L1973" s="599"/>
      <c r="M1973" s="471" t="s">
        <v>6187</v>
      </c>
      <c r="N1973" s="471" t="s">
        <v>1251</v>
      </c>
      <c r="O1973" s="471" t="s">
        <v>1250</v>
      </c>
    </row>
    <row r="1974" spans="1:15" x14ac:dyDescent="0.25">
      <c r="A1974" s="471" t="s">
        <v>2267</v>
      </c>
      <c r="B1974" s="1139">
        <f t="shared" ca="1" si="299"/>
        <v>0</v>
      </c>
      <c r="C1974" s="473">
        <f ca="1">IF(ISERROR(VLOOKUP($A$1974,INDIRECT("notes_"&amp;LEFT($A$1974,3)),4,0)),0,VLOOKUP($A$1974,INDIRECT("notes_"&amp;LEFT($A$1974,3)),4,0))</f>
        <v>0</v>
      </c>
      <c r="G1974" s="471" t="str">
        <f>IF(ISNUMBER(SEARCH("specify",'RO6'!C140)),"",'RO6'!C140)</f>
        <v/>
      </c>
      <c r="H1974" s="471">
        <f t="shared" si="292"/>
        <v>3</v>
      </c>
      <c r="I1974" s="471">
        <v>0</v>
      </c>
      <c r="J1974" s="471" t="str">
        <f t="shared" si="297"/>
        <v>cenoth10-n cenoth10</v>
      </c>
      <c r="K1974" s="471" t="str">
        <f t="shared" si="298"/>
        <v>empl</v>
      </c>
      <c r="L1974" s="599"/>
      <c r="M1974" s="471" t="s">
        <v>6187</v>
      </c>
      <c r="N1974" s="471" t="s">
        <v>1251</v>
      </c>
      <c r="O1974" s="471" t="s">
        <v>1250</v>
      </c>
    </row>
    <row r="1975" spans="1:15" x14ac:dyDescent="0.25">
      <c r="A1975" s="471" t="s">
        <v>2268</v>
      </c>
      <c r="B1975" s="1139">
        <f t="shared" ca="1" si="299"/>
        <v>0</v>
      </c>
      <c r="C1975" s="473">
        <f ca="1">IF(ISERROR(VLOOKUP($A$1975,INDIRECT("notes_"&amp;LEFT($A$1975,3)),4,0)),0,VLOOKUP($A$1975,INDIRECT("notes_"&amp;LEFT($A$1975,3)),4,0))</f>
        <v>0</v>
      </c>
      <c r="G1975" s="471" t="str">
        <f>IF(ISNUMBER(SEARCH("specify",'RO6'!C141)),"",'RO6'!C141)</f>
        <v/>
      </c>
      <c r="H1975" s="471">
        <f t="shared" si="292"/>
        <v>3</v>
      </c>
      <c r="I1975" s="471">
        <v>0</v>
      </c>
      <c r="J1975" s="471" t="str">
        <f t="shared" si="297"/>
        <v>cenoth11-n cenoth11</v>
      </c>
      <c r="K1975" s="471" t="str">
        <f t="shared" si="298"/>
        <v>empl</v>
      </c>
      <c r="L1975" s="599"/>
      <c r="M1975" s="471" t="s">
        <v>6187</v>
      </c>
      <c r="N1975" s="471" t="s">
        <v>1251</v>
      </c>
      <c r="O1975" s="471" t="s">
        <v>1250</v>
      </c>
    </row>
    <row r="1976" spans="1:15" x14ac:dyDescent="0.25">
      <c r="A1976" s="471" t="s">
        <v>2269</v>
      </c>
      <c r="B1976" s="1139">
        <f t="shared" ca="1" si="299"/>
        <v>0</v>
      </c>
      <c r="C1976" s="473">
        <f ca="1">IF(ISERROR(VLOOKUP($A$1976,INDIRECT("notes_"&amp;LEFT($A$1976,3)),4,0)),0,VLOOKUP($A$1976,INDIRECT("notes_"&amp;LEFT($A$1976,3)),4,0))</f>
        <v>0</v>
      </c>
      <c r="G1976" s="471" t="str">
        <f>IF(ISNUMBER(SEARCH("specify",'RO6'!C142)),"",'RO6'!C142)</f>
        <v/>
      </c>
      <c r="H1976" s="471">
        <f t="shared" si="292"/>
        <v>3</v>
      </c>
      <c r="I1976" s="471">
        <v>0</v>
      </c>
      <c r="J1976" s="471" t="str">
        <f t="shared" si="297"/>
        <v>cenoth12-n cenoth12</v>
      </c>
      <c r="K1976" s="471" t="str">
        <f t="shared" si="298"/>
        <v>empl</v>
      </c>
      <c r="L1976" s="599"/>
      <c r="M1976" s="471" t="s">
        <v>6187</v>
      </c>
      <c r="N1976" s="471" t="s">
        <v>1251</v>
      </c>
      <c r="O1976" s="471" t="s">
        <v>1250</v>
      </c>
    </row>
    <row r="1977" spans="1:15" x14ac:dyDescent="0.25">
      <c r="A1977" s="471" t="s">
        <v>2270</v>
      </c>
      <c r="B1977" s="1139">
        <f t="shared" ca="1" si="299"/>
        <v>0</v>
      </c>
      <c r="C1977" s="473">
        <f ca="1">IF(ISERROR(VLOOKUP($A$1977,INDIRECT("notes_"&amp;LEFT($A$1977,3)),4,0)),0,VLOOKUP($A$1977,INDIRECT("notes_"&amp;LEFT($A$1977,3)),4,0))</f>
        <v>0</v>
      </c>
      <c r="G1977" s="471" t="str">
        <f>IF(ISNUMBER(SEARCH("specify",'RO6'!C143)),"",'RO6'!C143)</f>
        <v/>
      </c>
      <c r="H1977" s="471">
        <f t="shared" si="292"/>
        <v>3</v>
      </c>
      <c r="I1977" s="471">
        <v>0</v>
      </c>
      <c r="J1977" s="471" t="str">
        <f t="shared" si="297"/>
        <v>cenoth13-n cenoth13</v>
      </c>
      <c r="K1977" s="471" t="str">
        <f t="shared" si="298"/>
        <v>empl</v>
      </c>
      <c r="L1977" s="599"/>
      <c r="M1977" s="471" t="s">
        <v>6187</v>
      </c>
      <c r="N1977" s="471" t="s">
        <v>1251</v>
      </c>
      <c r="O1977" s="471" t="s">
        <v>1250</v>
      </c>
    </row>
    <row r="1978" spans="1:15" x14ac:dyDescent="0.25">
      <c r="A1978" s="471" t="s">
        <v>2271</v>
      </c>
      <c r="B1978" s="1139">
        <f t="shared" ca="1" si="299"/>
        <v>0</v>
      </c>
      <c r="C1978" s="473">
        <f ca="1">IF(ISERROR(VLOOKUP($A$1978,INDIRECT("notes_"&amp;LEFT($A$1978,3)),4,0)),0,VLOOKUP($A$1978,INDIRECT("notes_"&amp;LEFT($A$1978,3)),4,0))</f>
        <v>0</v>
      </c>
      <c r="G1978" s="471" t="str">
        <f>IF(ISNUMBER(SEARCH("specify",'RO6'!C144)),"",'RO6'!C144)</f>
        <v/>
      </c>
      <c r="H1978" s="471">
        <f t="shared" si="292"/>
        <v>3</v>
      </c>
      <c r="I1978" s="471">
        <v>0</v>
      </c>
      <c r="J1978" s="471" t="str">
        <f t="shared" si="297"/>
        <v>cenoth14-n cenoth14</v>
      </c>
      <c r="K1978" s="471" t="str">
        <f t="shared" si="298"/>
        <v>empl</v>
      </c>
      <c r="L1978" s="599"/>
      <c r="M1978" s="471" t="s">
        <v>6187</v>
      </c>
      <c r="N1978" s="471" t="s">
        <v>1251</v>
      </c>
      <c r="O1978" s="471" t="s">
        <v>1250</v>
      </c>
    </row>
    <row r="1979" spans="1:15" x14ac:dyDescent="0.25">
      <c r="A1979" s="471" t="s">
        <v>2272</v>
      </c>
      <c r="B1979" s="1139">
        <f t="shared" ca="1" si="299"/>
        <v>0</v>
      </c>
      <c r="C1979" s="473">
        <f ca="1">IF(ISERROR(VLOOKUP($A$1979,INDIRECT("notes_"&amp;LEFT($A$1979,3)),4,0)),0,VLOOKUP($A$1979,INDIRECT("notes_"&amp;LEFT($A$1979,3)),4,0))</f>
        <v>0</v>
      </c>
      <c r="G1979" s="471" t="str">
        <f>IF(ISNUMBER(SEARCH("specify",'RO6'!C145)),"",'RO6'!C145)</f>
        <v/>
      </c>
      <c r="H1979" s="471">
        <f t="shared" si="292"/>
        <v>3</v>
      </c>
      <c r="I1979" s="471">
        <v>0</v>
      </c>
      <c r="J1979" s="471" t="str">
        <f t="shared" si="297"/>
        <v>cenoth15-n cenoth15</v>
      </c>
      <c r="K1979" s="471" t="str">
        <f t="shared" si="298"/>
        <v>empl</v>
      </c>
      <c r="L1979" s="599"/>
      <c r="M1979" s="471" t="s">
        <v>6187</v>
      </c>
      <c r="N1979" s="471" t="s">
        <v>1251</v>
      </c>
      <c r="O1979" s="471" t="s">
        <v>1250</v>
      </c>
    </row>
    <row r="1980" spans="1:15" x14ac:dyDescent="0.25">
      <c r="A1980" s="471" t="s">
        <v>2273</v>
      </c>
      <c r="B1980" s="1139">
        <f t="shared" ca="1" si="299"/>
        <v>0</v>
      </c>
      <c r="C1980" s="473">
        <f ca="1">IF(ISERROR(VLOOKUP($A$1980,INDIRECT("notes_"&amp;LEFT($A$1980,3)),4,0)),0,VLOOKUP($A$1980,INDIRECT("notes_"&amp;LEFT($A$1980,3)),4,0))</f>
        <v>0</v>
      </c>
      <c r="G1980" s="471" t="str">
        <f>IF(ISNUMBER(SEARCH("specify",'RO6'!C146)),"",'RO6'!C146)</f>
        <v/>
      </c>
      <c r="H1980" s="471">
        <f t="shared" si="292"/>
        <v>3</v>
      </c>
      <c r="I1980" s="471">
        <v>0</v>
      </c>
      <c r="J1980" s="471" t="str">
        <f t="shared" si="297"/>
        <v>cenoth16-n cenoth16</v>
      </c>
      <c r="K1980" s="471" t="str">
        <f t="shared" si="298"/>
        <v>empl</v>
      </c>
      <c r="L1980" s="599"/>
      <c r="M1980" s="471" t="s">
        <v>6187</v>
      </c>
      <c r="N1980" s="471" t="s">
        <v>1251</v>
      </c>
      <c r="O1980" s="471" t="s">
        <v>1250</v>
      </c>
    </row>
    <row r="1981" spans="1:15" x14ac:dyDescent="0.25">
      <c r="A1981" s="471" t="s">
        <v>2274</v>
      </c>
      <c r="B1981" s="1139">
        <f t="shared" ca="1" si="299"/>
        <v>0</v>
      </c>
      <c r="C1981" s="473">
        <f ca="1">IF(ISERROR(VLOOKUP($A$1981,INDIRECT("notes_"&amp;LEFT($A$1981,3)),4,0)),0,VLOOKUP($A$1981,INDIRECT("notes_"&amp;LEFT($A$1981,3)),4,0))</f>
        <v>0</v>
      </c>
      <c r="G1981" s="471" t="str">
        <f>IF(ISNUMBER(SEARCH("specify",'RO6'!C147)),"",'RO6'!C147)</f>
        <v/>
      </c>
      <c r="H1981" s="471">
        <f t="shared" si="292"/>
        <v>3</v>
      </c>
      <c r="I1981" s="471">
        <v>0</v>
      </c>
      <c r="J1981" s="471" t="str">
        <f t="shared" si="297"/>
        <v>cenoth17-n cenoth17</v>
      </c>
      <c r="K1981" s="471" t="str">
        <f t="shared" si="298"/>
        <v>empl</v>
      </c>
      <c r="L1981" s="599"/>
      <c r="M1981" s="471" t="s">
        <v>6187</v>
      </c>
      <c r="N1981" s="471" t="s">
        <v>1251</v>
      </c>
      <c r="O1981" s="471" t="s">
        <v>1250</v>
      </c>
    </row>
    <row r="1982" spans="1:15" x14ac:dyDescent="0.25">
      <c r="A1982" s="471" t="s">
        <v>2275</v>
      </c>
      <c r="B1982" s="1139">
        <f t="shared" ca="1" si="299"/>
        <v>0</v>
      </c>
      <c r="C1982" s="473">
        <f ca="1">IF(ISERROR(VLOOKUP($A$1982,INDIRECT("notes_"&amp;LEFT($A$1982,3)),4,0)),0,VLOOKUP($A$1982,INDIRECT("notes_"&amp;LEFT($A$1982,3)),4,0))</f>
        <v>0</v>
      </c>
      <c r="G1982" s="471" t="str">
        <f>IF(ISNUMBER(SEARCH("specify",'RO6'!C148)),"",'RO6'!C148)</f>
        <v/>
      </c>
      <c r="H1982" s="471">
        <f t="shared" si="292"/>
        <v>3</v>
      </c>
      <c r="I1982" s="471">
        <v>0</v>
      </c>
      <c r="J1982" s="471" t="str">
        <f t="shared" si="297"/>
        <v>cenoth18-n cenoth18</v>
      </c>
      <c r="K1982" s="471" t="str">
        <f t="shared" si="298"/>
        <v>empl</v>
      </c>
      <c r="L1982" s="599"/>
      <c r="M1982" s="471" t="s">
        <v>6187</v>
      </c>
      <c r="N1982" s="471" t="s">
        <v>1251</v>
      </c>
      <c r="O1982" s="471" t="s">
        <v>1250</v>
      </c>
    </row>
    <row r="1983" spans="1:15" x14ac:dyDescent="0.25">
      <c r="A1983" s="471" t="s">
        <v>2276</v>
      </c>
      <c r="B1983" s="1139">
        <f t="shared" ca="1" si="299"/>
        <v>0</v>
      </c>
      <c r="C1983" s="473">
        <f ca="1">IF(ISERROR(VLOOKUP($A$1983,INDIRECT("notes_"&amp;LEFT($A$1983,3)),4,0)),0,VLOOKUP($A$1983,INDIRECT("notes_"&amp;LEFT($A$1983,3)),4,0))</f>
        <v>0</v>
      </c>
      <c r="G1983" s="471" t="str">
        <f>IF(ISNUMBER(SEARCH("specify",'RO6'!C149)),"",'RO6'!C149)</f>
        <v/>
      </c>
      <c r="H1983" s="471">
        <f t="shared" si="292"/>
        <v>3</v>
      </c>
      <c r="I1983" s="471">
        <v>0</v>
      </c>
      <c r="J1983" s="471" t="str">
        <f t="shared" si="297"/>
        <v>cenoth19-n cenoth19</v>
      </c>
      <c r="K1983" s="471" t="str">
        <f t="shared" si="298"/>
        <v>empl</v>
      </c>
      <c r="L1983" s="599"/>
      <c r="M1983" s="471" t="s">
        <v>6187</v>
      </c>
      <c r="N1983" s="471" t="s">
        <v>1251</v>
      </c>
      <c r="O1983" s="471" t="s">
        <v>1250</v>
      </c>
    </row>
    <row r="1984" spans="1:15" x14ac:dyDescent="0.25">
      <c r="A1984" s="471" t="s">
        <v>2277</v>
      </c>
      <c r="B1984" s="1139">
        <f t="shared" ca="1" si="299"/>
        <v>0</v>
      </c>
      <c r="C1984" s="473">
        <f ca="1">IF(ISERROR(VLOOKUP($A$1984,INDIRECT("notes_"&amp;LEFT($A$1984,3)),4,0)),0,VLOOKUP($A$1984,INDIRECT("notes_"&amp;LEFT($A$1984,3)),4,0))</f>
        <v>0</v>
      </c>
      <c r="G1984" s="471" t="str">
        <f>IF(ISNUMBER(SEARCH("specify",'RO6'!C150)),"",'RO6'!C150)</f>
        <v/>
      </c>
      <c r="H1984" s="471">
        <f t="shared" si="292"/>
        <v>3</v>
      </c>
      <c r="I1984" s="471">
        <v>0</v>
      </c>
      <c r="J1984" s="471" t="str">
        <f t="shared" si="297"/>
        <v>cenoth20-n cenoth20</v>
      </c>
      <c r="K1984" s="471" t="str">
        <f t="shared" si="298"/>
        <v>empl</v>
      </c>
      <c r="L1984" s="599"/>
      <c r="M1984" s="471" t="s">
        <v>6187</v>
      </c>
      <c r="N1984" s="471" t="s">
        <v>1251</v>
      </c>
      <c r="O1984" s="471" t="s">
        <v>1250</v>
      </c>
    </row>
    <row r="1985" spans="1:15" x14ac:dyDescent="0.25">
      <c r="A1985" s="471" t="s">
        <v>2278</v>
      </c>
      <c r="B1985" s="1139">
        <f t="shared" ca="1" si="299"/>
        <v>0</v>
      </c>
      <c r="C1985" s="473">
        <f ca="1">IF(ISERROR(VLOOKUP($A$1985,INDIRECT("notes_"&amp;LEFT($A$1985,3)),4,0)),0,VLOOKUP($A$1985,INDIRECT("notes_"&amp;LEFT($A$1985,3)),4,0))</f>
        <v>0</v>
      </c>
      <c r="H1985" s="471">
        <f t="shared" si="292"/>
        <v>3</v>
      </c>
      <c r="I1985" s="471">
        <v>0</v>
      </c>
      <c r="J1985" s="471" t="str">
        <f t="shared" si="297"/>
        <v>centoth-tot</v>
      </c>
      <c r="K1985" s="471" t="str">
        <f t="shared" si="298"/>
        <v>empl</v>
      </c>
      <c r="L1985" s="599"/>
      <c r="M1985" s="471" t="s">
        <v>6187</v>
      </c>
      <c r="N1985" s="471" t="s">
        <v>1251</v>
      </c>
      <c r="O1985" s="471" t="s">
        <v>1250</v>
      </c>
    </row>
    <row r="1986" spans="1:15" x14ac:dyDescent="0.25">
      <c r="A1986" s="471" t="s">
        <v>6189</v>
      </c>
      <c r="B1986" s="1139">
        <f t="shared" ca="1" si="299"/>
        <v>0</v>
      </c>
      <c r="C1986" s="473">
        <f ca="1">IF(ISERROR(VLOOKUP($A$1938,INDIRECT("notes_"&amp;LEFT($A$1938,3)),4,0)),0,VLOOKUP($A$1938,INDIRECT("notes_"&amp;LEFT($A$1938,3)),4,0))</f>
        <v>0</v>
      </c>
      <c r="H1986" s="471">
        <f t="shared" ref="H1986:H2038" si="300">LEN(A1986)-LEN(SUBSTITUTE(A1986,"-",""))-I1986</f>
        <v>2</v>
      </c>
      <c r="I1986" s="471">
        <v>1</v>
      </c>
      <c r="J1986" s="471" t="str">
        <f t="shared" si="297"/>
        <v>poltot</v>
      </c>
      <c r="K1986" s="471" t="str">
        <f t="shared" si="298"/>
        <v>run-exp</v>
      </c>
      <c r="L1986" s="599"/>
      <c r="M1986" s="471" t="s">
        <v>6187</v>
      </c>
      <c r="N1986" s="471" t="s">
        <v>1251</v>
      </c>
      <c r="O1986" s="471" t="s">
        <v>1250</v>
      </c>
    </row>
    <row r="1987" spans="1:15" x14ac:dyDescent="0.25">
      <c r="A1987" s="471" t="s">
        <v>2223</v>
      </c>
      <c r="B1987" s="1139">
        <f t="shared" ca="1" si="299"/>
        <v>0</v>
      </c>
      <c r="C1987" s="473">
        <f ca="1">IF(ISERROR(VLOOKUP($A$1987,INDIRECT("notes_"&amp;LEFT($A$1987,3)),4,0)),0,VLOOKUP($A$1987,INDIRECT("notes_"&amp;LEFT($A$1987,3)),4,0))</f>
        <v>0</v>
      </c>
      <c r="H1987" s="471">
        <f t="shared" si="300"/>
        <v>2</v>
      </c>
      <c r="I1987" s="471">
        <v>1</v>
      </c>
      <c r="J1987" s="471" t="str">
        <f t="shared" si="297"/>
        <v>polsvmem</v>
      </c>
      <c r="K1987" s="471" t="str">
        <f t="shared" si="298"/>
        <v>run-exp</v>
      </c>
      <c r="L1987" s="599"/>
      <c r="M1987" s="471" t="s">
        <v>6187</v>
      </c>
      <c r="N1987" s="471" t="s">
        <v>1251</v>
      </c>
      <c r="O1987" s="471" t="s">
        <v>1250</v>
      </c>
    </row>
    <row r="1988" spans="1:15" x14ac:dyDescent="0.25">
      <c r="A1988" s="471" t="s">
        <v>6190</v>
      </c>
      <c r="B1988" s="1139">
        <f t="shared" ca="1" si="299"/>
        <v>0</v>
      </c>
      <c r="C1988" s="473">
        <f ca="1">IF(ISERROR(VLOOKUP($A$1939,INDIRECT("notes_"&amp;LEFT($A$1939,3)),4,0)),0,VLOOKUP($A$1939,INDIRECT("notes_"&amp;LEFT($A$1939,3)),4,0))</f>
        <v>0</v>
      </c>
      <c r="H1988" s="471">
        <f t="shared" si="300"/>
        <v>4</v>
      </c>
      <c r="I1988" s="471">
        <v>1</v>
      </c>
      <c r="J1988" s="471" t="str">
        <f t="shared" si="297"/>
        <v>frs-cmm-fs</v>
      </c>
      <c r="K1988" s="471" t="str">
        <f t="shared" si="298"/>
        <v>run-exp</v>
      </c>
      <c r="L1988" s="599"/>
      <c r="M1988" s="471" t="s">
        <v>6187</v>
      </c>
      <c r="N1988" s="471" t="s">
        <v>1251</v>
      </c>
      <c r="O1988" s="471" t="s">
        <v>1250</v>
      </c>
    </row>
    <row r="1989" spans="1:15" x14ac:dyDescent="0.25">
      <c r="A1989" s="471" t="s">
        <v>6191</v>
      </c>
      <c r="B1989" s="1139">
        <f t="shared" ca="1" si="299"/>
        <v>0</v>
      </c>
      <c r="C1989" s="473">
        <f ca="1">IF(ISERROR(VLOOKUP($A$1940,INDIRECT("notes_"&amp;LEFT($A$1940,3)),4,0)),0,VLOOKUP($A$1940,INDIRECT("notes_"&amp;LEFT($A$1940,3)),4,0))</f>
        <v>0</v>
      </c>
      <c r="H1989" s="471">
        <f t="shared" si="300"/>
        <v>4</v>
      </c>
      <c r="I1989" s="471">
        <v>1</v>
      </c>
      <c r="J1989" s="471" t="str">
        <f t="shared" si="297"/>
        <v>frs-ffr-opr</v>
      </c>
      <c r="K1989" s="471" t="str">
        <f t="shared" si="298"/>
        <v>run-exp</v>
      </c>
      <c r="L1989" s="599"/>
      <c r="M1989" s="471" t="s">
        <v>6187</v>
      </c>
      <c r="N1989" s="471" t="s">
        <v>1251</v>
      </c>
      <c r="O1989" s="471" t="s">
        <v>1250</v>
      </c>
    </row>
    <row r="1990" spans="1:15" x14ac:dyDescent="0.25">
      <c r="A1990" s="471" t="s">
        <v>6192</v>
      </c>
      <c r="B1990" s="1139">
        <f t="shared" ca="1" si="299"/>
        <v>0</v>
      </c>
      <c r="C1990" s="473">
        <f ca="1">IF(ISERROR(VLOOKUP($A$1941,INDIRECT("notes_"&amp;LEFT($A$1941,3)),4,0)),0,VLOOKUP($A$1941,INDIRECT("notes_"&amp;LEFT($A$1941,3)),4,0))</f>
        <v>0</v>
      </c>
      <c r="H1990" s="471">
        <f t="shared" si="300"/>
        <v>5</v>
      </c>
      <c r="I1990" s="471">
        <v>1</v>
      </c>
      <c r="J1990" s="471" t="str">
        <f t="shared" si="297"/>
        <v>frs-frs-emr-pln</v>
      </c>
      <c r="K1990" s="471" t="str">
        <f t="shared" si="298"/>
        <v>run-exp</v>
      </c>
      <c r="L1990" s="599"/>
      <c r="M1990" s="471" t="s">
        <v>6187</v>
      </c>
      <c r="N1990" s="471" t="s">
        <v>1251</v>
      </c>
      <c r="O1990" s="471" t="s">
        <v>1250</v>
      </c>
    </row>
    <row r="1991" spans="1:15" x14ac:dyDescent="0.25">
      <c r="A1991" s="471" t="s">
        <v>6193</v>
      </c>
      <c r="B1991" s="1139">
        <f t="shared" ca="1" si="299"/>
        <v>0</v>
      </c>
      <c r="C1991" s="473">
        <f ca="1">IF(ISERROR(VLOOKUP($A$1942,INDIRECT("notes_"&amp;LEFT($A$1942,3)),4,0)),0,VLOOKUP($A$1942,INDIRECT("notes_"&amp;LEFT($A$1942,3)),4,0))</f>
        <v>0</v>
      </c>
      <c r="H1991" s="471">
        <f t="shared" si="300"/>
        <v>2</v>
      </c>
      <c r="I1991" s="471">
        <v>1</v>
      </c>
      <c r="J1991" s="471" t="str">
        <f t="shared" si="297"/>
        <v>frstot</v>
      </c>
      <c r="K1991" s="471" t="str">
        <f t="shared" si="298"/>
        <v>run-exp</v>
      </c>
      <c r="L1991" s="599"/>
      <c r="M1991" s="471" t="s">
        <v>6187</v>
      </c>
      <c r="N1991" s="471" t="s">
        <v>1251</v>
      </c>
      <c r="O1991" s="471" t="s">
        <v>1250</v>
      </c>
    </row>
    <row r="1992" spans="1:15" x14ac:dyDescent="0.25">
      <c r="A1992" s="471" t="s">
        <v>2228</v>
      </c>
      <c r="B1992" s="1139">
        <f t="shared" ca="1" si="299"/>
        <v>0</v>
      </c>
      <c r="C1992" s="473">
        <f ca="1">IF(ISERROR(VLOOKUP($A$1992,INDIRECT("notes_"&amp;LEFT($A$1992,3)),4,0)),0,VLOOKUP($A$1992,INDIRECT("notes_"&amp;LEFT($A$1992,3)),4,0))</f>
        <v>0</v>
      </c>
      <c r="H1992" s="471">
        <f t="shared" si="300"/>
        <v>2</v>
      </c>
      <c r="I1992" s="471">
        <v>1</v>
      </c>
      <c r="J1992" s="471" t="str">
        <f t="shared" si="297"/>
        <v>frssvmem</v>
      </c>
      <c r="K1992" s="471" t="str">
        <f t="shared" si="298"/>
        <v>run-exp</v>
      </c>
      <c r="L1992" s="599"/>
      <c r="M1992" s="471" t="s">
        <v>6187</v>
      </c>
      <c r="N1992" s="471" t="s">
        <v>1251</v>
      </c>
      <c r="O1992" s="471" t="s">
        <v>1250</v>
      </c>
    </row>
    <row r="1993" spans="1:15" x14ac:dyDescent="0.25">
      <c r="A1993" s="471" t="s">
        <v>6194</v>
      </c>
      <c r="B1993" s="1139">
        <f t="shared" ca="1" si="299"/>
        <v>0</v>
      </c>
      <c r="C1993" s="473">
        <f ca="1">IF(ISERROR(VLOOKUP($A$1943,INDIRECT("notes_"&amp;LEFT($A$1943,3)),4,0)),0,VLOOKUP($A$1943,INDIRECT("notes_"&amp;LEFT($A$1943,3)),4,0))</f>
        <v>0</v>
      </c>
      <c r="H1993" s="471">
        <f t="shared" si="300"/>
        <v>2</v>
      </c>
      <c r="I1993" s="471">
        <v>1</v>
      </c>
      <c r="J1993" s="471" t="str">
        <f t="shared" si="297"/>
        <v>cencrp</v>
      </c>
      <c r="K1993" s="471" t="str">
        <f t="shared" si="298"/>
        <v>run-exp</v>
      </c>
      <c r="L1993" s="599"/>
      <c r="M1993" s="471" t="s">
        <v>6187</v>
      </c>
      <c r="N1993" s="471" t="s">
        <v>1251</v>
      </c>
      <c r="O1993" s="471" t="s">
        <v>1250</v>
      </c>
    </row>
    <row r="1994" spans="1:15" x14ac:dyDescent="0.25">
      <c r="A1994" s="471" t="s">
        <v>6195</v>
      </c>
      <c r="B1994" s="1139">
        <f t="shared" ca="1" si="299"/>
        <v>0</v>
      </c>
      <c r="C1994" s="473">
        <f ca="1">IF(ISERROR(VLOOKUP($A$1944,INDIRECT("notes_"&amp;LEFT($A$1944,3)),4,0)),0,VLOOKUP($A$1944,INDIRECT("notes_"&amp;LEFT($A$1944,3)),4,0))</f>
        <v>0</v>
      </c>
      <c r="H1994" s="471">
        <f t="shared" si="300"/>
        <v>3</v>
      </c>
      <c r="I1994" s="471">
        <v>1</v>
      </c>
      <c r="J1994" s="471" t="str">
        <f t="shared" si="297"/>
        <v>centax-cll</v>
      </c>
      <c r="K1994" s="471" t="str">
        <f t="shared" si="298"/>
        <v>run-exp</v>
      </c>
      <c r="L1994" s="599"/>
      <c r="M1994" s="471" t="s">
        <v>6187</v>
      </c>
      <c r="N1994" s="471" t="s">
        <v>1251</v>
      </c>
      <c r="O1994" s="471" t="s">
        <v>1250</v>
      </c>
    </row>
    <row r="1995" spans="1:15" x14ac:dyDescent="0.25">
      <c r="A1995" s="471" t="s">
        <v>6196</v>
      </c>
      <c r="B1995" s="1139">
        <f t="shared" ca="1" si="299"/>
        <v>0</v>
      </c>
      <c r="C1995" s="473">
        <f ca="1">IF(ISERROR(VLOOKUP($A$1945,INDIRECT("notes_"&amp;LEFT($A$1945,3)),4,0)),0,VLOOKUP($A$1945,INDIRECT("notes_"&amp;LEFT($A$1945,3)),4,0))</f>
        <v>0</v>
      </c>
      <c r="H1995" s="471">
        <f t="shared" si="300"/>
        <v>4</v>
      </c>
      <c r="I1995" s="471">
        <v>1</v>
      </c>
      <c r="J1995" s="471" t="str">
        <f t="shared" si="297"/>
        <v>centaxdsc-prm-pym</v>
      </c>
      <c r="K1995" s="471" t="str">
        <f t="shared" si="298"/>
        <v>run-exp</v>
      </c>
      <c r="L1995" s="599"/>
      <c r="M1995" s="471" t="s">
        <v>6187</v>
      </c>
      <c r="N1995" s="471" t="s">
        <v>1251</v>
      </c>
      <c r="O1995" s="471" t="s">
        <v>1250</v>
      </c>
    </row>
    <row r="1996" spans="1:15" x14ac:dyDescent="0.25">
      <c r="A1996" s="471" t="s">
        <v>6197</v>
      </c>
      <c r="B1996" s="1139">
        <f t="shared" ca="1" si="299"/>
        <v>0</v>
      </c>
      <c r="C1996" s="473">
        <f ca="1">IF(ISERROR(VLOOKUP($A$1946,INDIRECT("notes_"&amp;LEFT($A$1946,3)),4,0)),0,VLOOKUP($A$1946,INDIRECT("notes_"&amp;LEFT($A$1946,3)),4,0))</f>
        <v>0</v>
      </c>
      <c r="H1996" s="471">
        <f t="shared" si="300"/>
        <v>2</v>
      </c>
      <c r="I1996" s="471">
        <v>1</v>
      </c>
      <c r="J1996" s="471" t="str">
        <f t="shared" si="297"/>
        <v>centaxdsc</v>
      </c>
      <c r="K1996" s="471" t="str">
        <f t="shared" si="298"/>
        <v>run-exp</v>
      </c>
      <c r="L1996" s="599"/>
      <c r="M1996" s="471" t="s">
        <v>6187</v>
      </c>
      <c r="N1996" s="471" t="s">
        <v>1251</v>
      </c>
      <c r="O1996" s="471" t="s">
        <v>1250</v>
      </c>
    </row>
    <row r="1997" spans="1:15" x14ac:dyDescent="0.25">
      <c r="A1997" s="471" t="s">
        <v>6198</v>
      </c>
      <c r="B1997" s="1139">
        <f t="shared" ca="1" si="299"/>
        <v>0</v>
      </c>
      <c r="C1997" s="473">
        <f ca="1">IF(ISERROR(VLOOKUP($A$1947,INDIRECT("notes_"&amp;LEFT($A$1947,3)),4,0)),0,VLOOKUP($A$1947,INDIRECT("notes_"&amp;LEFT($A$1947,3)),4,0))</f>
        <v>0</v>
      </c>
      <c r="H1997" s="471">
        <f t="shared" si="300"/>
        <v>2</v>
      </c>
      <c r="I1997" s="471">
        <v>1</v>
      </c>
      <c r="J1997" s="471" t="str">
        <f t="shared" si="297"/>
        <v>centaxadm</v>
      </c>
      <c r="K1997" s="471" t="str">
        <f t="shared" si="298"/>
        <v>run-exp</v>
      </c>
      <c r="L1997" s="599"/>
      <c r="M1997" s="471" t="s">
        <v>6187</v>
      </c>
      <c r="N1997" s="471" t="s">
        <v>1251</v>
      </c>
      <c r="O1997" s="471" t="s">
        <v>1250</v>
      </c>
    </row>
    <row r="1998" spans="1:15" x14ac:dyDescent="0.25">
      <c r="A1998" s="471" t="s">
        <v>6199</v>
      </c>
      <c r="B1998" s="1139">
        <f t="shared" ca="1" si="299"/>
        <v>0</v>
      </c>
      <c r="C1998" s="473">
        <f ca="1">IF(ISERROR(VLOOKUP($A$1948,INDIRECT("notes_"&amp;LEFT($A$1948,3)),4,0)),0,VLOOKUP($A$1948,INDIRECT("notes_"&amp;LEFT($A$1948,3)),4,0))</f>
        <v>0</v>
      </c>
      <c r="H1998" s="471">
        <f t="shared" si="300"/>
        <v>5</v>
      </c>
      <c r="I1998" s="471">
        <v>1</v>
      </c>
      <c r="J1998" s="471" t="str">
        <f t="shared" si="297"/>
        <v>centaxoth-non-dms-cll</v>
      </c>
      <c r="K1998" s="471" t="str">
        <f t="shared" si="298"/>
        <v>run-exp</v>
      </c>
      <c r="L1998" s="599"/>
      <c r="M1998" s="471" t="s">
        <v>6187</v>
      </c>
      <c r="N1998" s="471" t="s">
        <v>1251</v>
      </c>
      <c r="O1998" s="471" t="s">
        <v>1250</v>
      </c>
    </row>
    <row r="1999" spans="1:15" x14ac:dyDescent="0.25">
      <c r="A1999" s="471" t="s">
        <v>6200</v>
      </c>
      <c r="B1999" s="1139">
        <f t="shared" ca="1" si="299"/>
        <v>0</v>
      </c>
      <c r="C1999" s="473">
        <f ca="1">IF(ISERROR(VLOOKUP($A$1949,INDIRECT("notes_"&amp;LEFT($A$1949,3)),4,0)),0,VLOOKUP($A$1949,INDIRECT("notes_"&amp;LEFT($A$1949,3)),4,0))</f>
        <v>0</v>
      </c>
      <c r="H1999" s="471">
        <f t="shared" si="300"/>
        <v>4</v>
      </c>
      <c r="I1999" s="471">
        <v>1</v>
      </c>
      <c r="J1999" s="471" t="str">
        <f t="shared" si="297"/>
        <v>centaxoth-bid-bll</v>
      </c>
      <c r="K1999" s="471" t="str">
        <f t="shared" si="298"/>
        <v>run-exp</v>
      </c>
      <c r="L1999" s="599"/>
      <c r="M1999" s="471" t="s">
        <v>6187</v>
      </c>
      <c r="N1999" s="471" t="s">
        <v>1251</v>
      </c>
      <c r="O1999" s="471" t="s">
        <v>1250</v>
      </c>
    </row>
    <row r="2000" spans="1:15" x14ac:dyDescent="0.25">
      <c r="A2000" s="471" t="s">
        <v>6201</v>
      </c>
      <c r="B2000" s="1139">
        <f t="shared" ca="1" si="299"/>
        <v>0</v>
      </c>
      <c r="C2000" s="473">
        <f ca="1">IF(ISERROR(VLOOKUP($A$1950,INDIRECT("notes_"&amp;LEFT($A$1950,3)),4,0)),0,VLOOKUP($A$1950,INDIRECT("notes_"&amp;LEFT($A$1950,3)),4,0))</f>
        <v>0</v>
      </c>
      <c r="H2000" s="471">
        <f t="shared" si="300"/>
        <v>4</v>
      </c>
      <c r="I2000" s="471">
        <v>1</v>
      </c>
      <c r="J2000" s="471" t="str">
        <f t="shared" si="297"/>
        <v>cencntbrt-dth-mrr</v>
      </c>
      <c r="K2000" s="471" t="str">
        <f t="shared" si="298"/>
        <v>run-exp</v>
      </c>
      <c r="L2000" s="599"/>
      <c r="M2000" s="471" t="s">
        <v>6187</v>
      </c>
      <c r="N2000" s="471" t="s">
        <v>1251</v>
      </c>
      <c r="O2000" s="471" t="s">
        <v>1250</v>
      </c>
    </row>
    <row r="2001" spans="1:15" x14ac:dyDescent="0.25">
      <c r="A2001" s="471" t="s">
        <v>6202</v>
      </c>
      <c r="B2001" s="1139">
        <f t="shared" ca="1" si="299"/>
        <v>0</v>
      </c>
      <c r="C2001" s="473">
        <f ca="1">IF(ISERROR(VLOOKUP($A$1951,INDIRECT("notes_"&amp;LEFT($A$1951,3)),4,0)),0,VLOOKUP($A$1951,INDIRECT("notes_"&amp;LEFT($A$1951,3)),4,0))</f>
        <v>0</v>
      </c>
      <c r="H2001" s="471">
        <f t="shared" si="300"/>
        <v>4</v>
      </c>
      <c r="I2001" s="471">
        <v>1</v>
      </c>
      <c r="J2001" s="471" t="str">
        <f t="shared" si="297"/>
        <v>cencnt-rgs-elc</v>
      </c>
      <c r="K2001" s="471" t="str">
        <f t="shared" si="298"/>
        <v>run-exp</v>
      </c>
      <c r="L2001" s="599"/>
      <c r="M2001" s="471" t="s">
        <v>6187</v>
      </c>
      <c r="N2001" s="471" t="s">
        <v>1251</v>
      </c>
      <c r="O2001" s="471" t="s">
        <v>1250</v>
      </c>
    </row>
    <row r="2002" spans="1:15" x14ac:dyDescent="0.25">
      <c r="A2002" s="471" t="s">
        <v>6203</v>
      </c>
      <c r="B2002" s="1139">
        <f t="shared" ca="1" si="299"/>
        <v>0</v>
      </c>
      <c r="C2002" s="473">
        <f ca="1">IF(ISERROR(VLOOKUP($A$1952,INDIRECT("notes_"&amp;LEFT($A$1952,3)),4,0)),0,VLOOKUP($A$1952,INDIRECT("notes_"&amp;LEFT($A$1952,3)),4,0))</f>
        <v>0</v>
      </c>
      <c r="H2002" s="471">
        <f t="shared" si="300"/>
        <v>4</v>
      </c>
      <c r="I2002" s="471">
        <v>1</v>
      </c>
      <c r="J2002" s="471" t="str">
        <f t="shared" si="297"/>
        <v>cencnt-cnd-elc</v>
      </c>
      <c r="K2002" s="471" t="str">
        <f t="shared" si="298"/>
        <v>run-exp</v>
      </c>
      <c r="L2002" s="599"/>
      <c r="M2002" s="471" t="s">
        <v>6187</v>
      </c>
      <c r="N2002" s="471" t="s">
        <v>1251</v>
      </c>
      <c r="O2002" s="471" t="s">
        <v>1250</v>
      </c>
    </row>
    <row r="2003" spans="1:15" x14ac:dyDescent="0.25">
      <c r="A2003" s="471" t="s">
        <v>6204</v>
      </c>
      <c r="B2003" s="1139">
        <f t="shared" ca="1" si="299"/>
        <v>0</v>
      </c>
      <c r="C2003" s="473">
        <f ca="1">IF(ISERROR(VLOOKUP($A$1953,INDIRECT("notes_"&amp;LEFT($A$1953,3)),4,0)),0,VLOOKUP($A$1953,INDIRECT("notes_"&amp;LEFT($A$1953,3)),4,0))</f>
        <v>0</v>
      </c>
      <c r="H2003" s="471">
        <f t="shared" si="300"/>
        <v>2</v>
      </c>
      <c r="I2003" s="471">
        <v>1</v>
      </c>
      <c r="J2003" s="471" t="str">
        <f t="shared" ref="J2003:J2038" si="301">MID($A2003,SEARCH("-",$A2003)+1,SEARCH("#",SUBSTITUTE($A2003,"-","#",H2003),1)-(SEARCH("-",$A2003)+1))</f>
        <v>cenemr</v>
      </c>
      <c r="K2003" s="471" t="str">
        <f t="shared" ref="K2003:K2038" si="302">RIGHT($A2003,LEN($A2003)-SEARCH("#",SUBSTITUTE($A2003,"-","#",H2003),1))</f>
        <v>run-exp</v>
      </c>
      <c r="L2003" s="599"/>
      <c r="M2003" s="471" t="s">
        <v>6187</v>
      </c>
      <c r="N2003" s="471" t="s">
        <v>1251</v>
      </c>
      <c r="O2003" s="471" t="s">
        <v>1250</v>
      </c>
    </row>
    <row r="2004" spans="1:15" x14ac:dyDescent="0.25">
      <c r="A2004" s="471" t="s">
        <v>6205</v>
      </c>
      <c r="B2004" s="1139">
        <f t="shared" ca="1" si="299"/>
        <v>0</v>
      </c>
      <c r="C2004" s="473">
        <f ca="1">IF(ISERROR(VLOOKUP($A$1954,INDIRECT("notes_"&amp;LEFT($A$1954,3)),4,0)),0,VLOOKUP($A$1954,INDIRECT("notes_"&amp;LEFT($A$1954,3)),4,0))</f>
        <v>0</v>
      </c>
      <c r="H2004" s="471">
        <f t="shared" si="300"/>
        <v>5</v>
      </c>
      <c r="I2004" s="471">
        <v>1</v>
      </c>
      <c r="J2004" s="471" t="str">
        <f t="shared" si="301"/>
        <v>cencnt-lcl-lnd-chr</v>
      </c>
      <c r="K2004" s="471" t="str">
        <f t="shared" si="302"/>
        <v>run-exp</v>
      </c>
      <c r="L2004" s="599"/>
      <c r="M2004" s="471" t="s">
        <v>6187</v>
      </c>
      <c r="N2004" s="471" t="s">
        <v>1251</v>
      </c>
      <c r="O2004" s="471" t="s">
        <v>1250</v>
      </c>
    </row>
    <row r="2005" spans="1:15" x14ac:dyDescent="0.25">
      <c r="A2005" s="471" t="s">
        <v>6206</v>
      </c>
      <c r="B2005" s="1139">
        <f t="shared" ca="1" si="299"/>
        <v>0</v>
      </c>
      <c r="C2005" s="473">
        <f ca="1">IF(ISERROR(VLOOKUP($A$1955,INDIRECT("notes_"&amp;LEFT($A$1955,3)),4,0)),0,VLOOKUP($A$1955,INDIRECT("notes_"&amp;LEFT($A$1955,3)),4,0))</f>
        <v>0</v>
      </c>
      <c r="H2005" s="471">
        <f t="shared" si="300"/>
        <v>4</v>
      </c>
      <c r="I2005" s="471">
        <v>1</v>
      </c>
      <c r="J2005" s="471" t="str">
        <f t="shared" si="301"/>
        <v>cencnt-lcl-wlf</v>
      </c>
      <c r="K2005" s="471" t="str">
        <f t="shared" si="302"/>
        <v>run-exp</v>
      </c>
      <c r="L2005" s="599"/>
      <c r="M2005" s="471" t="s">
        <v>6187</v>
      </c>
      <c r="N2005" s="471" t="s">
        <v>1251</v>
      </c>
      <c r="O2005" s="471" t="s">
        <v>1250</v>
      </c>
    </row>
    <row r="2006" spans="1:15" x14ac:dyDescent="0.25">
      <c r="A2006" s="471" t="s">
        <v>6207</v>
      </c>
      <c r="B2006" s="1139">
        <f t="shared" ca="1" si="299"/>
        <v>0</v>
      </c>
      <c r="C2006" s="473">
        <f ca="1">IF(ISERROR(VLOOKUP($A$1956,INDIRECT("notes_"&amp;LEFT($A$1956,3)),4,0)),0,VLOOKUP($A$1956,INDIRECT("notes_"&amp;LEFT($A$1956,3)),4,0))</f>
        <v>0</v>
      </c>
      <c r="H2006" s="471">
        <f t="shared" si="300"/>
        <v>5</v>
      </c>
      <c r="I2006" s="471">
        <v>1</v>
      </c>
      <c r="J2006" s="471" t="str">
        <f t="shared" si="301"/>
        <v>cencnt-gnr-bqs-dnt</v>
      </c>
      <c r="K2006" s="471" t="str">
        <f t="shared" si="302"/>
        <v>run-exp</v>
      </c>
      <c r="L2006" s="599"/>
      <c r="M2006" s="471" t="s">
        <v>6187</v>
      </c>
      <c r="N2006" s="471" t="s">
        <v>1251</v>
      </c>
      <c r="O2006" s="471" t="s">
        <v>1250</v>
      </c>
    </row>
    <row r="2007" spans="1:15" x14ac:dyDescent="0.25">
      <c r="A2007" s="471" t="s">
        <v>6208</v>
      </c>
      <c r="B2007" s="1139">
        <f t="shared" ca="1" si="299"/>
        <v>0</v>
      </c>
      <c r="C2007" s="473">
        <f ca="1">IF(ISERROR(VLOOKUP($A$1957,INDIRECT("notes_"&amp;LEFT($A$1957,3)),4,0)),0,VLOOKUP($A$1957,INDIRECT("notes_"&amp;LEFT($A$1957,3)),4,0))</f>
        <v>0</v>
      </c>
      <c r="H2007" s="471">
        <f t="shared" si="300"/>
        <v>2</v>
      </c>
      <c r="I2007" s="471">
        <v>1</v>
      </c>
      <c r="J2007" s="471" t="str">
        <f t="shared" si="301"/>
        <v>cencrn</v>
      </c>
      <c r="K2007" s="471" t="str">
        <f t="shared" si="302"/>
        <v>run-exp</v>
      </c>
      <c r="L2007" s="599"/>
      <c r="M2007" s="471" t="s">
        <v>6187</v>
      </c>
      <c r="N2007" s="471" t="s">
        <v>1251</v>
      </c>
      <c r="O2007" s="471" t="s">
        <v>1250</v>
      </c>
    </row>
    <row r="2008" spans="1:15" x14ac:dyDescent="0.25">
      <c r="A2008" s="471" t="s">
        <v>6209</v>
      </c>
      <c r="B2008" s="1139">
        <f t="shared" ca="1" si="299"/>
        <v>0</v>
      </c>
      <c r="C2008" s="473">
        <f ca="1">IF(ISERROR(VLOOKUP($A$1958,INDIRECT("notes_"&amp;LEFT($A$1958,3)),4,0)),0,VLOOKUP($A$1958,INDIRECT("notes_"&amp;LEFT($A$1958,3)),4,0))</f>
        <v>0</v>
      </c>
      <c r="H2008" s="471">
        <f t="shared" si="300"/>
        <v>2</v>
      </c>
      <c r="I2008" s="471">
        <v>1</v>
      </c>
      <c r="J2008" s="471" t="str">
        <f t="shared" si="301"/>
        <v>cencrtoth</v>
      </c>
      <c r="K2008" s="471" t="str">
        <f t="shared" si="302"/>
        <v>run-exp</v>
      </c>
      <c r="L2008" s="599"/>
      <c r="M2008" s="471" t="s">
        <v>6187</v>
      </c>
      <c r="N2008" s="471" t="s">
        <v>1251</v>
      </c>
      <c r="O2008" s="471" t="s">
        <v>1250</v>
      </c>
    </row>
    <row r="2009" spans="1:15" x14ac:dyDescent="0.25">
      <c r="A2009" s="471" t="s">
        <v>6210</v>
      </c>
      <c r="B2009" s="1139">
        <f t="shared" ca="1" si="299"/>
        <v>0</v>
      </c>
      <c r="C2009" s="473">
        <f ca="1">IF(ISERROR(VLOOKUP($A$1959,INDIRECT("notes_"&amp;LEFT($A$1959,3)),4,0)),0,VLOOKUP($A$1959,INDIRECT("notes_"&amp;LEFT($A$1959,3)),4,0))</f>
        <v>0</v>
      </c>
      <c r="H2009" s="471">
        <f t="shared" si="300"/>
        <v>2</v>
      </c>
      <c r="I2009" s="471">
        <v>1</v>
      </c>
      <c r="J2009" s="471" t="str">
        <f t="shared" si="301"/>
        <v>cenndcrtr</v>
      </c>
      <c r="K2009" s="471" t="str">
        <f t="shared" si="302"/>
        <v>run-exp</v>
      </c>
      <c r="L2009" s="599"/>
      <c r="M2009" s="471" t="s">
        <v>6187</v>
      </c>
      <c r="N2009" s="471" t="s">
        <v>1251</v>
      </c>
      <c r="O2009" s="471" t="s">
        <v>1250</v>
      </c>
    </row>
    <row r="2010" spans="1:15" x14ac:dyDescent="0.25">
      <c r="A2010" s="471" t="s">
        <v>6211</v>
      </c>
      <c r="B2010" s="1139">
        <f t="shared" ca="1" si="299"/>
        <v>0</v>
      </c>
      <c r="C2010" s="473">
        <f ca="1">IF(ISERROR(VLOOKUP($A$1960,INDIRECT("notes_"&amp;LEFT($A$1960,3)),4,0)),0,VLOOKUP($A$1960,INDIRECT("notes_"&amp;LEFT($A$1960,3)),4,0))</f>
        <v>0</v>
      </c>
      <c r="H2010" s="471">
        <f t="shared" si="300"/>
        <v>2</v>
      </c>
      <c r="I2010" s="471">
        <v>1</v>
      </c>
      <c r="J2010" s="471" t="str">
        <f t="shared" si="301"/>
        <v>cenndcit</v>
      </c>
      <c r="K2010" s="471" t="str">
        <f t="shared" si="302"/>
        <v>run-exp</v>
      </c>
      <c r="L2010" s="599"/>
      <c r="M2010" s="471" t="s">
        <v>6187</v>
      </c>
      <c r="N2010" s="471" t="s">
        <v>1251</v>
      </c>
      <c r="O2010" s="471" t="s">
        <v>1250</v>
      </c>
    </row>
    <row r="2011" spans="1:15" x14ac:dyDescent="0.25">
      <c r="A2011" s="471" t="s">
        <v>6212</v>
      </c>
      <c r="B2011" s="1139">
        <f t="shared" ca="1" si="299"/>
        <v>0</v>
      </c>
      <c r="C2011" s="473">
        <f ca="1">IF(ISERROR(VLOOKUP($A$1961,INDIRECT("notes_"&amp;LEFT($A$1961,3)),4,0)),0,VLOOKUP($A$1961,INDIRECT("notes_"&amp;LEFT($A$1961,3)),4,0))</f>
        <v>0</v>
      </c>
      <c r="H2011" s="471">
        <f t="shared" si="300"/>
        <v>2</v>
      </c>
      <c r="I2011" s="471">
        <v>1</v>
      </c>
      <c r="J2011" s="471" t="str">
        <f t="shared" si="301"/>
        <v>cenndcsrp</v>
      </c>
      <c r="K2011" s="471" t="str">
        <f t="shared" si="302"/>
        <v>run-exp</v>
      </c>
      <c r="L2011" s="599"/>
      <c r="M2011" s="471" t="s">
        <v>6187</v>
      </c>
      <c r="N2011" s="471" t="s">
        <v>1251</v>
      </c>
      <c r="O2011" s="471" t="s">
        <v>1250</v>
      </c>
    </row>
    <row r="2012" spans="1:15" x14ac:dyDescent="0.25">
      <c r="A2012" s="471" t="s">
        <v>6213</v>
      </c>
      <c r="B2012" s="1139">
        <f t="shared" ca="1" si="299"/>
        <v>0</v>
      </c>
      <c r="C2012" s="473">
        <f ca="1">IF(ISERROR(VLOOKUP($A$1962,INDIRECT("notes_"&amp;LEFT($A$1962,3)),4,0)),0,VLOOKUP($A$1962,INDIRECT("notes_"&amp;LEFT($A$1962,3)),4,0))</f>
        <v>0</v>
      </c>
      <c r="H2012" s="471">
        <f t="shared" si="300"/>
        <v>4</v>
      </c>
      <c r="I2012" s="471">
        <v>1</v>
      </c>
      <c r="J2012" s="471" t="str">
        <f t="shared" si="301"/>
        <v>cennd-mng-spp</v>
      </c>
      <c r="K2012" s="471" t="str">
        <f t="shared" si="302"/>
        <v>run-exp</v>
      </c>
      <c r="L2012" s="599"/>
      <c r="M2012" s="471" t="s">
        <v>6187</v>
      </c>
      <c r="N2012" s="471" t="s">
        <v>1251</v>
      </c>
      <c r="O2012" s="471" t="s">
        <v>1250</v>
      </c>
    </row>
    <row r="2013" spans="1:15" x14ac:dyDescent="0.25">
      <c r="A2013" s="471" t="s">
        <v>6214</v>
      </c>
      <c r="B2013" s="1139">
        <f t="shared" ca="1" si="299"/>
        <v>0</v>
      </c>
      <c r="C2013" s="473">
        <f ca="1">IF(ISERROR(VLOOKUP($A$1963,INDIRECT("notes_"&amp;LEFT($A$1963,3)),4,0)),0,VLOOKUP($A$1963,INDIRECT("notes_"&amp;LEFT($A$1963,3)),4,0))</f>
        <v>0</v>
      </c>
      <c r="H2013" s="471">
        <f t="shared" si="300"/>
        <v>2</v>
      </c>
      <c r="I2013" s="471">
        <v>1</v>
      </c>
      <c r="J2013" s="471" t="str">
        <f t="shared" si="301"/>
        <v>centot</v>
      </c>
      <c r="K2013" s="471" t="str">
        <f t="shared" si="302"/>
        <v>run-exp</v>
      </c>
      <c r="L2013" s="599"/>
      <c r="M2013" s="471" t="s">
        <v>6187</v>
      </c>
      <c r="N2013" s="471" t="s">
        <v>1251</v>
      </c>
      <c r="O2013" s="471" t="s">
        <v>1250</v>
      </c>
    </row>
    <row r="2014" spans="1:15" x14ac:dyDescent="0.25">
      <c r="A2014" s="471" t="s">
        <v>2250</v>
      </c>
      <c r="B2014" s="1139">
        <f t="shared" ca="1" si="299"/>
        <v>0</v>
      </c>
      <c r="C2014" s="473">
        <f ca="1">IF(ISERROR(VLOOKUP($A$2014,INDIRECT("notes_"&amp;LEFT($A$2014,3)),4,0)),0,VLOOKUP($A$2014,INDIRECT("notes_"&amp;LEFT($A$2014,3)),4,0))</f>
        <v>0</v>
      </c>
      <c r="H2014" s="471">
        <f t="shared" si="300"/>
        <v>2</v>
      </c>
      <c r="I2014" s="471">
        <v>1</v>
      </c>
      <c r="J2014" s="471" t="str">
        <f t="shared" si="301"/>
        <v>censvmem</v>
      </c>
      <c r="K2014" s="471" t="str">
        <f t="shared" si="302"/>
        <v>run-exp</v>
      </c>
      <c r="L2014" s="599"/>
      <c r="M2014" s="471" t="s">
        <v>6187</v>
      </c>
      <c r="N2014" s="471" t="s">
        <v>1251</v>
      </c>
      <c r="O2014" s="471" t="s">
        <v>1250</v>
      </c>
    </row>
    <row r="2015" spans="1:15" x14ac:dyDescent="0.25">
      <c r="A2015" s="471" t="s">
        <v>6215</v>
      </c>
      <c r="B2015" s="1139">
        <f t="shared" ca="1" si="299"/>
        <v>0</v>
      </c>
      <c r="C2015" s="473">
        <f ca="1">IF(ISERROR(VLOOKUP($A$1964,INDIRECT("notes_"&amp;LEFT($A$1964,3)),4,0)),0,VLOOKUP($A$1964,INDIRECT("notes_"&amp;LEFT($A$1964,3)),4,0))</f>
        <v>0</v>
      </c>
      <c r="H2015" s="471">
        <f t="shared" si="300"/>
        <v>2</v>
      </c>
      <c r="I2015" s="471">
        <v>1</v>
      </c>
      <c r="J2015" s="471" t="str">
        <f t="shared" si="301"/>
        <v>cenothtot</v>
      </c>
      <c r="K2015" s="471" t="str">
        <f t="shared" si="302"/>
        <v>run-exp</v>
      </c>
      <c r="L2015" s="599"/>
      <c r="M2015" s="471" t="s">
        <v>6187</v>
      </c>
      <c r="N2015" s="471" t="s">
        <v>1251</v>
      </c>
      <c r="O2015" s="471" t="s">
        <v>1250</v>
      </c>
    </row>
    <row r="2016" spans="1:15" x14ac:dyDescent="0.25">
      <c r="A2016" s="471" t="s">
        <v>2257</v>
      </c>
      <c r="B2016" s="1139">
        <f t="shared" ca="1" si="299"/>
        <v>0</v>
      </c>
      <c r="C2016" s="473">
        <f ca="1">IF(ISERROR(VLOOKUP($A$2016,INDIRECT("notes_"&amp;LEFT($A$2016,3)),4,0)),0,VLOOKUP($A$2016,INDIRECT("notes_"&amp;LEFT($A$2016,3)),4,0))</f>
        <v>0</v>
      </c>
      <c r="H2016" s="471">
        <f t="shared" si="300"/>
        <v>2</v>
      </c>
      <c r="I2016" s="471">
        <v>1</v>
      </c>
      <c r="J2016" s="471" t="str">
        <f t="shared" si="301"/>
        <v>cenothsvmem</v>
      </c>
      <c r="K2016" s="471" t="str">
        <f t="shared" si="302"/>
        <v>run-exp</v>
      </c>
      <c r="L2016" s="599"/>
      <c r="M2016" s="471" t="s">
        <v>6187</v>
      </c>
      <c r="N2016" s="471" t="s">
        <v>1251</v>
      </c>
      <c r="O2016" s="471" t="s">
        <v>1250</v>
      </c>
    </row>
    <row r="2017" spans="1:15" x14ac:dyDescent="0.25">
      <c r="A2017" s="471" t="s">
        <v>6216</v>
      </c>
      <c r="B2017" s="1139">
        <f t="shared" ca="1" si="299"/>
        <v>0</v>
      </c>
      <c r="C2017" s="473">
        <f ca="1">IF(ISERROR(VLOOKUP($A$1965,INDIRECT("notes_"&amp;LEFT($A$1965,3)),4,0)),0,VLOOKUP($A$1965,INDIRECT("notes_"&amp;LEFT($A$1965,3)),4,0))</f>
        <v>0</v>
      </c>
      <c r="G2017" s="471" t="str">
        <f>IF(ISNUMBER(SEARCH("specify",'RO6'!C131)),"",'RO6'!C131)</f>
        <v/>
      </c>
      <c r="H2017" s="471">
        <f t="shared" si="300"/>
        <v>3</v>
      </c>
      <c r="I2017" s="471">
        <v>1</v>
      </c>
      <c r="J2017" s="471" t="str">
        <f t="shared" si="301"/>
        <v>cenoth1-n cenoth1</v>
      </c>
      <c r="K2017" s="471" t="str">
        <f t="shared" si="302"/>
        <v>run-exp</v>
      </c>
      <c r="L2017" s="599"/>
      <c r="M2017" s="471" t="s">
        <v>6187</v>
      </c>
      <c r="N2017" s="471" t="s">
        <v>1251</v>
      </c>
      <c r="O2017" s="471" t="s">
        <v>1250</v>
      </c>
    </row>
    <row r="2018" spans="1:15" x14ac:dyDescent="0.25">
      <c r="A2018" s="471" t="s">
        <v>6217</v>
      </c>
      <c r="B2018" s="1139">
        <f t="shared" ca="1" si="299"/>
        <v>0</v>
      </c>
      <c r="C2018" s="473">
        <f ca="1">IF(ISERROR(VLOOKUP($A$1966,INDIRECT("notes_"&amp;LEFT($A$1966,3)),4,0)),0,VLOOKUP($A$1966,INDIRECT("notes_"&amp;LEFT($A$1966,3)),4,0))</f>
        <v>0</v>
      </c>
      <c r="G2018" s="471" t="str">
        <f>IF(ISNUMBER(SEARCH("specify",'RO6'!C132)),"",'RO6'!C132)</f>
        <v/>
      </c>
      <c r="H2018" s="471">
        <f t="shared" si="300"/>
        <v>3</v>
      </c>
      <c r="I2018" s="471">
        <v>1</v>
      </c>
      <c r="J2018" s="471" t="str">
        <f t="shared" si="301"/>
        <v>cenoth2-n cenoth2</v>
      </c>
      <c r="K2018" s="471" t="str">
        <f t="shared" si="302"/>
        <v>run-exp</v>
      </c>
      <c r="L2018" s="599"/>
      <c r="M2018" s="471" t="s">
        <v>6187</v>
      </c>
      <c r="N2018" s="471" t="s">
        <v>1251</v>
      </c>
      <c r="O2018" s="471" t="s">
        <v>1250</v>
      </c>
    </row>
    <row r="2019" spans="1:15" x14ac:dyDescent="0.25">
      <c r="A2019" s="471" t="s">
        <v>6218</v>
      </c>
      <c r="B2019" s="1139">
        <f t="shared" ca="1" si="299"/>
        <v>0</v>
      </c>
      <c r="C2019" s="473">
        <f ca="1">IF(ISERROR(VLOOKUP($A$1967,INDIRECT("notes_"&amp;LEFT($A$1967,3)),4,0)),0,VLOOKUP($A$1967,INDIRECT("notes_"&amp;LEFT($A$1967,3)),4,0))</f>
        <v>0</v>
      </c>
      <c r="G2019" s="471" t="str">
        <f>IF(ISNUMBER(SEARCH("specify",'RO6'!C133)),"",'RO6'!C133)</f>
        <v/>
      </c>
      <c r="H2019" s="471">
        <f t="shared" si="300"/>
        <v>3</v>
      </c>
      <c r="I2019" s="471">
        <v>1</v>
      </c>
      <c r="J2019" s="471" t="str">
        <f t="shared" si="301"/>
        <v>cenoth3-n cenoth3</v>
      </c>
      <c r="K2019" s="471" t="str">
        <f t="shared" si="302"/>
        <v>run-exp</v>
      </c>
      <c r="L2019" s="599"/>
      <c r="M2019" s="471" t="s">
        <v>6187</v>
      </c>
      <c r="N2019" s="471" t="s">
        <v>1251</v>
      </c>
      <c r="O2019" s="471" t="s">
        <v>1250</v>
      </c>
    </row>
    <row r="2020" spans="1:15" x14ac:dyDescent="0.25">
      <c r="A2020" s="471" t="s">
        <v>6219</v>
      </c>
      <c r="B2020" s="1139">
        <f t="shared" ca="1" si="299"/>
        <v>0</v>
      </c>
      <c r="C2020" s="473">
        <f ca="1">IF(ISERROR(VLOOKUP($A$1968,INDIRECT("notes_"&amp;LEFT($A$1968,3)),4,0)),0,VLOOKUP($A$1968,INDIRECT("notes_"&amp;LEFT($A$1968,3)),4,0))</f>
        <v>0</v>
      </c>
      <c r="G2020" s="471" t="str">
        <f>IF(ISNUMBER(SEARCH("specify",'RO6'!C134)),"",'RO6'!C134)</f>
        <v/>
      </c>
      <c r="H2020" s="471">
        <f t="shared" si="300"/>
        <v>3</v>
      </c>
      <c r="I2020" s="471">
        <v>1</v>
      </c>
      <c r="J2020" s="471" t="str">
        <f t="shared" si="301"/>
        <v>cenoth4-n cenoth4</v>
      </c>
      <c r="K2020" s="471" t="str">
        <f t="shared" si="302"/>
        <v>run-exp</v>
      </c>
      <c r="L2020" s="599"/>
      <c r="M2020" s="471" t="s">
        <v>6187</v>
      </c>
      <c r="N2020" s="471" t="s">
        <v>1251</v>
      </c>
      <c r="O2020" s="471" t="s">
        <v>1250</v>
      </c>
    </row>
    <row r="2021" spans="1:15" x14ac:dyDescent="0.25">
      <c r="A2021" s="471" t="s">
        <v>6220</v>
      </c>
      <c r="B2021" s="1139">
        <f t="shared" ca="1" si="299"/>
        <v>0</v>
      </c>
      <c r="C2021" s="473">
        <f ca="1">IF(ISERROR(VLOOKUP($A$1969,INDIRECT("notes_"&amp;LEFT($A$1969,3)),4,0)),0,VLOOKUP($A$1969,INDIRECT("notes_"&amp;LEFT($A$1969,3)),4,0))</f>
        <v>0</v>
      </c>
      <c r="G2021" s="471" t="str">
        <f>IF(ISNUMBER(SEARCH("specify",'RO6'!C135)),"",'RO6'!C135)</f>
        <v/>
      </c>
      <c r="H2021" s="471">
        <f t="shared" si="300"/>
        <v>3</v>
      </c>
      <c r="I2021" s="471">
        <v>1</v>
      </c>
      <c r="J2021" s="471" t="str">
        <f t="shared" si="301"/>
        <v>cenoth5-n cenoth5</v>
      </c>
      <c r="K2021" s="471" t="str">
        <f t="shared" si="302"/>
        <v>run-exp</v>
      </c>
      <c r="L2021" s="599"/>
      <c r="M2021" s="471" t="s">
        <v>6187</v>
      </c>
      <c r="N2021" s="471" t="s">
        <v>1251</v>
      </c>
      <c r="O2021" s="471" t="s">
        <v>1250</v>
      </c>
    </row>
    <row r="2022" spans="1:15" x14ac:dyDescent="0.25">
      <c r="A2022" s="471" t="s">
        <v>6221</v>
      </c>
      <c r="B2022" s="1139">
        <f t="shared" ca="1" si="299"/>
        <v>0</v>
      </c>
      <c r="C2022" s="473">
        <f ca="1">IF(ISERROR(VLOOKUP($A$1970,INDIRECT("notes_"&amp;LEFT($A$1970,3)),4,0)),0,VLOOKUP($A$1970,INDIRECT("notes_"&amp;LEFT($A$1970,3)),4,0))</f>
        <v>0</v>
      </c>
      <c r="G2022" s="471" t="str">
        <f>IF(ISNUMBER(SEARCH("specify",'RO6'!C136)),"",'RO6'!C136)</f>
        <v/>
      </c>
      <c r="H2022" s="471">
        <f t="shared" si="300"/>
        <v>3</v>
      </c>
      <c r="I2022" s="471">
        <v>1</v>
      </c>
      <c r="J2022" s="471" t="str">
        <f t="shared" si="301"/>
        <v>cenoth6-n cenoth6</v>
      </c>
      <c r="K2022" s="471" t="str">
        <f t="shared" si="302"/>
        <v>run-exp</v>
      </c>
      <c r="L2022" s="599"/>
      <c r="M2022" s="471" t="s">
        <v>6187</v>
      </c>
      <c r="N2022" s="471" t="s">
        <v>1251</v>
      </c>
      <c r="O2022" s="471" t="s">
        <v>1250</v>
      </c>
    </row>
    <row r="2023" spans="1:15" x14ac:dyDescent="0.25">
      <c r="A2023" s="471" t="s">
        <v>6222</v>
      </c>
      <c r="B2023" s="1139">
        <f t="shared" ca="1" si="299"/>
        <v>0</v>
      </c>
      <c r="C2023" s="473">
        <f ca="1">IF(ISERROR(VLOOKUP($A$1971,INDIRECT("notes_"&amp;LEFT($A$1971,3)),4,0)),0,VLOOKUP($A$1971,INDIRECT("notes_"&amp;LEFT($A$1971,3)),4,0))</f>
        <v>0</v>
      </c>
      <c r="G2023" s="471" t="str">
        <f>IF(ISNUMBER(SEARCH("specify",'RO6'!C137)),"",'RO6'!C137)</f>
        <v/>
      </c>
      <c r="H2023" s="471">
        <f t="shared" si="300"/>
        <v>3</v>
      </c>
      <c r="I2023" s="471">
        <v>1</v>
      </c>
      <c r="J2023" s="471" t="str">
        <f t="shared" si="301"/>
        <v>cenoth7-n cenoth7</v>
      </c>
      <c r="K2023" s="471" t="str">
        <f t="shared" si="302"/>
        <v>run-exp</v>
      </c>
      <c r="L2023" s="599"/>
      <c r="M2023" s="471" t="s">
        <v>6187</v>
      </c>
      <c r="N2023" s="471" t="s">
        <v>1251</v>
      </c>
      <c r="O2023" s="471" t="s">
        <v>1250</v>
      </c>
    </row>
    <row r="2024" spans="1:15" x14ac:dyDescent="0.25">
      <c r="A2024" s="471" t="s">
        <v>6223</v>
      </c>
      <c r="B2024" s="1139">
        <f t="shared" ca="1" si="299"/>
        <v>0</v>
      </c>
      <c r="C2024" s="473">
        <f ca="1">IF(ISERROR(VLOOKUP($A$1972,INDIRECT("notes_"&amp;LEFT($A$1972,3)),4,0)),0,VLOOKUP($A$1972,INDIRECT("notes_"&amp;LEFT($A$1972,3)),4,0))</f>
        <v>0</v>
      </c>
      <c r="G2024" s="471" t="str">
        <f>IF(ISNUMBER(SEARCH("specify",'RO6'!C138)),"",'RO6'!C138)</f>
        <v/>
      </c>
      <c r="H2024" s="471">
        <f t="shared" si="300"/>
        <v>3</v>
      </c>
      <c r="I2024" s="471">
        <v>1</v>
      </c>
      <c r="J2024" s="471" t="str">
        <f t="shared" si="301"/>
        <v>cenoth8-n cenoth8</v>
      </c>
      <c r="K2024" s="471" t="str">
        <f t="shared" si="302"/>
        <v>run-exp</v>
      </c>
      <c r="L2024" s="599"/>
      <c r="M2024" s="471" t="s">
        <v>6187</v>
      </c>
      <c r="N2024" s="471" t="s">
        <v>1251</v>
      </c>
      <c r="O2024" s="471" t="s">
        <v>1250</v>
      </c>
    </row>
    <row r="2025" spans="1:15" x14ac:dyDescent="0.25">
      <c r="A2025" s="471" t="s">
        <v>6224</v>
      </c>
      <c r="B2025" s="1139">
        <f t="shared" ca="1" si="299"/>
        <v>0</v>
      </c>
      <c r="C2025" s="473">
        <f ca="1">IF(ISERROR(VLOOKUP($A$1973,INDIRECT("notes_"&amp;LEFT($A$1973,3)),4,0)),0,VLOOKUP($A$1973,INDIRECT("notes_"&amp;LEFT($A$1973,3)),4,0))</f>
        <v>0</v>
      </c>
      <c r="G2025" s="471" t="str">
        <f>IF(ISNUMBER(SEARCH("specify",'RO6'!C139)),"",'RO6'!C139)</f>
        <v/>
      </c>
      <c r="H2025" s="471">
        <f t="shared" si="300"/>
        <v>3</v>
      </c>
      <c r="I2025" s="471">
        <v>1</v>
      </c>
      <c r="J2025" s="471" t="str">
        <f t="shared" si="301"/>
        <v>cenoth9-n cenoth9</v>
      </c>
      <c r="K2025" s="471" t="str">
        <f t="shared" si="302"/>
        <v>run-exp</v>
      </c>
      <c r="L2025" s="599"/>
      <c r="M2025" s="471" t="s">
        <v>6187</v>
      </c>
      <c r="N2025" s="471" t="s">
        <v>1251</v>
      </c>
      <c r="O2025" s="471" t="s">
        <v>1250</v>
      </c>
    </row>
    <row r="2026" spans="1:15" x14ac:dyDescent="0.25">
      <c r="A2026" s="471" t="s">
        <v>6225</v>
      </c>
      <c r="B2026" s="1139">
        <f t="shared" ca="1" si="299"/>
        <v>0</v>
      </c>
      <c r="C2026" s="473">
        <f ca="1">IF(ISERROR(VLOOKUP($A$1974,INDIRECT("notes_"&amp;LEFT($A$1974,3)),4,0)),0,VLOOKUP($A$1974,INDIRECT("notes_"&amp;LEFT($A$1974,3)),4,0))</f>
        <v>0</v>
      </c>
      <c r="G2026" s="471" t="str">
        <f>IF(ISNUMBER(SEARCH("specify",'RO6'!C140)),"",'RO6'!C140)</f>
        <v/>
      </c>
      <c r="H2026" s="471">
        <f t="shared" si="300"/>
        <v>3</v>
      </c>
      <c r="I2026" s="471">
        <v>1</v>
      </c>
      <c r="J2026" s="471" t="str">
        <f t="shared" si="301"/>
        <v>cenoth10-n cenoth10</v>
      </c>
      <c r="K2026" s="471" t="str">
        <f t="shared" si="302"/>
        <v>run-exp</v>
      </c>
      <c r="L2026" s="599"/>
      <c r="M2026" s="471" t="s">
        <v>6187</v>
      </c>
      <c r="N2026" s="471" t="s">
        <v>1251</v>
      </c>
      <c r="O2026" s="471" t="s">
        <v>1250</v>
      </c>
    </row>
    <row r="2027" spans="1:15" x14ac:dyDescent="0.25">
      <c r="A2027" s="471" t="s">
        <v>6226</v>
      </c>
      <c r="B2027" s="1139">
        <f t="shared" ca="1" si="299"/>
        <v>0</v>
      </c>
      <c r="C2027" s="473">
        <f ca="1">IF(ISERROR(VLOOKUP($A$1975,INDIRECT("notes_"&amp;LEFT($A$1975,3)),4,0)),0,VLOOKUP($A$1975,INDIRECT("notes_"&amp;LEFT($A$1975,3)),4,0))</f>
        <v>0</v>
      </c>
      <c r="G2027" s="471" t="str">
        <f>IF(ISNUMBER(SEARCH("specify",'RO6'!C141)),"",'RO6'!C141)</f>
        <v/>
      </c>
      <c r="H2027" s="471">
        <f t="shared" si="300"/>
        <v>3</v>
      </c>
      <c r="I2027" s="471">
        <v>1</v>
      </c>
      <c r="J2027" s="471" t="str">
        <f t="shared" si="301"/>
        <v>cenoth11-n cenoth11</v>
      </c>
      <c r="K2027" s="471" t="str">
        <f t="shared" si="302"/>
        <v>run-exp</v>
      </c>
      <c r="L2027" s="599"/>
      <c r="M2027" s="471" t="s">
        <v>6187</v>
      </c>
      <c r="N2027" s="471" t="s">
        <v>1251</v>
      </c>
      <c r="O2027" s="471" t="s">
        <v>1250</v>
      </c>
    </row>
    <row r="2028" spans="1:15" x14ac:dyDescent="0.25">
      <c r="A2028" s="471" t="s">
        <v>6227</v>
      </c>
      <c r="B2028" s="1139">
        <f t="shared" ca="1" si="299"/>
        <v>0</v>
      </c>
      <c r="C2028" s="473">
        <f ca="1">IF(ISERROR(VLOOKUP($A$1976,INDIRECT("notes_"&amp;LEFT($A$1976,3)),4,0)),0,VLOOKUP($A$1976,INDIRECT("notes_"&amp;LEFT($A$1976,3)),4,0))</f>
        <v>0</v>
      </c>
      <c r="G2028" s="471" t="str">
        <f>IF(ISNUMBER(SEARCH("specify",'RO6'!C142)),"",'RO6'!C142)</f>
        <v/>
      </c>
      <c r="H2028" s="471">
        <f t="shared" si="300"/>
        <v>3</v>
      </c>
      <c r="I2028" s="471">
        <v>1</v>
      </c>
      <c r="J2028" s="471" t="str">
        <f t="shared" si="301"/>
        <v>cenoth12-n cenoth12</v>
      </c>
      <c r="K2028" s="471" t="str">
        <f t="shared" si="302"/>
        <v>run-exp</v>
      </c>
      <c r="L2028" s="599"/>
      <c r="M2028" s="471" t="s">
        <v>6187</v>
      </c>
      <c r="N2028" s="471" t="s">
        <v>1251</v>
      </c>
      <c r="O2028" s="471" t="s">
        <v>1250</v>
      </c>
    </row>
    <row r="2029" spans="1:15" x14ac:dyDescent="0.25">
      <c r="A2029" s="471" t="s">
        <v>6228</v>
      </c>
      <c r="B2029" s="1139">
        <f t="shared" ca="1" si="299"/>
        <v>0</v>
      </c>
      <c r="C2029" s="473">
        <f ca="1">IF(ISERROR(VLOOKUP($A$1977,INDIRECT("notes_"&amp;LEFT($A$1977,3)),4,0)),0,VLOOKUP($A$1977,INDIRECT("notes_"&amp;LEFT($A$1977,3)),4,0))</f>
        <v>0</v>
      </c>
      <c r="G2029" s="471" t="str">
        <f>IF(ISNUMBER(SEARCH("specify",'RO6'!C143)),"",'RO6'!C143)</f>
        <v/>
      </c>
      <c r="H2029" s="471">
        <f t="shared" si="300"/>
        <v>3</v>
      </c>
      <c r="I2029" s="471">
        <v>1</v>
      </c>
      <c r="J2029" s="471" t="str">
        <f t="shared" si="301"/>
        <v>cenoth13-n cenoth13</v>
      </c>
      <c r="K2029" s="471" t="str">
        <f t="shared" si="302"/>
        <v>run-exp</v>
      </c>
      <c r="L2029" s="599"/>
      <c r="M2029" s="471" t="s">
        <v>6187</v>
      </c>
      <c r="N2029" s="471" t="s">
        <v>1251</v>
      </c>
      <c r="O2029" s="471" t="s">
        <v>1250</v>
      </c>
    </row>
    <row r="2030" spans="1:15" x14ac:dyDescent="0.25">
      <c r="A2030" s="471" t="s">
        <v>6229</v>
      </c>
      <c r="B2030" s="1139">
        <f t="shared" ref="B2030:B2118" ca="1" si="303">INDEX(INDIRECT(LEFT($A2030,SEARCH("-",$A2030,1)-1)&amp;"_data"),MATCH(MID($A2030,SEARCH("-",$A2030)+1,SEARCH("#",SUBSTITUTE($A2030,"-","#",H2030),1)-(SEARCH("-",$A2030)+1)),INDIRECT(LEFT($A2030,SEARCH("-",$A2030,1)-1)&amp;"_rows"),0),MATCH(RIGHT($A2030,LEN($A2030)-SEARCH("#",SUBSTITUTE($A2030,"-","#",H2030),1)),INDIRECT(LEFT($A2030,SEARCH("-",$A2030,1)-1)&amp;"_Header"),0))</f>
        <v>0</v>
      </c>
      <c r="C2030" s="473">
        <f ca="1">IF(ISERROR(VLOOKUP($A$1978,INDIRECT("notes_"&amp;LEFT($A$1978,3)),4,0)),0,VLOOKUP($A$1978,INDIRECT("notes_"&amp;LEFT($A$1978,3)),4,0))</f>
        <v>0</v>
      </c>
      <c r="G2030" s="471" t="str">
        <f>IF(ISNUMBER(SEARCH("specify",'RO6'!C144)),"",'RO6'!C144)</f>
        <v/>
      </c>
      <c r="H2030" s="471">
        <f t="shared" si="300"/>
        <v>3</v>
      </c>
      <c r="I2030" s="471">
        <v>1</v>
      </c>
      <c r="J2030" s="471" t="str">
        <f t="shared" si="301"/>
        <v>cenoth14-n cenoth14</v>
      </c>
      <c r="K2030" s="471" t="str">
        <f t="shared" si="302"/>
        <v>run-exp</v>
      </c>
      <c r="L2030" s="599"/>
      <c r="M2030" s="471" t="s">
        <v>6187</v>
      </c>
      <c r="N2030" s="471" t="s">
        <v>1251</v>
      </c>
      <c r="O2030" s="471" t="s">
        <v>1250</v>
      </c>
    </row>
    <row r="2031" spans="1:15" x14ac:dyDescent="0.25">
      <c r="A2031" s="471" t="s">
        <v>6230</v>
      </c>
      <c r="B2031" s="1139">
        <f t="shared" ca="1" si="303"/>
        <v>0</v>
      </c>
      <c r="C2031" s="473">
        <f ca="1">IF(ISERROR(VLOOKUP($A$1979,INDIRECT("notes_"&amp;LEFT($A$1979,3)),4,0)),0,VLOOKUP($A$1979,INDIRECT("notes_"&amp;LEFT($A$1979,3)),4,0))</f>
        <v>0</v>
      </c>
      <c r="G2031" s="471" t="str">
        <f>IF(ISNUMBER(SEARCH("specify",'RO6'!C145)),"",'RO6'!C145)</f>
        <v/>
      </c>
      <c r="H2031" s="471">
        <f t="shared" si="300"/>
        <v>3</v>
      </c>
      <c r="I2031" s="471">
        <v>1</v>
      </c>
      <c r="J2031" s="471" t="str">
        <f t="shared" si="301"/>
        <v>cenoth15-n cenoth15</v>
      </c>
      <c r="K2031" s="471" t="str">
        <f t="shared" si="302"/>
        <v>run-exp</v>
      </c>
      <c r="L2031" s="599"/>
      <c r="M2031" s="471" t="s">
        <v>6187</v>
      </c>
      <c r="N2031" s="471" t="s">
        <v>1251</v>
      </c>
      <c r="O2031" s="471" t="s">
        <v>1250</v>
      </c>
    </row>
    <row r="2032" spans="1:15" x14ac:dyDescent="0.25">
      <c r="A2032" s="471" t="s">
        <v>6231</v>
      </c>
      <c r="B2032" s="1139">
        <f t="shared" ca="1" si="303"/>
        <v>0</v>
      </c>
      <c r="C2032" s="473">
        <f ca="1">IF(ISERROR(VLOOKUP($A$1980,INDIRECT("notes_"&amp;LEFT($A$1980,3)),4,0)),0,VLOOKUP($A$1980,INDIRECT("notes_"&amp;LEFT($A$1980,3)),4,0))</f>
        <v>0</v>
      </c>
      <c r="G2032" s="471" t="str">
        <f>IF(ISNUMBER(SEARCH("specify",'RO6'!C146)),"",'RO6'!C146)</f>
        <v/>
      </c>
      <c r="H2032" s="471">
        <f t="shared" si="300"/>
        <v>3</v>
      </c>
      <c r="I2032" s="471">
        <v>1</v>
      </c>
      <c r="J2032" s="471" t="str">
        <f t="shared" si="301"/>
        <v>cenoth16-n cenoth16</v>
      </c>
      <c r="K2032" s="471" t="str">
        <f t="shared" si="302"/>
        <v>run-exp</v>
      </c>
      <c r="L2032" s="599"/>
      <c r="M2032" s="471" t="s">
        <v>6187</v>
      </c>
      <c r="N2032" s="471" t="s">
        <v>1251</v>
      </c>
      <c r="O2032" s="471" t="s">
        <v>1250</v>
      </c>
    </row>
    <row r="2033" spans="1:15" x14ac:dyDescent="0.25">
      <c r="A2033" s="471" t="s">
        <v>6232</v>
      </c>
      <c r="B2033" s="1139">
        <f t="shared" ca="1" si="303"/>
        <v>0</v>
      </c>
      <c r="C2033" s="473">
        <f ca="1">IF(ISERROR(VLOOKUP($A$1981,INDIRECT("notes_"&amp;LEFT($A$1981,3)),4,0)),0,VLOOKUP($A$1981,INDIRECT("notes_"&amp;LEFT($A$1981,3)),4,0))</f>
        <v>0</v>
      </c>
      <c r="G2033" s="471" t="str">
        <f>IF(ISNUMBER(SEARCH("specify",'RO6'!C147)),"",'RO6'!C147)</f>
        <v/>
      </c>
      <c r="H2033" s="471">
        <f t="shared" si="300"/>
        <v>3</v>
      </c>
      <c r="I2033" s="471">
        <v>1</v>
      </c>
      <c r="J2033" s="471" t="str">
        <f t="shared" si="301"/>
        <v>cenoth17-n cenoth17</v>
      </c>
      <c r="K2033" s="471" t="str">
        <f t="shared" si="302"/>
        <v>run-exp</v>
      </c>
      <c r="L2033" s="599"/>
      <c r="M2033" s="471" t="s">
        <v>6187</v>
      </c>
      <c r="N2033" s="471" t="s">
        <v>1251</v>
      </c>
      <c r="O2033" s="471" t="s">
        <v>1250</v>
      </c>
    </row>
    <row r="2034" spans="1:15" x14ac:dyDescent="0.25">
      <c r="A2034" s="471" t="s">
        <v>6233</v>
      </c>
      <c r="B2034" s="1139">
        <f t="shared" ca="1" si="303"/>
        <v>0</v>
      </c>
      <c r="C2034" s="473">
        <f ca="1">IF(ISERROR(VLOOKUP($A$1982,INDIRECT("notes_"&amp;LEFT($A$1982,3)),4,0)),0,VLOOKUP($A$1982,INDIRECT("notes_"&amp;LEFT($A$1982,3)),4,0))</f>
        <v>0</v>
      </c>
      <c r="G2034" s="471" t="str">
        <f>IF(ISNUMBER(SEARCH("specify",'RO6'!C148)),"",'RO6'!C148)</f>
        <v/>
      </c>
      <c r="H2034" s="471">
        <f t="shared" si="300"/>
        <v>3</v>
      </c>
      <c r="I2034" s="471">
        <v>1</v>
      </c>
      <c r="J2034" s="471" t="str">
        <f t="shared" si="301"/>
        <v>cenoth18-n cenoth18</v>
      </c>
      <c r="K2034" s="471" t="str">
        <f t="shared" si="302"/>
        <v>run-exp</v>
      </c>
      <c r="L2034" s="599"/>
      <c r="M2034" s="471" t="s">
        <v>6187</v>
      </c>
      <c r="N2034" s="471" t="s">
        <v>1251</v>
      </c>
      <c r="O2034" s="471" t="s">
        <v>1250</v>
      </c>
    </row>
    <row r="2035" spans="1:15" x14ac:dyDescent="0.25">
      <c r="A2035" s="471" t="s">
        <v>6234</v>
      </c>
      <c r="B2035" s="1139">
        <f t="shared" ca="1" si="303"/>
        <v>0</v>
      </c>
      <c r="C2035" s="473">
        <f ca="1">IF(ISERROR(VLOOKUP($A$1983,INDIRECT("notes_"&amp;LEFT($A$1983,3)),4,0)),0,VLOOKUP($A$1983,INDIRECT("notes_"&amp;LEFT($A$1983,3)),4,0))</f>
        <v>0</v>
      </c>
      <c r="G2035" s="471" t="str">
        <f>IF(ISNUMBER(SEARCH("specify",'RO6'!C149)),"",'RO6'!C149)</f>
        <v/>
      </c>
      <c r="H2035" s="471">
        <f t="shared" si="300"/>
        <v>3</v>
      </c>
      <c r="I2035" s="471">
        <v>1</v>
      </c>
      <c r="J2035" s="471" t="str">
        <f t="shared" si="301"/>
        <v>cenoth19-n cenoth19</v>
      </c>
      <c r="K2035" s="471" t="str">
        <f t="shared" si="302"/>
        <v>run-exp</v>
      </c>
      <c r="L2035" s="599"/>
      <c r="M2035" s="471" t="s">
        <v>6187</v>
      </c>
      <c r="N2035" s="471" t="s">
        <v>1251</v>
      </c>
      <c r="O2035" s="471" t="s">
        <v>1250</v>
      </c>
    </row>
    <row r="2036" spans="1:15" x14ac:dyDescent="0.25">
      <c r="A2036" s="471" t="s">
        <v>6235</v>
      </c>
      <c r="B2036" s="1139">
        <f t="shared" ca="1" si="303"/>
        <v>0</v>
      </c>
      <c r="C2036" s="473">
        <f ca="1">IF(ISERROR(VLOOKUP($A$1984,INDIRECT("notes_"&amp;LEFT($A$1984,3)),4,0)),0,VLOOKUP($A$1984,INDIRECT("notes_"&amp;LEFT($A$1984,3)),4,0))</f>
        <v>0</v>
      </c>
      <c r="G2036" s="471" t="str">
        <f>IF(ISNUMBER(SEARCH("specify",'RO6'!C150)),"",'RO6'!C150)</f>
        <v/>
      </c>
      <c r="H2036" s="471">
        <f t="shared" si="300"/>
        <v>3</v>
      </c>
      <c r="I2036" s="471">
        <v>1</v>
      </c>
      <c r="J2036" s="471" t="str">
        <f t="shared" si="301"/>
        <v>cenoth20-n cenoth20</v>
      </c>
      <c r="K2036" s="471" t="str">
        <f t="shared" si="302"/>
        <v>run-exp</v>
      </c>
      <c r="L2036" s="599"/>
      <c r="M2036" s="471" t="s">
        <v>6187</v>
      </c>
      <c r="N2036" s="471" t="s">
        <v>1251</v>
      </c>
      <c r="O2036" s="471" t="s">
        <v>1250</v>
      </c>
    </row>
    <row r="2037" spans="1:15" x14ac:dyDescent="0.25">
      <c r="A2037" s="471" t="s">
        <v>6236</v>
      </c>
      <c r="B2037" s="1139">
        <f t="shared" ca="1" si="303"/>
        <v>0</v>
      </c>
      <c r="C2037" s="473">
        <f ca="1">IF(ISERROR(VLOOKUP($A$1985,INDIRECT("notes_"&amp;LEFT($A$1985,3)),4,0)),0,VLOOKUP($A$1985,INDIRECT("notes_"&amp;LEFT($A$1985,3)),4,0))</f>
        <v>0</v>
      </c>
      <c r="H2037" s="471">
        <f t="shared" si="300"/>
        <v>3</v>
      </c>
      <c r="I2037" s="471">
        <v>1</v>
      </c>
      <c r="J2037" s="471" t="str">
        <f t="shared" si="301"/>
        <v>centoth-tot</v>
      </c>
      <c r="K2037" s="471" t="str">
        <f t="shared" si="302"/>
        <v>run-exp</v>
      </c>
      <c r="L2037" s="599"/>
      <c r="M2037" s="471" t="s">
        <v>6187</v>
      </c>
      <c r="N2037" s="471" t="s">
        <v>1251</v>
      </c>
      <c r="O2037" s="471" t="s">
        <v>1250</v>
      </c>
    </row>
    <row r="2038" spans="1:15" x14ac:dyDescent="0.25">
      <c r="A2038" s="471" t="s">
        <v>6237</v>
      </c>
      <c r="B2038" s="1139">
        <f t="shared" ca="1" si="303"/>
        <v>0</v>
      </c>
      <c r="C2038" s="473">
        <f ca="1">IF(ISERROR(VLOOKUP($A$1938,INDIRECT("notes_"&amp;LEFT($A$1938,3)),4,0)),0,VLOOKUP($A$1938,INDIRECT("notes_"&amp;LEFT($A$1938,3)),4,0))</f>
        <v>0</v>
      </c>
      <c r="H2038" s="471">
        <f t="shared" si="300"/>
        <v>2</v>
      </c>
      <c r="I2038" s="471">
        <v>1</v>
      </c>
      <c r="J2038" s="471" t="str">
        <f t="shared" si="301"/>
        <v>poltot</v>
      </c>
      <c r="K2038" s="471" t="str">
        <f t="shared" si="302"/>
        <v>tot-exp</v>
      </c>
      <c r="L2038" s="599"/>
      <c r="M2038" s="471" t="s">
        <v>6187</v>
      </c>
      <c r="N2038" s="471" t="s">
        <v>1251</v>
      </c>
      <c r="O2038" s="471" t="s">
        <v>1250</v>
      </c>
    </row>
    <row r="2039" spans="1:15" x14ac:dyDescent="0.25">
      <c r="A2039" s="471" t="s">
        <v>6238</v>
      </c>
      <c r="B2039" s="1139">
        <f t="shared" ca="1" si="303"/>
        <v>0</v>
      </c>
      <c r="C2039" s="473">
        <f ca="1">IF(ISERROR(VLOOKUP($A$1939,INDIRECT("notes_"&amp;LEFT($A$1939,3)),4,0)),0,VLOOKUP($A$1939,INDIRECT("notes_"&amp;LEFT($A$1939,3)),4,0))</f>
        <v>0</v>
      </c>
      <c r="H2039" s="471">
        <f t="shared" ref="H2039:H2047" si="304">LEN(A2039)-LEN(SUBSTITUTE(A2039,"-",""))-I2039</f>
        <v>4</v>
      </c>
      <c r="I2039" s="471">
        <v>1</v>
      </c>
      <c r="J2039" s="471" t="str">
        <f t="shared" ref="J2039:J2047" si="305">MID($A2039,SEARCH("-",$A2039)+1,SEARCH("#",SUBSTITUTE($A2039,"-","#",H2039),1)-(SEARCH("-",$A2039)+1))</f>
        <v>frs-cmm-fs</v>
      </c>
      <c r="K2039" s="471" t="str">
        <f t="shared" ref="K2039:K2047" si="306">RIGHT($A2039,LEN($A2039)-SEARCH("#",SUBSTITUTE($A2039,"-","#",H2039),1))</f>
        <v>tot-exp</v>
      </c>
      <c r="L2039" s="599"/>
      <c r="M2039" s="471" t="s">
        <v>6187</v>
      </c>
      <c r="N2039" s="471" t="s">
        <v>1251</v>
      </c>
      <c r="O2039" s="471" t="s">
        <v>1250</v>
      </c>
    </row>
    <row r="2040" spans="1:15" x14ac:dyDescent="0.25">
      <c r="A2040" s="471" t="s">
        <v>6239</v>
      </c>
      <c r="B2040" s="1139">
        <f t="shared" ca="1" si="303"/>
        <v>0</v>
      </c>
      <c r="C2040" s="473">
        <f ca="1">IF(ISERROR(VLOOKUP($A$1940,INDIRECT("notes_"&amp;LEFT($A$1940,3)),4,0)),0,VLOOKUP($A$1940,INDIRECT("notes_"&amp;LEFT($A$1940,3)),4,0))</f>
        <v>0</v>
      </c>
      <c r="H2040" s="471">
        <f t="shared" si="304"/>
        <v>4</v>
      </c>
      <c r="I2040" s="471">
        <v>1</v>
      </c>
      <c r="J2040" s="471" t="str">
        <f t="shared" si="305"/>
        <v>frs-ffr-opr</v>
      </c>
      <c r="K2040" s="471" t="str">
        <f t="shared" si="306"/>
        <v>tot-exp</v>
      </c>
      <c r="L2040" s="599"/>
      <c r="M2040" s="471" t="s">
        <v>6187</v>
      </c>
      <c r="N2040" s="471" t="s">
        <v>1251</v>
      </c>
      <c r="O2040" s="471" t="s">
        <v>1250</v>
      </c>
    </row>
    <row r="2041" spans="1:15" x14ac:dyDescent="0.25">
      <c r="A2041" s="471" t="s">
        <v>6240</v>
      </c>
      <c r="B2041" s="1139">
        <f t="shared" ca="1" si="303"/>
        <v>0</v>
      </c>
      <c r="C2041" s="473">
        <f ca="1">IF(ISERROR(VLOOKUP($A$1941,INDIRECT("notes_"&amp;LEFT($A$1941,3)),4,0)),0,VLOOKUP($A$1941,INDIRECT("notes_"&amp;LEFT($A$1941,3)),4,0))</f>
        <v>0</v>
      </c>
      <c r="H2041" s="471">
        <f t="shared" si="304"/>
        <v>5</v>
      </c>
      <c r="I2041" s="471">
        <v>1</v>
      </c>
      <c r="J2041" s="471" t="str">
        <f t="shared" si="305"/>
        <v>frs-frs-emr-pln</v>
      </c>
      <c r="K2041" s="471" t="str">
        <f t="shared" si="306"/>
        <v>tot-exp</v>
      </c>
      <c r="L2041" s="599"/>
      <c r="M2041" s="471" t="s">
        <v>6187</v>
      </c>
      <c r="N2041" s="471" t="s">
        <v>1251</v>
      </c>
      <c r="O2041" s="471" t="s">
        <v>1250</v>
      </c>
    </row>
    <row r="2042" spans="1:15" x14ac:dyDescent="0.25">
      <c r="A2042" s="471" t="s">
        <v>6241</v>
      </c>
      <c r="B2042" s="1139">
        <f t="shared" ca="1" si="303"/>
        <v>0</v>
      </c>
      <c r="C2042" s="473">
        <f ca="1">IF(ISERROR(VLOOKUP($A$1942,INDIRECT("notes_"&amp;LEFT($A$1942,3)),4,0)),0,VLOOKUP($A$1942,INDIRECT("notes_"&amp;LEFT($A$1942,3)),4,0))</f>
        <v>0</v>
      </c>
      <c r="H2042" s="471">
        <f t="shared" si="304"/>
        <v>2</v>
      </c>
      <c r="I2042" s="471">
        <v>1</v>
      </c>
      <c r="J2042" s="471" t="str">
        <f t="shared" si="305"/>
        <v>frstot</v>
      </c>
      <c r="K2042" s="471" t="str">
        <f t="shared" si="306"/>
        <v>tot-exp</v>
      </c>
      <c r="L2042" s="599"/>
      <c r="M2042" s="471" t="s">
        <v>6187</v>
      </c>
      <c r="N2042" s="471" t="s">
        <v>1251</v>
      </c>
      <c r="O2042" s="471" t="s">
        <v>1250</v>
      </c>
    </row>
    <row r="2043" spans="1:15" x14ac:dyDescent="0.25">
      <c r="A2043" s="471" t="s">
        <v>6242</v>
      </c>
      <c r="B2043" s="1139">
        <f t="shared" ca="1" si="303"/>
        <v>0</v>
      </c>
      <c r="C2043" s="473">
        <f ca="1">IF(ISERROR(VLOOKUP($A$1943,INDIRECT("notes_"&amp;LEFT($A$1943,3)),4,0)),0,VLOOKUP($A$1943,INDIRECT("notes_"&amp;LEFT($A$1943,3)),4,0))</f>
        <v>0</v>
      </c>
      <c r="H2043" s="471">
        <f t="shared" si="304"/>
        <v>2</v>
      </c>
      <c r="I2043" s="471">
        <v>1</v>
      </c>
      <c r="J2043" s="471" t="str">
        <f t="shared" si="305"/>
        <v>cencrp</v>
      </c>
      <c r="K2043" s="471" t="str">
        <f t="shared" si="306"/>
        <v>tot-exp</v>
      </c>
      <c r="L2043" s="599"/>
      <c r="M2043" s="471" t="s">
        <v>6187</v>
      </c>
      <c r="N2043" s="471" t="s">
        <v>1251</v>
      </c>
      <c r="O2043" s="471" t="s">
        <v>1250</v>
      </c>
    </row>
    <row r="2044" spans="1:15" x14ac:dyDescent="0.25">
      <c r="A2044" s="471" t="s">
        <v>6243</v>
      </c>
      <c r="B2044" s="1139">
        <f t="shared" ca="1" si="303"/>
        <v>0</v>
      </c>
      <c r="C2044" s="473">
        <f ca="1">IF(ISERROR(VLOOKUP($A$1944,INDIRECT("notes_"&amp;LEFT($A$1944,3)),4,0)),0,VLOOKUP($A$1944,INDIRECT("notes_"&amp;LEFT($A$1944,3)),4,0))</f>
        <v>0</v>
      </c>
      <c r="H2044" s="471">
        <f t="shared" si="304"/>
        <v>3</v>
      </c>
      <c r="I2044" s="471">
        <v>1</v>
      </c>
      <c r="J2044" s="471" t="str">
        <f t="shared" si="305"/>
        <v>centax-cll</v>
      </c>
      <c r="K2044" s="471" t="str">
        <f t="shared" si="306"/>
        <v>tot-exp</v>
      </c>
      <c r="L2044" s="599"/>
      <c r="M2044" s="471" t="s">
        <v>6187</v>
      </c>
      <c r="N2044" s="471" t="s">
        <v>1251</v>
      </c>
      <c r="O2044" s="471" t="s">
        <v>1250</v>
      </c>
    </row>
    <row r="2045" spans="1:15" x14ac:dyDescent="0.25">
      <c r="A2045" s="471" t="s">
        <v>6244</v>
      </c>
      <c r="B2045" s="1139">
        <f t="shared" ca="1" si="303"/>
        <v>0</v>
      </c>
      <c r="C2045" s="473">
        <f ca="1">IF(ISERROR(VLOOKUP($A$1945,INDIRECT("notes_"&amp;LEFT($A$1945,3)),4,0)),0,VLOOKUP($A$1945,INDIRECT("notes_"&amp;LEFT($A$1945,3)),4,0))</f>
        <v>0</v>
      </c>
      <c r="H2045" s="471">
        <f t="shared" si="304"/>
        <v>4</v>
      </c>
      <c r="I2045" s="471">
        <v>1</v>
      </c>
      <c r="J2045" s="471" t="str">
        <f t="shared" si="305"/>
        <v>centaxdsc-prm-pym</v>
      </c>
      <c r="K2045" s="471" t="str">
        <f t="shared" si="306"/>
        <v>tot-exp</v>
      </c>
      <c r="L2045" s="599"/>
      <c r="M2045" s="471" t="s">
        <v>6187</v>
      </c>
      <c r="N2045" s="471" t="s">
        <v>1251</v>
      </c>
      <c r="O2045" s="471" t="s">
        <v>1250</v>
      </c>
    </row>
    <row r="2046" spans="1:15" x14ac:dyDescent="0.25">
      <c r="A2046" s="471" t="s">
        <v>6245</v>
      </c>
      <c r="B2046" s="1139">
        <f t="shared" ca="1" si="303"/>
        <v>0</v>
      </c>
      <c r="C2046" s="473">
        <f ca="1">IF(ISERROR(VLOOKUP($A$1946,INDIRECT("notes_"&amp;LEFT($A$1946,3)),4,0)),0,VLOOKUP($A$1946,INDIRECT("notes_"&amp;LEFT($A$1946,3)),4,0))</f>
        <v>0</v>
      </c>
      <c r="H2046" s="471">
        <f t="shared" si="304"/>
        <v>2</v>
      </c>
      <c r="I2046" s="471">
        <v>1</v>
      </c>
      <c r="J2046" s="471" t="str">
        <f t="shared" si="305"/>
        <v>centaxdsc</v>
      </c>
      <c r="K2046" s="471" t="str">
        <f t="shared" si="306"/>
        <v>tot-exp</v>
      </c>
      <c r="L2046" s="599"/>
      <c r="M2046" s="471" t="s">
        <v>6187</v>
      </c>
      <c r="N2046" s="471" t="s">
        <v>1251</v>
      </c>
      <c r="O2046" s="471" t="s">
        <v>1250</v>
      </c>
    </row>
    <row r="2047" spans="1:15" x14ac:dyDescent="0.25">
      <c r="A2047" s="471" t="s">
        <v>6246</v>
      </c>
      <c r="B2047" s="1139">
        <f t="shared" ca="1" si="303"/>
        <v>0</v>
      </c>
      <c r="C2047" s="473">
        <f ca="1">IF(ISERROR(VLOOKUP($A$1947,INDIRECT("notes_"&amp;LEFT($A$1947,3)),4,0)),0,VLOOKUP($A$1947,INDIRECT("notes_"&amp;LEFT($A$1947,3)),4,0))</f>
        <v>0</v>
      </c>
      <c r="H2047" s="471">
        <f t="shared" si="304"/>
        <v>2</v>
      </c>
      <c r="I2047" s="471">
        <v>1</v>
      </c>
      <c r="J2047" s="471" t="str">
        <f t="shared" si="305"/>
        <v>centaxadm</v>
      </c>
      <c r="K2047" s="471" t="str">
        <f t="shared" si="306"/>
        <v>tot-exp</v>
      </c>
      <c r="L2047" s="599"/>
      <c r="M2047" s="471" t="s">
        <v>6187</v>
      </c>
      <c r="N2047" s="471" t="s">
        <v>1251</v>
      </c>
      <c r="O2047" s="471" t="s">
        <v>1250</v>
      </c>
    </row>
    <row r="2048" spans="1:15" x14ac:dyDescent="0.25">
      <c r="A2048" s="471" t="s">
        <v>6247</v>
      </c>
      <c r="B2048" s="1139">
        <f t="shared" ca="1" si="303"/>
        <v>0</v>
      </c>
      <c r="C2048" s="473">
        <f ca="1">IF(ISERROR(VLOOKUP($A$1948,INDIRECT("notes_"&amp;LEFT($A$1948,3)),4,0)),0,VLOOKUP($A$1948,INDIRECT("notes_"&amp;LEFT($A$1948,3)),4,0))</f>
        <v>0</v>
      </c>
      <c r="H2048" s="471">
        <f t="shared" ref="H2048:H2112" si="307">LEN(A2048)-LEN(SUBSTITUTE(A2048,"-",""))-I2048</f>
        <v>5</v>
      </c>
      <c r="I2048" s="471">
        <v>1</v>
      </c>
      <c r="J2048" s="471" t="str">
        <f t="shared" ref="J2048:J2112" si="308">MID($A2048,SEARCH("-",$A2048)+1,SEARCH("#",SUBSTITUTE($A2048,"-","#",H2048),1)-(SEARCH("-",$A2048)+1))</f>
        <v>centaxoth-non-dms-cll</v>
      </c>
      <c r="K2048" s="471" t="str">
        <f t="shared" ref="K2048:K2112" si="309">RIGHT($A2048,LEN($A2048)-SEARCH("#",SUBSTITUTE($A2048,"-","#",H2048),1))</f>
        <v>tot-exp</v>
      </c>
      <c r="L2048" s="599"/>
      <c r="M2048" s="471" t="s">
        <v>6187</v>
      </c>
      <c r="N2048" s="471" t="s">
        <v>1251</v>
      </c>
      <c r="O2048" s="471" t="s">
        <v>1250</v>
      </c>
    </row>
    <row r="2049" spans="1:15" x14ac:dyDescent="0.25">
      <c r="A2049" s="471" t="s">
        <v>6248</v>
      </c>
      <c r="B2049" s="1139">
        <f t="shared" ca="1" si="303"/>
        <v>0</v>
      </c>
      <c r="C2049" s="473">
        <f ca="1">IF(ISERROR(VLOOKUP($A$1949,INDIRECT("notes_"&amp;LEFT($A$1949,3)),4,0)),0,VLOOKUP($A$1949,INDIRECT("notes_"&amp;LEFT($A$1949,3)),4,0))</f>
        <v>0</v>
      </c>
      <c r="H2049" s="471">
        <f t="shared" si="307"/>
        <v>4</v>
      </c>
      <c r="I2049" s="471">
        <v>1</v>
      </c>
      <c r="J2049" s="471" t="str">
        <f t="shared" si="308"/>
        <v>centaxoth-bid-bll</v>
      </c>
      <c r="K2049" s="471" t="str">
        <f t="shared" si="309"/>
        <v>tot-exp</v>
      </c>
      <c r="L2049" s="599"/>
      <c r="M2049" s="471" t="s">
        <v>6187</v>
      </c>
      <c r="N2049" s="471" t="s">
        <v>1251</v>
      </c>
      <c r="O2049" s="471" t="s">
        <v>1250</v>
      </c>
    </row>
    <row r="2050" spans="1:15" x14ac:dyDescent="0.25">
      <c r="A2050" s="471" t="s">
        <v>6249</v>
      </c>
      <c r="B2050" s="1139">
        <f t="shared" ca="1" si="303"/>
        <v>0</v>
      </c>
      <c r="C2050" s="473">
        <f ca="1">IF(ISERROR(VLOOKUP($A$1950,INDIRECT("notes_"&amp;LEFT($A$1950,3)),4,0)),0,VLOOKUP($A$1950,INDIRECT("notes_"&amp;LEFT($A$1950,3)),4,0))</f>
        <v>0</v>
      </c>
      <c r="H2050" s="471">
        <f t="shared" si="307"/>
        <v>4</v>
      </c>
      <c r="I2050" s="471">
        <v>1</v>
      </c>
      <c r="J2050" s="471" t="str">
        <f t="shared" si="308"/>
        <v>cencntbrt-dth-mrr</v>
      </c>
      <c r="K2050" s="471" t="str">
        <f t="shared" si="309"/>
        <v>tot-exp</v>
      </c>
      <c r="L2050" s="599"/>
      <c r="M2050" s="471" t="s">
        <v>6187</v>
      </c>
      <c r="N2050" s="471" t="s">
        <v>1251</v>
      </c>
      <c r="O2050" s="471" t="s">
        <v>1250</v>
      </c>
    </row>
    <row r="2051" spans="1:15" x14ac:dyDescent="0.25">
      <c r="A2051" s="471" t="s">
        <v>6250</v>
      </c>
      <c r="B2051" s="1139">
        <f t="shared" ca="1" si="303"/>
        <v>0</v>
      </c>
      <c r="C2051" s="473">
        <f ca="1">IF(ISERROR(VLOOKUP($A$1951,INDIRECT("notes_"&amp;LEFT($A$1951,3)),4,0)),0,VLOOKUP($A$1951,INDIRECT("notes_"&amp;LEFT($A$1951,3)),4,0))</f>
        <v>0</v>
      </c>
      <c r="H2051" s="471">
        <f t="shared" si="307"/>
        <v>4</v>
      </c>
      <c r="I2051" s="471">
        <v>1</v>
      </c>
      <c r="J2051" s="471" t="str">
        <f t="shared" si="308"/>
        <v>cencnt-rgs-elc</v>
      </c>
      <c r="K2051" s="471" t="str">
        <f t="shared" si="309"/>
        <v>tot-exp</v>
      </c>
      <c r="L2051" s="599"/>
      <c r="M2051" s="471" t="s">
        <v>6187</v>
      </c>
      <c r="N2051" s="471" t="s">
        <v>1251</v>
      </c>
      <c r="O2051" s="471" t="s">
        <v>1250</v>
      </c>
    </row>
    <row r="2052" spans="1:15" x14ac:dyDescent="0.25">
      <c r="A2052" s="471" t="s">
        <v>6251</v>
      </c>
      <c r="B2052" s="1139">
        <f t="shared" ca="1" si="303"/>
        <v>0</v>
      </c>
      <c r="C2052" s="473">
        <f ca="1">IF(ISERROR(VLOOKUP($A$1952,INDIRECT("notes_"&amp;LEFT($A$1952,3)),4,0)),0,VLOOKUP($A$1952,INDIRECT("notes_"&amp;LEFT($A$1952,3)),4,0))</f>
        <v>0</v>
      </c>
      <c r="H2052" s="471">
        <f t="shared" si="307"/>
        <v>4</v>
      </c>
      <c r="I2052" s="471">
        <v>1</v>
      </c>
      <c r="J2052" s="471" t="str">
        <f t="shared" si="308"/>
        <v>cencnt-cnd-elc</v>
      </c>
      <c r="K2052" s="471" t="str">
        <f t="shared" si="309"/>
        <v>tot-exp</v>
      </c>
      <c r="L2052" s="599"/>
      <c r="M2052" s="471" t="s">
        <v>6187</v>
      </c>
      <c r="N2052" s="471" t="s">
        <v>1251</v>
      </c>
      <c r="O2052" s="471" t="s">
        <v>1250</v>
      </c>
    </row>
    <row r="2053" spans="1:15" x14ac:dyDescent="0.25">
      <c r="A2053" s="471" t="s">
        <v>6252</v>
      </c>
      <c r="B2053" s="1139">
        <f t="shared" ca="1" si="303"/>
        <v>0</v>
      </c>
      <c r="C2053" s="473">
        <f ca="1">IF(ISERROR(VLOOKUP($A$1953,INDIRECT("notes_"&amp;LEFT($A$1953,3)),4,0)),0,VLOOKUP($A$1953,INDIRECT("notes_"&amp;LEFT($A$1953,3)),4,0))</f>
        <v>0</v>
      </c>
      <c r="H2053" s="471">
        <f t="shared" si="307"/>
        <v>2</v>
      </c>
      <c r="I2053" s="471">
        <v>1</v>
      </c>
      <c r="J2053" s="471" t="str">
        <f t="shared" si="308"/>
        <v>cenemr</v>
      </c>
      <c r="K2053" s="471" t="str">
        <f t="shared" si="309"/>
        <v>tot-exp</v>
      </c>
      <c r="L2053" s="599"/>
      <c r="M2053" s="471" t="s">
        <v>6187</v>
      </c>
      <c r="N2053" s="471" t="s">
        <v>1251</v>
      </c>
      <c r="O2053" s="471" t="s">
        <v>1250</v>
      </c>
    </row>
    <row r="2054" spans="1:15" x14ac:dyDescent="0.25">
      <c r="A2054" s="471" t="s">
        <v>6253</v>
      </c>
      <c r="B2054" s="1139">
        <f t="shared" ca="1" si="303"/>
        <v>0</v>
      </c>
      <c r="C2054" s="473">
        <f ca="1">IF(ISERROR(VLOOKUP($A$1954,INDIRECT("notes_"&amp;LEFT($A$1954,3)),4,0)),0,VLOOKUP($A$1954,INDIRECT("notes_"&amp;LEFT($A$1954,3)),4,0))</f>
        <v>0</v>
      </c>
      <c r="H2054" s="471">
        <f t="shared" si="307"/>
        <v>5</v>
      </c>
      <c r="I2054" s="471">
        <v>1</v>
      </c>
      <c r="J2054" s="471" t="str">
        <f t="shared" si="308"/>
        <v>cencnt-lcl-lnd-chr</v>
      </c>
      <c r="K2054" s="471" t="str">
        <f t="shared" si="309"/>
        <v>tot-exp</v>
      </c>
      <c r="L2054" s="599"/>
      <c r="M2054" s="471" t="s">
        <v>6187</v>
      </c>
      <c r="N2054" s="471" t="s">
        <v>1251</v>
      </c>
      <c r="O2054" s="471" t="s">
        <v>1250</v>
      </c>
    </row>
    <row r="2055" spans="1:15" x14ac:dyDescent="0.25">
      <c r="A2055" s="471" t="s">
        <v>6254</v>
      </c>
      <c r="B2055" s="1139">
        <f t="shared" ca="1" si="303"/>
        <v>0</v>
      </c>
      <c r="C2055" s="473">
        <f ca="1">IF(ISERROR(VLOOKUP($A$1955,INDIRECT("notes_"&amp;LEFT($A$1955,3)),4,0)),0,VLOOKUP($A$1955,INDIRECT("notes_"&amp;LEFT($A$1955,3)),4,0))</f>
        <v>0</v>
      </c>
      <c r="H2055" s="471">
        <f t="shared" si="307"/>
        <v>4</v>
      </c>
      <c r="I2055" s="471">
        <v>1</v>
      </c>
      <c r="J2055" s="471" t="str">
        <f t="shared" si="308"/>
        <v>cencnt-lcl-wlf</v>
      </c>
      <c r="K2055" s="471" t="str">
        <f t="shared" si="309"/>
        <v>tot-exp</v>
      </c>
      <c r="L2055" s="599"/>
      <c r="M2055" s="471" t="s">
        <v>6187</v>
      </c>
      <c r="N2055" s="471" t="s">
        <v>1251</v>
      </c>
      <c r="O2055" s="471" t="s">
        <v>1250</v>
      </c>
    </row>
    <row r="2056" spans="1:15" x14ac:dyDescent="0.25">
      <c r="A2056" s="471" t="s">
        <v>6255</v>
      </c>
      <c r="B2056" s="1139">
        <f t="shared" ca="1" si="303"/>
        <v>0</v>
      </c>
      <c r="C2056" s="473">
        <f ca="1">IF(ISERROR(VLOOKUP($A$1956,INDIRECT("notes_"&amp;LEFT($A$1956,3)),4,0)),0,VLOOKUP($A$1956,INDIRECT("notes_"&amp;LEFT($A$1956,3)),4,0))</f>
        <v>0</v>
      </c>
      <c r="H2056" s="471">
        <f t="shared" si="307"/>
        <v>5</v>
      </c>
      <c r="I2056" s="471">
        <v>1</v>
      </c>
      <c r="J2056" s="471" t="str">
        <f t="shared" si="308"/>
        <v>cencnt-gnr-bqs-dnt</v>
      </c>
      <c r="K2056" s="471" t="str">
        <f t="shared" si="309"/>
        <v>tot-exp</v>
      </c>
      <c r="L2056" s="599"/>
      <c r="M2056" s="471" t="s">
        <v>6187</v>
      </c>
      <c r="N2056" s="471" t="s">
        <v>1251</v>
      </c>
      <c r="O2056" s="471" t="s">
        <v>1250</v>
      </c>
    </row>
    <row r="2057" spans="1:15" x14ac:dyDescent="0.25">
      <c r="A2057" s="471" t="s">
        <v>6256</v>
      </c>
      <c r="B2057" s="1139">
        <f t="shared" ca="1" si="303"/>
        <v>0</v>
      </c>
      <c r="C2057" s="473">
        <f ca="1">IF(ISERROR(VLOOKUP($A$1957,INDIRECT("notes_"&amp;LEFT($A$1957,3)),4,0)),0,VLOOKUP($A$1957,INDIRECT("notes_"&amp;LEFT($A$1957,3)),4,0))</f>
        <v>0</v>
      </c>
      <c r="H2057" s="471">
        <f t="shared" si="307"/>
        <v>2</v>
      </c>
      <c r="I2057" s="471">
        <v>1</v>
      </c>
      <c r="J2057" s="471" t="str">
        <f t="shared" si="308"/>
        <v>cencrn</v>
      </c>
      <c r="K2057" s="471" t="str">
        <f t="shared" si="309"/>
        <v>tot-exp</v>
      </c>
      <c r="L2057" s="599"/>
      <c r="M2057" s="471" t="s">
        <v>6187</v>
      </c>
      <c r="N2057" s="471" t="s">
        <v>1251</v>
      </c>
      <c r="O2057" s="471" t="s">
        <v>1250</v>
      </c>
    </row>
    <row r="2058" spans="1:15" x14ac:dyDescent="0.25">
      <c r="A2058" s="471" t="s">
        <v>6257</v>
      </c>
      <c r="B2058" s="1139">
        <f t="shared" ca="1" si="303"/>
        <v>0</v>
      </c>
      <c r="C2058" s="473">
        <f ca="1">IF(ISERROR(VLOOKUP($A$1958,INDIRECT("notes_"&amp;LEFT($A$1958,3)),4,0)),0,VLOOKUP($A$1958,INDIRECT("notes_"&amp;LEFT($A$1958,3)),4,0))</f>
        <v>0</v>
      </c>
      <c r="H2058" s="471">
        <f t="shared" si="307"/>
        <v>2</v>
      </c>
      <c r="I2058" s="471">
        <v>1</v>
      </c>
      <c r="J2058" s="471" t="str">
        <f t="shared" si="308"/>
        <v>cencrtoth</v>
      </c>
      <c r="K2058" s="471" t="str">
        <f t="shared" si="309"/>
        <v>tot-exp</v>
      </c>
      <c r="L2058" s="599"/>
      <c r="M2058" s="471" t="s">
        <v>6187</v>
      </c>
      <c r="N2058" s="471" t="s">
        <v>1251</v>
      </c>
      <c r="O2058" s="471" t="s">
        <v>1250</v>
      </c>
    </row>
    <row r="2059" spans="1:15" x14ac:dyDescent="0.25">
      <c r="A2059" s="471" t="s">
        <v>6258</v>
      </c>
      <c r="B2059" s="1139">
        <f t="shared" ca="1" si="303"/>
        <v>0</v>
      </c>
      <c r="C2059" s="473">
        <f ca="1">IF(ISERROR(VLOOKUP($A$1959,INDIRECT("notes_"&amp;LEFT($A$1959,3)),4,0)),0,VLOOKUP($A$1959,INDIRECT("notes_"&amp;LEFT($A$1959,3)),4,0))</f>
        <v>0</v>
      </c>
      <c r="H2059" s="471">
        <f t="shared" si="307"/>
        <v>2</v>
      </c>
      <c r="I2059" s="471">
        <v>1</v>
      </c>
      <c r="J2059" s="471" t="str">
        <f t="shared" si="308"/>
        <v>cenndcrtr</v>
      </c>
      <c r="K2059" s="471" t="str">
        <f t="shared" si="309"/>
        <v>tot-exp</v>
      </c>
      <c r="L2059" s="599"/>
      <c r="M2059" s="471" t="s">
        <v>6187</v>
      </c>
      <c r="N2059" s="471" t="s">
        <v>1251</v>
      </c>
      <c r="O2059" s="471" t="s">
        <v>1250</v>
      </c>
    </row>
    <row r="2060" spans="1:15" x14ac:dyDescent="0.25">
      <c r="A2060" s="471" t="s">
        <v>6259</v>
      </c>
      <c r="B2060" s="1139">
        <f t="shared" ca="1" si="303"/>
        <v>0</v>
      </c>
      <c r="C2060" s="473">
        <f ca="1">IF(ISERROR(VLOOKUP($A$1960,INDIRECT("notes_"&amp;LEFT($A$1960,3)),4,0)),0,VLOOKUP($A$1960,INDIRECT("notes_"&amp;LEFT($A$1960,3)),4,0))</f>
        <v>0</v>
      </c>
      <c r="H2060" s="471">
        <f t="shared" si="307"/>
        <v>2</v>
      </c>
      <c r="I2060" s="471">
        <v>1</v>
      </c>
      <c r="J2060" s="471" t="str">
        <f t="shared" si="308"/>
        <v>cenndcit</v>
      </c>
      <c r="K2060" s="471" t="str">
        <f t="shared" si="309"/>
        <v>tot-exp</v>
      </c>
      <c r="L2060" s="599"/>
      <c r="M2060" s="471" t="s">
        <v>6187</v>
      </c>
      <c r="N2060" s="471" t="s">
        <v>1251</v>
      </c>
      <c r="O2060" s="471" t="s">
        <v>1250</v>
      </c>
    </row>
    <row r="2061" spans="1:15" x14ac:dyDescent="0.25">
      <c r="A2061" s="471" t="s">
        <v>6260</v>
      </c>
      <c r="B2061" s="1139">
        <f t="shared" ca="1" si="303"/>
        <v>0</v>
      </c>
      <c r="C2061" s="473">
        <f ca="1">IF(ISERROR(VLOOKUP($A$1961,INDIRECT("notes_"&amp;LEFT($A$1961,3)),4,0)),0,VLOOKUP($A$1961,INDIRECT("notes_"&amp;LEFT($A$1961,3)),4,0))</f>
        <v>0</v>
      </c>
      <c r="H2061" s="471">
        <f t="shared" si="307"/>
        <v>2</v>
      </c>
      <c r="I2061" s="471">
        <v>1</v>
      </c>
      <c r="J2061" s="471" t="str">
        <f t="shared" si="308"/>
        <v>cenndcsrp</v>
      </c>
      <c r="K2061" s="471" t="str">
        <f t="shared" si="309"/>
        <v>tot-exp</v>
      </c>
      <c r="L2061" s="599"/>
      <c r="M2061" s="471" t="s">
        <v>6187</v>
      </c>
      <c r="N2061" s="471" t="s">
        <v>1251</v>
      </c>
      <c r="O2061" s="471" t="s">
        <v>1250</v>
      </c>
    </row>
    <row r="2062" spans="1:15" x14ac:dyDescent="0.25">
      <c r="A2062" s="471" t="s">
        <v>6261</v>
      </c>
      <c r="B2062" s="1139">
        <f t="shared" ca="1" si="303"/>
        <v>0</v>
      </c>
      <c r="C2062" s="473">
        <f ca="1">IF(ISERROR(VLOOKUP($A$1962,INDIRECT("notes_"&amp;LEFT($A$1962,3)),4,0)),0,VLOOKUP($A$1962,INDIRECT("notes_"&amp;LEFT($A$1962,3)),4,0))</f>
        <v>0</v>
      </c>
      <c r="H2062" s="471">
        <f t="shared" si="307"/>
        <v>4</v>
      </c>
      <c r="I2062" s="471">
        <v>1</v>
      </c>
      <c r="J2062" s="471" t="str">
        <f t="shared" si="308"/>
        <v>cennd-mng-spp</v>
      </c>
      <c r="K2062" s="471" t="str">
        <f t="shared" si="309"/>
        <v>tot-exp</v>
      </c>
      <c r="L2062" s="599"/>
      <c r="M2062" s="471" t="s">
        <v>6187</v>
      </c>
      <c r="N2062" s="471" t="s">
        <v>1251</v>
      </c>
      <c r="O2062" s="471" t="s">
        <v>1250</v>
      </c>
    </row>
    <row r="2063" spans="1:15" x14ac:dyDescent="0.25">
      <c r="A2063" s="471" t="s">
        <v>6262</v>
      </c>
      <c r="B2063" s="1139">
        <f t="shared" ca="1" si="303"/>
        <v>0</v>
      </c>
      <c r="C2063" s="473">
        <f ca="1">IF(ISERROR(VLOOKUP($A$1963,INDIRECT("notes_"&amp;LEFT($A$1963,3)),4,0)),0,VLOOKUP($A$1963,INDIRECT("notes_"&amp;LEFT($A$1963,3)),4,0))</f>
        <v>0</v>
      </c>
      <c r="H2063" s="471">
        <f t="shared" si="307"/>
        <v>2</v>
      </c>
      <c r="I2063" s="471">
        <v>1</v>
      </c>
      <c r="J2063" s="471" t="str">
        <f t="shared" si="308"/>
        <v>centot</v>
      </c>
      <c r="K2063" s="471" t="str">
        <f t="shared" si="309"/>
        <v>tot-exp</v>
      </c>
      <c r="L2063" s="599"/>
      <c r="M2063" s="471" t="s">
        <v>6187</v>
      </c>
      <c r="N2063" s="471" t="s">
        <v>1251</v>
      </c>
      <c r="O2063" s="471" t="s">
        <v>1250</v>
      </c>
    </row>
    <row r="2064" spans="1:15" x14ac:dyDescent="0.25">
      <c r="A2064" s="471" t="s">
        <v>6263</v>
      </c>
      <c r="B2064" s="1139">
        <f t="shared" ca="1" si="303"/>
        <v>0</v>
      </c>
      <c r="C2064" s="473">
        <f ca="1">IF(ISERROR(VLOOKUP($A$1964,INDIRECT("notes_"&amp;LEFT($A$1964,3)),4,0)),0,VLOOKUP($A$1964,INDIRECT("notes_"&amp;LEFT($A$1964,3)),4,0))</f>
        <v>0</v>
      </c>
      <c r="H2064" s="471">
        <f t="shared" si="307"/>
        <v>2</v>
      </c>
      <c r="I2064" s="471">
        <v>1</v>
      </c>
      <c r="J2064" s="471" t="str">
        <f t="shared" si="308"/>
        <v>cenothtot</v>
      </c>
      <c r="K2064" s="471" t="str">
        <f t="shared" si="309"/>
        <v>tot-exp</v>
      </c>
      <c r="L2064" s="599"/>
      <c r="M2064" s="471" t="s">
        <v>6187</v>
      </c>
      <c r="N2064" s="471" t="s">
        <v>1251</v>
      </c>
      <c r="O2064" s="471" t="s">
        <v>1250</v>
      </c>
    </row>
    <row r="2065" spans="1:15" x14ac:dyDescent="0.25">
      <c r="A2065" s="471" t="s">
        <v>6264</v>
      </c>
      <c r="B2065" s="1139">
        <f t="shared" ca="1" si="303"/>
        <v>0</v>
      </c>
      <c r="C2065" s="473">
        <f ca="1">IF(ISERROR(VLOOKUP($A$1965,INDIRECT("notes_"&amp;LEFT($A$1965,3)),4,0)),0,VLOOKUP($A$1965,INDIRECT("notes_"&amp;LEFT($A$1965,3)),4,0))</f>
        <v>0</v>
      </c>
      <c r="G2065" s="471" t="str">
        <f>IF(ISNUMBER(SEARCH("specify",'RO6'!C131)),"",'RO6'!C131)</f>
        <v/>
      </c>
      <c r="H2065" s="471">
        <f t="shared" si="307"/>
        <v>3</v>
      </c>
      <c r="I2065" s="471">
        <v>1</v>
      </c>
      <c r="J2065" s="471" t="str">
        <f t="shared" si="308"/>
        <v>cenoth1-n cenoth1</v>
      </c>
      <c r="K2065" s="471" t="str">
        <f t="shared" si="309"/>
        <v>tot-exp</v>
      </c>
      <c r="L2065" s="599"/>
      <c r="M2065" s="471" t="s">
        <v>6187</v>
      </c>
      <c r="N2065" s="471" t="s">
        <v>1251</v>
      </c>
      <c r="O2065" s="471" t="s">
        <v>1250</v>
      </c>
    </row>
    <row r="2066" spans="1:15" x14ac:dyDescent="0.25">
      <c r="A2066" s="471" t="s">
        <v>6265</v>
      </c>
      <c r="B2066" s="1139">
        <f t="shared" ca="1" si="303"/>
        <v>0</v>
      </c>
      <c r="C2066" s="473">
        <f ca="1">IF(ISERROR(VLOOKUP($A$1966,INDIRECT("notes_"&amp;LEFT($A$1966,3)),4,0)),0,VLOOKUP($A$1966,INDIRECT("notes_"&amp;LEFT($A$1966,3)),4,0))</f>
        <v>0</v>
      </c>
      <c r="G2066" s="471" t="str">
        <f>IF(ISNUMBER(SEARCH("specify",'RO6'!C132)),"",'RO6'!C132)</f>
        <v/>
      </c>
      <c r="H2066" s="471">
        <f t="shared" si="307"/>
        <v>3</v>
      </c>
      <c r="I2066" s="471">
        <v>1</v>
      </c>
      <c r="J2066" s="471" t="str">
        <f t="shared" si="308"/>
        <v>cenoth2-n cenoth2</v>
      </c>
      <c r="K2066" s="471" t="str">
        <f t="shared" si="309"/>
        <v>tot-exp</v>
      </c>
      <c r="L2066" s="599"/>
      <c r="M2066" s="471" t="s">
        <v>6187</v>
      </c>
      <c r="N2066" s="471" t="s">
        <v>1251</v>
      </c>
      <c r="O2066" s="471" t="s">
        <v>1250</v>
      </c>
    </row>
    <row r="2067" spans="1:15" x14ac:dyDescent="0.25">
      <c r="A2067" s="471" t="s">
        <v>6266</v>
      </c>
      <c r="B2067" s="1139">
        <f t="shared" ca="1" si="303"/>
        <v>0</v>
      </c>
      <c r="C2067" s="473">
        <f ca="1">IF(ISERROR(VLOOKUP($A$1967,INDIRECT("notes_"&amp;LEFT($A$1967,3)),4,0)),0,VLOOKUP($A$1967,INDIRECT("notes_"&amp;LEFT($A$1967,3)),4,0))</f>
        <v>0</v>
      </c>
      <c r="G2067" s="471" t="str">
        <f>IF(ISNUMBER(SEARCH("specify",'RO6'!C133)),"",'RO6'!C133)</f>
        <v/>
      </c>
      <c r="H2067" s="471">
        <f t="shared" si="307"/>
        <v>3</v>
      </c>
      <c r="I2067" s="471">
        <v>1</v>
      </c>
      <c r="J2067" s="471" t="str">
        <f t="shared" si="308"/>
        <v>cenoth3-n cenoth3</v>
      </c>
      <c r="K2067" s="471" t="str">
        <f t="shared" si="309"/>
        <v>tot-exp</v>
      </c>
      <c r="L2067" s="599"/>
      <c r="M2067" s="471" t="s">
        <v>6187</v>
      </c>
      <c r="N2067" s="471" t="s">
        <v>1251</v>
      </c>
      <c r="O2067" s="471" t="s">
        <v>1250</v>
      </c>
    </row>
    <row r="2068" spans="1:15" x14ac:dyDescent="0.25">
      <c r="A2068" s="471" t="s">
        <v>6267</v>
      </c>
      <c r="B2068" s="1139">
        <f t="shared" ca="1" si="303"/>
        <v>0</v>
      </c>
      <c r="C2068" s="473">
        <f ca="1">IF(ISERROR(VLOOKUP($A$1968,INDIRECT("notes_"&amp;LEFT($A$1968,3)),4,0)),0,VLOOKUP($A$1968,INDIRECT("notes_"&amp;LEFT($A$1968,3)),4,0))</f>
        <v>0</v>
      </c>
      <c r="G2068" s="471" t="str">
        <f>IF(ISNUMBER(SEARCH("specify",'RO6'!C134)),"",'RO6'!C134)</f>
        <v/>
      </c>
      <c r="H2068" s="471">
        <f t="shared" si="307"/>
        <v>3</v>
      </c>
      <c r="I2068" s="471">
        <v>1</v>
      </c>
      <c r="J2068" s="471" t="str">
        <f t="shared" si="308"/>
        <v>cenoth4-n cenoth4</v>
      </c>
      <c r="K2068" s="471" t="str">
        <f t="shared" si="309"/>
        <v>tot-exp</v>
      </c>
      <c r="L2068" s="599"/>
      <c r="M2068" s="471" t="s">
        <v>6187</v>
      </c>
      <c r="N2068" s="471" t="s">
        <v>1251</v>
      </c>
      <c r="O2068" s="471" t="s">
        <v>1250</v>
      </c>
    </row>
    <row r="2069" spans="1:15" x14ac:dyDescent="0.25">
      <c r="A2069" s="471" t="s">
        <v>6268</v>
      </c>
      <c r="B2069" s="1139">
        <f t="shared" ca="1" si="303"/>
        <v>0</v>
      </c>
      <c r="C2069" s="473">
        <f ca="1">IF(ISERROR(VLOOKUP($A$1969,INDIRECT("notes_"&amp;LEFT($A$1969,3)),4,0)),0,VLOOKUP($A$1969,INDIRECT("notes_"&amp;LEFT($A$1969,3)),4,0))</f>
        <v>0</v>
      </c>
      <c r="G2069" s="471" t="str">
        <f>IF(ISNUMBER(SEARCH("specify",'RO6'!C135)),"",'RO6'!C135)</f>
        <v/>
      </c>
      <c r="H2069" s="471">
        <f t="shared" si="307"/>
        <v>3</v>
      </c>
      <c r="I2069" s="471">
        <v>1</v>
      </c>
      <c r="J2069" s="471" t="str">
        <f t="shared" si="308"/>
        <v>cenoth5-n cenoth5</v>
      </c>
      <c r="K2069" s="471" t="str">
        <f t="shared" si="309"/>
        <v>tot-exp</v>
      </c>
      <c r="L2069" s="599"/>
      <c r="M2069" s="471" t="s">
        <v>6187</v>
      </c>
      <c r="N2069" s="471" t="s">
        <v>1251</v>
      </c>
      <c r="O2069" s="471" t="s">
        <v>1250</v>
      </c>
    </row>
    <row r="2070" spans="1:15" x14ac:dyDescent="0.25">
      <c r="A2070" s="471" t="s">
        <v>6269</v>
      </c>
      <c r="B2070" s="1139">
        <f t="shared" ca="1" si="303"/>
        <v>0</v>
      </c>
      <c r="C2070" s="473">
        <f ca="1">IF(ISERROR(VLOOKUP($A$1970,INDIRECT("notes_"&amp;LEFT($A$1970,3)),4,0)),0,VLOOKUP($A$1970,INDIRECT("notes_"&amp;LEFT($A$1970,3)),4,0))</f>
        <v>0</v>
      </c>
      <c r="G2070" s="471" t="str">
        <f>IF(ISNUMBER(SEARCH("specify",'RO6'!C136)),"",'RO6'!C136)</f>
        <v/>
      </c>
      <c r="H2070" s="471">
        <f t="shared" si="307"/>
        <v>3</v>
      </c>
      <c r="I2070" s="471">
        <v>1</v>
      </c>
      <c r="J2070" s="471" t="str">
        <f t="shared" si="308"/>
        <v>cenoth6-n cenoth6</v>
      </c>
      <c r="K2070" s="471" t="str">
        <f t="shared" si="309"/>
        <v>tot-exp</v>
      </c>
      <c r="L2070" s="599"/>
      <c r="M2070" s="471" t="s">
        <v>6187</v>
      </c>
      <c r="N2070" s="471" t="s">
        <v>1251</v>
      </c>
      <c r="O2070" s="471" t="s">
        <v>1250</v>
      </c>
    </row>
    <row r="2071" spans="1:15" x14ac:dyDescent="0.25">
      <c r="A2071" s="471" t="s">
        <v>6270</v>
      </c>
      <c r="B2071" s="1139">
        <f t="shared" ca="1" si="303"/>
        <v>0</v>
      </c>
      <c r="C2071" s="473">
        <f ca="1">IF(ISERROR(VLOOKUP($A$1971,INDIRECT("notes_"&amp;LEFT($A$1971,3)),4,0)),0,VLOOKUP($A$1971,INDIRECT("notes_"&amp;LEFT($A$1971,3)),4,0))</f>
        <v>0</v>
      </c>
      <c r="G2071" s="471" t="str">
        <f>IF(ISNUMBER(SEARCH("specify",'RO6'!C137)),"",'RO6'!C137)</f>
        <v/>
      </c>
      <c r="H2071" s="471">
        <f t="shared" si="307"/>
        <v>3</v>
      </c>
      <c r="I2071" s="471">
        <v>1</v>
      </c>
      <c r="J2071" s="471" t="str">
        <f t="shared" si="308"/>
        <v>cenoth7-n cenoth7</v>
      </c>
      <c r="K2071" s="471" t="str">
        <f t="shared" si="309"/>
        <v>tot-exp</v>
      </c>
      <c r="L2071" s="599"/>
      <c r="M2071" s="471" t="s">
        <v>6187</v>
      </c>
      <c r="N2071" s="471" t="s">
        <v>1251</v>
      </c>
      <c r="O2071" s="471" t="s">
        <v>1250</v>
      </c>
    </row>
    <row r="2072" spans="1:15" x14ac:dyDescent="0.25">
      <c r="A2072" s="471" t="s">
        <v>6271</v>
      </c>
      <c r="B2072" s="1139">
        <f t="shared" ca="1" si="303"/>
        <v>0</v>
      </c>
      <c r="C2072" s="473">
        <f ca="1">IF(ISERROR(VLOOKUP($A$1972,INDIRECT("notes_"&amp;LEFT($A$1972,3)),4,0)),0,VLOOKUP($A$1972,INDIRECT("notes_"&amp;LEFT($A$1972,3)),4,0))</f>
        <v>0</v>
      </c>
      <c r="G2072" s="471" t="str">
        <f>IF(ISNUMBER(SEARCH("specify",'RO6'!C138)),"",'RO6'!C138)</f>
        <v/>
      </c>
      <c r="H2072" s="471">
        <f t="shared" si="307"/>
        <v>3</v>
      </c>
      <c r="I2072" s="471">
        <v>1</v>
      </c>
      <c r="J2072" s="471" t="str">
        <f t="shared" si="308"/>
        <v>cenoth8-n cenoth8</v>
      </c>
      <c r="K2072" s="471" t="str">
        <f t="shared" si="309"/>
        <v>tot-exp</v>
      </c>
      <c r="L2072" s="599"/>
      <c r="M2072" s="471" t="s">
        <v>6187</v>
      </c>
      <c r="N2072" s="471" t="s">
        <v>1251</v>
      </c>
      <c r="O2072" s="471" t="s">
        <v>1250</v>
      </c>
    </row>
    <row r="2073" spans="1:15" x14ac:dyDescent="0.25">
      <c r="A2073" s="471" t="s">
        <v>6272</v>
      </c>
      <c r="B2073" s="1139">
        <f t="shared" ca="1" si="303"/>
        <v>0</v>
      </c>
      <c r="C2073" s="473">
        <f ca="1">IF(ISERROR(VLOOKUP($A$1973,INDIRECT("notes_"&amp;LEFT($A$1973,3)),4,0)),0,VLOOKUP($A$1973,INDIRECT("notes_"&amp;LEFT($A$1973,3)),4,0))</f>
        <v>0</v>
      </c>
      <c r="G2073" s="471" t="str">
        <f>IF(ISNUMBER(SEARCH("specify",'RO6'!C139)),"",'RO6'!C139)</f>
        <v/>
      </c>
      <c r="H2073" s="471">
        <f t="shared" si="307"/>
        <v>3</v>
      </c>
      <c r="I2073" s="471">
        <v>1</v>
      </c>
      <c r="J2073" s="471" t="str">
        <f t="shared" si="308"/>
        <v>cenoth9-n cenoth9</v>
      </c>
      <c r="K2073" s="471" t="str">
        <f t="shared" si="309"/>
        <v>tot-exp</v>
      </c>
      <c r="L2073" s="599"/>
      <c r="M2073" s="471" t="s">
        <v>6187</v>
      </c>
      <c r="N2073" s="471" t="s">
        <v>1251</v>
      </c>
      <c r="O2073" s="471" t="s">
        <v>1250</v>
      </c>
    </row>
    <row r="2074" spans="1:15" x14ac:dyDescent="0.25">
      <c r="A2074" s="471" t="s">
        <v>6273</v>
      </c>
      <c r="B2074" s="1139">
        <f t="shared" ca="1" si="303"/>
        <v>0</v>
      </c>
      <c r="C2074" s="473">
        <f ca="1">IF(ISERROR(VLOOKUP($A$1974,INDIRECT("notes_"&amp;LEFT($A$1974,3)),4,0)),0,VLOOKUP($A$1974,INDIRECT("notes_"&amp;LEFT($A$1974,3)),4,0))</f>
        <v>0</v>
      </c>
      <c r="G2074" s="471" t="str">
        <f>IF(ISNUMBER(SEARCH("specify",'RO6'!C140)),"",'RO6'!C140)</f>
        <v/>
      </c>
      <c r="H2074" s="471">
        <f t="shared" si="307"/>
        <v>3</v>
      </c>
      <c r="I2074" s="471">
        <v>1</v>
      </c>
      <c r="J2074" s="471" t="str">
        <f t="shared" si="308"/>
        <v>cenoth10-n cenoth10</v>
      </c>
      <c r="K2074" s="471" t="str">
        <f t="shared" si="309"/>
        <v>tot-exp</v>
      </c>
      <c r="L2074" s="599"/>
      <c r="M2074" s="471" t="s">
        <v>6187</v>
      </c>
      <c r="N2074" s="471" t="s">
        <v>1251</v>
      </c>
      <c r="O2074" s="471" t="s">
        <v>1250</v>
      </c>
    </row>
    <row r="2075" spans="1:15" x14ac:dyDescent="0.25">
      <c r="A2075" s="471" t="s">
        <v>6274</v>
      </c>
      <c r="B2075" s="1139">
        <f t="shared" ca="1" si="303"/>
        <v>0</v>
      </c>
      <c r="C2075" s="473">
        <f ca="1">IF(ISERROR(VLOOKUP($A$1975,INDIRECT("notes_"&amp;LEFT($A$1975,3)),4,0)),0,VLOOKUP($A$1975,INDIRECT("notes_"&amp;LEFT($A$1975,3)),4,0))</f>
        <v>0</v>
      </c>
      <c r="G2075" s="471" t="str">
        <f>IF(ISNUMBER(SEARCH("specify",'RO6'!C141)),"",'RO6'!C141)</f>
        <v/>
      </c>
      <c r="H2075" s="471">
        <f t="shared" si="307"/>
        <v>3</v>
      </c>
      <c r="I2075" s="471">
        <v>1</v>
      </c>
      <c r="J2075" s="471" t="str">
        <f t="shared" si="308"/>
        <v>cenoth11-n cenoth11</v>
      </c>
      <c r="K2075" s="471" t="str">
        <f t="shared" si="309"/>
        <v>tot-exp</v>
      </c>
      <c r="L2075" s="599"/>
      <c r="M2075" s="471" t="s">
        <v>6187</v>
      </c>
      <c r="N2075" s="471" t="s">
        <v>1251</v>
      </c>
      <c r="O2075" s="471" t="s">
        <v>1250</v>
      </c>
    </row>
    <row r="2076" spans="1:15" x14ac:dyDescent="0.25">
      <c r="A2076" s="471" t="s">
        <v>6275</v>
      </c>
      <c r="B2076" s="1139">
        <f t="shared" ca="1" si="303"/>
        <v>0</v>
      </c>
      <c r="C2076" s="473">
        <f ca="1">IF(ISERROR(VLOOKUP($A$1976,INDIRECT("notes_"&amp;LEFT($A$1976,3)),4,0)),0,VLOOKUP($A$1976,INDIRECT("notes_"&amp;LEFT($A$1976,3)),4,0))</f>
        <v>0</v>
      </c>
      <c r="G2076" s="471" t="str">
        <f>IF(ISNUMBER(SEARCH("specify",'RO6'!C142)),"",'RO6'!C142)</f>
        <v/>
      </c>
      <c r="H2076" s="471">
        <f t="shared" si="307"/>
        <v>3</v>
      </c>
      <c r="I2076" s="471">
        <v>1</v>
      </c>
      <c r="J2076" s="471" t="str">
        <f t="shared" si="308"/>
        <v>cenoth12-n cenoth12</v>
      </c>
      <c r="K2076" s="471" t="str">
        <f t="shared" si="309"/>
        <v>tot-exp</v>
      </c>
      <c r="L2076" s="599"/>
      <c r="M2076" s="471" t="s">
        <v>6187</v>
      </c>
      <c r="N2076" s="471" t="s">
        <v>1251</v>
      </c>
      <c r="O2076" s="471" t="s">
        <v>1250</v>
      </c>
    </row>
    <row r="2077" spans="1:15" x14ac:dyDescent="0.25">
      <c r="A2077" s="471" t="s">
        <v>6276</v>
      </c>
      <c r="B2077" s="1139">
        <f t="shared" ca="1" si="303"/>
        <v>0</v>
      </c>
      <c r="C2077" s="473">
        <f ca="1">IF(ISERROR(VLOOKUP($A$1977,INDIRECT("notes_"&amp;LEFT($A$1977,3)),4,0)),0,VLOOKUP($A$1977,INDIRECT("notes_"&amp;LEFT($A$1977,3)),4,0))</f>
        <v>0</v>
      </c>
      <c r="G2077" s="471" t="str">
        <f>IF(ISNUMBER(SEARCH("specify",'RO6'!C143)),"",'RO6'!C143)</f>
        <v/>
      </c>
      <c r="H2077" s="471">
        <f t="shared" si="307"/>
        <v>3</v>
      </c>
      <c r="I2077" s="471">
        <v>1</v>
      </c>
      <c r="J2077" s="471" t="str">
        <f t="shared" si="308"/>
        <v>cenoth13-n cenoth13</v>
      </c>
      <c r="K2077" s="471" t="str">
        <f t="shared" si="309"/>
        <v>tot-exp</v>
      </c>
      <c r="L2077" s="599"/>
      <c r="M2077" s="471" t="s">
        <v>6187</v>
      </c>
      <c r="N2077" s="471" t="s">
        <v>1251</v>
      </c>
      <c r="O2077" s="471" t="s">
        <v>1250</v>
      </c>
    </row>
    <row r="2078" spans="1:15" x14ac:dyDescent="0.25">
      <c r="A2078" s="471" t="s">
        <v>6277</v>
      </c>
      <c r="B2078" s="1139">
        <f t="shared" ca="1" si="303"/>
        <v>0</v>
      </c>
      <c r="C2078" s="473">
        <f ca="1">IF(ISERROR(VLOOKUP($A$1978,INDIRECT("notes_"&amp;LEFT($A$1978,3)),4,0)),0,VLOOKUP($A$1978,INDIRECT("notes_"&amp;LEFT($A$1978,3)),4,0))</f>
        <v>0</v>
      </c>
      <c r="G2078" s="471" t="str">
        <f>IF(ISNUMBER(SEARCH("specify",'RO6'!C144)),"",'RO6'!C144)</f>
        <v/>
      </c>
      <c r="H2078" s="471">
        <f t="shared" si="307"/>
        <v>3</v>
      </c>
      <c r="I2078" s="471">
        <v>1</v>
      </c>
      <c r="J2078" s="471" t="str">
        <f t="shared" si="308"/>
        <v>cenoth14-n cenoth14</v>
      </c>
      <c r="K2078" s="471" t="str">
        <f t="shared" si="309"/>
        <v>tot-exp</v>
      </c>
      <c r="L2078" s="599"/>
      <c r="M2078" s="471" t="s">
        <v>6187</v>
      </c>
      <c r="N2078" s="471" t="s">
        <v>1251</v>
      </c>
      <c r="O2078" s="471" t="s">
        <v>1250</v>
      </c>
    </row>
    <row r="2079" spans="1:15" x14ac:dyDescent="0.25">
      <c r="A2079" s="471" t="s">
        <v>6278</v>
      </c>
      <c r="B2079" s="1139">
        <f t="shared" ca="1" si="303"/>
        <v>0</v>
      </c>
      <c r="C2079" s="473">
        <f ca="1">IF(ISERROR(VLOOKUP($A$1979,INDIRECT("notes_"&amp;LEFT($A$1979,3)),4,0)),0,VLOOKUP($A$1979,INDIRECT("notes_"&amp;LEFT($A$1979,3)),4,0))</f>
        <v>0</v>
      </c>
      <c r="G2079" s="471" t="str">
        <f>IF(ISNUMBER(SEARCH("specify",'RO6'!C145)),"",'RO6'!C145)</f>
        <v/>
      </c>
      <c r="H2079" s="471">
        <f t="shared" si="307"/>
        <v>3</v>
      </c>
      <c r="I2079" s="471">
        <v>1</v>
      </c>
      <c r="J2079" s="471" t="str">
        <f t="shared" si="308"/>
        <v>cenoth15-n cenoth15</v>
      </c>
      <c r="K2079" s="471" t="str">
        <f t="shared" si="309"/>
        <v>tot-exp</v>
      </c>
      <c r="L2079" s="599"/>
      <c r="M2079" s="471" t="s">
        <v>6187</v>
      </c>
      <c r="N2079" s="471" t="s">
        <v>1251</v>
      </c>
      <c r="O2079" s="471" t="s">
        <v>1250</v>
      </c>
    </row>
    <row r="2080" spans="1:15" x14ac:dyDescent="0.25">
      <c r="A2080" s="471" t="s">
        <v>6279</v>
      </c>
      <c r="B2080" s="1139">
        <f t="shared" ca="1" si="303"/>
        <v>0</v>
      </c>
      <c r="C2080" s="473">
        <f ca="1">IF(ISERROR(VLOOKUP($A$1980,INDIRECT("notes_"&amp;LEFT($A$1980,3)),4,0)),0,VLOOKUP($A$1980,INDIRECT("notes_"&amp;LEFT($A$1980,3)),4,0))</f>
        <v>0</v>
      </c>
      <c r="G2080" s="471" t="str">
        <f>IF(ISNUMBER(SEARCH("specify",'RO6'!C146)),"",'RO6'!C146)</f>
        <v/>
      </c>
      <c r="H2080" s="471">
        <f t="shared" si="307"/>
        <v>3</v>
      </c>
      <c r="I2080" s="471">
        <v>1</v>
      </c>
      <c r="J2080" s="471" t="str">
        <f t="shared" si="308"/>
        <v>cenoth16-n cenoth16</v>
      </c>
      <c r="K2080" s="471" t="str">
        <f t="shared" si="309"/>
        <v>tot-exp</v>
      </c>
      <c r="L2080" s="599"/>
      <c r="M2080" s="471" t="s">
        <v>6187</v>
      </c>
      <c r="N2080" s="471" t="s">
        <v>1251</v>
      </c>
      <c r="O2080" s="471" t="s">
        <v>1250</v>
      </c>
    </row>
    <row r="2081" spans="1:15" x14ac:dyDescent="0.25">
      <c r="A2081" s="471" t="s">
        <v>6280</v>
      </c>
      <c r="B2081" s="1139">
        <f t="shared" ca="1" si="303"/>
        <v>0</v>
      </c>
      <c r="C2081" s="473">
        <f ca="1">IF(ISERROR(VLOOKUP($A$1981,INDIRECT("notes_"&amp;LEFT($A$1981,3)),4,0)),0,VLOOKUP($A$1981,INDIRECT("notes_"&amp;LEFT($A$1981,3)),4,0))</f>
        <v>0</v>
      </c>
      <c r="G2081" s="471" t="str">
        <f>IF(ISNUMBER(SEARCH("specify",'RO6'!C147)),"",'RO6'!C147)</f>
        <v/>
      </c>
      <c r="H2081" s="471">
        <f t="shared" si="307"/>
        <v>3</v>
      </c>
      <c r="I2081" s="471">
        <v>1</v>
      </c>
      <c r="J2081" s="471" t="str">
        <f t="shared" si="308"/>
        <v>cenoth17-n cenoth17</v>
      </c>
      <c r="K2081" s="471" t="str">
        <f t="shared" si="309"/>
        <v>tot-exp</v>
      </c>
      <c r="L2081" s="599"/>
      <c r="M2081" s="471" t="s">
        <v>6187</v>
      </c>
      <c r="N2081" s="471" t="s">
        <v>1251</v>
      </c>
      <c r="O2081" s="471" t="s">
        <v>1250</v>
      </c>
    </row>
    <row r="2082" spans="1:15" x14ac:dyDescent="0.25">
      <c r="A2082" s="471" t="s">
        <v>6281</v>
      </c>
      <c r="B2082" s="1139">
        <f t="shared" ca="1" si="303"/>
        <v>0</v>
      </c>
      <c r="C2082" s="473">
        <f ca="1">IF(ISERROR(VLOOKUP($A$1982,INDIRECT("notes_"&amp;LEFT($A$1982,3)),4,0)),0,VLOOKUP($A$1982,INDIRECT("notes_"&amp;LEFT($A$1982,3)),4,0))</f>
        <v>0</v>
      </c>
      <c r="G2082" s="471" t="str">
        <f>IF(ISNUMBER(SEARCH("specify",'RO6'!C148)),"",'RO6'!C148)</f>
        <v/>
      </c>
      <c r="H2082" s="471">
        <f t="shared" si="307"/>
        <v>3</v>
      </c>
      <c r="I2082" s="471">
        <v>1</v>
      </c>
      <c r="J2082" s="471" t="str">
        <f t="shared" si="308"/>
        <v>cenoth18-n cenoth18</v>
      </c>
      <c r="K2082" s="471" t="str">
        <f t="shared" si="309"/>
        <v>tot-exp</v>
      </c>
      <c r="L2082" s="599"/>
      <c r="M2082" s="471" t="s">
        <v>6187</v>
      </c>
      <c r="N2082" s="471" t="s">
        <v>1251</v>
      </c>
      <c r="O2082" s="471" t="s">
        <v>1250</v>
      </c>
    </row>
    <row r="2083" spans="1:15" x14ac:dyDescent="0.25">
      <c r="A2083" s="471" t="s">
        <v>6282</v>
      </c>
      <c r="B2083" s="1139">
        <f t="shared" ca="1" si="303"/>
        <v>0</v>
      </c>
      <c r="C2083" s="473">
        <f ca="1">IF(ISERROR(VLOOKUP($A$1983,INDIRECT("notes_"&amp;LEFT($A$1983,3)),4,0)),0,VLOOKUP($A$1983,INDIRECT("notes_"&amp;LEFT($A$1983,3)),4,0))</f>
        <v>0</v>
      </c>
      <c r="G2083" s="471" t="str">
        <f>IF(ISNUMBER(SEARCH("specify",'RO6'!C149)),"",'RO6'!C149)</f>
        <v/>
      </c>
      <c r="H2083" s="471">
        <f t="shared" si="307"/>
        <v>3</v>
      </c>
      <c r="I2083" s="471">
        <v>1</v>
      </c>
      <c r="J2083" s="471" t="str">
        <f t="shared" si="308"/>
        <v>cenoth19-n cenoth19</v>
      </c>
      <c r="K2083" s="471" t="str">
        <f t="shared" si="309"/>
        <v>tot-exp</v>
      </c>
      <c r="L2083" s="599"/>
      <c r="M2083" s="471" t="s">
        <v>6187</v>
      </c>
      <c r="N2083" s="471" t="s">
        <v>1251</v>
      </c>
      <c r="O2083" s="471" t="s">
        <v>1250</v>
      </c>
    </row>
    <row r="2084" spans="1:15" x14ac:dyDescent="0.25">
      <c r="A2084" s="471" t="s">
        <v>6283</v>
      </c>
      <c r="B2084" s="1139">
        <f t="shared" ca="1" si="303"/>
        <v>0</v>
      </c>
      <c r="C2084" s="473">
        <f ca="1">IF(ISERROR(VLOOKUP($A$1984,INDIRECT("notes_"&amp;LEFT($A$1984,3)),4,0)),0,VLOOKUP($A$1984,INDIRECT("notes_"&amp;LEFT($A$1984,3)),4,0))</f>
        <v>0</v>
      </c>
      <c r="G2084" s="471" t="str">
        <f>IF(ISNUMBER(SEARCH("specify",'RO6'!C150)),"",'RO6'!C150)</f>
        <v/>
      </c>
      <c r="H2084" s="471">
        <f t="shared" si="307"/>
        <v>3</v>
      </c>
      <c r="I2084" s="471">
        <v>1</v>
      </c>
      <c r="J2084" s="471" t="str">
        <f t="shared" si="308"/>
        <v>cenoth20-n cenoth20</v>
      </c>
      <c r="K2084" s="471" t="str">
        <f t="shared" si="309"/>
        <v>tot-exp</v>
      </c>
      <c r="L2084" s="599"/>
      <c r="M2084" s="471" t="s">
        <v>6187</v>
      </c>
      <c r="N2084" s="471" t="s">
        <v>1251</v>
      </c>
      <c r="O2084" s="471" t="s">
        <v>1250</v>
      </c>
    </row>
    <row r="2085" spans="1:15" x14ac:dyDescent="0.25">
      <c r="A2085" s="471" t="s">
        <v>6284</v>
      </c>
      <c r="B2085" s="1139">
        <f t="shared" ca="1" si="303"/>
        <v>0</v>
      </c>
      <c r="C2085" s="473">
        <f ca="1">IF(ISERROR(VLOOKUP($A$1985,INDIRECT("notes_"&amp;LEFT($A$1985,3)),4,0)),0,VLOOKUP($A$1985,INDIRECT("notes_"&amp;LEFT($A$1985,3)),4,0))</f>
        <v>0</v>
      </c>
      <c r="H2085" s="471">
        <f t="shared" si="307"/>
        <v>3</v>
      </c>
      <c r="I2085" s="471">
        <v>1</v>
      </c>
      <c r="J2085" s="471" t="str">
        <f t="shared" si="308"/>
        <v>centoth-tot</v>
      </c>
      <c r="K2085" s="471" t="str">
        <f t="shared" si="309"/>
        <v>tot-exp</v>
      </c>
      <c r="L2085" s="599"/>
      <c r="M2085" s="471" t="s">
        <v>6187</v>
      </c>
      <c r="N2085" s="471" t="s">
        <v>1251</v>
      </c>
      <c r="O2085" s="471" t="s">
        <v>1250</v>
      </c>
    </row>
    <row r="2086" spans="1:15" x14ac:dyDescent="0.25">
      <c r="A2086" s="1205" t="s">
        <v>6285</v>
      </c>
      <c r="B2086" s="1202">
        <f t="shared" ca="1" si="303"/>
        <v>0</v>
      </c>
      <c r="C2086" s="1203">
        <f ca="1">IF(ISERROR(VLOOKUP($A$1938,INDIRECT("notes_"&amp;LEFT($A$1938,3)),4,0)),0,VLOOKUP($A$1938,INDIRECT("notes_"&amp;LEFT($A$1938,3)),4,0))</f>
        <v>0</v>
      </c>
      <c r="H2086" s="1201">
        <f t="shared" si="307"/>
        <v>2</v>
      </c>
      <c r="I2086" s="1201">
        <v>0</v>
      </c>
      <c r="J2086" s="1201" t="str">
        <f t="shared" si="308"/>
        <v>poltot</v>
      </c>
      <c r="K2086" s="1201" t="str">
        <f t="shared" si="309"/>
        <v>mss</v>
      </c>
      <c r="L2086" s="599"/>
      <c r="M2086" s="1201" t="s">
        <v>6187</v>
      </c>
      <c r="N2086" s="1201" t="s">
        <v>1251</v>
      </c>
      <c r="O2086" s="1201" t="s">
        <v>1250</v>
      </c>
    </row>
    <row r="2087" spans="1:15" x14ac:dyDescent="0.25">
      <c r="A2087" s="1205" t="s">
        <v>6286</v>
      </c>
      <c r="B2087" s="1202">
        <f t="shared" ca="1" si="303"/>
        <v>0</v>
      </c>
      <c r="C2087" s="1203">
        <f ca="1">IF(ISERROR(VLOOKUP($A$1939,INDIRECT("notes_"&amp;LEFT($A$1939,3)),4,0)),0,VLOOKUP($A$1939,INDIRECT("notes_"&amp;LEFT($A$1939,3)),4,0))</f>
        <v>0</v>
      </c>
      <c r="H2087" s="1201">
        <f t="shared" si="307"/>
        <v>4</v>
      </c>
      <c r="I2087" s="1201">
        <v>0</v>
      </c>
      <c r="J2087" s="1201" t="str">
        <f t="shared" si="308"/>
        <v>frs-cmm-fs</v>
      </c>
      <c r="K2087" s="1201" t="str">
        <f t="shared" si="309"/>
        <v>mss</v>
      </c>
      <c r="L2087" s="599"/>
      <c r="M2087" s="1201" t="s">
        <v>6187</v>
      </c>
      <c r="N2087" s="1201" t="s">
        <v>1251</v>
      </c>
      <c r="O2087" s="1201" t="s">
        <v>1250</v>
      </c>
    </row>
    <row r="2088" spans="1:15" x14ac:dyDescent="0.25">
      <c r="A2088" s="1205" t="s">
        <v>6287</v>
      </c>
      <c r="B2088" s="1202">
        <f t="shared" ca="1" si="303"/>
        <v>0</v>
      </c>
      <c r="C2088" s="1203">
        <f ca="1">IF(ISERROR(VLOOKUP($A$1940,INDIRECT("notes_"&amp;LEFT($A$1940,3)),4,0)),0,VLOOKUP($A$1940,INDIRECT("notes_"&amp;LEFT($A$1940,3)),4,0))</f>
        <v>0</v>
      </c>
      <c r="H2088" s="1201">
        <f t="shared" si="307"/>
        <v>4</v>
      </c>
      <c r="I2088" s="1201">
        <v>0</v>
      </c>
      <c r="J2088" s="1201" t="str">
        <f t="shared" si="308"/>
        <v>frs-ffr-opr</v>
      </c>
      <c r="K2088" s="1201" t="str">
        <f t="shared" si="309"/>
        <v>mss</v>
      </c>
      <c r="L2088" s="599"/>
      <c r="M2088" s="1201" t="s">
        <v>6187</v>
      </c>
      <c r="N2088" s="1201" t="s">
        <v>1251</v>
      </c>
      <c r="O2088" s="1201" t="s">
        <v>1250</v>
      </c>
    </row>
    <row r="2089" spans="1:15" x14ac:dyDescent="0.25">
      <c r="A2089" s="1205" t="s">
        <v>6288</v>
      </c>
      <c r="B2089" s="1202">
        <f t="shared" ca="1" si="303"/>
        <v>0</v>
      </c>
      <c r="C2089" s="1203">
        <f ca="1">IF(ISERROR(VLOOKUP($A$1941,INDIRECT("notes_"&amp;LEFT($A$1941,3)),4,0)),0,VLOOKUP($A$1941,INDIRECT("notes_"&amp;LEFT($A$1941,3)),4,0))</f>
        <v>0</v>
      </c>
      <c r="H2089" s="1201">
        <f t="shared" si="307"/>
        <v>5</v>
      </c>
      <c r="I2089" s="1201">
        <v>0</v>
      </c>
      <c r="J2089" s="1201" t="str">
        <f t="shared" si="308"/>
        <v>frs-frs-emr-pln</v>
      </c>
      <c r="K2089" s="1201" t="str">
        <f t="shared" si="309"/>
        <v>mss</v>
      </c>
      <c r="L2089" s="599"/>
      <c r="M2089" s="1201" t="s">
        <v>6187</v>
      </c>
      <c r="N2089" s="1201" t="s">
        <v>1251</v>
      </c>
      <c r="O2089" s="1201" t="s">
        <v>1250</v>
      </c>
    </row>
    <row r="2090" spans="1:15" x14ac:dyDescent="0.25">
      <c r="A2090" s="1205" t="s">
        <v>6289</v>
      </c>
      <c r="B2090" s="1202">
        <f t="shared" ca="1" si="303"/>
        <v>0</v>
      </c>
      <c r="C2090" s="1203">
        <f ca="1">IF(ISERROR(VLOOKUP($A$1942,INDIRECT("notes_"&amp;LEFT($A$1942,3)),4,0)),0,VLOOKUP($A$1942,INDIRECT("notes_"&amp;LEFT($A$1942,3)),4,0))</f>
        <v>0</v>
      </c>
      <c r="H2090" s="1201">
        <f t="shared" si="307"/>
        <v>2</v>
      </c>
      <c r="I2090" s="1201">
        <v>0</v>
      </c>
      <c r="J2090" s="1201" t="str">
        <f t="shared" si="308"/>
        <v>frstot</v>
      </c>
      <c r="K2090" s="1201" t="str">
        <f t="shared" si="309"/>
        <v>mss</v>
      </c>
      <c r="L2090" s="599"/>
      <c r="M2090" s="1201" t="s">
        <v>6187</v>
      </c>
      <c r="N2090" s="1201" t="s">
        <v>1251</v>
      </c>
      <c r="O2090" s="1201" t="s">
        <v>1250</v>
      </c>
    </row>
    <row r="2091" spans="1:15" x14ac:dyDescent="0.25">
      <c r="A2091" s="1205" t="s">
        <v>6290</v>
      </c>
      <c r="B2091" s="1202">
        <f t="shared" ca="1" si="303"/>
        <v>0</v>
      </c>
      <c r="C2091" s="1203">
        <f ca="1">IF(ISERROR(VLOOKUP($A$1943,INDIRECT("notes_"&amp;LEFT($A$1943,3)),4,0)),0,VLOOKUP($A$1943,INDIRECT("notes_"&amp;LEFT($A$1943,3)),4,0))</f>
        <v>0</v>
      </c>
      <c r="H2091" s="1201">
        <f t="shared" si="307"/>
        <v>2</v>
      </c>
      <c r="I2091" s="1201">
        <v>0</v>
      </c>
      <c r="J2091" s="1201" t="str">
        <f t="shared" si="308"/>
        <v>cencrp</v>
      </c>
      <c r="K2091" s="1201" t="str">
        <f t="shared" si="309"/>
        <v>mss</v>
      </c>
      <c r="L2091" s="599"/>
      <c r="M2091" s="1201" t="s">
        <v>6187</v>
      </c>
      <c r="N2091" s="1201" t="s">
        <v>1251</v>
      </c>
      <c r="O2091" s="1201" t="s">
        <v>1250</v>
      </c>
    </row>
    <row r="2092" spans="1:15" x14ac:dyDescent="0.25">
      <c r="A2092" s="1205" t="s">
        <v>6291</v>
      </c>
      <c r="B2092" s="1202">
        <f t="shared" ca="1" si="303"/>
        <v>0</v>
      </c>
      <c r="C2092" s="1203">
        <f ca="1">IF(ISERROR(VLOOKUP($A$1944,INDIRECT("notes_"&amp;LEFT($A$1944,3)),4,0)),0,VLOOKUP($A$1944,INDIRECT("notes_"&amp;LEFT($A$1944,3)),4,0))</f>
        <v>0</v>
      </c>
      <c r="H2092" s="1201">
        <f t="shared" si="307"/>
        <v>3</v>
      </c>
      <c r="I2092" s="1201">
        <v>0</v>
      </c>
      <c r="J2092" s="1201" t="str">
        <f t="shared" si="308"/>
        <v>centax-cll</v>
      </c>
      <c r="K2092" s="1201" t="str">
        <f t="shared" si="309"/>
        <v>mss</v>
      </c>
      <c r="L2092" s="599"/>
      <c r="M2092" s="1201" t="s">
        <v>6187</v>
      </c>
      <c r="N2092" s="1201" t="s">
        <v>1251</v>
      </c>
      <c r="O2092" s="1201" t="s">
        <v>1250</v>
      </c>
    </row>
    <row r="2093" spans="1:15" x14ac:dyDescent="0.25">
      <c r="A2093" s="1205" t="s">
        <v>6292</v>
      </c>
      <c r="B2093" s="1202">
        <f t="shared" ca="1" si="303"/>
        <v>0</v>
      </c>
      <c r="C2093" s="1203">
        <f ca="1">IF(ISERROR(VLOOKUP($A$1945,INDIRECT("notes_"&amp;LEFT($A$1945,3)),4,0)),0,VLOOKUP($A$1945,INDIRECT("notes_"&amp;LEFT($A$1945,3)),4,0))</f>
        <v>0</v>
      </c>
      <c r="H2093" s="1201">
        <f t="shared" si="307"/>
        <v>4</v>
      </c>
      <c r="I2093" s="1201">
        <v>0</v>
      </c>
      <c r="J2093" s="1201" t="str">
        <f t="shared" si="308"/>
        <v>centaxdsc-prm-pym</v>
      </c>
      <c r="K2093" s="1201" t="str">
        <f t="shared" si="309"/>
        <v>mss</v>
      </c>
      <c r="L2093" s="599"/>
      <c r="M2093" s="1201" t="s">
        <v>6187</v>
      </c>
      <c r="N2093" s="1201" t="s">
        <v>1251</v>
      </c>
      <c r="O2093" s="1201" t="s">
        <v>1250</v>
      </c>
    </row>
    <row r="2094" spans="1:15" x14ac:dyDescent="0.25">
      <c r="A2094" s="1205" t="s">
        <v>6293</v>
      </c>
      <c r="B2094" s="1202">
        <f t="shared" ca="1" si="303"/>
        <v>0</v>
      </c>
      <c r="C2094" s="1203">
        <f ca="1">IF(ISERROR(VLOOKUP($A$1946,INDIRECT("notes_"&amp;LEFT($A$1946,3)),4,0)),0,VLOOKUP($A$1946,INDIRECT("notes_"&amp;LEFT($A$1946,3)),4,0))</f>
        <v>0</v>
      </c>
      <c r="H2094" s="1201">
        <f t="shared" si="307"/>
        <v>2</v>
      </c>
      <c r="I2094" s="1201">
        <v>0</v>
      </c>
      <c r="J2094" s="1201" t="str">
        <f t="shared" si="308"/>
        <v>centaxdsc</v>
      </c>
      <c r="K2094" s="1201" t="str">
        <f t="shared" si="309"/>
        <v>mss</v>
      </c>
      <c r="L2094" s="599"/>
      <c r="M2094" s="1201" t="s">
        <v>6187</v>
      </c>
      <c r="N2094" s="1201" t="s">
        <v>1251</v>
      </c>
      <c r="O2094" s="1201" t="s">
        <v>1250</v>
      </c>
    </row>
    <row r="2095" spans="1:15" x14ac:dyDescent="0.25">
      <c r="A2095" s="1205" t="s">
        <v>6294</v>
      </c>
      <c r="B2095" s="1202">
        <f t="shared" ca="1" si="303"/>
        <v>0</v>
      </c>
      <c r="C2095" s="1203">
        <f ca="1">IF(ISERROR(VLOOKUP($A$1947,INDIRECT("notes_"&amp;LEFT($A$1947,3)),4,0)),0,VLOOKUP($A$1947,INDIRECT("notes_"&amp;LEFT($A$1947,3)),4,0))</f>
        <v>0</v>
      </c>
      <c r="H2095" s="1201">
        <f t="shared" si="307"/>
        <v>2</v>
      </c>
      <c r="I2095" s="1201">
        <v>0</v>
      </c>
      <c r="J2095" s="1201" t="str">
        <f t="shared" si="308"/>
        <v>centaxadm</v>
      </c>
      <c r="K2095" s="1201" t="str">
        <f t="shared" si="309"/>
        <v>mss</v>
      </c>
      <c r="L2095" s="599"/>
      <c r="M2095" s="1201" t="s">
        <v>6187</v>
      </c>
      <c r="N2095" s="1201" t="s">
        <v>1251</v>
      </c>
      <c r="O2095" s="1201" t="s">
        <v>1250</v>
      </c>
    </row>
    <row r="2096" spans="1:15" x14ac:dyDescent="0.25">
      <c r="A2096" s="1205" t="s">
        <v>6295</v>
      </c>
      <c r="B2096" s="1202">
        <f t="shared" ca="1" si="303"/>
        <v>0</v>
      </c>
      <c r="C2096" s="1203">
        <f ca="1">IF(ISERROR(VLOOKUP($A$1948,INDIRECT("notes_"&amp;LEFT($A$1948,3)),4,0)),0,VLOOKUP($A$1948,INDIRECT("notes_"&amp;LEFT($A$1948,3)),4,0))</f>
        <v>0</v>
      </c>
      <c r="H2096" s="1201">
        <f t="shared" si="307"/>
        <v>5</v>
      </c>
      <c r="I2096" s="1201">
        <v>0</v>
      </c>
      <c r="J2096" s="1201" t="str">
        <f t="shared" si="308"/>
        <v>centaxoth-non-dms-cll</v>
      </c>
      <c r="K2096" s="1201" t="str">
        <f t="shared" si="309"/>
        <v>mss</v>
      </c>
      <c r="L2096" s="599"/>
      <c r="M2096" s="1201" t="s">
        <v>6187</v>
      </c>
      <c r="N2096" s="1201" t="s">
        <v>1251</v>
      </c>
      <c r="O2096" s="1201" t="s">
        <v>1250</v>
      </c>
    </row>
    <row r="2097" spans="1:15" x14ac:dyDescent="0.25">
      <c r="A2097" s="1205" t="s">
        <v>6296</v>
      </c>
      <c r="B2097" s="1202">
        <f t="shared" ca="1" si="303"/>
        <v>0</v>
      </c>
      <c r="C2097" s="1203">
        <f ca="1">IF(ISERROR(VLOOKUP($A$1949,INDIRECT("notes_"&amp;LEFT($A$1949,3)),4,0)),0,VLOOKUP($A$1949,INDIRECT("notes_"&amp;LEFT($A$1949,3)),4,0))</f>
        <v>0</v>
      </c>
      <c r="H2097" s="1201">
        <f t="shared" si="307"/>
        <v>4</v>
      </c>
      <c r="I2097" s="1201">
        <v>0</v>
      </c>
      <c r="J2097" s="1201" t="str">
        <f t="shared" si="308"/>
        <v>centaxoth-bid-bll</v>
      </c>
      <c r="K2097" s="1201" t="str">
        <f t="shared" si="309"/>
        <v>mss</v>
      </c>
      <c r="L2097" s="599"/>
      <c r="M2097" s="1201" t="s">
        <v>6187</v>
      </c>
      <c r="N2097" s="1201" t="s">
        <v>1251</v>
      </c>
      <c r="O2097" s="1201" t="s">
        <v>1250</v>
      </c>
    </row>
    <row r="2098" spans="1:15" x14ac:dyDescent="0.25">
      <c r="A2098" s="1205" t="s">
        <v>6297</v>
      </c>
      <c r="B2098" s="1202">
        <f t="shared" ca="1" si="303"/>
        <v>0</v>
      </c>
      <c r="C2098" s="1203">
        <f ca="1">IF(ISERROR(VLOOKUP($A$1950,INDIRECT("notes_"&amp;LEFT($A$1950,3)),4,0)),0,VLOOKUP($A$1950,INDIRECT("notes_"&amp;LEFT($A$1950,3)),4,0))</f>
        <v>0</v>
      </c>
      <c r="H2098" s="1201">
        <f t="shared" si="307"/>
        <v>4</v>
      </c>
      <c r="I2098" s="1201">
        <v>0</v>
      </c>
      <c r="J2098" s="1201" t="str">
        <f t="shared" si="308"/>
        <v>cencntbrt-dth-mrr</v>
      </c>
      <c r="K2098" s="1201" t="str">
        <f t="shared" si="309"/>
        <v>mss</v>
      </c>
      <c r="L2098" s="599"/>
      <c r="M2098" s="1201" t="s">
        <v>6187</v>
      </c>
      <c r="N2098" s="1201" t="s">
        <v>1251</v>
      </c>
      <c r="O2098" s="1201" t="s">
        <v>1250</v>
      </c>
    </row>
    <row r="2099" spans="1:15" x14ac:dyDescent="0.25">
      <c r="A2099" s="1205" t="s">
        <v>6298</v>
      </c>
      <c r="B2099" s="1202">
        <f t="shared" ca="1" si="303"/>
        <v>0</v>
      </c>
      <c r="C2099" s="1203">
        <f ca="1">IF(ISERROR(VLOOKUP($A$1951,INDIRECT("notes_"&amp;LEFT($A$1951,3)),4,0)),0,VLOOKUP($A$1951,INDIRECT("notes_"&amp;LEFT($A$1951,3)),4,0))</f>
        <v>0</v>
      </c>
      <c r="H2099" s="1201">
        <f t="shared" si="307"/>
        <v>4</v>
      </c>
      <c r="I2099" s="1201">
        <v>0</v>
      </c>
      <c r="J2099" s="1201" t="str">
        <f t="shared" si="308"/>
        <v>cencnt-rgs-elc</v>
      </c>
      <c r="K2099" s="1201" t="str">
        <f t="shared" si="309"/>
        <v>mss</v>
      </c>
      <c r="L2099" s="599"/>
      <c r="M2099" s="1201" t="s">
        <v>6187</v>
      </c>
      <c r="N2099" s="1201" t="s">
        <v>1251</v>
      </c>
      <c r="O2099" s="1201" t="s">
        <v>1250</v>
      </c>
    </row>
    <row r="2100" spans="1:15" x14ac:dyDescent="0.25">
      <c r="A2100" s="1205" t="s">
        <v>6299</v>
      </c>
      <c r="B2100" s="1202">
        <f t="shared" ca="1" si="303"/>
        <v>0</v>
      </c>
      <c r="C2100" s="1203">
        <f ca="1">IF(ISERROR(VLOOKUP($A$1952,INDIRECT("notes_"&amp;LEFT($A$1952,3)),4,0)),0,VLOOKUP($A$1952,INDIRECT("notes_"&amp;LEFT($A$1952,3)),4,0))</f>
        <v>0</v>
      </c>
      <c r="H2100" s="1201">
        <f t="shared" si="307"/>
        <v>4</v>
      </c>
      <c r="I2100" s="1201">
        <v>0</v>
      </c>
      <c r="J2100" s="1201" t="str">
        <f t="shared" si="308"/>
        <v>cencnt-cnd-elc</v>
      </c>
      <c r="K2100" s="1201" t="str">
        <f t="shared" si="309"/>
        <v>mss</v>
      </c>
      <c r="L2100" s="599"/>
      <c r="M2100" s="1201" t="s">
        <v>6187</v>
      </c>
      <c r="N2100" s="1201" t="s">
        <v>1251</v>
      </c>
      <c r="O2100" s="1201" t="s">
        <v>1250</v>
      </c>
    </row>
    <row r="2101" spans="1:15" x14ac:dyDescent="0.25">
      <c r="A2101" s="1205" t="s">
        <v>6300</v>
      </c>
      <c r="B2101" s="1202">
        <f t="shared" ca="1" si="303"/>
        <v>0</v>
      </c>
      <c r="C2101" s="1203">
        <f ca="1">IF(ISERROR(VLOOKUP($A$1953,INDIRECT("notes_"&amp;LEFT($A$1953,3)),4,0)),0,VLOOKUP($A$1953,INDIRECT("notes_"&amp;LEFT($A$1953,3)),4,0))</f>
        <v>0</v>
      </c>
      <c r="H2101" s="1201">
        <f t="shared" si="307"/>
        <v>2</v>
      </c>
      <c r="I2101" s="1201">
        <v>0</v>
      </c>
      <c r="J2101" s="1201" t="str">
        <f t="shared" si="308"/>
        <v>cenemr</v>
      </c>
      <c r="K2101" s="1201" t="str">
        <f t="shared" si="309"/>
        <v>mss</v>
      </c>
      <c r="L2101" s="599"/>
      <c r="M2101" s="1201" t="s">
        <v>6187</v>
      </c>
      <c r="N2101" s="1201" t="s">
        <v>1251</v>
      </c>
      <c r="O2101" s="1201" t="s">
        <v>1250</v>
      </c>
    </row>
    <row r="2102" spans="1:15" x14ac:dyDescent="0.25">
      <c r="A2102" s="1205" t="s">
        <v>6301</v>
      </c>
      <c r="B2102" s="1202">
        <f t="shared" ca="1" si="303"/>
        <v>0</v>
      </c>
      <c r="C2102" s="1203">
        <f ca="1">IF(ISERROR(VLOOKUP($A$1954,INDIRECT("notes_"&amp;LEFT($A$1954,3)),4,0)),0,VLOOKUP($A$1954,INDIRECT("notes_"&amp;LEFT($A$1954,3)),4,0))</f>
        <v>0</v>
      </c>
      <c r="H2102" s="1201">
        <f t="shared" si="307"/>
        <v>5</v>
      </c>
      <c r="I2102" s="1201">
        <v>0</v>
      </c>
      <c r="J2102" s="1201" t="str">
        <f t="shared" si="308"/>
        <v>cencnt-lcl-lnd-chr</v>
      </c>
      <c r="K2102" s="1201" t="str">
        <f t="shared" si="309"/>
        <v>mss</v>
      </c>
      <c r="L2102" s="599"/>
      <c r="M2102" s="1201" t="s">
        <v>6187</v>
      </c>
      <c r="N2102" s="1201" t="s">
        <v>1251</v>
      </c>
      <c r="O2102" s="1201" t="s">
        <v>1250</v>
      </c>
    </row>
    <row r="2103" spans="1:15" x14ac:dyDescent="0.25">
      <c r="A2103" s="1205" t="s">
        <v>6302</v>
      </c>
      <c r="B2103" s="1202">
        <f t="shared" ca="1" si="303"/>
        <v>0</v>
      </c>
      <c r="C2103" s="1203">
        <f ca="1">IF(ISERROR(VLOOKUP($A$1955,INDIRECT("notes_"&amp;LEFT($A$1955,3)),4,0)),0,VLOOKUP($A$1955,INDIRECT("notes_"&amp;LEFT($A$1955,3)),4,0))</f>
        <v>0</v>
      </c>
      <c r="H2103" s="1201">
        <f t="shared" si="307"/>
        <v>4</v>
      </c>
      <c r="I2103" s="1201">
        <v>0</v>
      </c>
      <c r="J2103" s="1201" t="str">
        <f t="shared" si="308"/>
        <v>cencnt-lcl-wlf</v>
      </c>
      <c r="K2103" s="1201" t="str">
        <f t="shared" si="309"/>
        <v>mss</v>
      </c>
      <c r="L2103" s="599"/>
      <c r="M2103" s="1201" t="s">
        <v>6187</v>
      </c>
      <c r="N2103" s="1201" t="s">
        <v>1251</v>
      </c>
      <c r="O2103" s="1201" t="s">
        <v>1250</v>
      </c>
    </row>
    <row r="2104" spans="1:15" x14ac:dyDescent="0.25">
      <c r="A2104" s="1205" t="s">
        <v>6303</v>
      </c>
      <c r="B2104" s="1202">
        <f t="shared" ca="1" si="303"/>
        <v>0</v>
      </c>
      <c r="C2104" s="1203">
        <f ca="1">IF(ISERROR(VLOOKUP($A$1956,INDIRECT("notes_"&amp;LEFT($A$1956,3)),4,0)),0,VLOOKUP($A$1956,INDIRECT("notes_"&amp;LEFT($A$1956,3)),4,0))</f>
        <v>0</v>
      </c>
      <c r="H2104" s="1201">
        <f t="shared" si="307"/>
        <v>5</v>
      </c>
      <c r="I2104" s="1201">
        <v>0</v>
      </c>
      <c r="J2104" s="1201" t="str">
        <f t="shared" si="308"/>
        <v>cencnt-gnr-bqs-dnt</v>
      </c>
      <c r="K2104" s="1201" t="str">
        <f t="shared" si="309"/>
        <v>mss</v>
      </c>
      <c r="L2104" s="599"/>
      <c r="M2104" s="1201" t="s">
        <v>6187</v>
      </c>
      <c r="N2104" s="1201" t="s">
        <v>1251</v>
      </c>
      <c r="O2104" s="1201" t="s">
        <v>1250</v>
      </c>
    </row>
    <row r="2105" spans="1:15" x14ac:dyDescent="0.25">
      <c r="A2105" s="1205" t="s">
        <v>6304</v>
      </c>
      <c r="B2105" s="1202">
        <f t="shared" ca="1" si="303"/>
        <v>0</v>
      </c>
      <c r="C2105" s="1203">
        <f ca="1">IF(ISERROR(VLOOKUP($A$1957,INDIRECT("notes_"&amp;LEFT($A$1957,3)),4,0)),0,VLOOKUP($A$1957,INDIRECT("notes_"&amp;LEFT($A$1957,3)),4,0))</f>
        <v>0</v>
      </c>
      <c r="H2105" s="1201">
        <f t="shared" si="307"/>
        <v>2</v>
      </c>
      <c r="I2105" s="1201">
        <v>0</v>
      </c>
      <c r="J2105" s="1201" t="str">
        <f t="shared" si="308"/>
        <v>cencrn</v>
      </c>
      <c r="K2105" s="1201" t="str">
        <f t="shared" si="309"/>
        <v>mss</v>
      </c>
      <c r="L2105" s="599"/>
      <c r="M2105" s="1201" t="s">
        <v>6187</v>
      </c>
      <c r="N2105" s="1201" t="s">
        <v>1251</v>
      </c>
      <c r="O2105" s="1201" t="s">
        <v>1250</v>
      </c>
    </row>
    <row r="2106" spans="1:15" x14ac:dyDescent="0.25">
      <c r="A2106" s="1205" t="s">
        <v>6305</v>
      </c>
      <c r="B2106" s="1202">
        <f t="shared" ca="1" si="303"/>
        <v>0</v>
      </c>
      <c r="C2106" s="1203">
        <f ca="1">IF(ISERROR(VLOOKUP($A$1958,INDIRECT("notes_"&amp;LEFT($A$1958,3)),4,0)),0,VLOOKUP($A$1958,INDIRECT("notes_"&amp;LEFT($A$1958,3)),4,0))</f>
        <v>0</v>
      </c>
      <c r="H2106" s="1201">
        <f t="shared" si="307"/>
        <v>2</v>
      </c>
      <c r="I2106" s="1201">
        <v>0</v>
      </c>
      <c r="J2106" s="1201" t="str">
        <f t="shared" si="308"/>
        <v>cencrtoth</v>
      </c>
      <c r="K2106" s="1201" t="str">
        <f t="shared" si="309"/>
        <v>mss</v>
      </c>
      <c r="L2106" s="599"/>
      <c r="M2106" s="1201" t="s">
        <v>6187</v>
      </c>
      <c r="N2106" s="1201" t="s">
        <v>1251</v>
      </c>
      <c r="O2106" s="1201" t="s">
        <v>1250</v>
      </c>
    </row>
    <row r="2107" spans="1:15" x14ac:dyDescent="0.25">
      <c r="A2107" s="1205" t="s">
        <v>6306</v>
      </c>
      <c r="B2107" s="1202">
        <f t="shared" ca="1" si="303"/>
        <v>0</v>
      </c>
      <c r="C2107" s="1203">
        <f ca="1">IF(ISERROR(VLOOKUP($A$1959,INDIRECT("notes_"&amp;LEFT($A$1959,3)),4,0)),0,VLOOKUP($A$1959,INDIRECT("notes_"&amp;LEFT($A$1959,3)),4,0))</f>
        <v>0</v>
      </c>
      <c r="H2107" s="1201">
        <f t="shared" si="307"/>
        <v>2</v>
      </c>
      <c r="I2107" s="1201">
        <v>0</v>
      </c>
      <c r="J2107" s="1201" t="str">
        <f t="shared" si="308"/>
        <v>cenndcrtr</v>
      </c>
      <c r="K2107" s="1201" t="str">
        <f t="shared" si="309"/>
        <v>mss</v>
      </c>
      <c r="L2107" s="599"/>
      <c r="M2107" s="1201" t="s">
        <v>6187</v>
      </c>
      <c r="N2107" s="1201" t="s">
        <v>1251</v>
      </c>
      <c r="O2107" s="1201" t="s">
        <v>1250</v>
      </c>
    </row>
    <row r="2108" spans="1:15" x14ac:dyDescent="0.25">
      <c r="A2108" s="1205" t="s">
        <v>6307</v>
      </c>
      <c r="B2108" s="1202">
        <f t="shared" ca="1" si="303"/>
        <v>0</v>
      </c>
      <c r="C2108" s="1203">
        <f ca="1">IF(ISERROR(VLOOKUP($A$1960,INDIRECT("notes_"&amp;LEFT($A$1960,3)),4,0)),0,VLOOKUP($A$1960,INDIRECT("notes_"&amp;LEFT($A$1960,3)),4,0))</f>
        <v>0</v>
      </c>
      <c r="H2108" s="1201">
        <f t="shared" si="307"/>
        <v>2</v>
      </c>
      <c r="I2108" s="1201">
        <v>0</v>
      </c>
      <c r="J2108" s="1201" t="str">
        <f t="shared" si="308"/>
        <v>cenndcit</v>
      </c>
      <c r="K2108" s="1201" t="str">
        <f t="shared" si="309"/>
        <v>mss</v>
      </c>
      <c r="L2108" s="599"/>
      <c r="M2108" s="1201" t="s">
        <v>6187</v>
      </c>
      <c r="N2108" s="1201" t="s">
        <v>1251</v>
      </c>
      <c r="O2108" s="1201" t="s">
        <v>1250</v>
      </c>
    </row>
    <row r="2109" spans="1:15" x14ac:dyDescent="0.25">
      <c r="A2109" s="1205" t="s">
        <v>6308</v>
      </c>
      <c r="B2109" s="1202">
        <f t="shared" ca="1" si="303"/>
        <v>0</v>
      </c>
      <c r="C2109" s="1203">
        <f ca="1">IF(ISERROR(VLOOKUP($A$1961,INDIRECT("notes_"&amp;LEFT($A$1961,3)),4,0)),0,VLOOKUP($A$1961,INDIRECT("notes_"&amp;LEFT($A$1961,3)),4,0))</f>
        <v>0</v>
      </c>
      <c r="H2109" s="1201">
        <f t="shared" si="307"/>
        <v>2</v>
      </c>
      <c r="I2109" s="1201">
        <v>0</v>
      </c>
      <c r="J2109" s="1201" t="str">
        <f t="shared" si="308"/>
        <v>cenndcsrp</v>
      </c>
      <c r="K2109" s="1201" t="str">
        <f t="shared" si="309"/>
        <v>mss</v>
      </c>
      <c r="L2109" s="599"/>
      <c r="M2109" s="1201" t="s">
        <v>6187</v>
      </c>
      <c r="N2109" s="1201" t="s">
        <v>1251</v>
      </c>
      <c r="O2109" s="1201" t="s">
        <v>1250</v>
      </c>
    </row>
    <row r="2110" spans="1:15" x14ac:dyDescent="0.25">
      <c r="A2110" s="1205" t="s">
        <v>6309</v>
      </c>
      <c r="B2110" s="1202">
        <f t="shared" ca="1" si="303"/>
        <v>0</v>
      </c>
      <c r="C2110" s="1203">
        <f ca="1">IF(ISERROR(VLOOKUP($A$1963,INDIRECT("notes_"&amp;LEFT($A$1963,3)),4,0)),0,VLOOKUP($A$1963,INDIRECT("notes_"&amp;LEFT($A$1963,3)),4,0))</f>
        <v>0</v>
      </c>
      <c r="H2110" s="1201">
        <f t="shared" si="307"/>
        <v>2</v>
      </c>
      <c r="I2110" s="1201">
        <v>0</v>
      </c>
      <c r="J2110" s="1201" t="str">
        <f t="shared" si="308"/>
        <v>centot</v>
      </c>
      <c r="K2110" s="1201" t="str">
        <f t="shared" si="309"/>
        <v>mss</v>
      </c>
      <c r="L2110" s="599"/>
      <c r="M2110" s="1201" t="s">
        <v>6187</v>
      </c>
      <c r="N2110" s="1201" t="s">
        <v>1251</v>
      </c>
      <c r="O2110" s="1201" t="s">
        <v>1250</v>
      </c>
    </row>
    <row r="2111" spans="1:15" x14ac:dyDescent="0.25">
      <c r="A2111" s="471" t="s">
        <v>6310</v>
      </c>
      <c r="B2111" s="1139">
        <f t="shared" ca="1" si="303"/>
        <v>0</v>
      </c>
      <c r="C2111" s="473">
        <f ca="1">IF(ISERROR(VLOOKUP($A$1938,INDIRECT("notes_"&amp;LEFT($A$1938,3)),4,0)),0,VLOOKUP($A$1938,INDIRECT("notes_"&amp;LEFT($A$1938,3)),4,0))</f>
        <v>0</v>
      </c>
      <c r="H2111" s="471">
        <f t="shared" si="307"/>
        <v>2</v>
      </c>
      <c r="I2111" s="471">
        <v>0</v>
      </c>
      <c r="J2111" s="471" t="str">
        <f t="shared" si="308"/>
        <v>poltot</v>
      </c>
      <c r="K2111" s="471" t="str">
        <f t="shared" si="309"/>
        <v>sfc</v>
      </c>
      <c r="L2111" s="599"/>
      <c r="M2111" s="471" t="s">
        <v>6187</v>
      </c>
      <c r="N2111" s="471" t="s">
        <v>1251</v>
      </c>
      <c r="O2111" s="471" t="s">
        <v>1250</v>
      </c>
    </row>
    <row r="2112" spans="1:15" x14ac:dyDescent="0.25">
      <c r="A2112" s="471" t="s">
        <v>6311</v>
      </c>
      <c r="B2112" s="1139">
        <f t="shared" ca="1" si="303"/>
        <v>0</v>
      </c>
      <c r="C2112" s="473">
        <f ca="1">IF(ISERROR(VLOOKUP($A$1939,INDIRECT("notes_"&amp;LEFT($A$1939,3)),4,0)),0,VLOOKUP($A$1939,INDIRECT("notes_"&amp;LEFT($A$1939,3)),4,0))</f>
        <v>0</v>
      </c>
      <c r="H2112" s="471">
        <f t="shared" si="307"/>
        <v>4</v>
      </c>
      <c r="I2112" s="471">
        <v>0</v>
      </c>
      <c r="J2112" s="471" t="str">
        <f t="shared" si="308"/>
        <v>frs-cmm-fs</v>
      </c>
      <c r="K2112" s="471" t="str">
        <f t="shared" si="309"/>
        <v>sfc</v>
      </c>
      <c r="L2112" s="599"/>
      <c r="M2112" s="471" t="s">
        <v>6187</v>
      </c>
      <c r="N2112" s="471" t="s">
        <v>1251</v>
      </c>
      <c r="O2112" s="471" t="s">
        <v>1250</v>
      </c>
    </row>
    <row r="2113" spans="1:15" x14ac:dyDescent="0.25">
      <c r="A2113" s="471" t="s">
        <v>6312</v>
      </c>
      <c r="B2113" s="1139">
        <f t="shared" ca="1" si="303"/>
        <v>0</v>
      </c>
      <c r="C2113" s="473">
        <f ca="1">IF(ISERROR(VLOOKUP($A$1940,INDIRECT("notes_"&amp;LEFT($A$1940,3)),4,0)),0,VLOOKUP($A$1940,INDIRECT("notes_"&amp;LEFT($A$1940,3)),4,0))</f>
        <v>0</v>
      </c>
      <c r="H2113" s="471">
        <f t="shared" ref="H2113:H2132" si="310">LEN(A2113)-LEN(SUBSTITUTE(A2113,"-",""))-I2113</f>
        <v>4</v>
      </c>
      <c r="I2113" s="471">
        <v>0</v>
      </c>
      <c r="J2113" s="471" t="str">
        <f t="shared" ref="J2113:J2132" si="311">MID($A2113,SEARCH("-",$A2113)+1,SEARCH("#",SUBSTITUTE($A2113,"-","#",H2113),1)-(SEARCH("-",$A2113)+1))</f>
        <v>frs-ffr-opr</v>
      </c>
      <c r="K2113" s="471" t="str">
        <f t="shared" ref="K2113:K2132" si="312">RIGHT($A2113,LEN($A2113)-SEARCH("#",SUBSTITUTE($A2113,"-","#",H2113),1))</f>
        <v>sfc</v>
      </c>
      <c r="L2113" s="599"/>
      <c r="M2113" s="471" t="s">
        <v>6187</v>
      </c>
      <c r="N2113" s="471" t="s">
        <v>1251</v>
      </c>
      <c r="O2113" s="471" t="s">
        <v>1250</v>
      </c>
    </row>
    <row r="2114" spans="1:15" x14ac:dyDescent="0.25">
      <c r="A2114" s="471" t="s">
        <v>6313</v>
      </c>
      <c r="B2114" s="1139">
        <f t="shared" ca="1" si="303"/>
        <v>0</v>
      </c>
      <c r="C2114" s="473">
        <f ca="1">IF(ISERROR(VLOOKUP($A$1941,INDIRECT("notes_"&amp;LEFT($A$1941,3)),4,0)),0,VLOOKUP($A$1941,INDIRECT("notes_"&amp;LEFT($A$1941,3)),4,0))</f>
        <v>0</v>
      </c>
      <c r="H2114" s="471">
        <f t="shared" si="310"/>
        <v>5</v>
      </c>
      <c r="I2114" s="471">
        <v>0</v>
      </c>
      <c r="J2114" s="471" t="str">
        <f t="shared" si="311"/>
        <v>frs-frs-emr-pln</v>
      </c>
      <c r="K2114" s="471" t="str">
        <f t="shared" si="312"/>
        <v>sfc</v>
      </c>
      <c r="L2114" s="599"/>
      <c r="M2114" s="471" t="s">
        <v>6187</v>
      </c>
      <c r="N2114" s="471" t="s">
        <v>1251</v>
      </c>
      <c r="O2114" s="471" t="s">
        <v>1250</v>
      </c>
    </row>
    <row r="2115" spans="1:15" x14ac:dyDescent="0.25">
      <c r="A2115" s="471" t="s">
        <v>6314</v>
      </c>
      <c r="B2115" s="1139">
        <f t="shared" ca="1" si="303"/>
        <v>0</v>
      </c>
      <c r="C2115" s="473">
        <f ca="1">IF(ISERROR(VLOOKUP($A$1942,INDIRECT("notes_"&amp;LEFT($A$1942,3)),4,0)),0,VLOOKUP($A$1942,INDIRECT("notes_"&amp;LEFT($A$1942,3)),4,0))</f>
        <v>0</v>
      </c>
      <c r="H2115" s="471">
        <f t="shared" si="310"/>
        <v>2</v>
      </c>
      <c r="I2115" s="471">
        <v>0</v>
      </c>
      <c r="J2115" s="471" t="str">
        <f t="shared" si="311"/>
        <v>frstot</v>
      </c>
      <c r="K2115" s="471" t="str">
        <f t="shared" si="312"/>
        <v>sfc</v>
      </c>
      <c r="L2115" s="599"/>
      <c r="M2115" s="471" t="s">
        <v>6187</v>
      </c>
      <c r="N2115" s="471" t="s">
        <v>1251</v>
      </c>
      <c r="O2115" s="471" t="s">
        <v>1250</v>
      </c>
    </row>
    <row r="2116" spans="1:15" x14ac:dyDescent="0.25">
      <c r="A2116" s="471" t="s">
        <v>6315</v>
      </c>
      <c r="B2116" s="1139">
        <f t="shared" ca="1" si="303"/>
        <v>0</v>
      </c>
      <c r="C2116" s="473">
        <f ca="1">IF(ISERROR(VLOOKUP($A$1943,INDIRECT("notes_"&amp;LEFT($A$1943,3)),4,0)),0,VLOOKUP($A$1943,INDIRECT("notes_"&amp;LEFT($A$1943,3)),4,0))</f>
        <v>0</v>
      </c>
      <c r="H2116" s="471">
        <f t="shared" si="310"/>
        <v>2</v>
      </c>
      <c r="I2116" s="471">
        <v>0</v>
      </c>
      <c r="J2116" s="471" t="str">
        <f t="shared" si="311"/>
        <v>cencrp</v>
      </c>
      <c r="K2116" s="471" t="str">
        <f t="shared" si="312"/>
        <v>sfc</v>
      </c>
      <c r="L2116" s="599"/>
      <c r="M2116" s="471" t="s">
        <v>6187</v>
      </c>
      <c r="N2116" s="471" t="s">
        <v>1251</v>
      </c>
      <c r="O2116" s="471" t="s">
        <v>1250</v>
      </c>
    </row>
    <row r="2117" spans="1:15" x14ac:dyDescent="0.25">
      <c r="A2117" s="471" t="s">
        <v>6316</v>
      </c>
      <c r="B2117" s="1139">
        <f t="shared" ca="1" si="303"/>
        <v>0</v>
      </c>
      <c r="C2117" s="473">
        <f ca="1">IF(ISERROR(VLOOKUP($A$1944,INDIRECT("notes_"&amp;LEFT($A$1944,3)),4,0)),0,VLOOKUP($A$1944,INDIRECT("notes_"&amp;LEFT($A$1944,3)),4,0))</f>
        <v>0</v>
      </c>
      <c r="H2117" s="471">
        <f t="shared" si="310"/>
        <v>3</v>
      </c>
      <c r="I2117" s="471">
        <v>0</v>
      </c>
      <c r="J2117" s="471" t="str">
        <f t="shared" si="311"/>
        <v>centax-cll</v>
      </c>
      <c r="K2117" s="471" t="str">
        <f t="shared" si="312"/>
        <v>sfc</v>
      </c>
      <c r="L2117" s="599"/>
      <c r="M2117" s="471" t="s">
        <v>6187</v>
      </c>
      <c r="N2117" s="471" t="s">
        <v>1251</v>
      </c>
      <c r="O2117" s="471" t="s">
        <v>1250</v>
      </c>
    </row>
    <row r="2118" spans="1:15" x14ac:dyDescent="0.25">
      <c r="A2118" s="471" t="s">
        <v>6317</v>
      </c>
      <c r="B2118" s="1139">
        <f t="shared" ca="1" si="303"/>
        <v>0</v>
      </c>
      <c r="C2118" s="473">
        <f ca="1">IF(ISERROR(VLOOKUP($A$1945,INDIRECT("notes_"&amp;LEFT($A$1945,3)),4,0)),0,VLOOKUP($A$1945,INDIRECT("notes_"&amp;LEFT($A$1945,3)),4,0))</f>
        <v>0</v>
      </c>
      <c r="H2118" s="471">
        <f t="shared" si="310"/>
        <v>4</v>
      </c>
      <c r="I2118" s="471">
        <v>0</v>
      </c>
      <c r="J2118" s="471" t="str">
        <f t="shared" si="311"/>
        <v>centaxdsc-prm-pym</v>
      </c>
      <c r="K2118" s="471" t="str">
        <f t="shared" si="312"/>
        <v>sfc</v>
      </c>
      <c r="L2118" s="599"/>
      <c r="M2118" s="471" t="s">
        <v>6187</v>
      </c>
      <c r="N2118" s="471" t="s">
        <v>1251</v>
      </c>
      <c r="O2118" s="471" t="s">
        <v>1250</v>
      </c>
    </row>
    <row r="2119" spans="1:15" x14ac:dyDescent="0.25">
      <c r="A2119" s="471" t="s">
        <v>6318</v>
      </c>
      <c r="B2119" s="1139">
        <f t="shared" ref="B2119:B2184" ca="1" si="313">INDEX(INDIRECT(LEFT($A2119,SEARCH("-",$A2119,1)-1)&amp;"_data"),MATCH(MID($A2119,SEARCH("-",$A2119)+1,SEARCH("#",SUBSTITUTE($A2119,"-","#",H2119),1)-(SEARCH("-",$A2119)+1)),INDIRECT(LEFT($A2119,SEARCH("-",$A2119,1)-1)&amp;"_rows"),0),MATCH(RIGHT($A2119,LEN($A2119)-SEARCH("#",SUBSTITUTE($A2119,"-","#",H2119),1)),INDIRECT(LEFT($A2119,SEARCH("-",$A2119,1)-1)&amp;"_Header"),0))</f>
        <v>0</v>
      </c>
      <c r="C2119" s="473">
        <f ca="1">IF(ISERROR(VLOOKUP($A$1946,INDIRECT("notes_"&amp;LEFT($A$1946,3)),4,0)),0,VLOOKUP($A$1946,INDIRECT("notes_"&amp;LEFT($A$1946,3)),4,0))</f>
        <v>0</v>
      </c>
      <c r="H2119" s="471">
        <f t="shared" si="310"/>
        <v>2</v>
      </c>
      <c r="I2119" s="471">
        <v>0</v>
      </c>
      <c r="J2119" s="471" t="str">
        <f t="shared" si="311"/>
        <v>centaxdsc</v>
      </c>
      <c r="K2119" s="471" t="str">
        <f t="shared" si="312"/>
        <v>sfc</v>
      </c>
      <c r="L2119" s="599"/>
      <c r="M2119" s="471" t="s">
        <v>6187</v>
      </c>
      <c r="N2119" s="471" t="s">
        <v>1251</v>
      </c>
      <c r="O2119" s="471" t="s">
        <v>1250</v>
      </c>
    </row>
    <row r="2120" spans="1:15" x14ac:dyDescent="0.25">
      <c r="A2120" s="471" t="s">
        <v>6319</v>
      </c>
      <c r="B2120" s="1139">
        <f t="shared" ca="1" si="313"/>
        <v>0</v>
      </c>
      <c r="C2120" s="473">
        <f ca="1">IF(ISERROR(VLOOKUP($A$1947,INDIRECT("notes_"&amp;LEFT($A$1947,3)),4,0)),0,VLOOKUP($A$1947,INDIRECT("notes_"&amp;LEFT($A$1947,3)),4,0))</f>
        <v>0</v>
      </c>
      <c r="H2120" s="471">
        <f t="shared" si="310"/>
        <v>2</v>
      </c>
      <c r="I2120" s="471">
        <v>0</v>
      </c>
      <c r="J2120" s="471" t="str">
        <f t="shared" si="311"/>
        <v>centaxadm</v>
      </c>
      <c r="K2120" s="471" t="str">
        <f t="shared" si="312"/>
        <v>sfc</v>
      </c>
      <c r="L2120" s="599"/>
      <c r="M2120" s="471" t="s">
        <v>6187</v>
      </c>
      <c r="N2120" s="471" t="s">
        <v>1251</v>
      </c>
      <c r="O2120" s="471" t="s">
        <v>1250</v>
      </c>
    </row>
    <row r="2121" spans="1:15" x14ac:dyDescent="0.25">
      <c r="A2121" s="471" t="s">
        <v>6320</v>
      </c>
      <c r="B2121" s="1139">
        <f t="shared" ca="1" si="313"/>
        <v>0</v>
      </c>
      <c r="C2121" s="473">
        <f ca="1">IF(ISERROR(VLOOKUP($A$1948,INDIRECT("notes_"&amp;LEFT($A$1948,3)),4,0)),0,VLOOKUP($A$1948,INDIRECT("notes_"&amp;LEFT($A$1948,3)),4,0))</f>
        <v>0</v>
      </c>
      <c r="H2121" s="471">
        <f t="shared" si="310"/>
        <v>5</v>
      </c>
      <c r="I2121" s="471">
        <v>0</v>
      </c>
      <c r="J2121" s="471" t="str">
        <f t="shared" si="311"/>
        <v>centaxoth-non-dms-cll</v>
      </c>
      <c r="K2121" s="471" t="str">
        <f t="shared" si="312"/>
        <v>sfc</v>
      </c>
      <c r="L2121" s="599"/>
      <c r="M2121" s="471" t="s">
        <v>6187</v>
      </c>
      <c r="N2121" s="471" t="s">
        <v>1251</v>
      </c>
      <c r="O2121" s="471" t="s">
        <v>1250</v>
      </c>
    </row>
    <row r="2122" spans="1:15" x14ac:dyDescent="0.25">
      <c r="A2122" s="471" t="s">
        <v>6321</v>
      </c>
      <c r="B2122" s="1139">
        <f t="shared" ca="1" si="313"/>
        <v>0</v>
      </c>
      <c r="C2122" s="473">
        <f ca="1">IF(ISERROR(VLOOKUP($A$1949,INDIRECT("notes_"&amp;LEFT($A$1949,3)),4,0)),0,VLOOKUP($A$1949,INDIRECT("notes_"&amp;LEFT($A$1949,3)),4,0))</f>
        <v>0</v>
      </c>
      <c r="H2122" s="471">
        <f t="shared" si="310"/>
        <v>4</v>
      </c>
      <c r="I2122" s="471">
        <v>0</v>
      </c>
      <c r="J2122" s="471" t="str">
        <f t="shared" si="311"/>
        <v>centaxoth-bid-bll</v>
      </c>
      <c r="K2122" s="471" t="str">
        <f t="shared" si="312"/>
        <v>sfc</v>
      </c>
      <c r="L2122" s="599"/>
      <c r="M2122" s="471" t="s">
        <v>6187</v>
      </c>
      <c r="N2122" s="471" t="s">
        <v>1251</v>
      </c>
      <c r="O2122" s="471" t="s">
        <v>1250</v>
      </c>
    </row>
    <row r="2123" spans="1:15" x14ac:dyDescent="0.25">
      <c r="A2123" s="471" t="s">
        <v>6322</v>
      </c>
      <c r="B2123" s="1139">
        <f t="shared" ca="1" si="313"/>
        <v>0</v>
      </c>
      <c r="C2123" s="473">
        <f ca="1">IF(ISERROR(VLOOKUP($A$1950,INDIRECT("notes_"&amp;LEFT($A$1950,3)),4,0)),0,VLOOKUP($A$1950,INDIRECT("notes_"&amp;LEFT($A$1950,3)),4,0))</f>
        <v>0</v>
      </c>
      <c r="H2123" s="471">
        <f t="shared" si="310"/>
        <v>4</v>
      </c>
      <c r="I2123" s="471">
        <v>0</v>
      </c>
      <c r="J2123" s="471" t="str">
        <f t="shared" si="311"/>
        <v>cencntbrt-dth-mrr</v>
      </c>
      <c r="K2123" s="471" t="str">
        <f t="shared" si="312"/>
        <v>sfc</v>
      </c>
      <c r="L2123" s="599"/>
      <c r="M2123" s="471" t="s">
        <v>6187</v>
      </c>
      <c r="N2123" s="471" t="s">
        <v>1251</v>
      </c>
      <c r="O2123" s="471" t="s">
        <v>1250</v>
      </c>
    </row>
    <row r="2124" spans="1:15" x14ac:dyDescent="0.25">
      <c r="A2124" s="471" t="s">
        <v>6323</v>
      </c>
      <c r="B2124" s="1139">
        <f t="shared" ca="1" si="313"/>
        <v>0</v>
      </c>
      <c r="C2124" s="473">
        <f ca="1">IF(ISERROR(VLOOKUP($A$1951,INDIRECT("notes_"&amp;LEFT($A$1951,3)),4,0)),0,VLOOKUP($A$1951,INDIRECT("notes_"&amp;LEFT($A$1951,3)),4,0))</f>
        <v>0</v>
      </c>
      <c r="H2124" s="471">
        <f t="shared" si="310"/>
        <v>4</v>
      </c>
      <c r="I2124" s="471">
        <v>0</v>
      </c>
      <c r="J2124" s="471" t="str">
        <f t="shared" si="311"/>
        <v>cencnt-rgs-elc</v>
      </c>
      <c r="K2124" s="471" t="str">
        <f t="shared" si="312"/>
        <v>sfc</v>
      </c>
      <c r="L2124" s="599"/>
      <c r="M2124" s="471" t="s">
        <v>6187</v>
      </c>
      <c r="N2124" s="471" t="s">
        <v>1251</v>
      </c>
      <c r="O2124" s="471" t="s">
        <v>1250</v>
      </c>
    </row>
    <row r="2125" spans="1:15" x14ac:dyDescent="0.25">
      <c r="A2125" s="471" t="s">
        <v>6324</v>
      </c>
      <c r="B2125" s="1139">
        <f t="shared" ca="1" si="313"/>
        <v>0</v>
      </c>
      <c r="C2125" s="473">
        <f ca="1">IF(ISERROR(VLOOKUP($A$1952,INDIRECT("notes_"&amp;LEFT($A$1952,3)),4,0)),0,VLOOKUP($A$1952,INDIRECT("notes_"&amp;LEFT($A$1952,3)),4,0))</f>
        <v>0</v>
      </c>
      <c r="H2125" s="471">
        <f t="shared" si="310"/>
        <v>4</v>
      </c>
      <c r="I2125" s="471">
        <v>0</v>
      </c>
      <c r="J2125" s="471" t="str">
        <f t="shared" si="311"/>
        <v>cencnt-cnd-elc</v>
      </c>
      <c r="K2125" s="471" t="str">
        <f t="shared" si="312"/>
        <v>sfc</v>
      </c>
      <c r="L2125" s="599"/>
      <c r="M2125" s="471" t="s">
        <v>6187</v>
      </c>
      <c r="N2125" s="471" t="s">
        <v>1251</v>
      </c>
      <c r="O2125" s="471" t="s">
        <v>1250</v>
      </c>
    </row>
    <row r="2126" spans="1:15" x14ac:dyDescent="0.25">
      <c r="A2126" s="471" t="s">
        <v>6325</v>
      </c>
      <c r="B2126" s="1139">
        <f t="shared" ca="1" si="313"/>
        <v>0</v>
      </c>
      <c r="C2126" s="473">
        <f ca="1">IF(ISERROR(VLOOKUP($A$1953,INDIRECT("notes_"&amp;LEFT($A$1953,3)),4,0)),0,VLOOKUP($A$1953,INDIRECT("notes_"&amp;LEFT($A$1953,3)),4,0))</f>
        <v>0</v>
      </c>
      <c r="H2126" s="471">
        <f t="shared" si="310"/>
        <v>2</v>
      </c>
      <c r="I2126" s="471">
        <v>0</v>
      </c>
      <c r="J2126" s="471" t="str">
        <f t="shared" si="311"/>
        <v>cenemr</v>
      </c>
      <c r="K2126" s="471" t="str">
        <f t="shared" si="312"/>
        <v>sfc</v>
      </c>
      <c r="L2126" s="599"/>
      <c r="M2126" s="471" t="s">
        <v>6187</v>
      </c>
      <c r="N2126" s="471" t="s">
        <v>1251</v>
      </c>
      <c r="O2126" s="471" t="s">
        <v>1250</v>
      </c>
    </row>
    <row r="2127" spans="1:15" x14ac:dyDescent="0.25">
      <c r="A2127" s="471" t="s">
        <v>6326</v>
      </c>
      <c r="B2127" s="1139">
        <f t="shared" ca="1" si="313"/>
        <v>0</v>
      </c>
      <c r="C2127" s="473">
        <f ca="1">IF(ISERROR(VLOOKUP($A$1954,INDIRECT("notes_"&amp;LEFT($A$1954,3)),4,0)),0,VLOOKUP($A$1954,INDIRECT("notes_"&amp;LEFT($A$1954,3)),4,0))</f>
        <v>0</v>
      </c>
      <c r="H2127" s="471">
        <f t="shared" si="310"/>
        <v>5</v>
      </c>
      <c r="I2127" s="471">
        <v>0</v>
      </c>
      <c r="J2127" s="471" t="str">
        <f t="shared" si="311"/>
        <v>cencnt-lcl-lnd-chr</v>
      </c>
      <c r="K2127" s="471" t="str">
        <f t="shared" si="312"/>
        <v>sfc</v>
      </c>
      <c r="L2127" s="599"/>
      <c r="M2127" s="471" t="s">
        <v>6187</v>
      </c>
      <c r="N2127" s="471" t="s">
        <v>1251</v>
      </c>
      <c r="O2127" s="471" t="s">
        <v>1250</v>
      </c>
    </row>
    <row r="2128" spans="1:15" x14ac:dyDescent="0.25">
      <c r="A2128" s="471" t="s">
        <v>6327</v>
      </c>
      <c r="B2128" s="1139">
        <f t="shared" ca="1" si="313"/>
        <v>0</v>
      </c>
      <c r="C2128" s="473">
        <f ca="1">IF(ISERROR(VLOOKUP($A$1955,INDIRECT("notes_"&amp;LEFT($A$1955,3)),4,0)),0,VLOOKUP($A$1955,INDIRECT("notes_"&amp;LEFT($A$1955,3)),4,0))</f>
        <v>0</v>
      </c>
      <c r="H2128" s="471">
        <f t="shared" si="310"/>
        <v>4</v>
      </c>
      <c r="I2128" s="471">
        <v>0</v>
      </c>
      <c r="J2128" s="471" t="str">
        <f t="shared" si="311"/>
        <v>cencnt-lcl-wlf</v>
      </c>
      <c r="K2128" s="471" t="str">
        <f t="shared" si="312"/>
        <v>sfc</v>
      </c>
      <c r="L2128" s="599"/>
      <c r="M2128" s="471" t="s">
        <v>6187</v>
      </c>
      <c r="N2128" s="471" t="s">
        <v>1251</v>
      </c>
      <c r="O2128" s="471" t="s">
        <v>1250</v>
      </c>
    </row>
    <row r="2129" spans="1:15" x14ac:dyDescent="0.25">
      <c r="A2129" s="471" t="s">
        <v>6328</v>
      </c>
      <c r="B2129" s="1139">
        <f t="shared" ca="1" si="313"/>
        <v>0</v>
      </c>
      <c r="C2129" s="473">
        <f ca="1">IF(ISERROR(VLOOKUP($A$1956,INDIRECT("notes_"&amp;LEFT($A$1956,3)),4,0)),0,VLOOKUP($A$1956,INDIRECT("notes_"&amp;LEFT($A$1956,3)),4,0))</f>
        <v>0</v>
      </c>
      <c r="H2129" s="471">
        <f t="shared" si="310"/>
        <v>5</v>
      </c>
      <c r="I2129" s="471">
        <v>0</v>
      </c>
      <c r="J2129" s="471" t="str">
        <f t="shared" si="311"/>
        <v>cencnt-gnr-bqs-dnt</v>
      </c>
      <c r="K2129" s="471" t="str">
        <f t="shared" si="312"/>
        <v>sfc</v>
      </c>
      <c r="L2129" s="599"/>
      <c r="M2129" s="471" t="s">
        <v>6187</v>
      </c>
      <c r="N2129" s="471" t="s">
        <v>1251</v>
      </c>
      <c r="O2129" s="471" t="s">
        <v>1250</v>
      </c>
    </row>
    <row r="2130" spans="1:15" x14ac:dyDescent="0.25">
      <c r="A2130" s="471" t="s">
        <v>6329</v>
      </c>
      <c r="B2130" s="1139">
        <f t="shared" ca="1" si="313"/>
        <v>0</v>
      </c>
      <c r="C2130" s="473">
        <f ca="1">IF(ISERROR(VLOOKUP($A$1957,INDIRECT("notes_"&amp;LEFT($A$1957,3)),4,0)),0,VLOOKUP($A$1957,INDIRECT("notes_"&amp;LEFT($A$1957,3)),4,0))</f>
        <v>0</v>
      </c>
      <c r="H2130" s="471">
        <f t="shared" si="310"/>
        <v>2</v>
      </c>
      <c r="I2130" s="471">
        <v>0</v>
      </c>
      <c r="J2130" s="471" t="str">
        <f t="shared" si="311"/>
        <v>cencrn</v>
      </c>
      <c r="K2130" s="471" t="str">
        <f t="shared" si="312"/>
        <v>sfc</v>
      </c>
      <c r="L2130" s="599"/>
      <c r="M2130" s="471" t="s">
        <v>6187</v>
      </c>
      <c r="N2130" s="471" t="s">
        <v>1251</v>
      </c>
      <c r="O2130" s="471" t="s">
        <v>1250</v>
      </c>
    </row>
    <row r="2131" spans="1:15" x14ac:dyDescent="0.25">
      <c r="A2131" s="471" t="s">
        <v>6330</v>
      </c>
      <c r="B2131" s="1139">
        <f t="shared" ca="1" si="313"/>
        <v>0</v>
      </c>
      <c r="C2131" s="473">
        <f ca="1">IF(ISERROR(VLOOKUP($A$1958,INDIRECT("notes_"&amp;LEFT($A$1958,3)),4,0)),0,VLOOKUP($A$1958,INDIRECT("notes_"&amp;LEFT($A$1958,3)),4,0))</f>
        <v>0</v>
      </c>
      <c r="H2131" s="471">
        <f t="shared" si="310"/>
        <v>2</v>
      </c>
      <c r="I2131" s="471">
        <v>0</v>
      </c>
      <c r="J2131" s="471" t="str">
        <f t="shared" si="311"/>
        <v>cencrtoth</v>
      </c>
      <c r="K2131" s="471" t="str">
        <f t="shared" si="312"/>
        <v>sfc</v>
      </c>
      <c r="L2131" s="599"/>
      <c r="M2131" s="471" t="s">
        <v>6187</v>
      </c>
      <c r="N2131" s="471" t="s">
        <v>1251</v>
      </c>
      <c r="O2131" s="471" t="s">
        <v>1250</v>
      </c>
    </row>
    <row r="2132" spans="1:15" x14ac:dyDescent="0.25">
      <c r="A2132" s="471" t="s">
        <v>6331</v>
      </c>
      <c r="B2132" s="1139">
        <f t="shared" ca="1" si="313"/>
        <v>0</v>
      </c>
      <c r="C2132" s="473">
        <f ca="1">IF(ISERROR(VLOOKUP($A$1959,INDIRECT("notes_"&amp;LEFT($A$1959,3)),4,0)),0,VLOOKUP($A$1959,INDIRECT("notes_"&amp;LEFT($A$1959,3)),4,0))</f>
        <v>0</v>
      </c>
      <c r="H2132" s="471">
        <f t="shared" si="310"/>
        <v>2</v>
      </c>
      <c r="I2132" s="471">
        <v>0</v>
      </c>
      <c r="J2132" s="471" t="str">
        <f t="shared" si="311"/>
        <v>cenndcrtr</v>
      </c>
      <c r="K2132" s="471" t="str">
        <f t="shared" si="312"/>
        <v>sfc</v>
      </c>
      <c r="L2132" s="599"/>
      <c r="M2132" s="471" t="s">
        <v>6187</v>
      </c>
      <c r="N2132" s="471" t="s">
        <v>1251</v>
      </c>
      <c r="O2132" s="471" t="s">
        <v>1250</v>
      </c>
    </row>
    <row r="2133" spans="1:15" x14ac:dyDescent="0.25">
      <c r="A2133" s="471" t="s">
        <v>6332</v>
      </c>
      <c r="B2133" s="1139">
        <f t="shared" ca="1" si="313"/>
        <v>0</v>
      </c>
      <c r="C2133" s="473">
        <f ca="1">IF(ISERROR(VLOOKUP($A$1960,INDIRECT("notes_"&amp;LEFT($A$1960,3)),4,0)),0,VLOOKUP($A$1960,INDIRECT("notes_"&amp;LEFT($A$1960,3)),4,0))</f>
        <v>0</v>
      </c>
      <c r="H2133" s="471">
        <f t="shared" ref="H2133:H2158" si="314">LEN(A2133)-LEN(SUBSTITUTE(A2133,"-",""))-I2133</f>
        <v>2</v>
      </c>
      <c r="I2133" s="471">
        <v>0</v>
      </c>
      <c r="J2133" s="471" t="str">
        <f t="shared" ref="J2133:J2158" si="315">MID($A2133,SEARCH("-",$A2133)+1,SEARCH("#",SUBSTITUTE($A2133,"-","#",H2133),1)-(SEARCH("-",$A2133)+1))</f>
        <v>cenndcit</v>
      </c>
      <c r="K2133" s="471" t="str">
        <f t="shared" ref="K2133:K2158" si="316">RIGHT($A2133,LEN($A2133)-SEARCH("#",SUBSTITUTE($A2133,"-","#",H2133),1))</f>
        <v>sfc</v>
      </c>
      <c r="L2133" s="599"/>
      <c r="M2133" s="471" t="s">
        <v>6187</v>
      </c>
      <c r="N2133" s="471" t="s">
        <v>1251</v>
      </c>
      <c r="O2133" s="471" t="s">
        <v>1250</v>
      </c>
    </row>
    <row r="2134" spans="1:15" x14ac:dyDescent="0.25">
      <c r="A2134" s="471" t="s">
        <v>6333</v>
      </c>
      <c r="B2134" s="1139">
        <f t="shared" ca="1" si="313"/>
        <v>0</v>
      </c>
      <c r="C2134" s="473">
        <f ca="1">IF(ISERROR(VLOOKUP($A$1961,INDIRECT("notes_"&amp;LEFT($A$1961,3)),4,0)),0,VLOOKUP($A$1961,INDIRECT("notes_"&amp;LEFT($A$1961,3)),4,0))</f>
        <v>0</v>
      </c>
      <c r="H2134" s="471">
        <f t="shared" si="314"/>
        <v>2</v>
      </c>
      <c r="I2134" s="471">
        <v>0</v>
      </c>
      <c r="J2134" s="471" t="str">
        <f t="shared" si="315"/>
        <v>cenndcsrp</v>
      </c>
      <c r="K2134" s="471" t="str">
        <f t="shared" si="316"/>
        <v>sfc</v>
      </c>
      <c r="L2134" s="599"/>
      <c r="M2134" s="471" t="s">
        <v>6187</v>
      </c>
      <c r="N2134" s="471" t="s">
        <v>1251</v>
      </c>
      <c r="O2134" s="471" t="s">
        <v>1250</v>
      </c>
    </row>
    <row r="2135" spans="1:15" x14ac:dyDescent="0.25">
      <c r="A2135" s="471" t="s">
        <v>6334</v>
      </c>
      <c r="B2135" s="1139">
        <f t="shared" ca="1" si="313"/>
        <v>0</v>
      </c>
      <c r="C2135" s="473">
        <f ca="1">IF(ISERROR(VLOOKUP($A$1962,INDIRECT("notes_"&amp;LEFT($A$1962,3)),4,0)),0,VLOOKUP($A$1962,INDIRECT("notes_"&amp;LEFT($A$1962,3)),4,0))</f>
        <v>0</v>
      </c>
      <c r="H2135" s="471">
        <f t="shared" si="314"/>
        <v>4</v>
      </c>
      <c r="I2135" s="471">
        <v>0</v>
      </c>
      <c r="J2135" s="471" t="str">
        <f t="shared" si="315"/>
        <v>cennd-mng-spp</v>
      </c>
      <c r="K2135" s="471" t="str">
        <f t="shared" si="316"/>
        <v>sfc</v>
      </c>
      <c r="L2135" s="599"/>
      <c r="M2135" s="471" t="s">
        <v>6187</v>
      </c>
      <c r="N2135" s="471" t="s">
        <v>1251</v>
      </c>
      <c r="O2135" s="471" t="s">
        <v>1250</v>
      </c>
    </row>
    <row r="2136" spans="1:15" x14ac:dyDescent="0.25">
      <c r="A2136" s="471" t="s">
        <v>6335</v>
      </c>
      <c r="B2136" s="1139">
        <f t="shared" ca="1" si="313"/>
        <v>0</v>
      </c>
      <c r="C2136" s="473">
        <f ca="1">IF(ISERROR(VLOOKUP($A$1963,INDIRECT("notes_"&amp;LEFT($A$1963,3)),4,0)),0,VLOOKUP($A$1963,INDIRECT("notes_"&amp;LEFT($A$1963,3)),4,0))</f>
        <v>0</v>
      </c>
      <c r="H2136" s="471">
        <f t="shared" si="314"/>
        <v>2</v>
      </c>
      <c r="I2136" s="471">
        <v>0</v>
      </c>
      <c r="J2136" s="471" t="str">
        <f t="shared" si="315"/>
        <v>centot</v>
      </c>
      <c r="K2136" s="471" t="str">
        <f t="shared" si="316"/>
        <v>sfc</v>
      </c>
      <c r="L2136" s="599"/>
      <c r="M2136" s="471" t="s">
        <v>6187</v>
      </c>
      <c r="N2136" s="471" t="s">
        <v>1251</v>
      </c>
      <c r="O2136" s="471" t="s">
        <v>1250</v>
      </c>
    </row>
    <row r="2137" spans="1:15" x14ac:dyDescent="0.25">
      <c r="A2137" s="471" t="s">
        <v>6336</v>
      </c>
      <c r="B2137" s="1139">
        <f t="shared" ca="1" si="313"/>
        <v>0</v>
      </c>
      <c r="C2137" s="473">
        <f ca="1">IF(ISERROR(VLOOKUP($A$1964,INDIRECT("notes_"&amp;LEFT($A$1964,3)),4,0)),0,VLOOKUP($A$1964,INDIRECT("notes_"&amp;LEFT($A$1964,3)),4,0))</f>
        <v>0</v>
      </c>
      <c r="H2137" s="471">
        <f t="shared" si="314"/>
        <v>2</v>
      </c>
      <c r="I2137" s="471">
        <v>0</v>
      </c>
      <c r="J2137" s="471" t="str">
        <f t="shared" si="315"/>
        <v>cenothtot</v>
      </c>
      <c r="K2137" s="471" t="str">
        <f t="shared" si="316"/>
        <v>sfc</v>
      </c>
      <c r="L2137" s="599"/>
      <c r="M2137" s="471" t="s">
        <v>6187</v>
      </c>
      <c r="N2137" s="471" t="s">
        <v>1251</v>
      </c>
      <c r="O2137" s="471" t="s">
        <v>1250</v>
      </c>
    </row>
    <row r="2138" spans="1:15" x14ac:dyDescent="0.25">
      <c r="A2138" s="471" t="s">
        <v>6337</v>
      </c>
      <c r="B2138" s="1139">
        <f t="shared" ca="1" si="313"/>
        <v>0</v>
      </c>
      <c r="C2138" s="473">
        <f ca="1">IF(ISERROR(VLOOKUP($A$1965,INDIRECT("notes_"&amp;LEFT($A$1965,3)),4,0)),0,VLOOKUP($A$1965,INDIRECT("notes_"&amp;LEFT($A$1965,3)),4,0))</f>
        <v>0</v>
      </c>
      <c r="G2138" s="471" t="str">
        <f>IF(ISNUMBER(SEARCH("specify",'RO6'!C131)),"",'RO6'!C131)</f>
        <v/>
      </c>
      <c r="H2138" s="471">
        <f t="shared" si="314"/>
        <v>3</v>
      </c>
      <c r="I2138" s="471">
        <v>0</v>
      </c>
      <c r="J2138" s="471" t="str">
        <f t="shared" si="315"/>
        <v>cenoth1-n cenoth1</v>
      </c>
      <c r="K2138" s="471" t="str">
        <f t="shared" si="316"/>
        <v>sfc</v>
      </c>
      <c r="L2138" s="599"/>
      <c r="M2138" s="471" t="s">
        <v>6187</v>
      </c>
      <c r="N2138" s="471" t="s">
        <v>1251</v>
      </c>
      <c r="O2138" s="471" t="s">
        <v>1250</v>
      </c>
    </row>
    <row r="2139" spans="1:15" x14ac:dyDescent="0.25">
      <c r="A2139" s="471" t="s">
        <v>6338</v>
      </c>
      <c r="B2139" s="1139">
        <f t="shared" ca="1" si="313"/>
        <v>0</v>
      </c>
      <c r="C2139" s="473">
        <f ca="1">IF(ISERROR(VLOOKUP($A$1966,INDIRECT("notes_"&amp;LEFT($A$1966,3)),4,0)),0,VLOOKUP($A$1966,INDIRECT("notes_"&amp;LEFT($A$1966,3)),4,0))</f>
        <v>0</v>
      </c>
      <c r="G2139" s="471" t="str">
        <f>IF(ISNUMBER(SEARCH("specify",'RO6'!C132)),"",'RO6'!C132)</f>
        <v/>
      </c>
      <c r="H2139" s="471">
        <f t="shared" si="314"/>
        <v>3</v>
      </c>
      <c r="I2139" s="471">
        <v>0</v>
      </c>
      <c r="J2139" s="471" t="str">
        <f t="shared" si="315"/>
        <v>cenoth2-n cenoth2</v>
      </c>
      <c r="K2139" s="471" t="str">
        <f t="shared" si="316"/>
        <v>sfc</v>
      </c>
      <c r="L2139" s="599"/>
      <c r="M2139" s="471" t="s">
        <v>6187</v>
      </c>
      <c r="N2139" s="471" t="s">
        <v>1251</v>
      </c>
      <c r="O2139" s="471" t="s">
        <v>1250</v>
      </c>
    </row>
    <row r="2140" spans="1:15" x14ac:dyDescent="0.25">
      <c r="A2140" s="471" t="s">
        <v>6339</v>
      </c>
      <c r="B2140" s="1139">
        <f t="shared" ca="1" si="313"/>
        <v>0</v>
      </c>
      <c r="C2140" s="473">
        <f ca="1">IF(ISERROR(VLOOKUP($A$1967,INDIRECT("notes_"&amp;LEFT($A$1967,3)),4,0)),0,VLOOKUP($A$1967,INDIRECT("notes_"&amp;LEFT($A$1967,3)),4,0))</f>
        <v>0</v>
      </c>
      <c r="G2140" s="471" t="str">
        <f>IF(ISNUMBER(SEARCH("specify",'RO6'!C133)),"",'RO6'!C133)</f>
        <v/>
      </c>
      <c r="H2140" s="471">
        <f t="shared" si="314"/>
        <v>3</v>
      </c>
      <c r="I2140" s="471">
        <v>0</v>
      </c>
      <c r="J2140" s="471" t="str">
        <f t="shared" si="315"/>
        <v>cenoth3-n cenoth3</v>
      </c>
      <c r="K2140" s="471" t="str">
        <f t="shared" si="316"/>
        <v>sfc</v>
      </c>
      <c r="L2140" s="599"/>
      <c r="M2140" s="471" t="s">
        <v>6187</v>
      </c>
      <c r="N2140" s="471" t="s">
        <v>1251</v>
      </c>
      <c r="O2140" s="471" t="s">
        <v>1250</v>
      </c>
    </row>
    <row r="2141" spans="1:15" x14ac:dyDescent="0.25">
      <c r="A2141" s="471" t="s">
        <v>6340</v>
      </c>
      <c r="B2141" s="1139">
        <f t="shared" ca="1" si="313"/>
        <v>0</v>
      </c>
      <c r="C2141" s="473">
        <f ca="1">IF(ISERROR(VLOOKUP($A$1968,INDIRECT("notes_"&amp;LEFT($A$1968,3)),4,0)),0,VLOOKUP($A$1968,INDIRECT("notes_"&amp;LEFT($A$1968,3)),4,0))</f>
        <v>0</v>
      </c>
      <c r="G2141" s="471" t="str">
        <f>IF(ISNUMBER(SEARCH("specify",'RO6'!C134)),"",'RO6'!C134)</f>
        <v/>
      </c>
      <c r="H2141" s="471">
        <f t="shared" si="314"/>
        <v>3</v>
      </c>
      <c r="I2141" s="471">
        <v>0</v>
      </c>
      <c r="J2141" s="471" t="str">
        <f t="shared" si="315"/>
        <v>cenoth4-n cenoth4</v>
      </c>
      <c r="K2141" s="471" t="str">
        <f t="shared" si="316"/>
        <v>sfc</v>
      </c>
      <c r="L2141" s="599"/>
      <c r="M2141" s="471" t="s">
        <v>6187</v>
      </c>
      <c r="N2141" s="471" t="s">
        <v>1251</v>
      </c>
      <c r="O2141" s="471" t="s">
        <v>1250</v>
      </c>
    </row>
    <row r="2142" spans="1:15" x14ac:dyDescent="0.25">
      <c r="A2142" s="471" t="s">
        <v>6341</v>
      </c>
      <c r="B2142" s="1139">
        <f t="shared" ca="1" si="313"/>
        <v>0</v>
      </c>
      <c r="C2142" s="473">
        <f ca="1">IF(ISERROR(VLOOKUP($A$1969,INDIRECT("notes_"&amp;LEFT($A$1969,3)),4,0)),0,VLOOKUP($A$1969,INDIRECT("notes_"&amp;LEFT($A$1969,3)),4,0))</f>
        <v>0</v>
      </c>
      <c r="G2142" s="471" t="str">
        <f>IF(ISNUMBER(SEARCH("specify",'RO6'!C135)),"",'RO6'!C135)</f>
        <v/>
      </c>
      <c r="H2142" s="471">
        <f t="shared" si="314"/>
        <v>3</v>
      </c>
      <c r="I2142" s="471">
        <v>0</v>
      </c>
      <c r="J2142" s="471" t="str">
        <f t="shared" si="315"/>
        <v>cenoth5-n cenoth5</v>
      </c>
      <c r="K2142" s="471" t="str">
        <f t="shared" si="316"/>
        <v>sfc</v>
      </c>
      <c r="L2142" s="599"/>
      <c r="M2142" s="471" t="s">
        <v>6187</v>
      </c>
      <c r="N2142" s="471" t="s">
        <v>1251</v>
      </c>
      <c r="O2142" s="471" t="s">
        <v>1250</v>
      </c>
    </row>
    <row r="2143" spans="1:15" x14ac:dyDescent="0.25">
      <c r="A2143" s="471" t="s">
        <v>6342</v>
      </c>
      <c r="B2143" s="1139">
        <f t="shared" ca="1" si="313"/>
        <v>0</v>
      </c>
      <c r="C2143" s="473">
        <f ca="1">IF(ISERROR(VLOOKUP($A$1970,INDIRECT("notes_"&amp;LEFT($A$1970,3)),4,0)),0,VLOOKUP($A$1970,INDIRECT("notes_"&amp;LEFT($A$1970,3)),4,0))</f>
        <v>0</v>
      </c>
      <c r="G2143" s="471" t="str">
        <f>IF(ISNUMBER(SEARCH("specify",'RO6'!C136)),"",'RO6'!C136)</f>
        <v/>
      </c>
      <c r="H2143" s="471">
        <f t="shared" si="314"/>
        <v>3</v>
      </c>
      <c r="I2143" s="471">
        <v>0</v>
      </c>
      <c r="J2143" s="471" t="str">
        <f t="shared" si="315"/>
        <v>cenoth6-n cenoth6</v>
      </c>
      <c r="K2143" s="471" t="str">
        <f t="shared" si="316"/>
        <v>sfc</v>
      </c>
      <c r="L2143" s="599"/>
      <c r="M2143" s="471" t="s">
        <v>6187</v>
      </c>
      <c r="N2143" s="471" t="s">
        <v>1251</v>
      </c>
      <c r="O2143" s="471" t="s">
        <v>1250</v>
      </c>
    </row>
    <row r="2144" spans="1:15" x14ac:dyDescent="0.25">
      <c r="A2144" s="471" t="s">
        <v>6343</v>
      </c>
      <c r="B2144" s="1139">
        <f t="shared" ca="1" si="313"/>
        <v>0</v>
      </c>
      <c r="C2144" s="473">
        <f ca="1">IF(ISERROR(VLOOKUP($A$1971,INDIRECT("notes_"&amp;LEFT($A$1971,3)),4,0)),0,VLOOKUP($A$1971,INDIRECT("notes_"&amp;LEFT($A$1971,3)),4,0))</f>
        <v>0</v>
      </c>
      <c r="G2144" s="471" t="str">
        <f>IF(ISNUMBER(SEARCH("specify",'RO6'!C137)),"",'RO6'!C137)</f>
        <v/>
      </c>
      <c r="H2144" s="471">
        <f t="shared" si="314"/>
        <v>3</v>
      </c>
      <c r="I2144" s="471">
        <v>0</v>
      </c>
      <c r="J2144" s="471" t="str">
        <f t="shared" si="315"/>
        <v>cenoth7-n cenoth7</v>
      </c>
      <c r="K2144" s="471" t="str">
        <f t="shared" si="316"/>
        <v>sfc</v>
      </c>
      <c r="L2144" s="599"/>
      <c r="M2144" s="471" t="s">
        <v>6187</v>
      </c>
      <c r="N2144" s="471" t="s">
        <v>1251</v>
      </c>
      <c r="O2144" s="471" t="s">
        <v>1250</v>
      </c>
    </row>
    <row r="2145" spans="1:15" x14ac:dyDescent="0.25">
      <c r="A2145" s="471" t="s">
        <v>6344</v>
      </c>
      <c r="B2145" s="1139">
        <f t="shared" ca="1" si="313"/>
        <v>0</v>
      </c>
      <c r="C2145" s="473">
        <f ca="1">IF(ISERROR(VLOOKUP($A$1972,INDIRECT("notes_"&amp;LEFT($A$1972,3)),4,0)),0,VLOOKUP($A$1972,INDIRECT("notes_"&amp;LEFT($A$1972,3)),4,0))</f>
        <v>0</v>
      </c>
      <c r="G2145" s="471" t="str">
        <f>IF(ISNUMBER(SEARCH("specify",'RO6'!C138)),"",'RO6'!C138)</f>
        <v/>
      </c>
      <c r="H2145" s="471">
        <f t="shared" si="314"/>
        <v>3</v>
      </c>
      <c r="I2145" s="471">
        <v>0</v>
      </c>
      <c r="J2145" s="471" t="str">
        <f t="shared" si="315"/>
        <v>cenoth8-n cenoth8</v>
      </c>
      <c r="K2145" s="471" t="str">
        <f t="shared" si="316"/>
        <v>sfc</v>
      </c>
      <c r="L2145" s="599"/>
      <c r="M2145" s="471" t="s">
        <v>6187</v>
      </c>
      <c r="N2145" s="471" t="s">
        <v>1251</v>
      </c>
      <c r="O2145" s="471" t="s">
        <v>1250</v>
      </c>
    </row>
    <row r="2146" spans="1:15" x14ac:dyDescent="0.25">
      <c r="A2146" s="471" t="s">
        <v>6345</v>
      </c>
      <c r="B2146" s="1139">
        <f t="shared" ca="1" si="313"/>
        <v>0</v>
      </c>
      <c r="C2146" s="473">
        <f ca="1">IF(ISERROR(VLOOKUP($A$1973,INDIRECT("notes_"&amp;LEFT($A$1973,3)),4,0)),0,VLOOKUP($A$1973,INDIRECT("notes_"&amp;LEFT($A$1973,3)),4,0))</f>
        <v>0</v>
      </c>
      <c r="G2146" s="471" t="str">
        <f>IF(ISNUMBER(SEARCH("specify",'RO6'!C139)),"",'RO6'!C139)</f>
        <v/>
      </c>
      <c r="H2146" s="471">
        <f t="shared" si="314"/>
        <v>3</v>
      </c>
      <c r="I2146" s="471">
        <v>0</v>
      </c>
      <c r="J2146" s="471" t="str">
        <f t="shared" si="315"/>
        <v>cenoth9-n cenoth9</v>
      </c>
      <c r="K2146" s="471" t="str">
        <f t="shared" si="316"/>
        <v>sfc</v>
      </c>
      <c r="L2146" s="599"/>
      <c r="M2146" s="471" t="s">
        <v>6187</v>
      </c>
      <c r="N2146" s="471" t="s">
        <v>1251</v>
      </c>
      <c r="O2146" s="471" t="s">
        <v>1250</v>
      </c>
    </row>
    <row r="2147" spans="1:15" x14ac:dyDescent="0.25">
      <c r="A2147" s="471" t="s">
        <v>6346</v>
      </c>
      <c r="B2147" s="1139">
        <f t="shared" ca="1" si="313"/>
        <v>0</v>
      </c>
      <c r="C2147" s="473">
        <f ca="1">IF(ISERROR(VLOOKUP($A$1974,INDIRECT("notes_"&amp;LEFT($A$1974,3)),4,0)),0,VLOOKUP($A$1974,INDIRECT("notes_"&amp;LEFT($A$1974,3)),4,0))</f>
        <v>0</v>
      </c>
      <c r="G2147" s="471" t="str">
        <f>IF(ISNUMBER(SEARCH("specify",'RO6'!C140)),"",'RO6'!C140)</f>
        <v/>
      </c>
      <c r="H2147" s="471">
        <f t="shared" si="314"/>
        <v>3</v>
      </c>
      <c r="I2147" s="471">
        <v>0</v>
      </c>
      <c r="J2147" s="471" t="str">
        <f t="shared" si="315"/>
        <v>cenoth10-n cenoth10</v>
      </c>
      <c r="K2147" s="471" t="str">
        <f t="shared" si="316"/>
        <v>sfc</v>
      </c>
      <c r="L2147" s="599"/>
      <c r="M2147" s="471" t="s">
        <v>6187</v>
      </c>
      <c r="N2147" s="471" t="s">
        <v>1251</v>
      </c>
      <c r="O2147" s="471" t="s">
        <v>1250</v>
      </c>
    </row>
    <row r="2148" spans="1:15" x14ac:dyDescent="0.25">
      <c r="A2148" s="471" t="s">
        <v>6347</v>
      </c>
      <c r="B2148" s="1139">
        <f t="shared" ca="1" si="313"/>
        <v>0</v>
      </c>
      <c r="C2148" s="473">
        <f ca="1">IF(ISERROR(VLOOKUP($A$1975,INDIRECT("notes_"&amp;LEFT($A$1975,3)),4,0)),0,VLOOKUP($A$1975,INDIRECT("notes_"&amp;LEFT($A$1975,3)),4,0))</f>
        <v>0</v>
      </c>
      <c r="G2148" s="471" t="str">
        <f>IF(ISNUMBER(SEARCH("specify",'RO6'!C141)),"",'RO6'!C141)</f>
        <v/>
      </c>
      <c r="H2148" s="471">
        <f t="shared" si="314"/>
        <v>3</v>
      </c>
      <c r="I2148" s="471">
        <v>0</v>
      </c>
      <c r="J2148" s="471" t="str">
        <f t="shared" si="315"/>
        <v>cenoth11-n cenoth11</v>
      </c>
      <c r="K2148" s="471" t="str">
        <f t="shared" si="316"/>
        <v>sfc</v>
      </c>
      <c r="L2148" s="599"/>
      <c r="M2148" s="471" t="s">
        <v>6187</v>
      </c>
      <c r="N2148" s="471" t="s">
        <v>1251</v>
      </c>
      <c r="O2148" s="471" t="s">
        <v>1250</v>
      </c>
    </row>
    <row r="2149" spans="1:15" x14ac:dyDescent="0.25">
      <c r="A2149" s="471" t="s">
        <v>6348</v>
      </c>
      <c r="B2149" s="1139">
        <f t="shared" ca="1" si="313"/>
        <v>0</v>
      </c>
      <c r="C2149" s="473">
        <f ca="1">IF(ISERROR(VLOOKUP($A$1976,INDIRECT("notes_"&amp;LEFT($A$1976,3)),4,0)),0,VLOOKUP($A$1976,INDIRECT("notes_"&amp;LEFT($A$1976,3)),4,0))</f>
        <v>0</v>
      </c>
      <c r="G2149" s="471" t="str">
        <f>IF(ISNUMBER(SEARCH("specify",'RO6'!C142)),"",'RO6'!C142)</f>
        <v/>
      </c>
      <c r="H2149" s="471">
        <f t="shared" si="314"/>
        <v>3</v>
      </c>
      <c r="I2149" s="471">
        <v>0</v>
      </c>
      <c r="J2149" s="471" t="str">
        <f t="shared" si="315"/>
        <v>cenoth12-n cenoth12</v>
      </c>
      <c r="K2149" s="471" t="str">
        <f t="shared" si="316"/>
        <v>sfc</v>
      </c>
      <c r="L2149" s="599"/>
      <c r="M2149" s="471" t="s">
        <v>6187</v>
      </c>
      <c r="N2149" s="471" t="s">
        <v>1251</v>
      </c>
      <c r="O2149" s="471" t="s">
        <v>1250</v>
      </c>
    </row>
    <row r="2150" spans="1:15" x14ac:dyDescent="0.25">
      <c r="A2150" s="471" t="s">
        <v>6349</v>
      </c>
      <c r="B2150" s="1139">
        <f t="shared" ca="1" si="313"/>
        <v>0</v>
      </c>
      <c r="C2150" s="473">
        <f ca="1">IF(ISERROR(VLOOKUP($A$1977,INDIRECT("notes_"&amp;LEFT($A$1977,3)),4,0)),0,VLOOKUP($A$1977,INDIRECT("notes_"&amp;LEFT($A$1977,3)),4,0))</f>
        <v>0</v>
      </c>
      <c r="G2150" s="471" t="str">
        <f>IF(ISNUMBER(SEARCH("specify",'RO6'!C143)),"",'RO6'!C143)</f>
        <v/>
      </c>
      <c r="H2150" s="471">
        <f t="shared" si="314"/>
        <v>3</v>
      </c>
      <c r="I2150" s="471">
        <v>0</v>
      </c>
      <c r="J2150" s="471" t="str">
        <f t="shared" si="315"/>
        <v>cenoth13-n cenoth13</v>
      </c>
      <c r="K2150" s="471" t="str">
        <f t="shared" si="316"/>
        <v>sfc</v>
      </c>
      <c r="L2150" s="599"/>
      <c r="M2150" s="471" t="s">
        <v>6187</v>
      </c>
      <c r="N2150" s="471" t="s">
        <v>1251</v>
      </c>
      <c r="O2150" s="471" t="s">
        <v>1250</v>
      </c>
    </row>
    <row r="2151" spans="1:15" x14ac:dyDescent="0.25">
      <c r="A2151" s="471" t="s">
        <v>6350</v>
      </c>
      <c r="B2151" s="1139">
        <f t="shared" ca="1" si="313"/>
        <v>0</v>
      </c>
      <c r="C2151" s="473">
        <f ca="1">IF(ISERROR(VLOOKUP($A$1978,INDIRECT("notes_"&amp;LEFT($A$1978,3)),4,0)),0,VLOOKUP($A$1978,INDIRECT("notes_"&amp;LEFT($A$1978,3)),4,0))</f>
        <v>0</v>
      </c>
      <c r="G2151" s="471" t="str">
        <f>IF(ISNUMBER(SEARCH("specify",'RO6'!C144)),"",'RO6'!C144)</f>
        <v/>
      </c>
      <c r="H2151" s="471">
        <f t="shared" si="314"/>
        <v>3</v>
      </c>
      <c r="I2151" s="471">
        <v>0</v>
      </c>
      <c r="J2151" s="471" t="str">
        <f t="shared" si="315"/>
        <v>cenoth14-n cenoth14</v>
      </c>
      <c r="K2151" s="471" t="str">
        <f t="shared" si="316"/>
        <v>sfc</v>
      </c>
      <c r="L2151" s="599"/>
      <c r="M2151" s="471" t="s">
        <v>6187</v>
      </c>
      <c r="N2151" s="471" t="s">
        <v>1251</v>
      </c>
      <c r="O2151" s="471" t="s">
        <v>1250</v>
      </c>
    </row>
    <row r="2152" spans="1:15" x14ac:dyDescent="0.25">
      <c r="A2152" s="471" t="s">
        <v>6351</v>
      </c>
      <c r="B2152" s="1139">
        <f t="shared" ca="1" si="313"/>
        <v>0</v>
      </c>
      <c r="C2152" s="473">
        <f ca="1">IF(ISERROR(VLOOKUP($A$1979,INDIRECT("notes_"&amp;LEFT($A$1979,3)),4,0)),0,VLOOKUP($A$1979,INDIRECT("notes_"&amp;LEFT($A$1979,3)),4,0))</f>
        <v>0</v>
      </c>
      <c r="G2152" s="471" t="str">
        <f>IF(ISNUMBER(SEARCH("specify",'RO6'!C145)),"",'RO6'!C145)</f>
        <v/>
      </c>
      <c r="H2152" s="471">
        <f t="shared" si="314"/>
        <v>3</v>
      </c>
      <c r="I2152" s="471">
        <v>0</v>
      </c>
      <c r="J2152" s="471" t="str">
        <f t="shared" si="315"/>
        <v>cenoth15-n cenoth15</v>
      </c>
      <c r="K2152" s="471" t="str">
        <f t="shared" si="316"/>
        <v>sfc</v>
      </c>
      <c r="L2152" s="599"/>
      <c r="M2152" s="471" t="s">
        <v>6187</v>
      </c>
      <c r="N2152" s="471" t="s">
        <v>1251</v>
      </c>
      <c r="O2152" s="471" t="s">
        <v>1250</v>
      </c>
    </row>
    <row r="2153" spans="1:15" x14ac:dyDescent="0.25">
      <c r="A2153" s="471" t="s">
        <v>6352</v>
      </c>
      <c r="B2153" s="1139">
        <f t="shared" ca="1" si="313"/>
        <v>0</v>
      </c>
      <c r="C2153" s="473">
        <f ca="1">IF(ISERROR(VLOOKUP($A$1980,INDIRECT("notes_"&amp;LEFT($A$1980,3)),4,0)),0,VLOOKUP($A$1980,INDIRECT("notes_"&amp;LEFT($A$1980,3)),4,0))</f>
        <v>0</v>
      </c>
      <c r="G2153" s="471" t="str">
        <f>IF(ISNUMBER(SEARCH("specify",'RO6'!C146)),"",'RO6'!C146)</f>
        <v/>
      </c>
      <c r="H2153" s="471">
        <f t="shared" si="314"/>
        <v>3</v>
      </c>
      <c r="I2153" s="471">
        <v>0</v>
      </c>
      <c r="J2153" s="471" t="str">
        <f t="shared" si="315"/>
        <v>cenoth16-n cenoth16</v>
      </c>
      <c r="K2153" s="471" t="str">
        <f t="shared" si="316"/>
        <v>sfc</v>
      </c>
      <c r="L2153" s="599"/>
      <c r="M2153" s="471" t="s">
        <v>6187</v>
      </c>
      <c r="N2153" s="471" t="s">
        <v>1251</v>
      </c>
      <c r="O2153" s="471" t="s">
        <v>1250</v>
      </c>
    </row>
    <row r="2154" spans="1:15" x14ac:dyDescent="0.25">
      <c r="A2154" s="471" t="s">
        <v>6353</v>
      </c>
      <c r="B2154" s="1139">
        <f t="shared" ca="1" si="313"/>
        <v>0</v>
      </c>
      <c r="C2154" s="473">
        <f ca="1">IF(ISERROR(VLOOKUP($A$1981,INDIRECT("notes_"&amp;LEFT($A$1981,3)),4,0)),0,VLOOKUP($A$1981,INDIRECT("notes_"&amp;LEFT($A$1981,3)),4,0))</f>
        <v>0</v>
      </c>
      <c r="G2154" s="471" t="str">
        <f>IF(ISNUMBER(SEARCH("specify",'RO6'!C147)),"",'RO6'!C147)</f>
        <v/>
      </c>
      <c r="H2154" s="471">
        <f t="shared" si="314"/>
        <v>3</v>
      </c>
      <c r="I2154" s="471">
        <v>0</v>
      </c>
      <c r="J2154" s="471" t="str">
        <f t="shared" si="315"/>
        <v>cenoth17-n cenoth17</v>
      </c>
      <c r="K2154" s="471" t="str">
        <f t="shared" si="316"/>
        <v>sfc</v>
      </c>
      <c r="L2154" s="599"/>
      <c r="M2154" s="471" t="s">
        <v>6187</v>
      </c>
      <c r="N2154" s="471" t="s">
        <v>1251</v>
      </c>
      <c r="O2154" s="471" t="s">
        <v>1250</v>
      </c>
    </row>
    <row r="2155" spans="1:15" x14ac:dyDescent="0.25">
      <c r="A2155" s="471" t="s">
        <v>6354</v>
      </c>
      <c r="B2155" s="1139">
        <f t="shared" ca="1" si="313"/>
        <v>0</v>
      </c>
      <c r="C2155" s="473">
        <f ca="1">IF(ISERROR(VLOOKUP($A$1982,INDIRECT("notes_"&amp;LEFT($A$1982,3)),4,0)),0,VLOOKUP($A$1982,INDIRECT("notes_"&amp;LEFT($A$1982,3)),4,0))</f>
        <v>0</v>
      </c>
      <c r="G2155" s="471" t="str">
        <f>IF(ISNUMBER(SEARCH("specify",'RO6'!C148)),"",'RO6'!C148)</f>
        <v/>
      </c>
      <c r="H2155" s="471">
        <f t="shared" si="314"/>
        <v>3</v>
      </c>
      <c r="I2155" s="471">
        <v>0</v>
      </c>
      <c r="J2155" s="471" t="str">
        <f t="shared" si="315"/>
        <v>cenoth18-n cenoth18</v>
      </c>
      <c r="K2155" s="471" t="str">
        <f t="shared" si="316"/>
        <v>sfc</v>
      </c>
      <c r="L2155" s="599"/>
      <c r="M2155" s="471" t="s">
        <v>6187</v>
      </c>
      <c r="N2155" s="471" t="s">
        <v>1251</v>
      </c>
      <c r="O2155" s="471" t="s">
        <v>1250</v>
      </c>
    </row>
    <row r="2156" spans="1:15" x14ac:dyDescent="0.25">
      <c r="A2156" s="471" t="s">
        <v>6355</v>
      </c>
      <c r="B2156" s="1139">
        <f t="shared" ca="1" si="313"/>
        <v>0</v>
      </c>
      <c r="C2156" s="473">
        <f ca="1">IF(ISERROR(VLOOKUP($A$1983,INDIRECT("notes_"&amp;LEFT($A$1983,3)),4,0)),0,VLOOKUP($A$1983,INDIRECT("notes_"&amp;LEFT($A$1983,3)),4,0))</f>
        <v>0</v>
      </c>
      <c r="G2156" s="471" t="str">
        <f>IF(ISNUMBER(SEARCH("specify",'RO6'!C149)),"",'RO6'!C149)</f>
        <v/>
      </c>
      <c r="H2156" s="471">
        <f t="shared" si="314"/>
        <v>3</v>
      </c>
      <c r="I2156" s="471">
        <v>0</v>
      </c>
      <c r="J2156" s="471" t="str">
        <f t="shared" si="315"/>
        <v>cenoth19-n cenoth19</v>
      </c>
      <c r="K2156" s="471" t="str">
        <f t="shared" si="316"/>
        <v>sfc</v>
      </c>
      <c r="L2156" s="599"/>
      <c r="M2156" s="471" t="s">
        <v>6187</v>
      </c>
      <c r="N2156" s="471" t="s">
        <v>1251</v>
      </c>
      <c r="O2156" s="471" t="s">
        <v>1250</v>
      </c>
    </row>
    <row r="2157" spans="1:15" x14ac:dyDescent="0.25">
      <c r="A2157" s="471" t="s">
        <v>6356</v>
      </c>
      <c r="B2157" s="1139">
        <f t="shared" ca="1" si="313"/>
        <v>0</v>
      </c>
      <c r="C2157" s="473">
        <f ca="1">IF(ISERROR(VLOOKUP($A$1984,INDIRECT("notes_"&amp;LEFT($A$1984,3)),4,0)),0,VLOOKUP($A$1984,INDIRECT("notes_"&amp;LEFT($A$1984,3)),4,0))</f>
        <v>0</v>
      </c>
      <c r="G2157" s="471" t="str">
        <f>IF(ISNUMBER(SEARCH("specify",'RO6'!C150)),"",'RO6'!C150)</f>
        <v/>
      </c>
      <c r="H2157" s="471">
        <f t="shared" si="314"/>
        <v>3</v>
      </c>
      <c r="I2157" s="471">
        <v>0</v>
      </c>
      <c r="J2157" s="471" t="str">
        <f t="shared" si="315"/>
        <v>cenoth20-n cenoth20</v>
      </c>
      <c r="K2157" s="471" t="str">
        <f t="shared" si="316"/>
        <v>sfc</v>
      </c>
      <c r="L2157" s="599"/>
      <c r="M2157" s="471" t="s">
        <v>6187</v>
      </c>
      <c r="N2157" s="471" t="s">
        <v>1251</v>
      </c>
      <c r="O2157" s="471" t="s">
        <v>1250</v>
      </c>
    </row>
    <row r="2158" spans="1:15" x14ac:dyDescent="0.25">
      <c r="A2158" s="471" t="s">
        <v>6357</v>
      </c>
      <c r="B2158" s="1139">
        <f t="shared" ca="1" si="313"/>
        <v>0</v>
      </c>
      <c r="C2158" s="473">
        <f ca="1">IF(ISERROR(VLOOKUP($A$1985,INDIRECT("notes_"&amp;LEFT($A$1985,3)),4,0)),0,VLOOKUP($A$1985,INDIRECT("notes_"&amp;LEFT($A$1985,3)),4,0))</f>
        <v>0</v>
      </c>
      <c r="H2158" s="471">
        <f t="shared" si="314"/>
        <v>3</v>
      </c>
      <c r="I2158" s="471">
        <v>0</v>
      </c>
      <c r="J2158" s="471" t="str">
        <f t="shared" si="315"/>
        <v>centoth-tot</v>
      </c>
      <c r="K2158" s="471" t="str">
        <f t="shared" si="316"/>
        <v>sfc</v>
      </c>
      <c r="L2158" s="599"/>
      <c r="M2158" s="471" t="s">
        <v>6187</v>
      </c>
      <c r="N2158" s="471" t="s">
        <v>1251</v>
      </c>
      <c r="O2158" s="471" t="s">
        <v>1250</v>
      </c>
    </row>
    <row r="2159" spans="1:15" x14ac:dyDescent="0.25">
      <c r="A2159" s="471" t="s">
        <v>6358</v>
      </c>
      <c r="B2159" s="1139">
        <f t="shared" ca="1" si="313"/>
        <v>0</v>
      </c>
      <c r="C2159" s="473">
        <f ca="1">IF(ISERROR(VLOOKUP($A$1938,INDIRECT("notes_"&amp;LEFT($A$1938,3)),4,0)),0,VLOOKUP($A$1938,INDIRECT("notes_"&amp;LEFT($A$1938,3)),4,0))</f>
        <v>0</v>
      </c>
      <c r="H2159" s="471">
        <f t="shared" ref="H2159:H2161" si="317">LEN(A2159)-LEN(SUBSTITUTE(A2159,"-",""))-I2159</f>
        <v>2</v>
      </c>
      <c r="I2159" s="471">
        <v>1</v>
      </c>
      <c r="J2159" s="471" t="str">
        <f t="shared" ref="J2159:J2161" si="318">MID($A2159,SEARCH("-",$A2159)+1,SEARCH("#",SUBSTITUTE($A2159,"-","#",H2159),1)-(SEARCH("-",$A2159)+1))</f>
        <v>poltot</v>
      </c>
      <c r="K2159" s="471" t="str">
        <f t="shared" ref="K2159:K2161" si="319">RIGHT($A2159,LEN($A2159)-SEARCH("#",SUBSTITUTE($A2159,"-","#",H2159),1))</f>
        <v>oth-inc</v>
      </c>
      <c r="L2159" s="599"/>
      <c r="M2159" s="471" t="s">
        <v>6187</v>
      </c>
      <c r="N2159" s="471" t="s">
        <v>1251</v>
      </c>
      <c r="O2159" s="471" t="s">
        <v>1250</v>
      </c>
    </row>
    <row r="2160" spans="1:15" x14ac:dyDescent="0.25">
      <c r="A2160" s="1120" t="s">
        <v>6359</v>
      </c>
      <c r="B2160" s="1139">
        <f t="shared" ca="1" si="313"/>
        <v>0</v>
      </c>
      <c r="C2160" s="473">
        <f ca="1">IF(ISERROR(VLOOKUP($A$2160,INDIRECT("notes_"&amp;LEFT($A$2160,3)),4,0)),0,VLOOKUP($A$2160,INDIRECT("notes_"&amp;LEFT($A$2160,3)),4,0))</f>
        <v>0</v>
      </c>
      <c r="H2160" s="471">
        <f t="shared" si="317"/>
        <v>2</v>
      </c>
      <c r="I2160" s="471">
        <v>1</v>
      </c>
      <c r="J2160" s="471" t="str">
        <f t="shared" ref="J2160" si="320">MID($A2160,SEARCH("-",$A2160)+1,SEARCH("#",SUBSTITUTE($A2160,"-","#",H2160),1)-(SEARCH("-",$A2160)+1))</f>
        <v>polsvmemrec</v>
      </c>
      <c r="K2160" s="471" t="str">
        <f t="shared" ref="K2160" si="321">RIGHT($A2160,LEN($A2160)-SEARCH("#",SUBSTITUTE($A2160,"-","#",H2160),1))</f>
        <v>oth-inc</v>
      </c>
      <c r="L2160" s="599"/>
      <c r="M2160" s="471" t="s">
        <v>6187</v>
      </c>
      <c r="N2160" s="471" t="s">
        <v>1251</v>
      </c>
      <c r="O2160" s="471" t="s">
        <v>1250</v>
      </c>
    </row>
    <row r="2161" spans="1:15" x14ac:dyDescent="0.25">
      <c r="A2161" s="471" t="s">
        <v>6360</v>
      </c>
      <c r="B2161" s="1139">
        <f t="shared" ca="1" si="313"/>
        <v>0</v>
      </c>
      <c r="C2161" s="473">
        <f ca="1">IF(ISERROR(VLOOKUP($A$1939,INDIRECT("notes_"&amp;LEFT($A$1939,3)),4,0)),0,VLOOKUP($A$1939,INDIRECT("notes_"&amp;LEFT($A$1939,3)),4,0))</f>
        <v>0</v>
      </c>
      <c r="H2161" s="471">
        <f t="shared" si="317"/>
        <v>4</v>
      </c>
      <c r="I2161" s="471">
        <v>1</v>
      </c>
      <c r="J2161" s="471" t="str">
        <f t="shared" si="318"/>
        <v>frs-cmm-fs</v>
      </c>
      <c r="K2161" s="471" t="str">
        <f t="shared" si="319"/>
        <v>oth-inc</v>
      </c>
      <c r="L2161" s="599"/>
      <c r="M2161" s="471" t="s">
        <v>6187</v>
      </c>
      <c r="N2161" s="471" t="s">
        <v>1251</v>
      </c>
      <c r="O2161" s="471" t="s">
        <v>1250</v>
      </c>
    </row>
    <row r="2162" spans="1:15" x14ac:dyDescent="0.25">
      <c r="A2162" s="471" t="s">
        <v>6361</v>
      </c>
      <c r="B2162" s="1139">
        <f t="shared" ca="1" si="313"/>
        <v>0</v>
      </c>
      <c r="C2162" s="473">
        <f ca="1">IF(ISERROR(VLOOKUP($A$1940,INDIRECT("notes_"&amp;LEFT($A$1940,3)),4,0)),0,VLOOKUP($A$1940,INDIRECT("notes_"&amp;LEFT($A$1940,3)),4,0))</f>
        <v>0</v>
      </c>
      <c r="H2162" s="471">
        <f t="shared" ref="H2162:H2188" si="322">LEN(A2162)-LEN(SUBSTITUTE(A2162,"-",""))-I2162</f>
        <v>4</v>
      </c>
      <c r="I2162" s="471">
        <v>1</v>
      </c>
      <c r="J2162" s="471" t="str">
        <f t="shared" ref="J2162:J2188" si="323">MID($A2162,SEARCH("-",$A2162)+1,SEARCH("#",SUBSTITUTE($A2162,"-","#",H2162),1)-(SEARCH("-",$A2162)+1))</f>
        <v>frs-ffr-opr</v>
      </c>
      <c r="K2162" s="471" t="str">
        <f t="shared" ref="K2162:K2188" si="324">RIGHT($A2162,LEN($A2162)-SEARCH("#",SUBSTITUTE($A2162,"-","#",H2162),1))</f>
        <v>oth-inc</v>
      </c>
      <c r="L2162" s="599"/>
      <c r="M2162" s="471" t="s">
        <v>6187</v>
      </c>
      <c r="N2162" s="471" t="s">
        <v>1251</v>
      </c>
      <c r="O2162" s="471" t="s">
        <v>1250</v>
      </c>
    </row>
    <row r="2163" spans="1:15" x14ac:dyDescent="0.25">
      <c r="A2163" s="471" t="s">
        <v>6362</v>
      </c>
      <c r="B2163" s="1139">
        <f t="shared" ca="1" si="313"/>
        <v>0</v>
      </c>
      <c r="C2163" s="473">
        <f ca="1">IF(ISERROR(VLOOKUP($A$1941,INDIRECT("notes_"&amp;LEFT($A$1941,3)),4,0)),0,VLOOKUP($A$1941,INDIRECT("notes_"&amp;LEFT($A$1941,3)),4,0))</f>
        <v>0</v>
      </c>
      <c r="H2163" s="471">
        <f t="shared" si="322"/>
        <v>5</v>
      </c>
      <c r="I2163" s="471">
        <v>1</v>
      </c>
      <c r="J2163" s="471" t="str">
        <f t="shared" si="323"/>
        <v>frs-frs-emr-pln</v>
      </c>
      <c r="K2163" s="471" t="str">
        <f t="shared" si="324"/>
        <v>oth-inc</v>
      </c>
      <c r="L2163" s="599"/>
      <c r="M2163" s="471" t="s">
        <v>6187</v>
      </c>
      <c r="N2163" s="471" t="s">
        <v>1251</v>
      </c>
      <c r="O2163" s="471" t="s">
        <v>1250</v>
      </c>
    </row>
    <row r="2164" spans="1:15" x14ac:dyDescent="0.25">
      <c r="A2164" s="471" t="s">
        <v>6363</v>
      </c>
      <c r="B2164" s="1139">
        <f t="shared" ca="1" si="313"/>
        <v>0</v>
      </c>
      <c r="C2164" s="473">
        <f ca="1">IF(ISERROR(VLOOKUP($A$1942,INDIRECT("notes_"&amp;LEFT($A$1942,3)),4,0)),0,VLOOKUP($A$1942,INDIRECT("notes_"&amp;LEFT($A$1942,3)),4,0))</f>
        <v>0</v>
      </c>
      <c r="H2164" s="471">
        <f t="shared" si="322"/>
        <v>2</v>
      </c>
      <c r="I2164" s="471">
        <v>1</v>
      </c>
      <c r="J2164" s="471" t="str">
        <f t="shared" si="323"/>
        <v>frstot</v>
      </c>
      <c r="K2164" s="471" t="str">
        <f t="shared" si="324"/>
        <v>oth-inc</v>
      </c>
      <c r="L2164" s="599"/>
      <c r="M2164" s="471" t="s">
        <v>6187</v>
      </c>
      <c r="N2164" s="471" t="s">
        <v>1251</v>
      </c>
      <c r="O2164" s="471" t="s">
        <v>1250</v>
      </c>
    </row>
    <row r="2165" spans="1:15" x14ac:dyDescent="0.25">
      <c r="A2165" s="1120" t="s">
        <v>6364</v>
      </c>
      <c r="B2165" s="1139">
        <f t="shared" ca="1" si="313"/>
        <v>0</v>
      </c>
      <c r="C2165" s="473">
        <f ca="1">IF(ISERROR(VLOOKUP($A$2165,INDIRECT("notes_"&amp;LEFT($A$2165,3)),4,0)),0,VLOOKUP($A$2165,INDIRECT("notes_"&amp;LEFT($A$2165,3)),4,0))</f>
        <v>0</v>
      </c>
      <c r="H2165" s="471">
        <f t="shared" si="322"/>
        <v>2</v>
      </c>
      <c r="I2165" s="471">
        <v>1</v>
      </c>
      <c r="J2165" s="471" t="str">
        <f t="shared" ref="J2165" si="325">MID($A2165,SEARCH("-",$A2165)+1,SEARCH("#",SUBSTITUTE($A2165,"-","#",H2165),1)-(SEARCH("-",$A2165)+1))</f>
        <v>frssvmemrec</v>
      </c>
      <c r="K2165" s="471" t="str">
        <f t="shared" ref="K2165" si="326">RIGHT($A2165,LEN($A2165)-SEARCH("#",SUBSTITUTE($A2165,"-","#",H2165),1))</f>
        <v>oth-inc</v>
      </c>
      <c r="L2165" s="599"/>
      <c r="M2165" s="471" t="s">
        <v>6187</v>
      </c>
      <c r="N2165" s="471" t="s">
        <v>1251</v>
      </c>
      <c r="O2165" s="471" t="s">
        <v>1250</v>
      </c>
    </row>
    <row r="2166" spans="1:15" x14ac:dyDescent="0.25">
      <c r="A2166" s="471" t="s">
        <v>6365</v>
      </c>
      <c r="B2166" s="1139">
        <f t="shared" ca="1" si="313"/>
        <v>0</v>
      </c>
      <c r="C2166" s="473">
        <f ca="1">IF(ISERROR(VLOOKUP($A$1943,INDIRECT("notes_"&amp;LEFT($A$1943,3)),4,0)),0,VLOOKUP($A$1943,INDIRECT("notes_"&amp;LEFT($A$1943,3)),4,0))</f>
        <v>0</v>
      </c>
      <c r="H2166" s="471">
        <f t="shared" si="322"/>
        <v>2</v>
      </c>
      <c r="I2166" s="471">
        <v>1</v>
      </c>
      <c r="J2166" s="471" t="str">
        <f t="shared" si="323"/>
        <v>cencrp</v>
      </c>
      <c r="K2166" s="471" t="str">
        <f t="shared" si="324"/>
        <v>oth-inc</v>
      </c>
      <c r="L2166" s="599"/>
      <c r="M2166" s="471" t="s">
        <v>6187</v>
      </c>
      <c r="N2166" s="471" t="s">
        <v>1251</v>
      </c>
      <c r="O2166" s="471" t="s">
        <v>1250</v>
      </c>
    </row>
    <row r="2167" spans="1:15" x14ac:dyDescent="0.25">
      <c r="A2167" s="471" t="s">
        <v>6366</v>
      </c>
      <c r="B2167" s="1139">
        <f t="shared" ca="1" si="313"/>
        <v>0</v>
      </c>
      <c r="C2167" s="473">
        <f ca="1">IF(ISERROR(VLOOKUP($A$1944,INDIRECT("notes_"&amp;LEFT($A$1944,3)),4,0)),0,VLOOKUP($A$1944,INDIRECT("notes_"&amp;LEFT($A$1944,3)),4,0))</f>
        <v>0</v>
      </c>
      <c r="H2167" s="471">
        <f t="shared" si="322"/>
        <v>3</v>
      </c>
      <c r="I2167" s="471">
        <v>1</v>
      </c>
      <c r="J2167" s="471" t="str">
        <f t="shared" si="323"/>
        <v>centax-cll</v>
      </c>
      <c r="K2167" s="471" t="str">
        <f t="shared" si="324"/>
        <v>oth-inc</v>
      </c>
      <c r="L2167" s="599"/>
      <c r="M2167" s="471" t="s">
        <v>6187</v>
      </c>
      <c r="N2167" s="471" t="s">
        <v>1251</v>
      </c>
      <c r="O2167" s="471" t="s">
        <v>1250</v>
      </c>
    </row>
    <row r="2168" spans="1:15" x14ac:dyDescent="0.25">
      <c r="A2168" s="471" t="s">
        <v>6367</v>
      </c>
      <c r="B2168" s="1139">
        <f t="shared" ca="1" si="313"/>
        <v>0</v>
      </c>
      <c r="C2168" s="473">
        <f ca="1">IF(ISERROR(VLOOKUP($A$1945,INDIRECT("notes_"&amp;LEFT($A$1945,3)),4,0)),0,VLOOKUP($A$1945,INDIRECT("notes_"&amp;LEFT($A$1945,3)),4,0))</f>
        <v>0</v>
      </c>
      <c r="H2168" s="471">
        <f t="shared" si="322"/>
        <v>4</v>
      </c>
      <c r="I2168" s="471">
        <v>1</v>
      </c>
      <c r="J2168" s="471" t="str">
        <f t="shared" si="323"/>
        <v>centaxdsc-prm-pym</v>
      </c>
      <c r="K2168" s="471" t="str">
        <f t="shared" si="324"/>
        <v>oth-inc</v>
      </c>
      <c r="L2168" s="599"/>
      <c r="M2168" s="471" t="s">
        <v>6187</v>
      </c>
      <c r="N2168" s="471" t="s">
        <v>1251</v>
      </c>
      <c r="O2168" s="471" t="s">
        <v>1250</v>
      </c>
    </row>
    <row r="2169" spans="1:15" x14ac:dyDescent="0.25">
      <c r="A2169" s="471" t="s">
        <v>6368</v>
      </c>
      <c r="B2169" s="1139">
        <f t="shared" ca="1" si="313"/>
        <v>0</v>
      </c>
      <c r="C2169" s="473">
        <f ca="1">IF(ISERROR(VLOOKUP($A$1946,INDIRECT("notes_"&amp;LEFT($A$1946,3)),4,0)),0,VLOOKUP($A$1946,INDIRECT("notes_"&amp;LEFT($A$1946,3)),4,0))</f>
        <v>0</v>
      </c>
      <c r="H2169" s="471">
        <f t="shared" si="322"/>
        <v>2</v>
      </c>
      <c r="I2169" s="471">
        <v>1</v>
      </c>
      <c r="J2169" s="471" t="str">
        <f t="shared" si="323"/>
        <v>centaxdsc</v>
      </c>
      <c r="K2169" s="471" t="str">
        <f t="shared" si="324"/>
        <v>oth-inc</v>
      </c>
      <c r="L2169" s="599"/>
      <c r="M2169" s="471" t="s">
        <v>6187</v>
      </c>
      <c r="N2169" s="471" t="s">
        <v>1251</v>
      </c>
      <c r="O2169" s="471" t="s">
        <v>1250</v>
      </c>
    </row>
    <row r="2170" spans="1:15" x14ac:dyDescent="0.25">
      <c r="A2170" s="471" t="s">
        <v>6369</v>
      </c>
      <c r="B2170" s="1139">
        <f t="shared" ca="1" si="313"/>
        <v>0</v>
      </c>
      <c r="C2170" s="473">
        <f ca="1">IF(ISERROR(VLOOKUP($A$1947,INDIRECT("notes_"&amp;LEFT($A$1947,3)),4,0)),0,VLOOKUP($A$1947,INDIRECT("notes_"&amp;LEFT($A$1947,3)),4,0))</f>
        <v>0</v>
      </c>
      <c r="H2170" s="471">
        <f t="shared" si="322"/>
        <v>2</v>
      </c>
      <c r="I2170" s="471">
        <v>1</v>
      </c>
      <c r="J2170" s="471" t="str">
        <f t="shared" si="323"/>
        <v>centaxadm</v>
      </c>
      <c r="K2170" s="471" t="str">
        <f t="shared" si="324"/>
        <v>oth-inc</v>
      </c>
      <c r="L2170" s="599"/>
      <c r="M2170" s="471" t="s">
        <v>6187</v>
      </c>
      <c r="N2170" s="471" t="s">
        <v>1251</v>
      </c>
      <c r="O2170" s="471" t="s">
        <v>1250</v>
      </c>
    </row>
    <row r="2171" spans="1:15" x14ac:dyDescent="0.25">
      <c r="A2171" s="471" t="s">
        <v>6370</v>
      </c>
      <c r="B2171" s="1139">
        <f t="shared" ca="1" si="313"/>
        <v>0</v>
      </c>
      <c r="C2171" s="473">
        <f ca="1">IF(ISERROR(VLOOKUP($A$1948,INDIRECT("notes_"&amp;LEFT($A$1948,3)),4,0)),0,VLOOKUP($A$1948,INDIRECT("notes_"&amp;LEFT($A$1948,3)),4,0))</f>
        <v>0</v>
      </c>
      <c r="H2171" s="471">
        <f t="shared" si="322"/>
        <v>5</v>
      </c>
      <c r="I2171" s="471">
        <v>1</v>
      </c>
      <c r="J2171" s="471" t="str">
        <f t="shared" si="323"/>
        <v>centaxoth-non-dms-cll</v>
      </c>
      <c r="K2171" s="471" t="str">
        <f t="shared" si="324"/>
        <v>oth-inc</v>
      </c>
      <c r="L2171" s="599"/>
      <c r="M2171" s="471" t="s">
        <v>6187</v>
      </c>
      <c r="N2171" s="471" t="s">
        <v>1251</v>
      </c>
      <c r="O2171" s="471" t="s">
        <v>1250</v>
      </c>
    </row>
    <row r="2172" spans="1:15" x14ac:dyDescent="0.25">
      <c r="A2172" s="471" t="s">
        <v>6371</v>
      </c>
      <c r="B2172" s="1139">
        <f t="shared" ca="1" si="313"/>
        <v>0</v>
      </c>
      <c r="C2172" s="473">
        <f ca="1">IF(ISERROR(VLOOKUP($A$1949,INDIRECT("notes_"&amp;LEFT($A$1949,3)),4,0)),0,VLOOKUP($A$1949,INDIRECT("notes_"&amp;LEFT($A$1949,3)),4,0))</f>
        <v>0</v>
      </c>
      <c r="H2172" s="471">
        <f t="shared" si="322"/>
        <v>4</v>
      </c>
      <c r="I2172" s="471">
        <v>1</v>
      </c>
      <c r="J2172" s="471" t="str">
        <f t="shared" si="323"/>
        <v>centaxoth-bid-bll</v>
      </c>
      <c r="K2172" s="471" t="str">
        <f t="shared" si="324"/>
        <v>oth-inc</v>
      </c>
      <c r="L2172" s="599"/>
      <c r="M2172" s="471" t="s">
        <v>6187</v>
      </c>
      <c r="N2172" s="471" t="s">
        <v>1251</v>
      </c>
      <c r="O2172" s="471" t="s">
        <v>1250</v>
      </c>
    </row>
    <row r="2173" spans="1:15" x14ac:dyDescent="0.25">
      <c r="A2173" s="471" t="s">
        <v>6372</v>
      </c>
      <c r="B2173" s="1139">
        <f t="shared" ca="1" si="313"/>
        <v>0</v>
      </c>
      <c r="C2173" s="473">
        <f ca="1">IF(ISERROR(VLOOKUP($A$1950,INDIRECT("notes_"&amp;LEFT($A$1950,3)),4,0)),0,VLOOKUP($A$1950,INDIRECT("notes_"&amp;LEFT($A$1950,3)),4,0))</f>
        <v>0</v>
      </c>
      <c r="H2173" s="471">
        <f t="shared" si="322"/>
        <v>4</v>
      </c>
      <c r="I2173" s="471">
        <v>1</v>
      </c>
      <c r="J2173" s="471" t="str">
        <f t="shared" si="323"/>
        <v>cencntbrt-dth-mrr</v>
      </c>
      <c r="K2173" s="471" t="str">
        <f t="shared" si="324"/>
        <v>oth-inc</v>
      </c>
      <c r="L2173" s="599"/>
      <c r="M2173" s="471" t="s">
        <v>6187</v>
      </c>
      <c r="N2173" s="471" t="s">
        <v>1251</v>
      </c>
      <c r="O2173" s="471" t="s">
        <v>1250</v>
      </c>
    </row>
    <row r="2174" spans="1:15" x14ac:dyDescent="0.25">
      <c r="A2174" s="471" t="s">
        <v>6373</v>
      </c>
      <c r="B2174" s="1139">
        <f t="shared" ca="1" si="313"/>
        <v>0</v>
      </c>
      <c r="C2174" s="473">
        <f ca="1">IF(ISERROR(VLOOKUP($A$1951,INDIRECT("notes_"&amp;LEFT($A$1951,3)),4,0)),0,VLOOKUP($A$1951,INDIRECT("notes_"&amp;LEFT($A$1951,3)),4,0))</f>
        <v>0</v>
      </c>
      <c r="H2174" s="471">
        <f t="shared" si="322"/>
        <v>4</v>
      </c>
      <c r="I2174" s="471">
        <v>1</v>
      </c>
      <c r="J2174" s="471" t="str">
        <f t="shared" si="323"/>
        <v>cencnt-rgs-elc</v>
      </c>
      <c r="K2174" s="471" t="str">
        <f t="shared" si="324"/>
        <v>oth-inc</v>
      </c>
      <c r="L2174" s="599"/>
      <c r="M2174" s="471" t="s">
        <v>6187</v>
      </c>
      <c r="N2174" s="471" t="s">
        <v>1251</v>
      </c>
      <c r="O2174" s="471" t="s">
        <v>1250</v>
      </c>
    </row>
    <row r="2175" spans="1:15" x14ac:dyDescent="0.25">
      <c r="A2175" s="471" t="s">
        <v>6374</v>
      </c>
      <c r="B2175" s="1139">
        <f t="shared" ca="1" si="313"/>
        <v>0</v>
      </c>
      <c r="C2175" s="473">
        <f ca="1">IF(ISERROR(VLOOKUP($A$1952,INDIRECT("notes_"&amp;LEFT($A$1952,3)),4,0)),0,VLOOKUP($A$1952,INDIRECT("notes_"&amp;LEFT($A$1952,3)),4,0))</f>
        <v>0</v>
      </c>
      <c r="H2175" s="471">
        <f t="shared" si="322"/>
        <v>4</v>
      </c>
      <c r="I2175" s="471">
        <v>1</v>
      </c>
      <c r="J2175" s="471" t="str">
        <f t="shared" si="323"/>
        <v>cencnt-cnd-elc</v>
      </c>
      <c r="K2175" s="471" t="str">
        <f t="shared" si="324"/>
        <v>oth-inc</v>
      </c>
      <c r="L2175" s="599"/>
      <c r="M2175" s="471" t="s">
        <v>6187</v>
      </c>
      <c r="N2175" s="471" t="s">
        <v>1251</v>
      </c>
      <c r="O2175" s="471" t="s">
        <v>1250</v>
      </c>
    </row>
    <row r="2176" spans="1:15" x14ac:dyDescent="0.25">
      <c r="A2176" s="471" t="s">
        <v>6375</v>
      </c>
      <c r="B2176" s="1139">
        <f t="shared" ca="1" si="313"/>
        <v>0</v>
      </c>
      <c r="C2176" s="473">
        <f ca="1">IF(ISERROR(VLOOKUP($A$1953,INDIRECT("notes_"&amp;LEFT($A$1953,3)),4,0)),0,VLOOKUP($A$1953,INDIRECT("notes_"&amp;LEFT($A$1953,3)),4,0))</f>
        <v>0</v>
      </c>
      <c r="H2176" s="471">
        <f t="shared" si="322"/>
        <v>2</v>
      </c>
      <c r="I2176" s="471">
        <v>1</v>
      </c>
      <c r="J2176" s="471" t="str">
        <f t="shared" si="323"/>
        <v>cenemr</v>
      </c>
      <c r="K2176" s="471" t="str">
        <f t="shared" si="324"/>
        <v>oth-inc</v>
      </c>
      <c r="L2176" s="599"/>
      <c r="M2176" s="471" t="s">
        <v>6187</v>
      </c>
      <c r="N2176" s="471" t="s">
        <v>1251</v>
      </c>
      <c r="O2176" s="471" t="s">
        <v>1250</v>
      </c>
    </row>
    <row r="2177" spans="1:15" x14ac:dyDescent="0.25">
      <c r="A2177" s="471" t="s">
        <v>6376</v>
      </c>
      <c r="B2177" s="1139">
        <f t="shared" ca="1" si="313"/>
        <v>0</v>
      </c>
      <c r="C2177" s="473">
        <f ca="1">IF(ISERROR(VLOOKUP($A$1954,INDIRECT("notes_"&amp;LEFT($A$1954,3)),4,0)),0,VLOOKUP($A$1954,INDIRECT("notes_"&amp;LEFT($A$1954,3)),4,0))</f>
        <v>0</v>
      </c>
      <c r="H2177" s="471">
        <f t="shared" si="322"/>
        <v>5</v>
      </c>
      <c r="I2177" s="471">
        <v>1</v>
      </c>
      <c r="J2177" s="471" t="str">
        <f t="shared" si="323"/>
        <v>cencnt-lcl-lnd-chr</v>
      </c>
      <c r="K2177" s="471" t="str">
        <f t="shared" si="324"/>
        <v>oth-inc</v>
      </c>
      <c r="L2177" s="599"/>
      <c r="M2177" s="471" t="s">
        <v>6187</v>
      </c>
      <c r="N2177" s="471" t="s">
        <v>1251</v>
      </c>
      <c r="O2177" s="471" t="s">
        <v>1250</v>
      </c>
    </row>
    <row r="2178" spans="1:15" x14ac:dyDescent="0.25">
      <c r="A2178" s="471" t="s">
        <v>6377</v>
      </c>
      <c r="B2178" s="1139">
        <f t="shared" ca="1" si="313"/>
        <v>0</v>
      </c>
      <c r="C2178" s="473">
        <f ca="1">IF(ISERROR(VLOOKUP($A$1955,INDIRECT("notes_"&amp;LEFT($A$1955,3)),4,0)),0,VLOOKUP($A$1955,INDIRECT("notes_"&amp;LEFT($A$1955,3)),4,0))</f>
        <v>0</v>
      </c>
      <c r="H2178" s="471">
        <f t="shared" si="322"/>
        <v>4</v>
      </c>
      <c r="I2178" s="471">
        <v>1</v>
      </c>
      <c r="J2178" s="471" t="str">
        <f t="shared" si="323"/>
        <v>cencnt-lcl-wlf</v>
      </c>
      <c r="K2178" s="471" t="str">
        <f t="shared" si="324"/>
        <v>oth-inc</v>
      </c>
      <c r="L2178" s="599"/>
      <c r="M2178" s="471" t="s">
        <v>6187</v>
      </c>
      <c r="N2178" s="471" t="s">
        <v>1251</v>
      </c>
      <c r="O2178" s="471" t="s">
        <v>1250</v>
      </c>
    </row>
    <row r="2179" spans="1:15" x14ac:dyDescent="0.25">
      <c r="A2179" s="471" t="s">
        <v>6378</v>
      </c>
      <c r="B2179" s="1139">
        <f t="shared" ca="1" si="313"/>
        <v>0</v>
      </c>
      <c r="C2179" s="473">
        <f ca="1">IF(ISERROR(VLOOKUP($A$1956,INDIRECT("notes_"&amp;LEFT($A$1956,3)),4,0)),0,VLOOKUP($A$1956,INDIRECT("notes_"&amp;LEFT($A$1956,3)),4,0))</f>
        <v>0</v>
      </c>
      <c r="H2179" s="471">
        <f t="shared" si="322"/>
        <v>5</v>
      </c>
      <c r="I2179" s="471">
        <v>1</v>
      </c>
      <c r="J2179" s="471" t="str">
        <f t="shared" si="323"/>
        <v>cencnt-gnr-bqs-dnt</v>
      </c>
      <c r="K2179" s="471" t="str">
        <f t="shared" si="324"/>
        <v>oth-inc</v>
      </c>
      <c r="L2179" s="599"/>
      <c r="M2179" s="471" t="s">
        <v>6187</v>
      </c>
      <c r="N2179" s="471" t="s">
        <v>1251</v>
      </c>
      <c r="O2179" s="471" t="s">
        <v>1250</v>
      </c>
    </row>
    <row r="2180" spans="1:15" x14ac:dyDescent="0.25">
      <c r="A2180" s="471" t="s">
        <v>6379</v>
      </c>
      <c r="B2180" s="1139">
        <f t="shared" ca="1" si="313"/>
        <v>0</v>
      </c>
      <c r="C2180" s="473">
        <f ca="1">IF(ISERROR(VLOOKUP($A$1957,INDIRECT("notes_"&amp;LEFT($A$1957,3)),4,0)),0,VLOOKUP($A$1957,INDIRECT("notes_"&amp;LEFT($A$1957,3)),4,0))</f>
        <v>0</v>
      </c>
      <c r="H2180" s="471">
        <f t="shared" si="322"/>
        <v>2</v>
      </c>
      <c r="I2180" s="471">
        <v>1</v>
      </c>
      <c r="J2180" s="471" t="str">
        <f t="shared" si="323"/>
        <v>cencrn</v>
      </c>
      <c r="K2180" s="471" t="str">
        <f t="shared" si="324"/>
        <v>oth-inc</v>
      </c>
      <c r="L2180" s="599"/>
      <c r="M2180" s="471" t="s">
        <v>6187</v>
      </c>
      <c r="N2180" s="471" t="s">
        <v>1251</v>
      </c>
      <c r="O2180" s="471" t="s">
        <v>1250</v>
      </c>
    </row>
    <row r="2181" spans="1:15" x14ac:dyDescent="0.25">
      <c r="A2181" s="471" t="s">
        <v>6380</v>
      </c>
      <c r="B2181" s="1139">
        <f t="shared" ca="1" si="313"/>
        <v>0</v>
      </c>
      <c r="C2181" s="473">
        <f ca="1">IF(ISERROR(VLOOKUP($A$1958,INDIRECT("notes_"&amp;LEFT($A$1958,3)),4,0)),0,VLOOKUP($A$1958,INDIRECT("notes_"&amp;LEFT($A$1958,3)),4,0))</f>
        <v>0</v>
      </c>
      <c r="H2181" s="471">
        <f t="shared" si="322"/>
        <v>2</v>
      </c>
      <c r="I2181" s="471">
        <v>1</v>
      </c>
      <c r="J2181" s="471" t="str">
        <f t="shared" si="323"/>
        <v>cencrtoth</v>
      </c>
      <c r="K2181" s="471" t="str">
        <f t="shared" si="324"/>
        <v>oth-inc</v>
      </c>
      <c r="L2181" s="599"/>
      <c r="M2181" s="471" t="s">
        <v>6187</v>
      </c>
      <c r="N2181" s="471" t="s">
        <v>1251</v>
      </c>
      <c r="O2181" s="471" t="s">
        <v>1250</v>
      </c>
    </row>
    <row r="2182" spans="1:15" x14ac:dyDescent="0.25">
      <c r="A2182" s="471" t="s">
        <v>6381</v>
      </c>
      <c r="B2182" s="1139">
        <f t="shared" ca="1" si="313"/>
        <v>0</v>
      </c>
      <c r="C2182" s="473">
        <f ca="1">IF(ISERROR(VLOOKUP($A$1959,INDIRECT("notes_"&amp;LEFT($A$1959,3)),4,0)),0,VLOOKUP($A$1959,INDIRECT("notes_"&amp;LEFT($A$1959,3)),4,0))</f>
        <v>0</v>
      </c>
      <c r="H2182" s="471">
        <f t="shared" si="322"/>
        <v>2</v>
      </c>
      <c r="I2182" s="471">
        <v>1</v>
      </c>
      <c r="J2182" s="471" t="str">
        <f t="shared" si="323"/>
        <v>cenndcrtr</v>
      </c>
      <c r="K2182" s="471" t="str">
        <f t="shared" si="324"/>
        <v>oth-inc</v>
      </c>
      <c r="L2182" s="599"/>
      <c r="M2182" s="471" t="s">
        <v>6187</v>
      </c>
      <c r="N2182" s="471" t="s">
        <v>1251</v>
      </c>
      <c r="O2182" s="471" t="s">
        <v>1250</v>
      </c>
    </row>
    <row r="2183" spans="1:15" x14ac:dyDescent="0.25">
      <c r="A2183" s="471" t="s">
        <v>6382</v>
      </c>
      <c r="B2183" s="1139">
        <f t="shared" ca="1" si="313"/>
        <v>0</v>
      </c>
      <c r="C2183" s="473">
        <f ca="1">IF(ISERROR(VLOOKUP($A$1960,INDIRECT("notes_"&amp;LEFT($A$1960,3)),4,0)),0,VLOOKUP($A$1960,INDIRECT("notes_"&amp;LEFT($A$1960,3)),4,0))</f>
        <v>0</v>
      </c>
      <c r="H2183" s="471">
        <f t="shared" si="322"/>
        <v>2</v>
      </c>
      <c r="I2183" s="471">
        <v>1</v>
      </c>
      <c r="J2183" s="471" t="str">
        <f t="shared" si="323"/>
        <v>cenndcit</v>
      </c>
      <c r="K2183" s="471" t="str">
        <f t="shared" si="324"/>
        <v>oth-inc</v>
      </c>
      <c r="L2183" s="599"/>
      <c r="M2183" s="471" t="s">
        <v>6187</v>
      </c>
      <c r="N2183" s="471" t="s">
        <v>1251</v>
      </c>
      <c r="O2183" s="471" t="s">
        <v>1250</v>
      </c>
    </row>
    <row r="2184" spans="1:15" x14ac:dyDescent="0.25">
      <c r="A2184" s="471" t="s">
        <v>6383</v>
      </c>
      <c r="B2184" s="1139">
        <f t="shared" ca="1" si="313"/>
        <v>0</v>
      </c>
      <c r="C2184" s="473">
        <f ca="1">IF(ISERROR(VLOOKUP($A$1961,INDIRECT("notes_"&amp;LEFT($A$1961,3)),4,0)),0,VLOOKUP($A$1961,INDIRECT("notes_"&amp;LEFT($A$1961,3)),4,0))</f>
        <v>0</v>
      </c>
      <c r="H2184" s="471">
        <f t="shared" si="322"/>
        <v>2</v>
      </c>
      <c r="I2184" s="471">
        <v>1</v>
      </c>
      <c r="J2184" s="471" t="str">
        <f t="shared" si="323"/>
        <v>cenndcsrp</v>
      </c>
      <c r="K2184" s="471" t="str">
        <f t="shared" si="324"/>
        <v>oth-inc</v>
      </c>
      <c r="L2184" s="599"/>
      <c r="M2184" s="471" t="s">
        <v>6187</v>
      </c>
      <c r="N2184" s="471" t="s">
        <v>1251</v>
      </c>
      <c r="O2184" s="471" t="s">
        <v>1250</v>
      </c>
    </row>
    <row r="2185" spans="1:15" x14ac:dyDescent="0.25">
      <c r="A2185" s="471" t="s">
        <v>6384</v>
      </c>
      <c r="B2185" s="1139">
        <f t="shared" ref="B2185:B2250" ca="1" si="327">INDEX(INDIRECT(LEFT($A2185,SEARCH("-",$A2185,1)-1)&amp;"_data"),MATCH(MID($A2185,SEARCH("-",$A2185)+1,SEARCH("#",SUBSTITUTE($A2185,"-","#",H2185),1)-(SEARCH("-",$A2185)+1)),INDIRECT(LEFT($A2185,SEARCH("-",$A2185,1)-1)&amp;"_rows"),0),MATCH(RIGHT($A2185,LEN($A2185)-SEARCH("#",SUBSTITUTE($A2185,"-","#",H2185),1)),INDIRECT(LEFT($A2185,SEARCH("-",$A2185,1)-1)&amp;"_Header"),0))</f>
        <v>0</v>
      </c>
      <c r="C2185" s="473">
        <f ca="1">IF(ISERROR(VLOOKUP($A$1962,INDIRECT("notes_"&amp;LEFT($A$1962,3)),4,0)),0,VLOOKUP($A$1962,INDIRECT("notes_"&amp;LEFT($A$1962,3)),4,0))</f>
        <v>0</v>
      </c>
      <c r="H2185" s="471">
        <f t="shared" si="322"/>
        <v>4</v>
      </c>
      <c r="I2185" s="471">
        <v>1</v>
      </c>
      <c r="J2185" s="471" t="str">
        <f t="shared" si="323"/>
        <v>cennd-mng-spp</v>
      </c>
      <c r="K2185" s="471" t="str">
        <f t="shared" si="324"/>
        <v>oth-inc</v>
      </c>
      <c r="L2185" s="599"/>
      <c r="M2185" s="471" t="s">
        <v>6187</v>
      </c>
      <c r="N2185" s="471" t="s">
        <v>1251</v>
      </c>
      <c r="O2185" s="471" t="s">
        <v>1250</v>
      </c>
    </row>
    <row r="2186" spans="1:15" x14ac:dyDescent="0.25">
      <c r="A2186" s="471" t="s">
        <v>6385</v>
      </c>
      <c r="B2186" s="1139">
        <f t="shared" ca="1" si="327"/>
        <v>0</v>
      </c>
      <c r="C2186" s="473">
        <f ca="1">IF(ISERROR(VLOOKUP($A$1963,INDIRECT("notes_"&amp;LEFT($A$1963,3)),4,0)),0,VLOOKUP($A$1963,INDIRECT("notes_"&amp;LEFT($A$1963,3)),4,0))</f>
        <v>0</v>
      </c>
      <c r="H2186" s="471">
        <f t="shared" si="322"/>
        <v>2</v>
      </c>
      <c r="I2186" s="471">
        <v>1</v>
      </c>
      <c r="J2186" s="471" t="str">
        <f t="shared" si="323"/>
        <v>centot</v>
      </c>
      <c r="K2186" s="471" t="str">
        <f t="shared" si="324"/>
        <v>oth-inc</v>
      </c>
      <c r="L2186" s="599"/>
      <c r="M2186" s="471" t="s">
        <v>6187</v>
      </c>
      <c r="N2186" s="471" t="s">
        <v>1251</v>
      </c>
      <c r="O2186" s="471" t="s">
        <v>1250</v>
      </c>
    </row>
    <row r="2187" spans="1:15" x14ac:dyDescent="0.25">
      <c r="A2187" s="1120" t="s">
        <v>6386</v>
      </c>
      <c r="B2187" s="1139">
        <f t="shared" ca="1" si="327"/>
        <v>0</v>
      </c>
      <c r="C2187" s="473">
        <f ca="1">IF(ISERROR(VLOOKUP($A$2187,INDIRECT("notes_"&amp;LEFT($A$2187,3)),4,0)),0,VLOOKUP($A$2187,INDIRECT("notes_"&amp;LEFT($A$2187,3)),4,0))</f>
        <v>0</v>
      </c>
      <c r="H2187" s="471">
        <f t="shared" si="322"/>
        <v>2</v>
      </c>
      <c r="I2187" s="471">
        <v>1</v>
      </c>
      <c r="J2187" s="471" t="str">
        <f t="shared" ref="J2187" si="328">MID($A2187,SEARCH("-",$A2187)+1,SEARCH("#",SUBSTITUTE($A2187,"-","#",H2187),1)-(SEARCH("-",$A2187)+1))</f>
        <v>censvmemrec</v>
      </c>
      <c r="K2187" s="471" t="str">
        <f t="shared" ref="K2187" si="329">RIGHT($A2187,LEN($A2187)-SEARCH("#",SUBSTITUTE($A2187,"-","#",H2187),1))</f>
        <v>oth-inc</v>
      </c>
      <c r="L2187" s="599"/>
      <c r="M2187" s="471" t="s">
        <v>6187</v>
      </c>
      <c r="N2187" s="471" t="s">
        <v>1251</v>
      </c>
      <c r="O2187" s="471" t="s">
        <v>1250</v>
      </c>
    </row>
    <row r="2188" spans="1:15" x14ac:dyDescent="0.25">
      <c r="A2188" s="471" t="s">
        <v>2251</v>
      </c>
      <c r="B2188" s="1139">
        <f t="shared" ca="1" si="327"/>
        <v>0</v>
      </c>
      <c r="C2188" s="473">
        <f ca="1">IF(ISERROR(VLOOKUP(A2188,INDIRECT("notes_"&amp;LEFT(A2188,3)),4,0)),0,VLOOKUP(A2188,INDIRECT("notes_"&amp;LEFT(A2188,3)),4,0))</f>
        <v>0</v>
      </c>
      <c r="H2188" s="471">
        <f t="shared" si="322"/>
        <v>4</v>
      </c>
      <c r="I2188" s="471">
        <v>1</v>
      </c>
      <c r="J2188" s="471" t="str">
        <f t="shared" si="323"/>
        <v>cennd-rch-cen</v>
      </c>
      <c r="K2188" s="471" t="str">
        <f t="shared" si="324"/>
        <v>oth-inc</v>
      </c>
      <c r="L2188" s="599"/>
      <c r="M2188" s="471" t="s">
        <v>6187</v>
      </c>
      <c r="N2188" s="471" t="s">
        <v>1251</v>
      </c>
      <c r="O2188" s="471" t="s">
        <v>1250</v>
      </c>
    </row>
    <row r="2189" spans="1:15" x14ac:dyDescent="0.25">
      <c r="A2189" s="471" t="s">
        <v>2252</v>
      </c>
      <c r="B2189" s="1139">
        <f t="shared" ca="1" si="327"/>
        <v>0</v>
      </c>
      <c r="C2189" s="473">
        <f ca="1">IF(ISERROR(VLOOKUP(A2189,INDIRECT("notes_"&amp;LEFT(A2189,3)),4,0)),0,VLOOKUP(A2189,INDIRECT("notes_"&amp;LEFT(A2189,3)),4,0))</f>
        <v>0</v>
      </c>
      <c r="H2189" s="471">
        <f t="shared" ref="H2189:H2253" si="330">LEN(A2189)-LEN(SUBSTITUTE(A2189,"-",""))-I2189</f>
        <v>4</v>
      </c>
      <c r="I2189" s="471">
        <v>1</v>
      </c>
      <c r="J2189" s="471" t="str">
        <f t="shared" ref="J2189:J2253" si="331">MID($A2189,SEARCH("-",$A2189)+1,SEARCH("#",SUBSTITUTE($A2189,"-","#",H2189),1)-(SEARCH("-",$A2189)+1))</f>
        <v>cennd-rch-gfra</v>
      </c>
      <c r="K2189" s="471" t="str">
        <f t="shared" ref="K2189:K2253" si="332">RIGHT($A2189,LEN($A2189)-SEARCH("#",SUBSTITUTE($A2189,"-","#",H2189),1))</f>
        <v>oth-inc</v>
      </c>
      <c r="L2189" s="599"/>
      <c r="M2189" s="471" t="s">
        <v>6187</v>
      </c>
      <c r="N2189" s="471" t="s">
        <v>1251</v>
      </c>
      <c r="O2189" s="471" t="s">
        <v>1250</v>
      </c>
    </row>
    <row r="2190" spans="1:15" x14ac:dyDescent="0.25">
      <c r="A2190" s="471" t="s">
        <v>2253</v>
      </c>
      <c r="B2190" s="1139">
        <f t="shared" ca="1" si="327"/>
        <v>0</v>
      </c>
      <c r="C2190" s="473">
        <f ca="1">IF(ISERROR(VLOOKUP(A2190,INDIRECT("notes_"&amp;LEFT(A2190,3)),4,0)),0,VLOOKUP(A2190,INDIRECT("notes_"&amp;LEFT(A2190,3)),4,0))</f>
        <v>0</v>
      </c>
      <c r="H2190" s="471">
        <f t="shared" si="330"/>
        <v>5</v>
      </c>
      <c r="I2190" s="471">
        <v>1</v>
      </c>
      <c r="J2190" s="471" t="str">
        <f t="shared" si="331"/>
        <v>cennd-rch-cen-gov</v>
      </c>
      <c r="K2190" s="471" t="str">
        <f t="shared" si="332"/>
        <v>oth-inc</v>
      </c>
      <c r="L2190" s="599"/>
      <c r="M2190" s="471" t="s">
        <v>6187</v>
      </c>
      <c r="N2190" s="471" t="s">
        <v>1251</v>
      </c>
      <c r="O2190" s="471" t="s">
        <v>1250</v>
      </c>
    </row>
    <row r="2191" spans="1:15" x14ac:dyDescent="0.25">
      <c r="A2191" s="471" t="s">
        <v>2254</v>
      </c>
      <c r="B2191" s="1139">
        <f t="shared" ca="1" si="327"/>
        <v>0</v>
      </c>
      <c r="C2191" s="473">
        <f ca="1">IF(ISERROR(VLOOKUP(A2191,INDIRECT("notes_"&amp;LEFT(A2191,3)),4,0)),0,VLOOKUP(A2191,INDIRECT("notes_"&amp;LEFT(A2191,3)),4,0))</f>
        <v>0</v>
      </c>
      <c r="H2191" s="471">
        <f t="shared" si="330"/>
        <v>5</v>
      </c>
      <c r="I2191" s="471">
        <v>1</v>
      </c>
      <c r="J2191" s="471" t="str">
        <f t="shared" si="331"/>
        <v>cennd-rch-oth-acc</v>
      </c>
      <c r="K2191" s="471" t="str">
        <f t="shared" si="332"/>
        <v>oth-inc</v>
      </c>
      <c r="L2191" s="599"/>
      <c r="M2191" s="471" t="s">
        <v>6187</v>
      </c>
      <c r="N2191" s="471" t="s">
        <v>1251</v>
      </c>
      <c r="O2191" s="471" t="s">
        <v>1250</v>
      </c>
    </row>
    <row r="2192" spans="1:15" x14ac:dyDescent="0.25">
      <c r="A2192" s="471" t="s">
        <v>2255</v>
      </c>
      <c r="B2192" s="1139">
        <f t="shared" ca="1" si="327"/>
        <v>0</v>
      </c>
      <c r="C2192" s="473">
        <f ca="1">IF(ISERROR(VLOOKUP(A2192,INDIRECT("notes_"&amp;LEFT(A2192,3)),4,0)),0,VLOOKUP(A2192,INDIRECT("notes_"&amp;LEFT(A2192,3)),4,0))</f>
        <v>0</v>
      </c>
      <c r="H2192" s="471">
        <f t="shared" si="330"/>
        <v>3</v>
      </c>
      <c r="I2192" s="471">
        <v>1</v>
      </c>
      <c r="J2192" s="471" t="str">
        <f t="shared" si="331"/>
        <v>cennd-oth</v>
      </c>
      <c r="K2192" s="471" t="str">
        <f t="shared" si="332"/>
        <v>oth-inc</v>
      </c>
      <c r="L2192" s="599"/>
      <c r="M2192" s="471" t="s">
        <v>6187</v>
      </c>
      <c r="N2192" s="471" t="s">
        <v>1251</v>
      </c>
      <c r="O2192" s="471" t="s">
        <v>1250</v>
      </c>
    </row>
    <row r="2193" spans="1:15" x14ac:dyDescent="0.25">
      <c r="A2193" s="471" t="s">
        <v>6387</v>
      </c>
      <c r="B2193" s="1139">
        <f t="shared" ca="1" si="327"/>
        <v>0</v>
      </c>
      <c r="C2193" s="473">
        <f ca="1">IF(ISERROR(VLOOKUP($A$1964,INDIRECT("notes_"&amp;LEFT($A$1964,3)),4,0)),0,VLOOKUP($A$1964,INDIRECT("notes_"&amp;LEFT($A$1964,3)),4,0))</f>
        <v>0</v>
      </c>
      <c r="H2193" s="471">
        <f t="shared" si="330"/>
        <v>2</v>
      </c>
      <c r="I2193" s="471">
        <v>1</v>
      </c>
      <c r="J2193" s="471" t="str">
        <f t="shared" si="331"/>
        <v>cenothtot</v>
      </c>
      <c r="K2193" s="471" t="str">
        <f t="shared" si="332"/>
        <v>oth-inc</v>
      </c>
      <c r="L2193" s="599"/>
      <c r="M2193" s="471" t="s">
        <v>6187</v>
      </c>
      <c r="N2193" s="471" t="s">
        <v>1251</v>
      </c>
      <c r="O2193" s="471" t="s">
        <v>1250</v>
      </c>
    </row>
    <row r="2194" spans="1:15" x14ac:dyDescent="0.25">
      <c r="A2194" s="1120" t="s">
        <v>6388</v>
      </c>
      <c r="B2194" s="1139">
        <f t="shared" ca="1" si="327"/>
        <v>0</v>
      </c>
      <c r="C2194" s="473">
        <f ca="1">IF(ISERROR(VLOOKUP($A$2194,INDIRECT("notes_"&amp;LEFT($A$2194,3)),4,0)),0,VLOOKUP($A$2194,INDIRECT("notes_"&amp;LEFT($A$2194,3)),4,0))</f>
        <v>0</v>
      </c>
      <c r="H2194" s="471">
        <f t="shared" si="330"/>
        <v>2</v>
      </c>
      <c r="I2194" s="471">
        <v>1</v>
      </c>
      <c r="J2194" s="471" t="str">
        <f t="shared" ref="J2194" si="333">MID($A2194,SEARCH("-",$A2194)+1,SEARCH("#",SUBSTITUTE($A2194,"-","#",H2194),1)-(SEARCH("-",$A2194)+1))</f>
        <v>cenothsvmemrec</v>
      </c>
      <c r="K2194" s="471" t="str">
        <f t="shared" ref="K2194" si="334">RIGHT($A2194,LEN($A2194)-SEARCH("#",SUBSTITUTE($A2194,"-","#",H2194),1))</f>
        <v>oth-inc</v>
      </c>
      <c r="L2194" s="599"/>
      <c r="M2194" s="471" t="s">
        <v>6187</v>
      </c>
      <c r="N2194" s="471" t="s">
        <v>1251</v>
      </c>
      <c r="O2194" s="471" t="s">
        <v>1250</v>
      </c>
    </row>
    <row r="2195" spans="1:15" x14ac:dyDescent="0.25">
      <c r="A2195" s="471" t="s">
        <v>6389</v>
      </c>
      <c r="B2195" s="1139">
        <f t="shared" ca="1" si="327"/>
        <v>0</v>
      </c>
      <c r="C2195" s="473">
        <f ca="1">IF(ISERROR(VLOOKUP($A$1965,INDIRECT("notes_"&amp;LEFT($A$1965,3)),4,0)),0,VLOOKUP($A$1965,INDIRECT("notes_"&amp;LEFT($A$1965,3)),4,0))</f>
        <v>0</v>
      </c>
      <c r="G2195" s="471" t="str">
        <f>IF(ISNUMBER(SEARCH("specify",'RO6'!C131)),"",'RO6'!C131)</f>
        <v/>
      </c>
      <c r="H2195" s="471">
        <f t="shared" si="330"/>
        <v>3</v>
      </c>
      <c r="I2195" s="471">
        <v>1</v>
      </c>
      <c r="J2195" s="471" t="str">
        <f t="shared" si="331"/>
        <v>cenoth1-n cenoth1</v>
      </c>
      <c r="K2195" s="471" t="str">
        <f t="shared" si="332"/>
        <v>oth-inc</v>
      </c>
      <c r="L2195" s="599"/>
      <c r="M2195" s="471" t="s">
        <v>6187</v>
      </c>
      <c r="N2195" s="471" t="s">
        <v>1251</v>
      </c>
      <c r="O2195" s="471" t="s">
        <v>1250</v>
      </c>
    </row>
    <row r="2196" spans="1:15" x14ac:dyDescent="0.25">
      <c r="A2196" s="471" t="s">
        <v>6390</v>
      </c>
      <c r="B2196" s="1139">
        <f t="shared" ca="1" si="327"/>
        <v>0</v>
      </c>
      <c r="C2196" s="473">
        <f ca="1">IF(ISERROR(VLOOKUP($A$1966,INDIRECT("notes_"&amp;LEFT($A$1966,3)),4,0)),0,VLOOKUP($A$1966,INDIRECT("notes_"&amp;LEFT($A$1966,3)),4,0))</f>
        <v>0</v>
      </c>
      <c r="G2196" s="471" t="str">
        <f>IF(ISNUMBER(SEARCH("specify",'RO6'!C132)),"",'RO6'!C132)</f>
        <v/>
      </c>
      <c r="H2196" s="471">
        <f t="shared" si="330"/>
        <v>3</v>
      </c>
      <c r="I2196" s="471">
        <v>1</v>
      </c>
      <c r="J2196" s="471" t="str">
        <f t="shared" si="331"/>
        <v>cenoth2-n cenoth2</v>
      </c>
      <c r="K2196" s="471" t="str">
        <f t="shared" si="332"/>
        <v>oth-inc</v>
      </c>
      <c r="L2196" s="599"/>
      <c r="M2196" s="471" t="s">
        <v>6187</v>
      </c>
      <c r="N2196" s="471" t="s">
        <v>1251</v>
      </c>
      <c r="O2196" s="471" t="s">
        <v>1250</v>
      </c>
    </row>
    <row r="2197" spans="1:15" x14ac:dyDescent="0.25">
      <c r="A2197" s="471" t="s">
        <v>6391</v>
      </c>
      <c r="B2197" s="1139">
        <f t="shared" ca="1" si="327"/>
        <v>0</v>
      </c>
      <c r="C2197" s="473">
        <f ca="1">IF(ISERROR(VLOOKUP($A$1967,INDIRECT("notes_"&amp;LEFT($A$1967,3)),4,0)),0,VLOOKUP($A$1967,INDIRECT("notes_"&amp;LEFT($A$1967,3)),4,0))</f>
        <v>0</v>
      </c>
      <c r="G2197" s="471" t="str">
        <f>IF(ISNUMBER(SEARCH("specify",'RO6'!C133)),"",'RO6'!C133)</f>
        <v/>
      </c>
      <c r="H2197" s="471">
        <f t="shared" si="330"/>
        <v>3</v>
      </c>
      <c r="I2197" s="471">
        <v>1</v>
      </c>
      <c r="J2197" s="471" t="str">
        <f t="shared" si="331"/>
        <v>cenoth3-n cenoth3</v>
      </c>
      <c r="K2197" s="471" t="str">
        <f t="shared" si="332"/>
        <v>oth-inc</v>
      </c>
      <c r="L2197" s="599"/>
      <c r="M2197" s="471" t="s">
        <v>6187</v>
      </c>
      <c r="N2197" s="471" t="s">
        <v>1251</v>
      </c>
      <c r="O2197" s="471" t="s">
        <v>1250</v>
      </c>
    </row>
    <row r="2198" spans="1:15" x14ac:dyDescent="0.25">
      <c r="A2198" s="471" t="s">
        <v>6392</v>
      </c>
      <c r="B2198" s="1139">
        <f t="shared" ca="1" si="327"/>
        <v>0</v>
      </c>
      <c r="C2198" s="473">
        <f ca="1">IF(ISERROR(VLOOKUP($A$1968,INDIRECT("notes_"&amp;LEFT($A$1968,3)),4,0)),0,VLOOKUP($A$1968,INDIRECT("notes_"&amp;LEFT($A$1968,3)),4,0))</f>
        <v>0</v>
      </c>
      <c r="G2198" s="471" t="str">
        <f>IF(ISNUMBER(SEARCH("specify",'RO6'!C134)),"",'RO6'!C134)</f>
        <v/>
      </c>
      <c r="H2198" s="471">
        <f t="shared" si="330"/>
        <v>3</v>
      </c>
      <c r="I2198" s="471">
        <v>1</v>
      </c>
      <c r="J2198" s="471" t="str">
        <f t="shared" si="331"/>
        <v>cenoth4-n cenoth4</v>
      </c>
      <c r="K2198" s="471" t="str">
        <f t="shared" si="332"/>
        <v>oth-inc</v>
      </c>
      <c r="L2198" s="599"/>
      <c r="M2198" s="471" t="s">
        <v>6187</v>
      </c>
      <c r="N2198" s="471" t="s">
        <v>1251</v>
      </c>
      <c r="O2198" s="471" t="s">
        <v>1250</v>
      </c>
    </row>
    <row r="2199" spans="1:15" x14ac:dyDescent="0.25">
      <c r="A2199" s="471" t="s">
        <v>6393</v>
      </c>
      <c r="B2199" s="1139">
        <f t="shared" ca="1" si="327"/>
        <v>0</v>
      </c>
      <c r="C2199" s="473">
        <f ca="1">IF(ISERROR(VLOOKUP($A$1969,INDIRECT("notes_"&amp;LEFT($A$1969,3)),4,0)),0,VLOOKUP($A$1969,INDIRECT("notes_"&amp;LEFT($A$1969,3)),4,0))</f>
        <v>0</v>
      </c>
      <c r="G2199" s="471" t="str">
        <f>IF(ISNUMBER(SEARCH("specify",'RO6'!C135)),"",'RO6'!C135)</f>
        <v/>
      </c>
      <c r="H2199" s="471">
        <f t="shared" si="330"/>
        <v>3</v>
      </c>
      <c r="I2199" s="471">
        <v>1</v>
      </c>
      <c r="J2199" s="471" t="str">
        <f t="shared" si="331"/>
        <v>cenoth5-n cenoth5</v>
      </c>
      <c r="K2199" s="471" t="str">
        <f t="shared" si="332"/>
        <v>oth-inc</v>
      </c>
      <c r="L2199" s="599"/>
      <c r="M2199" s="471" t="s">
        <v>6187</v>
      </c>
      <c r="N2199" s="471" t="s">
        <v>1251</v>
      </c>
      <c r="O2199" s="471" t="s">
        <v>1250</v>
      </c>
    </row>
    <row r="2200" spans="1:15" x14ac:dyDescent="0.25">
      <c r="A2200" s="471" t="s">
        <v>6394</v>
      </c>
      <c r="B2200" s="1139">
        <f t="shared" ca="1" si="327"/>
        <v>0</v>
      </c>
      <c r="C2200" s="473">
        <f ca="1">IF(ISERROR(VLOOKUP($A$1970,INDIRECT("notes_"&amp;LEFT($A$1970,3)),4,0)),0,VLOOKUP($A$1970,INDIRECT("notes_"&amp;LEFT($A$1970,3)),4,0))</f>
        <v>0</v>
      </c>
      <c r="G2200" s="471" t="str">
        <f>IF(ISNUMBER(SEARCH("specify",'RO6'!C136)),"",'RO6'!C136)</f>
        <v/>
      </c>
      <c r="H2200" s="471">
        <f t="shared" si="330"/>
        <v>3</v>
      </c>
      <c r="I2200" s="471">
        <v>1</v>
      </c>
      <c r="J2200" s="471" t="str">
        <f t="shared" si="331"/>
        <v>cenoth6-n cenoth6</v>
      </c>
      <c r="K2200" s="471" t="str">
        <f t="shared" si="332"/>
        <v>oth-inc</v>
      </c>
      <c r="L2200" s="599"/>
      <c r="M2200" s="471" t="s">
        <v>6187</v>
      </c>
      <c r="N2200" s="471" t="s">
        <v>1251</v>
      </c>
      <c r="O2200" s="471" t="s">
        <v>1250</v>
      </c>
    </row>
    <row r="2201" spans="1:15" x14ac:dyDescent="0.25">
      <c r="A2201" s="471" t="s">
        <v>6395</v>
      </c>
      <c r="B2201" s="1139">
        <f t="shared" ca="1" si="327"/>
        <v>0</v>
      </c>
      <c r="C2201" s="473">
        <f ca="1">IF(ISERROR(VLOOKUP($A$1971,INDIRECT("notes_"&amp;LEFT($A$1971,3)),4,0)),0,VLOOKUP($A$1971,INDIRECT("notes_"&amp;LEFT($A$1971,3)),4,0))</f>
        <v>0</v>
      </c>
      <c r="G2201" s="471" t="str">
        <f>IF(ISNUMBER(SEARCH("specify",'RO6'!C137)),"",'RO6'!C137)</f>
        <v/>
      </c>
      <c r="H2201" s="471">
        <f t="shared" si="330"/>
        <v>3</v>
      </c>
      <c r="I2201" s="471">
        <v>1</v>
      </c>
      <c r="J2201" s="471" t="str">
        <f t="shared" si="331"/>
        <v>cenoth7-n cenoth7</v>
      </c>
      <c r="K2201" s="471" t="str">
        <f t="shared" si="332"/>
        <v>oth-inc</v>
      </c>
      <c r="L2201" s="599"/>
      <c r="M2201" s="471" t="s">
        <v>6187</v>
      </c>
      <c r="N2201" s="471" t="s">
        <v>1251</v>
      </c>
      <c r="O2201" s="471" t="s">
        <v>1250</v>
      </c>
    </row>
    <row r="2202" spans="1:15" x14ac:dyDescent="0.25">
      <c r="A2202" s="471" t="s">
        <v>6396</v>
      </c>
      <c r="B2202" s="1139">
        <f t="shared" ca="1" si="327"/>
        <v>0</v>
      </c>
      <c r="C2202" s="473">
        <f ca="1">IF(ISERROR(VLOOKUP($A$1972,INDIRECT("notes_"&amp;LEFT($A$1972,3)),4,0)),0,VLOOKUP($A$1972,INDIRECT("notes_"&amp;LEFT($A$1972,3)),4,0))</f>
        <v>0</v>
      </c>
      <c r="G2202" s="471" t="str">
        <f>IF(ISNUMBER(SEARCH("specify",'RO6'!C138)),"",'RO6'!C138)</f>
        <v/>
      </c>
      <c r="H2202" s="471">
        <f t="shared" si="330"/>
        <v>3</v>
      </c>
      <c r="I2202" s="471">
        <v>1</v>
      </c>
      <c r="J2202" s="471" t="str">
        <f t="shared" si="331"/>
        <v>cenoth8-n cenoth8</v>
      </c>
      <c r="K2202" s="471" t="str">
        <f t="shared" si="332"/>
        <v>oth-inc</v>
      </c>
      <c r="L2202" s="599"/>
      <c r="M2202" s="471" t="s">
        <v>6187</v>
      </c>
      <c r="N2202" s="471" t="s">
        <v>1251</v>
      </c>
      <c r="O2202" s="471" t="s">
        <v>1250</v>
      </c>
    </row>
    <row r="2203" spans="1:15" x14ac:dyDescent="0.25">
      <c r="A2203" s="471" t="s">
        <v>6397</v>
      </c>
      <c r="B2203" s="1139">
        <f t="shared" ca="1" si="327"/>
        <v>0</v>
      </c>
      <c r="C2203" s="473">
        <f ca="1">IF(ISERROR(VLOOKUP($A$1973,INDIRECT("notes_"&amp;LEFT($A$1973,3)),4,0)),0,VLOOKUP($A$1973,INDIRECT("notes_"&amp;LEFT($A$1973,3)),4,0))</f>
        <v>0</v>
      </c>
      <c r="G2203" s="471" t="str">
        <f>IF(ISNUMBER(SEARCH("specify",'RO6'!C139)),"",'RO6'!C139)</f>
        <v/>
      </c>
      <c r="H2203" s="471">
        <f t="shared" si="330"/>
        <v>3</v>
      </c>
      <c r="I2203" s="471">
        <v>1</v>
      </c>
      <c r="J2203" s="471" t="str">
        <f t="shared" si="331"/>
        <v>cenoth9-n cenoth9</v>
      </c>
      <c r="K2203" s="471" t="str">
        <f t="shared" si="332"/>
        <v>oth-inc</v>
      </c>
      <c r="L2203" s="599"/>
      <c r="M2203" s="471" t="s">
        <v>6187</v>
      </c>
      <c r="N2203" s="471" t="s">
        <v>1251</v>
      </c>
      <c r="O2203" s="471" t="s">
        <v>1250</v>
      </c>
    </row>
    <row r="2204" spans="1:15" x14ac:dyDescent="0.25">
      <c r="A2204" s="471" t="s">
        <v>6398</v>
      </c>
      <c r="B2204" s="1139">
        <f t="shared" ca="1" si="327"/>
        <v>0</v>
      </c>
      <c r="C2204" s="473">
        <f ca="1">IF(ISERROR(VLOOKUP($A$1974,INDIRECT("notes_"&amp;LEFT($A$1974,3)),4,0)),0,VLOOKUP($A$1974,INDIRECT("notes_"&amp;LEFT($A$1974,3)),4,0))</f>
        <v>0</v>
      </c>
      <c r="G2204" s="471" t="str">
        <f>IF(ISNUMBER(SEARCH("specify",'RO6'!C140)),"",'RO6'!C140)</f>
        <v/>
      </c>
      <c r="H2204" s="471">
        <f t="shared" si="330"/>
        <v>3</v>
      </c>
      <c r="I2204" s="471">
        <v>1</v>
      </c>
      <c r="J2204" s="471" t="str">
        <f t="shared" si="331"/>
        <v>cenoth10-n cenoth10</v>
      </c>
      <c r="K2204" s="471" t="str">
        <f t="shared" si="332"/>
        <v>oth-inc</v>
      </c>
      <c r="L2204" s="599"/>
      <c r="M2204" s="471" t="s">
        <v>6187</v>
      </c>
      <c r="N2204" s="471" t="s">
        <v>1251</v>
      </c>
      <c r="O2204" s="471" t="s">
        <v>1250</v>
      </c>
    </row>
    <row r="2205" spans="1:15" x14ac:dyDescent="0.25">
      <c r="A2205" s="471" t="s">
        <v>6399</v>
      </c>
      <c r="B2205" s="1139">
        <f t="shared" ca="1" si="327"/>
        <v>0</v>
      </c>
      <c r="C2205" s="473">
        <f ca="1">IF(ISERROR(VLOOKUP($A$1975,INDIRECT("notes_"&amp;LEFT($A$1975,3)),4,0)),0,VLOOKUP($A$1975,INDIRECT("notes_"&amp;LEFT($A$1975,3)),4,0))</f>
        <v>0</v>
      </c>
      <c r="G2205" s="471" t="str">
        <f>IF(ISNUMBER(SEARCH("specify",'RO6'!C141)),"",'RO6'!C141)</f>
        <v/>
      </c>
      <c r="H2205" s="471">
        <f t="shared" si="330"/>
        <v>3</v>
      </c>
      <c r="I2205" s="471">
        <v>1</v>
      </c>
      <c r="J2205" s="471" t="str">
        <f t="shared" si="331"/>
        <v>cenoth11-n cenoth11</v>
      </c>
      <c r="K2205" s="471" t="str">
        <f t="shared" si="332"/>
        <v>oth-inc</v>
      </c>
      <c r="L2205" s="599"/>
      <c r="M2205" s="471" t="s">
        <v>6187</v>
      </c>
      <c r="N2205" s="471" t="s">
        <v>1251</v>
      </c>
      <c r="O2205" s="471" t="s">
        <v>1250</v>
      </c>
    </row>
    <row r="2206" spans="1:15" x14ac:dyDescent="0.25">
      <c r="A2206" s="471" t="s">
        <v>6400</v>
      </c>
      <c r="B2206" s="1139">
        <f t="shared" ca="1" si="327"/>
        <v>0</v>
      </c>
      <c r="C2206" s="473">
        <f ca="1">IF(ISERROR(VLOOKUP($A$1976,INDIRECT("notes_"&amp;LEFT($A$1976,3)),4,0)),0,VLOOKUP($A$1976,INDIRECT("notes_"&amp;LEFT($A$1976,3)),4,0))</f>
        <v>0</v>
      </c>
      <c r="G2206" s="471" t="str">
        <f>IF(ISNUMBER(SEARCH("specify",'RO6'!C142)),"",'RO6'!C142)</f>
        <v/>
      </c>
      <c r="H2206" s="471">
        <f t="shared" si="330"/>
        <v>3</v>
      </c>
      <c r="I2206" s="471">
        <v>1</v>
      </c>
      <c r="J2206" s="471" t="str">
        <f t="shared" si="331"/>
        <v>cenoth12-n cenoth12</v>
      </c>
      <c r="K2206" s="471" t="str">
        <f t="shared" si="332"/>
        <v>oth-inc</v>
      </c>
      <c r="L2206" s="599"/>
      <c r="M2206" s="471" t="s">
        <v>6187</v>
      </c>
      <c r="N2206" s="471" t="s">
        <v>1251</v>
      </c>
      <c r="O2206" s="471" t="s">
        <v>1250</v>
      </c>
    </row>
    <row r="2207" spans="1:15" x14ac:dyDescent="0.25">
      <c r="A2207" s="471" t="s">
        <v>6401</v>
      </c>
      <c r="B2207" s="1139">
        <f t="shared" ca="1" si="327"/>
        <v>0</v>
      </c>
      <c r="C2207" s="473">
        <f ca="1">IF(ISERROR(VLOOKUP($A$1977,INDIRECT("notes_"&amp;LEFT($A$1977,3)),4,0)),0,VLOOKUP($A$1977,INDIRECT("notes_"&amp;LEFT($A$1977,3)),4,0))</f>
        <v>0</v>
      </c>
      <c r="G2207" s="471" t="str">
        <f>IF(ISNUMBER(SEARCH("specify",'RO6'!C143)),"",'RO6'!C143)</f>
        <v/>
      </c>
      <c r="H2207" s="471">
        <f t="shared" si="330"/>
        <v>3</v>
      </c>
      <c r="I2207" s="471">
        <v>1</v>
      </c>
      <c r="J2207" s="471" t="str">
        <f t="shared" si="331"/>
        <v>cenoth13-n cenoth13</v>
      </c>
      <c r="K2207" s="471" t="str">
        <f t="shared" si="332"/>
        <v>oth-inc</v>
      </c>
      <c r="L2207" s="599"/>
      <c r="M2207" s="471" t="s">
        <v>6187</v>
      </c>
      <c r="N2207" s="471" t="s">
        <v>1251</v>
      </c>
      <c r="O2207" s="471" t="s">
        <v>1250</v>
      </c>
    </row>
    <row r="2208" spans="1:15" x14ac:dyDescent="0.25">
      <c r="A2208" s="471" t="s">
        <v>6402</v>
      </c>
      <c r="B2208" s="1139">
        <f t="shared" ca="1" si="327"/>
        <v>0</v>
      </c>
      <c r="C2208" s="473">
        <f ca="1">IF(ISERROR(VLOOKUP($A$1978,INDIRECT("notes_"&amp;LEFT($A$1978,3)),4,0)),0,VLOOKUP($A$1978,INDIRECT("notes_"&amp;LEFT($A$1978,3)),4,0))</f>
        <v>0</v>
      </c>
      <c r="G2208" s="471" t="str">
        <f>IF(ISNUMBER(SEARCH("specify",'RO6'!C144)),"",'RO6'!C144)</f>
        <v/>
      </c>
      <c r="H2208" s="471">
        <f t="shared" si="330"/>
        <v>3</v>
      </c>
      <c r="I2208" s="471">
        <v>1</v>
      </c>
      <c r="J2208" s="471" t="str">
        <f t="shared" si="331"/>
        <v>cenoth14-n cenoth14</v>
      </c>
      <c r="K2208" s="471" t="str">
        <f t="shared" si="332"/>
        <v>oth-inc</v>
      </c>
      <c r="L2208" s="599"/>
      <c r="M2208" s="471" t="s">
        <v>6187</v>
      </c>
      <c r="N2208" s="471" t="s">
        <v>1251</v>
      </c>
      <c r="O2208" s="471" t="s">
        <v>1250</v>
      </c>
    </row>
    <row r="2209" spans="1:15" x14ac:dyDescent="0.25">
      <c r="A2209" s="471" t="s">
        <v>6403</v>
      </c>
      <c r="B2209" s="1139">
        <f t="shared" ca="1" si="327"/>
        <v>0</v>
      </c>
      <c r="C2209" s="473">
        <f ca="1">IF(ISERROR(VLOOKUP($A$1979,INDIRECT("notes_"&amp;LEFT($A$1979,3)),4,0)),0,VLOOKUP($A$1979,INDIRECT("notes_"&amp;LEFT($A$1979,3)),4,0))</f>
        <v>0</v>
      </c>
      <c r="G2209" s="471" t="str">
        <f>IF(ISNUMBER(SEARCH("specify",'RO6'!C145)),"",'RO6'!C145)</f>
        <v/>
      </c>
      <c r="H2209" s="471">
        <f t="shared" si="330"/>
        <v>3</v>
      </c>
      <c r="I2209" s="471">
        <v>1</v>
      </c>
      <c r="J2209" s="471" t="str">
        <f t="shared" si="331"/>
        <v>cenoth15-n cenoth15</v>
      </c>
      <c r="K2209" s="471" t="str">
        <f t="shared" si="332"/>
        <v>oth-inc</v>
      </c>
      <c r="L2209" s="599"/>
      <c r="M2209" s="471" t="s">
        <v>6187</v>
      </c>
      <c r="N2209" s="471" t="s">
        <v>1251</v>
      </c>
      <c r="O2209" s="471" t="s">
        <v>1250</v>
      </c>
    </row>
    <row r="2210" spans="1:15" x14ac:dyDescent="0.25">
      <c r="A2210" s="471" t="s">
        <v>6404</v>
      </c>
      <c r="B2210" s="1139">
        <f t="shared" ca="1" si="327"/>
        <v>0</v>
      </c>
      <c r="C2210" s="473">
        <f ca="1">IF(ISERROR(VLOOKUP($A$1980,INDIRECT("notes_"&amp;LEFT($A$1980,3)),4,0)),0,VLOOKUP($A$1980,INDIRECT("notes_"&amp;LEFT($A$1980,3)),4,0))</f>
        <v>0</v>
      </c>
      <c r="G2210" s="471" t="str">
        <f>IF(ISNUMBER(SEARCH("specify",'RO6'!C146)),"",'RO6'!C146)</f>
        <v/>
      </c>
      <c r="H2210" s="471">
        <f t="shared" si="330"/>
        <v>3</v>
      </c>
      <c r="I2210" s="471">
        <v>1</v>
      </c>
      <c r="J2210" s="471" t="str">
        <f t="shared" si="331"/>
        <v>cenoth16-n cenoth16</v>
      </c>
      <c r="K2210" s="471" t="str">
        <f t="shared" si="332"/>
        <v>oth-inc</v>
      </c>
      <c r="L2210" s="599"/>
      <c r="M2210" s="471" t="s">
        <v>6187</v>
      </c>
      <c r="N2210" s="471" t="s">
        <v>1251</v>
      </c>
      <c r="O2210" s="471" t="s">
        <v>1250</v>
      </c>
    </row>
    <row r="2211" spans="1:15" x14ac:dyDescent="0.25">
      <c r="A2211" s="471" t="s">
        <v>6405</v>
      </c>
      <c r="B2211" s="1139">
        <f t="shared" ca="1" si="327"/>
        <v>0</v>
      </c>
      <c r="C2211" s="473">
        <f ca="1">IF(ISERROR(VLOOKUP($A$1981,INDIRECT("notes_"&amp;LEFT($A$1981,3)),4,0)),0,VLOOKUP($A$1981,INDIRECT("notes_"&amp;LEFT($A$1981,3)),4,0))</f>
        <v>0</v>
      </c>
      <c r="G2211" s="471" t="str">
        <f>IF(ISNUMBER(SEARCH("specify",'RO6'!C147)),"",'RO6'!C147)</f>
        <v/>
      </c>
      <c r="H2211" s="471">
        <f t="shared" si="330"/>
        <v>3</v>
      </c>
      <c r="I2211" s="471">
        <v>1</v>
      </c>
      <c r="J2211" s="471" t="str">
        <f t="shared" si="331"/>
        <v>cenoth17-n cenoth17</v>
      </c>
      <c r="K2211" s="471" t="str">
        <f t="shared" si="332"/>
        <v>oth-inc</v>
      </c>
      <c r="L2211" s="599"/>
      <c r="M2211" s="471" t="s">
        <v>6187</v>
      </c>
      <c r="N2211" s="471" t="s">
        <v>1251</v>
      </c>
      <c r="O2211" s="471" t="s">
        <v>1250</v>
      </c>
    </row>
    <row r="2212" spans="1:15" x14ac:dyDescent="0.25">
      <c r="A2212" s="471" t="s">
        <v>6406</v>
      </c>
      <c r="B2212" s="1139">
        <f t="shared" ca="1" si="327"/>
        <v>0</v>
      </c>
      <c r="C2212" s="473">
        <f ca="1">IF(ISERROR(VLOOKUP($A$1982,INDIRECT("notes_"&amp;LEFT($A$1982,3)),4,0)),0,VLOOKUP($A$1982,INDIRECT("notes_"&amp;LEFT($A$1982,3)),4,0))</f>
        <v>0</v>
      </c>
      <c r="G2212" s="471" t="str">
        <f>IF(ISNUMBER(SEARCH("specify",'RO6'!C148)),"",'RO6'!C148)</f>
        <v/>
      </c>
      <c r="H2212" s="471">
        <f t="shared" si="330"/>
        <v>3</v>
      </c>
      <c r="I2212" s="471">
        <v>1</v>
      </c>
      <c r="J2212" s="471" t="str">
        <f t="shared" si="331"/>
        <v>cenoth18-n cenoth18</v>
      </c>
      <c r="K2212" s="471" t="str">
        <f t="shared" si="332"/>
        <v>oth-inc</v>
      </c>
      <c r="L2212" s="599"/>
      <c r="M2212" s="471" t="s">
        <v>6187</v>
      </c>
      <c r="N2212" s="471" t="s">
        <v>1251</v>
      </c>
      <c r="O2212" s="471" t="s">
        <v>1250</v>
      </c>
    </row>
    <row r="2213" spans="1:15" x14ac:dyDescent="0.25">
      <c r="A2213" s="471" t="s">
        <v>6407</v>
      </c>
      <c r="B2213" s="1139">
        <f t="shared" ca="1" si="327"/>
        <v>0</v>
      </c>
      <c r="C2213" s="473">
        <f ca="1">IF(ISERROR(VLOOKUP($A$1983,INDIRECT("notes_"&amp;LEFT($A$1983,3)),4,0)),0,VLOOKUP($A$1983,INDIRECT("notes_"&amp;LEFT($A$1983,3)),4,0))</f>
        <v>0</v>
      </c>
      <c r="G2213" s="471" t="str">
        <f>IF(ISNUMBER(SEARCH("specify",'RO6'!C149)),"",'RO6'!C149)</f>
        <v/>
      </c>
      <c r="H2213" s="471">
        <f t="shared" si="330"/>
        <v>3</v>
      </c>
      <c r="I2213" s="471">
        <v>1</v>
      </c>
      <c r="J2213" s="471" t="str">
        <f t="shared" si="331"/>
        <v>cenoth19-n cenoth19</v>
      </c>
      <c r="K2213" s="471" t="str">
        <f t="shared" si="332"/>
        <v>oth-inc</v>
      </c>
      <c r="L2213" s="599"/>
      <c r="M2213" s="471" t="s">
        <v>6187</v>
      </c>
      <c r="N2213" s="471" t="s">
        <v>1251</v>
      </c>
      <c r="O2213" s="471" t="s">
        <v>1250</v>
      </c>
    </row>
    <row r="2214" spans="1:15" x14ac:dyDescent="0.25">
      <c r="A2214" s="471" t="s">
        <v>6408</v>
      </c>
      <c r="B2214" s="1139">
        <f t="shared" ca="1" si="327"/>
        <v>0</v>
      </c>
      <c r="C2214" s="473">
        <f ca="1">IF(ISERROR(VLOOKUP($A$1984,INDIRECT("notes_"&amp;LEFT($A$1984,3)),4,0)),0,VLOOKUP($A$1984,INDIRECT("notes_"&amp;LEFT($A$1984,3)),4,0))</f>
        <v>0</v>
      </c>
      <c r="G2214" s="471" t="str">
        <f>IF(ISNUMBER(SEARCH("specify",'RO6'!C150)),"",'RO6'!C150)</f>
        <v/>
      </c>
      <c r="H2214" s="471">
        <f t="shared" si="330"/>
        <v>3</v>
      </c>
      <c r="I2214" s="471">
        <v>1</v>
      </c>
      <c r="J2214" s="471" t="str">
        <f t="shared" si="331"/>
        <v>cenoth20-n cenoth20</v>
      </c>
      <c r="K2214" s="471" t="str">
        <f t="shared" si="332"/>
        <v>oth-inc</v>
      </c>
      <c r="L2214" s="599"/>
      <c r="M2214" s="471" t="s">
        <v>6187</v>
      </c>
      <c r="N2214" s="471" t="s">
        <v>1251</v>
      </c>
      <c r="O2214" s="471" t="s">
        <v>1250</v>
      </c>
    </row>
    <row r="2215" spans="1:15" x14ac:dyDescent="0.25">
      <c r="A2215" s="471" t="s">
        <v>6409</v>
      </c>
      <c r="B2215" s="1139">
        <f t="shared" ca="1" si="327"/>
        <v>0</v>
      </c>
      <c r="C2215" s="473">
        <f ca="1">IF(ISERROR(VLOOKUP($A$1985,INDIRECT("notes_"&amp;LEFT($A$1985,3)),4,0)),0,VLOOKUP($A$1985,INDIRECT("notes_"&amp;LEFT($A$1985,3)),4,0))</f>
        <v>0</v>
      </c>
      <c r="H2215" s="471">
        <f t="shared" si="330"/>
        <v>3</v>
      </c>
      <c r="I2215" s="471">
        <v>1</v>
      </c>
      <c r="J2215" s="471" t="str">
        <f t="shared" si="331"/>
        <v>centoth-tot</v>
      </c>
      <c r="K2215" s="471" t="str">
        <f t="shared" si="332"/>
        <v>oth-inc</v>
      </c>
      <c r="L2215" s="599"/>
      <c r="M2215" s="471" t="s">
        <v>6187</v>
      </c>
      <c r="N2215" s="471" t="s">
        <v>1251</v>
      </c>
      <c r="O2215" s="471" t="s">
        <v>1250</v>
      </c>
    </row>
    <row r="2216" spans="1:15" x14ac:dyDescent="0.25">
      <c r="A2216" s="471" t="s">
        <v>6410</v>
      </c>
      <c r="B2216" s="1139">
        <f t="shared" ca="1" si="327"/>
        <v>0</v>
      </c>
      <c r="C2216" s="473">
        <f ca="1">IF(ISERROR(VLOOKUP($A$1938,INDIRECT("notes_"&amp;LEFT($A$1938,3)),4,0)),0,VLOOKUP($A$1938,INDIRECT("notes_"&amp;LEFT($A$1938,3)),4,0))</f>
        <v>0</v>
      </c>
      <c r="H2216" s="471">
        <f t="shared" si="330"/>
        <v>2</v>
      </c>
      <c r="I2216" s="471">
        <v>1</v>
      </c>
      <c r="J2216" s="471" t="str">
        <f t="shared" si="331"/>
        <v>poltot</v>
      </c>
      <c r="K2216" s="471" t="str">
        <f t="shared" si="332"/>
        <v>tot-inc</v>
      </c>
      <c r="L2216" s="599"/>
      <c r="M2216" s="471" t="s">
        <v>6187</v>
      </c>
      <c r="N2216" s="471" t="s">
        <v>1251</v>
      </c>
      <c r="O2216" s="471" t="s">
        <v>1250</v>
      </c>
    </row>
    <row r="2217" spans="1:15" x14ac:dyDescent="0.25">
      <c r="A2217" s="471" t="s">
        <v>6411</v>
      </c>
      <c r="B2217" s="1139">
        <f t="shared" ca="1" si="327"/>
        <v>0</v>
      </c>
      <c r="C2217" s="473">
        <f ca="1">IF(ISERROR(VLOOKUP($A$1939,INDIRECT("notes_"&amp;LEFT($A$1939,3)),4,0)),0,VLOOKUP($A$1939,INDIRECT("notes_"&amp;LEFT($A$1939,3)),4,0))</f>
        <v>0</v>
      </c>
      <c r="H2217" s="471">
        <f t="shared" si="330"/>
        <v>4</v>
      </c>
      <c r="I2217" s="471">
        <v>1</v>
      </c>
      <c r="J2217" s="471" t="str">
        <f t="shared" si="331"/>
        <v>frs-cmm-fs</v>
      </c>
      <c r="K2217" s="471" t="str">
        <f t="shared" si="332"/>
        <v>tot-inc</v>
      </c>
      <c r="L2217" s="599"/>
      <c r="M2217" s="471" t="s">
        <v>6187</v>
      </c>
      <c r="N2217" s="471" t="s">
        <v>1251</v>
      </c>
      <c r="O2217" s="471" t="s">
        <v>1250</v>
      </c>
    </row>
    <row r="2218" spans="1:15" x14ac:dyDescent="0.25">
      <c r="A2218" s="471" t="s">
        <v>6412</v>
      </c>
      <c r="B2218" s="1139">
        <f t="shared" ca="1" si="327"/>
        <v>0</v>
      </c>
      <c r="C2218" s="473">
        <f ca="1">IF(ISERROR(VLOOKUP($A$1940,INDIRECT("notes_"&amp;LEFT($A$1940,3)),4,0)),0,VLOOKUP($A$1940,INDIRECT("notes_"&amp;LEFT($A$1940,3)),4,0))</f>
        <v>0</v>
      </c>
      <c r="H2218" s="471">
        <f t="shared" si="330"/>
        <v>4</v>
      </c>
      <c r="I2218" s="471">
        <v>1</v>
      </c>
      <c r="J2218" s="471" t="str">
        <f t="shared" si="331"/>
        <v>frs-ffr-opr</v>
      </c>
      <c r="K2218" s="471" t="str">
        <f t="shared" si="332"/>
        <v>tot-inc</v>
      </c>
      <c r="L2218" s="599"/>
      <c r="M2218" s="471" t="s">
        <v>6187</v>
      </c>
      <c r="N2218" s="471" t="s">
        <v>1251</v>
      </c>
      <c r="O2218" s="471" t="s">
        <v>1250</v>
      </c>
    </row>
    <row r="2219" spans="1:15" x14ac:dyDescent="0.25">
      <c r="A2219" s="471" t="s">
        <v>6413</v>
      </c>
      <c r="B2219" s="1139">
        <f t="shared" ca="1" si="327"/>
        <v>0</v>
      </c>
      <c r="C2219" s="473">
        <f ca="1">IF(ISERROR(VLOOKUP($A$1941,INDIRECT("notes_"&amp;LEFT($A$1941,3)),4,0)),0,VLOOKUP($A$1941,INDIRECT("notes_"&amp;LEFT($A$1941,3)),4,0))</f>
        <v>0</v>
      </c>
      <c r="H2219" s="471">
        <f t="shared" si="330"/>
        <v>5</v>
      </c>
      <c r="I2219" s="471">
        <v>1</v>
      </c>
      <c r="J2219" s="471" t="str">
        <f t="shared" si="331"/>
        <v>frs-frs-emr-pln</v>
      </c>
      <c r="K2219" s="471" t="str">
        <f t="shared" si="332"/>
        <v>tot-inc</v>
      </c>
      <c r="L2219" s="599"/>
      <c r="M2219" s="471" t="s">
        <v>6187</v>
      </c>
      <c r="N2219" s="471" t="s">
        <v>1251</v>
      </c>
      <c r="O2219" s="471" t="s">
        <v>1250</v>
      </c>
    </row>
    <row r="2220" spans="1:15" x14ac:dyDescent="0.25">
      <c r="A2220" s="471" t="s">
        <v>6414</v>
      </c>
      <c r="B2220" s="1139">
        <f t="shared" ca="1" si="327"/>
        <v>0</v>
      </c>
      <c r="C2220" s="473">
        <f ca="1">IF(ISERROR(VLOOKUP($A$1942,INDIRECT("notes_"&amp;LEFT($A$1942,3)),4,0)),0,VLOOKUP($A$1942,INDIRECT("notes_"&amp;LEFT($A$1942,3)),4,0))</f>
        <v>0</v>
      </c>
      <c r="H2220" s="471">
        <f t="shared" si="330"/>
        <v>2</v>
      </c>
      <c r="I2220" s="471">
        <v>1</v>
      </c>
      <c r="J2220" s="471" t="str">
        <f t="shared" si="331"/>
        <v>frstot</v>
      </c>
      <c r="K2220" s="471" t="str">
        <f t="shared" si="332"/>
        <v>tot-inc</v>
      </c>
      <c r="L2220" s="599"/>
      <c r="M2220" s="471" t="s">
        <v>6187</v>
      </c>
      <c r="N2220" s="471" t="s">
        <v>1251</v>
      </c>
      <c r="O2220" s="471" t="s">
        <v>1250</v>
      </c>
    </row>
    <row r="2221" spans="1:15" x14ac:dyDescent="0.25">
      <c r="A2221" s="471" t="s">
        <v>6415</v>
      </c>
      <c r="B2221" s="1139">
        <f t="shared" ca="1" si="327"/>
        <v>0</v>
      </c>
      <c r="C2221" s="473">
        <f ca="1">IF(ISERROR(VLOOKUP($A$1943,INDIRECT("notes_"&amp;LEFT($A$1943,3)),4,0)),0,VLOOKUP($A$1943,INDIRECT("notes_"&amp;LEFT($A$1943,3)),4,0))</f>
        <v>0</v>
      </c>
      <c r="H2221" s="471">
        <f t="shared" si="330"/>
        <v>2</v>
      </c>
      <c r="I2221" s="471">
        <v>1</v>
      </c>
      <c r="J2221" s="471" t="str">
        <f t="shared" si="331"/>
        <v>cencrp</v>
      </c>
      <c r="K2221" s="471" t="str">
        <f t="shared" si="332"/>
        <v>tot-inc</v>
      </c>
      <c r="L2221" s="599"/>
      <c r="M2221" s="471" t="s">
        <v>6187</v>
      </c>
      <c r="N2221" s="471" t="s">
        <v>1251</v>
      </c>
      <c r="O2221" s="471" t="s">
        <v>1250</v>
      </c>
    </row>
    <row r="2222" spans="1:15" x14ac:dyDescent="0.25">
      <c r="A2222" s="471" t="s">
        <v>6416</v>
      </c>
      <c r="B2222" s="1139">
        <f t="shared" ca="1" si="327"/>
        <v>0</v>
      </c>
      <c r="C2222" s="473">
        <f ca="1">IF(ISERROR(VLOOKUP($A$1944,INDIRECT("notes_"&amp;LEFT($A$1944,3)),4,0)),0,VLOOKUP($A$1944,INDIRECT("notes_"&amp;LEFT($A$1944,3)),4,0))</f>
        <v>0</v>
      </c>
      <c r="H2222" s="471">
        <f t="shared" si="330"/>
        <v>3</v>
      </c>
      <c r="I2222" s="471">
        <v>1</v>
      </c>
      <c r="J2222" s="471" t="str">
        <f t="shared" si="331"/>
        <v>centax-cll</v>
      </c>
      <c r="K2222" s="471" t="str">
        <f t="shared" si="332"/>
        <v>tot-inc</v>
      </c>
      <c r="L2222" s="599"/>
      <c r="M2222" s="471" t="s">
        <v>6187</v>
      </c>
      <c r="N2222" s="471" t="s">
        <v>1251</v>
      </c>
      <c r="O2222" s="471" t="s">
        <v>1250</v>
      </c>
    </row>
    <row r="2223" spans="1:15" x14ac:dyDescent="0.25">
      <c r="A2223" s="471" t="s">
        <v>6417</v>
      </c>
      <c r="B2223" s="1139">
        <f t="shared" ca="1" si="327"/>
        <v>0</v>
      </c>
      <c r="C2223" s="473">
        <f ca="1">IF(ISERROR(VLOOKUP($A$1945,INDIRECT("notes_"&amp;LEFT($A$1945,3)),4,0)),0,VLOOKUP($A$1945,INDIRECT("notes_"&amp;LEFT($A$1945,3)),4,0))</f>
        <v>0</v>
      </c>
      <c r="H2223" s="471">
        <f t="shared" si="330"/>
        <v>4</v>
      </c>
      <c r="I2223" s="471">
        <v>1</v>
      </c>
      <c r="J2223" s="471" t="str">
        <f t="shared" si="331"/>
        <v>centaxdsc-prm-pym</v>
      </c>
      <c r="K2223" s="471" t="str">
        <f t="shared" si="332"/>
        <v>tot-inc</v>
      </c>
      <c r="L2223" s="599"/>
      <c r="M2223" s="471" t="s">
        <v>6187</v>
      </c>
      <c r="N2223" s="471" t="s">
        <v>1251</v>
      </c>
      <c r="O2223" s="471" t="s">
        <v>1250</v>
      </c>
    </row>
    <row r="2224" spans="1:15" x14ac:dyDescent="0.25">
      <c r="A2224" s="471" t="s">
        <v>6418</v>
      </c>
      <c r="B2224" s="1139">
        <f t="shared" ca="1" si="327"/>
        <v>0</v>
      </c>
      <c r="C2224" s="473">
        <f ca="1">IF(ISERROR(VLOOKUP($A$1946,INDIRECT("notes_"&amp;LEFT($A$1946,3)),4,0)),0,VLOOKUP($A$1946,INDIRECT("notes_"&amp;LEFT($A$1946,3)),4,0))</f>
        <v>0</v>
      </c>
      <c r="H2224" s="471">
        <f t="shared" si="330"/>
        <v>2</v>
      </c>
      <c r="I2224" s="471">
        <v>1</v>
      </c>
      <c r="J2224" s="471" t="str">
        <f t="shared" si="331"/>
        <v>centaxdsc</v>
      </c>
      <c r="K2224" s="471" t="str">
        <f t="shared" si="332"/>
        <v>tot-inc</v>
      </c>
      <c r="L2224" s="599"/>
      <c r="M2224" s="471" t="s">
        <v>6187</v>
      </c>
      <c r="N2224" s="471" t="s">
        <v>1251</v>
      </c>
      <c r="O2224" s="471" t="s">
        <v>1250</v>
      </c>
    </row>
    <row r="2225" spans="1:15" x14ac:dyDescent="0.25">
      <c r="A2225" s="471" t="s">
        <v>6419</v>
      </c>
      <c r="B2225" s="1139">
        <f t="shared" ca="1" si="327"/>
        <v>0</v>
      </c>
      <c r="C2225" s="473">
        <f ca="1">IF(ISERROR(VLOOKUP($A$1947,INDIRECT("notes_"&amp;LEFT($A$1947,3)),4,0)),0,VLOOKUP($A$1947,INDIRECT("notes_"&amp;LEFT($A$1947,3)),4,0))</f>
        <v>0</v>
      </c>
      <c r="H2225" s="471">
        <f t="shared" si="330"/>
        <v>2</v>
      </c>
      <c r="I2225" s="471">
        <v>1</v>
      </c>
      <c r="J2225" s="471" t="str">
        <f t="shared" si="331"/>
        <v>centaxadm</v>
      </c>
      <c r="K2225" s="471" t="str">
        <f t="shared" si="332"/>
        <v>tot-inc</v>
      </c>
      <c r="L2225" s="599"/>
      <c r="M2225" s="471" t="s">
        <v>6187</v>
      </c>
      <c r="N2225" s="471" t="s">
        <v>1251</v>
      </c>
      <c r="O2225" s="471" t="s">
        <v>1250</v>
      </c>
    </row>
    <row r="2226" spans="1:15" x14ac:dyDescent="0.25">
      <c r="A2226" s="471" t="s">
        <v>6420</v>
      </c>
      <c r="B2226" s="1139">
        <f t="shared" ca="1" si="327"/>
        <v>0</v>
      </c>
      <c r="C2226" s="473">
        <f ca="1">IF(ISERROR(VLOOKUP($A$1948,INDIRECT("notes_"&amp;LEFT($A$1948,3)),4,0)),0,VLOOKUP($A$1948,INDIRECT("notes_"&amp;LEFT($A$1948,3)),4,0))</f>
        <v>0</v>
      </c>
      <c r="H2226" s="471">
        <f t="shared" si="330"/>
        <v>5</v>
      </c>
      <c r="I2226" s="471">
        <v>1</v>
      </c>
      <c r="J2226" s="471" t="str">
        <f t="shared" si="331"/>
        <v>centaxoth-non-dms-cll</v>
      </c>
      <c r="K2226" s="471" t="str">
        <f t="shared" si="332"/>
        <v>tot-inc</v>
      </c>
      <c r="L2226" s="599"/>
      <c r="M2226" s="471" t="s">
        <v>6187</v>
      </c>
      <c r="N2226" s="471" t="s">
        <v>1251</v>
      </c>
      <c r="O2226" s="471" t="s">
        <v>1250</v>
      </c>
    </row>
    <row r="2227" spans="1:15" x14ac:dyDescent="0.25">
      <c r="A2227" s="471" t="s">
        <v>6421</v>
      </c>
      <c r="B2227" s="1139">
        <f t="shared" ca="1" si="327"/>
        <v>0</v>
      </c>
      <c r="C2227" s="473">
        <f ca="1">IF(ISERROR(VLOOKUP($A$1949,INDIRECT("notes_"&amp;LEFT($A$1949,3)),4,0)),0,VLOOKUP($A$1949,INDIRECT("notes_"&amp;LEFT($A$1949,3)),4,0))</f>
        <v>0</v>
      </c>
      <c r="H2227" s="471">
        <f t="shared" si="330"/>
        <v>4</v>
      </c>
      <c r="I2227" s="471">
        <v>1</v>
      </c>
      <c r="J2227" s="471" t="str">
        <f t="shared" si="331"/>
        <v>centaxoth-bid-bll</v>
      </c>
      <c r="K2227" s="471" t="str">
        <f t="shared" si="332"/>
        <v>tot-inc</v>
      </c>
      <c r="L2227" s="599"/>
      <c r="M2227" s="471" t="s">
        <v>6187</v>
      </c>
      <c r="N2227" s="471" t="s">
        <v>1251</v>
      </c>
      <c r="O2227" s="471" t="s">
        <v>1250</v>
      </c>
    </row>
    <row r="2228" spans="1:15" x14ac:dyDescent="0.25">
      <c r="A2228" s="471" t="s">
        <v>6422</v>
      </c>
      <c r="B2228" s="1139">
        <f t="shared" ca="1" si="327"/>
        <v>0</v>
      </c>
      <c r="C2228" s="473">
        <f ca="1">IF(ISERROR(VLOOKUP($A$1950,INDIRECT("notes_"&amp;LEFT($A$1950,3)),4,0)),0,VLOOKUP($A$1950,INDIRECT("notes_"&amp;LEFT($A$1950,3)),4,0))</f>
        <v>0</v>
      </c>
      <c r="H2228" s="471">
        <f t="shared" si="330"/>
        <v>4</v>
      </c>
      <c r="I2228" s="471">
        <v>1</v>
      </c>
      <c r="J2228" s="471" t="str">
        <f t="shared" si="331"/>
        <v>cencntbrt-dth-mrr</v>
      </c>
      <c r="K2228" s="471" t="str">
        <f t="shared" si="332"/>
        <v>tot-inc</v>
      </c>
      <c r="L2228" s="599"/>
      <c r="M2228" s="471" t="s">
        <v>6187</v>
      </c>
      <c r="N2228" s="471" t="s">
        <v>1251</v>
      </c>
      <c r="O2228" s="471" t="s">
        <v>1250</v>
      </c>
    </row>
    <row r="2229" spans="1:15" x14ac:dyDescent="0.25">
      <c r="A2229" s="471" t="s">
        <v>6423</v>
      </c>
      <c r="B2229" s="1139">
        <f t="shared" ca="1" si="327"/>
        <v>0</v>
      </c>
      <c r="C2229" s="473">
        <f ca="1">IF(ISERROR(VLOOKUP($A$1951,INDIRECT("notes_"&amp;LEFT($A$1951,3)),4,0)),0,VLOOKUP($A$1951,INDIRECT("notes_"&amp;LEFT($A$1951,3)),4,0))</f>
        <v>0</v>
      </c>
      <c r="H2229" s="471">
        <f t="shared" si="330"/>
        <v>4</v>
      </c>
      <c r="I2229" s="471">
        <v>1</v>
      </c>
      <c r="J2229" s="471" t="str">
        <f t="shared" si="331"/>
        <v>cencnt-rgs-elc</v>
      </c>
      <c r="K2229" s="471" t="str">
        <f t="shared" si="332"/>
        <v>tot-inc</v>
      </c>
      <c r="L2229" s="599"/>
      <c r="M2229" s="471" t="s">
        <v>6187</v>
      </c>
      <c r="N2229" s="471" t="s">
        <v>1251</v>
      </c>
      <c r="O2229" s="471" t="s">
        <v>1250</v>
      </c>
    </row>
    <row r="2230" spans="1:15" x14ac:dyDescent="0.25">
      <c r="A2230" s="471" t="s">
        <v>6424</v>
      </c>
      <c r="B2230" s="1139">
        <f t="shared" ca="1" si="327"/>
        <v>0</v>
      </c>
      <c r="C2230" s="473">
        <f ca="1">IF(ISERROR(VLOOKUP($A$1952,INDIRECT("notes_"&amp;LEFT($A$1952,3)),4,0)),0,VLOOKUP($A$1952,INDIRECT("notes_"&amp;LEFT($A$1952,3)),4,0))</f>
        <v>0</v>
      </c>
      <c r="H2230" s="471">
        <f t="shared" si="330"/>
        <v>4</v>
      </c>
      <c r="I2230" s="471">
        <v>1</v>
      </c>
      <c r="J2230" s="471" t="str">
        <f t="shared" si="331"/>
        <v>cencnt-cnd-elc</v>
      </c>
      <c r="K2230" s="471" t="str">
        <f t="shared" si="332"/>
        <v>tot-inc</v>
      </c>
      <c r="L2230" s="599"/>
      <c r="M2230" s="471" t="s">
        <v>6187</v>
      </c>
      <c r="N2230" s="471" t="s">
        <v>1251</v>
      </c>
      <c r="O2230" s="471" t="s">
        <v>1250</v>
      </c>
    </row>
    <row r="2231" spans="1:15" x14ac:dyDescent="0.25">
      <c r="A2231" s="471" t="s">
        <v>6425</v>
      </c>
      <c r="B2231" s="1139">
        <f t="shared" ca="1" si="327"/>
        <v>0</v>
      </c>
      <c r="C2231" s="473">
        <f ca="1">IF(ISERROR(VLOOKUP($A$1953,INDIRECT("notes_"&amp;LEFT($A$1953,3)),4,0)),0,VLOOKUP($A$1953,INDIRECT("notes_"&amp;LEFT($A$1953,3)),4,0))</f>
        <v>0</v>
      </c>
      <c r="H2231" s="471">
        <f t="shared" si="330"/>
        <v>2</v>
      </c>
      <c r="I2231" s="471">
        <v>1</v>
      </c>
      <c r="J2231" s="471" t="str">
        <f t="shared" si="331"/>
        <v>cenemr</v>
      </c>
      <c r="K2231" s="471" t="str">
        <f t="shared" si="332"/>
        <v>tot-inc</v>
      </c>
      <c r="L2231" s="599"/>
      <c r="M2231" s="471" t="s">
        <v>6187</v>
      </c>
      <c r="N2231" s="471" t="s">
        <v>1251</v>
      </c>
      <c r="O2231" s="471" t="s">
        <v>1250</v>
      </c>
    </row>
    <row r="2232" spans="1:15" x14ac:dyDescent="0.25">
      <c r="A2232" s="471" t="s">
        <v>6426</v>
      </c>
      <c r="B2232" s="1139">
        <f t="shared" ca="1" si="327"/>
        <v>0</v>
      </c>
      <c r="C2232" s="473">
        <f ca="1">IF(ISERROR(VLOOKUP($A$1954,INDIRECT("notes_"&amp;LEFT($A$1954,3)),4,0)),0,VLOOKUP($A$1954,INDIRECT("notes_"&amp;LEFT($A$1954,3)),4,0))</f>
        <v>0</v>
      </c>
      <c r="H2232" s="471">
        <f t="shared" si="330"/>
        <v>5</v>
      </c>
      <c r="I2232" s="471">
        <v>1</v>
      </c>
      <c r="J2232" s="471" t="str">
        <f t="shared" si="331"/>
        <v>cencnt-lcl-lnd-chr</v>
      </c>
      <c r="K2232" s="471" t="str">
        <f t="shared" si="332"/>
        <v>tot-inc</v>
      </c>
      <c r="L2232" s="599"/>
      <c r="M2232" s="471" t="s">
        <v>6187</v>
      </c>
      <c r="N2232" s="471" t="s">
        <v>1251</v>
      </c>
      <c r="O2232" s="471" t="s">
        <v>1250</v>
      </c>
    </row>
    <row r="2233" spans="1:15" x14ac:dyDescent="0.25">
      <c r="A2233" s="471" t="s">
        <v>6427</v>
      </c>
      <c r="B2233" s="1139">
        <f t="shared" ca="1" si="327"/>
        <v>0</v>
      </c>
      <c r="C2233" s="473">
        <f ca="1">IF(ISERROR(VLOOKUP($A$1955,INDIRECT("notes_"&amp;LEFT($A$1955,3)),4,0)),0,VLOOKUP($A$1955,INDIRECT("notes_"&amp;LEFT($A$1955,3)),4,0))</f>
        <v>0</v>
      </c>
      <c r="H2233" s="471">
        <f t="shared" si="330"/>
        <v>4</v>
      </c>
      <c r="I2233" s="471">
        <v>1</v>
      </c>
      <c r="J2233" s="471" t="str">
        <f t="shared" si="331"/>
        <v>cencnt-lcl-wlf</v>
      </c>
      <c r="K2233" s="471" t="str">
        <f t="shared" si="332"/>
        <v>tot-inc</v>
      </c>
      <c r="L2233" s="599"/>
      <c r="M2233" s="471" t="s">
        <v>6187</v>
      </c>
      <c r="N2233" s="471" t="s">
        <v>1251</v>
      </c>
      <c r="O2233" s="471" t="s">
        <v>1250</v>
      </c>
    </row>
    <row r="2234" spans="1:15" x14ac:dyDescent="0.25">
      <c r="A2234" s="471" t="s">
        <v>6428</v>
      </c>
      <c r="B2234" s="1139">
        <f t="shared" ca="1" si="327"/>
        <v>0</v>
      </c>
      <c r="C2234" s="473">
        <f ca="1">IF(ISERROR(VLOOKUP($A$1956,INDIRECT("notes_"&amp;LEFT($A$1956,3)),4,0)),0,VLOOKUP($A$1956,INDIRECT("notes_"&amp;LEFT($A$1956,3)),4,0))</f>
        <v>0</v>
      </c>
      <c r="H2234" s="471">
        <f t="shared" si="330"/>
        <v>5</v>
      </c>
      <c r="I2234" s="471">
        <v>1</v>
      </c>
      <c r="J2234" s="471" t="str">
        <f t="shared" si="331"/>
        <v>cencnt-gnr-bqs-dnt</v>
      </c>
      <c r="K2234" s="471" t="str">
        <f t="shared" si="332"/>
        <v>tot-inc</v>
      </c>
      <c r="L2234" s="599"/>
      <c r="M2234" s="471" t="s">
        <v>6187</v>
      </c>
      <c r="N2234" s="471" t="s">
        <v>1251</v>
      </c>
      <c r="O2234" s="471" t="s">
        <v>1250</v>
      </c>
    </row>
    <row r="2235" spans="1:15" x14ac:dyDescent="0.25">
      <c r="A2235" s="471" t="s">
        <v>6429</v>
      </c>
      <c r="B2235" s="1139">
        <f t="shared" ca="1" si="327"/>
        <v>0</v>
      </c>
      <c r="C2235" s="473">
        <f ca="1">IF(ISERROR(VLOOKUP($A$1957,INDIRECT("notes_"&amp;LEFT($A$1957,3)),4,0)),0,VLOOKUP($A$1957,INDIRECT("notes_"&amp;LEFT($A$1957,3)),4,0))</f>
        <v>0</v>
      </c>
      <c r="H2235" s="471">
        <f t="shared" si="330"/>
        <v>2</v>
      </c>
      <c r="I2235" s="471">
        <v>1</v>
      </c>
      <c r="J2235" s="471" t="str">
        <f t="shared" si="331"/>
        <v>cencrn</v>
      </c>
      <c r="K2235" s="471" t="str">
        <f t="shared" si="332"/>
        <v>tot-inc</v>
      </c>
      <c r="L2235" s="599"/>
      <c r="M2235" s="471" t="s">
        <v>6187</v>
      </c>
      <c r="N2235" s="471" t="s">
        <v>1251</v>
      </c>
      <c r="O2235" s="471" t="s">
        <v>1250</v>
      </c>
    </row>
    <row r="2236" spans="1:15" x14ac:dyDescent="0.25">
      <c r="A2236" s="471" t="s">
        <v>6430</v>
      </c>
      <c r="B2236" s="1139">
        <f t="shared" ca="1" si="327"/>
        <v>0</v>
      </c>
      <c r="C2236" s="473">
        <f ca="1">IF(ISERROR(VLOOKUP($A$1958,INDIRECT("notes_"&amp;LEFT($A$1958,3)),4,0)),0,VLOOKUP($A$1958,INDIRECT("notes_"&amp;LEFT($A$1958,3)),4,0))</f>
        <v>0</v>
      </c>
      <c r="H2236" s="471">
        <f t="shared" si="330"/>
        <v>2</v>
      </c>
      <c r="I2236" s="471">
        <v>1</v>
      </c>
      <c r="J2236" s="471" t="str">
        <f t="shared" si="331"/>
        <v>cencrtoth</v>
      </c>
      <c r="K2236" s="471" t="str">
        <f t="shared" si="332"/>
        <v>tot-inc</v>
      </c>
      <c r="L2236" s="599"/>
      <c r="M2236" s="471" t="s">
        <v>6187</v>
      </c>
      <c r="N2236" s="471" t="s">
        <v>1251</v>
      </c>
      <c r="O2236" s="471" t="s">
        <v>1250</v>
      </c>
    </row>
    <row r="2237" spans="1:15" x14ac:dyDescent="0.25">
      <c r="A2237" s="471" t="s">
        <v>6431</v>
      </c>
      <c r="B2237" s="1139">
        <f t="shared" ca="1" si="327"/>
        <v>0</v>
      </c>
      <c r="C2237" s="473">
        <f ca="1">IF(ISERROR(VLOOKUP($A$1959,INDIRECT("notes_"&amp;LEFT($A$1959,3)),4,0)),0,VLOOKUP($A$1959,INDIRECT("notes_"&amp;LEFT($A$1959,3)),4,0))</f>
        <v>0</v>
      </c>
      <c r="H2237" s="471">
        <f t="shared" si="330"/>
        <v>2</v>
      </c>
      <c r="I2237" s="471">
        <v>1</v>
      </c>
      <c r="J2237" s="471" t="str">
        <f t="shared" si="331"/>
        <v>cenndcrtr</v>
      </c>
      <c r="K2237" s="471" t="str">
        <f t="shared" si="332"/>
        <v>tot-inc</v>
      </c>
      <c r="L2237" s="599"/>
      <c r="M2237" s="471" t="s">
        <v>6187</v>
      </c>
      <c r="N2237" s="471" t="s">
        <v>1251</v>
      </c>
      <c r="O2237" s="471" t="s">
        <v>1250</v>
      </c>
    </row>
    <row r="2238" spans="1:15" x14ac:dyDescent="0.25">
      <c r="A2238" s="471" t="s">
        <v>6432</v>
      </c>
      <c r="B2238" s="1139">
        <f t="shared" ca="1" si="327"/>
        <v>0</v>
      </c>
      <c r="C2238" s="473">
        <f ca="1">IF(ISERROR(VLOOKUP($A$1960,INDIRECT("notes_"&amp;LEFT($A$1960,3)),4,0)),0,VLOOKUP($A$1960,INDIRECT("notes_"&amp;LEFT($A$1960,3)),4,0))</f>
        <v>0</v>
      </c>
      <c r="H2238" s="471">
        <f t="shared" si="330"/>
        <v>2</v>
      </c>
      <c r="I2238" s="471">
        <v>1</v>
      </c>
      <c r="J2238" s="471" t="str">
        <f t="shared" si="331"/>
        <v>cenndcit</v>
      </c>
      <c r="K2238" s="471" t="str">
        <f t="shared" si="332"/>
        <v>tot-inc</v>
      </c>
      <c r="L2238" s="599"/>
      <c r="M2238" s="471" t="s">
        <v>6187</v>
      </c>
      <c r="N2238" s="471" t="s">
        <v>1251</v>
      </c>
      <c r="O2238" s="471" t="s">
        <v>1250</v>
      </c>
    </row>
    <row r="2239" spans="1:15" x14ac:dyDescent="0.25">
      <c r="A2239" s="471" t="s">
        <v>6433</v>
      </c>
      <c r="B2239" s="1139">
        <f t="shared" ca="1" si="327"/>
        <v>0</v>
      </c>
      <c r="C2239" s="473">
        <f ca="1">IF(ISERROR(VLOOKUP($A$1961,INDIRECT("notes_"&amp;LEFT($A$1961,3)),4,0)),0,VLOOKUP($A$1961,INDIRECT("notes_"&amp;LEFT($A$1961,3)),4,0))</f>
        <v>0</v>
      </c>
      <c r="H2239" s="471">
        <f t="shared" si="330"/>
        <v>2</v>
      </c>
      <c r="I2239" s="471">
        <v>1</v>
      </c>
      <c r="J2239" s="471" t="str">
        <f t="shared" si="331"/>
        <v>cenndcsrp</v>
      </c>
      <c r="K2239" s="471" t="str">
        <f t="shared" si="332"/>
        <v>tot-inc</v>
      </c>
      <c r="L2239" s="599"/>
      <c r="M2239" s="471" t="s">
        <v>6187</v>
      </c>
      <c r="N2239" s="471" t="s">
        <v>1251</v>
      </c>
      <c r="O2239" s="471" t="s">
        <v>1250</v>
      </c>
    </row>
    <row r="2240" spans="1:15" x14ac:dyDescent="0.25">
      <c r="A2240" s="471" t="s">
        <v>6434</v>
      </c>
      <c r="B2240" s="1139">
        <f t="shared" ca="1" si="327"/>
        <v>0</v>
      </c>
      <c r="C2240" s="473">
        <f ca="1">IF(ISERROR(VLOOKUP($A$1962,INDIRECT("notes_"&amp;LEFT($A$1962,3)),4,0)),0,VLOOKUP($A$1962,INDIRECT("notes_"&amp;LEFT($A$1962,3)),4,0))</f>
        <v>0</v>
      </c>
      <c r="H2240" s="471">
        <f t="shared" si="330"/>
        <v>4</v>
      </c>
      <c r="I2240" s="471">
        <v>1</v>
      </c>
      <c r="J2240" s="471" t="str">
        <f t="shared" si="331"/>
        <v>cennd-mng-spp</v>
      </c>
      <c r="K2240" s="471" t="str">
        <f t="shared" si="332"/>
        <v>tot-inc</v>
      </c>
      <c r="L2240" s="599"/>
      <c r="M2240" s="471" t="s">
        <v>6187</v>
      </c>
      <c r="N2240" s="471" t="s">
        <v>1251</v>
      </c>
      <c r="O2240" s="471" t="s">
        <v>1250</v>
      </c>
    </row>
    <row r="2241" spans="1:15" x14ac:dyDescent="0.25">
      <c r="A2241" s="471" t="s">
        <v>6435</v>
      </c>
      <c r="B2241" s="1139">
        <f t="shared" ca="1" si="327"/>
        <v>0</v>
      </c>
      <c r="C2241" s="473">
        <f ca="1">IF(ISERROR(VLOOKUP($A$1963,INDIRECT("notes_"&amp;LEFT($A$1963,3)),4,0)),0,VLOOKUP($A$1963,INDIRECT("notes_"&amp;LEFT($A$1963,3)),4,0))</f>
        <v>0</v>
      </c>
      <c r="H2241" s="471">
        <f t="shared" si="330"/>
        <v>2</v>
      </c>
      <c r="I2241" s="471">
        <v>1</v>
      </c>
      <c r="J2241" s="471" t="str">
        <f t="shared" si="331"/>
        <v>centot</v>
      </c>
      <c r="K2241" s="471" t="str">
        <f t="shared" si="332"/>
        <v>tot-inc</v>
      </c>
      <c r="L2241" s="599"/>
      <c r="M2241" s="471" t="s">
        <v>6187</v>
      </c>
      <c r="N2241" s="471" t="s">
        <v>1251</v>
      </c>
      <c r="O2241" s="471" t="s">
        <v>1250</v>
      </c>
    </row>
    <row r="2242" spans="1:15" x14ac:dyDescent="0.25">
      <c r="A2242" s="471" t="s">
        <v>6436</v>
      </c>
      <c r="B2242" s="1139">
        <f t="shared" ca="1" si="327"/>
        <v>0</v>
      </c>
      <c r="C2242" s="473">
        <f ca="1">IF(ISERROR(VLOOKUP($A$1964,INDIRECT("notes_"&amp;LEFT($A$1964,3)),4,0)),0,VLOOKUP($A$1964,INDIRECT("notes_"&amp;LEFT($A$1964,3)),4,0))</f>
        <v>0</v>
      </c>
      <c r="H2242" s="471">
        <f t="shared" si="330"/>
        <v>2</v>
      </c>
      <c r="I2242" s="471">
        <v>1</v>
      </c>
      <c r="J2242" s="471" t="str">
        <f t="shared" si="331"/>
        <v>cenothtot</v>
      </c>
      <c r="K2242" s="471" t="str">
        <f t="shared" si="332"/>
        <v>tot-inc</v>
      </c>
      <c r="L2242" s="599"/>
      <c r="M2242" s="471" t="s">
        <v>6187</v>
      </c>
      <c r="N2242" s="471" t="s">
        <v>1251</v>
      </c>
      <c r="O2242" s="471" t="s">
        <v>1250</v>
      </c>
    </row>
    <row r="2243" spans="1:15" x14ac:dyDescent="0.25">
      <c r="A2243" s="471" t="s">
        <v>6437</v>
      </c>
      <c r="B2243" s="1139">
        <f t="shared" ca="1" si="327"/>
        <v>0</v>
      </c>
      <c r="C2243" s="473">
        <f ca="1">IF(ISERROR(VLOOKUP($A$1965,INDIRECT("notes_"&amp;LEFT($A$1965,3)),4,0)),0,VLOOKUP($A$1965,INDIRECT("notes_"&amp;LEFT($A$1965,3)),4,0))</f>
        <v>0</v>
      </c>
      <c r="G2243" s="471" t="str">
        <f>IF(ISNUMBER(SEARCH("specify",'RO6'!C131)),"",'RO6'!C131)</f>
        <v/>
      </c>
      <c r="H2243" s="471">
        <f t="shared" si="330"/>
        <v>3</v>
      </c>
      <c r="I2243" s="471">
        <v>1</v>
      </c>
      <c r="J2243" s="471" t="str">
        <f t="shared" si="331"/>
        <v>cenoth1-n cenoth1</v>
      </c>
      <c r="K2243" s="471" t="str">
        <f t="shared" si="332"/>
        <v>tot-inc</v>
      </c>
      <c r="L2243" s="599"/>
      <c r="M2243" s="471" t="s">
        <v>6187</v>
      </c>
      <c r="N2243" s="471" t="s">
        <v>1251</v>
      </c>
      <c r="O2243" s="471" t="s">
        <v>1250</v>
      </c>
    </row>
    <row r="2244" spans="1:15" x14ac:dyDescent="0.25">
      <c r="A2244" s="471" t="s">
        <v>6438</v>
      </c>
      <c r="B2244" s="1139">
        <f t="shared" ca="1" si="327"/>
        <v>0</v>
      </c>
      <c r="C2244" s="473">
        <f ca="1">IF(ISERROR(VLOOKUP($A$1966,INDIRECT("notes_"&amp;LEFT($A$1966,3)),4,0)),0,VLOOKUP($A$1966,INDIRECT("notes_"&amp;LEFT($A$1966,3)),4,0))</f>
        <v>0</v>
      </c>
      <c r="G2244" s="471" t="str">
        <f>IF(ISNUMBER(SEARCH("specify",'RO6'!C132)),"",'RO6'!C132)</f>
        <v/>
      </c>
      <c r="H2244" s="471">
        <f t="shared" si="330"/>
        <v>3</v>
      </c>
      <c r="I2244" s="471">
        <v>1</v>
      </c>
      <c r="J2244" s="471" t="str">
        <f t="shared" si="331"/>
        <v>cenoth2-n cenoth2</v>
      </c>
      <c r="K2244" s="471" t="str">
        <f t="shared" si="332"/>
        <v>tot-inc</v>
      </c>
      <c r="L2244" s="599"/>
      <c r="M2244" s="471" t="s">
        <v>6187</v>
      </c>
      <c r="N2244" s="471" t="s">
        <v>1251</v>
      </c>
      <c r="O2244" s="471" t="s">
        <v>1250</v>
      </c>
    </row>
    <row r="2245" spans="1:15" x14ac:dyDescent="0.25">
      <c r="A2245" s="471" t="s">
        <v>6439</v>
      </c>
      <c r="B2245" s="1139">
        <f t="shared" ca="1" si="327"/>
        <v>0</v>
      </c>
      <c r="C2245" s="473">
        <f ca="1">IF(ISERROR(VLOOKUP($A$1967,INDIRECT("notes_"&amp;LEFT($A$1967,3)),4,0)),0,VLOOKUP($A$1967,INDIRECT("notes_"&amp;LEFT($A$1967,3)),4,0))</f>
        <v>0</v>
      </c>
      <c r="G2245" s="471" t="str">
        <f>IF(ISNUMBER(SEARCH("specify",'RO6'!C133)),"",'RO6'!C133)</f>
        <v/>
      </c>
      <c r="H2245" s="471">
        <f t="shared" si="330"/>
        <v>3</v>
      </c>
      <c r="I2245" s="471">
        <v>1</v>
      </c>
      <c r="J2245" s="471" t="str">
        <f t="shared" si="331"/>
        <v>cenoth3-n cenoth3</v>
      </c>
      <c r="K2245" s="471" t="str">
        <f t="shared" si="332"/>
        <v>tot-inc</v>
      </c>
      <c r="L2245" s="599"/>
      <c r="M2245" s="471" t="s">
        <v>6187</v>
      </c>
      <c r="N2245" s="471" t="s">
        <v>1251</v>
      </c>
      <c r="O2245" s="471" t="s">
        <v>1250</v>
      </c>
    </row>
    <row r="2246" spans="1:15" x14ac:dyDescent="0.25">
      <c r="A2246" s="471" t="s">
        <v>6440</v>
      </c>
      <c r="B2246" s="1139">
        <f t="shared" ca="1" si="327"/>
        <v>0</v>
      </c>
      <c r="C2246" s="473">
        <f ca="1">IF(ISERROR(VLOOKUP($A$1968,INDIRECT("notes_"&amp;LEFT($A$1968,3)),4,0)),0,VLOOKUP($A$1968,INDIRECT("notes_"&amp;LEFT($A$1968,3)),4,0))</f>
        <v>0</v>
      </c>
      <c r="G2246" s="471" t="str">
        <f>IF(ISNUMBER(SEARCH("specify",'RO6'!C134)),"",'RO6'!C134)</f>
        <v/>
      </c>
      <c r="H2246" s="471">
        <f t="shared" si="330"/>
        <v>3</v>
      </c>
      <c r="I2246" s="471">
        <v>1</v>
      </c>
      <c r="J2246" s="471" t="str">
        <f t="shared" si="331"/>
        <v>cenoth4-n cenoth4</v>
      </c>
      <c r="K2246" s="471" t="str">
        <f t="shared" si="332"/>
        <v>tot-inc</v>
      </c>
      <c r="L2246" s="599"/>
      <c r="M2246" s="471" t="s">
        <v>6187</v>
      </c>
      <c r="N2246" s="471" t="s">
        <v>1251</v>
      </c>
      <c r="O2246" s="471" t="s">
        <v>1250</v>
      </c>
    </row>
    <row r="2247" spans="1:15" x14ac:dyDescent="0.25">
      <c r="A2247" s="471" t="s">
        <v>6441</v>
      </c>
      <c r="B2247" s="1139">
        <f t="shared" ca="1" si="327"/>
        <v>0</v>
      </c>
      <c r="C2247" s="473">
        <f ca="1">IF(ISERROR(VLOOKUP($A$1969,INDIRECT("notes_"&amp;LEFT($A$1969,3)),4,0)),0,VLOOKUP($A$1969,INDIRECT("notes_"&amp;LEFT($A$1969,3)),4,0))</f>
        <v>0</v>
      </c>
      <c r="G2247" s="471" t="str">
        <f>IF(ISNUMBER(SEARCH("specify",'RO6'!C135)),"",'RO6'!C135)</f>
        <v/>
      </c>
      <c r="H2247" s="471">
        <f t="shared" si="330"/>
        <v>3</v>
      </c>
      <c r="I2247" s="471">
        <v>1</v>
      </c>
      <c r="J2247" s="471" t="str">
        <f t="shared" si="331"/>
        <v>cenoth5-n cenoth5</v>
      </c>
      <c r="K2247" s="471" t="str">
        <f t="shared" si="332"/>
        <v>tot-inc</v>
      </c>
      <c r="L2247" s="599"/>
      <c r="M2247" s="471" t="s">
        <v>6187</v>
      </c>
      <c r="N2247" s="471" t="s">
        <v>1251</v>
      </c>
      <c r="O2247" s="471" t="s">
        <v>1250</v>
      </c>
    </row>
    <row r="2248" spans="1:15" x14ac:dyDescent="0.25">
      <c r="A2248" s="471" t="s">
        <v>6442</v>
      </c>
      <c r="B2248" s="1139">
        <f t="shared" ca="1" si="327"/>
        <v>0</v>
      </c>
      <c r="C2248" s="473">
        <f ca="1">IF(ISERROR(VLOOKUP($A$1970,INDIRECT("notes_"&amp;LEFT($A$1970,3)),4,0)),0,VLOOKUP($A$1970,INDIRECT("notes_"&amp;LEFT($A$1970,3)),4,0))</f>
        <v>0</v>
      </c>
      <c r="G2248" s="471" t="str">
        <f>IF(ISNUMBER(SEARCH("specify",'RO6'!C136)),"",'RO6'!C136)</f>
        <v/>
      </c>
      <c r="H2248" s="471">
        <f t="shared" si="330"/>
        <v>3</v>
      </c>
      <c r="I2248" s="471">
        <v>1</v>
      </c>
      <c r="J2248" s="471" t="str">
        <f t="shared" si="331"/>
        <v>cenoth6-n cenoth6</v>
      </c>
      <c r="K2248" s="471" t="str">
        <f t="shared" si="332"/>
        <v>tot-inc</v>
      </c>
      <c r="L2248" s="599"/>
      <c r="M2248" s="471" t="s">
        <v>6187</v>
      </c>
      <c r="N2248" s="471" t="s">
        <v>1251</v>
      </c>
      <c r="O2248" s="471" t="s">
        <v>1250</v>
      </c>
    </row>
    <row r="2249" spans="1:15" x14ac:dyDescent="0.25">
      <c r="A2249" s="471" t="s">
        <v>6443</v>
      </c>
      <c r="B2249" s="1139">
        <f t="shared" ca="1" si="327"/>
        <v>0</v>
      </c>
      <c r="C2249" s="473">
        <f ca="1">IF(ISERROR(VLOOKUP($A$1971,INDIRECT("notes_"&amp;LEFT($A$1971,3)),4,0)),0,VLOOKUP($A$1971,INDIRECT("notes_"&amp;LEFT($A$1971,3)),4,0))</f>
        <v>0</v>
      </c>
      <c r="G2249" s="471" t="str">
        <f>IF(ISNUMBER(SEARCH("specify",'RO6'!C137)),"",'RO6'!C137)</f>
        <v/>
      </c>
      <c r="H2249" s="471">
        <f t="shared" si="330"/>
        <v>3</v>
      </c>
      <c r="I2249" s="471">
        <v>1</v>
      </c>
      <c r="J2249" s="471" t="str">
        <f t="shared" si="331"/>
        <v>cenoth7-n cenoth7</v>
      </c>
      <c r="K2249" s="471" t="str">
        <f t="shared" si="332"/>
        <v>tot-inc</v>
      </c>
      <c r="L2249" s="599"/>
      <c r="M2249" s="471" t="s">
        <v>6187</v>
      </c>
      <c r="N2249" s="471" t="s">
        <v>1251</v>
      </c>
      <c r="O2249" s="471" t="s">
        <v>1250</v>
      </c>
    </row>
    <row r="2250" spans="1:15" x14ac:dyDescent="0.25">
      <c r="A2250" s="471" t="s">
        <v>6444</v>
      </c>
      <c r="B2250" s="1139">
        <f t="shared" ca="1" si="327"/>
        <v>0</v>
      </c>
      <c r="C2250" s="473">
        <f ca="1">IF(ISERROR(VLOOKUP($A$1972,INDIRECT("notes_"&amp;LEFT($A$1972,3)),4,0)),0,VLOOKUP($A$1972,INDIRECT("notes_"&amp;LEFT($A$1972,3)),4,0))</f>
        <v>0</v>
      </c>
      <c r="G2250" s="471" t="str">
        <f>IF(ISNUMBER(SEARCH("specify",'RO6'!C138)),"",'RO6'!C138)</f>
        <v/>
      </c>
      <c r="H2250" s="471">
        <f t="shared" si="330"/>
        <v>3</v>
      </c>
      <c r="I2250" s="471">
        <v>1</v>
      </c>
      <c r="J2250" s="471" t="str">
        <f t="shared" si="331"/>
        <v>cenoth8-n cenoth8</v>
      </c>
      <c r="K2250" s="471" t="str">
        <f t="shared" si="332"/>
        <v>tot-inc</v>
      </c>
      <c r="L2250" s="599"/>
      <c r="M2250" s="471" t="s">
        <v>6187</v>
      </c>
      <c r="N2250" s="471" t="s">
        <v>1251</v>
      </c>
      <c r="O2250" s="471" t="s">
        <v>1250</v>
      </c>
    </row>
    <row r="2251" spans="1:15" x14ac:dyDescent="0.25">
      <c r="A2251" s="471" t="s">
        <v>6445</v>
      </c>
      <c r="B2251" s="1139">
        <f t="shared" ref="B2251:B2314" ca="1" si="335">INDEX(INDIRECT(LEFT($A2251,SEARCH("-",$A2251,1)-1)&amp;"_data"),MATCH(MID($A2251,SEARCH("-",$A2251)+1,SEARCH("#",SUBSTITUTE($A2251,"-","#",H2251),1)-(SEARCH("-",$A2251)+1)),INDIRECT(LEFT($A2251,SEARCH("-",$A2251,1)-1)&amp;"_rows"),0),MATCH(RIGHT($A2251,LEN($A2251)-SEARCH("#",SUBSTITUTE($A2251,"-","#",H2251),1)),INDIRECT(LEFT($A2251,SEARCH("-",$A2251,1)-1)&amp;"_Header"),0))</f>
        <v>0</v>
      </c>
      <c r="C2251" s="473">
        <f ca="1">IF(ISERROR(VLOOKUP($A$1973,INDIRECT("notes_"&amp;LEFT($A$1973,3)),4,0)),0,VLOOKUP($A$1973,INDIRECT("notes_"&amp;LEFT($A$1973,3)),4,0))</f>
        <v>0</v>
      </c>
      <c r="G2251" s="471" t="str">
        <f>IF(ISNUMBER(SEARCH("specify",'RO6'!C139)),"",'RO6'!C139)</f>
        <v/>
      </c>
      <c r="H2251" s="471">
        <f t="shared" si="330"/>
        <v>3</v>
      </c>
      <c r="I2251" s="471">
        <v>1</v>
      </c>
      <c r="J2251" s="471" t="str">
        <f t="shared" si="331"/>
        <v>cenoth9-n cenoth9</v>
      </c>
      <c r="K2251" s="471" t="str">
        <f t="shared" si="332"/>
        <v>tot-inc</v>
      </c>
      <c r="L2251" s="599"/>
      <c r="M2251" s="471" t="s">
        <v>6187</v>
      </c>
      <c r="N2251" s="471" t="s">
        <v>1251</v>
      </c>
      <c r="O2251" s="471" t="s">
        <v>1250</v>
      </c>
    </row>
    <row r="2252" spans="1:15" x14ac:dyDescent="0.25">
      <c r="A2252" s="471" t="s">
        <v>6446</v>
      </c>
      <c r="B2252" s="1139">
        <f t="shared" ca="1" si="335"/>
        <v>0</v>
      </c>
      <c r="C2252" s="473">
        <f ca="1">IF(ISERROR(VLOOKUP($A$1974,INDIRECT("notes_"&amp;LEFT($A$1974,3)),4,0)),0,VLOOKUP($A$1974,INDIRECT("notes_"&amp;LEFT($A$1974,3)),4,0))</f>
        <v>0</v>
      </c>
      <c r="G2252" s="471" t="str">
        <f>IF(ISNUMBER(SEARCH("specify",'RO6'!C140)),"",'RO6'!C140)</f>
        <v/>
      </c>
      <c r="H2252" s="471">
        <f t="shared" si="330"/>
        <v>3</v>
      </c>
      <c r="I2252" s="471">
        <v>1</v>
      </c>
      <c r="J2252" s="471" t="str">
        <f t="shared" si="331"/>
        <v>cenoth10-n cenoth10</v>
      </c>
      <c r="K2252" s="471" t="str">
        <f t="shared" si="332"/>
        <v>tot-inc</v>
      </c>
      <c r="L2252" s="599"/>
      <c r="M2252" s="471" t="s">
        <v>6187</v>
      </c>
      <c r="N2252" s="471" t="s">
        <v>1251</v>
      </c>
      <c r="O2252" s="471" t="s">
        <v>1250</v>
      </c>
    </row>
    <row r="2253" spans="1:15" x14ac:dyDescent="0.25">
      <c r="A2253" s="471" t="s">
        <v>6447</v>
      </c>
      <c r="B2253" s="1139">
        <f t="shared" ca="1" si="335"/>
        <v>0</v>
      </c>
      <c r="C2253" s="473">
        <f ca="1">IF(ISERROR(VLOOKUP($A$1975,INDIRECT("notes_"&amp;LEFT($A$1975,3)),4,0)),0,VLOOKUP($A$1975,INDIRECT("notes_"&amp;LEFT($A$1975,3)),4,0))</f>
        <v>0</v>
      </c>
      <c r="G2253" s="471" t="str">
        <f>IF(ISNUMBER(SEARCH("specify",'RO6'!C141)),"",'RO6'!C141)</f>
        <v/>
      </c>
      <c r="H2253" s="471">
        <f t="shared" si="330"/>
        <v>3</v>
      </c>
      <c r="I2253" s="471">
        <v>1</v>
      </c>
      <c r="J2253" s="471" t="str">
        <f t="shared" si="331"/>
        <v>cenoth11-n cenoth11</v>
      </c>
      <c r="K2253" s="471" t="str">
        <f t="shared" si="332"/>
        <v>tot-inc</v>
      </c>
      <c r="L2253" s="599"/>
      <c r="M2253" s="471" t="s">
        <v>6187</v>
      </c>
      <c r="N2253" s="471" t="s">
        <v>1251</v>
      </c>
      <c r="O2253" s="471" t="s">
        <v>1250</v>
      </c>
    </row>
    <row r="2254" spans="1:15" x14ac:dyDescent="0.25">
      <c r="A2254" s="471" t="s">
        <v>6448</v>
      </c>
      <c r="B2254" s="1139">
        <f t="shared" ca="1" si="335"/>
        <v>0</v>
      </c>
      <c r="C2254" s="473">
        <f ca="1">IF(ISERROR(VLOOKUP($A$1976,INDIRECT("notes_"&amp;LEFT($A$1976,3)),4,0)),0,VLOOKUP($A$1976,INDIRECT("notes_"&amp;LEFT($A$1976,3)),4,0))</f>
        <v>0</v>
      </c>
      <c r="G2254" s="471" t="str">
        <f>IF(ISNUMBER(SEARCH("specify",'RO6'!C142)),"",'RO6'!C142)</f>
        <v/>
      </c>
      <c r="H2254" s="471">
        <f t="shared" ref="H2254:H2265" si="336">LEN(A2254)-LEN(SUBSTITUTE(A2254,"-",""))-I2254</f>
        <v>3</v>
      </c>
      <c r="I2254" s="471">
        <v>1</v>
      </c>
      <c r="J2254" s="471" t="str">
        <f t="shared" ref="J2254:J2265" si="337">MID($A2254,SEARCH("-",$A2254)+1,SEARCH("#",SUBSTITUTE($A2254,"-","#",H2254),1)-(SEARCH("-",$A2254)+1))</f>
        <v>cenoth12-n cenoth12</v>
      </c>
      <c r="K2254" s="471" t="str">
        <f t="shared" ref="K2254:K2265" si="338">RIGHT($A2254,LEN($A2254)-SEARCH("#",SUBSTITUTE($A2254,"-","#",H2254),1))</f>
        <v>tot-inc</v>
      </c>
      <c r="L2254" s="599"/>
      <c r="M2254" s="471" t="s">
        <v>6187</v>
      </c>
      <c r="N2254" s="471" t="s">
        <v>1251</v>
      </c>
      <c r="O2254" s="471" t="s">
        <v>1250</v>
      </c>
    </row>
    <row r="2255" spans="1:15" x14ac:dyDescent="0.25">
      <c r="A2255" s="471" t="s">
        <v>6449</v>
      </c>
      <c r="B2255" s="1139">
        <f t="shared" ca="1" si="335"/>
        <v>0</v>
      </c>
      <c r="C2255" s="473">
        <f ca="1">IF(ISERROR(VLOOKUP($A$1977,INDIRECT("notes_"&amp;LEFT($A$1977,3)),4,0)),0,VLOOKUP($A$1977,INDIRECT("notes_"&amp;LEFT($A$1977,3)),4,0))</f>
        <v>0</v>
      </c>
      <c r="G2255" s="471" t="str">
        <f>IF(ISNUMBER(SEARCH("specify",'RO6'!C143)),"",'RO6'!C143)</f>
        <v/>
      </c>
      <c r="H2255" s="471">
        <f t="shared" si="336"/>
        <v>3</v>
      </c>
      <c r="I2255" s="471">
        <v>1</v>
      </c>
      <c r="J2255" s="471" t="str">
        <f t="shared" si="337"/>
        <v>cenoth13-n cenoth13</v>
      </c>
      <c r="K2255" s="471" t="str">
        <f t="shared" si="338"/>
        <v>tot-inc</v>
      </c>
      <c r="L2255" s="599"/>
      <c r="M2255" s="471" t="s">
        <v>6187</v>
      </c>
      <c r="N2255" s="471" t="s">
        <v>1251</v>
      </c>
      <c r="O2255" s="471" t="s">
        <v>1250</v>
      </c>
    </row>
    <row r="2256" spans="1:15" x14ac:dyDescent="0.25">
      <c r="A2256" s="471" t="s">
        <v>6450</v>
      </c>
      <c r="B2256" s="1139">
        <f t="shared" ca="1" si="335"/>
        <v>0</v>
      </c>
      <c r="C2256" s="473">
        <f ca="1">IF(ISERROR(VLOOKUP($A$1978,INDIRECT("notes_"&amp;LEFT($A$1978,3)),4,0)),0,VLOOKUP($A$1978,INDIRECT("notes_"&amp;LEFT($A$1978,3)),4,0))</f>
        <v>0</v>
      </c>
      <c r="G2256" s="471" t="str">
        <f>IF(ISNUMBER(SEARCH("specify",'RO6'!C144)),"",'RO6'!C144)</f>
        <v/>
      </c>
      <c r="H2256" s="471">
        <f t="shared" si="336"/>
        <v>3</v>
      </c>
      <c r="I2256" s="471">
        <v>1</v>
      </c>
      <c r="J2256" s="471" t="str">
        <f t="shared" si="337"/>
        <v>cenoth14-n cenoth14</v>
      </c>
      <c r="K2256" s="471" t="str">
        <f t="shared" si="338"/>
        <v>tot-inc</v>
      </c>
      <c r="L2256" s="599"/>
      <c r="M2256" s="471" t="s">
        <v>6187</v>
      </c>
      <c r="N2256" s="471" t="s">
        <v>1251</v>
      </c>
      <c r="O2256" s="471" t="s">
        <v>1250</v>
      </c>
    </row>
    <row r="2257" spans="1:15" x14ac:dyDescent="0.25">
      <c r="A2257" s="471" t="s">
        <v>6451</v>
      </c>
      <c r="B2257" s="1139">
        <f t="shared" ca="1" si="335"/>
        <v>0</v>
      </c>
      <c r="C2257" s="473">
        <f ca="1">IF(ISERROR(VLOOKUP($A$1979,INDIRECT("notes_"&amp;LEFT($A$1979,3)),4,0)),0,VLOOKUP($A$1979,INDIRECT("notes_"&amp;LEFT($A$1979,3)),4,0))</f>
        <v>0</v>
      </c>
      <c r="G2257" s="471" t="str">
        <f>IF(ISNUMBER(SEARCH("specify",'RO6'!C145)),"",'RO6'!C145)</f>
        <v/>
      </c>
      <c r="H2257" s="471">
        <f t="shared" si="336"/>
        <v>3</v>
      </c>
      <c r="I2257" s="471">
        <v>1</v>
      </c>
      <c r="J2257" s="471" t="str">
        <f t="shared" si="337"/>
        <v>cenoth15-n cenoth15</v>
      </c>
      <c r="K2257" s="471" t="str">
        <f t="shared" si="338"/>
        <v>tot-inc</v>
      </c>
      <c r="L2257" s="599"/>
      <c r="M2257" s="471" t="s">
        <v>6187</v>
      </c>
      <c r="N2257" s="471" t="s">
        <v>1251</v>
      </c>
      <c r="O2257" s="471" t="s">
        <v>1250</v>
      </c>
    </row>
    <row r="2258" spans="1:15" x14ac:dyDescent="0.25">
      <c r="A2258" s="471" t="s">
        <v>6452</v>
      </c>
      <c r="B2258" s="1139">
        <f t="shared" ca="1" si="335"/>
        <v>0</v>
      </c>
      <c r="C2258" s="473">
        <f ca="1">IF(ISERROR(VLOOKUP($A$1980,INDIRECT("notes_"&amp;LEFT($A$1980,3)),4,0)),0,VLOOKUP($A$1980,INDIRECT("notes_"&amp;LEFT($A$1980,3)),4,0))</f>
        <v>0</v>
      </c>
      <c r="G2258" s="471" t="str">
        <f>IF(ISNUMBER(SEARCH("specify",'RO6'!C146)),"",'RO6'!C146)</f>
        <v/>
      </c>
      <c r="H2258" s="471">
        <f t="shared" si="336"/>
        <v>3</v>
      </c>
      <c r="I2258" s="471">
        <v>1</v>
      </c>
      <c r="J2258" s="471" t="str">
        <f t="shared" si="337"/>
        <v>cenoth16-n cenoth16</v>
      </c>
      <c r="K2258" s="471" t="str">
        <f t="shared" si="338"/>
        <v>tot-inc</v>
      </c>
      <c r="L2258" s="599"/>
      <c r="M2258" s="471" t="s">
        <v>6187</v>
      </c>
      <c r="N2258" s="471" t="s">
        <v>1251</v>
      </c>
      <c r="O2258" s="471" t="s">
        <v>1250</v>
      </c>
    </row>
    <row r="2259" spans="1:15" x14ac:dyDescent="0.25">
      <c r="A2259" s="471" t="s">
        <v>6453</v>
      </c>
      <c r="B2259" s="1139">
        <f t="shared" ca="1" si="335"/>
        <v>0</v>
      </c>
      <c r="C2259" s="473">
        <f ca="1">IF(ISERROR(VLOOKUP($A$1981,INDIRECT("notes_"&amp;LEFT($A$1981,3)),4,0)),0,VLOOKUP($A$1981,INDIRECT("notes_"&amp;LEFT($A$1981,3)),4,0))</f>
        <v>0</v>
      </c>
      <c r="G2259" s="471" t="str">
        <f>IF(ISNUMBER(SEARCH("specify",'RO6'!C147)),"",'RO6'!C147)</f>
        <v/>
      </c>
      <c r="H2259" s="471">
        <f t="shared" si="336"/>
        <v>3</v>
      </c>
      <c r="I2259" s="471">
        <v>1</v>
      </c>
      <c r="J2259" s="471" t="str">
        <f t="shared" si="337"/>
        <v>cenoth17-n cenoth17</v>
      </c>
      <c r="K2259" s="471" t="str">
        <f t="shared" si="338"/>
        <v>tot-inc</v>
      </c>
      <c r="L2259" s="599"/>
      <c r="M2259" s="471" t="s">
        <v>6187</v>
      </c>
      <c r="N2259" s="471" t="s">
        <v>1251</v>
      </c>
      <c r="O2259" s="471" t="s">
        <v>1250</v>
      </c>
    </row>
    <row r="2260" spans="1:15" x14ac:dyDescent="0.25">
      <c r="A2260" s="471" t="s">
        <v>6454</v>
      </c>
      <c r="B2260" s="1139">
        <f t="shared" ca="1" si="335"/>
        <v>0</v>
      </c>
      <c r="C2260" s="473">
        <f ca="1">IF(ISERROR(VLOOKUP($A$1982,INDIRECT("notes_"&amp;LEFT($A$1982,3)),4,0)),0,VLOOKUP($A$1982,INDIRECT("notes_"&amp;LEFT($A$1982,3)),4,0))</f>
        <v>0</v>
      </c>
      <c r="G2260" s="471" t="str">
        <f>IF(ISNUMBER(SEARCH("specify",'RO6'!C148)),"",'RO6'!C148)</f>
        <v/>
      </c>
      <c r="H2260" s="471">
        <f t="shared" si="336"/>
        <v>3</v>
      </c>
      <c r="I2260" s="471">
        <v>1</v>
      </c>
      <c r="J2260" s="471" t="str">
        <f t="shared" si="337"/>
        <v>cenoth18-n cenoth18</v>
      </c>
      <c r="K2260" s="471" t="str">
        <f t="shared" si="338"/>
        <v>tot-inc</v>
      </c>
      <c r="L2260" s="599"/>
      <c r="M2260" s="471" t="s">
        <v>6187</v>
      </c>
      <c r="N2260" s="471" t="s">
        <v>1251</v>
      </c>
      <c r="O2260" s="471" t="s">
        <v>1250</v>
      </c>
    </row>
    <row r="2261" spans="1:15" x14ac:dyDescent="0.25">
      <c r="A2261" s="471" t="s">
        <v>6455</v>
      </c>
      <c r="B2261" s="1139">
        <f t="shared" ca="1" si="335"/>
        <v>0</v>
      </c>
      <c r="C2261" s="473">
        <f ca="1">IF(ISERROR(VLOOKUP($A$1983,INDIRECT("notes_"&amp;LEFT($A$1983,3)),4,0)),0,VLOOKUP($A$1983,INDIRECT("notes_"&amp;LEFT($A$1983,3)),4,0))</f>
        <v>0</v>
      </c>
      <c r="G2261" s="471" t="str">
        <f>IF(ISNUMBER(SEARCH("specify",'RO6'!C149)),"",'RO6'!C149)</f>
        <v/>
      </c>
      <c r="H2261" s="471">
        <f t="shared" si="336"/>
        <v>3</v>
      </c>
      <c r="I2261" s="471">
        <v>1</v>
      </c>
      <c r="J2261" s="471" t="str">
        <f t="shared" si="337"/>
        <v>cenoth19-n cenoth19</v>
      </c>
      <c r="K2261" s="471" t="str">
        <f t="shared" si="338"/>
        <v>tot-inc</v>
      </c>
      <c r="L2261" s="599"/>
      <c r="M2261" s="471" t="s">
        <v>6187</v>
      </c>
      <c r="N2261" s="471" t="s">
        <v>1251</v>
      </c>
      <c r="O2261" s="471" t="s">
        <v>1250</v>
      </c>
    </row>
    <row r="2262" spans="1:15" x14ac:dyDescent="0.25">
      <c r="A2262" s="471" t="s">
        <v>6456</v>
      </c>
      <c r="B2262" s="1139">
        <f t="shared" ca="1" si="335"/>
        <v>0</v>
      </c>
      <c r="C2262" s="473">
        <f ca="1">IF(ISERROR(VLOOKUP($A$1984,INDIRECT("notes_"&amp;LEFT($A$1984,3)),4,0)),0,VLOOKUP($A$1984,INDIRECT("notes_"&amp;LEFT($A$1984,3)),4,0))</f>
        <v>0</v>
      </c>
      <c r="G2262" s="471" t="str">
        <f>IF(ISNUMBER(SEARCH("specify",'RO6'!C150)),"",'RO6'!C150)</f>
        <v/>
      </c>
      <c r="H2262" s="471">
        <f t="shared" si="336"/>
        <v>3</v>
      </c>
      <c r="I2262" s="471">
        <v>1</v>
      </c>
      <c r="J2262" s="471" t="str">
        <f t="shared" si="337"/>
        <v>cenoth20-n cenoth20</v>
      </c>
      <c r="K2262" s="471" t="str">
        <f t="shared" si="338"/>
        <v>tot-inc</v>
      </c>
      <c r="L2262" s="599"/>
      <c r="M2262" s="471" t="s">
        <v>6187</v>
      </c>
      <c r="N2262" s="471" t="s">
        <v>1251</v>
      </c>
      <c r="O2262" s="471" t="s">
        <v>1250</v>
      </c>
    </row>
    <row r="2263" spans="1:15" x14ac:dyDescent="0.25">
      <c r="A2263" s="471" t="s">
        <v>6457</v>
      </c>
      <c r="B2263" s="1139">
        <f t="shared" ca="1" si="335"/>
        <v>0</v>
      </c>
      <c r="C2263" s="473">
        <f ca="1">IF(ISERROR(VLOOKUP($A$1985,INDIRECT("notes_"&amp;LEFT($A$1985,3)),4,0)),0,VLOOKUP($A$1985,INDIRECT("notes_"&amp;LEFT($A$1985,3)),4,0))</f>
        <v>0</v>
      </c>
      <c r="H2263" s="471">
        <f t="shared" si="336"/>
        <v>3</v>
      </c>
      <c r="I2263" s="471">
        <v>1</v>
      </c>
      <c r="J2263" s="471" t="str">
        <f t="shared" si="337"/>
        <v>centoth-tot</v>
      </c>
      <c r="K2263" s="471" t="str">
        <f t="shared" si="338"/>
        <v>tot-inc</v>
      </c>
      <c r="L2263" s="599"/>
      <c r="M2263" s="471" t="s">
        <v>6187</v>
      </c>
      <c r="N2263" s="471" t="s">
        <v>1251</v>
      </c>
      <c r="O2263" s="471" t="s">
        <v>1250</v>
      </c>
    </row>
    <row r="2264" spans="1:15" x14ac:dyDescent="0.25">
      <c r="A2264" s="471" t="s">
        <v>6458</v>
      </c>
      <c r="B2264" s="1139">
        <f t="shared" ca="1" si="335"/>
        <v>0</v>
      </c>
      <c r="C2264" s="473">
        <f ca="1">IF(ISERROR(VLOOKUP($A$1938,INDIRECT("notes_"&amp;LEFT($A$1938,3)),4,0)),0,VLOOKUP($A$1938,INDIRECT("notes_"&amp;LEFT($A$1938,3)),4,0))</f>
        <v>0</v>
      </c>
      <c r="D2264" s="472" t="str">
        <f>'RO6'!N33</f>
        <v/>
      </c>
      <c r="E2264" s="472" t="str">
        <f>'RO6'!O33</f>
        <v/>
      </c>
      <c r="F2264" s="472" t="str">
        <f>'RO6'!Q33</f>
        <v/>
      </c>
      <c r="H2264" s="471">
        <f t="shared" si="336"/>
        <v>2</v>
      </c>
      <c r="I2264" s="471">
        <v>2</v>
      </c>
      <c r="J2264" s="471" t="str">
        <f t="shared" si="337"/>
        <v>poltot</v>
      </c>
      <c r="K2264" s="471" t="str">
        <f t="shared" si="338"/>
        <v>net-cur-exp</v>
      </c>
      <c r="L2264" s="599"/>
      <c r="M2264" s="471" t="s">
        <v>6187</v>
      </c>
      <c r="N2264" s="471" t="s">
        <v>1251</v>
      </c>
      <c r="O2264" s="471" t="s">
        <v>1250</v>
      </c>
    </row>
    <row r="2265" spans="1:15" x14ac:dyDescent="0.25">
      <c r="A2265" s="471" t="s">
        <v>6459</v>
      </c>
      <c r="B2265" s="1139">
        <f t="shared" ca="1" si="335"/>
        <v>0</v>
      </c>
      <c r="C2265" s="473">
        <f ca="1">IF(ISERROR(VLOOKUP($A$1939,INDIRECT("notes_"&amp;LEFT($A$1939,3)),4,0)),0,VLOOKUP($A$1939,INDIRECT("notes_"&amp;LEFT($A$1939,3)),4,0))</f>
        <v>0</v>
      </c>
      <c r="D2265" s="472" t="str">
        <f>'RO6'!N43</f>
        <v/>
      </c>
      <c r="E2265" s="472" t="str">
        <f>'RO6'!O43</f>
        <v/>
      </c>
      <c r="F2265" s="472" t="str">
        <f>'RO6'!Q43</f>
        <v/>
      </c>
      <c r="H2265" s="471">
        <f t="shared" si="336"/>
        <v>4</v>
      </c>
      <c r="I2265" s="471">
        <v>2</v>
      </c>
      <c r="J2265" s="471" t="str">
        <f t="shared" si="337"/>
        <v>frs-cmm-fs</v>
      </c>
      <c r="K2265" s="471" t="str">
        <f t="shared" si="338"/>
        <v>net-cur-exp</v>
      </c>
      <c r="L2265" s="599"/>
      <c r="M2265" s="471" t="s">
        <v>6187</v>
      </c>
      <c r="N2265" s="471" t="s">
        <v>1251</v>
      </c>
      <c r="O2265" s="471" t="s">
        <v>1250</v>
      </c>
    </row>
    <row r="2266" spans="1:15" x14ac:dyDescent="0.25">
      <c r="A2266" s="471" t="s">
        <v>6460</v>
      </c>
      <c r="B2266" s="1139">
        <f t="shared" ca="1" si="335"/>
        <v>0</v>
      </c>
      <c r="C2266" s="473">
        <f ca="1">IF(ISERROR(VLOOKUP($A$1940,INDIRECT("notes_"&amp;LEFT($A$1940,3)),4,0)),0,VLOOKUP($A$1940,INDIRECT("notes_"&amp;LEFT($A$1940,3)),4,0))</f>
        <v>0</v>
      </c>
      <c r="D2266" s="472" t="str">
        <f>'RO6'!N44</f>
        <v/>
      </c>
      <c r="E2266" s="472" t="str">
        <f>'RO6'!O44</f>
        <v/>
      </c>
      <c r="F2266" s="472" t="str">
        <f>'RO6'!Q44</f>
        <v/>
      </c>
      <c r="H2266" s="471">
        <f t="shared" ref="H2266:H2315" si="339">LEN(A2266)-LEN(SUBSTITUTE(A2266,"-",""))-I2266</f>
        <v>4</v>
      </c>
      <c r="I2266" s="471">
        <v>2</v>
      </c>
      <c r="J2266" s="471" t="str">
        <f t="shared" ref="J2266:J2315" si="340">MID($A2266,SEARCH("-",$A2266)+1,SEARCH("#",SUBSTITUTE($A2266,"-","#",H2266),1)-(SEARCH("-",$A2266)+1))</f>
        <v>frs-ffr-opr</v>
      </c>
      <c r="K2266" s="471" t="str">
        <f t="shared" ref="K2266:K2315" si="341">RIGHT($A2266,LEN($A2266)-SEARCH("#",SUBSTITUTE($A2266,"-","#",H2266),1))</f>
        <v>net-cur-exp</v>
      </c>
      <c r="L2266" s="599"/>
      <c r="M2266" s="471" t="s">
        <v>6187</v>
      </c>
      <c r="N2266" s="471" t="s">
        <v>1251</v>
      </c>
      <c r="O2266" s="471" t="s">
        <v>1250</v>
      </c>
    </row>
    <row r="2267" spans="1:15" x14ac:dyDescent="0.25">
      <c r="A2267" s="471" t="s">
        <v>6461</v>
      </c>
      <c r="B2267" s="1139">
        <f t="shared" ca="1" si="335"/>
        <v>0</v>
      </c>
      <c r="C2267" s="473">
        <f ca="1">IF(ISERROR(VLOOKUP($A$1941,INDIRECT("notes_"&amp;LEFT($A$1941,3)),4,0)),0,VLOOKUP($A$1941,INDIRECT("notes_"&amp;LEFT($A$1941,3)),4,0))</f>
        <v>0</v>
      </c>
      <c r="D2267" s="472" t="str">
        <f>'RO6'!N45</f>
        <v/>
      </c>
      <c r="E2267" s="472" t="str">
        <f>'RO6'!O45</f>
        <v/>
      </c>
      <c r="F2267" s="472" t="str">
        <f>'RO6'!Q45</f>
        <v/>
      </c>
      <c r="H2267" s="471">
        <f t="shared" si="339"/>
        <v>5</v>
      </c>
      <c r="I2267" s="471">
        <v>2</v>
      </c>
      <c r="J2267" s="471" t="str">
        <f t="shared" si="340"/>
        <v>frs-frs-emr-pln</v>
      </c>
      <c r="K2267" s="471" t="str">
        <f t="shared" si="341"/>
        <v>net-cur-exp</v>
      </c>
      <c r="L2267" s="599"/>
      <c r="M2267" s="471" t="s">
        <v>6187</v>
      </c>
      <c r="N2267" s="471" t="s">
        <v>1251</v>
      </c>
      <c r="O2267" s="471" t="s">
        <v>1250</v>
      </c>
    </row>
    <row r="2268" spans="1:15" x14ac:dyDescent="0.25">
      <c r="A2268" s="471" t="s">
        <v>6462</v>
      </c>
      <c r="B2268" s="1139">
        <f t="shared" ca="1" si="335"/>
        <v>0</v>
      </c>
      <c r="C2268" s="473">
        <f ca="1">IF(ISERROR(VLOOKUP($A$1942,INDIRECT("notes_"&amp;LEFT($A$1942,3)),4,0)),0,VLOOKUP($A$1942,INDIRECT("notes_"&amp;LEFT($A$1942,3)),4,0))</f>
        <v>0</v>
      </c>
      <c r="D2268" s="472" t="str">
        <f>'RO6'!N46</f>
        <v/>
      </c>
      <c r="E2268" s="472" t="str">
        <f>'RO6'!O46</f>
        <v/>
      </c>
      <c r="F2268" s="472" t="str">
        <f>'RO6'!Q46</f>
        <v/>
      </c>
      <c r="H2268" s="471">
        <f t="shared" si="339"/>
        <v>2</v>
      </c>
      <c r="I2268" s="471">
        <v>2</v>
      </c>
      <c r="J2268" s="471" t="str">
        <f t="shared" si="340"/>
        <v>frstot</v>
      </c>
      <c r="K2268" s="471" t="str">
        <f t="shared" si="341"/>
        <v>net-cur-exp</v>
      </c>
      <c r="L2268" s="599"/>
      <c r="M2268" s="471" t="s">
        <v>6187</v>
      </c>
      <c r="N2268" s="471" t="s">
        <v>1251</v>
      </c>
      <c r="O2268" s="471" t="s">
        <v>1250</v>
      </c>
    </row>
    <row r="2269" spans="1:15" x14ac:dyDescent="0.25">
      <c r="A2269" s="471" t="s">
        <v>6463</v>
      </c>
      <c r="B2269" s="1139">
        <f t="shared" ca="1" si="335"/>
        <v>0</v>
      </c>
      <c r="C2269" s="473">
        <f ca="1">IF(ISERROR(VLOOKUP($A$1943,INDIRECT("notes_"&amp;LEFT($A$1943,3)),4,0)),0,VLOOKUP($A$1943,INDIRECT("notes_"&amp;LEFT($A$1943,3)),4,0))</f>
        <v>0</v>
      </c>
      <c r="D2269" s="472" t="str">
        <f>'RO6'!N57</f>
        <v/>
      </c>
      <c r="E2269" s="472" t="str">
        <f>'RO6'!O57</f>
        <v/>
      </c>
      <c r="F2269" s="472" t="str">
        <f>'RO6'!Q57</f>
        <v/>
      </c>
      <c r="H2269" s="471">
        <f t="shared" si="339"/>
        <v>2</v>
      </c>
      <c r="I2269" s="471">
        <v>2</v>
      </c>
      <c r="J2269" s="471" t="str">
        <f t="shared" si="340"/>
        <v>cencrp</v>
      </c>
      <c r="K2269" s="471" t="str">
        <f t="shared" si="341"/>
        <v>net-cur-exp</v>
      </c>
      <c r="L2269" s="599"/>
      <c r="M2269" s="471" t="s">
        <v>6187</v>
      </c>
      <c r="N2269" s="471" t="s">
        <v>1251</v>
      </c>
      <c r="O2269" s="471" t="s">
        <v>1250</v>
      </c>
    </row>
    <row r="2270" spans="1:15" x14ac:dyDescent="0.25">
      <c r="A2270" s="471" t="s">
        <v>6464</v>
      </c>
      <c r="B2270" s="1139">
        <f t="shared" ca="1" si="335"/>
        <v>0</v>
      </c>
      <c r="C2270" s="473">
        <f ca="1">IF(ISERROR(VLOOKUP($A$1944,INDIRECT("notes_"&amp;LEFT($A$1944,3)),4,0)),0,VLOOKUP($A$1944,INDIRECT("notes_"&amp;LEFT($A$1944,3)),4,0))</f>
        <v>0</v>
      </c>
      <c r="D2270" s="472" t="str">
        <f>'RO6'!N62</f>
        <v/>
      </c>
      <c r="E2270" s="472" t="e">
        <f>'RO6'!O62</f>
        <v>#N/A</v>
      </c>
      <c r="F2270" s="472" t="e">
        <f>'RO6'!Q62</f>
        <v>#N/A</v>
      </c>
      <c r="H2270" s="471">
        <f t="shared" si="339"/>
        <v>3</v>
      </c>
      <c r="I2270" s="471">
        <v>2</v>
      </c>
      <c r="J2270" s="471" t="str">
        <f t="shared" si="340"/>
        <v>centax-cll</v>
      </c>
      <c r="K2270" s="471" t="str">
        <f t="shared" si="341"/>
        <v>net-cur-exp</v>
      </c>
      <c r="L2270" s="599"/>
      <c r="M2270" s="471" t="s">
        <v>6187</v>
      </c>
      <c r="N2270" s="471" t="s">
        <v>1251</v>
      </c>
      <c r="O2270" s="471" t="s">
        <v>1250</v>
      </c>
    </row>
    <row r="2271" spans="1:15" x14ac:dyDescent="0.25">
      <c r="A2271" s="471" t="s">
        <v>6465</v>
      </c>
      <c r="B2271" s="1139">
        <f t="shared" ca="1" si="335"/>
        <v>0</v>
      </c>
      <c r="C2271" s="473">
        <f ca="1">IF(ISERROR(VLOOKUP($A$1945,INDIRECT("notes_"&amp;LEFT($A$1945,3)),4,0)),0,VLOOKUP($A$1945,INDIRECT("notes_"&amp;LEFT($A$1945,3)),4,0))</f>
        <v>0</v>
      </c>
      <c r="D2271" s="472" t="str">
        <f>'RO6'!N63</f>
        <v/>
      </c>
      <c r="E2271" s="472" t="str">
        <f>'RO6'!O63</f>
        <v/>
      </c>
      <c r="F2271" s="472" t="str">
        <f>'RO6'!Q63</f>
        <v/>
      </c>
      <c r="H2271" s="471">
        <f t="shared" si="339"/>
        <v>4</v>
      </c>
      <c r="I2271" s="471">
        <v>2</v>
      </c>
      <c r="J2271" s="471" t="str">
        <f t="shared" si="340"/>
        <v>centaxdsc-prm-pym</v>
      </c>
      <c r="K2271" s="471" t="str">
        <f t="shared" si="341"/>
        <v>net-cur-exp</v>
      </c>
      <c r="L2271" s="599"/>
      <c r="M2271" s="471" t="s">
        <v>6187</v>
      </c>
      <c r="N2271" s="471" t="s">
        <v>1251</v>
      </c>
      <c r="O2271" s="471" t="s">
        <v>1250</v>
      </c>
    </row>
    <row r="2272" spans="1:15" x14ac:dyDescent="0.25">
      <c r="A2272" s="471" t="s">
        <v>6466</v>
      </c>
      <c r="B2272" s="1139">
        <f t="shared" ca="1" si="335"/>
        <v>0</v>
      </c>
      <c r="C2272" s="473">
        <f ca="1">IF(ISERROR(VLOOKUP($A$1946,INDIRECT("notes_"&amp;LEFT($A$1946,3)),4,0)),0,VLOOKUP($A$1946,INDIRECT("notes_"&amp;LEFT($A$1946,3)),4,0))</f>
        <v>0</v>
      </c>
      <c r="D2272" s="472" t="str">
        <f>'RO6'!N64</f>
        <v/>
      </c>
      <c r="E2272" s="472" t="str">
        <f>'RO6'!O64</f>
        <v/>
      </c>
      <c r="F2272" s="472" t="str">
        <f>'RO6'!Q64</f>
        <v/>
      </c>
      <c r="H2272" s="471">
        <f t="shared" si="339"/>
        <v>2</v>
      </c>
      <c r="I2272" s="471">
        <v>2</v>
      </c>
      <c r="J2272" s="471" t="str">
        <f t="shared" si="340"/>
        <v>centaxdsc</v>
      </c>
      <c r="K2272" s="471" t="str">
        <f t="shared" si="341"/>
        <v>net-cur-exp</v>
      </c>
      <c r="L2272" s="599"/>
      <c r="M2272" s="471" t="s">
        <v>6187</v>
      </c>
      <c r="N2272" s="471" t="s">
        <v>1251</v>
      </c>
      <c r="O2272" s="471" t="s">
        <v>1250</v>
      </c>
    </row>
    <row r="2273" spans="1:15" x14ac:dyDescent="0.25">
      <c r="A2273" s="471" t="s">
        <v>6467</v>
      </c>
      <c r="B2273" s="1139">
        <f t="shared" ca="1" si="335"/>
        <v>0</v>
      </c>
      <c r="C2273" s="473">
        <f ca="1">IF(ISERROR(VLOOKUP($A$1947,INDIRECT("notes_"&amp;LEFT($A$1947,3)),4,0)),0,VLOOKUP($A$1947,INDIRECT("notes_"&amp;LEFT($A$1947,3)),4,0))</f>
        <v>0</v>
      </c>
      <c r="D2273" s="472" t="str">
        <f>'RO6'!N65</f>
        <v/>
      </c>
      <c r="E2273" s="472" t="str">
        <f>'RO6'!O65</f>
        <v/>
      </c>
      <c r="F2273" s="472" t="str">
        <f>'RO6'!Q65</f>
        <v/>
      </c>
      <c r="H2273" s="471">
        <f t="shared" si="339"/>
        <v>2</v>
      </c>
      <c r="I2273" s="471">
        <v>2</v>
      </c>
      <c r="J2273" s="471" t="str">
        <f t="shared" si="340"/>
        <v>centaxadm</v>
      </c>
      <c r="K2273" s="471" t="str">
        <f t="shared" si="341"/>
        <v>net-cur-exp</v>
      </c>
      <c r="L2273" s="599"/>
      <c r="M2273" s="471" t="s">
        <v>6187</v>
      </c>
      <c r="N2273" s="471" t="s">
        <v>1251</v>
      </c>
      <c r="O2273" s="471" t="s">
        <v>1250</v>
      </c>
    </row>
    <row r="2274" spans="1:15" x14ac:dyDescent="0.25">
      <c r="A2274" s="471" t="s">
        <v>6468</v>
      </c>
      <c r="B2274" s="1139">
        <f t="shared" ca="1" si="335"/>
        <v>0</v>
      </c>
      <c r="C2274" s="473">
        <f ca="1">IF(ISERROR(VLOOKUP($A$1948,INDIRECT("notes_"&amp;LEFT($A$1948,3)),4,0)),0,VLOOKUP($A$1948,INDIRECT("notes_"&amp;LEFT($A$1948,3)),4,0))</f>
        <v>0</v>
      </c>
      <c r="D2274" s="472" t="str">
        <f>'RO6'!N66</f>
        <v/>
      </c>
      <c r="E2274" s="472" t="e">
        <f>'RO6'!O66</f>
        <v>#N/A</v>
      </c>
      <c r="F2274" s="472" t="e">
        <f>'RO6'!Q66</f>
        <v>#N/A</v>
      </c>
      <c r="H2274" s="471">
        <f t="shared" si="339"/>
        <v>5</v>
      </c>
      <c r="I2274" s="471">
        <v>2</v>
      </c>
      <c r="J2274" s="471" t="str">
        <f t="shared" si="340"/>
        <v>centaxoth-non-dms-cll</v>
      </c>
      <c r="K2274" s="471" t="str">
        <f t="shared" si="341"/>
        <v>net-cur-exp</v>
      </c>
      <c r="L2274" s="599"/>
      <c r="M2274" s="471" t="s">
        <v>6187</v>
      </c>
      <c r="N2274" s="471" t="s">
        <v>1251</v>
      </c>
      <c r="O2274" s="471" t="s">
        <v>1250</v>
      </c>
    </row>
    <row r="2275" spans="1:15" x14ac:dyDescent="0.25">
      <c r="A2275" s="471" t="s">
        <v>6469</v>
      </c>
      <c r="B2275" s="1139">
        <f t="shared" ca="1" si="335"/>
        <v>0</v>
      </c>
      <c r="C2275" s="473">
        <f ca="1">IF(ISERROR(VLOOKUP($A$1949,INDIRECT("notes_"&amp;LEFT($A$1949,3)),4,0)),0,VLOOKUP($A$1949,INDIRECT("notes_"&amp;LEFT($A$1949,3)),4,0))</f>
        <v>0</v>
      </c>
      <c r="D2275" s="472" t="str">
        <f>'RO6'!N67</f>
        <v/>
      </c>
      <c r="E2275" s="472" t="str">
        <f>'RO6'!O67</f>
        <v/>
      </c>
      <c r="F2275" s="472" t="str">
        <f>'RO6'!Q67</f>
        <v/>
      </c>
      <c r="H2275" s="471">
        <f t="shared" si="339"/>
        <v>4</v>
      </c>
      <c r="I2275" s="471">
        <v>2</v>
      </c>
      <c r="J2275" s="471" t="str">
        <f t="shared" si="340"/>
        <v>centaxoth-bid-bll</v>
      </c>
      <c r="K2275" s="471" t="str">
        <f t="shared" si="341"/>
        <v>net-cur-exp</v>
      </c>
      <c r="L2275" s="599"/>
      <c r="M2275" s="471" t="s">
        <v>6187</v>
      </c>
      <c r="N2275" s="471" t="s">
        <v>1251</v>
      </c>
      <c r="O2275" s="471" t="s">
        <v>1250</v>
      </c>
    </row>
    <row r="2276" spans="1:15" x14ac:dyDescent="0.25">
      <c r="A2276" s="471" t="s">
        <v>6470</v>
      </c>
      <c r="B2276" s="1139">
        <f t="shared" ca="1" si="335"/>
        <v>0</v>
      </c>
      <c r="C2276" s="473">
        <f ca="1">IF(ISERROR(VLOOKUP($A$1950,INDIRECT("notes_"&amp;LEFT($A$1950,3)),4,0)),0,VLOOKUP($A$1950,INDIRECT("notes_"&amp;LEFT($A$1950,3)),4,0))</f>
        <v>0</v>
      </c>
      <c r="D2276" s="472" t="str">
        <f>'RO6'!N69</f>
        <v/>
      </c>
      <c r="E2276" s="472" t="str">
        <f>'RO6'!O69</f>
        <v/>
      </c>
      <c r="F2276" s="472" t="str">
        <f>'RO6'!Q69</f>
        <v/>
      </c>
      <c r="H2276" s="471">
        <f t="shared" si="339"/>
        <v>4</v>
      </c>
      <c r="I2276" s="471">
        <v>2</v>
      </c>
      <c r="J2276" s="471" t="str">
        <f t="shared" si="340"/>
        <v>cencntbrt-dth-mrr</v>
      </c>
      <c r="K2276" s="471" t="str">
        <f t="shared" si="341"/>
        <v>net-cur-exp</v>
      </c>
      <c r="L2276" s="599"/>
      <c r="M2276" s="471" t="s">
        <v>6187</v>
      </c>
      <c r="N2276" s="471" t="s">
        <v>1251</v>
      </c>
      <c r="O2276" s="471" t="s">
        <v>1250</v>
      </c>
    </row>
    <row r="2277" spans="1:15" x14ac:dyDescent="0.25">
      <c r="A2277" s="471" t="s">
        <v>6471</v>
      </c>
      <c r="B2277" s="1139">
        <f t="shared" ca="1" si="335"/>
        <v>0</v>
      </c>
      <c r="C2277" s="473">
        <f ca="1">IF(ISERROR(VLOOKUP($A$1951,INDIRECT("notes_"&amp;LEFT($A$1951,3)),4,0)),0,VLOOKUP($A$1951,INDIRECT("notes_"&amp;LEFT($A$1951,3)),4,0))</f>
        <v>0</v>
      </c>
      <c r="D2277" s="472" t="str">
        <f>'RO6'!N72</f>
        <v/>
      </c>
      <c r="E2277" s="472" t="str">
        <f>'RO6'!O72</f>
        <v/>
      </c>
      <c r="F2277" s="472" t="str">
        <f>'RO6'!Q72</f>
        <v/>
      </c>
      <c r="H2277" s="471">
        <f t="shared" si="339"/>
        <v>4</v>
      </c>
      <c r="I2277" s="471">
        <v>2</v>
      </c>
      <c r="J2277" s="471" t="str">
        <f t="shared" si="340"/>
        <v>cencnt-rgs-elc</v>
      </c>
      <c r="K2277" s="471" t="str">
        <f t="shared" si="341"/>
        <v>net-cur-exp</v>
      </c>
      <c r="L2277" s="599"/>
      <c r="M2277" s="471" t="s">
        <v>6187</v>
      </c>
      <c r="N2277" s="471" t="s">
        <v>1251</v>
      </c>
      <c r="O2277" s="471" t="s">
        <v>1250</v>
      </c>
    </row>
    <row r="2278" spans="1:15" x14ac:dyDescent="0.25">
      <c r="A2278" s="471" t="s">
        <v>6472</v>
      </c>
      <c r="B2278" s="1139">
        <f t="shared" ca="1" si="335"/>
        <v>0</v>
      </c>
      <c r="C2278" s="473">
        <f ca="1">IF(ISERROR(VLOOKUP($A$1952,INDIRECT("notes_"&amp;LEFT($A$1952,3)),4,0)),0,VLOOKUP($A$1952,INDIRECT("notes_"&amp;LEFT($A$1952,3)),4,0))</f>
        <v>0</v>
      </c>
      <c r="D2278" s="472" t="str">
        <f>'RO6'!N73</f>
        <v/>
      </c>
      <c r="E2278" s="472" t="str">
        <f>'RO6'!O73</f>
        <v/>
      </c>
      <c r="F2278" s="472" t="str">
        <f>'RO6'!Q73</f>
        <v/>
      </c>
      <c r="H2278" s="471">
        <f t="shared" si="339"/>
        <v>4</v>
      </c>
      <c r="I2278" s="471">
        <v>2</v>
      </c>
      <c r="J2278" s="471" t="str">
        <f t="shared" si="340"/>
        <v>cencnt-cnd-elc</v>
      </c>
      <c r="K2278" s="471" t="str">
        <f t="shared" si="341"/>
        <v>net-cur-exp</v>
      </c>
      <c r="L2278" s="599"/>
      <c r="M2278" s="471" t="s">
        <v>6187</v>
      </c>
      <c r="N2278" s="471" t="s">
        <v>1251</v>
      </c>
      <c r="O2278" s="471" t="s">
        <v>1250</v>
      </c>
    </row>
    <row r="2279" spans="1:15" x14ac:dyDescent="0.25">
      <c r="A2279" s="471" t="s">
        <v>6473</v>
      </c>
      <c r="B2279" s="1139">
        <f t="shared" ca="1" si="335"/>
        <v>0</v>
      </c>
      <c r="C2279" s="473">
        <f ca="1">IF(ISERROR(VLOOKUP($A$1953,INDIRECT("notes_"&amp;LEFT($A$1953,3)),4,0)),0,VLOOKUP($A$1953,INDIRECT("notes_"&amp;LEFT($A$1953,3)),4,0))</f>
        <v>0</v>
      </c>
      <c r="D2279" s="472" t="str">
        <f>'RO6'!N75</f>
        <v/>
      </c>
      <c r="E2279" s="472" t="str">
        <f>'RO6'!O75</f>
        <v/>
      </c>
      <c r="F2279" s="472" t="str">
        <f>'RO6'!Q75</f>
        <v/>
      </c>
      <c r="H2279" s="471">
        <f t="shared" si="339"/>
        <v>2</v>
      </c>
      <c r="I2279" s="471">
        <v>2</v>
      </c>
      <c r="J2279" s="471" t="str">
        <f t="shared" si="340"/>
        <v>cenemr</v>
      </c>
      <c r="K2279" s="471" t="str">
        <f t="shared" si="341"/>
        <v>net-cur-exp</v>
      </c>
      <c r="L2279" s="599"/>
      <c r="M2279" s="471" t="s">
        <v>6187</v>
      </c>
      <c r="N2279" s="471" t="s">
        <v>1251</v>
      </c>
      <c r="O2279" s="471" t="s">
        <v>1250</v>
      </c>
    </row>
    <row r="2280" spans="1:15" x14ac:dyDescent="0.25">
      <c r="A2280" s="471" t="s">
        <v>6474</v>
      </c>
      <c r="B2280" s="1139">
        <f t="shared" ca="1" si="335"/>
        <v>0</v>
      </c>
      <c r="C2280" s="473">
        <f ca="1">IF(ISERROR(VLOOKUP($A$1954,INDIRECT("notes_"&amp;LEFT($A$1954,3)),4,0)),0,VLOOKUP($A$1954,INDIRECT("notes_"&amp;LEFT($A$1954,3)),4,0))</f>
        <v>0</v>
      </c>
      <c r="D2280" s="472" t="str">
        <f>'RO6'!N77</f>
        <v/>
      </c>
      <c r="E2280" s="472" t="str">
        <f>'RO6'!O77</f>
        <v/>
      </c>
      <c r="F2280" s="472" t="str">
        <f>'RO6'!Q77</f>
        <v/>
      </c>
      <c r="H2280" s="471">
        <f t="shared" si="339"/>
        <v>5</v>
      </c>
      <c r="I2280" s="471">
        <v>2</v>
      </c>
      <c r="J2280" s="471" t="str">
        <f t="shared" si="340"/>
        <v>cencnt-lcl-lnd-chr</v>
      </c>
      <c r="K2280" s="471" t="str">
        <f t="shared" si="341"/>
        <v>net-cur-exp</v>
      </c>
      <c r="L2280" s="599"/>
      <c r="M2280" s="471" t="s">
        <v>6187</v>
      </c>
      <c r="N2280" s="471" t="s">
        <v>1251</v>
      </c>
      <c r="O2280" s="471" t="s">
        <v>1250</v>
      </c>
    </row>
    <row r="2281" spans="1:15" x14ac:dyDescent="0.25">
      <c r="A2281" s="471" t="s">
        <v>6475</v>
      </c>
      <c r="B2281" s="1139">
        <f t="shared" ca="1" si="335"/>
        <v>0</v>
      </c>
      <c r="C2281" s="473">
        <f ca="1">IF(ISERROR(VLOOKUP($A$1955,INDIRECT("notes_"&amp;LEFT($A$1955,3)),4,0)),0,VLOOKUP($A$1955,INDIRECT("notes_"&amp;LEFT($A$1955,3)),4,0))</f>
        <v>0</v>
      </c>
      <c r="D2281" s="472" t="str">
        <f>'RO6'!N79</f>
        <v/>
      </c>
      <c r="E2281" s="472" t="str">
        <f>'RO6'!O79</f>
        <v/>
      </c>
      <c r="F2281" s="472" t="str">
        <f>'RO6'!Q79</f>
        <v/>
      </c>
      <c r="H2281" s="471">
        <f t="shared" si="339"/>
        <v>4</v>
      </c>
      <c r="I2281" s="471">
        <v>2</v>
      </c>
      <c r="J2281" s="471" t="str">
        <f t="shared" si="340"/>
        <v>cencnt-lcl-wlf</v>
      </c>
      <c r="K2281" s="471" t="str">
        <f t="shared" si="341"/>
        <v>net-cur-exp</v>
      </c>
      <c r="L2281" s="599"/>
      <c r="M2281" s="471" t="s">
        <v>6187</v>
      </c>
      <c r="N2281" s="471" t="s">
        <v>1251</v>
      </c>
      <c r="O2281" s="471" t="s">
        <v>1250</v>
      </c>
    </row>
    <row r="2282" spans="1:15" x14ac:dyDescent="0.25">
      <c r="A2282" s="471" t="s">
        <v>6476</v>
      </c>
      <c r="B2282" s="1139">
        <f t="shared" ca="1" si="335"/>
        <v>0</v>
      </c>
      <c r="C2282" s="473">
        <f ca="1">IF(ISERROR(VLOOKUP($A$1956,INDIRECT("notes_"&amp;LEFT($A$1956,3)),4,0)),0,VLOOKUP($A$1956,INDIRECT("notes_"&amp;LEFT($A$1956,3)),4,0))</f>
        <v>0</v>
      </c>
      <c r="D2282" s="472" t="str">
        <f>'RO6'!N81</f>
        <v/>
      </c>
      <c r="E2282" s="472" t="str">
        <f>'RO6'!O81</f>
        <v/>
      </c>
      <c r="F2282" s="472" t="str">
        <f>'RO6'!Q81</f>
        <v/>
      </c>
      <c r="H2282" s="471">
        <f t="shared" si="339"/>
        <v>5</v>
      </c>
      <c r="I2282" s="471">
        <v>2</v>
      </c>
      <c r="J2282" s="471" t="str">
        <f t="shared" si="340"/>
        <v>cencnt-gnr-bqs-dnt</v>
      </c>
      <c r="K2282" s="471" t="str">
        <f t="shared" si="341"/>
        <v>net-cur-exp</v>
      </c>
      <c r="L2282" s="599"/>
      <c r="M2282" s="471" t="s">
        <v>6187</v>
      </c>
      <c r="N2282" s="471" t="s">
        <v>1251</v>
      </c>
      <c r="O2282" s="471" t="s">
        <v>1250</v>
      </c>
    </row>
    <row r="2283" spans="1:15" x14ac:dyDescent="0.25">
      <c r="A2283" s="471" t="s">
        <v>6477</v>
      </c>
      <c r="B2283" s="1139">
        <f t="shared" ca="1" si="335"/>
        <v>0</v>
      </c>
      <c r="C2283" s="473">
        <f ca="1">IF(ISERROR(VLOOKUP($A$1957,INDIRECT("notes_"&amp;LEFT($A$1957,3)),4,0)),0,VLOOKUP($A$1957,INDIRECT("notes_"&amp;LEFT($A$1957,3)),4,0))</f>
        <v>0</v>
      </c>
      <c r="D2283" s="472" t="str">
        <f>'RO6'!N83</f>
        <v/>
      </c>
      <c r="E2283" s="472" t="str">
        <f>'RO6'!O83</f>
        <v/>
      </c>
      <c r="F2283" s="472" t="str">
        <f>'RO6'!Q83</f>
        <v/>
      </c>
      <c r="H2283" s="471">
        <f t="shared" si="339"/>
        <v>2</v>
      </c>
      <c r="I2283" s="471">
        <v>2</v>
      </c>
      <c r="J2283" s="471" t="str">
        <f t="shared" si="340"/>
        <v>cencrn</v>
      </c>
      <c r="K2283" s="471" t="str">
        <f t="shared" si="341"/>
        <v>net-cur-exp</v>
      </c>
      <c r="L2283" s="599"/>
      <c r="M2283" s="471" t="s">
        <v>6187</v>
      </c>
      <c r="N2283" s="471" t="s">
        <v>1251</v>
      </c>
      <c r="O2283" s="471" t="s">
        <v>1250</v>
      </c>
    </row>
    <row r="2284" spans="1:15" x14ac:dyDescent="0.25">
      <c r="A2284" s="471" t="s">
        <v>6478</v>
      </c>
      <c r="B2284" s="1139">
        <f t="shared" ca="1" si="335"/>
        <v>0</v>
      </c>
      <c r="C2284" s="473">
        <f ca="1">IF(ISERROR(VLOOKUP($A$1958,INDIRECT("notes_"&amp;LEFT($A$1958,3)),4,0)),0,VLOOKUP($A$1958,INDIRECT("notes_"&amp;LEFT($A$1958,3)),4,0))</f>
        <v>0</v>
      </c>
      <c r="D2284" s="472" t="str">
        <f>'RO6'!N84</f>
        <v/>
      </c>
      <c r="E2284" s="472" t="str">
        <f>'RO6'!O84</f>
        <v/>
      </c>
      <c r="F2284" s="472" t="str">
        <f>'RO6'!Q84</f>
        <v/>
      </c>
      <c r="H2284" s="471">
        <f t="shared" si="339"/>
        <v>2</v>
      </c>
      <c r="I2284" s="471">
        <v>2</v>
      </c>
      <c r="J2284" s="471" t="str">
        <f t="shared" si="340"/>
        <v>cencrtoth</v>
      </c>
      <c r="K2284" s="471" t="str">
        <f t="shared" si="341"/>
        <v>net-cur-exp</v>
      </c>
      <c r="L2284" s="599"/>
      <c r="M2284" s="471" t="s">
        <v>6187</v>
      </c>
      <c r="N2284" s="471" t="s">
        <v>1251</v>
      </c>
      <c r="O2284" s="471" t="s">
        <v>1250</v>
      </c>
    </row>
    <row r="2285" spans="1:15" x14ac:dyDescent="0.25">
      <c r="A2285" s="471" t="s">
        <v>6479</v>
      </c>
      <c r="B2285" s="1139">
        <f t="shared" ca="1" si="335"/>
        <v>0</v>
      </c>
      <c r="C2285" s="473">
        <f ca="1">IF(ISERROR(VLOOKUP($A$1959,INDIRECT("notes_"&amp;LEFT($A$1959,3)),4,0)),0,VLOOKUP($A$1959,INDIRECT("notes_"&amp;LEFT($A$1959,3)),4,0))</f>
        <v>0</v>
      </c>
      <c r="D2285" s="472" t="str">
        <f>'RO6'!N87</f>
        <v/>
      </c>
      <c r="E2285" s="472" t="str">
        <f>'RO6'!O87</f>
        <v/>
      </c>
      <c r="F2285" s="472" t="str">
        <f>'RO6'!Q87</f>
        <v/>
      </c>
      <c r="H2285" s="471">
        <f t="shared" si="339"/>
        <v>2</v>
      </c>
      <c r="I2285" s="471">
        <v>2</v>
      </c>
      <c r="J2285" s="471" t="str">
        <f t="shared" si="340"/>
        <v>cenndcrtr</v>
      </c>
      <c r="K2285" s="471" t="str">
        <f t="shared" si="341"/>
        <v>net-cur-exp</v>
      </c>
      <c r="L2285" s="599"/>
      <c r="M2285" s="471" t="s">
        <v>6187</v>
      </c>
      <c r="N2285" s="471" t="s">
        <v>1251</v>
      </c>
      <c r="O2285" s="471" t="s">
        <v>1250</v>
      </c>
    </row>
    <row r="2286" spans="1:15" x14ac:dyDescent="0.25">
      <c r="A2286" s="471" t="s">
        <v>6480</v>
      </c>
      <c r="B2286" s="1139">
        <f t="shared" ca="1" si="335"/>
        <v>0</v>
      </c>
      <c r="C2286" s="473">
        <f ca="1">IF(ISERROR(VLOOKUP($A$1960,INDIRECT("notes_"&amp;LEFT($A$1960,3)),4,0)),0,VLOOKUP($A$1960,INDIRECT("notes_"&amp;LEFT($A$1960,3)),4,0))</f>
        <v>0</v>
      </c>
      <c r="D2286" s="472" t="str">
        <f>'RO6'!N88</f>
        <v/>
      </c>
      <c r="E2286" s="472" t="str">
        <f>'RO6'!O88</f>
        <v/>
      </c>
      <c r="F2286" s="472" t="str">
        <f>'RO6'!Q88</f>
        <v/>
      </c>
      <c r="H2286" s="471">
        <f t="shared" si="339"/>
        <v>2</v>
      </c>
      <c r="I2286" s="471">
        <v>2</v>
      </c>
      <c r="J2286" s="471" t="str">
        <f t="shared" si="340"/>
        <v>cenndcit</v>
      </c>
      <c r="K2286" s="471" t="str">
        <f t="shared" si="341"/>
        <v>net-cur-exp</v>
      </c>
      <c r="L2286" s="599"/>
      <c r="M2286" s="471" t="s">
        <v>6187</v>
      </c>
      <c r="N2286" s="471" t="s">
        <v>1251</v>
      </c>
      <c r="O2286" s="471" t="s">
        <v>1250</v>
      </c>
    </row>
    <row r="2287" spans="1:15" x14ac:dyDescent="0.25">
      <c r="A2287" s="471" t="s">
        <v>6481</v>
      </c>
      <c r="B2287" s="1139">
        <f t="shared" ca="1" si="335"/>
        <v>0</v>
      </c>
      <c r="C2287" s="473">
        <f ca="1">IF(ISERROR(VLOOKUP($A$1961,INDIRECT("notes_"&amp;LEFT($A$1961,3)),4,0)),0,VLOOKUP($A$1961,INDIRECT("notes_"&amp;LEFT($A$1961,3)),4,0))</f>
        <v>0</v>
      </c>
      <c r="D2287" s="472" t="str">
        <f>'RO6'!N89</f>
        <v/>
      </c>
      <c r="E2287" s="472" t="str">
        <f>'RO6'!O89</f>
        <v/>
      </c>
      <c r="F2287" s="472" t="str">
        <f>'RO6'!Q89</f>
        <v/>
      </c>
      <c r="H2287" s="471">
        <f t="shared" si="339"/>
        <v>2</v>
      </c>
      <c r="I2287" s="471">
        <v>2</v>
      </c>
      <c r="J2287" s="471" t="str">
        <f t="shared" si="340"/>
        <v>cenndcsrp</v>
      </c>
      <c r="K2287" s="471" t="str">
        <f t="shared" si="341"/>
        <v>net-cur-exp</v>
      </c>
      <c r="L2287" s="599"/>
      <c r="M2287" s="471" t="s">
        <v>6187</v>
      </c>
      <c r="N2287" s="471" t="s">
        <v>1251</v>
      </c>
      <c r="O2287" s="471" t="s">
        <v>1250</v>
      </c>
    </row>
    <row r="2288" spans="1:15" x14ac:dyDescent="0.25">
      <c r="A2288" s="471" t="s">
        <v>6482</v>
      </c>
      <c r="B2288" s="1139">
        <f t="shared" ca="1" si="335"/>
        <v>0</v>
      </c>
      <c r="C2288" s="473">
        <f ca="1">IF(ISERROR(VLOOKUP($A$1962,INDIRECT("notes_"&amp;LEFT($A$1962,3)),4,0)),0,VLOOKUP($A$1962,INDIRECT("notes_"&amp;LEFT($A$1962,3)),4,0))</f>
        <v>0</v>
      </c>
      <c r="D2288" s="472" t="str">
        <f>'RO6'!N91</f>
        <v/>
      </c>
      <c r="E2288" s="472" t="str">
        <f>'RO6'!O91</f>
        <v/>
      </c>
      <c r="F2288" s="472" t="str">
        <f>'RO6'!Q91</f>
        <v/>
      </c>
      <c r="H2288" s="471">
        <f t="shared" si="339"/>
        <v>4</v>
      </c>
      <c r="I2288" s="471">
        <v>2</v>
      </c>
      <c r="J2288" s="471" t="str">
        <f t="shared" si="340"/>
        <v>cennd-mng-spp</v>
      </c>
      <c r="K2288" s="471" t="str">
        <f t="shared" si="341"/>
        <v>net-cur-exp</v>
      </c>
      <c r="L2288" s="599"/>
      <c r="M2288" s="471" t="s">
        <v>6187</v>
      </c>
      <c r="N2288" s="471" t="s">
        <v>1251</v>
      </c>
      <c r="O2288" s="471" t="s">
        <v>1250</v>
      </c>
    </row>
    <row r="2289" spans="1:15" x14ac:dyDescent="0.25">
      <c r="A2289" s="471" t="s">
        <v>6483</v>
      </c>
      <c r="B2289" s="1139">
        <f t="shared" ca="1" si="335"/>
        <v>0</v>
      </c>
      <c r="C2289" s="473">
        <f ca="1">IF(ISERROR(VLOOKUP($A$1963,INDIRECT("notes_"&amp;LEFT($A$1963,3)),4,0)),0,VLOOKUP($A$1963,INDIRECT("notes_"&amp;LEFT($A$1963,3)),4,0))</f>
        <v>0</v>
      </c>
      <c r="D2289" s="472" t="str">
        <f>'RO6'!N93</f>
        <v/>
      </c>
      <c r="E2289" s="472" t="str">
        <f>'RO6'!O93</f>
        <v/>
      </c>
      <c r="F2289" s="472" t="str">
        <f>'RO6'!Q93</f>
        <v/>
      </c>
      <c r="H2289" s="471">
        <f t="shared" si="339"/>
        <v>2</v>
      </c>
      <c r="I2289" s="471">
        <v>2</v>
      </c>
      <c r="J2289" s="471" t="str">
        <f t="shared" si="340"/>
        <v>centot</v>
      </c>
      <c r="K2289" s="471" t="str">
        <f t="shared" si="341"/>
        <v>net-cur-exp</v>
      </c>
      <c r="L2289" s="599"/>
      <c r="M2289" s="471" t="s">
        <v>6187</v>
      </c>
      <c r="N2289" s="471" t="s">
        <v>1251</v>
      </c>
      <c r="O2289" s="471" t="s">
        <v>1250</v>
      </c>
    </row>
    <row r="2290" spans="1:15" x14ac:dyDescent="0.25">
      <c r="A2290" s="471" t="s">
        <v>6484</v>
      </c>
      <c r="B2290" s="1139">
        <f t="shared" ca="1" si="335"/>
        <v>0</v>
      </c>
      <c r="C2290" s="473">
        <f ca="1">IF(ISERROR(VLOOKUP($A$1964,INDIRECT("notes_"&amp;LEFT($A$1964,3)),4,0)),0,VLOOKUP($A$1964,INDIRECT("notes_"&amp;LEFT($A$1964,3)),4,0))</f>
        <v>0</v>
      </c>
      <c r="D2290" s="472" t="str">
        <f>'RO6'!N121</f>
        <v/>
      </c>
      <c r="E2290" s="472" t="str">
        <f>'RO6'!O121</f>
        <v/>
      </c>
      <c r="F2290" s="472" t="str">
        <f>'RO6'!Q121</f>
        <v/>
      </c>
      <c r="H2290" s="471">
        <f t="shared" si="339"/>
        <v>2</v>
      </c>
      <c r="I2290" s="471">
        <v>2</v>
      </c>
      <c r="J2290" s="471" t="str">
        <f t="shared" si="340"/>
        <v>cenothtot</v>
      </c>
      <c r="K2290" s="471" t="str">
        <f t="shared" si="341"/>
        <v>net-cur-exp</v>
      </c>
      <c r="L2290" s="599"/>
      <c r="M2290" s="471" t="s">
        <v>6187</v>
      </c>
      <c r="N2290" s="471" t="s">
        <v>1251</v>
      </c>
      <c r="O2290" s="471" t="s">
        <v>1250</v>
      </c>
    </row>
    <row r="2291" spans="1:15" x14ac:dyDescent="0.25">
      <c r="A2291" s="471" t="s">
        <v>6485</v>
      </c>
      <c r="B2291" s="1139">
        <f t="shared" ca="1" si="335"/>
        <v>0</v>
      </c>
      <c r="C2291" s="473">
        <f ca="1">IF(ISERROR(VLOOKUP($A$1965,INDIRECT("notes_"&amp;LEFT($A$1965,3)),4,0)),0,VLOOKUP($A$1965,INDIRECT("notes_"&amp;LEFT($A$1965,3)),4,0))</f>
        <v>0</v>
      </c>
      <c r="D2291" s="472"/>
      <c r="E2291" s="472"/>
      <c r="F2291" s="472"/>
      <c r="G2291" s="471" t="str">
        <f>IF(ISNUMBER(SEARCH("specify",'RO6'!C131)),"",'RO6'!C131)</f>
        <v/>
      </c>
      <c r="H2291" s="471">
        <f t="shared" si="339"/>
        <v>3</v>
      </c>
      <c r="I2291" s="471">
        <v>2</v>
      </c>
      <c r="J2291" s="471" t="str">
        <f t="shared" si="340"/>
        <v>cenoth1-n cenoth1</v>
      </c>
      <c r="K2291" s="471" t="str">
        <f t="shared" si="341"/>
        <v>net-cur-exp</v>
      </c>
      <c r="L2291" s="599"/>
      <c r="M2291" s="471" t="s">
        <v>6187</v>
      </c>
      <c r="N2291" s="471" t="s">
        <v>1251</v>
      </c>
      <c r="O2291" s="471" t="s">
        <v>1250</v>
      </c>
    </row>
    <row r="2292" spans="1:15" x14ac:dyDescent="0.25">
      <c r="A2292" s="471" t="s">
        <v>6486</v>
      </c>
      <c r="B2292" s="1139">
        <f t="shared" ca="1" si="335"/>
        <v>0</v>
      </c>
      <c r="C2292" s="473">
        <f ca="1">IF(ISERROR(VLOOKUP($A$1966,INDIRECT("notes_"&amp;LEFT($A$1966,3)),4,0)),0,VLOOKUP($A$1966,INDIRECT("notes_"&amp;LEFT($A$1966,3)),4,0))</f>
        <v>0</v>
      </c>
      <c r="D2292" s="472"/>
      <c r="E2292" s="472"/>
      <c r="F2292" s="472"/>
      <c r="G2292" s="471" t="str">
        <f>IF(ISNUMBER(SEARCH("specify",'RO6'!C132)),"",'RO6'!C132)</f>
        <v/>
      </c>
      <c r="H2292" s="471">
        <f t="shared" si="339"/>
        <v>3</v>
      </c>
      <c r="I2292" s="471">
        <v>2</v>
      </c>
      <c r="J2292" s="471" t="str">
        <f t="shared" si="340"/>
        <v>cenoth2-n cenoth2</v>
      </c>
      <c r="K2292" s="471" t="str">
        <f t="shared" si="341"/>
        <v>net-cur-exp</v>
      </c>
      <c r="L2292" s="599"/>
      <c r="M2292" s="471" t="s">
        <v>6187</v>
      </c>
      <c r="N2292" s="471" t="s">
        <v>1251</v>
      </c>
      <c r="O2292" s="471" t="s">
        <v>1250</v>
      </c>
    </row>
    <row r="2293" spans="1:15" x14ac:dyDescent="0.25">
      <c r="A2293" s="471" t="s">
        <v>6487</v>
      </c>
      <c r="B2293" s="1139">
        <f t="shared" ca="1" si="335"/>
        <v>0</v>
      </c>
      <c r="C2293" s="473">
        <f ca="1">IF(ISERROR(VLOOKUP($A$1967,INDIRECT("notes_"&amp;LEFT($A$1967,3)),4,0)),0,VLOOKUP($A$1967,INDIRECT("notes_"&amp;LEFT($A$1967,3)),4,0))</f>
        <v>0</v>
      </c>
      <c r="D2293" s="472"/>
      <c r="E2293" s="472"/>
      <c r="F2293" s="472"/>
      <c r="G2293" s="471" t="str">
        <f>IF(ISNUMBER(SEARCH("specify",'RO6'!C133)),"",'RO6'!C133)</f>
        <v/>
      </c>
      <c r="H2293" s="471">
        <f t="shared" si="339"/>
        <v>3</v>
      </c>
      <c r="I2293" s="471">
        <v>2</v>
      </c>
      <c r="J2293" s="471" t="str">
        <f t="shared" si="340"/>
        <v>cenoth3-n cenoth3</v>
      </c>
      <c r="K2293" s="471" t="str">
        <f t="shared" si="341"/>
        <v>net-cur-exp</v>
      </c>
      <c r="L2293" s="599"/>
      <c r="M2293" s="471" t="s">
        <v>6187</v>
      </c>
      <c r="N2293" s="471" t="s">
        <v>1251</v>
      </c>
      <c r="O2293" s="471" t="s">
        <v>1250</v>
      </c>
    </row>
    <row r="2294" spans="1:15" x14ac:dyDescent="0.25">
      <c r="A2294" s="471" t="s">
        <v>6488</v>
      </c>
      <c r="B2294" s="1139">
        <f t="shared" ca="1" si="335"/>
        <v>0</v>
      </c>
      <c r="C2294" s="473">
        <f ca="1">IF(ISERROR(VLOOKUP($A$1968,INDIRECT("notes_"&amp;LEFT($A$1968,3)),4,0)),0,VLOOKUP($A$1968,INDIRECT("notes_"&amp;LEFT($A$1968,3)),4,0))</f>
        <v>0</v>
      </c>
      <c r="D2294" s="472"/>
      <c r="E2294" s="472"/>
      <c r="F2294" s="472"/>
      <c r="G2294" s="471" t="str">
        <f>IF(ISNUMBER(SEARCH("specify",'RO6'!C134)),"",'RO6'!C134)</f>
        <v/>
      </c>
      <c r="H2294" s="471">
        <f t="shared" si="339"/>
        <v>3</v>
      </c>
      <c r="I2294" s="471">
        <v>2</v>
      </c>
      <c r="J2294" s="471" t="str">
        <f t="shared" si="340"/>
        <v>cenoth4-n cenoth4</v>
      </c>
      <c r="K2294" s="471" t="str">
        <f t="shared" si="341"/>
        <v>net-cur-exp</v>
      </c>
      <c r="L2294" s="599"/>
      <c r="M2294" s="471" t="s">
        <v>6187</v>
      </c>
      <c r="N2294" s="471" t="s">
        <v>1251</v>
      </c>
      <c r="O2294" s="471" t="s">
        <v>1250</v>
      </c>
    </row>
    <row r="2295" spans="1:15" x14ac:dyDescent="0.25">
      <c r="A2295" s="471" t="s">
        <v>6489</v>
      </c>
      <c r="B2295" s="1139">
        <f t="shared" ca="1" si="335"/>
        <v>0</v>
      </c>
      <c r="C2295" s="473">
        <f ca="1">IF(ISERROR(VLOOKUP($A$1969,INDIRECT("notes_"&amp;LEFT($A$1969,3)),4,0)),0,VLOOKUP($A$1969,INDIRECT("notes_"&amp;LEFT($A$1969,3)),4,0))</f>
        <v>0</v>
      </c>
      <c r="D2295" s="472"/>
      <c r="E2295" s="472"/>
      <c r="F2295" s="472"/>
      <c r="G2295" s="471" t="str">
        <f>IF(ISNUMBER(SEARCH("specify",'RO6'!C135)),"",'RO6'!C135)</f>
        <v/>
      </c>
      <c r="H2295" s="471">
        <f t="shared" si="339"/>
        <v>3</v>
      </c>
      <c r="I2295" s="471">
        <v>2</v>
      </c>
      <c r="J2295" s="471" t="str">
        <f t="shared" si="340"/>
        <v>cenoth5-n cenoth5</v>
      </c>
      <c r="K2295" s="471" t="str">
        <f t="shared" si="341"/>
        <v>net-cur-exp</v>
      </c>
      <c r="L2295" s="599"/>
      <c r="M2295" s="471" t="s">
        <v>6187</v>
      </c>
      <c r="N2295" s="471" t="s">
        <v>1251</v>
      </c>
      <c r="O2295" s="471" t="s">
        <v>1250</v>
      </c>
    </row>
    <row r="2296" spans="1:15" x14ac:dyDescent="0.25">
      <c r="A2296" s="471" t="s">
        <v>6490</v>
      </c>
      <c r="B2296" s="1139">
        <f t="shared" ca="1" si="335"/>
        <v>0</v>
      </c>
      <c r="C2296" s="473">
        <f ca="1">IF(ISERROR(VLOOKUP($A$1970,INDIRECT("notes_"&amp;LEFT($A$1970,3)),4,0)),0,VLOOKUP($A$1970,INDIRECT("notes_"&amp;LEFT($A$1970,3)),4,0))</f>
        <v>0</v>
      </c>
      <c r="D2296" s="472"/>
      <c r="E2296" s="472"/>
      <c r="F2296" s="472"/>
      <c r="G2296" s="471" t="str">
        <f>IF(ISNUMBER(SEARCH("specify",'RO6'!C136)),"",'RO6'!C136)</f>
        <v/>
      </c>
      <c r="H2296" s="471">
        <f t="shared" si="339"/>
        <v>3</v>
      </c>
      <c r="I2296" s="471">
        <v>2</v>
      </c>
      <c r="J2296" s="471" t="str">
        <f t="shared" si="340"/>
        <v>cenoth6-n cenoth6</v>
      </c>
      <c r="K2296" s="471" t="str">
        <f t="shared" si="341"/>
        <v>net-cur-exp</v>
      </c>
      <c r="L2296" s="599"/>
      <c r="M2296" s="471" t="s">
        <v>6187</v>
      </c>
      <c r="N2296" s="471" t="s">
        <v>1251</v>
      </c>
      <c r="O2296" s="471" t="s">
        <v>1250</v>
      </c>
    </row>
    <row r="2297" spans="1:15" x14ac:dyDescent="0.25">
      <c r="A2297" s="471" t="s">
        <v>6491</v>
      </c>
      <c r="B2297" s="1139">
        <f t="shared" ca="1" si="335"/>
        <v>0</v>
      </c>
      <c r="C2297" s="473">
        <f ca="1">IF(ISERROR(VLOOKUP($A$1971,INDIRECT("notes_"&amp;LEFT($A$1971,3)),4,0)),0,VLOOKUP($A$1971,INDIRECT("notes_"&amp;LEFT($A$1971,3)),4,0))</f>
        <v>0</v>
      </c>
      <c r="D2297" s="472"/>
      <c r="E2297" s="472"/>
      <c r="F2297" s="472"/>
      <c r="G2297" s="471" t="str">
        <f>IF(ISNUMBER(SEARCH("specify",'RO6'!C137)),"",'RO6'!C137)</f>
        <v/>
      </c>
      <c r="H2297" s="471">
        <f t="shared" si="339"/>
        <v>3</v>
      </c>
      <c r="I2297" s="471">
        <v>2</v>
      </c>
      <c r="J2297" s="471" t="str">
        <f t="shared" si="340"/>
        <v>cenoth7-n cenoth7</v>
      </c>
      <c r="K2297" s="471" t="str">
        <f t="shared" si="341"/>
        <v>net-cur-exp</v>
      </c>
      <c r="L2297" s="599"/>
      <c r="M2297" s="471" t="s">
        <v>6187</v>
      </c>
      <c r="N2297" s="471" t="s">
        <v>1251</v>
      </c>
      <c r="O2297" s="471" t="s">
        <v>1250</v>
      </c>
    </row>
    <row r="2298" spans="1:15" x14ac:dyDescent="0.25">
      <c r="A2298" s="471" t="s">
        <v>6492</v>
      </c>
      <c r="B2298" s="1139">
        <f t="shared" ca="1" si="335"/>
        <v>0</v>
      </c>
      <c r="C2298" s="473">
        <f ca="1">IF(ISERROR(VLOOKUP($A$1972,INDIRECT("notes_"&amp;LEFT($A$1972,3)),4,0)),0,VLOOKUP($A$1972,INDIRECT("notes_"&amp;LEFT($A$1972,3)),4,0))</f>
        <v>0</v>
      </c>
      <c r="D2298" s="472"/>
      <c r="E2298" s="472"/>
      <c r="F2298" s="472"/>
      <c r="G2298" s="471" t="str">
        <f>IF(ISNUMBER(SEARCH("specify",'RO6'!C138)),"",'RO6'!C138)</f>
        <v/>
      </c>
      <c r="H2298" s="471">
        <f t="shared" si="339"/>
        <v>3</v>
      </c>
      <c r="I2298" s="471">
        <v>2</v>
      </c>
      <c r="J2298" s="471" t="str">
        <f t="shared" si="340"/>
        <v>cenoth8-n cenoth8</v>
      </c>
      <c r="K2298" s="471" t="str">
        <f t="shared" si="341"/>
        <v>net-cur-exp</v>
      </c>
      <c r="L2298" s="599"/>
      <c r="M2298" s="471" t="s">
        <v>6187</v>
      </c>
      <c r="N2298" s="471" t="s">
        <v>1251</v>
      </c>
      <c r="O2298" s="471" t="s">
        <v>1250</v>
      </c>
    </row>
    <row r="2299" spans="1:15" x14ac:dyDescent="0.25">
      <c r="A2299" s="471" t="s">
        <v>6493</v>
      </c>
      <c r="B2299" s="1139">
        <f t="shared" ca="1" si="335"/>
        <v>0</v>
      </c>
      <c r="C2299" s="473">
        <f ca="1">IF(ISERROR(VLOOKUP($A$1973,INDIRECT("notes_"&amp;LEFT($A$1973,3)),4,0)),0,VLOOKUP($A$1973,INDIRECT("notes_"&amp;LEFT($A$1973,3)),4,0))</f>
        <v>0</v>
      </c>
      <c r="D2299" s="472"/>
      <c r="E2299" s="472"/>
      <c r="F2299" s="472"/>
      <c r="G2299" s="471" t="str">
        <f>IF(ISNUMBER(SEARCH("specify",'RO6'!C139)),"",'RO6'!C139)</f>
        <v/>
      </c>
      <c r="H2299" s="471">
        <f t="shared" si="339"/>
        <v>3</v>
      </c>
      <c r="I2299" s="471">
        <v>2</v>
      </c>
      <c r="J2299" s="471" t="str">
        <f t="shared" si="340"/>
        <v>cenoth9-n cenoth9</v>
      </c>
      <c r="K2299" s="471" t="str">
        <f t="shared" si="341"/>
        <v>net-cur-exp</v>
      </c>
      <c r="L2299" s="599"/>
      <c r="M2299" s="471" t="s">
        <v>6187</v>
      </c>
      <c r="N2299" s="471" t="s">
        <v>1251</v>
      </c>
      <c r="O2299" s="471" t="s">
        <v>1250</v>
      </c>
    </row>
    <row r="2300" spans="1:15" x14ac:dyDescent="0.25">
      <c r="A2300" s="471" t="s">
        <v>6494</v>
      </c>
      <c r="B2300" s="1139">
        <f t="shared" ca="1" si="335"/>
        <v>0</v>
      </c>
      <c r="C2300" s="473">
        <f ca="1">IF(ISERROR(VLOOKUP($A$1974,INDIRECT("notes_"&amp;LEFT($A$1974,3)),4,0)),0,VLOOKUP($A$1974,INDIRECT("notes_"&amp;LEFT($A$1974,3)),4,0))</f>
        <v>0</v>
      </c>
      <c r="D2300" s="472"/>
      <c r="E2300" s="472"/>
      <c r="F2300" s="472"/>
      <c r="G2300" s="471" t="str">
        <f>IF(ISNUMBER(SEARCH("specify",'RO6'!C140)),"",'RO6'!C140)</f>
        <v/>
      </c>
      <c r="H2300" s="471">
        <f t="shared" si="339"/>
        <v>3</v>
      </c>
      <c r="I2300" s="471">
        <v>2</v>
      </c>
      <c r="J2300" s="471" t="str">
        <f t="shared" si="340"/>
        <v>cenoth10-n cenoth10</v>
      </c>
      <c r="K2300" s="471" t="str">
        <f t="shared" si="341"/>
        <v>net-cur-exp</v>
      </c>
      <c r="L2300" s="599"/>
      <c r="M2300" s="471" t="s">
        <v>6187</v>
      </c>
      <c r="N2300" s="471" t="s">
        <v>1251</v>
      </c>
      <c r="O2300" s="471" t="s">
        <v>1250</v>
      </c>
    </row>
    <row r="2301" spans="1:15" x14ac:dyDescent="0.25">
      <c r="A2301" s="471" t="s">
        <v>6495</v>
      </c>
      <c r="B2301" s="1139">
        <f t="shared" ca="1" si="335"/>
        <v>0</v>
      </c>
      <c r="C2301" s="473">
        <f ca="1">IF(ISERROR(VLOOKUP($A$1975,INDIRECT("notes_"&amp;LEFT($A$1975,3)),4,0)),0,VLOOKUP($A$1975,INDIRECT("notes_"&amp;LEFT($A$1975,3)),4,0))</f>
        <v>0</v>
      </c>
      <c r="D2301" s="472"/>
      <c r="E2301" s="472"/>
      <c r="F2301" s="472"/>
      <c r="G2301" s="471" t="str">
        <f>IF(ISNUMBER(SEARCH("specify",'RO6'!C141)),"",'RO6'!C141)</f>
        <v/>
      </c>
      <c r="H2301" s="471">
        <f t="shared" si="339"/>
        <v>3</v>
      </c>
      <c r="I2301" s="471">
        <v>2</v>
      </c>
      <c r="J2301" s="471" t="str">
        <f t="shared" si="340"/>
        <v>cenoth11-n cenoth11</v>
      </c>
      <c r="K2301" s="471" t="str">
        <f t="shared" si="341"/>
        <v>net-cur-exp</v>
      </c>
      <c r="L2301" s="599"/>
      <c r="M2301" s="471" t="s">
        <v>6187</v>
      </c>
      <c r="N2301" s="471" t="s">
        <v>1251</v>
      </c>
      <c r="O2301" s="471" t="s">
        <v>1250</v>
      </c>
    </row>
    <row r="2302" spans="1:15" x14ac:dyDescent="0.25">
      <c r="A2302" s="471" t="s">
        <v>6496</v>
      </c>
      <c r="B2302" s="1139">
        <f t="shared" ca="1" si="335"/>
        <v>0</v>
      </c>
      <c r="C2302" s="473">
        <f ca="1">IF(ISERROR(VLOOKUP($A$1976,INDIRECT("notes_"&amp;LEFT($A$1976,3)),4,0)),0,VLOOKUP($A$1976,INDIRECT("notes_"&amp;LEFT($A$1976,3)),4,0))</f>
        <v>0</v>
      </c>
      <c r="D2302" s="472"/>
      <c r="E2302" s="472"/>
      <c r="F2302" s="472"/>
      <c r="G2302" s="471" t="str">
        <f>IF(ISNUMBER(SEARCH("specify",'RO6'!C142)),"",'RO6'!C142)</f>
        <v/>
      </c>
      <c r="H2302" s="471">
        <f t="shared" si="339"/>
        <v>3</v>
      </c>
      <c r="I2302" s="471">
        <v>2</v>
      </c>
      <c r="J2302" s="471" t="str">
        <f t="shared" si="340"/>
        <v>cenoth12-n cenoth12</v>
      </c>
      <c r="K2302" s="471" t="str">
        <f t="shared" si="341"/>
        <v>net-cur-exp</v>
      </c>
      <c r="L2302" s="599"/>
      <c r="M2302" s="471" t="s">
        <v>6187</v>
      </c>
      <c r="N2302" s="471" t="s">
        <v>1251</v>
      </c>
      <c r="O2302" s="471" t="s">
        <v>1250</v>
      </c>
    </row>
    <row r="2303" spans="1:15" x14ac:dyDescent="0.25">
      <c r="A2303" s="471" t="s">
        <v>6497</v>
      </c>
      <c r="B2303" s="1139">
        <f t="shared" ca="1" si="335"/>
        <v>0</v>
      </c>
      <c r="C2303" s="473">
        <f ca="1">IF(ISERROR(VLOOKUP($A$1977,INDIRECT("notes_"&amp;LEFT($A$1977,3)),4,0)),0,VLOOKUP($A$1977,INDIRECT("notes_"&amp;LEFT($A$1977,3)),4,0))</f>
        <v>0</v>
      </c>
      <c r="D2303" s="472"/>
      <c r="E2303" s="472"/>
      <c r="F2303" s="472"/>
      <c r="G2303" s="471" t="str">
        <f>IF(ISNUMBER(SEARCH("specify",'RO6'!C143)),"",'RO6'!C143)</f>
        <v/>
      </c>
      <c r="H2303" s="471">
        <f t="shared" si="339"/>
        <v>3</v>
      </c>
      <c r="I2303" s="471">
        <v>2</v>
      </c>
      <c r="J2303" s="471" t="str">
        <f t="shared" si="340"/>
        <v>cenoth13-n cenoth13</v>
      </c>
      <c r="K2303" s="471" t="str">
        <f t="shared" si="341"/>
        <v>net-cur-exp</v>
      </c>
      <c r="L2303" s="599"/>
      <c r="M2303" s="471" t="s">
        <v>6187</v>
      </c>
      <c r="N2303" s="471" t="s">
        <v>1251</v>
      </c>
      <c r="O2303" s="471" t="s">
        <v>1250</v>
      </c>
    </row>
    <row r="2304" spans="1:15" x14ac:dyDescent="0.25">
      <c r="A2304" s="471" t="s">
        <v>6498</v>
      </c>
      <c r="B2304" s="1139">
        <f t="shared" ca="1" si="335"/>
        <v>0</v>
      </c>
      <c r="C2304" s="473">
        <f ca="1">IF(ISERROR(VLOOKUP($A$1978,INDIRECT("notes_"&amp;LEFT($A$1978,3)),4,0)),0,VLOOKUP($A$1978,INDIRECT("notes_"&amp;LEFT($A$1978,3)),4,0))</f>
        <v>0</v>
      </c>
      <c r="D2304" s="472"/>
      <c r="E2304" s="472"/>
      <c r="F2304" s="472"/>
      <c r="G2304" s="471" t="str">
        <f>IF(ISNUMBER(SEARCH("specify",'RO6'!C144)),"",'RO6'!C144)</f>
        <v/>
      </c>
      <c r="H2304" s="471">
        <f t="shared" si="339"/>
        <v>3</v>
      </c>
      <c r="I2304" s="471">
        <v>2</v>
      </c>
      <c r="J2304" s="471" t="str">
        <f t="shared" si="340"/>
        <v>cenoth14-n cenoth14</v>
      </c>
      <c r="K2304" s="471" t="str">
        <f t="shared" si="341"/>
        <v>net-cur-exp</v>
      </c>
      <c r="L2304" s="599"/>
      <c r="M2304" s="471" t="s">
        <v>6187</v>
      </c>
      <c r="N2304" s="471" t="s">
        <v>1251</v>
      </c>
      <c r="O2304" s="471" t="s">
        <v>1250</v>
      </c>
    </row>
    <row r="2305" spans="1:15" x14ac:dyDescent="0.25">
      <c r="A2305" s="471" t="s">
        <v>6499</v>
      </c>
      <c r="B2305" s="1139">
        <f t="shared" ca="1" si="335"/>
        <v>0</v>
      </c>
      <c r="C2305" s="473">
        <f ca="1">IF(ISERROR(VLOOKUP($A$1979,INDIRECT("notes_"&amp;LEFT($A$1979,3)),4,0)),0,VLOOKUP($A$1979,INDIRECT("notes_"&amp;LEFT($A$1979,3)),4,0))</f>
        <v>0</v>
      </c>
      <c r="D2305" s="472"/>
      <c r="E2305" s="472"/>
      <c r="F2305" s="472"/>
      <c r="G2305" s="471" t="str">
        <f>IF(ISNUMBER(SEARCH("specify",'RO6'!C145)),"",'RO6'!C145)</f>
        <v/>
      </c>
      <c r="H2305" s="471">
        <f t="shared" si="339"/>
        <v>3</v>
      </c>
      <c r="I2305" s="471">
        <v>2</v>
      </c>
      <c r="J2305" s="471" t="str">
        <f t="shared" si="340"/>
        <v>cenoth15-n cenoth15</v>
      </c>
      <c r="K2305" s="471" t="str">
        <f t="shared" si="341"/>
        <v>net-cur-exp</v>
      </c>
      <c r="L2305" s="599"/>
      <c r="M2305" s="471" t="s">
        <v>6187</v>
      </c>
      <c r="N2305" s="471" t="s">
        <v>1251</v>
      </c>
      <c r="O2305" s="471" t="s">
        <v>1250</v>
      </c>
    </row>
    <row r="2306" spans="1:15" x14ac:dyDescent="0.25">
      <c r="A2306" s="471" t="s">
        <v>6500</v>
      </c>
      <c r="B2306" s="1139">
        <f t="shared" ca="1" si="335"/>
        <v>0</v>
      </c>
      <c r="C2306" s="473">
        <f ca="1">IF(ISERROR(VLOOKUP($A$1980,INDIRECT("notes_"&amp;LEFT($A$1980,3)),4,0)),0,VLOOKUP($A$1980,INDIRECT("notes_"&amp;LEFT($A$1980,3)),4,0))</f>
        <v>0</v>
      </c>
      <c r="D2306" s="472"/>
      <c r="E2306" s="472"/>
      <c r="F2306" s="472"/>
      <c r="G2306" s="471" t="str">
        <f>IF(ISNUMBER(SEARCH("specify",'RO6'!C146)),"",'RO6'!C146)</f>
        <v/>
      </c>
      <c r="H2306" s="471">
        <f t="shared" si="339"/>
        <v>3</v>
      </c>
      <c r="I2306" s="471">
        <v>2</v>
      </c>
      <c r="J2306" s="471" t="str">
        <f t="shared" si="340"/>
        <v>cenoth16-n cenoth16</v>
      </c>
      <c r="K2306" s="471" t="str">
        <f t="shared" si="341"/>
        <v>net-cur-exp</v>
      </c>
      <c r="L2306" s="599"/>
      <c r="M2306" s="471" t="s">
        <v>6187</v>
      </c>
      <c r="N2306" s="471" t="s">
        <v>1251</v>
      </c>
      <c r="O2306" s="471" t="s">
        <v>1250</v>
      </c>
    </row>
    <row r="2307" spans="1:15" x14ac:dyDescent="0.25">
      <c r="A2307" s="471" t="s">
        <v>6501</v>
      </c>
      <c r="B2307" s="1139">
        <f t="shared" ca="1" si="335"/>
        <v>0</v>
      </c>
      <c r="C2307" s="473">
        <f ca="1">IF(ISERROR(VLOOKUP($A$1981,INDIRECT("notes_"&amp;LEFT($A$1981,3)),4,0)),0,VLOOKUP($A$1981,INDIRECT("notes_"&amp;LEFT($A$1981,3)),4,0))</f>
        <v>0</v>
      </c>
      <c r="D2307" s="472"/>
      <c r="E2307" s="472"/>
      <c r="F2307" s="472"/>
      <c r="G2307" s="471" t="str">
        <f>IF(ISNUMBER(SEARCH("specify",'RO6'!C147)),"",'RO6'!C147)</f>
        <v/>
      </c>
      <c r="H2307" s="471">
        <f t="shared" si="339"/>
        <v>3</v>
      </c>
      <c r="I2307" s="471">
        <v>2</v>
      </c>
      <c r="J2307" s="471" t="str">
        <f t="shared" si="340"/>
        <v>cenoth17-n cenoth17</v>
      </c>
      <c r="K2307" s="471" t="str">
        <f t="shared" si="341"/>
        <v>net-cur-exp</v>
      </c>
      <c r="L2307" s="599"/>
      <c r="M2307" s="471" t="s">
        <v>6187</v>
      </c>
      <c r="N2307" s="471" t="s">
        <v>1251</v>
      </c>
      <c r="O2307" s="471" t="s">
        <v>1250</v>
      </c>
    </row>
    <row r="2308" spans="1:15" x14ac:dyDescent="0.25">
      <c r="A2308" s="471" t="s">
        <v>6502</v>
      </c>
      <c r="B2308" s="1139">
        <f t="shared" ca="1" si="335"/>
        <v>0</v>
      </c>
      <c r="C2308" s="473">
        <f ca="1">IF(ISERROR(VLOOKUP($A$1982,INDIRECT("notes_"&amp;LEFT($A$1982,3)),4,0)),0,VLOOKUP($A$1982,INDIRECT("notes_"&amp;LEFT($A$1982,3)),4,0))</f>
        <v>0</v>
      </c>
      <c r="D2308" s="472"/>
      <c r="E2308" s="472"/>
      <c r="F2308" s="472"/>
      <c r="G2308" s="471" t="str">
        <f>IF(ISNUMBER(SEARCH("specify",'RO6'!C148)),"",'RO6'!C148)</f>
        <v/>
      </c>
      <c r="H2308" s="471">
        <f t="shared" si="339"/>
        <v>3</v>
      </c>
      <c r="I2308" s="471">
        <v>2</v>
      </c>
      <c r="J2308" s="471" t="str">
        <f t="shared" si="340"/>
        <v>cenoth18-n cenoth18</v>
      </c>
      <c r="K2308" s="471" t="str">
        <f t="shared" si="341"/>
        <v>net-cur-exp</v>
      </c>
      <c r="L2308" s="599"/>
      <c r="M2308" s="471" t="s">
        <v>6187</v>
      </c>
      <c r="N2308" s="471" t="s">
        <v>1251</v>
      </c>
      <c r="O2308" s="471" t="s">
        <v>1250</v>
      </c>
    </row>
    <row r="2309" spans="1:15" x14ac:dyDescent="0.25">
      <c r="A2309" s="471" t="s">
        <v>6503</v>
      </c>
      <c r="B2309" s="1139">
        <f t="shared" ca="1" si="335"/>
        <v>0</v>
      </c>
      <c r="C2309" s="473">
        <f ca="1">IF(ISERROR(VLOOKUP($A$1983,INDIRECT("notes_"&amp;LEFT($A$1983,3)),4,0)),0,VLOOKUP($A$1983,INDIRECT("notes_"&amp;LEFT($A$1983,3)),4,0))</f>
        <v>0</v>
      </c>
      <c r="D2309" s="472"/>
      <c r="E2309" s="472"/>
      <c r="F2309" s="472"/>
      <c r="G2309" s="471" t="str">
        <f>IF(ISNUMBER(SEARCH("specify",'RO6'!C149)),"",'RO6'!C149)</f>
        <v/>
      </c>
      <c r="H2309" s="471">
        <f t="shared" si="339"/>
        <v>3</v>
      </c>
      <c r="I2309" s="471">
        <v>2</v>
      </c>
      <c r="J2309" s="471" t="str">
        <f t="shared" si="340"/>
        <v>cenoth19-n cenoth19</v>
      </c>
      <c r="K2309" s="471" t="str">
        <f t="shared" si="341"/>
        <v>net-cur-exp</v>
      </c>
      <c r="L2309" s="599"/>
      <c r="M2309" s="471" t="s">
        <v>6187</v>
      </c>
      <c r="N2309" s="471" t="s">
        <v>1251</v>
      </c>
      <c r="O2309" s="471" t="s">
        <v>1250</v>
      </c>
    </row>
    <row r="2310" spans="1:15" x14ac:dyDescent="0.25">
      <c r="A2310" s="471" t="s">
        <v>6504</v>
      </c>
      <c r="B2310" s="1139">
        <f t="shared" ca="1" si="335"/>
        <v>0</v>
      </c>
      <c r="C2310" s="473">
        <f ca="1">IF(ISERROR(VLOOKUP($A$1984,INDIRECT("notes_"&amp;LEFT($A$1984,3)),4,0)),0,VLOOKUP($A$1984,INDIRECT("notes_"&amp;LEFT($A$1984,3)),4,0))</f>
        <v>0</v>
      </c>
      <c r="D2310" s="472"/>
      <c r="E2310" s="472"/>
      <c r="F2310" s="472"/>
      <c r="G2310" s="471" t="str">
        <f>IF(ISNUMBER(SEARCH("specify",'RO6'!C150)),"",'RO6'!C150)</f>
        <v/>
      </c>
      <c r="H2310" s="471">
        <f t="shared" si="339"/>
        <v>3</v>
      </c>
      <c r="I2310" s="471">
        <v>2</v>
      </c>
      <c r="J2310" s="471" t="str">
        <f t="shared" si="340"/>
        <v>cenoth20-n cenoth20</v>
      </c>
      <c r="K2310" s="471" t="str">
        <f>RIGHT($A2310,LEN($A2310)-SEARCH("#",SUBSTITUTE($A2310,"-","#",H2310),1))</f>
        <v>net-cur-exp</v>
      </c>
      <c r="L2310" s="599"/>
      <c r="M2310" s="471" t="s">
        <v>6187</v>
      </c>
      <c r="N2310" s="471" t="s">
        <v>1251</v>
      </c>
      <c r="O2310" s="471" t="s">
        <v>1250</v>
      </c>
    </row>
    <row r="2311" spans="1:15" x14ac:dyDescent="0.25">
      <c r="A2311" s="471" t="s">
        <v>6505</v>
      </c>
      <c r="B2311" s="1139">
        <f t="shared" ca="1" si="335"/>
        <v>0</v>
      </c>
      <c r="C2311" s="473">
        <f ca="1">IF(ISERROR(VLOOKUP($A$1985,INDIRECT("notes_"&amp;LEFT($A$1985,3)),4,0)),0,VLOOKUP($A$1985,INDIRECT("notes_"&amp;LEFT($A$1985,3)),4,0))</f>
        <v>0</v>
      </c>
      <c r="D2311" s="472"/>
      <c r="E2311" s="472"/>
      <c r="F2311" s="472"/>
      <c r="H2311" s="471">
        <f t="shared" si="339"/>
        <v>3</v>
      </c>
      <c r="I2311" s="471">
        <v>2</v>
      </c>
      <c r="J2311" s="471" t="str">
        <f t="shared" si="340"/>
        <v>centoth-tot</v>
      </c>
      <c r="K2311" s="471" t="str">
        <f t="shared" si="341"/>
        <v>net-cur-exp</v>
      </c>
      <c r="L2311" s="599"/>
      <c r="M2311" s="471" t="s">
        <v>6187</v>
      </c>
      <c r="N2311" s="471" t="s">
        <v>1251</v>
      </c>
      <c r="O2311" s="471" t="s">
        <v>1250</v>
      </c>
    </row>
    <row r="2312" spans="1:15" x14ac:dyDescent="0.25">
      <c r="A2312" s="701" t="s">
        <v>6506</v>
      </c>
      <c r="B2312" s="1141" t="str">
        <f ca="1">INDEX(INDIRECT(LEFT($A2312,SEARCH("-",$A2312,1)-1)&amp;"_data"),MATCH(J2312,INDIRECT(LEFT($A2312,SEARCH("-",$A2312,1)-1)&amp;"_rows"),0),MATCH(RIGHT($A2312,LEN($A2312)-SEARCH("#",SUBSTITUTE($A2312,"-","#",H2312),1)),INDIRECT(LEFT($A2312,SEARCH("-",$A2312,1)-1)&amp;"_Header"),0))</f>
        <v>There are no outstanding errors or warnings with the TSR section of the form. Thank you.</v>
      </c>
      <c r="C2312" s="704"/>
      <c r="D2312" s="701"/>
      <c r="E2312" s="701"/>
      <c r="F2312" s="701"/>
      <c r="G2312" s="701"/>
      <c r="H2312" s="701">
        <f>LEN(A2312)-LEN(SUBSTITUTE(A2312,"-",""))-I2312</f>
        <v>1</v>
      </c>
      <c r="I2312" s="701">
        <v>0</v>
      </c>
      <c r="J2312" s="701" t="s">
        <v>1381</v>
      </c>
      <c r="K2312" s="701" t="str">
        <f t="shared" si="341"/>
        <v>error</v>
      </c>
      <c r="L2312" s="701" t="s">
        <v>6507</v>
      </c>
      <c r="M2312" s="472" t="s">
        <v>6508</v>
      </c>
      <c r="N2312" s="472" t="s">
        <v>1380</v>
      </c>
      <c r="O2312" s="472" t="s">
        <v>1376</v>
      </c>
    </row>
    <row r="2313" spans="1:15" x14ac:dyDescent="0.25">
      <c r="A2313" s="471" t="s">
        <v>6509</v>
      </c>
      <c r="B2313" s="1139">
        <f t="shared" ca="1" si="335"/>
        <v>0</v>
      </c>
      <c r="C2313" s="473">
        <f t="shared" ref="C2313:C2328" ca="1" si="342">IF(ISERROR(VLOOKUP(A2415,INDIRECT("notes_"&amp;LEFT(A2415,3)),4,0)),0,VLOOKUP(A2415,INDIRECT("notes_"&amp;LEFT(A2415,3)),4,0))</f>
        <v>0</v>
      </c>
      <c r="H2313" s="471">
        <f t="shared" si="339"/>
        <v>4</v>
      </c>
      <c r="I2313" s="471">
        <v>1</v>
      </c>
      <c r="J2313" s="471" t="str">
        <f t="shared" si="340"/>
        <v>tradaccext-car-prk</v>
      </c>
      <c r="K2313" s="471" t="str">
        <f t="shared" si="341"/>
        <v>gross-exp</v>
      </c>
      <c r="L2313" s="599"/>
      <c r="M2313" s="472" t="s">
        <v>6508</v>
      </c>
      <c r="N2313" s="472" t="s">
        <v>1380</v>
      </c>
      <c r="O2313" s="472" t="s">
        <v>1376</v>
      </c>
    </row>
    <row r="2314" spans="1:15" x14ac:dyDescent="0.25">
      <c r="A2314" s="471" t="s">
        <v>6510</v>
      </c>
      <c r="B2314" s="1139">
        <f t="shared" ca="1" si="335"/>
        <v>0</v>
      </c>
      <c r="C2314" s="473">
        <f t="shared" ca="1" si="342"/>
        <v>0</v>
      </c>
      <c r="H2314" s="471">
        <f t="shared" si="339"/>
        <v>3</v>
      </c>
      <c r="I2314" s="471">
        <v>1</v>
      </c>
      <c r="J2314" s="471" t="str">
        <f t="shared" si="340"/>
        <v>tradaccext-arp</v>
      </c>
      <c r="K2314" s="471" t="str">
        <f t="shared" si="341"/>
        <v>gross-exp</v>
      </c>
      <c r="L2314" s="599"/>
      <c r="M2314" s="472" t="s">
        <v>6508</v>
      </c>
      <c r="N2314" s="472" t="s">
        <v>1380</v>
      </c>
      <c r="O2314" s="472" t="s">
        <v>1376</v>
      </c>
    </row>
    <row r="2315" spans="1:15" x14ac:dyDescent="0.25">
      <c r="A2315" s="471" t="s">
        <v>6511</v>
      </c>
      <c r="B2315" s="1139">
        <f t="shared" ref="B2315:B2377" ca="1" si="343">INDEX(INDIRECT(LEFT($A2315,SEARCH("-",$A2315,1)-1)&amp;"_data"),MATCH(MID($A2315,SEARCH("-",$A2315)+1,SEARCH("#",SUBSTITUTE($A2315,"-","#",H2315),1)-(SEARCH("-",$A2315)+1)),INDIRECT(LEFT($A2315,SEARCH("-",$A2315,1)-1)&amp;"_rows"),0),MATCH(RIGHT($A2315,LEN($A2315)-SEARCH("#",SUBSTITUTE($A2315,"-","#",H2315),1)),INDIRECT(LEFT($A2315,SEARCH("-",$A2315,1)-1)&amp;"_Header"),0))</f>
        <v>0</v>
      </c>
      <c r="C2315" s="473">
        <f t="shared" ca="1" si="342"/>
        <v>0</v>
      </c>
      <c r="H2315" s="471">
        <f t="shared" si="339"/>
        <v>3</v>
      </c>
      <c r="I2315" s="471">
        <v>1</v>
      </c>
      <c r="J2315" s="471" t="str">
        <f t="shared" si="340"/>
        <v>tradaccext-prt</v>
      </c>
      <c r="K2315" s="471" t="str">
        <f t="shared" si="341"/>
        <v>gross-exp</v>
      </c>
      <c r="L2315" s="599"/>
      <c r="M2315" s="472" t="s">
        <v>6508</v>
      </c>
      <c r="N2315" s="472" t="s">
        <v>1380</v>
      </c>
      <c r="O2315" s="472" t="s">
        <v>1376</v>
      </c>
    </row>
    <row r="2316" spans="1:15" x14ac:dyDescent="0.25">
      <c r="A2316" s="471" t="s">
        <v>6512</v>
      </c>
      <c r="B2316" s="1139">
        <f t="shared" ca="1" si="343"/>
        <v>0</v>
      </c>
      <c r="C2316" s="473">
        <f t="shared" ca="1" si="342"/>
        <v>0</v>
      </c>
      <c r="H2316" s="471">
        <f t="shared" ref="H2316:H2363" si="344">LEN(A2316)-LEN(SUBSTITUTE(A2316,"-",""))-I2316</f>
        <v>3</v>
      </c>
      <c r="I2316" s="471">
        <v>1</v>
      </c>
      <c r="J2316" s="471" t="str">
        <f t="shared" ref="J2316:J2362" si="345">MID($A2316,SEARCH("-",$A2316)+1,SEARCH("#",SUBSTITUTE($A2316,"-","#",H2316),1)-(SEARCH("-",$A2316)+1))</f>
        <v>tradaccext-prs</v>
      </c>
      <c r="K2316" s="471" t="str">
        <f t="shared" ref="K2316:K2361" si="346">RIGHT($A2316,LEN($A2316)-SEARCH("#",SUBSTITUTE($A2316,"-","#",H2316),1))</f>
        <v>gross-exp</v>
      </c>
      <c r="L2316" s="599"/>
      <c r="M2316" s="472" t="s">
        <v>6508</v>
      </c>
      <c r="N2316" s="472" t="s">
        <v>1380</v>
      </c>
      <c r="O2316" s="472" t="s">
        <v>1376</v>
      </c>
    </row>
    <row r="2317" spans="1:15" x14ac:dyDescent="0.25">
      <c r="A2317" s="471" t="s">
        <v>6513</v>
      </c>
      <c r="B2317" s="1139">
        <f t="shared" ca="1" si="343"/>
        <v>0</v>
      </c>
      <c r="C2317" s="473">
        <f t="shared" ca="1" si="342"/>
        <v>0</v>
      </c>
      <c r="H2317" s="471">
        <f t="shared" si="344"/>
        <v>3</v>
      </c>
      <c r="I2317" s="471">
        <v>1</v>
      </c>
      <c r="J2317" s="471" t="str">
        <f t="shared" si="345"/>
        <v>tradaccext-tbr</v>
      </c>
      <c r="K2317" s="471" t="str">
        <f t="shared" si="346"/>
        <v>gross-exp</v>
      </c>
      <c r="L2317" s="599"/>
      <c r="M2317" s="472" t="s">
        <v>6508</v>
      </c>
      <c r="N2317" s="472" t="s">
        <v>1380</v>
      </c>
      <c r="O2317" s="472" t="s">
        <v>1376</v>
      </c>
    </row>
    <row r="2318" spans="1:15" x14ac:dyDescent="0.25">
      <c r="A2318" s="471" t="s">
        <v>6514</v>
      </c>
      <c r="B2318" s="1139">
        <f t="shared" ca="1" si="343"/>
        <v>0</v>
      </c>
      <c r="C2318" s="473">
        <f t="shared" ca="1" si="342"/>
        <v>0</v>
      </c>
      <c r="H2318" s="471">
        <f t="shared" si="344"/>
        <v>3</v>
      </c>
      <c r="I2318" s="471">
        <v>1</v>
      </c>
      <c r="J2318" s="471" t="str">
        <f t="shared" si="345"/>
        <v>tradaccext-msm</v>
      </c>
      <c r="K2318" s="471" t="str">
        <f t="shared" si="346"/>
        <v>gross-exp</v>
      </c>
      <c r="L2318" s="599"/>
      <c r="M2318" s="472" t="s">
        <v>6508</v>
      </c>
      <c r="N2318" s="472" t="s">
        <v>1380</v>
      </c>
      <c r="O2318" s="472" t="s">
        <v>1376</v>
      </c>
    </row>
    <row r="2319" spans="1:15" x14ac:dyDescent="0.25">
      <c r="A2319" s="471" t="s">
        <v>6515</v>
      </c>
      <c r="B2319" s="1139">
        <f t="shared" ca="1" si="343"/>
        <v>0</v>
      </c>
      <c r="C2319" s="473">
        <f t="shared" ca="1" si="342"/>
        <v>0</v>
      </c>
      <c r="H2319" s="471">
        <f t="shared" si="344"/>
        <v>3</v>
      </c>
      <c r="I2319" s="471">
        <v>1</v>
      </c>
      <c r="J2319" s="471" t="str">
        <f t="shared" si="345"/>
        <v>tradaccext-tht</v>
      </c>
      <c r="K2319" s="471" t="str">
        <f t="shared" si="346"/>
        <v>gross-exp</v>
      </c>
      <c r="L2319" s="599"/>
      <c r="M2319" s="472" t="s">
        <v>6508</v>
      </c>
      <c r="N2319" s="472" t="s">
        <v>1380</v>
      </c>
      <c r="O2319" s="472" t="s">
        <v>1376</v>
      </c>
    </row>
    <row r="2320" spans="1:15" x14ac:dyDescent="0.25">
      <c r="A2320" s="471" t="s">
        <v>6516</v>
      </c>
      <c r="B2320" s="1139">
        <f t="shared" ca="1" si="343"/>
        <v>0</v>
      </c>
      <c r="C2320" s="473">
        <f t="shared" ca="1" si="342"/>
        <v>0</v>
      </c>
      <c r="H2320" s="471">
        <f t="shared" si="344"/>
        <v>4</v>
      </c>
      <c r="I2320" s="471">
        <v>1</v>
      </c>
      <c r="J2320" s="471" t="str">
        <f t="shared" si="345"/>
        <v>tradaccext-cvc-hll</v>
      </c>
      <c r="K2320" s="471" t="str">
        <f t="shared" si="346"/>
        <v>gross-exp</v>
      </c>
      <c r="L2320" s="599"/>
      <c r="M2320" s="472" t="s">
        <v>6508</v>
      </c>
      <c r="N2320" s="472" t="s">
        <v>1380</v>
      </c>
      <c r="O2320" s="472" t="s">
        <v>1376</v>
      </c>
    </row>
    <row r="2321" spans="1:15" x14ac:dyDescent="0.25">
      <c r="A2321" s="471" t="s">
        <v>6517</v>
      </c>
      <c r="B2321" s="1139">
        <f t="shared" ca="1" si="343"/>
        <v>0</v>
      </c>
      <c r="C2321" s="473">
        <f t="shared" ca="1" si="342"/>
        <v>0</v>
      </c>
      <c r="H2321" s="471">
        <f t="shared" si="344"/>
        <v>4</v>
      </c>
      <c r="I2321" s="471">
        <v>1</v>
      </c>
      <c r="J2321" s="471" t="str">
        <f t="shared" si="345"/>
        <v>tradaccext-cvc-rst</v>
      </c>
      <c r="K2321" s="471" t="str">
        <f t="shared" si="346"/>
        <v>gross-exp</v>
      </c>
      <c r="L2321" s="599"/>
      <c r="M2321" s="472" t="s">
        <v>6508</v>
      </c>
      <c r="N2321" s="472" t="s">
        <v>1380</v>
      </c>
      <c r="O2321" s="472" t="s">
        <v>1376</v>
      </c>
    </row>
    <row r="2322" spans="1:15" x14ac:dyDescent="0.25">
      <c r="A2322" s="471" t="s">
        <v>6518</v>
      </c>
      <c r="B2322" s="1139">
        <f t="shared" ca="1" si="343"/>
        <v>0</v>
      </c>
      <c r="C2322" s="473">
        <f t="shared" ca="1" si="342"/>
        <v>0</v>
      </c>
      <c r="H2322" s="471">
        <f t="shared" si="344"/>
        <v>4</v>
      </c>
      <c r="I2322" s="471">
        <v>1</v>
      </c>
      <c r="J2322" s="471" t="str">
        <f t="shared" si="345"/>
        <v>tradaccext-spr-fcl</v>
      </c>
      <c r="K2322" s="471" t="str">
        <f t="shared" si="346"/>
        <v>gross-exp</v>
      </c>
      <c r="L2322" s="599"/>
      <c r="M2322" s="472" t="s">
        <v>6508</v>
      </c>
      <c r="N2322" s="472" t="s">
        <v>1380</v>
      </c>
      <c r="O2322" s="472" t="s">
        <v>1376</v>
      </c>
    </row>
    <row r="2323" spans="1:15" x14ac:dyDescent="0.25">
      <c r="A2323" s="471" t="s">
        <v>6519</v>
      </c>
      <c r="B2323" s="1139">
        <f t="shared" ca="1" si="343"/>
        <v>0</v>
      </c>
      <c r="C2323" s="473">
        <f t="shared" ca="1" si="342"/>
        <v>0</v>
      </c>
      <c r="H2323" s="471">
        <f t="shared" si="344"/>
        <v>3</v>
      </c>
      <c r="I2323" s="471">
        <v>1</v>
      </c>
      <c r="J2323" s="471" t="str">
        <f t="shared" si="345"/>
        <v>tradaccext-crm</v>
      </c>
      <c r="K2323" s="471" t="str">
        <f t="shared" si="346"/>
        <v>gross-exp</v>
      </c>
      <c r="L2323" s="599"/>
      <c r="M2323" s="472" t="s">
        <v>6508</v>
      </c>
      <c r="N2323" s="472" t="s">
        <v>1380</v>
      </c>
      <c r="O2323" s="472" t="s">
        <v>1376</v>
      </c>
    </row>
    <row r="2324" spans="1:15" x14ac:dyDescent="0.25">
      <c r="A2324" s="471" t="s">
        <v>6520</v>
      </c>
      <c r="B2324" s="1139">
        <f t="shared" ca="1" si="343"/>
        <v>0</v>
      </c>
      <c r="C2324" s="473">
        <f t="shared" ca="1" si="342"/>
        <v>0</v>
      </c>
      <c r="H2324" s="471">
        <f t="shared" si="344"/>
        <v>4</v>
      </c>
      <c r="I2324" s="471">
        <v>1</v>
      </c>
      <c r="J2324" s="471" t="str">
        <f t="shared" si="345"/>
        <v>tradaccext-fsh-hrb</v>
      </c>
      <c r="K2324" s="471" t="str">
        <f t="shared" si="346"/>
        <v>gross-exp</v>
      </c>
      <c r="L2324" s="599"/>
      <c r="M2324" s="472" t="s">
        <v>6508</v>
      </c>
      <c r="N2324" s="472" t="s">
        <v>1380</v>
      </c>
      <c r="O2324" s="472" t="s">
        <v>1376</v>
      </c>
    </row>
    <row r="2325" spans="1:15" x14ac:dyDescent="0.25">
      <c r="A2325" s="471" t="s">
        <v>6521</v>
      </c>
      <c r="B2325" s="1139">
        <f t="shared" ca="1" si="343"/>
        <v>0</v>
      </c>
      <c r="C2325" s="473">
        <f t="shared" ca="1" si="342"/>
        <v>0</v>
      </c>
      <c r="H2325" s="471">
        <f t="shared" si="344"/>
        <v>4</v>
      </c>
      <c r="I2325" s="471">
        <v>1</v>
      </c>
      <c r="J2325" s="471" t="str">
        <f t="shared" si="345"/>
        <v>tradaccext-trd-wst</v>
      </c>
      <c r="K2325" s="471" t="str">
        <f t="shared" si="346"/>
        <v>gross-exp</v>
      </c>
      <c r="L2325" s="599"/>
      <c r="M2325" s="472" t="s">
        <v>6508</v>
      </c>
      <c r="N2325" s="472" t="s">
        <v>1380</v>
      </c>
      <c r="O2325" s="472" t="s">
        <v>1376</v>
      </c>
    </row>
    <row r="2326" spans="1:15" x14ac:dyDescent="0.25">
      <c r="A2326" s="471" t="s">
        <v>6522</v>
      </c>
      <c r="B2326" s="1139">
        <f t="shared" ca="1" si="343"/>
        <v>0</v>
      </c>
      <c r="C2326" s="473">
        <f t="shared" ca="1" si="342"/>
        <v>0</v>
      </c>
      <c r="H2326" s="471">
        <f t="shared" si="344"/>
        <v>4</v>
      </c>
      <c r="I2326" s="471">
        <v>1</v>
      </c>
      <c r="J2326" s="471" t="str">
        <f t="shared" si="345"/>
        <v>tradaccext-bld-cnt</v>
      </c>
      <c r="K2326" s="471" t="str">
        <f t="shared" si="346"/>
        <v>gross-exp</v>
      </c>
      <c r="L2326" s="599"/>
      <c r="M2326" s="472" t="s">
        <v>6508</v>
      </c>
      <c r="N2326" s="472" t="s">
        <v>1380</v>
      </c>
      <c r="O2326" s="472" t="s">
        <v>1376</v>
      </c>
    </row>
    <row r="2327" spans="1:15" x14ac:dyDescent="0.25">
      <c r="A2327" s="471" t="s">
        <v>6523</v>
      </c>
      <c r="B2327" s="1139">
        <f t="shared" ca="1" si="343"/>
        <v>0</v>
      </c>
      <c r="C2327" s="473">
        <f t="shared" ca="1" si="342"/>
        <v>0</v>
      </c>
      <c r="H2327" s="471">
        <f t="shared" si="344"/>
        <v>4</v>
      </c>
      <c r="I2327" s="471">
        <v>1</v>
      </c>
      <c r="J2327" s="471" t="str">
        <f t="shared" si="345"/>
        <v>tradaccext-crp-est</v>
      </c>
      <c r="K2327" s="471" t="str">
        <f t="shared" si="346"/>
        <v>gross-exp</v>
      </c>
      <c r="L2327" s="599"/>
      <c r="M2327" s="472" t="s">
        <v>6508</v>
      </c>
      <c r="N2327" s="472" t="s">
        <v>1380</v>
      </c>
      <c r="O2327" s="472" t="s">
        <v>1376</v>
      </c>
    </row>
    <row r="2328" spans="1:15" x14ac:dyDescent="0.25">
      <c r="A2328" s="471" t="s">
        <v>6524</v>
      </c>
      <c r="B2328" s="1139">
        <f t="shared" ca="1" si="343"/>
        <v>0</v>
      </c>
      <c r="C2328" s="473">
        <f t="shared" ca="1" si="342"/>
        <v>0</v>
      </c>
      <c r="H2328" s="471">
        <f t="shared" si="344"/>
        <v>4</v>
      </c>
      <c r="I2328" s="471">
        <v>1</v>
      </c>
      <c r="J2328" s="471" t="str">
        <f t="shared" si="345"/>
        <v>tradaccext-ind-est</v>
      </c>
      <c r="K2328" s="471" t="str">
        <f t="shared" si="346"/>
        <v>gross-exp</v>
      </c>
      <c r="L2328" s="599"/>
      <c r="M2328" s="472" t="s">
        <v>6508</v>
      </c>
      <c r="N2328" s="472" t="s">
        <v>1380</v>
      </c>
      <c r="O2328" s="472" t="s">
        <v>1376</v>
      </c>
    </row>
    <row r="2329" spans="1:15" x14ac:dyDescent="0.25">
      <c r="A2329" s="471" t="s">
        <v>6525</v>
      </c>
      <c r="B2329" s="1139">
        <f t="shared" ca="1" si="343"/>
        <v>0</v>
      </c>
      <c r="C2329" s="473">
        <f t="shared" ref="C2329:C2335" ca="1" si="347">IF(ISERROR(VLOOKUP(A2431,INDIRECT("notes_"&amp;LEFT(A2431,3)),4,0)),0,VLOOKUP(A2431,INDIRECT("notes_"&amp;LEFT(A2431,3)),4,0))</f>
        <v>0</v>
      </c>
      <c r="H2329" s="471">
        <f t="shared" si="344"/>
        <v>4</v>
      </c>
      <c r="I2329" s="471">
        <v>1</v>
      </c>
      <c r="J2329" s="471" t="str">
        <f t="shared" si="345"/>
        <v>tradaccext-mrk-und</v>
      </c>
      <c r="K2329" s="471" t="str">
        <f t="shared" si="346"/>
        <v>gross-exp</v>
      </c>
      <c r="L2329" s="599"/>
      <c r="M2329" s="472" t="s">
        <v>6508</v>
      </c>
      <c r="N2329" s="472" t="s">
        <v>1380</v>
      </c>
      <c r="O2329" s="472" t="s">
        <v>1376</v>
      </c>
    </row>
    <row r="2330" spans="1:15" x14ac:dyDescent="0.25">
      <c r="A2330" s="471" t="s">
        <v>6526</v>
      </c>
      <c r="B2330" s="1139">
        <f t="shared" ca="1" si="343"/>
        <v>0</v>
      </c>
      <c r="C2330" s="473">
        <f t="shared" ca="1" si="347"/>
        <v>0</v>
      </c>
      <c r="H2330" s="471">
        <f t="shared" si="344"/>
        <v>3</v>
      </c>
      <c r="I2330" s="471">
        <v>1</v>
      </c>
      <c r="J2330" s="471" t="str">
        <f t="shared" si="345"/>
        <v>tradaccextoth1-n tradaccextoth1</v>
      </c>
      <c r="K2330" s="471" t="str">
        <f t="shared" si="346"/>
        <v>gross-exp</v>
      </c>
      <c r="L2330" s="599"/>
      <c r="M2330" s="472" t="s">
        <v>6508</v>
      </c>
      <c r="N2330" s="472" t="s">
        <v>1380</v>
      </c>
      <c r="O2330" s="472" t="s">
        <v>1376</v>
      </c>
    </row>
    <row r="2331" spans="1:15" x14ac:dyDescent="0.25">
      <c r="A2331" s="471" t="s">
        <v>6527</v>
      </c>
      <c r="B2331" s="1139">
        <f t="shared" ca="1" si="343"/>
        <v>0</v>
      </c>
      <c r="C2331" s="473">
        <f t="shared" ca="1" si="347"/>
        <v>0</v>
      </c>
      <c r="H2331" s="471">
        <f t="shared" si="344"/>
        <v>3</v>
      </c>
      <c r="I2331" s="471">
        <v>1</v>
      </c>
      <c r="J2331" s="471" t="str">
        <f t="shared" si="345"/>
        <v>tradaccextoth2-n tradaccextoth2</v>
      </c>
      <c r="K2331" s="471" t="str">
        <f t="shared" si="346"/>
        <v>gross-exp</v>
      </c>
      <c r="L2331" s="599"/>
      <c r="M2331" s="472" t="s">
        <v>6508</v>
      </c>
      <c r="N2331" s="472" t="s">
        <v>1380</v>
      </c>
      <c r="O2331" s="472" t="s">
        <v>1376</v>
      </c>
    </row>
    <row r="2332" spans="1:15" x14ac:dyDescent="0.25">
      <c r="A2332" s="471" t="s">
        <v>6528</v>
      </c>
      <c r="B2332" s="1139">
        <f t="shared" ca="1" si="343"/>
        <v>0</v>
      </c>
      <c r="C2332" s="473">
        <f t="shared" ca="1" si="347"/>
        <v>0</v>
      </c>
      <c r="H2332" s="471">
        <f t="shared" si="344"/>
        <v>3</v>
      </c>
      <c r="I2332" s="471">
        <v>1</v>
      </c>
      <c r="J2332" s="471" t="str">
        <f t="shared" si="345"/>
        <v>tradaccextoth3-n tradaccextoth3</v>
      </c>
      <c r="K2332" s="471" t="str">
        <f t="shared" si="346"/>
        <v>gross-exp</v>
      </c>
      <c r="L2332" s="599"/>
      <c r="M2332" s="472" t="s">
        <v>6508</v>
      </c>
      <c r="N2332" s="472" t="s">
        <v>1380</v>
      </c>
      <c r="O2332" s="472" t="s">
        <v>1376</v>
      </c>
    </row>
    <row r="2333" spans="1:15" x14ac:dyDescent="0.25">
      <c r="A2333" s="471" t="s">
        <v>6529</v>
      </c>
      <c r="B2333" s="1139">
        <f t="shared" ca="1" si="343"/>
        <v>0</v>
      </c>
      <c r="C2333" s="473">
        <f t="shared" ca="1" si="347"/>
        <v>0</v>
      </c>
      <c r="H2333" s="471">
        <f t="shared" si="344"/>
        <v>3</v>
      </c>
      <c r="I2333" s="471">
        <v>1</v>
      </c>
      <c r="J2333" s="471" t="str">
        <f t="shared" si="345"/>
        <v>tradaccextoth4-n tradaccextoth4</v>
      </c>
      <c r="K2333" s="471" t="str">
        <f t="shared" si="346"/>
        <v>gross-exp</v>
      </c>
      <c r="L2333" s="599"/>
      <c r="M2333" s="472" t="s">
        <v>6508</v>
      </c>
      <c r="N2333" s="472" t="s">
        <v>1380</v>
      </c>
      <c r="O2333" s="472" t="s">
        <v>1376</v>
      </c>
    </row>
    <row r="2334" spans="1:15" x14ac:dyDescent="0.25">
      <c r="A2334" s="471" t="s">
        <v>6530</v>
      </c>
      <c r="B2334" s="1139">
        <f t="shared" ca="1" si="343"/>
        <v>0</v>
      </c>
      <c r="C2334" s="473">
        <f t="shared" ca="1" si="347"/>
        <v>0</v>
      </c>
      <c r="H2334" s="471">
        <f t="shared" si="344"/>
        <v>3</v>
      </c>
      <c r="I2334" s="471">
        <v>1</v>
      </c>
      <c r="J2334" s="471" t="str">
        <f t="shared" si="345"/>
        <v>tradaccextoth5-n tradaccextoth5</v>
      </c>
      <c r="K2334" s="471" t="str">
        <f t="shared" si="346"/>
        <v>gross-exp</v>
      </c>
      <c r="L2334" s="599"/>
      <c r="M2334" s="472" t="s">
        <v>6508</v>
      </c>
      <c r="N2334" s="472" t="s">
        <v>1380</v>
      </c>
      <c r="O2334" s="472" t="s">
        <v>1376</v>
      </c>
    </row>
    <row r="2335" spans="1:15" x14ac:dyDescent="0.25">
      <c r="A2335" s="701" t="s">
        <v>6531</v>
      </c>
      <c r="B2335" s="1141">
        <f ca="1">INDEX(INDIRECT(LEFT($A2335,SEARCH("-",$A2335,1)-1)&amp;"_data"),MATCH(MID($A2335,SEARCH("-",$A2335)+1,SEARCH("#",SUBSTITUTE($A2335,"-","#",H2335-3),1)-(SEARCH("-",$A2335)+1)),INDIRECT(LEFT($A2335,SEARCH("-",$A2335,1)-1)&amp;"_rows"),0),MATCH(LEFT(RIGHT($A2335,LEN($A2335)-SEARCH("#",SUBSTITUTE($A2335,"-","#",H2335-2),1)),SEARCH("-",RIGHT($A2335,LEN($A2335)-SEARCH("#",SUBSTITUTE($A2335,"-","#",H2335-2),1)))+3),INDIRECT(LEFT($A2335,SEARCH("-",$A2335,1)-1)&amp;"_Header"),0))</f>
        <v>0</v>
      </c>
      <c r="C2335" s="704">
        <f t="shared" ca="1" si="347"/>
        <v>0</v>
      </c>
      <c r="D2335" s="701"/>
      <c r="E2335" s="701"/>
      <c r="F2335" s="701"/>
      <c r="G2335" s="701"/>
      <c r="H2335" s="701">
        <f t="shared" si="344"/>
        <v>5</v>
      </c>
      <c r="I2335" s="701">
        <v>1</v>
      </c>
      <c r="J2335" s="701" t="str">
        <f>MID($A2335,SEARCH("-",$A2335)+1,SEARCH("#",SUBSTITUTE($A2335,"-","#",H2335-3),1)-(SEARCH("-",$A2335)+1))</f>
        <v>tradaccext</v>
      </c>
      <c r="K2335" s="701" t="str">
        <f>LEFT(RIGHT($A2335,LEN($A2335)-SEARCH("#",SUBSTITUTE($A2335,"-","#",H2335-2),1)),SEARCH("-",RIGHT($A2335,LEN($A2335)-SEARCH("#",SUBSTITUTE($A2335,"-","#",H2335-2),2)))+3)</f>
        <v>gross-exp</v>
      </c>
      <c r="L2335" s="701" t="s">
        <v>4740</v>
      </c>
      <c r="M2335" s="472" t="s">
        <v>6508</v>
      </c>
      <c r="N2335" s="472" t="s">
        <v>1380</v>
      </c>
      <c r="O2335" s="472" t="s">
        <v>1376</v>
      </c>
    </row>
    <row r="2336" spans="1:15" x14ac:dyDescent="0.25">
      <c r="A2336" s="471" t="s">
        <v>6532</v>
      </c>
      <c r="B2336" s="1139">
        <f t="shared" ca="1" si="343"/>
        <v>0</v>
      </c>
      <c r="C2336" s="473">
        <f t="shared" ref="C2336:C2363" ca="1" si="348">IF(ISERROR(VLOOKUP(A2440,INDIRECT("notes_"&amp;LEFT(A2440,3)),4,0)),0,VLOOKUP(A2440,INDIRECT("notes_"&amp;LEFT(A2440,3)),4,0))</f>
        <v>0</v>
      </c>
      <c r="H2336" s="471">
        <f t="shared" si="344"/>
        <v>4</v>
      </c>
      <c r="I2336" s="471">
        <v>1</v>
      </c>
      <c r="J2336" s="471" t="str">
        <f t="shared" si="345"/>
        <v>tradaccint-adm-edu</v>
      </c>
      <c r="K2336" s="471" t="str">
        <f t="shared" si="346"/>
        <v>gross-exp</v>
      </c>
      <c r="L2336" s="599"/>
      <c r="M2336" s="472" t="s">
        <v>6508</v>
      </c>
      <c r="N2336" s="472" t="s">
        <v>1380</v>
      </c>
      <c r="O2336" s="472" t="s">
        <v>1376</v>
      </c>
    </row>
    <row r="2337" spans="1:15" x14ac:dyDescent="0.25">
      <c r="A2337" s="471" t="s">
        <v>6533</v>
      </c>
      <c r="B2337" s="1139">
        <f t="shared" ca="1" si="343"/>
        <v>0</v>
      </c>
      <c r="C2337" s="473">
        <f t="shared" ca="1" si="348"/>
        <v>0</v>
      </c>
      <c r="H2337" s="471">
        <f t="shared" si="344"/>
        <v>4</v>
      </c>
      <c r="I2337" s="471">
        <v>1</v>
      </c>
      <c r="J2337" s="471" t="str">
        <f t="shared" si="345"/>
        <v>tradaccint-spc-edu</v>
      </c>
      <c r="K2337" s="471" t="str">
        <f t="shared" si="346"/>
        <v>gross-exp</v>
      </c>
      <c r="L2337" s="599"/>
      <c r="M2337" s="472" t="s">
        <v>6508</v>
      </c>
      <c r="N2337" s="472" t="s">
        <v>1380</v>
      </c>
      <c r="O2337" s="472" t="s">
        <v>1376</v>
      </c>
    </row>
    <row r="2338" spans="1:15" x14ac:dyDescent="0.25">
      <c r="A2338" s="471" t="s">
        <v>6534</v>
      </c>
      <c r="B2338" s="1139">
        <f t="shared" ca="1" si="343"/>
        <v>0</v>
      </c>
      <c r="C2338" s="473">
        <f t="shared" ca="1" si="348"/>
        <v>0</v>
      </c>
      <c r="H2338" s="471">
        <f t="shared" si="344"/>
        <v>3</v>
      </c>
      <c r="I2338" s="471">
        <v>1</v>
      </c>
      <c r="J2338" s="471" t="str">
        <f t="shared" si="345"/>
        <v>tradaccinthghwys-mnt</v>
      </c>
      <c r="K2338" s="471" t="str">
        <f t="shared" si="346"/>
        <v>gross-exp</v>
      </c>
      <c r="L2338" s="599"/>
      <c r="M2338" s="472" t="s">
        <v>6508</v>
      </c>
      <c r="N2338" s="472" t="s">
        <v>1380</v>
      </c>
      <c r="O2338" s="472" t="s">
        <v>1376</v>
      </c>
    </row>
    <row r="2339" spans="1:15" x14ac:dyDescent="0.25">
      <c r="A2339" s="471" t="s">
        <v>6535</v>
      </c>
      <c r="B2339" s="1139">
        <f t="shared" ca="1" si="343"/>
        <v>0</v>
      </c>
      <c r="C2339" s="473">
        <f t="shared" ca="1" si="348"/>
        <v>0</v>
      </c>
      <c r="H2339" s="471">
        <f t="shared" si="344"/>
        <v>4</v>
      </c>
      <c r="I2339" s="471">
        <v>1</v>
      </c>
      <c r="J2339" s="471" t="str">
        <f t="shared" si="345"/>
        <v>tradaccinton-str-prk</v>
      </c>
      <c r="K2339" s="471" t="str">
        <f t="shared" si="346"/>
        <v>gross-exp</v>
      </c>
      <c r="L2339" s="599"/>
      <c r="M2339" s="472" t="s">
        <v>6508</v>
      </c>
      <c r="N2339" s="472" t="s">
        <v>1380</v>
      </c>
      <c r="O2339" s="472" t="s">
        <v>1376</v>
      </c>
    </row>
    <row r="2340" spans="1:15" x14ac:dyDescent="0.25">
      <c r="A2340" s="471" t="s">
        <v>6536</v>
      </c>
      <c r="B2340" s="1139">
        <f t="shared" ca="1" si="343"/>
        <v>0</v>
      </c>
      <c r="C2340" s="473">
        <f t="shared" ca="1" si="348"/>
        <v>0</v>
      </c>
      <c r="H2340" s="471">
        <f t="shared" si="344"/>
        <v>4</v>
      </c>
      <c r="I2340" s="471">
        <v>1</v>
      </c>
      <c r="J2340" s="471" t="str">
        <f t="shared" si="345"/>
        <v>tradaccint-ss-rsd</v>
      </c>
      <c r="K2340" s="471" t="str">
        <f t="shared" si="346"/>
        <v>gross-exp</v>
      </c>
      <c r="L2340" s="599"/>
      <c r="M2340" s="472" t="s">
        <v>6508</v>
      </c>
      <c r="N2340" s="472" t="s">
        <v>1380</v>
      </c>
      <c r="O2340" s="472" t="s">
        <v>1376</v>
      </c>
    </row>
    <row r="2341" spans="1:15" x14ac:dyDescent="0.25">
      <c r="A2341" s="471" t="s">
        <v>6537</v>
      </c>
      <c r="B2341" s="1139">
        <f t="shared" ca="1" si="343"/>
        <v>0</v>
      </c>
      <c r="C2341" s="473">
        <f t="shared" ca="1" si="348"/>
        <v>0</v>
      </c>
      <c r="H2341" s="471">
        <f t="shared" si="344"/>
        <v>4</v>
      </c>
      <c r="I2341" s="471">
        <v>1</v>
      </c>
      <c r="J2341" s="471" t="str">
        <f t="shared" si="345"/>
        <v>tradaccint-ss-hcs</v>
      </c>
      <c r="K2341" s="471" t="str">
        <f t="shared" si="346"/>
        <v>gross-exp</v>
      </c>
      <c r="L2341" s="599"/>
      <c r="M2341" s="472" t="s">
        <v>6508</v>
      </c>
      <c r="N2341" s="472" t="s">
        <v>1380</v>
      </c>
      <c r="O2341" s="472" t="s">
        <v>1376</v>
      </c>
    </row>
    <row r="2342" spans="1:15" x14ac:dyDescent="0.25">
      <c r="A2342" s="471" t="s">
        <v>6538</v>
      </c>
      <c r="B2342" s="1139">
        <f t="shared" ca="1" si="343"/>
        <v>0</v>
      </c>
      <c r="C2342" s="473">
        <f t="shared" ca="1" si="348"/>
        <v>0</v>
      </c>
      <c r="H2342" s="471">
        <f t="shared" si="344"/>
        <v>4</v>
      </c>
      <c r="I2342" s="471">
        <v>1</v>
      </c>
      <c r="J2342" s="471" t="str">
        <f t="shared" si="345"/>
        <v>tradaccint-hous-mng</v>
      </c>
      <c r="K2342" s="471" t="str">
        <f t="shared" si="346"/>
        <v>gross-exp</v>
      </c>
      <c r="L2342" s="599"/>
      <c r="M2342" s="472" t="s">
        <v>6508</v>
      </c>
      <c r="N2342" s="472" t="s">
        <v>1380</v>
      </c>
      <c r="O2342" s="472" t="s">
        <v>1376</v>
      </c>
    </row>
    <row r="2343" spans="1:15" x14ac:dyDescent="0.25">
      <c r="A2343" s="471" t="s">
        <v>6539</v>
      </c>
      <c r="B2343" s="1139">
        <f t="shared" ca="1" si="343"/>
        <v>0</v>
      </c>
      <c r="C2343" s="473">
        <f t="shared" ca="1" si="348"/>
        <v>0</v>
      </c>
      <c r="H2343" s="471">
        <f t="shared" si="344"/>
        <v>4</v>
      </c>
      <c r="I2343" s="471">
        <v>1</v>
      </c>
      <c r="J2343" s="471" t="str">
        <f t="shared" si="345"/>
        <v>tradaccint-lsr-mng</v>
      </c>
      <c r="K2343" s="471" t="str">
        <f t="shared" si="346"/>
        <v>gross-exp</v>
      </c>
      <c r="L2343" s="599"/>
      <c r="M2343" s="472" t="s">
        <v>6508</v>
      </c>
      <c r="N2343" s="472" t="s">
        <v>1380</v>
      </c>
      <c r="O2343" s="472" t="s">
        <v>1376</v>
      </c>
    </row>
    <row r="2344" spans="1:15" x14ac:dyDescent="0.25">
      <c r="A2344" s="471" t="s">
        <v>6540</v>
      </c>
      <c r="B2344" s="1139">
        <f t="shared" ca="1" si="343"/>
        <v>0</v>
      </c>
      <c r="C2344" s="473">
        <f t="shared" ca="1" si="348"/>
        <v>0</v>
      </c>
      <c r="H2344" s="471">
        <f t="shared" si="344"/>
        <v>3</v>
      </c>
      <c r="I2344" s="471">
        <v>1</v>
      </c>
      <c r="J2344" s="471" t="str">
        <f t="shared" si="345"/>
        <v>tradaccint-env</v>
      </c>
      <c r="K2344" s="471" t="str">
        <f t="shared" si="346"/>
        <v>gross-exp</v>
      </c>
      <c r="L2344" s="599"/>
      <c r="M2344" s="472" t="s">
        <v>6508</v>
      </c>
      <c r="N2344" s="472" t="s">
        <v>1380</v>
      </c>
      <c r="O2344" s="472" t="s">
        <v>1376</v>
      </c>
    </row>
    <row r="2345" spans="1:15" x14ac:dyDescent="0.25">
      <c r="A2345" s="471" t="s">
        <v>6541</v>
      </c>
      <c r="B2345" s="1139">
        <f t="shared" ca="1" si="343"/>
        <v>0</v>
      </c>
      <c r="C2345" s="473">
        <f t="shared" ca="1" si="348"/>
        <v>0</v>
      </c>
      <c r="H2345" s="471">
        <f t="shared" si="344"/>
        <v>3</v>
      </c>
      <c r="I2345" s="471">
        <v>1</v>
      </c>
      <c r="J2345" s="471" t="str">
        <f t="shared" si="345"/>
        <v>tradaccint-cps</v>
      </c>
      <c r="K2345" s="471" t="str">
        <f t="shared" si="346"/>
        <v>gross-exp</v>
      </c>
      <c r="L2345" s="599"/>
      <c r="M2345" s="472" t="s">
        <v>6508</v>
      </c>
      <c r="N2345" s="472" t="s">
        <v>1380</v>
      </c>
      <c r="O2345" s="472" t="s">
        <v>1376</v>
      </c>
    </row>
    <row r="2346" spans="1:15" x14ac:dyDescent="0.25">
      <c r="A2346" s="471" t="s">
        <v>6542</v>
      </c>
      <c r="B2346" s="1139">
        <f t="shared" ca="1" si="343"/>
        <v>0</v>
      </c>
      <c r="C2346" s="473">
        <f t="shared" ca="1" si="348"/>
        <v>0</v>
      </c>
      <c r="H2346" s="471">
        <f t="shared" si="344"/>
        <v>4</v>
      </c>
      <c r="I2346" s="471">
        <v>1</v>
      </c>
      <c r="J2346" s="471" t="str">
        <f t="shared" si="345"/>
        <v>tradaccint-bld-cln</v>
      </c>
      <c r="K2346" s="471" t="str">
        <f t="shared" si="346"/>
        <v>gross-exp</v>
      </c>
      <c r="L2346" s="599"/>
      <c r="M2346" s="472" t="s">
        <v>6508</v>
      </c>
      <c r="N2346" s="472" t="s">
        <v>1380</v>
      </c>
      <c r="O2346" s="472" t="s">
        <v>1376</v>
      </c>
    </row>
    <row r="2347" spans="1:15" x14ac:dyDescent="0.25">
      <c r="A2347" s="471" t="s">
        <v>6543</v>
      </c>
      <c r="B2347" s="1139">
        <f t="shared" ca="1" si="343"/>
        <v>0</v>
      </c>
      <c r="C2347" s="473">
        <f t="shared" ca="1" si="348"/>
        <v>0</v>
      </c>
      <c r="H2347" s="471">
        <f t="shared" si="344"/>
        <v>4</v>
      </c>
      <c r="I2347" s="471">
        <v>1</v>
      </c>
      <c r="J2347" s="471" t="str">
        <f t="shared" si="345"/>
        <v>tradaccint-bld-mnt</v>
      </c>
      <c r="K2347" s="471" t="str">
        <f t="shared" si="346"/>
        <v>gross-exp</v>
      </c>
      <c r="L2347" s="599"/>
      <c r="M2347" s="472" t="s">
        <v>6508</v>
      </c>
      <c r="N2347" s="472" t="s">
        <v>1380</v>
      </c>
      <c r="O2347" s="472" t="s">
        <v>1376</v>
      </c>
    </row>
    <row r="2348" spans="1:15" x14ac:dyDescent="0.25">
      <c r="A2348" s="471" t="s">
        <v>6544</v>
      </c>
      <c r="B2348" s="1139">
        <f t="shared" ca="1" si="343"/>
        <v>0</v>
      </c>
      <c r="C2348" s="473">
        <f t="shared" ca="1" si="348"/>
        <v>0</v>
      </c>
      <c r="H2348" s="471">
        <f t="shared" si="344"/>
        <v>4</v>
      </c>
      <c r="I2348" s="471">
        <v>1</v>
      </c>
      <c r="J2348" s="471" t="str">
        <f t="shared" si="345"/>
        <v>tradaccint-grn-mnt</v>
      </c>
      <c r="K2348" s="471" t="str">
        <f t="shared" si="346"/>
        <v>gross-exp</v>
      </c>
      <c r="L2348" s="599"/>
      <c r="M2348" s="472" t="s">
        <v>6508</v>
      </c>
      <c r="N2348" s="472" t="s">
        <v>1380</v>
      </c>
      <c r="O2348" s="472" t="s">
        <v>1376</v>
      </c>
    </row>
    <row r="2349" spans="1:15" x14ac:dyDescent="0.25">
      <c r="A2349" s="471" t="s">
        <v>6545</v>
      </c>
      <c r="B2349" s="1139">
        <f t="shared" ca="1" si="343"/>
        <v>0</v>
      </c>
      <c r="C2349" s="473">
        <f t="shared" ca="1" si="348"/>
        <v>0</v>
      </c>
      <c r="H2349" s="471">
        <f t="shared" si="344"/>
        <v>4</v>
      </c>
      <c r="I2349" s="471">
        <v>1</v>
      </c>
      <c r="J2349" s="471" t="str">
        <f t="shared" si="345"/>
        <v>tradaccint-vhc-mnt</v>
      </c>
      <c r="K2349" s="471" t="str">
        <f t="shared" si="346"/>
        <v>gross-exp</v>
      </c>
      <c r="L2349" s="599"/>
      <c r="M2349" s="472" t="s">
        <v>6508</v>
      </c>
      <c r="N2349" s="472" t="s">
        <v>1380</v>
      </c>
      <c r="O2349" s="472" t="s">
        <v>1376</v>
      </c>
    </row>
    <row r="2350" spans="1:15" x14ac:dyDescent="0.25">
      <c r="A2350" s="471" t="s">
        <v>6546</v>
      </c>
      <c r="B2350" s="1139">
        <f t="shared" ca="1" si="343"/>
        <v>0</v>
      </c>
      <c r="C2350" s="473">
        <f t="shared" ca="1" si="348"/>
        <v>0</v>
      </c>
      <c r="H2350" s="471">
        <f t="shared" si="344"/>
        <v>4</v>
      </c>
      <c r="I2350" s="471">
        <v>1</v>
      </c>
      <c r="J2350" s="471" t="str">
        <f t="shared" si="345"/>
        <v>tradaccint-vhc-mng</v>
      </c>
      <c r="K2350" s="471" t="str">
        <f t="shared" si="346"/>
        <v>gross-exp</v>
      </c>
      <c r="L2350" s="599"/>
      <c r="M2350" s="472" t="s">
        <v>6508</v>
      </c>
      <c r="N2350" s="472" t="s">
        <v>1380</v>
      </c>
      <c r="O2350" s="472" t="s">
        <v>1376</v>
      </c>
    </row>
    <row r="2351" spans="1:15" x14ac:dyDescent="0.25">
      <c r="A2351" s="471" t="s">
        <v>6547</v>
      </c>
      <c r="B2351" s="1139">
        <f t="shared" ca="1" si="343"/>
        <v>0</v>
      </c>
      <c r="C2351" s="473">
        <f t="shared" ca="1" si="348"/>
        <v>0</v>
      </c>
      <c r="H2351" s="471">
        <f t="shared" si="344"/>
        <v>4</v>
      </c>
      <c r="I2351" s="471">
        <v>1</v>
      </c>
      <c r="J2351" s="471" t="str">
        <f t="shared" si="345"/>
        <v>tradaccint-rfs-cll</v>
      </c>
      <c r="K2351" s="471" t="str">
        <f t="shared" si="346"/>
        <v>gross-exp</v>
      </c>
      <c r="L2351" s="599"/>
      <c r="M2351" s="472" t="s">
        <v>6508</v>
      </c>
      <c r="N2351" s="472" t="s">
        <v>1380</v>
      </c>
      <c r="O2351" s="472" t="s">
        <v>1376</v>
      </c>
    </row>
    <row r="2352" spans="1:15" x14ac:dyDescent="0.25">
      <c r="A2352" s="471" t="s">
        <v>6548</v>
      </c>
      <c r="B2352" s="1139">
        <f t="shared" ca="1" si="343"/>
        <v>0</v>
      </c>
      <c r="C2352" s="473">
        <f t="shared" ca="1" si="348"/>
        <v>0</v>
      </c>
      <c r="H2352" s="471">
        <f t="shared" si="344"/>
        <v>3</v>
      </c>
      <c r="I2352" s="471">
        <v>1</v>
      </c>
      <c r="J2352" s="471" t="str">
        <f t="shared" si="345"/>
        <v>tradaccint-ctr</v>
      </c>
      <c r="K2352" s="471" t="str">
        <f t="shared" si="346"/>
        <v>gross-exp</v>
      </c>
      <c r="L2352" s="599"/>
      <c r="M2352" s="472" t="s">
        <v>6508</v>
      </c>
      <c r="N2352" s="472" t="s">
        <v>1380</v>
      </c>
      <c r="O2352" s="472" t="s">
        <v>1376</v>
      </c>
    </row>
    <row r="2353" spans="1:15" x14ac:dyDescent="0.25">
      <c r="A2353" s="471" t="s">
        <v>6549</v>
      </c>
      <c r="B2353" s="1139">
        <f t="shared" ca="1" si="343"/>
        <v>0</v>
      </c>
      <c r="C2353" s="473">
        <f t="shared" ca="1" si="348"/>
        <v>0</v>
      </c>
      <c r="H2353" s="471">
        <f t="shared" si="344"/>
        <v>3</v>
      </c>
      <c r="I2353" s="471">
        <v>1</v>
      </c>
      <c r="J2353" s="471" t="str">
        <f t="shared" si="345"/>
        <v>tradaccint-off</v>
      </c>
      <c r="K2353" s="471" t="str">
        <f t="shared" si="346"/>
        <v>gross-exp</v>
      </c>
      <c r="L2353" s="599"/>
      <c r="M2353" s="472" t="s">
        <v>6508</v>
      </c>
      <c r="N2353" s="472" t="s">
        <v>1380</v>
      </c>
      <c r="O2353" s="472" t="s">
        <v>1376</v>
      </c>
    </row>
    <row r="2354" spans="1:15" x14ac:dyDescent="0.25">
      <c r="A2354" s="471" t="s">
        <v>6550</v>
      </c>
      <c r="B2354" s="1139">
        <f t="shared" ca="1" si="343"/>
        <v>0</v>
      </c>
      <c r="C2354" s="473">
        <f t="shared" ca="1" si="348"/>
        <v>0</v>
      </c>
      <c r="H2354" s="471">
        <f t="shared" si="344"/>
        <v>3</v>
      </c>
      <c r="I2354" s="471">
        <v>1</v>
      </c>
      <c r="J2354" s="471" t="str">
        <f t="shared" si="345"/>
        <v>tradaccint-it</v>
      </c>
      <c r="K2354" s="471" t="str">
        <f t="shared" si="346"/>
        <v>gross-exp</v>
      </c>
      <c r="L2354" s="599"/>
      <c r="M2354" s="472" t="s">
        <v>6508</v>
      </c>
      <c r="N2354" s="472" t="s">
        <v>1380</v>
      </c>
      <c r="O2354" s="472" t="s">
        <v>1376</v>
      </c>
    </row>
    <row r="2355" spans="1:15" x14ac:dyDescent="0.25">
      <c r="A2355" s="471" t="s">
        <v>6551</v>
      </c>
      <c r="B2355" s="1139">
        <f t="shared" ca="1" si="343"/>
        <v>0</v>
      </c>
      <c r="C2355" s="473">
        <f t="shared" ca="1" si="348"/>
        <v>0</v>
      </c>
      <c r="H2355" s="471">
        <f t="shared" si="344"/>
        <v>3</v>
      </c>
      <c r="I2355" s="471">
        <v>1</v>
      </c>
      <c r="J2355" s="471" t="str">
        <f t="shared" si="345"/>
        <v>tradaccint-fnc</v>
      </c>
      <c r="K2355" s="471" t="str">
        <f t="shared" si="346"/>
        <v>gross-exp</v>
      </c>
      <c r="L2355" s="599"/>
      <c r="M2355" s="472" t="s">
        <v>6508</v>
      </c>
      <c r="N2355" s="472" t="s">
        <v>1380</v>
      </c>
      <c r="O2355" s="472" t="s">
        <v>1376</v>
      </c>
    </row>
    <row r="2356" spans="1:15" x14ac:dyDescent="0.25">
      <c r="A2356" s="471" t="s">
        <v>6552</v>
      </c>
      <c r="B2356" s="1139">
        <f t="shared" ca="1" si="343"/>
        <v>0</v>
      </c>
      <c r="C2356" s="473">
        <f t="shared" ca="1" si="348"/>
        <v>0</v>
      </c>
      <c r="H2356" s="471">
        <f t="shared" si="344"/>
        <v>3</v>
      </c>
      <c r="I2356" s="471">
        <v>1</v>
      </c>
      <c r="J2356" s="471" t="str">
        <f t="shared" si="345"/>
        <v>tradaccint-lgl</v>
      </c>
      <c r="K2356" s="471" t="str">
        <f t="shared" si="346"/>
        <v>gross-exp</v>
      </c>
      <c r="L2356" s="599"/>
      <c r="M2356" s="472" t="s">
        <v>6508</v>
      </c>
      <c r="N2356" s="472" t="s">
        <v>1380</v>
      </c>
      <c r="O2356" s="472" t="s">
        <v>1376</v>
      </c>
    </row>
    <row r="2357" spans="1:15" x14ac:dyDescent="0.25">
      <c r="A2357" s="471" t="s">
        <v>6553</v>
      </c>
      <c r="B2357" s="1139">
        <f t="shared" ca="1" si="343"/>
        <v>0</v>
      </c>
      <c r="C2357" s="473">
        <f t="shared" ca="1" si="348"/>
        <v>0</v>
      </c>
      <c r="H2357" s="471">
        <f t="shared" si="344"/>
        <v>3</v>
      </c>
      <c r="I2357" s="471">
        <v>1</v>
      </c>
      <c r="J2357" s="471" t="str">
        <f t="shared" si="345"/>
        <v>tradaccint-prs</v>
      </c>
      <c r="K2357" s="471" t="str">
        <f t="shared" si="346"/>
        <v>gross-exp</v>
      </c>
      <c r="L2357" s="599"/>
      <c r="M2357" s="472" t="s">
        <v>6508</v>
      </c>
      <c r="N2357" s="472" t="s">
        <v>1380</v>
      </c>
      <c r="O2357" s="472" t="s">
        <v>1376</v>
      </c>
    </row>
    <row r="2358" spans="1:15" x14ac:dyDescent="0.25">
      <c r="A2358" s="471" t="s">
        <v>6554</v>
      </c>
      <c r="B2358" s="1139">
        <f t="shared" ca="1" si="343"/>
        <v>0</v>
      </c>
      <c r="C2358" s="473">
        <f t="shared" ca="1" si="348"/>
        <v>0</v>
      </c>
      <c r="H2358" s="471">
        <f t="shared" si="344"/>
        <v>3</v>
      </c>
      <c r="I2358" s="471">
        <v>1</v>
      </c>
      <c r="J2358" s="471" t="str">
        <f t="shared" si="345"/>
        <v>tradaccintoth1-n tradaccintoth1</v>
      </c>
      <c r="K2358" s="471" t="str">
        <f t="shared" si="346"/>
        <v>gross-exp</v>
      </c>
      <c r="L2358" s="599"/>
      <c r="M2358" s="472" t="s">
        <v>6508</v>
      </c>
      <c r="N2358" s="472" t="s">
        <v>1380</v>
      </c>
      <c r="O2358" s="472" t="s">
        <v>1376</v>
      </c>
    </row>
    <row r="2359" spans="1:15" x14ac:dyDescent="0.25">
      <c r="A2359" s="471" t="s">
        <v>6555</v>
      </c>
      <c r="B2359" s="1139">
        <f t="shared" ca="1" si="343"/>
        <v>0</v>
      </c>
      <c r="C2359" s="473">
        <f t="shared" ca="1" si="348"/>
        <v>0</v>
      </c>
      <c r="H2359" s="471">
        <f t="shared" si="344"/>
        <v>3</v>
      </c>
      <c r="I2359" s="471">
        <v>1</v>
      </c>
      <c r="J2359" s="471" t="str">
        <f t="shared" si="345"/>
        <v>tradaccintoth2-n tradaccintoth2</v>
      </c>
      <c r="K2359" s="471" t="str">
        <f t="shared" si="346"/>
        <v>gross-exp</v>
      </c>
      <c r="L2359" s="599"/>
      <c r="M2359" s="472" t="s">
        <v>6508</v>
      </c>
      <c r="N2359" s="472" t="s">
        <v>1380</v>
      </c>
      <c r="O2359" s="472" t="s">
        <v>1376</v>
      </c>
    </row>
    <row r="2360" spans="1:15" x14ac:dyDescent="0.25">
      <c r="A2360" s="471" t="s">
        <v>6556</v>
      </c>
      <c r="B2360" s="1139">
        <f t="shared" ca="1" si="343"/>
        <v>0</v>
      </c>
      <c r="C2360" s="473">
        <f t="shared" ca="1" si="348"/>
        <v>0</v>
      </c>
      <c r="H2360" s="471">
        <f t="shared" si="344"/>
        <v>3</v>
      </c>
      <c r="I2360" s="471">
        <v>1</v>
      </c>
      <c r="J2360" s="471" t="str">
        <f t="shared" si="345"/>
        <v>tradaccintoth3-n tradaccintoth3</v>
      </c>
      <c r="K2360" s="471" t="str">
        <f t="shared" si="346"/>
        <v>gross-exp</v>
      </c>
      <c r="L2360" s="599"/>
      <c r="M2360" s="472" t="s">
        <v>6508</v>
      </c>
      <c r="N2360" s="472" t="s">
        <v>1380</v>
      </c>
      <c r="O2360" s="472" t="s">
        <v>1376</v>
      </c>
    </row>
    <row r="2361" spans="1:15" x14ac:dyDescent="0.25">
      <c r="A2361" s="471" t="s">
        <v>6557</v>
      </c>
      <c r="B2361" s="1139">
        <f t="shared" ca="1" si="343"/>
        <v>0</v>
      </c>
      <c r="C2361" s="473">
        <f t="shared" ca="1" si="348"/>
        <v>0</v>
      </c>
      <c r="H2361" s="471">
        <f t="shared" si="344"/>
        <v>3</v>
      </c>
      <c r="I2361" s="471">
        <v>1</v>
      </c>
      <c r="J2361" s="471" t="str">
        <f t="shared" si="345"/>
        <v>tradaccintoth4-n tradaccintoth4</v>
      </c>
      <c r="K2361" s="471" t="str">
        <f t="shared" si="346"/>
        <v>gross-exp</v>
      </c>
      <c r="L2361" s="599"/>
      <c r="M2361" s="472" t="s">
        <v>6508</v>
      </c>
      <c r="N2361" s="472" t="s">
        <v>1380</v>
      </c>
      <c r="O2361" s="472" t="s">
        <v>1376</v>
      </c>
    </row>
    <row r="2362" spans="1:15" x14ac:dyDescent="0.25">
      <c r="A2362" s="471" t="s">
        <v>6558</v>
      </c>
      <c r="B2362" s="1139">
        <f t="shared" ca="1" si="343"/>
        <v>0</v>
      </c>
      <c r="C2362" s="473">
        <f t="shared" ca="1" si="348"/>
        <v>0</v>
      </c>
      <c r="H2362" s="471">
        <f t="shared" si="344"/>
        <v>3</v>
      </c>
      <c r="I2362" s="471">
        <v>1</v>
      </c>
      <c r="J2362" s="471" t="str">
        <f t="shared" si="345"/>
        <v>tradaccintoth5-n tradaccintoth5</v>
      </c>
      <c r="K2362" s="471" t="str">
        <f>RIGHT($A2362,LEN($A2362)-SEARCH("#",SUBSTITUTE($A2362,"-","#",H2362),1))</f>
        <v>gross-exp</v>
      </c>
      <c r="L2362" s="599"/>
      <c r="M2362" s="472" t="s">
        <v>6508</v>
      </c>
      <c r="N2362" s="472" t="s">
        <v>1380</v>
      </c>
      <c r="O2362" s="472" t="s">
        <v>1376</v>
      </c>
    </row>
    <row r="2363" spans="1:15" x14ac:dyDescent="0.25">
      <c r="A2363" s="701" t="s">
        <v>6559</v>
      </c>
      <c r="B2363" s="1141">
        <f ca="1">INDEX(INDIRECT(LEFT($A2363,SEARCH("-",$A2363,1)-1)&amp;"_data"),MATCH(MID($A2363,SEARCH("-",$A2363)+1,SEARCH("#",SUBSTITUTE($A2363,"-","#",H2363-2),1)-(SEARCH("-",$A2363)+1)),INDIRECT(LEFT($A2363,SEARCH("-",$A2363,1)-1)&amp;"_rows"),0),MATCH(LEFT(RIGHT($A2363,LEN($A2363)-SEARCH("#",SUBSTITUTE($A2363,"-","#",H2363-2),1)),SEARCH("-",RIGHT($A2363,LEN($A2363)-SEARCH("#",SUBSTITUTE($A2363,"-","#",H2363-2),1)))+3),INDIRECT(LEFT($A2363,SEARCH("-",$A2363,1)-1)&amp;"_Header"),0))</f>
        <v>0</v>
      </c>
      <c r="C2363" s="701">
        <f t="shared" ca="1" si="348"/>
        <v>0</v>
      </c>
      <c r="D2363" s="701"/>
      <c r="E2363" s="701"/>
      <c r="F2363" s="701"/>
      <c r="G2363" s="701"/>
      <c r="H2363" s="701">
        <f t="shared" si="344"/>
        <v>5</v>
      </c>
      <c r="I2363" s="701">
        <v>1</v>
      </c>
      <c r="J2363" s="701" t="str">
        <f>MID($A2363,SEARCH("-",$A2363)+1,SEARCH("#",SUBSTITUTE($A2363,"-","#",H2363-2),1)-(SEARCH("-",$A2363)+1))</f>
        <v>tradaccint-tot</v>
      </c>
      <c r="K2363" s="701" t="str">
        <f>LEFT(RIGHT($A2363,LEN($A2363)-SEARCH("#",SUBSTITUTE($A2363,"-","#",H2363-2),1)),SEARCH("-",RIGHT($A2363,LEN($A2363)-SEARCH("#",SUBSTITUTE($A2363,"-","#",H2363-2),2)))+3)</f>
        <v>gross-exp</v>
      </c>
      <c r="L2363" s="701" t="s">
        <v>4740</v>
      </c>
      <c r="M2363" s="472" t="s">
        <v>6508</v>
      </c>
      <c r="N2363" s="472" t="s">
        <v>1380</v>
      </c>
      <c r="O2363" s="472" t="s">
        <v>1376</v>
      </c>
    </row>
    <row r="2364" spans="1:15" x14ac:dyDescent="0.25">
      <c r="A2364" s="476" t="s">
        <v>6560</v>
      </c>
      <c r="B2364" s="1139">
        <f t="shared" ca="1" si="343"/>
        <v>0</v>
      </c>
      <c r="C2364" s="473">
        <f t="shared" ref="C2364:C2379" ca="1" si="349">IF(ISERROR(VLOOKUP(A2415,INDIRECT("notes_"&amp;LEFT(A2415,3)),4,0)),0,VLOOKUP(A2415,INDIRECT("notes_"&amp;LEFT(A2415,3)),4,0))</f>
        <v>0</v>
      </c>
      <c r="H2364" s="471">
        <f t="shared" ref="H2364:H2401" si="350">LEN(A2364)-LEN(SUBSTITUTE(A2364,"-",""))-I2364</f>
        <v>4</v>
      </c>
      <c r="I2364" s="471">
        <v>0</v>
      </c>
      <c r="J2364" s="471" t="str">
        <f t="shared" ref="J2364:J2401" si="351">MID($A2364,SEARCH("-",$A2364)+1,SEARCH("#",SUBSTITUTE($A2364,"-","#",H2364),1)-(SEARCH("-",$A2364)+1))</f>
        <v>tradaccext-car-prk</v>
      </c>
      <c r="K2364" s="471" t="str">
        <f t="shared" ref="K2364:K2401" si="352">RIGHT($A2364,LEN($A2364)-SEARCH("#",SUBSTITUTE($A2364,"-","#",H2364),1))</f>
        <v>inc</v>
      </c>
      <c r="L2364" s="599"/>
      <c r="M2364" s="472" t="s">
        <v>6508</v>
      </c>
      <c r="N2364" s="472" t="s">
        <v>1380</v>
      </c>
      <c r="O2364" s="472" t="s">
        <v>1376</v>
      </c>
    </row>
    <row r="2365" spans="1:15" x14ac:dyDescent="0.25">
      <c r="A2365" s="476" t="s">
        <v>6561</v>
      </c>
      <c r="B2365" s="1139">
        <f t="shared" ca="1" si="343"/>
        <v>0</v>
      </c>
      <c r="C2365" s="473">
        <f t="shared" ca="1" si="349"/>
        <v>0</v>
      </c>
      <c r="H2365" s="471">
        <f t="shared" si="350"/>
        <v>3</v>
      </c>
      <c r="I2365" s="471">
        <v>0</v>
      </c>
      <c r="J2365" s="471" t="str">
        <f t="shared" si="351"/>
        <v>tradaccext-arp</v>
      </c>
      <c r="K2365" s="471" t="str">
        <f t="shared" si="352"/>
        <v>inc</v>
      </c>
      <c r="L2365" s="599"/>
      <c r="M2365" s="472" t="s">
        <v>6508</v>
      </c>
      <c r="N2365" s="472" t="s">
        <v>1380</v>
      </c>
      <c r="O2365" s="472" t="s">
        <v>1376</v>
      </c>
    </row>
    <row r="2366" spans="1:15" x14ac:dyDescent="0.25">
      <c r="A2366" s="476" t="s">
        <v>6562</v>
      </c>
      <c r="B2366" s="1139">
        <f t="shared" ca="1" si="343"/>
        <v>0</v>
      </c>
      <c r="C2366" s="473">
        <f t="shared" ca="1" si="349"/>
        <v>0</v>
      </c>
      <c r="H2366" s="471">
        <f t="shared" si="350"/>
        <v>3</v>
      </c>
      <c r="I2366" s="471">
        <v>0</v>
      </c>
      <c r="J2366" s="471" t="str">
        <f t="shared" si="351"/>
        <v>tradaccext-prt</v>
      </c>
      <c r="K2366" s="471" t="str">
        <f t="shared" si="352"/>
        <v>inc</v>
      </c>
      <c r="L2366" s="599"/>
      <c r="M2366" s="472" t="s">
        <v>6508</v>
      </c>
      <c r="N2366" s="472" t="s">
        <v>1380</v>
      </c>
      <c r="O2366" s="472" t="s">
        <v>1376</v>
      </c>
    </row>
    <row r="2367" spans="1:15" x14ac:dyDescent="0.25">
      <c r="A2367" s="476" t="s">
        <v>6563</v>
      </c>
      <c r="B2367" s="1139">
        <f t="shared" ca="1" si="343"/>
        <v>0</v>
      </c>
      <c r="C2367" s="473">
        <f t="shared" ca="1" si="349"/>
        <v>0</v>
      </c>
      <c r="H2367" s="471">
        <f t="shared" si="350"/>
        <v>3</v>
      </c>
      <c r="I2367" s="471">
        <v>0</v>
      </c>
      <c r="J2367" s="471" t="str">
        <f t="shared" si="351"/>
        <v>tradaccext-prs</v>
      </c>
      <c r="K2367" s="471" t="str">
        <f t="shared" si="352"/>
        <v>inc</v>
      </c>
      <c r="L2367" s="599"/>
      <c r="M2367" s="472" t="s">
        <v>6508</v>
      </c>
      <c r="N2367" s="472" t="s">
        <v>1380</v>
      </c>
      <c r="O2367" s="472" t="s">
        <v>1376</v>
      </c>
    </row>
    <row r="2368" spans="1:15" x14ac:dyDescent="0.25">
      <c r="A2368" s="476" t="s">
        <v>6564</v>
      </c>
      <c r="B2368" s="1139">
        <f t="shared" ca="1" si="343"/>
        <v>0</v>
      </c>
      <c r="C2368" s="473">
        <f t="shared" ca="1" si="349"/>
        <v>0</v>
      </c>
      <c r="H2368" s="471">
        <f t="shared" si="350"/>
        <v>3</v>
      </c>
      <c r="I2368" s="471">
        <v>0</v>
      </c>
      <c r="J2368" s="471" t="str">
        <f t="shared" si="351"/>
        <v>tradaccext-tbr</v>
      </c>
      <c r="K2368" s="471" t="str">
        <f t="shared" si="352"/>
        <v>inc</v>
      </c>
      <c r="L2368" s="599"/>
      <c r="M2368" s="472" t="s">
        <v>6508</v>
      </c>
      <c r="N2368" s="472" t="s">
        <v>1380</v>
      </c>
      <c r="O2368" s="472" t="s">
        <v>1376</v>
      </c>
    </row>
    <row r="2369" spans="1:15" x14ac:dyDescent="0.25">
      <c r="A2369" s="476" t="s">
        <v>6565</v>
      </c>
      <c r="B2369" s="1139">
        <f t="shared" ca="1" si="343"/>
        <v>0</v>
      </c>
      <c r="C2369" s="473">
        <f t="shared" ca="1" si="349"/>
        <v>0</v>
      </c>
      <c r="H2369" s="471">
        <f t="shared" si="350"/>
        <v>3</v>
      </c>
      <c r="I2369" s="471">
        <v>0</v>
      </c>
      <c r="J2369" s="471" t="str">
        <f t="shared" si="351"/>
        <v>tradaccext-msm</v>
      </c>
      <c r="K2369" s="471" t="str">
        <f t="shared" si="352"/>
        <v>inc</v>
      </c>
      <c r="L2369" s="599"/>
      <c r="M2369" s="472" t="s">
        <v>6508</v>
      </c>
      <c r="N2369" s="472" t="s">
        <v>1380</v>
      </c>
      <c r="O2369" s="472" t="s">
        <v>1376</v>
      </c>
    </row>
    <row r="2370" spans="1:15" x14ac:dyDescent="0.25">
      <c r="A2370" s="476" t="s">
        <v>6566</v>
      </c>
      <c r="B2370" s="1139">
        <f t="shared" ca="1" si="343"/>
        <v>0</v>
      </c>
      <c r="C2370" s="473">
        <f t="shared" ca="1" si="349"/>
        <v>0</v>
      </c>
      <c r="H2370" s="471">
        <f t="shared" si="350"/>
        <v>3</v>
      </c>
      <c r="I2370" s="471">
        <v>0</v>
      </c>
      <c r="J2370" s="471" t="str">
        <f t="shared" si="351"/>
        <v>tradaccext-tht</v>
      </c>
      <c r="K2370" s="471" t="str">
        <f t="shared" si="352"/>
        <v>inc</v>
      </c>
      <c r="L2370" s="599"/>
      <c r="M2370" s="472" t="s">
        <v>6508</v>
      </c>
      <c r="N2370" s="472" t="s">
        <v>1380</v>
      </c>
      <c r="O2370" s="472" t="s">
        <v>1376</v>
      </c>
    </row>
    <row r="2371" spans="1:15" x14ac:dyDescent="0.25">
      <c r="A2371" s="476" t="s">
        <v>6567</v>
      </c>
      <c r="B2371" s="1139">
        <f t="shared" ca="1" si="343"/>
        <v>0</v>
      </c>
      <c r="C2371" s="473">
        <f t="shared" ca="1" si="349"/>
        <v>0</v>
      </c>
      <c r="H2371" s="471">
        <f t="shared" si="350"/>
        <v>4</v>
      </c>
      <c r="I2371" s="471">
        <v>0</v>
      </c>
      <c r="J2371" s="471" t="str">
        <f t="shared" si="351"/>
        <v>tradaccext-cvc-hll</v>
      </c>
      <c r="K2371" s="471" t="str">
        <f t="shared" si="352"/>
        <v>inc</v>
      </c>
      <c r="L2371" s="599"/>
      <c r="M2371" s="472" t="s">
        <v>6508</v>
      </c>
      <c r="N2371" s="472" t="s">
        <v>1380</v>
      </c>
      <c r="O2371" s="472" t="s">
        <v>1376</v>
      </c>
    </row>
    <row r="2372" spans="1:15" x14ac:dyDescent="0.25">
      <c r="A2372" s="476" t="s">
        <v>6568</v>
      </c>
      <c r="B2372" s="1139">
        <f t="shared" ca="1" si="343"/>
        <v>0</v>
      </c>
      <c r="C2372" s="473">
        <f t="shared" ca="1" si="349"/>
        <v>0</v>
      </c>
      <c r="H2372" s="471">
        <f t="shared" si="350"/>
        <v>4</v>
      </c>
      <c r="I2372" s="471">
        <v>0</v>
      </c>
      <c r="J2372" s="471" t="str">
        <f t="shared" si="351"/>
        <v>tradaccext-cvc-rst</v>
      </c>
      <c r="K2372" s="471" t="str">
        <f t="shared" si="352"/>
        <v>inc</v>
      </c>
      <c r="L2372" s="599"/>
      <c r="M2372" s="472" t="s">
        <v>6508</v>
      </c>
      <c r="N2372" s="472" t="s">
        <v>1380</v>
      </c>
      <c r="O2372" s="472" t="s">
        <v>1376</v>
      </c>
    </row>
    <row r="2373" spans="1:15" x14ac:dyDescent="0.25">
      <c r="A2373" s="476" t="s">
        <v>6569</v>
      </c>
      <c r="B2373" s="1139">
        <f t="shared" ca="1" si="343"/>
        <v>0</v>
      </c>
      <c r="C2373" s="473">
        <f t="shared" ca="1" si="349"/>
        <v>0</v>
      </c>
      <c r="H2373" s="471">
        <f t="shared" si="350"/>
        <v>4</v>
      </c>
      <c r="I2373" s="471">
        <v>0</v>
      </c>
      <c r="J2373" s="471" t="str">
        <f t="shared" si="351"/>
        <v>tradaccext-spr-fcl</v>
      </c>
      <c r="K2373" s="471" t="str">
        <f t="shared" si="352"/>
        <v>inc</v>
      </c>
      <c r="L2373" s="599"/>
      <c r="M2373" s="472" t="s">
        <v>6508</v>
      </c>
      <c r="N2373" s="472" t="s">
        <v>1380</v>
      </c>
      <c r="O2373" s="472" t="s">
        <v>1376</v>
      </c>
    </row>
    <row r="2374" spans="1:15" x14ac:dyDescent="0.25">
      <c r="A2374" s="476" t="s">
        <v>6570</v>
      </c>
      <c r="B2374" s="1139">
        <f t="shared" ca="1" si="343"/>
        <v>0</v>
      </c>
      <c r="C2374" s="473">
        <f t="shared" ca="1" si="349"/>
        <v>0</v>
      </c>
      <c r="H2374" s="471">
        <f t="shared" si="350"/>
        <v>3</v>
      </c>
      <c r="I2374" s="471">
        <v>0</v>
      </c>
      <c r="J2374" s="471" t="str">
        <f t="shared" si="351"/>
        <v>tradaccext-crm</v>
      </c>
      <c r="K2374" s="471" t="str">
        <f t="shared" si="352"/>
        <v>inc</v>
      </c>
      <c r="L2374" s="599"/>
      <c r="M2374" s="472" t="s">
        <v>6508</v>
      </c>
      <c r="N2374" s="472" t="s">
        <v>1380</v>
      </c>
      <c r="O2374" s="472" t="s">
        <v>1376</v>
      </c>
    </row>
    <row r="2375" spans="1:15" x14ac:dyDescent="0.25">
      <c r="A2375" s="476" t="s">
        <v>6571</v>
      </c>
      <c r="B2375" s="1139">
        <f t="shared" ca="1" si="343"/>
        <v>0</v>
      </c>
      <c r="C2375" s="473">
        <f t="shared" ca="1" si="349"/>
        <v>0</v>
      </c>
      <c r="H2375" s="471">
        <f t="shared" si="350"/>
        <v>4</v>
      </c>
      <c r="I2375" s="471">
        <v>0</v>
      </c>
      <c r="J2375" s="471" t="str">
        <f t="shared" si="351"/>
        <v>tradaccext-fsh-hrb</v>
      </c>
      <c r="K2375" s="471" t="str">
        <f t="shared" si="352"/>
        <v>inc</v>
      </c>
      <c r="L2375" s="599"/>
      <c r="M2375" s="472" t="s">
        <v>6508</v>
      </c>
      <c r="N2375" s="472" t="s">
        <v>1380</v>
      </c>
      <c r="O2375" s="472" t="s">
        <v>1376</v>
      </c>
    </row>
    <row r="2376" spans="1:15" x14ac:dyDescent="0.25">
      <c r="A2376" s="476" t="s">
        <v>6572</v>
      </c>
      <c r="B2376" s="1139">
        <f t="shared" ca="1" si="343"/>
        <v>0</v>
      </c>
      <c r="C2376" s="473">
        <f t="shared" ca="1" si="349"/>
        <v>0</v>
      </c>
      <c r="H2376" s="471">
        <f t="shared" si="350"/>
        <v>4</v>
      </c>
      <c r="I2376" s="471">
        <v>0</v>
      </c>
      <c r="J2376" s="471" t="str">
        <f t="shared" si="351"/>
        <v>tradaccext-trd-wst</v>
      </c>
      <c r="K2376" s="471" t="str">
        <f t="shared" si="352"/>
        <v>inc</v>
      </c>
      <c r="L2376" s="599"/>
      <c r="M2376" s="472" t="s">
        <v>6508</v>
      </c>
      <c r="N2376" s="472" t="s">
        <v>1380</v>
      </c>
      <c r="O2376" s="472" t="s">
        <v>1376</v>
      </c>
    </row>
    <row r="2377" spans="1:15" x14ac:dyDescent="0.25">
      <c r="A2377" s="476" t="s">
        <v>6573</v>
      </c>
      <c r="B2377" s="1139">
        <f t="shared" ca="1" si="343"/>
        <v>0</v>
      </c>
      <c r="C2377" s="473">
        <f t="shared" ca="1" si="349"/>
        <v>0</v>
      </c>
      <c r="H2377" s="471">
        <f t="shared" si="350"/>
        <v>4</v>
      </c>
      <c r="I2377" s="471">
        <v>0</v>
      </c>
      <c r="J2377" s="471" t="str">
        <f t="shared" si="351"/>
        <v>tradaccext-bld-cnt</v>
      </c>
      <c r="K2377" s="471" t="str">
        <f t="shared" si="352"/>
        <v>inc</v>
      </c>
      <c r="L2377" s="599"/>
      <c r="M2377" s="472" t="s">
        <v>6508</v>
      </c>
      <c r="N2377" s="472" t="s">
        <v>1380</v>
      </c>
      <c r="O2377" s="472" t="s">
        <v>1376</v>
      </c>
    </row>
    <row r="2378" spans="1:15" x14ac:dyDescent="0.25">
      <c r="A2378" s="476" t="s">
        <v>6574</v>
      </c>
      <c r="B2378" s="1139">
        <f t="shared" ref="B2378:B2441" ca="1" si="353">INDEX(INDIRECT(LEFT($A2378,SEARCH("-",$A2378,1)-1)&amp;"_data"),MATCH(MID($A2378,SEARCH("-",$A2378)+1,SEARCH("#",SUBSTITUTE($A2378,"-","#",H2378),1)-(SEARCH("-",$A2378)+1)),INDIRECT(LEFT($A2378,SEARCH("-",$A2378,1)-1)&amp;"_rows"),0),MATCH(RIGHT($A2378,LEN($A2378)-SEARCH("#",SUBSTITUTE($A2378,"-","#",H2378),1)),INDIRECT(LEFT($A2378,SEARCH("-",$A2378,1)-1)&amp;"_Header"),0))</f>
        <v>0</v>
      </c>
      <c r="C2378" s="473">
        <f t="shared" ca="1" si="349"/>
        <v>0</v>
      </c>
      <c r="H2378" s="471">
        <f t="shared" si="350"/>
        <v>4</v>
      </c>
      <c r="I2378" s="471">
        <v>0</v>
      </c>
      <c r="J2378" s="471" t="str">
        <f t="shared" si="351"/>
        <v>tradaccext-crp-est</v>
      </c>
      <c r="K2378" s="471" t="str">
        <f t="shared" si="352"/>
        <v>inc</v>
      </c>
      <c r="L2378" s="599"/>
      <c r="M2378" s="472" t="s">
        <v>6508</v>
      </c>
      <c r="N2378" s="472" t="s">
        <v>1380</v>
      </c>
      <c r="O2378" s="472" t="s">
        <v>1376</v>
      </c>
    </row>
    <row r="2379" spans="1:15" x14ac:dyDescent="0.25">
      <c r="A2379" s="476" t="s">
        <v>6575</v>
      </c>
      <c r="B2379" s="1139">
        <f t="shared" ca="1" si="353"/>
        <v>0</v>
      </c>
      <c r="C2379" s="473">
        <f t="shared" ca="1" si="349"/>
        <v>0</v>
      </c>
      <c r="H2379" s="471">
        <f t="shared" si="350"/>
        <v>4</v>
      </c>
      <c r="I2379" s="471">
        <v>0</v>
      </c>
      <c r="J2379" s="471" t="str">
        <f t="shared" si="351"/>
        <v>tradaccext-ind-est</v>
      </c>
      <c r="K2379" s="471" t="str">
        <f t="shared" si="352"/>
        <v>inc</v>
      </c>
      <c r="L2379" s="599"/>
      <c r="M2379" s="472" t="s">
        <v>6508</v>
      </c>
      <c r="N2379" s="472" t="s">
        <v>1380</v>
      </c>
      <c r="O2379" s="472" t="s">
        <v>1376</v>
      </c>
    </row>
    <row r="2380" spans="1:15" x14ac:dyDescent="0.25">
      <c r="A2380" s="476" t="s">
        <v>6576</v>
      </c>
      <c r="B2380" s="1139">
        <f t="shared" ca="1" si="353"/>
        <v>0</v>
      </c>
      <c r="C2380" s="473">
        <f t="shared" ref="C2380:C2386" ca="1" si="354">IF(ISERROR(VLOOKUP(A2431,INDIRECT("notes_"&amp;LEFT(A2431,3)),4,0)),0,VLOOKUP(A2431,INDIRECT("notes_"&amp;LEFT(A2431,3)),4,0))</f>
        <v>0</v>
      </c>
      <c r="H2380" s="471">
        <f t="shared" si="350"/>
        <v>4</v>
      </c>
      <c r="I2380" s="471">
        <v>0</v>
      </c>
      <c r="J2380" s="471" t="str">
        <f t="shared" si="351"/>
        <v>tradaccext-mrk-und</v>
      </c>
      <c r="K2380" s="471" t="str">
        <f t="shared" si="352"/>
        <v>inc</v>
      </c>
      <c r="L2380" s="599"/>
      <c r="M2380" s="472" t="s">
        <v>6508</v>
      </c>
      <c r="N2380" s="472" t="s">
        <v>1380</v>
      </c>
      <c r="O2380" s="472" t="s">
        <v>1376</v>
      </c>
    </row>
    <row r="2381" spans="1:15" x14ac:dyDescent="0.25">
      <c r="A2381" s="476" t="s">
        <v>6577</v>
      </c>
      <c r="B2381" s="1139">
        <f t="shared" ca="1" si="353"/>
        <v>0</v>
      </c>
      <c r="C2381" s="473">
        <f t="shared" ca="1" si="354"/>
        <v>0</v>
      </c>
      <c r="H2381" s="471">
        <f t="shared" si="350"/>
        <v>3</v>
      </c>
      <c r="I2381" s="471">
        <v>0</v>
      </c>
      <c r="J2381" s="471" t="str">
        <f t="shared" si="351"/>
        <v>tradaccextoth1-n tradaccextoth1</v>
      </c>
      <c r="K2381" s="471" t="str">
        <f t="shared" si="352"/>
        <v>inc</v>
      </c>
      <c r="L2381" s="599"/>
      <c r="M2381" s="472" t="s">
        <v>6508</v>
      </c>
      <c r="N2381" s="472" t="s">
        <v>1380</v>
      </c>
      <c r="O2381" s="472" t="s">
        <v>1376</v>
      </c>
    </row>
    <row r="2382" spans="1:15" x14ac:dyDescent="0.25">
      <c r="A2382" s="476" t="s">
        <v>6578</v>
      </c>
      <c r="B2382" s="1139">
        <f t="shared" ca="1" si="353"/>
        <v>0</v>
      </c>
      <c r="C2382" s="473">
        <f t="shared" ca="1" si="354"/>
        <v>0</v>
      </c>
      <c r="H2382" s="471">
        <f t="shared" si="350"/>
        <v>3</v>
      </c>
      <c r="I2382" s="471">
        <v>0</v>
      </c>
      <c r="J2382" s="471" t="str">
        <f t="shared" si="351"/>
        <v>tradaccextoth2-n tradaccextoth2</v>
      </c>
      <c r="K2382" s="471" t="str">
        <f t="shared" si="352"/>
        <v>inc</v>
      </c>
      <c r="L2382" s="599"/>
      <c r="M2382" s="472" t="s">
        <v>6508</v>
      </c>
      <c r="N2382" s="472" t="s">
        <v>1380</v>
      </c>
      <c r="O2382" s="472" t="s">
        <v>1376</v>
      </c>
    </row>
    <row r="2383" spans="1:15" x14ac:dyDescent="0.25">
      <c r="A2383" s="476" t="s">
        <v>6579</v>
      </c>
      <c r="B2383" s="1139">
        <f t="shared" ca="1" si="353"/>
        <v>0</v>
      </c>
      <c r="C2383" s="473">
        <f t="shared" ca="1" si="354"/>
        <v>0</v>
      </c>
      <c r="H2383" s="471">
        <f t="shared" si="350"/>
        <v>3</v>
      </c>
      <c r="I2383" s="471">
        <v>0</v>
      </c>
      <c r="J2383" s="471" t="str">
        <f t="shared" si="351"/>
        <v>tradaccextoth3-n tradaccextoth3</v>
      </c>
      <c r="K2383" s="471" t="str">
        <f t="shared" si="352"/>
        <v>inc</v>
      </c>
      <c r="L2383" s="599"/>
      <c r="M2383" s="472" t="s">
        <v>6508</v>
      </c>
      <c r="N2383" s="472" t="s">
        <v>1380</v>
      </c>
      <c r="O2383" s="472" t="s">
        <v>1376</v>
      </c>
    </row>
    <row r="2384" spans="1:15" x14ac:dyDescent="0.25">
      <c r="A2384" s="476" t="s">
        <v>6580</v>
      </c>
      <c r="B2384" s="1139">
        <f t="shared" ca="1" si="353"/>
        <v>0</v>
      </c>
      <c r="C2384" s="473">
        <f t="shared" ca="1" si="354"/>
        <v>0</v>
      </c>
      <c r="H2384" s="471">
        <f t="shared" si="350"/>
        <v>3</v>
      </c>
      <c r="I2384" s="471">
        <v>0</v>
      </c>
      <c r="J2384" s="471" t="str">
        <f t="shared" si="351"/>
        <v>tradaccextoth4-n tradaccextoth4</v>
      </c>
      <c r="K2384" s="471" t="str">
        <f t="shared" si="352"/>
        <v>inc</v>
      </c>
      <c r="L2384" s="599"/>
      <c r="M2384" s="472" t="s">
        <v>6508</v>
      </c>
      <c r="N2384" s="472" t="s">
        <v>1380</v>
      </c>
      <c r="O2384" s="472" t="s">
        <v>1376</v>
      </c>
    </row>
    <row r="2385" spans="1:15" x14ac:dyDescent="0.25">
      <c r="A2385" s="476" t="s">
        <v>6581</v>
      </c>
      <c r="B2385" s="1139">
        <f t="shared" ca="1" si="353"/>
        <v>0</v>
      </c>
      <c r="C2385" s="473">
        <f t="shared" ca="1" si="354"/>
        <v>0</v>
      </c>
      <c r="H2385" s="471">
        <f t="shared" si="350"/>
        <v>3</v>
      </c>
      <c r="I2385" s="471">
        <v>0</v>
      </c>
      <c r="J2385" s="471" t="str">
        <f t="shared" si="351"/>
        <v>tradaccextoth5-n tradaccextoth5</v>
      </c>
      <c r="K2385" s="471" t="str">
        <f t="shared" si="352"/>
        <v>inc</v>
      </c>
      <c r="L2385" s="599"/>
      <c r="M2385" s="472" t="s">
        <v>6508</v>
      </c>
      <c r="N2385" s="472" t="s">
        <v>1380</v>
      </c>
      <c r="O2385" s="472" t="s">
        <v>1376</v>
      </c>
    </row>
    <row r="2386" spans="1:15" x14ac:dyDescent="0.25">
      <c r="A2386" s="701" t="s">
        <v>6582</v>
      </c>
      <c r="B2386" s="1141">
        <f ca="1">INDEX(INDIRECT(LEFT($A2386,SEARCH("-",$A2386,1)-1)&amp;"_data"),MATCH(MID($A2386,SEARCH("-",$A2386)+1,SEARCH("#",SUBSTITUTE($A2386,"-","#",H2386-3),1)-(SEARCH("-",$A2386)+1)),INDIRECT(LEFT($A2386,SEARCH("-",$A2386,1)-1)&amp;"_rows"),0),MATCH(LEFT(RIGHT($A2386,LEN($A2386)-SEARCH("#",SUBSTITUTE($A2386,"-","#",H2386-2),1)),SEARCH("-",RIGHT($A2386,LEN($A2386)-SEARCH("#",SUBSTITUTE($A2386,"-","#",H2386-2),1)))-1),INDIRECT(LEFT($A2386,SEARCH("-",$A2386,1)-1)&amp;"_Header"),0))</f>
        <v>0</v>
      </c>
      <c r="C2386" s="704">
        <f t="shared" ca="1" si="354"/>
        <v>0</v>
      </c>
      <c r="D2386" s="701"/>
      <c r="E2386" s="701"/>
      <c r="F2386" s="701"/>
      <c r="G2386" s="701"/>
      <c r="H2386" s="701">
        <f t="shared" si="350"/>
        <v>5</v>
      </c>
      <c r="I2386" s="701">
        <v>0</v>
      </c>
      <c r="J2386" s="701" t="str">
        <f>MID($A2386,SEARCH("-",$A2386)+1,SEARCH("#",SUBSTITUTE($A2386,"-","#",H2386-3),1)-(SEARCH("-",$A2386)+1))</f>
        <v>tradaccext</v>
      </c>
      <c r="K2386" s="701" t="str">
        <f>LEFT(RIGHT($A2386,LEN($A2386)-SEARCH("#",SUBSTITUTE($A2386,"-","#",H2386-2),1)),SEARCH("-",RIGHT($A2386,LEN($A2386)-SEARCH("#",SUBSTITUTE($A2386,"-","#",H2386-2),1)))-1)</f>
        <v>inc</v>
      </c>
      <c r="L2386" s="701" t="s">
        <v>4740</v>
      </c>
      <c r="M2386" s="472" t="s">
        <v>6508</v>
      </c>
      <c r="N2386" s="472" t="s">
        <v>1380</v>
      </c>
      <c r="O2386" s="472" t="s">
        <v>1376</v>
      </c>
    </row>
    <row r="2387" spans="1:15" x14ac:dyDescent="0.25">
      <c r="A2387" s="477" t="s">
        <v>6583</v>
      </c>
      <c r="B2387" s="1139">
        <f t="shared" ca="1" si="353"/>
        <v>0</v>
      </c>
      <c r="C2387" s="473">
        <f t="shared" ref="C2387:C2414" ca="1" si="355">IF(ISERROR(VLOOKUP(A2440,INDIRECT("notes_"&amp;LEFT(A2440,3)),4,0)),0,VLOOKUP(A2440,INDIRECT("notes_"&amp;LEFT(A2440,3)),4,0))</f>
        <v>0</v>
      </c>
      <c r="H2387" s="471">
        <f t="shared" si="350"/>
        <v>4</v>
      </c>
      <c r="I2387" s="471">
        <v>0</v>
      </c>
      <c r="J2387" s="471" t="str">
        <f t="shared" si="351"/>
        <v>tradaccint-adm-edu</v>
      </c>
      <c r="K2387" s="471" t="str">
        <f t="shared" si="352"/>
        <v>inc</v>
      </c>
      <c r="L2387" s="599"/>
      <c r="M2387" s="472" t="s">
        <v>6508</v>
      </c>
      <c r="N2387" s="472" t="s">
        <v>1380</v>
      </c>
      <c r="O2387" s="472" t="s">
        <v>1376</v>
      </c>
    </row>
    <row r="2388" spans="1:15" x14ac:dyDescent="0.25">
      <c r="A2388" s="477" t="s">
        <v>6584</v>
      </c>
      <c r="B2388" s="1139">
        <f t="shared" ca="1" si="353"/>
        <v>0</v>
      </c>
      <c r="C2388" s="473">
        <f t="shared" ca="1" si="355"/>
        <v>0</v>
      </c>
      <c r="H2388" s="471">
        <f t="shared" si="350"/>
        <v>4</v>
      </c>
      <c r="I2388" s="471">
        <v>0</v>
      </c>
      <c r="J2388" s="471" t="str">
        <f t="shared" si="351"/>
        <v>tradaccint-spc-edu</v>
      </c>
      <c r="K2388" s="471" t="str">
        <f t="shared" si="352"/>
        <v>inc</v>
      </c>
      <c r="L2388" s="599"/>
      <c r="M2388" s="472" t="s">
        <v>6508</v>
      </c>
      <c r="N2388" s="472" t="s">
        <v>1380</v>
      </c>
      <c r="O2388" s="472" t="s">
        <v>1376</v>
      </c>
    </row>
    <row r="2389" spans="1:15" x14ac:dyDescent="0.25">
      <c r="A2389" s="477" t="s">
        <v>6585</v>
      </c>
      <c r="B2389" s="1139">
        <f t="shared" ca="1" si="353"/>
        <v>0</v>
      </c>
      <c r="C2389" s="473">
        <f t="shared" ca="1" si="355"/>
        <v>0</v>
      </c>
      <c r="H2389" s="471">
        <f t="shared" si="350"/>
        <v>3</v>
      </c>
      <c r="I2389" s="471">
        <v>0</v>
      </c>
      <c r="J2389" s="471" t="str">
        <f t="shared" si="351"/>
        <v>tradaccinthghwys-mnt</v>
      </c>
      <c r="K2389" s="471" t="str">
        <f t="shared" si="352"/>
        <v>inc</v>
      </c>
      <c r="L2389" s="599"/>
      <c r="M2389" s="472" t="s">
        <v>6508</v>
      </c>
      <c r="N2389" s="472" t="s">
        <v>1380</v>
      </c>
      <c r="O2389" s="472" t="s">
        <v>1376</v>
      </c>
    </row>
    <row r="2390" spans="1:15" x14ac:dyDescent="0.25">
      <c r="A2390" s="477" t="s">
        <v>6586</v>
      </c>
      <c r="B2390" s="1139">
        <f t="shared" ca="1" si="353"/>
        <v>0</v>
      </c>
      <c r="C2390" s="473">
        <f t="shared" ca="1" si="355"/>
        <v>0</v>
      </c>
      <c r="H2390" s="471">
        <f t="shared" si="350"/>
        <v>4</v>
      </c>
      <c r="I2390" s="471">
        <v>0</v>
      </c>
      <c r="J2390" s="471" t="str">
        <f t="shared" si="351"/>
        <v>tradaccinton-str-prk</v>
      </c>
      <c r="K2390" s="471" t="str">
        <f t="shared" si="352"/>
        <v>inc</v>
      </c>
      <c r="L2390" s="599"/>
      <c r="M2390" s="472" t="s">
        <v>6508</v>
      </c>
      <c r="N2390" s="472" t="s">
        <v>1380</v>
      </c>
      <c r="O2390" s="472" t="s">
        <v>1376</v>
      </c>
    </row>
    <row r="2391" spans="1:15" x14ac:dyDescent="0.25">
      <c r="A2391" s="477" t="s">
        <v>6587</v>
      </c>
      <c r="B2391" s="1139">
        <f t="shared" ca="1" si="353"/>
        <v>0</v>
      </c>
      <c r="C2391" s="473">
        <f t="shared" ca="1" si="355"/>
        <v>0</v>
      </c>
      <c r="H2391" s="471">
        <f t="shared" si="350"/>
        <v>4</v>
      </c>
      <c r="I2391" s="471">
        <v>0</v>
      </c>
      <c r="J2391" s="471" t="str">
        <f t="shared" si="351"/>
        <v>tradaccint-ss-rsd</v>
      </c>
      <c r="K2391" s="471" t="str">
        <f t="shared" si="352"/>
        <v>inc</v>
      </c>
      <c r="L2391" s="599"/>
      <c r="M2391" s="472" t="s">
        <v>6508</v>
      </c>
      <c r="N2391" s="472" t="s">
        <v>1380</v>
      </c>
      <c r="O2391" s="472" t="s">
        <v>1376</v>
      </c>
    </row>
    <row r="2392" spans="1:15" x14ac:dyDescent="0.25">
      <c r="A2392" s="477" t="s">
        <v>6588</v>
      </c>
      <c r="B2392" s="1139">
        <f t="shared" ca="1" si="353"/>
        <v>0</v>
      </c>
      <c r="C2392" s="473">
        <f t="shared" ca="1" si="355"/>
        <v>0</v>
      </c>
      <c r="H2392" s="471">
        <f t="shared" si="350"/>
        <v>4</v>
      </c>
      <c r="I2392" s="471">
        <v>0</v>
      </c>
      <c r="J2392" s="471" t="str">
        <f t="shared" si="351"/>
        <v>tradaccint-ss-hcs</v>
      </c>
      <c r="K2392" s="471" t="str">
        <f t="shared" si="352"/>
        <v>inc</v>
      </c>
      <c r="L2392" s="599"/>
      <c r="M2392" s="472" t="s">
        <v>6508</v>
      </c>
      <c r="N2392" s="472" t="s">
        <v>1380</v>
      </c>
      <c r="O2392" s="472" t="s">
        <v>1376</v>
      </c>
    </row>
    <row r="2393" spans="1:15" x14ac:dyDescent="0.25">
      <c r="A2393" s="477" t="s">
        <v>6589</v>
      </c>
      <c r="B2393" s="1139">
        <f t="shared" ca="1" si="353"/>
        <v>0</v>
      </c>
      <c r="C2393" s="473">
        <f t="shared" ca="1" si="355"/>
        <v>0</v>
      </c>
      <c r="H2393" s="471">
        <f t="shared" si="350"/>
        <v>4</v>
      </c>
      <c r="I2393" s="471">
        <v>0</v>
      </c>
      <c r="J2393" s="471" t="str">
        <f t="shared" si="351"/>
        <v>tradaccint-hous-mng</v>
      </c>
      <c r="K2393" s="471" t="str">
        <f t="shared" si="352"/>
        <v>inc</v>
      </c>
      <c r="L2393" s="599"/>
      <c r="M2393" s="472" t="s">
        <v>6508</v>
      </c>
      <c r="N2393" s="472" t="s">
        <v>1380</v>
      </c>
      <c r="O2393" s="472" t="s">
        <v>1376</v>
      </c>
    </row>
    <row r="2394" spans="1:15" x14ac:dyDescent="0.25">
      <c r="A2394" s="477" t="s">
        <v>6590</v>
      </c>
      <c r="B2394" s="1139">
        <f t="shared" ca="1" si="353"/>
        <v>0</v>
      </c>
      <c r="C2394" s="473">
        <f t="shared" ca="1" si="355"/>
        <v>0</v>
      </c>
      <c r="H2394" s="471">
        <f t="shared" si="350"/>
        <v>4</v>
      </c>
      <c r="I2394" s="471">
        <v>0</v>
      </c>
      <c r="J2394" s="471" t="str">
        <f t="shared" si="351"/>
        <v>tradaccint-lsr-mng</v>
      </c>
      <c r="K2394" s="471" t="str">
        <f t="shared" si="352"/>
        <v>inc</v>
      </c>
      <c r="L2394" s="599"/>
      <c r="M2394" s="472" t="s">
        <v>6508</v>
      </c>
      <c r="N2394" s="472" t="s">
        <v>1380</v>
      </c>
      <c r="O2394" s="472" t="s">
        <v>1376</v>
      </c>
    </row>
    <row r="2395" spans="1:15" x14ac:dyDescent="0.25">
      <c r="A2395" s="477" t="s">
        <v>6591</v>
      </c>
      <c r="B2395" s="1139">
        <f t="shared" ca="1" si="353"/>
        <v>0</v>
      </c>
      <c r="C2395" s="473">
        <f t="shared" ca="1" si="355"/>
        <v>0</v>
      </c>
      <c r="H2395" s="471">
        <f t="shared" si="350"/>
        <v>3</v>
      </c>
      <c r="I2395" s="471">
        <v>0</v>
      </c>
      <c r="J2395" s="471" t="str">
        <f t="shared" si="351"/>
        <v>tradaccint-env</v>
      </c>
      <c r="K2395" s="471" t="str">
        <f t="shared" si="352"/>
        <v>inc</v>
      </c>
      <c r="L2395" s="599"/>
      <c r="M2395" s="472" t="s">
        <v>6508</v>
      </c>
      <c r="N2395" s="472" t="s">
        <v>1380</v>
      </c>
      <c r="O2395" s="472" t="s">
        <v>1376</v>
      </c>
    </row>
    <row r="2396" spans="1:15" x14ac:dyDescent="0.25">
      <c r="A2396" s="477" t="s">
        <v>6592</v>
      </c>
      <c r="B2396" s="1139">
        <f t="shared" ca="1" si="353"/>
        <v>0</v>
      </c>
      <c r="C2396" s="473">
        <f t="shared" ca="1" si="355"/>
        <v>0</v>
      </c>
      <c r="H2396" s="471">
        <f t="shared" si="350"/>
        <v>3</v>
      </c>
      <c r="I2396" s="471">
        <v>0</v>
      </c>
      <c r="J2396" s="471" t="str">
        <f t="shared" si="351"/>
        <v>tradaccint-cps</v>
      </c>
      <c r="K2396" s="471" t="str">
        <f t="shared" si="352"/>
        <v>inc</v>
      </c>
      <c r="L2396" s="599"/>
      <c r="M2396" s="472" t="s">
        <v>6508</v>
      </c>
      <c r="N2396" s="472" t="s">
        <v>1380</v>
      </c>
      <c r="O2396" s="472" t="s">
        <v>1376</v>
      </c>
    </row>
    <row r="2397" spans="1:15" x14ac:dyDescent="0.25">
      <c r="A2397" s="477" t="s">
        <v>6593</v>
      </c>
      <c r="B2397" s="1139">
        <f t="shared" ca="1" si="353"/>
        <v>0</v>
      </c>
      <c r="C2397" s="473">
        <f t="shared" ca="1" si="355"/>
        <v>0</v>
      </c>
      <c r="H2397" s="471">
        <f t="shared" si="350"/>
        <v>4</v>
      </c>
      <c r="I2397" s="471">
        <v>0</v>
      </c>
      <c r="J2397" s="471" t="str">
        <f t="shared" si="351"/>
        <v>tradaccint-bld-cln</v>
      </c>
      <c r="K2397" s="471" t="str">
        <f t="shared" si="352"/>
        <v>inc</v>
      </c>
      <c r="L2397" s="599"/>
      <c r="M2397" s="472" t="s">
        <v>6508</v>
      </c>
      <c r="N2397" s="472" t="s">
        <v>1380</v>
      </c>
      <c r="O2397" s="472" t="s">
        <v>1376</v>
      </c>
    </row>
    <row r="2398" spans="1:15" x14ac:dyDescent="0.25">
      <c r="A2398" s="477" t="s">
        <v>6594</v>
      </c>
      <c r="B2398" s="1139">
        <f t="shared" ca="1" si="353"/>
        <v>0</v>
      </c>
      <c r="C2398" s="473">
        <f t="shared" ca="1" si="355"/>
        <v>0</v>
      </c>
      <c r="H2398" s="471">
        <f t="shared" si="350"/>
        <v>4</v>
      </c>
      <c r="I2398" s="471">
        <v>0</v>
      </c>
      <c r="J2398" s="471" t="str">
        <f t="shared" si="351"/>
        <v>tradaccint-bld-mnt</v>
      </c>
      <c r="K2398" s="471" t="str">
        <f t="shared" si="352"/>
        <v>inc</v>
      </c>
      <c r="L2398" s="599"/>
      <c r="M2398" s="472" t="s">
        <v>6508</v>
      </c>
      <c r="N2398" s="472" t="s">
        <v>1380</v>
      </c>
      <c r="O2398" s="472" t="s">
        <v>1376</v>
      </c>
    </row>
    <row r="2399" spans="1:15" x14ac:dyDescent="0.25">
      <c r="A2399" s="477" t="s">
        <v>6595</v>
      </c>
      <c r="B2399" s="1139">
        <f t="shared" ca="1" si="353"/>
        <v>0</v>
      </c>
      <c r="C2399" s="473">
        <f t="shared" ca="1" si="355"/>
        <v>0</v>
      </c>
      <c r="H2399" s="471">
        <f t="shared" si="350"/>
        <v>4</v>
      </c>
      <c r="I2399" s="471">
        <v>0</v>
      </c>
      <c r="J2399" s="471" t="str">
        <f t="shared" si="351"/>
        <v>tradaccint-grn-mnt</v>
      </c>
      <c r="K2399" s="471" t="str">
        <f t="shared" si="352"/>
        <v>inc</v>
      </c>
      <c r="L2399" s="599"/>
      <c r="M2399" s="472" t="s">
        <v>6508</v>
      </c>
      <c r="N2399" s="472" t="s">
        <v>1380</v>
      </c>
      <c r="O2399" s="472" t="s">
        <v>1376</v>
      </c>
    </row>
    <row r="2400" spans="1:15" x14ac:dyDescent="0.25">
      <c r="A2400" s="477" t="s">
        <v>6596</v>
      </c>
      <c r="B2400" s="1139">
        <f t="shared" ca="1" si="353"/>
        <v>0</v>
      </c>
      <c r="C2400" s="473">
        <f t="shared" ca="1" si="355"/>
        <v>0</v>
      </c>
      <c r="H2400" s="471">
        <f t="shared" si="350"/>
        <v>4</v>
      </c>
      <c r="I2400" s="471">
        <v>0</v>
      </c>
      <c r="J2400" s="471" t="str">
        <f t="shared" si="351"/>
        <v>tradaccint-vhc-mnt</v>
      </c>
      <c r="K2400" s="471" t="str">
        <f t="shared" si="352"/>
        <v>inc</v>
      </c>
      <c r="L2400" s="599"/>
      <c r="M2400" s="472" t="s">
        <v>6508</v>
      </c>
      <c r="N2400" s="472" t="s">
        <v>1380</v>
      </c>
      <c r="O2400" s="472" t="s">
        <v>1376</v>
      </c>
    </row>
    <row r="2401" spans="1:15" x14ac:dyDescent="0.25">
      <c r="A2401" s="477" t="s">
        <v>6597</v>
      </c>
      <c r="B2401" s="1139">
        <f t="shared" ca="1" si="353"/>
        <v>0</v>
      </c>
      <c r="C2401" s="473">
        <f t="shared" ca="1" si="355"/>
        <v>0</v>
      </c>
      <c r="H2401" s="471">
        <f t="shared" si="350"/>
        <v>4</v>
      </c>
      <c r="I2401" s="471">
        <v>0</v>
      </c>
      <c r="J2401" s="471" t="str">
        <f t="shared" si="351"/>
        <v>tradaccint-vhc-mng</v>
      </c>
      <c r="K2401" s="471" t="str">
        <f t="shared" si="352"/>
        <v>inc</v>
      </c>
      <c r="L2401" s="599"/>
      <c r="M2401" s="472" t="s">
        <v>6508</v>
      </c>
      <c r="N2401" s="472" t="s">
        <v>1380</v>
      </c>
      <c r="O2401" s="472" t="s">
        <v>1376</v>
      </c>
    </row>
    <row r="2402" spans="1:15" x14ac:dyDescent="0.25">
      <c r="A2402" s="477" t="s">
        <v>6598</v>
      </c>
      <c r="B2402" s="1139">
        <f t="shared" ca="1" si="353"/>
        <v>0</v>
      </c>
      <c r="C2402" s="473">
        <f t="shared" ca="1" si="355"/>
        <v>0</v>
      </c>
      <c r="H2402" s="471">
        <f t="shared" ref="H2402:H2425" si="356">LEN(A2402)-LEN(SUBSTITUTE(A2402,"-",""))-I2402</f>
        <v>4</v>
      </c>
      <c r="I2402" s="471">
        <v>0</v>
      </c>
      <c r="J2402" s="471" t="str">
        <f t="shared" ref="J2402:J2425" si="357">MID($A2402,SEARCH("-",$A2402)+1,SEARCH("#",SUBSTITUTE($A2402,"-","#",H2402),1)-(SEARCH("-",$A2402)+1))</f>
        <v>tradaccint-rfs-cll</v>
      </c>
      <c r="K2402" s="471" t="str">
        <f t="shared" ref="K2402:K2425" si="358">RIGHT($A2402,LEN($A2402)-SEARCH("#",SUBSTITUTE($A2402,"-","#",H2402),1))</f>
        <v>inc</v>
      </c>
      <c r="L2402" s="599"/>
      <c r="M2402" s="472" t="s">
        <v>6508</v>
      </c>
      <c r="N2402" s="472" t="s">
        <v>1380</v>
      </c>
      <c r="O2402" s="472" t="s">
        <v>1376</v>
      </c>
    </row>
    <row r="2403" spans="1:15" x14ac:dyDescent="0.25">
      <c r="A2403" s="477" t="s">
        <v>6599</v>
      </c>
      <c r="B2403" s="1139">
        <f t="shared" ca="1" si="353"/>
        <v>0</v>
      </c>
      <c r="C2403" s="473">
        <f t="shared" ca="1" si="355"/>
        <v>0</v>
      </c>
      <c r="H2403" s="471">
        <f t="shared" si="356"/>
        <v>3</v>
      </c>
      <c r="I2403" s="471">
        <v>0</v>
      </c>
      <c r="J2403" s="471" t="str">
        <f t="shared" si="357"/>
        <v>tradaccint-ctr</v>
      </c>
      <c r="K2403" s="471" t="str">
        <f t="shared" si="358"/>
        <v>inc</v>
      </c>
      <c r="L2403" s="599"/>
      <c r="M2403" s="472" t="s">
        <v>6508</v>
      </c>
      <c r="N2403" s="472" t="s">
        <v>1380</v>
      </c>
      <c r="O2403" s="472" t="s">
        <v>1376</v>
      </c>
    </row>
    <row r="2404" spans="1:15" x14ac:dyDescent="0.25">
      <c r="A2404" s="477" t="s">
        <v>6600</v>
      </c>
      <c r="B2404" s="1139">
        <f t="shared" ca="1" si="353"/>
        <v>0</v>
      </c>
      <c r="C2404" s="473">
        <f t="shared" ca="1" si="355"/>
        <v>0</v>
      </c>
      <c r="H2404" s="471">
        <f t="shared" si="356"/>
        <v>3</v>
      </c>
      <c r="I2404" s="471">
        <v>0</v>
      </c>
      <c r="J2404" s="471" t="str">
        <f t="shared" si="357"/>
        <v>tradaccint-off</v>
      </c>
      <c r="K2404" s="471" t="str">
        <f t="shared" si="358"/>
        <v>inc</v>
      </c>
      <c r="L2404" s="599"/>
      <c r="M2404" s="472" t="s">
        <v>6508</v>
      </c>
      <c r="N2404" s="472" t="s">
        <v>1380</v>
      </c>
      <c r="O2404" s="472" t="s">
        <v>1376</v>
      </c>
    </row>
    <row r="2405" spans="1:15" x14ac:dyDescent="0.25">
      <c r="A2405" s="477" t="s">
        <v>6601</v>
      </c>
      <c r="B2405" s="1139">
        <f t="shared" ca="1" si="353"/>
        <v>0</v>
      </c>
      <c r="C2405" s="473">
        <f t="shared" ca="1" si="355"/>
        <v>0</v>
      </c>
      <c r="H2405" s="471">
        <f t="shared" si="356"/>
        <v>3</v>
      </c>
      <c r="I2405" s="471">
        <v>0</v>
      </c>
      <c r="J2405" s="471" t="str">
        <f t="shared" si="357"/>
        <v>tradaccint-it</v>
      </c>
      <c r="K2405" s="471" t="str">
        <f t="shared" si="358"/>
        <v>inc</v>
      </c>
      <c r="L2405" s="599"/>
      <c r="M2405" s="472" t="s">
        <v>6508</v>
      </c>
      <c r="N2405" s="472" t="s">
        <v>1380</v>
      </c>
      <c r="O2405" s="472" t="s">
        <v>1376</v>
      </c>
    </row>
    <row r="2406" spans="1:15" x14ac:dyDescent="0.25">
      <c r="A2406" s="477" t="s">
        <v>6602</v>
      </c>
      <c r="B2406" s="1139">
        <f t="shared" ca="1" si="353"/>
        <v>0</v>
      </c>
      <c r="C2406" s="473">
        <f t="shared" ca="1" si="355"/>
        <v>0</v>
      </c>
      <c r="H2406" s="471">
        <f t="shared" si="356"/>
        <v>3</v>
      </c>
      <c r="I2406" s="471">
        <v>0</v>
      </c>
      <c r="J2406" s="471" t="str">
        <f t="shared" si="357"/>
        <v>tradaccint-fnc</v>
      </c>
      <c r="K2406" s="471" t="str">
        <f t="shared" si="358"/>
        <v>inc</v>
      </c>
      <c r="L2406" s="599"/>
      <c r="M2406" s="472" t="s">
        <v>6508</v>
      </c>
      <c r="N2406" s="472" t="s">
        <v>1380</v>
      </c>
      <c r="O2406" s="472" t="s">
        <v>1376</v>
      </c>
    </row>
    <row r="2407" spans="1:15" x14ac:dyDescent="0.25">
      <c r="A2407" s="477" t="s">
        <v>6603</v>
      </c>
      <c r="B2407" s="1139">
        <f t="shared" ca="1" si="353"/>
        <v>0</v>
      </c>
      <c r="C2407" s="473">
        <f t="shared" ca="1" si="355"/>
        <v>0</v>
      </c>
      <c r="H2407" s="471">
        <f t="shared" si="356"/>
        <v>3</v>
      </c>
      <c r="I2407" s="471">
        <v>0</v>
      </c>
      <c r="J2407" s="471" t="str">
        <f t="shared" si="357"/>
        <v>tradaccint-lgl</v>
      </c>
      <c r="K2407" s="471" t="str">
        <f t="shared" si="358"/>
        <v>inc</v>
      </c>
      <c r="L2407" s="599"/>
      <c r="M2407" s="472" t="s">
        <v>6508</v>
      </c>
      <c r="N2407" s="472" t="s">
        <v>1380</v>
      </c>
      <c r="O2407" s="472" t="s">
        <v>1376</v>
      </c>
    </row>
    <row r="2408" spans="1:15" x14ac:dyDescent="0.25">
      <c r="A2408" s="477" t="s">
        <v>6604</v>
      </c>
      <c r="B2408" s="1139">
        <f t="shared" ca="1" si="353"/>
        <v>0</v>
      </c>
      <c r="C2408" s="473">
        <f t="shared" ca="1" si="355"/>
        <v>0</v>
      </c>
      <c r="H2408" s="471">
        <f t="shared" si="356"/>
        <v>3</v>
      </c>
      <c r="I2408" s="471">
        <v>0</v>
      </c>
      <c r="J2408" s="471" t="str">
        <f t="shared" si="357"/>
        <v>tradaccint-prs</v>
      </c>
      <c r="K2408" s="471" t="str">
        <f t="shared" si="358"/>
        <v>inc</v>
      </c>
      <c r="L2408" s="599"/>
      <c r="M2408" s="472" t="s">
        <v>6508</v>
      </c>
      <c r="N2408" s="472" t="s">
        <v>1380</v>
      </c>
      <c r="O2408" s="472" t="s">
        <v>1376</v>
      </c>
    </row>
    <row r="2409" spans="1:15" x14ac:dyDescent="0.25">
      <c r="A2409" s="477" t="s">
        <v>6605</v>
      </c>
      <c r="B2409" s="1139">
        <f t="shared" ca="1" si="353"/>
        <v>0</v>
      </c>
      <c r="C2409" s="473">
        <f t="shared" ca="1" si="355"/>
        <v>0</v>
      </c>
      <c r="H2409" s="471">
        <f t="shared" si="356"/>
        <v>3</v>
      </c>
      <c r="I2409" s="471">
        <v>0</v>
      </c>
      <c r="J2409" s="471" t="str">
        <f t="shared" si="357"/>
        <v>tradaccintoth1-n tradaccintoth1</v>
      </c>
      <c r="K2409" s="471" t="str">
        <f t="shared" si="358"/>
        <v>inc</v>
      </c>
      <c r="L2409" s="599"/>
      <c r="M2409" s="472" t="s">
        <v>6508</v>
      </c>
      <c r="N2409" s="472" t="s">
        <v>1380</v>
      </c>
      <c r="O2409" s="472" t="s">
        <v>1376</v>
      </c>
    </row>
    <row r="2410" spans="1:15" x14ac:dyDescent="0.25">
      <c r="A2410" s="477" t="s">
        <v>6606</v>
      </c>
      <c r="B2410" s="1139">
        <f t="shared" ca="1" si="353"/>
        <v>0</v>
      </c>
      <c r="C2410" s="473">
        <f t="shared" ca="1" si="355"/>
        <v>0</v>
      </c>
      <c r="H2410" s="471">
        <f t="shared" si="356"/>
        <v>3</v>
      </c>
      <c r="I2410" s="471">
        <v>0</v>
      </c>
      <c r="J2410" s="471" t="str">
        <f t="shared" si="357"/>
        <v>tradaccintoth2-n tradaccintoth2</v>
      </c>
      <c r="K2410" s="471" t="str">
        <f t="shared" si="358"/>
        <v>inc</v>
      </c>
      <c r="L2410" s="599"/>
      <c r="M2410" s="472" t="s">
        <v>6508</v>
      </c>
      <c r="N2410" s="472" t="s">
        <v>1380</v>
      </c>
      <c r="O2410" s="472" t="s">
        <v>1376</v>
      </c>
    </row>
    <row r="2411" spans="1:15" x14ac:dyDescent="0.25">
      <c r="A2411" s="477" t="s">
        <v>6607</v>
      </c>
      <c r="B2411" s="1139">
        <f t="shared" ca="1" si="353"/>
        <v>0</v>
      </c>
      <c r="C2411" s="473">
        <f t="shared" ca="1" si="355"/>
        <v>0</v>
      </c>
      <c r="H2411" s="471">
        <f t="shared" si="356"/>
        <v>3</v>
      </c>
      <c r="I2411" s="471">
        <v>0</v>
      </c>
      <c r="J2411" s="471" t="str">
        <f t="shared" si="357"/>
        <v>tradaccintoth3-n tradaccintoth3</v>
      </c>
      <c r="K2411" s="471" t="str">
        <f t="shared" si="358"/>
        <v>inc</v>
      </c>
      <c r="L2411" s="599"/>
      <c r="M2411" s="472" t="s">
        <v>6508</v>
      </c>
      <c r="N2411" s="472" t="s">
        <v>1380</v>
      </c>
      <c r="O2411" s="472" t="s">
        <v>1376</v>
      </c>
    </row>
    <row r="2412" spans="1:15" x14ac:dyDescent="0.25">
      <c r="A2412" s="477" t="s">
        <v>6608</v>
      </c>
      <c r="B2412" s="1139">
        <f t="shared" ca="1" si="353"/>
        <v>0</v>
      </c>
      <c r="C2412" s="473">
        <f t="shared" ca="1" si="355"/>
        <v>0</v>
      </c>
      <c r="H2412" s="471">
        <f t="shared" si="356"/>
        <v>3</v>
      </c>
      <c r="I2412" s="471">
        <v>0</v>
      </c>
      <c r="J2412" s="471" t="str">
        <f t="shared" si="357"/>
        <v>tradaccintoth4-n tradaccintoth4</v>
      </c>
      <c r="K2412" s="471" t="str">
        <f t="shared" si="358"/>
        <v>inc</v>
      </c>
      <c r="L2412" s="599"/>
      <c r="M2412" s="472" t="s">
        <v>6508</v>
      </c>
      <c r="N2412" s="472" t="s">
        <v>1380</v>
      </c>
      <c r="O2412" s="472" t="s">
        <v>1376</v>
      </c>
    </row>
    <row r="2413" spans="1:15" x14ac:dyDescent="0.25">
      <c r="A2413" s="477" t="s">
        <v>6609</v>
      </c>
      <c r="B2413" s="1139">
        <f t="shared" ca="1" si="353"/>
        <v>0</v>
      </c>
      <c r="C2413" s="473">
        <f t="shared" ca="1" si="355"/>
        <v>0</v>
      </c>
      <c r="H2413" s="471">
        <f t="shared" si="356"/>
        <v>3</v>
      </c>
      <c r="I2413" s="471">
        <v>0</v>
      </c>
      <c r="J2413" s="471" t="str">
        <f t="shared" si="357"/>
        <v>tradaccintoth5-n tradaccintoth5</v>
      </c>
      <c r="K2413" s="471" t="str">
        <f t="shared" si="358"/>
        <v>inc</v>
      </c>
      <c r="L2413" s="599"/>
      <c r="M2413" s="472" t="s">
        <v>6508</v>
      </c>
      <c r="N2413" s="472" t="s">
        <v>1380</v>
      </c>
      <c r="O2413" s="472" t="s">
        <v>1376</v>
      </c>
    </row>
    <row r="2414" spans="1:15" x14ac:dyDescent="0.25">
      <c r="A2414" s="1113" t="s">
        <v>6610</v>
      </c>
      <c r="B2414" s="1141">
        <f ca="1">INDEX(INDIRECT(LEFT($A2414,SEARCH("-",$A2414,1)-1)&amp;"_data"),MATCH(MID($A2414,SEARCH("-",$A2414)+1,SEARCH("#",SUBSTITUTE($A2414,"-","#",H2414-2),1)-(SEARCH("-",$A2414)+1)),INDIRECT(LEFT($A2414,SEARCH("-",$A2414,1)-1)&amp;"_rows"),0),MATCH(LEFT(RIGHT($A2414,LEN($A2414)-SEARCH("#",SUBSTITUTE($A2414,"-","#",H2414-2),1)),SEARCH("-",RIGHT($A2414,LEN($A2414)-SEARCH("#",SUBSTITUTE($A2414,"-","#",H2414-2),1)))-1),INDIRECT(LEFT($A2414,SEARCH("-",$A2414,1)-1)&amp;"_Header"),0))</f>
        <v>0</v>
      </c>
      <c r="C2414" s="704">
        <f t="shared" ca="1" si="355"/>
        <v>0</v>
      </c>
      <c r="D2414" s="701"/>
      <c r="E2414" s="701"/>
      <c r="F2414" s="701"/>
      <c r="G2414" s="701"/>
      <c r="H2414" s="701">
        <f t="shared" si="356"/>
        <v>5</v>
      </c>
      <c r="I2414" s="701">
        <v>0</v>
      </c>
      <c r="J2414" s="701" t="str">
        <f>MID($A2414,SEARCH("-",$A2414)+1,SEARCH("#",SUBSTITUTE($A2414,"-","#",H2414-2),1)-(SEARCH("-",$A2414)+1))</f>
        <v>tradaccint-tot</v>
      </c>
      <c r="K2414" s="701" t="str">
        <f>LEFT(RIGHT($A2414,LEN($A2414)-SEARCH("#",SUBSTITUTE($A2414,"-","#",H2414-2),1)),SEARCH("-",RIGHT($A2414,LEN($A2414)-SEARCH("#",SUBSTITUTE($A2414,"-","#",H2414-2),1)))-1)</f>
        <v>inc</v>
      </c>
      <c r="L2414" s="701" t="s">
        <v>4740</v>
      </c>
      <c r="M2414" s="472" t="s">
        <v>6508</v>
      </c>
      <c r="N2414" s="472" t="s">
        <v>1380</v>
      </c>
      <c r="O2414" s="472" t="s">
        <v>1376</v>
      </c>
    </row>
    <row r="2415" spans="1:15" x14ac:dyDescent="0.25">
      <c r="A2415" s="471" t="s">
        <v>2279</v>
      </c>
      <c r="B2415" s="1139">
        <f t="shared" ca="1" si="353"/>
        <v>0</v>
      </c>
      <c r="C2415" s="473">
        <f t="shared" ref="C2415:C2469" ca="1" si="359">IF(ISERROR(VLOOKUP(A2415,INDIRECT("notes_"&amp;LEFT(A2415,3)),4,0)),0,VLOOKUP(A2415,INDIRECT("notes_"&amp;LEFT(A2415,3)),4,0))</f>
        <v>0</v>
      </c>
      <c r="D2415" s="472" t="str">
        <f>IF(TSR!K33="","",TSR!K33)</f>
        <v/>
      </c>
      <c r="E2415" s="472" t="str">
        <f>IF(TSR!L33="","",TSR!L33)</f>
        <v/>
      </c>
      <c r="F2415" s="472" t="str">
        <f>IF(TSR!M33="","",TSR!M33)</f>
        <v/>
      </c>
      <c r="H2415" s="471">
        <f t="shared" si="356"/>
        <v>4</v>
      </c>
      <c r="I2415" s="471">
        <v>0</v>
      </c>
      <c r="J2415" s="471" t="str">
        <f t="shared" si="357"/>
        <v>tradaccext-car-prk</v>
      </c>
      <c r="K2415" s="471" t="str">
        <f t="shared" si="358"/>
        <v>SurDef</v>
      </c>
      <c r="L2415" s="599"/>
      <c r="M2415" s="472" t="s">
        <v>6508</v>
      </c>
      <c r="N2415" s="472" t="s">
        <v>1380</v>
      </c>
      <c r="O2415" s="472" t="s">
        <v>1376</v>
      </c>
    </row>
    <row r="2416" spans="1:15" x14ac:dyDescent="0.25">
      <c r="A2416" s="471" t="s">
        <v>2280</v>
      </c>
      <c r="B2416" s="1139">
        <f t="shared" ca="1" si="353"/>
        <v>0</v>
      </c>
      <c r="C2416" s="473">
        <f t="shared" ca="1" si="359"/>
        <v>0</v>
      </c>
      <c r="D2416" s="472" t="str">
        <f>IF(TSR!K34="","",TSR!K34)</f>
        <v/>
      </c>
      <c r="E2416" s="472" t="str">
        <f>IF(TSR!L34="","",TSR!L34)</f>
        <v/>
      </c>
      <c r="F2416" s="472" t="str">
        <f>IF(TSR!M34="","",TSR!M34)</f>
        <v/>
      </c>
      <c r="H2416" s="471">
        <f t="shared" si="356"/>
        <v>3</v>
      </c>
      <c r="I2416" s="471">
        <v>0</v>
      </c>
      <c r="J2416" s="471" t="str">
        <f t="shared" si="357"/>
        <v>tradaccext-arp</v>
      </c>
      <c r="K2416" s="471" t="str">
        <f t="shared" si="358"/>
        <v>SurDef</v>
      </c>
      <c r="L2416" s="599"/>
      <c r="M2416" s="472" t="s">
        <v>6508</v>
      </c>
      <c r="N2416" s="472" t="s">
        <v>1380</v>
      </c>
      <c r="O2416" s="472" t="s">
        <v>1376</v>
      </c>
    </row>
    <row r="2417" spans="1:15" x14ac:dyDescent="0.25">
      <c r="A2417" s="471" t="s">
        <v>2281</v>
      </c>
      <c r="B2417" s="1139">
        <f t="shared" ca="1" si="353"/>
        <v>0</v>
      </c>
      <c r="C2417" s="473">
        <f t="shared" ca="1" si="359"/>
        <v>0</v>
      </c>
      <c r="D2417" s="472" t="str">
        <f>IF(TSR!K35="","",TSR!K35)</f>
        <v/>
      </c>
      <c r="E2417" s="472" t="str">
        <f>IF(TSR!L35="","",TSR!L35)</f>
        <v/>
      </c>
      <c r="F2417" s="472" t="str">
        <f>IF(TSR!M35="","",TSR!M35)</f>
        <v/>
      </c>
      <c r="H2417" s="471">
        <f t="shared" si="356"/>
        <v>3</v>
      </c>
      <c r="I2417" s="471">
        <v>0</v>
      </c>
      <c r="J2417" s="471" t="str">
        <f t="shared" si="357"/>
        <v>tradaccext-prt</v>
      </c>
      <c r="K2417" s="471" t="str">
        <f t="shared" si="358"/>
        <v>SurDef</v>
      </c>
      <c r="L2417" s="599"/>
      <c r="M2417" s="472" t="s">
        <v>6508</v>
      </c>
      <c r="N2417" s="472" t="s">
        <v>1380</v>
      </c>
      <c r="O2417" s="472" t="s">
        <v>1376</v>
      </c>
    </row>
    <row r="2418" spans="1:15" x14ac:dyDescent="0.25">
      <c r="A2418" s="471" t="s">
        <v>2282</v>
      </c>
      <c r="B2418" s="1139">
        <f t="shared" ca="1" si="353"/>
        <v>0</v>
      </c>
      <c r="C2418" s="473">
        <f t="shared" ca="1" si="359"/>
        <v>0</v>
      </c>
      <c r="D2418" s="472" t="str">
        <f>IF(TSR!K36="","",TSR!K36)</f>
        <v/>
      </c>
      <c r="E2418" s="472" t="str">
        <f>IF(TSR!L36="","",TSR!L36)</f>
        <v/>
      </c>
      <c r="F2418" s="472" t="str">
        <f>IF(TSR!M36="","",TSR!M36)</f>
        <v/>
      </c>
      <c r="H2418" s="471">
        <f t="shared" si="356"/>
        <v>3</v>
      </c>
      <c r="I2418" s="471">
        <v>0</v>
      </c>
      <c r="J2418" s="471" t="str">
        <f t="shared" si="357"/>
        <v>tradaccext-prs</v>
      </c>
      <c r="K2418" s="471" t="str">
        <f t="shared" si="358"/>
        <v>SurDef</v>
      </c>
      <c r="L2418" s="599"/>
      <c r="M2418" s="472" t="s">
        <v>6508</v>
      </c>
      <c r="N2418" s="472" t="s">
        <v>1380</v>
      </c>
      <c r="O2418" s="472" t="s">
        <v>1376</v>
      </c>
    </row>
    <row r="2419" spans="1:15" x14ac:dyDescent="0.25">
      <c r="A2419" s="471" t="s">
        <v>2283</v>
      </c>
      <c r="B2419" s="1139">
        <f t="shared" ca="1" si="353"/>
        <v>0</v>
      </c>
      <c r="C2419" s="473">
        <f t="shared" ca="1" si="359"/>
        <v>0</v>
      </c>
      <c r="D2419" s="472" t="str">
        <f>IF(TSR!K37="","",TSR!K37)</f>
        <v/>
      </c>
      <c r="E2419" s="472" t="str">
        <f>IF(TSR!L37="","",TSR!L37)</f>
        <v/>
      </c>
      <c r="F2419" s="472" t="str">
        <f>IF(TSR!M37="","",TSR!M37)</f>
        <v/>
      </c>
      <c r="H2419" s="471">
        <f t="shared" si="356"/>
        <v>3</v>
      </c>
      <c r="I2419" s="471">
        <v>0</v>
      </c>
      <c r="J2419" s="471" t="str">
        <f t="shared" si="357"/>
        <v>tradaccext-tbr</v>
      </c>
      <c r="K2419" s="471" t="str">
        <f t="shared" si="358"/>
        <v>SurDef</v>
      </c>
      <c r="L2419" s="599"/>
      <c r="M2419" s="472" t="s">
        <v>6508</v>
      </c>
      <c r="N2419" s="472" t="s">
        <v>1380</v>
      </c>
      <c r="O2419" s="472" t="s">
        <v>1376</v>
      </c>
    </row>
    <row r="2420" spans="1:15" x14ac:dyDescent="0.25">
      <c r="A2420" s="471" t="s">
        <v>2284</v>
      </c>
      <c r="B2420" s="1139">
        <f t="shared" ca="1" si="353"/>
        <v>0</v>
      </c>
      <c r="C2420" s="473">
        <f t="shared" ca="1" si="359"/>
        <v>0</v>
      </c>
      <c r="D2420" s="472" t="str">
        <f>IF(TSR!K38="","",TSR!K38)</f>
        <v/>
      </c>
      <c r="E2420" s="472" t="str">
        <f>IF(TSR!L38="","",TSR!L38)</f>
        <v/>
      </c>
      <c r="F2420" s="472" t="str">
        <f>IF(TSR!M38="","",TSR!M38)</f>
        <v/>
      </c>
      <c r="H2420" s="471">
        <f t="shared" si="356"/>
        <v>3</v>
      </c>
      <c r="I2420" s="471">
        <v>0</v>
      </c>
      <c r="J2420" s="471" t="str">
        <f t="shared" si="357"/>
        <v>tradaccext-msm</v>
      </c>
      <c r="K2420" s="471" t="str">
        <f t="shared" si="358"/>
        <v>SurDef</v>
      </c>
      <c r="L2420" s="599"/>
      <c r="M2420" s="472" t="s">
        <v>6508</v>
      </c>
      <c r="N2420" s="472" t="s">
        <v>1380</v>
      </c>
      <c r="O2420" s="472" t="s">
        <v>1376</v>
      </c>
    </row>
    <row r="2421" spans="1:15" x14ac:dyDescent="0.25">
      <c r="A2421" s="471" t="s">
        <v>2285</v>
      </c>
      <c r="B2421" s="1139">
        <f t="shared" ca="1" si="353"/>
        <v>0</v>
      </c>
      <c r="C2421" s="473">
        <f t="shared" ca="1" si="359"/>
        <v>0</v>
      </c>
      <c r="D2421" s="472" t="str">
        <f>IF(TSR!K39="","",TSR!K39)</f>
        <v/>
      </c>
      <c r="E2421" s="472" t="str">
        <f>IF(TSR!L39="","",TSR!L39)</f>
        <v/>
      </c>
      <c r="F2421" s="472" t="str">
        <f>IF(TSR!M39="","",TSR!M39)</f>
        <v/>
      </c>
      <c r="H2421" s="471">
        <f t="shared" si="356"/>
        <v>3</v>
      </c>
      <c r="I2421" s="471">
        <v>0</v>
      </c>
      <c r="J2421" s="471" t="str">
        <f t="shared" si="357"/>
        <v>tradaccext-tht</v>
      </c>
      <c r="K2421" s="471" t="str">
        <f t="shared" si="358"/>
        <v>SurDef</v>
      </c>
      <c r="L2421" s="599"/>
      <c r="M2421" s="472" t="s">
        <v>6508</v>
      </c>
      <c r="N2421" s="472" t="s">
        <v>1380</v>
      </c>
      <c r="O2421" s="472" t="s">
        <v>1376</v>
      </c>
    </row>
    <row r="2422" spans="1:15" x14ac:dyDescent="0.25">
      <c r="A2422" s="471" t="s">
        <v>2286</v>
      </c>
      <c r="B2422" s="1139">
        <f t="shared" ca="1" si="353"/>
        <v>0</v>
      </c>
      <c r="C2422" s="473">
        <f t="shared" ca="1" si="359"/>
        <v>0</v>
      </c>
      <c r="D2422" s="472" t="str">
        <f>IF(TSR!K40="","",TSR!K40)</f>
        <v/>
      </c>
      <c r="E2422" s="472" t="str">
        <f>IF(TSR!L40="","",TSR!L40)</f>
        <v/>
      </c>
      <c r="F2422" s="472" t="str">
        <f>IF(TSR!M40="","",TSR!M40)</f>
        <v/>
      </c>
      <c r="H2422" s="471">
        <f t="shared" si="356"/>
        <v>4</v>
      </c>
      <c r="I2422" s="471">
        <v>0</v>
      </c>
      <c r="J2422" s="471" t="str">
        <f t="shared" si="357"/>
        <v>tradaccext-cvc-hll</v>
      </c>
      <c r="K2422" s="471" t="str">
        <f t="shared" si="358"/>
        <v>SurDef</v>
      </c>
      <c r="L2422" s="599"/>
      <c r="M2422" s="472" t="s">
        <v>6508</v>
      </c>
      <c r="N2422" s="472" t="s">
        <v>1380</v>
      </c>
      <c r="O2422" s="472" t="s">
        <v>1376</v>
      </c>
    </row>
    <row r="2423" spans="1:15" x14ac:dyDescent="0.25">
      <c r="A2423" s="471" t="s">
        <v>2287</v>
      </c>
      <c r="B2423" s="1139">
        <f t="shared" ca="1" si="353"/>
        <v>0</v>
      </c>
      <c r="C2423" s="473">
        <f t="shared" ca="1" si="359"/>
        <v>0</v>
      </c>
      <c r="D2423" s="472" t="str">
        <f>IF(TSR!K41="","",TSR!K41)</f>
        <v/>
      </c>
      <c r="E2423" s="472" t="str">
        <f>IF(TSR!L41="","",TSR!L41)</f>
        <v/>
      </c>
      <c r="F2423" s="472" t="str">
        <f>IF(TSR!M41="","",TSR!M41)</f>
        <v/>
      </c>
      <c r="H2423" s="471">
        <f t="shared" si="356"/>
        <v>4</v>
      </c>
      <c r="I2423" s="471">
        <v>0</v>
      </c>
      <c r="J2423" s="471" t="str">
        <f t="shared" si="357"/>
        <v>tradaccext-cvc-rst</v>
      </c>
      <c r="K2423" s="471" t="str">
        <f t="shared" si="358"/>
        <v>SurDef</v>
      </c>
      <c r="L2423" s="599"/>
      <c r="M2423" s="472" t="s">
        <v>6508</v>
      </c>
      <c r="N2423" s="472" t="s">
        <v>1380</v>
      </c>
      <c r="O2423" s="472" t="s">
        <v>1376</v>
      </c>
    </row>
    <row r="2424" spans="1:15" x14ac:dyDescent="0.25">
      <c r="A2424" s="471" t="s">
        <v>2288</v>
      </c>
      <c r="B2424" s="1139">
        <f t="shared" ca="1" si="353"/>
        <v>0</v>
      </c>
      <c r="C2424" s="473">
        <f t="shared" ca="1" si="359"/>
        <v>0</v>
      </c>
      <c r="D2424" s="472" t="str">
        <f>IF(TSR!K42="","",TSR!K42)</f>
        <v/>
      </c>
      <c r="E2424" s="472" t="str">
        <f>IF(TSR!L42="","",TSR!L42)</f>
        <v/>
      </c>
      <c r="F2424" s="472" t="str">
        <f>IF(TSR!M42="","",TSR!M42)</f>
        <v/>
      </c>
      <c r="H2424" s="471">
        <f t="shared" si="356"/>
        <v>4</v>
      </c>
      <c r="I2424" s="471">
        <v>0</v>
      </c>
      <c r="J2424" s="471" t="str">
        <f t="shared" si="357"/>
        <v>tradaccext-spr-fcl</v>
      </c>
      <c r="K2424" s="471" t="str">
        <f t="shared" si="358"/>
        <v>SurDef</v>
      </c>
      <c r="L2424" s="599"/>
      <c r="M2424" s="472" t="s">
        <v>6508</v>
      </c>
      <c r="N2424" s="472" t="s">
        <v>1380</v>
      </c>
      <c r="O2424" s="472" t="s">
        <v>1376</v>
      </c>
    </row>
    <row r="2425" spans="1:15" x14ac:dyDescent="0.25">
      <c r="A2425" s="471" t="s">
        <v>2289</v>
      </c>
      <c r="B2425" s="1139">
        <f t="shared" ca="1" si="353"/>
        <v>0</v>
      </c>
      <c r="C2425" s="473">
        <f t="shared" ca="1" si="359"/>
        <v>0</v>
      </c>
      <c r="D2425" s="472" t="str">
        <f>IF(TSR!K43="","",TSR!K43)</f>
        <v/>
      </c>
      <c r="E2425" s="472" t="str">
        <f>IF(TSR!L43="","",TSR!L43)</f>
        <v/>
      </c>
      <c r="F2425" s="472" t="str">
        <f>IF(TSR!M43="","",TSR!M43)</f>
        <v/>
      </c>
      <c r="H2425" s="471">
        <f t="shared" si="356"/>
        <v>3</v>
      </c>
      <c r="I2425" s="471">
        <v>0</v>
      </c>
      <c r="J2425" s="471" t="str">
        <f t="shared" si="357"/>
        <v>tradaccext-crm</v>
      </c>
      <c r="K2425" s="471" t="str">
        <f t="shared" si="358"/>
        <v>SurDef</v>
      </c>
      <c r="L2425" s="599"/>
      <c r="M2425" s="472" t="s">
        <v>6508</v>
      </c>
      <c r="N2425" s="472" t="s">
        <v>1380</v>
      </c>
      <c r="O2425" s="472" t="s">
        <v>1376</v>
      </c>
    </row>
    <row r="2426" spans="1:15" x14ac:dyDescent="0.25">
      <c r="A2426" s="471" t="s">
        <v>2290</v>
      </c>
      <c r="B2426" s="1139">
        <f t="shared" ca="1" si="353"/>
        <v>0</v>
      </c>
      <c r="C2426" s="473">
        <f t="shared" ca="1" si="359"/>
        <v>0</v>
      </c>
      <c r="D2426" s="472" t="str">
        <f>IF(TSR!K44="","",TSR!K44)</f>
        <v/>
      </c>
      <c r="E2426" s="472" t="str">
        <f>IF(TSR!L44="","",TSR!L44)</f>
        <v/>
      </c>
      <c r="F2426" s="472" t="str">
        <f>IF(TSR!M44="","",TSR!M44)</f>
        <v/>
      </c>
      <c r="H2426" s="471">
        <f t="shared" ref="H2426:H2476" si="360">LEN(A2426)-LEN(SUBSTITUTE(A2426,"-",""))-I2426</f>
        <v>4</v>
      </c>
      <c r="I2426" s="471">
        <v>0</v>
      </c>
      <c r="J2426" s="471" t="str">
        <f t="shared" ref="J2426:J2476" si="361">MID($A2426,SEARCH("-",$A2426)+1,SEARCH("#",SUBSTITUTE($A2426,"-","#",H2426),1)-(SEARCH("-",$A2426)+1))</f>
        <v>tradaccext-fsh-hrb</v>
      </c>
      <c r="K2426" s="471" t="str">
        <f t="shared" ref="K2426:K2476" si="362">RIGHT($A2426,LEN($A2426)-SEARCH("#",SUBSTITUTE($A2426,"-","#",H2426),1))</f>
        <v>SurDef</v>
      </c>
      <c r="L2426" s="599"/>
      <c r="M2426" s="472" t="s">
        <v>6508</v>
      </c>
      <c r="N2426" s="472" t="s">
        <v>1380</v>
      </c>
      <c r="O2426" s="472" t="s">
        <v>1376</v>
      </c>
    </row>
    <row r="2427" spans="1:15" x14ac:dyDescent="0.25">
      <c r="A2427" s="471" t="s">
        <v>2291</v>
      </c>
      <c r="B2427" s="1139">
        <f t="shared" ca="1" si="353"/>
        <v>0</v>
      </c>
      <c r="C2427" s="473">
        <f t="shared" ca="1" si="359"/>
        <v>0</v>
      </c>
      <c r="D2427" s="472" t="str">
        <f>IF(TSR!K45="","",TSR!K45)</f>
        <v/>
      </c>
      <c r="E2427" s="472" t="str">
        <f>IF(TSR!L45="","",TSR!L45)</f>
        <v/>
      </c>
      <c r="F2427" s="472" t="str">
        <f>IF(TSR!M45="","",TSR!M45)</f>
        <v/>
      </c>
      <c r="H2427" s="471">
        <f t="shared" si="360"/>
        <v>4</v>
      </c>
      <c r="I2427" s="471">
        <v>0</v>
      </c>
      <c r="J2427" s="471" t="str">
        <f t="shared" si="361"/>
        <v>tradaccext-trd-wst</v>
      </c>
      <c r="K2427" s="471" t="str">
        <f t="shared" si="362"/>
        <v>SurDef</v>
      </c>
      <c r="L2427" s="599"/>
      <c r="M2427" s="472" t="s">
        <v>6508</v>
      </c>
      <c r="N2427" s="472" t="s">
        <v>1380</v>
      </c>
      <c r="O2427" s="472" t="s">
        <v>1376</v>
      </c>
    </row>
    <row r="2428" spans="1:15" x14ac:dyDescent="0.25">
      <c r="A2428" s="471" t="s">
        <v>2292</v>
      </c>
      <c r="B2428" s="1139">
        <f t="shared" ca="1" si="353"/>
        <v>0</v>
      </c>
      <c r="C2428" s="473">
        <f t="shared" ca="1" si="359"/>
        <v>0</v>
      </c>
      <c r="D2428" s="472" t="str">
        <f>IF(TSR!K46="","",TSR!K46)</f>
        <v/>
      </c>
      <c r="E2428" s="472" t="str">
        <f>IF(TSR!L46="","",TSR!L46)</f>
        <v/>
      </c>
      <c r="F2428" s="472" t="str">
        <f>IF(TSR!M46="","",TSR!M46)</f>
        <v/>
      </c>
      <c r="H2428" s="471">
        <f t="shared" si="360"/>
        <v>4</v>
      </c>
      <c r="I2428" s="471">
        <v>0</v>
      </c>
      <c r="J2428" s="471" t="str">
        <f t="shared" si="361"/>
        <v>tradaccext-bld-cnt</v>
      </c>
      <c r="K2428" s="471" t="str">
        <f t="shared" si="362"/>
        <v>SurDef</v>
      </c>
      <c r="L2428" s="599"/>
      <c r="M2428" s="472" t="s">
        <v>6508</v>
      </c>
      <c r="N2428" s="472" t="s">
        <v>1380</v>
      </c>
      <c r="O2428" s="472" t="s">
        <v>1376</v>
      </c>
    </row>
    <row r="2429" spans="1:15" x14ac:dyDescent="0.25">
      <c r="A2429" s="471" t="s">
        <v>2293</v>
      </c>
      <c r="B2429" s="1139">
        <f t="shared" ca="1" si="353"/>
        <v>0</v>
      </c>
      <c r="C2429" s="473">
        <f t="shared" ca="1" si="359"/>
        <v>0</v>
      </c>
      <c r="D2429" s="472" t="str">
        <f>IF(TSR!K47="","",TSR!K47)</f>
        <v/>
      </c>
      <c r="E2429" s="472" t="str">
        <f>IF(TSR!L47="","",TSR!L47)</f>
        <v/>
      </c>
      <c r="F2429" s="472" t="str">
        <f>IF(TSR!M47="","",TSR!M47)</f>
        <v/>
      </c>
      <c r="H2429" s="471">
        <f t="shared" si="360"/>
        <v>4</v>
      </c>
      <c r="I2429" s="471">
        <v>0</v>
      </c>
      <c r="J2429" s="471" t="str">
        <f t="shared" si="361"/>
        <v>tradaccext-crp-est</v>
      </c>
      <c r="K2429" s="471" t="str">
        <f t="shared" si="362"/>
        <v>SurDef</v>
      </c>
      <c r="L2429" s="599"/>
      <c r="M2429" s="472" t="s">
        <v>6508</v>
      </c>
      <c r="N2429" s="472" t="s">
        <v>1380</v>
      </c>
      <c r="O2429" s="472" t="s">
        <v>1376</v>
      </c>
    </row>
    <row r="2430" spans="1:15" x14ac:dyDescent="0.25">
      <c r="A2430" s="471" t="s">
        <v>2294</v>
      </c>
      <c r="B2430" s="1139">
        <f t="shared" ca="1" si="353"/>
        <v>0</v>
      </c>
      <c r="C2430" s="473">
        <f t="shared" ca="1" si="359"/>
        <v>0</v>
      </c>
      <c r="D2430" s="472" t="str">
        <f>IF(TSR!K48="","",TSR!K48)</f>
        <v/>
      </c>
      <c r="E2430" s="472" t="str">
        <f>IF(TSR!L48="","",TSR!L48)</f>
        <v/>
      </c>
      <c r="F2430" s="472" t="str">
        <f>IF(TSR!M48="","",TSR!M48)</f>
        <v/>
      </c>
      <c r="H2430" s="471">
        <f t="shared" si="360"/>
        <v>4</v>
      </c>
      <c r="I2430" s="471">
        <v>0</v>
      </c>
      <c r="J2430" s="471" t="str">
        <f t="shared" si="361"/>
        <v>tradaccext-ind-est</v>
      </c>
      <c r="K2430" s="471" t="str">
        <f t="shared" si="362"/>
        <v>SurDef</v>
      </c>
      <c r="L2430" s="599"/>
      <c r="M2430" s="472" t="s">
        <v>6508</v>
      </c>
      <c r="N2430" s="472" t="s">
        <v>1380</v>
      </c>
      <c r="O2430" s="472" t="s">
        <v>1376</v>
      </c>
    </row>
    <row r="2431" spans="1:15" x14ac:dyDescent="0.25">
      <c r="A2431" s="471" t="s">
        <v>2295</v>
      </c>
      <c r="B2431" s="1139">
        <f t="shared" ca="1" si="353"/>
        <v>0</v>
      </c>
      <c r="C2431" s="473">
        <f t="shared" ca="1" si="359"/>
        <v>0</v>
      </c>
      <c r="D2431" s="472" t="str">
        <f>IF(TSR!K49="","",TSR!K49)</f>
        <v/>
      </c>
      <c r="E2431" s="472" t="str">
        <f>IF(TSR!L49="","",TSR!L49)</f>
        <v/>
      </c>
      <c r="F2431" s="472" t="str">
        <f>IF(TSR!M49="","",TSR!M49)</f>
        <v/>
      </c>
      <c r="H2431" s="471">
        <f t="shared" si="360"/>
        <v>4</v>
      </c>
      <c r="I2431" s="471">
        <v>0</v>
      </c>
      <c r="J2431" s="471" t="str">
        <f t="shared" si="361"/>
        <v>tradaccext-mrk-und</v>
      </c>
      <c r="K2431" s="471" t="str">
        <f t="shared" si="362"/>
        <v>SurDef</v>
      </c>
      <c r="L2431" s="599"/>
      <c r="M2431" s="472" t="s">
        <v>6508</v>
      </c>
      <c r="N2431" s="472" t="s">
        <v>1380</v>
      </c>
      <c r="O2431" s="472" t="s">
        <v>1376</v>
      </c>
    </row>
    <row r="2432" spans="1:15" x14ac:dyDescent="0.25">
      <c r="A2432" s="471" t="s">
        <v>2296</v>
      </c>
      <c r="B2432" s="1139">
        <f t="shared" ca="1" si="353"/>
        <v>0</v>
      </c>
      <c r="C2432" s="473">
        <f t="shared" ca="1" si="359"/>
        <v>0</v>
      </c>
      <c r="D2432" s="472"/>
      <c r="E2432" s="472"/>
      <c r="F2432" s="472"/>
      <c r="G2432" s="471" t="str">
        <f>IF(ISNUMBER(SEARCH("specify",TSR!D50)),"",TSR!D50)</f>
        <v/>
      </c>
      <c r="H2432" s="471">
        <f t="shared" si="360"/>
        <v>3</v>
      </c>
      <c r="I2432" s="471">
        <v>0</v>
      </c>
      <c r="J2432" s="471" t="str">
        <f t="shared" si="361"/>
        <v>tradaccextoth1-n tradaccextoth1</v>
      </c>
      <c r="K2432" s="471" t="str">
        <f t="shared" si="362"/>
        <v>SurDef</v>
      </c>
      <c r="L2432" s="599"/>
      <c r="M2432" s="472" t="s">
        <v>6508</v>
      </c>
      <c r="N2432" s="472" t="s">
        <v>1380</v>
      </c>
      <c r="O2432" s="472" t="s">
        <v>1376</v>
      </c>
    </row>
    <row r="2433" spans="1:15" x14ac:dyDescent="0.25">
      <c r="A2433" s="471" t="s">
        <v>2297</v>
      </c>
      <c r="B2433" s="1139">
        <f t="shared" ca="1" si="353"/>
        <v>0</v>
      </c>
      <c r="C2433" s="473">
        <f t="shared" ca="1" si="359"/>
        <v>0</v>
      </c>
      <c r="D2433" s="472"/>
      <c r="E2433" s="472"/>
      <c r="F2433" s="472"/>
      <c r="G2433" s="471" t="str">
        <f>IF(ISNUMBER(SEARCH("specify",TSR!D51)),"",TSR!D51)</f>
        <v/>
      </c>
      <c r="H2433" s="471">
        <f t="shared" si="360"/>
        <v>3</v>
      </c>
      <c r="I2433" s="471">
        <v>0</v>
      </c>
      <c r="J2433" s="471" t="str">
        <f t="shared" si="361"/>
        <v>tradaccextoth2-n tradaccextoth2</v>
      </c>
      <c r="K2433" s="471" t="str">
        <f t="shared" si="362"/>
        <v>SurDef</v>
      </c>
      <c r="L2433" s="599"/>
      <c r="M2433" s="472" t="s">
        <v>6508</v>
      </c>
      <c r="N2433" s="472" t="s">
        <v>1380</v>
      </c>
      <c r="O2433" s="472" t="s">
        <v>1376</v>
      </c>
    </row>
    <row r="2434" spans="1:15" x14ac:dyDescent="0.25">
      <c r="A2434" s="471" t="s">
        <v>2298</v>
      </c>
      <c r="B2434" s="1139">
        <f t="shared" ca="1" si="353"/>
        <v>0</v>
      </c>
      <c r="C2434" s="473">
        <f t="shared" ca="1" si="359"/>
        <v>0</v>
      </c>
      <c r="D2434" s="472"/>
      <c r="E2434" s="472"/>
      <c r="F2434" s="472"/>
      <c r="G2434" s="471" t="str">
        <f>IF(ISNUMBER(SEARCH("specify",TSR!D52)),"",TSR!D52)</f>
        <v/>
      </c>
      <c r="H2434" s="471">
        <f t="shared" si="360"/>
        <v>3</v>
      </c>
      <c r="I2434" s="471">
        <v>0</v>
      </c>
      <c r="J2434" s="471" t="str">
        <f t="shared" si="361"/>
        <v>tradaccextoth3-n tradaccextoth3</v>
      </c>
      <c r="K2434" s="471" t="str">
        <f t="shared" si="362"/>
        <v>SurDef</v>
      </c>
      <c r="L2434" s="599"/>
      <c r="M2434" s="472" t="s">
        <v>6508</v>
      </c>
      <c r="N2434" s="472" t="s">
        <v>1380</v>
      </c>
      <c r="O2434" s="472" t="s">
        <v>1376</v>
      </c>
    </row>
    <row r="2435" spans="1:15" x14ac:dyDescent="0.25">
      <c r="A2435" s="471" t="s">
        <v>2299</v>
      </c>
      <c r="B2435" s="1139">
        <f t="shared" ca="1" si="353"/>
        <v>0</v>
      </c>
      <c r="C2435" s="473">
        <f t="shared" ca="1" si="359"/>
        <v>0</v>
      </c>
      <c r="D2435" s="472"/>
      <c r="E2435" s="472"/>
      <c r="F2435" s="472"/>
      <c r="G2435" s="471" t="str">
        <f>IF(ISNUMBER(SEARCH("specify",TSR!D53)),"",TSR!D53)</f>
        <v/>
      </c>
      <c r="H2435" s="471">
        <f t="shared" si="360"/>
        <v>3</v>
      </c>
      <c r="I2435" s="471">
        <v>0</v>
      </c>
      <c r="J2435" s="471" t="str">
        <f t="shared" si="361"/>
        <v>tradaccextoth4-n tradaccextoth4</v>
      </c>
      <c r="K2435" s="471" t="str">
        <f t="shared" si="362"/>
        <v>SurDef</v>
      </c>
      <c r="L2435" s="599"/>
      <c r="M2435" s="472" t="s">
        <v>6508</v>
      </c>
      <c r="N2435" s="472" t="s">
        <v>1380</v>
      </c>
      <c r="O2435" s="472" t="s">
        <v>1376</v>
      </c>
    </row>
    <row r="2436" spans="1:15" x14ac:dyDescent="0.25">
      <c r="A2436" s="471" t="s">
        <v>2300</v>
      </c>
      <c r="B2436" s="1139">
        <f t="shared" ca="1" si="353"/>
        <v>0</v>
      </c>
      <c r="C2436" s="473">
        <f t="shared" ca="1" si="359"/>
        <v>0</v>
      </c>
      <c r="D2436" s="472"/>
      <c r="E2436" s="472"/>
      <c r="F2436" s="472"/>
      <c r="G2436" s="471" t="str">
        <f>IF(ISNUMBER(SEARCH("specify",TSR!D54)),"",TSR!D54)</f>
        <v/>
      </c>
      <c r="H2436" s="471">
        <f t="shared" si="360"/>
        <v>3</v>
      </c>
      <c r="I2436" s="471">
        <v>0</v>
      </c>
      <c r="J2436" s="471" t="str">
        <f t="shared" si="361"/>
        <v>tradaccextoth5-n tradaccextoth5</v>
      </c>
      <c r="K2436" s="471" t="str">
        <f t="shared" si="362"/>
        <v>SurDef</v>
      </c>
      <c r="L2436" s="599"/>
      <c r="M2436" s="472" t="s">
        <v>6508</v>
      </c>
      <c r="N2436" s="472" t="s">
        <v>1380</v>
      </c>
      <c r="O2436" s="472" t="s">
        <v>1376</v>
      </c>
    </row>
    <row r="2437" spans="1:15" x14ac:dyDescent="0.25">
      <c r="A2437" s="701" t="s">
        <v>2301</v>
      </c>
      <c r="B2437" s="1141">
        <f ca="1">INDEX(INDIRECT(LEFT($A2437,SEARCH("-",$A2437,1)-1)&amp;"_data"),MATCH(MID($A2437,SEARCH("-",$A2437)+1,SEARCH("#",SUBSTITUTE($A2437,"-","#",H2437-2),1)-(SEARCH("-",$A2437)+1)),INDIRECT(LEFT($A2437,SEARCH("-",$A2437,1)-1)&amp;"_rows"),0),MATCH(LEFT(RIGHT($A2437,LEN($A2437)-SEARCH("#",SUBSTITUTE($A2437,"-","#",H2437-2),1)),SEARCH("-",RIGHT($A2437,LEN($A2437)-SEARCH("#",SUBSTITUTE($A2437,"-","#",H2437-2),1)))-1),INDIRECT(LEFT($A2437,SEARCH("-",$A2437,1)-1)&amp;"_Header"),0))</f>
        <v>0</v>
      </c>
      <c r="C2437" s="704">
        <f t="shared" ca="1" si="359"/>
        <v>0</v>
      </c>
      <c r="D2437" s="702" t="str">
        <f>IF(TSR!K55="","",TSR!K55)</f>
        <v/>
      </c>
      <c r="E2437" s="702" t="str">
        <f>IF(TSR!L55="","",TSR!L55)</f>
        <v/>
      </c>
      <c r="F2437" s="702" t="str">
        <f>IF(TSR!M55="","",TSR!M55)</f>
        <v/>
      </c>
      <c r="G2437" s="701"/>
      <c r="H2437" s="701">
        <f t="shared" si="360"/>
        <v>4</v>
      </c>
      <c r="I2437" s="701">
        <v>0</v>
      </c>
      <c r="J2437" s="701" t="str">
        <f>MID($A2437,SEARCH("-",$A2437)+1,SEARCH("#",SUBSTITUTE($A2437,"-","#",H2437-2),1)-(SEARCH("-",$A2437)+1))</f>
        <v>tradaccext</v>
      </c>
      <c r="K2437" s="701" t="str">
        <f>LEFT(RIGHT($A2437,LEN($A2437)-SEARCH("#",SUBSTITUTE($A2437,"-","#",H2437-2),1)),SEARCH("-",RIGHT($A2437,LEN($A2437)-SEARCH("#",SUBSTITUTE($A2437,"-","#",H2437-2),1)))-1)</f>
        <v>SurDef</v>
      </c>
      <c r="L2437" s="701" t="s">
        <v>4740</v>
      </c>
      <c r="M2437" s="472" t="s">
        <v>6508</v>
      </c>
      <c r="N2437" s="472" t="s">
        <v>1380</v>
      </c>
      <c r="O2437" s="472" t="s">
        <v>1376</v>
      </c>
    </row>
    <row r="2438" spans="1:15" x14ac:dyDescent="0.25">
      <c r="A2438" s="701" t="s">
        <v>2302</v>
      </c>
      <c r="B2438" s="1140">
        <f>IF(TSR!I56="","",TSR!I56)</f>
        <v>0</v>
      </c>
      <c r="C2438" s="701">
        <f t="shared" ca="1" si="359"/>
        <v>0</v>
      </c>
      <c r="D2438" s="701" t="str">
        <f>IF(TSR!K56="","",TSR!K56)</f>
        <v/>
      </c>
      <c r="E2438" s="701" t="str">
        <f>IF(TSR!L56="","",TSR!L56)</f>
        <v/>
      </c>
      <c r="F2438" s="701" t="str">
        <f>IF(TSR!M56="","",TSR!M56)</f>
        <v/>
      </c>
      <c r="G2438" s="701"/>
      <c r="H2438" s="701">
        <f t="shared" si="360"/>
        <v>2</v>
      </c>
      <c r="I2438" s="701">
        <v>0</v>
      </c>
      <c r="J2438" s="701" t="str">
        <f t="shared" si="361"/>
        <v>captot</v>
      </c>
      <c r="K2438" s="701" t="str">
        <f t="shared" si="362"/>
        <v>ext</v>
      </c>
      <c r="L2438" s="701" t="s">
        <v>4740</v>
      </c>
      <c r="M2438" s="472" t="s">
        <v>6508</v>
      </c>
      <c r="N2438" s="472" t="s">
        <v>1380</v>
      </c>
      <c r="O2438" s="472" t="s">
        <v>1376</v>
      </c>
    </row>
    <row r="2439" spans="1:15" x14ac:dyDescent="0.25">
      <c r="A2439" s="701" t="s">
        <v>2303</v>
      </c>
      <c r="B2439" s="1141">
        <f ca="1">INDEX(INDIRECT(LEFT($A2439,SEARCH("-",$A2439,1)-1)&amp;"_data"),MATCH(MID($A2439,SEARCH("-",$A2439)+1,SEARCH("#",SUBSTITUTE($A2439,"-","#",H2439-2),1)-(SEARCH("-",$A2439)+1)),INDIRECT(LEFT($A2439,SEARCH("-",$A2439,1)-1)&amp;"_rows"),0),MATCH(LEFT(RIGHT($A2439,LEN($A2439)-SEARCH("#",SUBSTITUTE($A2439,"-","#",H2439-2),1)),SEARCH("-",RIGHT($A2439,LEN($A2439)-SEARCH("#",SUBSTITUTE($A2439,"-","#",H2439-2),1)))-1),INDIRECT(LEFT($A2439,SEARCH("-",$A2439,1)-1)&amp;"_Header"),0))</f>
        <v>0</v>
      </c>
      <c r="C2439" s="704">
        <f t="shared" ca="1" si="359"/>
        <v>0</v>
      </c>
      <c r="D2439" s="702" t="str">
        <f>IF(TSR!K57="","",TSR!K57)</f>
        <v/>
      </c>
      <c r="E2439" s="702" t="str">
        <f>IF(TSR!L57="","",TSR!L57)</f>
        <v/>
      </c>
      <c r="F2439" s="702" t="str">
        <f>IF(TSR!M57="","",TSR!M57)</f>
        <v/>
      </c>
      <c r="G2439" s="701"/>
      <c r="H2439" s="701">
        <f t="shared" si="360"/>
        <v>4</v>
      </c>
      <c r="I2439" s="701">
        <v>0</v>
      </c>
      <c r="J2439" s="701" t="str">
        <f>MID($A2439,SEARCH("-",$A2439)+1,SEARCH("#",SUBSTITUTE($A2439,"-","#",H2439-2),1)-(SEARCH("-",$A2439)+1))</f>
        <v>tradcapext</v>
      </c>
      <c r="K2439" s="701" t="str">
        <f>LEFT(RIGHT($A2439,LEN($A2439)-SEARCH("#",SUBSTITUTE($A2439,"-","#",H2439-2),1)),SEARCH("-",RIGHT($A2439,LEN($A2439)-SEARCH("#",SUBSTITUTE($A2439,"-","#",H2439-2),1)))-1)</f>
        <v>SurDef</v>
      </c>
      <c r="L2439" s="701" t="s">
        <v>4740</v>
      </c>
      <c r="M2439" s="472" t="s">
        <v>6508</v>
      </c>
      <c r="N2439" s="472" t="s">
        <v>1380</v>
      </c>
      <c r="O2439" s="472" t="s">
        <v>1376</v>
      </c>
    </row>
    <row r="2440" spans="1:15" x14ac:dyDescent="0.25">
      <c r="A2440" s="471" t="s">
        <v>2304</v>
      </c>
      <c r="B2440" s="1139">
        <f t="shared" ca="1" si="353"/>
        <v>0</v>
      </c>
      <c r="C2440" s="473">
        <f t="shared" ca="1" si="359"/>
        <v>0</v>
      </c>
      <c r="D2440" s="472" t="str">
        <f>IF(TSR!K61="","",TSR!K61)</f>
        <v/>
      </c>
      <c r="E2440" s="472" t="str">
        <f>IF(TSR!L61="","",TSR!L61)</f>
        <v/>
      </c>
      <c r="F2440" s="472" t="str">
        <f>IF(TSR!M61="","",TSR!M61)</f>
        <v/>
      </c>
      <c r="H2440" s="471">
        <f t="shared" si="360"/>
        <v>4</v>
      </c>
      <c r="I2440" s="471">
        <v>0</v>
      </c>
      <c r="J2440" s="471" t="str">
        <f t="shared" si="361"/>
        <v>tradaccint-adm-edu</v>
      </c>
      <c r="K2440" s="471" t="str">
        <f t="shared" si="362"/>
        <v>SurDef</v>
      </c>
      <c r="L2440" s="599"/>
      <c r="M2440" s="472" t="s">
        <v>6508</v>
      </c>
      <c r="N2440" s="472" t="s">
        <v>1380</v>
      </c>
      <c r="O2440" s="472" t="s">
        <v>1376</v>
      </c>
    </row>
    <row r="2441" spans="1:15" x14ac:dyDescent="0.25">
      <c r="A2441" s="471" t="s">
        <v>2305</v>
      </c>
      <c r="B2441" s="1139">
        <f t="shared" ca="1" si="353"/>
        <v>0</v>
      </c>
      <c r="C2441" s="473">
        <f t="shared" ca="1" si="359"/>
        <v>0</v>
      </c>
      <c r="D2441" s="472" t="str">
        <f>IF(TSR!K62="","",TSR!K62)</f>
        <v/>
      </c>
      <c r="E2441" s="472" t="str">
        <f>IF(TSR!L62="","",TSR!L62)</f>
        <v/>
      </c>
      <c r="F2441" s="472" t="str">
        <f>IF(TSR!M62="","",TSR!M62)</f>
        <v/>
      </c>
      <c r="H2441" s="471">
        <f t="shared" si="360"/>
        <v>4</v>
      </c>
      <c r="I2441" s="471">
        <v>0</v>
      </c>
      <c r="J2441" s="471" t="str">
        <f t="shared" si="361"/>
        <v>tradaccint-spc-edu</v>
      </c>
      <c r="K2441" s="471" t="str">
        <f t="shared" si="362"/>
        <v>SurDef</v>
      </c>
      <c r="L2441" s="599"/>
      <c r="M2441" s="472" t="s">
        <v>6508</v>
      </c>
      <c r="N2441" s="472" t="s">
        <v>1380</v>
      </c>
      <c r="O2441" s="472" t="s">
        <v>1376</v>
      </c>
    </row>
    <row r="2442" spans="1:15" x14ac:dyDescent="0.25">
      <c r="A2442" s="471" t="s">
        <v>2306</v>
      </c>
      <c r="B2442" s="1139">
        <f t="shared" ref="B2442:B2466" ca="1" si="363">INDEX(INDIRECT(LEFT($A2442,SEARCH("-",$A2442,1)-1)&amp;"_data"),MATCH(MID($A2442,SEARCH("-",$A2442)+1,SEARCH("#",SUBSTITUTE($A2442,"-","#",H2442),1)-(SEARCH("-",$A2442)+1)),INDIRECT(LEFT($A2442,SEARCH("-",$A2442,1)-1)&amp;"_rows"),0),MATCH(RIGHT($A2442,LEN($A2442)-SEARCH("#",SUBSTITUTE($A2442,"-","#",H2442),1)),INDIRECT(LEFT($A2442,SEARCH("-",$A2442,1)-1)&amp;"_Header"),0))</f>
        <v>0</v>
      </c>
      <c r="C2442" s="473">
        <f t="shared" ca="1" si="359"/>
        <v>0</v>
      </c>
      <c r="D2442" s="472" t="str">
        <f>IF(TSR!K63="","",TSR!K63)</f>
        <v/>
      </c>
      <c r="E2442" s="472" t="str">
        <f>IF(TSR!L63="","",TSR!L63)</f>
        <v/>
      </c>
      <c r="F2442" s="472" t="str">
        <f>IF(TSR!M63="","",TSR!M63)</f>
        <v/>
      </c>
      <c r="H2442" s="471">
        <f t="shared" si="360"/>
        <v>3</v>
      </c>
      <c r="I2442" s="471">
        <v>0</v>
      </c>
      <c r="J2442" s="471" t="str">
        <f t="shared" si="361"/>
        <v>tradaccinthghwys-mnt</v>
      </c>
      <c r="K2442" s="471" t="str">
        <f t="shared" si="362"/>
        <v>SurDef</v>
      </c>
      <c r="L2442" s="599"/>
      <c r="M2442" s="472" t="s">
        <v>6508</v>
      </c>
      <c r="N2442" s="472" t="s">
        <v>1380</v>
      </c>
      <c r="O2442" s="472" t="s">
        <v>1376</v>
      </c>
    </row>
    <row r="2443" spans="1:15" x14ac:dyDescent="0.25">
      <c r="A2443" s="471" t="s">
        <v>2307</v>
      </c>
      <c r="B2443" s="1139">
        <f t="shared" ca="1" si="363"/>
        <v>0</v>
      </c>
      <c r="C2443" s="473">
        <f t="shared" ca="1" si="359"/>
        <v>0</v>
      </c>
      <c r="D2443" s="472" t="str">
        <f>IF(TSR!K64="","",TSR!K64)</f>
        <v/>
      </c>
      <c r="E2443" s="472" t="str">
        <f>IF(TSR!L64="","",TSR!L64)</f>
        <v/>
      </c>
      <c r="F2443" s="472" t="str">
        <f>IF(TSR!M64="","",TSR!M64)</f>
        <v/>
      </c>
      <c r="H2443" s="471">
        <f t="shared" si="360"/>
        <v>4</v>
      </c>
      <c r="I2443" s="471">
        <v>0</v>
      </c>
      <c r="J2443" s="471" t="str">
        <f t="shared" si="361"/>
        <v>tradaccinton-str-prk</v>
      </c>
      <c r="K2443" s="471" t="str">
        <f t="shared" si="362"/>
        <v>SurDef</v>
      </c>
      <c r="L2443" s="599"/>
      <c r="M2443" s="472" t="s">
        <v>6508</v>
      </c>
      <c r="N2443" s="472" t="s">
        <v>1380</v>
      </c>
      <c r="O2443" s="472" t="s">
        <v>1376</v>
      </c>
    </row>
    <row r="2444" spans="1:15" x14ac:dyDescent="0.25">
      <c r="A2444" s="471" t="s">
        <v>2308</v>
      </c>
      <c r="B2444" s="1139">
        <f t="shared" ca="1" si="363"/>
        <v>0</v>
      </c>
      <c r="C2444" s="473">
        <f t="shared" ca="1" si="359"/>
        <v>0</v>
      </c>
      <c r="D2444" s="472" t="str">
        <f>IF(TSR!K65="","",TSR!K65)</f>
        <v/>
      </c>
      <c r="E2444" s="472" t="str">
        <f>IF(TSR!L65="","",TSR!L65)</f>
        <v/>
      </c>
      <c r="F2444" s="472" t="str">
        <f>IF(TSR!M65="","",TSR!M65)</f>
        <v/>
      </c>
      <c r="H2444" s="471">
        <f t="shared" si="360"/>
        <v>4</v>
      </c>
      <c r="I2444" s="471">
        <v>0</v>
      </c>
      <c r="J2444" s="471" t="str">
        <f t="shared" si="361"/>
        <v>tradaccint-ss-rsd</v>
      </c>
      <c r="K2444" s="471" t="str">
        <f t="shared" si="362"/>
        <v>SurDef</v>
      </c>
      <c r="L2444" s="599"/>
      <c r="M2444" s="472" t="s">
        <v>6508</v>
      </c>
      <c r="N2444" s="472" t="s">
        <v>1380</v>
      </c>
      <c r="O2444" s="472" t="s">
        <v>1376</v>
      </c>
    </row>
    <row r="2445" spans="1:15" x14ac:dyDescent="0.25">
      <c r="A2445" s="471" t="s">
        <v>2309</v>
      </c>
      <c r="B2445" s="1139">
        <f t="shared" ca="1" si="363"/>
        <v>0</v>
      </c>
      <c r="C2445" s="473">
        <f t="shared" ca="1" si="359"/>
        <v>0</v>
      </c>
      <c r="D2445" s="472" t="str">
        <f>IF(TSR!K66="","",TSR!K66)</f>
        <v/>
      </c>
      <c r="E2445" s="472" t="str">
        <f>IF(TSR!L66="","",TSR!L66)</f>
        <v/>
      </c>
      <c r="F2445" s="472" t="str">
        <f>IF(TSR!M66="","",TSR!M66)</f>
        <v/>
      </c>
      <c r="H2445" s="471">
        <f t="shared" si="360"/>
        <v>4</v>
      </c>
      <c r="I2445" s="471">
        <v>0</v>
      </c>
      <c r="J2445" s="471" t="str">
        <f t="shared" si="361"/>
        <v>tradaccint-ss-hcs</v>
      </c>
      <c r="K2445" s="471" t="str">
        <f t="shared" si="362"/>
        <v>SurDef</v>
      </c>
      <c r="L2445" s="599"/>
      <c r="M2445" s="472" t="s">
        <v>6508</v>
      </c>
      <c r="N2445" s="472" t="s">
        <v>1380</v>
      </c>
      <c r="O2445" s="472" t="s">
        <v>1376</v>
      </c>
    </row>
    <row r="2446" spans="1:15" x14ac:dyDescent="0.25">
      <c r="A2446" s="471" t="s">
        <v>2310</v>
      </c>
      <c r="B2446" s="1139">
        <f t="shared" ca="1" si="363"/>
        <v>0</v>
      </c>
      <c r="C2446" s="473">
        <f t="shared" ca="1" si="359"/>
        <v>0</v>
      </c>
      <c r="D2446" s="472" t="str">
        <f>IF(TSR!K67="","",TSR!K67)</f>
        <v/>
      </c>
      <c r="E2446" s="472" t="str">
        <f>IF(TSR!L67="","",TSR!L67)</f>
        <v/>
      </c>
      <c r="F2446" s="472" t="str">
        <f>IF(TSR!M67="","",TSR!M67)</f>
        <v/>
      </c>
      <c r="H2446" s="471">
        <f t="shared" si="360"/>
        <v>4</v>
      </c>
      <c r="I2446" s="471">
        <v>0</v>
      </c>
      <c r="J2446" s="471" t="str">
        <f t="shared" si="361"/>
        <v>tradaccint-hous-mng</v>
      </c>
      <c r="K2446" s="471" t="str">
        <f t="shared" si="362"/>
        <v>SurDef</v>
      </c>
      <c r="L2446" s="599"/>
      <c r="M2446" s="472" t="s">
        <v>6508</v>
      </c>
      <c r="N2446" s="472" t="s">
        <v>1380</v>
      </c>
      <c r="O2446" s="472" t="s">
        <v>1376</v>
      </c>
    </row>
    <row r="2447" spans="1:15" x14ac:dyDescent="0.25">
      <c r="A2447" s="471" t="s">
        <v>2311</v>
      </c>
      <c r="B2447" s="1139">
        <f t="shared" ca="1" si="363"/>
        <v>0</v>
      </c>
      <c r="C2447" s="473">
        <f t="shared" ca="1" si="359"/>
        <v>0</v>
      </c>
      <c r="D2447" s="472" t="str">
        <f>IF(TSR!K68="","",TSR!K68)</f>
        <v/>
      </c>
      <c r="E2447" s="472" t="str">
        <f>IF(TSR!L68="","",TSR!L68)</f>
        <v/>
      </c>
      <c r="F2447" s="472" t="str">
        <f>IF(TSR!M68="","",TSR!M68)</f>
        <v/>
      </c>
      <c r="H2447" s="471">
        <f t="shared" si="360"/>
        <v>4</v>
      </c>
      <c r="I2447" s="471">
        <v>0</v>
      </c>
      <c r="J2447" s="471" t="str">
        <f t="shared" si="361"/>
        <v>tradaccint-lsr-mng</v>
      </c>
      <c r="K2447" s="471" t="str">
        <f t="shared" si="362"/>
        <v>SurDef</v>
      </c>
      <c r="L2447" s="599"/>
      <c r="M2447" s="472" t="s">
        <v>6508</v>
      </c>
      <c r="N2447" s="472" t="s">
        <v>1380</v>
      </c>
      <c r="O2447" s="472" t="s">
        <v>1376</v>
      </c>
    </row>
    <row r="2448" spans="1:15" x14ac:dyDescent="0.25">
      <c r="A2448" s="471" t="s">
        <v>2312</v>
      </c>
      <c r="B2448" s="1139">
        <f t="shared" ca="1" si="363"/>
        <v>0</v>
      </c>
      <c r="C2448" s="473">
        <f t="shared" ca="1" si="359"/>
        <v>0</v>
      </c>
      <c r="D2448" s="472" t="str">
        <f>IF(TSR!K69="","",TSR!K69)</f>
        <v/>
      </c>
      <c r="E2448" s="472" t="str">
        <f>IF(TSR!L69="","",TSR!L69)</f>
        <v/>
      </c>
      <c r="F2448" s="472" t="str">
        <f>IF(TSR!M69="","",TSR!M69)</f>
        <v/>
      </c>
      <c r="H2448" s="471">
        <f t="shared" si="360"/>
        <v>3</v>
      </c>
      <c r="I2448" s="471">
        <v>0</v>
      </c>
      <c r="J2448" s="471" t="str">
        <f t="shared" si="361"/>
        <v>tradaccint-env</v>
      </c>
      <c r="K2448" s="471" t="str">
        <f t="shared" si="362"/>
        <v>SurDef</v>
      </c>
      <c r="L2448" s="599"/>
      <c r="M2448" s="472" t="s">
        <v>6508</v>
      </c>
      <c r="N2448" s="472" t="s">
        <v>1380</v>
      </c>
      <c r="O2448" s="472" t="s">
        <v>1376</v>
      </c>
    </row>
    <row r="2449" spans="1:15" x14ac:dyDescent="0.25">
      <c r="A2449" s="471" t="s">
        <v>2313</v>
      </c>
      <c r="B2449" s="1139">
        <f t="shared" ca="1" si="363"/>
        <v>0</v>
      </c>
      <c r="C2449" s="473">
        <f t="shared" ca="1" si="359"/>
        <v>0</v>
      </c>
      <c r="D2449" s="472" t="str">
        <f>IF(TSR!K70="","",TSR!K70)</f>
        <v/>
      </c>
      <c r="E2449" s="472" t="str">
        <f>IF(TSR!L70="","",TSR!L70)</f>
        <v/>
      </c>
      <c r="F2449" s="472" t="str">
        <f>IF(TSR!M70="","",TSR!M70)</f>
        <v/>
      </c>
      <c r="H2449" s="471">
        <f t="shared" si="360"/>
        <v>3</v>
      </c>
      <c r="I2449" s="471">
        <v>0</v>
      </c>
      <c r="J2449" s="471" t="str">
        <f t="shared" si="361"/>
        <v>tradaccint-cps</v>
      </c>
      <c r="K2449" s="471" t="str">
        <f t="shared" si="362"/>
        <v>SurDef</v>
      </c>
      <c r="L2449" s="599"/>
      <c r="M2449" s="472" t="s">
        <v>6508</v>
      </c>
      <c r="N2449" s="472" t="s">
        <v>1380</v>
      </c>
      <c r="O2449" s="472" t="s">
        <v>1376</v>
      </c>
    </row>
    <row r="2450" spans="1:15" x14ac:dyDescent="0.25">
      <c r="A2450" s="471" t="s">
        <v>2314</v>
      </c>
      <c r="B2450" s="1139">
        <f t="shared" ca="1" si="363"/>
        <v>0</v>
      </c>
      <c r="C2450" s="473">
        <f t="shared" ca="1" si="359"/>
        <v>0</v>
      </c>
      <c r="D2450" s="472" t="str">
        <f>IF(TSR!K71="","",TSR!K71)</f>
        <v/>
      </c>
      <c r="E2450" s="472" t="str">
        <f>IF(TSR!L71="","",TSR!L71)</f>
        <v/>
      </c>
      <c r="F2450" s="472" t="str">
        <f>IF(TSR!M71="","",TSR!M71)</f>
        <v/>
      </c>
      <c r="H2450" s="471">
        <f t="shared" si="360"/>
        <v>4</v>
      </c>
      <c r="I2450" s="471">
        <v>0</v>
      </c>
      <c r="J2450" s="471" t="str">
        <f t="shared" si="361"/>
        <v>tradaccint-bld-cln</v>
      </c>
      <c r="K2450" s="471" t="str">
        <f t="shared" si="362"/>
        <v>SurDef</v>
      </c>
      <c r="L2450" s="599"/>
      <c r="M2450" s="472" t="s">
        <v>6508</v>
      </c>
      <c r="N2450" s="472" t="s">
        <v>1380</v>
      </c>
      <c r="O2450" s="472" t="s">
        <v>1376</v>
      </c>
    </row>
    <row r="2451" spans="1:15" x14ac:dyDescent="0.25">
      <c r="A2451" s="471" t="s">
        <v>2315</v>
      </c>
      <c r="B2451" s="1139">
        <f t="shared" ca="1" si="363"/>
        <v>0</v>
      </c>
      <c r="C2451" s="473">
        <f t="shared" ca="1" si="359"/>
        <v>0</v>
      </c>
      <c r="D2451" s="472" t="str">
        <f>IF(TSR!K72="","",TSR!K72)</f>
        <v/>
      </c>
      <c r="E2451" s="472" t="str">
        <f>IF(TSR!L72="","",TSR!L72)</f>
        <v/>
      </c>
      <c r="F2451" s="472" t="str">
        <f>IF(TSR!M72="","",TSR!M72)</f>
        <v/>
      </c>
      <c r="H2451" s="471">
        <f t="shared" si="360"/>
        <v>4</v>
      </c>
      <c r="I2451" s="471">
        <v>0</v>
      </c>
      <c r="J2451" s="471" t="str">
        <f t="shared" si="361"/>
        <v>tradaccint-bld-mnt</v>
      </c>
      <c r="K2451" s="471" t="str">
        <f t="shared" si="362"/>
        <v>SurDef</v>
      </c>
      <c r="L2451" s="599"/>
      <c r="M2451" s="472" t="s">
        <v>6508</v>
      </c>
      <c r="N2451" s="472" t="s">
        <v>1380</v>
      </c>
      <c r="O2451" s="472" t="s">
        <v>1376</v>
      </c>
    </row>
    <row r="2452" spans="1:15" x14ac:dyDescent="0.25">
      <c r="A2452" s="471" t="s">
        <v>2316</v>
      </c>
      <c r="B2452" s="1139">
        <f t="shared" ca="1" si="363"/>
        <v>0</v>
      </c>
      <c r="C2452" s="473">
        <f t="shared" ca="1" si="359"/>
        <v>0</v>
      </c>
      <c r="D2452" s="472" t="str">
        <f>IF(TSR!K73="","",TSR!K73)</f>
        <v/>
      </c>
      <c r="E2452" s="472" t="str">
        <f>IF(TSR!L73="","",TSR!L73)</f>
        <v/>
      </c>
      <c r="F2452" s="472" t="str">
        <f>IF(TSR!M73="","",TSR!M73)</f>
        <v/>
      </c>
      <c r="H2452" s="471">
        <f t="shared" si="360"/>
        <v>4</v>
      </c>
      <c r="I2452" s="471">
        <v>0</v>
      </c>
      <c r="J2452" s="471" t="str">
        <f t="shared" si="361"/>
        <v>tradaccint-grn-mnt</v>
      </c>
      <c r="K2452" s="471" t="str">
        <f t="shared" si="362"/>
        <v>SurDef</v>
      </c>
      <c r="L2452" s="599"/>
      <c r="M2452" s="472" t="s">
        <v>6508</v>
      </c>
      <c r="N2452" s="472" t="s">
        <v>1380</v>
      </c>
      <c r="O2452" s="472" t="s">
        <v>1376</v>
      </c>
    </row>
    <row r="2453" spans="1:15" x14ac:dyDescent="0.25">
      <c r="A2453" s="471" t="s">
        <v>2317</v>
      </c>
      <c r="B2453" s="1139">
        <f t="shared" ca="1" si="363"/>
        <v>0</v>
      </c>
      <c r="C2453" s="473">
        <f t="shared" ca="1" si="359"/>
        <v>0</v>
      </c>
      <c r="D2453" s="472" t="str">
        <f>IF(TSR!K74="","",TSR!K74)</f>
        <v/>
      </c>
      <c r="E2453" s="472" t="str">
        <f>IF(TSR!L74="","",TSR!L74)</f>
        <v/>
      </c>
      <c r="F2453" s="472" t="str">
        <f>IF(TSR!M74="","",TSR!M74)</f>
        <v/>
      </c>
      <c r="H2453" s="471">
        <f t="shared" si="360"/>
        <v>4</v>
      </c>
      <c r="I2453" s="471">
        <v>0</v>
      </c>
      <c r="J2453" s="471" t="str">
        <f t="shared" si="361"/>
        <v>tradaccint-vhc-mnt</v>
      </c>
      <c r="K2453" s="471" t="str">
        <f t="shared" si="362"/>
        <v>SurDef</v>
      </c>
      <c r="L2453" s="599"/>
      <c r="M2453" s="472" t="s">
        <v>6508</v>
      </c>
      <c r="N2453" s="472" t="s">
        <v>1380</v>
      </c>
      <c r="O2453" s="472" t="s">
        <v>1376</v>
      </c>
    </row>
    <row r="2454" spans="1:15" x14ac:dyDescent="0.25">
      <c r="A2454" s="471" t="s">
        <v>2318</v>
      </c>
      <c r="B2454" s="1139">
        <f t="shared" ca="1" si="363"/>
        <v>0</v>
      </c>
      <c r="C2454" s="473">
        <f t="shared" ca="1" si="359"/>
        <v>0</v>
      </c>
      <c r="D2454" s="472" t="str">
        <f>IF(TSR!K75="","",TSR!K75)</f>
        <v/>
      </c>
      <c r="E2454" s="472" t="str">
        <f>IF(TSR!L75="","",TSR!L75)</f>
        <v/>
      </c>
      <c r="F2454" s="472" t="str">
        <f>IF(TSR!M75="","",TSR!M75)</f>
        <v/>
      </c>
      <c r="H2454" s="471">
        <f t="shared" si="360"/>
        <v>4</v>
      </c>
      <c r="I2454" s="471">
        <v>0</v>
      </c>
      <c r="J2454" s="471" t="str">
        <f t="shared" si="361"/>
        <v>tradaccint-vhc-mng</v>
      </c>
      <c r="K2454" s="471" t="str">
        <f t="shared" si="362"/>
        <v>SurDef</v>
      </c>
      <c r="L2454" s="599"/>
      <c r="M2454" s="472" t="s">
        <v>6508</v>
      </c>
      <c r="N2454" s="472" t="s">
        <v>1380</v>
      </c>
      <c r="O2454" s="472" t="s">
        <v>1376</v>
      </c>
    </row>
    <row r="2455" spans="1:15" x14ac:dyDescent="0.25">
      <c r="A2455" s="471" t="s">
        <v>2319</v>
      </c>
      <c r="B2455" s="1139">
        <f t="shared" ca="1" si="363"/>
        <v>0</v>
      </c>
      <c r="C2455" s="473">
        <f t="shared" ca="1" si="359"/>
        <v>0</v>
      </c>
      <c r="D2455" s="472" t="str">
        <f>IF(TSR!K76="","",TSR!K76)</f>
        <v/>
      </c>
      <c r="E2455" s="472" t="str">
        <f>IF(TSR!L76="","",TSR!L76)</f>
        <v/>
      </c>
      <c r="F2455" s="472" t="str">
        <f>IF(TSR!M76="","",TSR!M76)</f>
        <v/>
      </c>
      <c r="H2455" s="471">
        <f t="shared" si="360"/>
        <v>4</v>
      </c>
      <c r="I2455" s="471">
        <v>0</v>
      </c>
      <c r="J2455" s="471" t="str">
        <f t="shared" si="361"/>
        <v>tradaccint-rfs-cll</v>
      </c>
      <c r="K2455" s="471" t="str">
        <f t="shared" si="362"/>
        <v>SurDef</v>
      </c>
      <c r="L2455" s="599"/>
      <c r="M2455" s="472" t="s">
        <v>6508</v>
      </c>
      <c r="N2455" s="472" t="s">
        <v>1380</v>
      </c>
      <c r="O2455" s="472" t="s">
        <v>1376</v>
      </c>
    </row>
    <row r="2456" spans="1:15" x14ac:dyDescent="0.25">
      <c r="A2456" s="471" t="s">
        <v>2320</v>
      </c>
      <c r="B2456" s="1139">
        <f t="shared" ca="1" si="363"/>
        <v>0</v>
      </c>
      <c r="C2456" s="473">
        <f t="shared" ca="1" si="359"/>
        <v>0</v>
      </c>
      <c r="D2456" s="472" t="str">
        <f>IF(TSR!K77="","",TSR!K77)</f>
        <v/>
      </c>
      <c r="E2456" s="472" t="str">
        <f>IF(TSR!L77="","",TSR!L77)</f>
        <v/>
      </c>
      <c r="F2456" s="472" t="str">
        <f>IF(TSR!M77="","",TSR!M77)</f>
        <v/>
      </c>
      <c r="H2456" s="471">
        <f t="shared" si="360"/>
        <v>3</v>
      </c>
      <c r="I2456" s="471">
        <v>0</v>
      </c>
      <c r="J2456" s="471" t="str">
        <f t="shared" si="361"/>
        <v>tradaccint-ctr</v>
      </c>
      <c r="K2456" s="471" t="str">
        <f t="shared" si="362"/>
        <v>SurDef</v>
      </c>
      <c r="L2456" s="599"/>
      <c r="M2456" s="472" t="s">
        <v>6508</v>
      </c>
      <c r="N2456" s="472" t="s">
        <v>1380</v>
      </c>
      <c r="O2456" s="472" t="s">
        <v>1376</v>
      </c>
    </row>
    <row r="2457" spans="1:15" x14ac:dyDescent="0.25">
      <c r="A2457" s="471" t="s">
        <v>2321</v>
      </c>
      <c r="B2457" s="1139">
        <f t="shared" ca="1" si="363"/>
        <v>0</v>
      </c>
      <c r="C2457" s="473">
        <f t="shared" ca="1" si="359"/>
        <v>0</v>
      </c>
      <c r="D2457" s="472" t="str">
        <f>IF(TSR!K78="","",TSR!K78)</f>
        <v/>
      </c>
      <c r="E2457" s="472" t="str">
        <f>IF(TSR!L78="","",TSR!L78)</f>
        <v/>
      </c>
      <c r="F2457" s="472" t="str">
        <f>IF(TSR!M78="","",TSR!M78)</f>
        <v/>
      </c>
      <c r="H2457" s="471">
        <f t="shared" si="360"/>
        <v>3</v>
      </c>
      <c r="I2457" s="471">
        <v>0</v>
      </c>
      <c r="J2457" s="471" t="str">
        <f t="shared" si="361"/>
        <v>tradaccint-off</v>
      </c>
      <c r="K2457" s="471" t="str">
        <f t="shared" si="362"/>
        <v>SurDef</v>
      </c>
      <c r="L2457" s="599"/>
      <c r="M2457" s="472" t="s">
        <v>6508</v>
      </c>
      <c r="N2457" s="472" t="s">
        <v>1380</v>
      </c>
      <c r="O2457" s="472" t="s">
        <v>1376</v>
      </c>
    </row>
    <row r="2458" spans="1:15" x14ac:dyDescent="0.25">
      <c r="A2458" s="471" t="s">
        <v>2322</v>
      </c>
      <c r="B2458" s="1139">
        <f t="shared" ca="1" si="363"/>
        <v>0</v>
      </c>
      <c r="C2458" s="473">
        <f t="shared" ca="1" si="359"/>
        <v>0</v>
      </c>
      <c r="D2458" s="472" t="str">
        <f>IF(TSR!K79="","",TSR!K79)</f>
        <v/>
      </c>
      <c r="E2458" s="472" t="str">
        <f>IF(TSR!L79="","",TSR!L79)</f>
        <v/>
      </c>
      <c r="F2458" s="472" t="str">
        <f>IF(TSR!M79="","",TSR!M79)</f>
        <v/>
      </c>
      <c r="H2458" s="471">
        <f t="shared" si="360"/>
        <v>3</v>
      </c>
      <c r="I2458" s="471">
        <v>0</v>
      </c>
      <c r="J2458" s="471" t="str">
        <f t="shared" si="361"/>
        <v>tradaccint-it</v>
      </c>
      <c r="K2458" s="471" t="str">
        <f t="shared" si="362"/>
        <v>SurDef</v>
      </c>
      <c r="L2458" s="599"/>
      <c r="M2458" s="472" t="s">
        <v>6508</v>
      </c>
      <c r="N2458" s="472" t="s">
        <v>1380</v>
      </c>
      <c r="O2458" s="472" t="s">
        <v>1376</v>
      </c>
    </row>
    <row r="2459" spans="1:15" x14ac:dyDescent="0.25">
      <c r="A2459" s="471" t="s">
        <v>2323</v>
      </c>
      <c r="B2459" s="1139">
        <f t="shared" ca="1" si="363"/>
        <v>0</v>
      </c>
      <c r="C2459" s="473">
        <f t="shared" ca="1" si="359"/>
        <v>0</v>
      </c>
      <c r="D2459" s="472" t="str">
        <f>IF(TSR!K80="","",TSR!K80)</f>
        <v/>
      </c>
      <c r="E2459" s="472" t="str">
        <f>IF(TSR!L80="","",TSR!L80)</f>
        <v/>
      </c>
      <c r="F2459" s="472" t="str">
        <f>IF(TSR!M80="","",TSR!M80)</f>
        <v/>
      </c>
      <c r="H2459" s="471">
        <f t="shared" si="360"/>
        <v>3</v>
      </c>
      <c r="I2459" s="471">
        <v>0</v>
      </c>
      <c r="J2459" s="471" t="str">
        <f t="shared" si="361"/>
        <v>tradaccint-fnc</v>
      </c>
      <c r="K2459" s="471" t="str">
        <f t="shared" si="362"/>
        <v>SurDef</v>
      </c>
      <c r="L2459" s="599"/>
      <c r="M2459" s="472" t="s">
        <v>6508</v>
      </c>
      <c r="N2459" s="472" t="s">
        <v>1380</v>
      </c>
      <c r="O2459" s="472" t="s">
        <v>1376</v>
      </c>
    </row>
    <row r="2460" spans="1:15" x14ac:dyDescent="0.25">
      <c r="A2460" s="471" t="s">
        <v>2324</v>
      </c>
      <c r="B2460" s="1139">
        <f t="shared" ca="1" si="363"/>
        <v>0</v>
      </c>
      <c r="C2460" s="473">
        <f t="shared" ca="1" si="359"/>
        <v>0</v>
      </c>
      <c r="D2460" s="472" t="str">
        <f>IF(TSR!K81="","",TSR!K81)</f>
        <v/>
      </c>
      <c r="E2460" s="472" t="str">
        <f>IF(TSR!L81="","",TSR!L81)</f>
        <v/>
      </c>
      <c r="F2460" s="472" t="str">
        <f>IF(TSR!M81="","",TSR!M81)</f>
        <v/>
      </c>
      <c r="H2460" s="471">
        <f t="shared" si="360"/>
        <v>3</v>
      </c>
      <c r="I2460" s="471">
        <v>0</v>
      </c>
      <c r="J2460" s="471" t="str">
        <f t="shared" si="361"/>
        <v>tradaccint-lgl</v>
      </c>
      <c r="K2460" s="471" t="str">
        <f t="shared" si="362"/>
        <v>SurDef</v>
      </c>
      <c r="L2460" s="599"/>
      <c r="M2460" s="472" t="s">
        <v>6508</v>
      </c>
      <c r="N2460" s="472" t="s">
        <v>1380</v>
      </c>
      <c r="O2460" s="472" t="s">
        <v>1376</v>
      </c>
    </row>
    <row r="2461" spans="1:15" x14ac:dyDescent="0.25">
      <c r="A2461" s="471" t="s">
        <v>2325</v>
      </c>
      <c r="B2461" s="1139">
        <f t="shared" ca="1" si="363"/>
        <v>0</v>
      </c>
      <c r="C2461" s="473">
        <f t="shared" ca="1" si="359"/>
        <v>0</v>
      </c>
      <c r="D2461" s="472" t="str">
        <f>IF(TSR!K82="","",TSR!K82)</f>
        <v/>
      </c>
      <c r="E2461" s="472" t="str">
        <f>IF(TSR!L82="","",TSR!L82)</f>
        <v/>
      </c>
      <c r="F2461" s="472" t="str">
        <f>IF(TSR!M82="","",TSR!M82)</f>
        <v/>
      </c>
      <c r="H2461" s="471">
        <f t="shared" si="360"/>
        <v>3</v>
      </c>
      <c r="I2461" s="471">
        <v>0</v>
      </c>
      <c r="J2461" s="471" t="str">
        <f t="shared" si="361"/>
        <v>tradaccint-prs</v>
      </c>
      <c r="K2461" s="471" t="str">
        <f t="shared" si="362"/>
        <v>SurDef</v>
      </c>
      <c r="L2461" s="599"/>
      <c r="M2461" s="472" t="s">
        <v>6508</v>
      </c>
      <c r="N2461" s="472" t="s">
        <v>1380</v>
      </c>
      <c r="O2461" s="472" t="s">
        <v>1376</v>
      </c>
    </row>
    <row r="2462" spans="1:15" x14ac:dyDescent="0.25">
      <c r="A2462" s="471" t="s">
        <v>2326</v>
      </c>
      <c r="B2462" s="1139">
        <f t="shared" ca="1" si="363"/>
        <v>0</v>
      </c>
      <c r="C2462" s="473">
        <f t="shared" ca="1" si="359"/>
        <v>0</v>
      </c>
      <c r="D2462" s="472"/>
      <c r="E2462" s="472"/>
      <c r="F2462" s="472"/>
      <c r="G2462" s="471" t="str">
        <f>IF(ISNUMBER(SEARCH("specify",TSR!D83)),"",TSR!D83)</f>
        <v/>
      </c>
      <c r="H2462" s="471">
        <f t="shared" si="360"/>
        <v>3</v>
      </c>
      <c r="I2462" s="471">
        <v>0</v>
      </c>
      <c r="J2462" s="471" t="str">
        <f t="shared" si="361"/>
        <v>tradaccintoth1-n tradaccintoth1</v>
      </c>
      <c r="K2462" s="471" t="str">
        <f t="shared" si="362"/>
        <v>SurDef</v>
      </c>
      <c r="L2462" s="599"/>
      <c r="M2462" s="472" t="s">
        <v>6508</v>
      </c>
      <c r="N2462" s="472" t="s">
        <v>1380</v>
      </c>
      <c r="O2462" s="472" t="s">
        <v>1376</v>
      </c>
    </row>
    <row r="2463" spans="1:15" x14ac:dyDescent="0.25">
      <c r="A2463" s="471" t="s">
        <v>2327</v>
      </c>
      <c r="B2463" s="1139">
        <f t="shared" ca="1" si="363"/>
        <v>0</v>
      </c>
      <c r="C2463" s="473">
        <f t="shared" ca="1" si="359"/>
        <v>0</v>
      </c>
      <c r="D2463" s="472"/>
      <c r="E2463" s="472"/>
      <c r="F2463" s="472"/>
      <c r="G2463" s="471" t="str">
        <f>IF(ISNUMBER(SEARCH("specify",TSR!D84)),"",TSR!D84)</f>
        <v/>
      </c>
      <c r="H2463" s="471">
        <f t="shared" si="360"/>
        <v>3</v>
      </c>
      <c r="I2463" s="471">
        <v>0</v>
      </c>
      <c r="J2463" s="471" t="str">
        <f t="shared" si="361"/>
        <v>tradaccintoth2-n tradaccintoth2</v>
      </c>
      <c r="K2463" s="471" t="str">
        <f t="shared" si="362"/>
        <v>SurDef</v>
      </c>
      <c r="L2463" s="599"/>
      <c r="M2463" s="472" t="s">
        <v>6508</v>
      </c>
      <c r="N2463" s="472" t="s">
        <v>1380</v>
      </c>
      <c r="O2463" s="472" t="s">
        <v>1376</v>
      </c>
    </row>
    <row r="2464" spans="1:15" x14ac:dyDescent="0.25">
      <c r="A2464" s="471" t="s">
        <v>2328</v>
      </c>
      <c r="B2464" s="1139">
        <f t="shared" ca="1" si="363"/>
        <v>0</v>
      </c>
      <c r="C2464" s="473">
        <f t="shared" ca="1" si="359"/>
        <v>0</v>
      </c>
      <c r="D2464" s="472"/>
      <c r="E2464" s="472"/>
      <c r="F2464" s="472"/>
      <c r="G2464" s="471" t="str">
        <f>IF(ISNUMBER(SEARCH("specify",TSR!D85)),"",TSR!D85)</f>
        <v/>
      </c>
      <c r="H2464" s="471">
        <f t="shared" si="360"/>
        <v>3</v>
      </c>
      <c r="I2464" s="471">
        <v>0</v>
      </c>
      <c r="J2464" s="471" t="str">
        <f t="shared" si="361"/>
        <v>tradaccintoth3-n tradaccintoth3</v>
      </c>
      <c r="K2464" s="471" t="str">
        <f t="shared" si="362"/>
        <v>SurDef</v>
      </c>
      <c r="L2464" s="599"/>
      <c r="M2464" s="472" t="s">
        <v>6508</v>
      </c>
      <c r="N2464" s="472" t="s">
        <v>1380</v>
      </c>
      <c r="O2464" s="472" t="s">
        <v>1376</v>
      </c>
    </row>
    <row r="2465" spans="1:15" x14ac:dyDescent="0.25">
      <c r="A2465" s="471" t="s">
        <v>2329</v>
      </c>
      <c r="B2465" s="1139">
        <f t="shared" ca="1" si="363"/>
        <v>0</v>
      </c>
      <c r="C2465" s="473">
        <f t="shared" ca="1" si="359"/>
        <v>0</v>
      </c>
      <c r="D2465" s="472"/>
      <c r="E2465" s="472"/>
      <c r="F2465" s="472"/>
      <c r="G2465" s="471" t="str">
        <f>IF(ISNUMBER(SEARCH("specify",TSR!D86)),"",TSR!D86)</f>
        <v/>
      </c>
      <c r="H2465" s="471">
        <f t="shared" si="360"/>
        <v>3</v>
      </c>
      <c r="I2465" s="471">
        <v>0</v>
      </c>
      <c r="J2465" s="471" t="str">
        <f t="shared" si="361"/>
        <v>tradaccintoth4-n tradaccintoth4</v>
      </c>
      <c r="K2465" s="471" t="str">
        <f t="shared" si="362"/>
        <v>SurDef</v>
      </c>
      <c r="L2465" s="599"/>
      <c r="M2465" s="472" t="s">
        <v>6508</v>
      </c>
      <c r="N2465" s="472" t="s">
        <v>1380</v>
      </c>
      <c r="O2465" s="472" t="s">
        <v>1376</v>
      </c>
    </row>
    <row r="2466" spans="1:15" x14ac:dyDescent="0.25">
      <c r="A2466" s="471" t="s">
        <v>2330</v>
      </c>
      <c r="B2466" s="1139">
        <f t="shared" ca="1" si="363"/>
        <v>0</v>
      </c>
      <c r="C2466" s="473">
        <f t="shared" ca="1" si="359"/>
        <v>0</v>
      </c>
      <c r="D2466" s="472"/>
      <c r="E2466" s="472"/>
      <c r="F2466" s="472"/>
      <c r="G2466" s="471" t="str">
        <f>IF(ISNUMBER(SEARCH("specify",TSR!D87)),"",TSR!D87)</f>
        <v/>
      </c>
      <c r="H2466" s="471">
        <f t="shared" si="360"/>
        <v>3</v>
      </c>
      <c r="I2466" s="471">
        <v>0</v>
      </c>
      <c r="J2466" s="471" t="str">
        <f t="shared" si="361"/>
        <v>tradaccintoth5-n tradaccintoth5</v>
      </c>
      <c r="K2466" s="471" t="str">
        <f t="shared" si="362"/>
        <v>SurDef</v>
      </c>
      <c r="L2466" s="599"/>
      <c r="M2466" s="472" t="s">
        <v>6508</v>
      </c>
      <c r="N2466" s="472" t="s">
        <v>1380</v>
      </c>
      <c r="O2466" s="472" t="s">
        <v>1376</v>
      </c>
    </row>
    <row r="2467" spans="1:15" x14ac:dyDescent="0.25">
      <c r="A2467" s="701" t="s">
        <v>2331</v>
      </c>
      <c r="B2467" s="1140">
        <f>IF(TSR!I88="","",TSR!I88)</f>
        <v>0</v>
      </c>
      <c r="C2467" s="704">
        <f t="shared" ca="1" si="359"/>
        <v>0</v>
      </c>
      <c r="D2467" s="702" t="str">
        <f>IF(TSR!K88="","",TSR!K88)</f>
        <v/>
      </c>
      <c r="E2467" s="702" t="str">
        <f>IF(TSR!L88="","",TSR!L88)</f>
        <v/>
      </c>
      <c r="F2467" s="702" t="str">
        <f>IF(TSR!M88="","",TSR!M88)</f>
        <v/>
      </c>
      <c r="G2467" s="701"/>
      <c r="H2467" s="701">
        <f t="shared" si="360"/>
        <v>4</v>
      </c>
      <c r="I2467" s="701">
        <v>0</v>
      </c>
      <c r="J2467" s="701" t="str">
        <f>MID($A2467,SEARCH("-",$A2467)+1,SEARCH("#",SUBSTITUTE($A2467,"-","#",H2467-2),1)-(SEARCH("-",$A2467)+1))</f>
        <v>tradaccint</v>
      </c>
      <c r="K2467" s="701" t="str">
        <f>LEFT(RIGHT($A2467,LEN($A2467)-SEARCH("#",SUBSTITUTE($A2467,"-","#",H2467-2),1)),SEARCH("-",RIGHT($A2467,LEN($A2467)-SEARCH("#",SUBSTITUTE($A2467,"-","#",H2467-2),1)))-1)</f>
        <v>SurDef</v>
      </c>
      <c r="L2467" s="701" t="s">
        <v>6611</v>
      </c>
    </row>
    <row r="2468" spans="1:15" x14ac:dyDescent="0.25">
      <c r="A2468" s="701" t="s">
        <v>2332</v>
      </c>
      <c r="B2468" s="1140">
        <f>IF(TSR!I89="","",TSR!I89)</f>
        <v>0</v>
      </c>
      <c r="C2468" s="701">
        <f t="shared" ca="1" si="359"/>
        <v>0</v>
      </c>
      <c r="D2468" s="701" t="str">
        <f>IF(TSR!K89="","",TSR!K89)</f>
        <v/>
      </c>
      <c r="E2468" s="701" t="str">
        <f>IF(TSR!L89="","",TSR!L89)</f>
        <v/>
      </c>
      <c r="F2468" s="701" t="str">
        <f>IF(TSR!M89="","",TSR!M89)</f>
        <v/>
      </c>
      <c r="G2468" s="701"/>
      <c r="H2468" s="701">
        <v>2</v>
      </c>
      <c r="I2468" s="701">
        <v>0</v>
      </c>
      <c r="J2468" s="701" t="str">
        <f t="shared" si="361"/>
        <v>captot</v>
      </c>
      <c r="K2468" s="701" t="str">
        <f t="shared" si="362"/>
        <v>int</v>
      </c>
      <c r="L2468" s="701" t="s">
        <v>6611</v>
      </c>
    </row>
    <row r="2469" spans="1:15" x14ac:dyDescent="0.25">
      <c r="A2469" s="701" t="s">
        <v>2333</v>
      </c>
      <c r="B2469" s="1141">
        <f>IF(TSR!I90="","",TSR!I90)</f>
        <v>0</v>
      </c>
      <c r="C2469" s="704">
        <f t="shared" ca="1" si="359"/>
        <v>0</v>
      </c>
      <c r="D2469" s="702" t="str">
        <f>IF(TSR!K90="","",TSR!K90)</f>
        <v/>
      </c>
      <c r="E2469" s="702" t="str">
        <f>IF(TSR!L90="","",TSR!L90)</f>
        <v/>
      </c>
      <c r="F2469" s="702" t="str">
        <f>IF(TSR!M90="","",TSR!M90)</f>
        <v/>
      </c>
      <c r="G2469" s="701"/>
      <c r="H2469" s="701">
        <f t="shared" si="360"/>
        <v>4</v>
      </c>
      <c r="I2469" s="701">
        <v>0</v>
      </c>
      <c r="J2469" s="702" t="str">
        <f>MID($A2469,SEARCH("-",$A2469)+1,SEARCH("#",SUBSTITUTE($A2469,"-","#",H2469-2),1)-(SEARCH("-",$A2469)+1))</f>
        <v>tradaccint</v>
      </c>
      <c r="K2469" s="702" t="str">
        <f>LEFT(RIGHT($A2469,LEN($A2469)-SEARCH("#",SUBSTITUTE($A2469,"-","#",H2469-2),1)),SEARCH("-",RIGHT($A2469,LEN($A2469)-SEARCH("#",SUBSTITUTE($A2469,"-","#",H2469-2),1)))-1)</f>
        <v>SurDef</v>
      </c>
      <c r="L2469" s="701" t="s">
        <v>6611</v>
      </c>
    </row>
    <row r="2470" spans="1:15" x14ac:dyDescent="0.25">
      <c r="A2470" s="471" t="s">
        <v>6612</v>
      </c>
      <c r="B2470" s="1139">
        <f ca="1">INDEX(INDIRECT(LEFT($A2470,SEARCH("-",$A2470,1)-1)&amp;"_capdata"),MATCH(MID($A2470,SEARCH("-",$A2470)+1,SEARCH("#",SUBSTITUTE($A2470,"-","#",H2470),1)-(SEARCH("-",$A2470)+1)),INDIRECT(LEFT($A2470,SEARCH("-",$A2470,1)-1)&amp;"_caprows"),0),MATCH(RIGHT($A2470,LEN($A2470)-SEARCH("#",SUBSTITUTE($A2470,"-","#",H2470),1)),INDIRECT(LEFT($A2470,SEARCH("-",$A2470,1)-1)&amp;"_capHeader"),0))</f>
        <v>0</v>
      </c>
      <c r="C2470" s="473">
        <f ca="1">IF(ISERROR(VLOOKUP($A$2476,INDIRECT("notes_"&amp;LEFT($A$2476,3)),4,0)),0,VLOOKUP($A$2476,INDIRECT("notes_"&amp;LEFT($A$2476,3)),4,0))</f>
        <v>0</v>
      </c>
      <c r="D2470" s="472" t="str">
        <f>IF(TSR!K100="","",TSR!K100)</f>
        <v/>
      </c>
      <c r="E2470" s="472" t="str">
        <f>IF(TSR!L100="","",TSR!L100)</f>
        <v/>
      </c>
      <c r="F2470" s="472" t="str">
        <f>IF(TSR!M100="","",TSR!M100)</f>
        <v/>
      </c>
      <c r="G2470" s="472"/>
      <c r="H2470" s="471">
        <f t="shared" si="360"/>
        <v>2</v>
      </c>
      <c r="I2470" s="471">
        <v>0</v>
      </c>
      <c r="J2470" s="471" t="str">
        <f t="shared" si="361"/>
        <v>capdep</v>
      </c>
      <c r="K2470" s="471" t="str">
        <f t="shared" si="362"/>
        <v>ext</v>
      </c>
      <c r="L2470" s="599"/>
      <c r="M2470" s="472" t="s">
        <v>6613</v>
      </c>
      <c r="N2470" s="472" t="s">
        <v>6614</v>
      </c>
      <c r="O2470" s="472" t="s">
        <v>1485</v>
      </c>
    </row>
    <row r="2471" spans="1:15" x14ac:dyDescent="0.25">
      <c r="A2471" s="471" t="s">
        <v>6615</v>
      </c>
      <c r="B2471" s="1139">
        <f ca="1">INDEX(INDIRECT(LEFT($A2471,SEARCH("-",$A2471,1)-1)&amp;"_capdata"),MATCH(MID($A2471,SEARCH("-",$A2471)+1,SEARCH("#",SUBSTITUTE($A2471,"-","#",H2471),1)-(SEARCH("-",$A2471)+1)),INDIRECT(LEFT($A2471,SEARCH("-",$A2471,1)-1)&amp;"_caprows"),0),MATCH(RIGHT($A2471,LEN($A2471)-SEARCH("#",SUBSTITUTE($A2471,"-","#",H2471),1)),INDIRECT(LEFT($A2471,SEARCH("-",$A2471,1)-1)&amp;"_capHeader"),0))</f>
        <v>0</v>
      </c>
      <c r="C2471" s="473">
        <f ca="1">IF(ISERROR(VLOOKUP($A$2477,INDIRECT("notes_"&amp;LEFT($A$2477,3)),4,0)),0,VLOOKUP($A$2477,INDIRECT("notes_"&amp;LEFT($A$2477,3)),4,0))</f>
        <v>0</v>
      </c>
      <c r="D2471" s="472" t="str">
        <f>IF(TSR!K101="","",TSR!K101)</f>
        <v/>
      </c>
      <c r="E2471" s="472" t="e">
        <f>IF(TSR!L101="","",TSR!L101)</f>
        <v>#N/A</v>
      </c>
      <c r="F2471" s="472" t="str">
        <f>IF(TSR!M101="","",TSR!M101)</f>
        <v/>
      </c>
      <c r="H2471" s="471">
        <f t="shared" si="360"/>
        <v>2</v>
      </c>
      <c r="I2471" s="471">
        <v>0</v>
      </c>
      <c r="J2471" s="471" t="str">
        <f t="shared" si="361"/>
        <v>caploss</v>
      </c>
      <c r="K2471" s="471" t="str">
        <f t="shared" si="362"/>
        <v>ext</v>
      </c>
      <c r="L2471" s="599"/>
      <c r="M2471" s="472" t="s">
        <v>6613</v>
      </c>
      <c r="N2471" s="472" t="s">
        <v>6614</v>
      </c>
      <c r="O2471" s="472" t="s">
        <v>1485</v>
      </c>
    </row>
    <row r="2472" spans="1:15" x14ac:dyDescent="0.25">
      <c r="A2472" s="471" t="s">
        <v>6616</v>
      </c>
      <c r="B2472" s="1139">
        <f t="shared" ref="B2472:B2481" ca="1" si="364">INDEX(INDIRECT(LEFT($A2472,SEARCH("-",$A2472,1)-1)&amp;"_capdata"),MATCH(MID($A2472,SEARCH("-",$A2472)+1,SEARCH("#",SUBSTITUTE($A2472,"-","#",H2472),1)-(SEARCH("-",$A2472)+1)),INDIRECT(LEFT($A2472,SEARCH("-",$A2472,1)-1)&amp;"_caprows"),0),MATCH(RIGHT($A2472,LEN($A2472)-SEARCH("#",SUBSTITUTE($A2472,"-","#",H2472),1)),INDIRECT(LEFT($A2472,SEARCH("-",$A2472,1)-1)&amp;"_capHeader"),0))</f>
        <v>0</v>
      </c>
      <c r="C2472" s="473">
        <f ca="1">IF(ISERROR(VLOOKUP($A$2478,INDIRECT("notes_"&amp;LEFT($A$2478,3)),4,0)),0,VLOOKUP($A$2478,INDIRECT("notes_"&amp;LEFT($A$2478,3)),4,0))</f>
        <v>0</v>
      </c>
      <c r="D2472" s="472" t="str">
        <f>IF(TSR!K102="","",TSR!K102)</f>
        <v/>
      </c>
      <c r="E2472" s="472" t="str">
        <f>IF(TSR!L102="","",TSR!L102)</f>
        <v/>
      </c>
      <c r="F2472" s="472" t="str">
        <f>IF(TSR!M102="","",TSR!M102)</f>
        <v/>
      </c>
      <c r="H2472" s="471">
        <f t="shared" si="360"/>
        <v>2</v>
      </c>
      <c r="I2472" s="471">
        <v>0</v>
      </c>
      <c r="J2472" s="471" t="str">
        <f t="shared" si="361"/>
        <v>capreval</v>
      </c>
      <c r="K2472" s="471" t="str">
        <f t="shared" si="362"/>
        <v>ext</v>
      </c>
      <c r="L2472" s="599"/>
      <c r="M2472" s="472" t="s">
        <v>6613</v>
      </c>
      <c r="N2472" s="472" t="s">
        <v>6614</v>
      </c>
      <c r="O2472" s="472" t="s">
        <v>1485</v>
      </c>
    </row>
    <row r="2473" spans="1:15" x14ac:dyDescent="0.25">
      <c r="A2473" s="471" t="s">
        <v>6617</v>
      </c>
      <c r="B2473" s="1139">
        <f t="shared" ca="1" si="364"/>
        <v>0</v>
      </c>
      <c r="C2473" s="473">
        <f ca="1">IF(ISERROR(VLOOKUP($A$2479,INDIRECT("notes_"&amp;LEFT($A$2479,3)),4,0)),0,VLOOKUP($A$2479,INDIRECT("notes_"&amp;LEFT($A$2479,3)),4,0))</f>
        <v>0</v>
      </c>
      <c r="D2473" s="472" t="str">
        <f>IF(TSR!K103="","",TSR!K103)</f>
        <v/>
      </c>
      <c r="E2473" s="472" t="str">
        <f>IF(TSR!L103="","",TSR!L103)</f>
        <v/>
      </c>
      <c r="F2473" s="472" t="str">
        <f>IF(TSR!M103="","",TSR!M103)</f>
        <v/>
      </c>
      <c r="H2473" s="471">
        <f t="shared" si="360"/>
        <v>2</v>
      </c>
      <c r="I2473" s="471">
        <v>0</v>
      </c>
      <c r="J2473" s="471" t="str">
        <f t="shared" si="361"/>
        <v>capgrant</v>
      </c>
      <c r="K2473" s="471" t="str">
        <f t="shared" si="362"/>
        <v>ext</v>
      </c>
      <c r="L2473" s="599"/>
      <c r="M2473" s="472" t="s">
        <v>6613</v>
      </c>
      <c r="N2473" s="472" t="s">
        <v>6614</v>
      </c>
      <c r="O2473" s="472" t="s">
        <v>1485</v>
      </c>
    </row>
    <row r="2474" spans="1:15" x14ac:dyDescent="0.25">
      <c r="A2474" s="471" t="s">
        <v>6618</v>
      </c>
      <c r="B2474" s="1139">
        <f t="shared" ca="1" si="364"/>
        <v>0</v>
      </c>
      <c r="C2474" s="473">
        <f ca="1">IF(ISERROR(VLOOKUP($A$2480,INDIRECT("notes_"&amp;LEFT($A$2480,3)),4,0)),0,VLOOKUP($A$2480,INDIRECT("notes_"&amp;LEFT($A$2480,3)),4,0))</f>
        <v>0</v>
      </c>
      <c r="D2474" s="472" t="str">
        <f>IF(TSR!K104="","",TSR!K104)</f>
        <v/>
      </c>
      <c r="E2474" s="472" t="str">
        <f>IF(TSR!L104="","",TSR!L104)</f>
        <v/>
      </c>
      <c r="F2474" s="472" t="str">
        <f>IF(TSR!M104="","",TSR!M104)</f>
        <v/>
      </c>
      <c r="H2474" s="471">
        <f t="shared" si="360"/>
        <v>2</v>
      </c>
      <c r="I2474" s="471">
        <v>0</v>
      </c>
      <c r="J2474" s="471" t="str">
        <f t="shared" si="361"/>
        <v>caprecs</v>
      </c>
      <c r="K2474" s="471" t="str">
        <f t="shared" si="362"/>
        <v>ext</v>
      </c>
      <c r="L2474" s="599"/>
      <c r="M2474" s="472" t="s">
        <v>6613</v>
      </c>
      <c r="N2474" s="472" t="s">
        <v>6614</v>
      </c>
      <c r="O2474" s="472" t="s">
        <v>1485</v>
      </c>
    </row>
    <row r="2475" spans="1:15" x14ac:dyDescent="0.25">
      <c r="A2475" s="471" t="s">
        <v>6619</v>
      </c>
      <c r="B2475" s="1139">
        <f t="shared" ca="1" si="364"/>
        <v>0</v>
      </c>
      <c r="C2475" s="473">
        <f ca="1">IF(ISERROR(VLOOKUP($A$2481,INDIRECT("notes_"&amp;LEFT($A$2481,3)),4,0)),0,VLOOKUP($A$2481,INDIRECT("notes_"&amp;LEFT($A$2481,3)),4,0))</f>
        <v>0</v>
      </c>
      <c r="D2475" s="472" t="str">
        <f>IF(TSR!K105="","",TSR!K105)</f>
        <v/>
      </c>
      <c r="E2475" s="472" t="str">
        <f>IF(TSR!L105="","",TSR!L105)</f>
        <v/>
      </c>
      <c r="F2475" s="472" t="str">
        <f>IF(TSR!M105="","",TSR!M105)</f>
        <v/>
      </c>
      <c r="H2475" s="471">
        <f t="shared" si="360"/>
        <v>2</v>
      </c>
      <c r="I2475" s="471">
        <v>0</v>
      </c>
      <c r="J2475" s="471" t="str">
        <f t="shared" si="361"/>
        <v>capsum</v>
      </c>
      <c r="K2475" s="471" t="str">
        <f t="shared" si="362"/>
        <v>ext</v>
      </c>
      <c r="L2475" s="599"/>
      <c r="M2475" s="472" t="s">
        <v>6613</v>
      </c>
      <c r="N2475" s="472" t="s">
        <v>6614</v>
      </c>
      <c r="O2475" s="472" t="s">
        <v>1485</v>
      </c>
    </row>
    <row r="2476" spans="1:15" x14ac:dyDescent="0.25">
      <c r="A2476" s="471" t="s">
        <v>2334</v>
      </c>
      <c r="B2476" s="1139">
        <f t="shared" ca="1" si="364"/>
        <v>0</v>
      </c>
      <c r="C2476" s="473">
        <f ca="1">IF(ISERROR(VLOOKUP($A$2476,INDIRECT("notes_"&amp;LEFT($A$2476,3)),4,0)),0,VLOOKUP($A$2476,INDIRECT("notes_"&amp;LEFT($A$2476,3)),4,0))</f>
        <v>0</v>
      </c>
      <c r="D2476" s="471" t="str">
        <f>IF(TSR!K100="","",TSR!K100)</f>
        <v/>
      </c>
      <c r="E2476" s="471" t="str">
        <f>IF(TSR!L100="","",TSR!L100)</f>
        <v/>
      </c>
      <c r="F2476" s="471" t="str">
        <f>IF(TSR!N100="","",TSR!N100)</f>
        <v/>
      </c>
      <c r="H2476" s="471">
        <f t="shared" si="360"/>
        <v>2</v>
      </c>
      <c r="I2476" s="471">
        <v>0</v>
      </c>
      <c r="J2476" s="471" t="str">
        <f t="shared" si="361"/>
        <v>capdep</v>
      </c>
      <c r="K2476" s="471" t="str">
        <f t="shared" si="362"/>
        <v>int</v>
      </c>
      <c r="L2476" s="599"/>
      <c r="M2476" s="472" t="s">
        <v>6613</v>
      </c>
      <c r="N2476" s="472" t="s">
        <v>6614</v>
      </c>
      <c r="O2476" s="472" t="s">
        <v>1485</v>
      </c>
    </row>
    <row r="2477" spans="1:15" x14ac:dyDescent="0.25">
      <c r="A2477" s="471" t="s">
        <v>2335</v>
      </c>
      <c r="B2477" s="1139">
        <f t="shared" ca="1" si="364"/>
        <v>0</v>
      </c>
      <c r="C2477" s="473">
        <f ca="1">IF(ISERROR(VLOOKUP($A$2477,INDIRECT("notes_"&amp;LEFT($A$2477,3)),4,0)),0,VLOOKUP($A$2477,INDIRECT("notes_"&amp;LEFT($A$2477,3)),4,0))</f>
        <v>0</v>
      </c>
      <c r="D2477" s="471" t="str">
        <f>IF(TSR!K101="","",TSR!K101)</f>
        <v/>
      </c>
      <c r="E2477" s="471" t="e">
        <f>IF(TSR!L101="","",TSR!L101)</f>
        <v>#N/A</v>
      </c>
      <c r="F2477" s="471" t="e">
        <f>IF(TSR!N101="","",TSR!N101)</f>
        <v>#N/A</v>
      </c>
      <c r="H2477" s="471">
        <f t="shared" ref="H2477:H2481" si="365">LEN(A2477)-LEN(SUBSTITUTE(A2477,"-",""))-I2477</f>
        <v>2</v>
      </c>
      <c r="I2477" s="471">
        <v>0</v>
      </c>
      <c r="J2477" s="471" t="str">
        <f t="shared" ref="J2477:J2481" si="366">MID($A2477,SEARCH("-",$A2477)+1,SEARCH("#",SUBSTITUTE($A2477,"-","#",H2477),1)-(SEARCH("-",$A2477)+1))</f>
        <v>caploss</v>
      </c>
      <c r="K2477" s="471" t="str">
        <f t="shared" ref="K2477:K2481" si="367">RIGHT($A2477,LEN($A2477)-SEARCH("#",SUBSTITUTE($A2477,"-","#",H2477),1))</f>
        <v>int</v>
      </c>
      <c r="L2477" s="599"/>
      <c r="M2477" s="472" t="s">
        <v>6613</v>
      </c>
      <c r="N2477" s="472" t="s">
        <v>6614</v>
      </c>
      <c r="O2477" s="472" t="s">
        <v>1485</v>
      </c>
    </row>
    <row r="2478" spans="1:15" x14ac:dyDescent="0.25">
      <c r="A2478" s="471" t="s">
        <v>2336</v>
      </c>
      <c r="B2478" s="1139">
        <f t="shared" ca="1" si="364"/>
        <v>0</v>
      </c>
      <c r="C2478" s="473">
        <f ca="1">IF(ISERROR(VLOOKUP($A$2478,INDIRECT("notes_"&amp;LEFT($A$2478,3)),4,0)),0,VLOOKUP($A$2478,INDIRECT("notes_"&amp;LEFT($A$2478,3)),4,0))</f>
        <v>0</v>
      </c>
      <c r="D2478" s="471" t="str">
        <f>IF(TSR!K102="","",TSR!K102)</f>
        <v/>
      </c>
      <c r="E2478" s="471" t="str">
        <f>IF(TSR!L102="","",TSR!L102)</f>
        <v/>
      </c>
      <c r="F2478" s="471" t="str">
        <f>IF(TSR!N102="","",TSR!N102)</f>
        <v/>
      </c>
      <c r="H2478" s="471">
        <f t="shared" si="365"/>
        <v>2</v>
      </c>
      <c r="I2478" s="471">
        <v>0</v>
      </c>
      <c r="J2478" s="471" t="str">
        <f t="shared" si="366"/>
        <v>capreval</v>
      </c>
      <c r="K2478" s="471" t="str">
        <f t="shared" si="367"/>
        <v>int</v>
      </c>
      <c r="L2478" s="599"/>
      <c r="M2478" s="472" t="s">
        <v>6613</v>
      </c>
      <c r="N2478" s="472" t="s">
        <v>6614</v>
      </c>
      <c r="O2478" s="472" t="s">
        <v>1485</v>
      </c>
    </row>
    <row r="2479" spans="1:15" x14ac:dyDescent="0.25">
      <c r="A2479" s="471" t="s">
        <v>2337</v>
      </c>
      <c r="B2479" s="1139">
        <f t="shared" ca="1" si="364"/>
        <v>0</v>
      </c>
      <c r="C2479" s="473">
        <f ca="1">IF(ISERROR(VLOOKUP($A$2479,INDIRECT("notes_"&amp;LEFT($A$2479,3)),4,0)),0,VLOOKUP($A$2479,INDIRECT("notes_"&amp;LEFT($A$2479,3)),4,0))</f>
        <v>0</v>
      </c>
      <c r="D2479" s="471" t="str">
        <f>IF(TSR!K103="","",TSR!K103)</f>
        <v/>
      </c>
      <c r="E2479" s="471" t="str">
        <f>IF(TSR!L103="","",TSR!L103)</f>
        <v/>
      </c>
      <c r="F2479" s="471" t="str">
        <f>IF(TSR!N103="","",TSR!N103)</f>
        <v/>
      </c>
      <c r="H2479" s="471">
        <f t="shared" si="365"/>
        <v>2</v>
      </c>
      <c r="I2479" s="471">
        <v>0</v>
      </c>
      <c r="J2479" s="471" t="str">
        <f t="shared" si="366"/>
        <v>capgrant</v>
      </c>
      <c r="K2479" s="471" t="str">
        <f t="shared" si="367"/>
        <v>int</v>
      </c>
      <c r="L2479" s="599"/>
      <c r="M2479" s="472" t="s">
        <v>6613</v>
      </c>
      <c r="N2479" s="472" t="s">
        <v>6614</v>
      </c>
      <c r="O2479" s="472" t="s">
        <v>1485</v>
      </c>
    </row>
    <row r="2480" spans="1:15" x14ac:dyDescent="0.25">
      <c r="A2480" s="471" t="s">
        <v>2338</v>
      </c>
      <c r="B2480" s="1139">
        <f t="shared" ca="1" si="364"/>
        <v>0</v>
      </c>
      <c r="C2480" s="473">
        <f ca="1">IF(ISERROR(VLOOKUP($A$2480,INDIRECT("notes_"&amp;LEFT($A$2480,3)),4,0)),0,VLOOKUP($A$2480,INDIRECT("notes_"&amp;LEFT($A$2480,3)),4,0))</f>
        <v>0</v>
      </c>
      <c r="D2480" s="471" t="str">
        <f>IF(TSR!K104="","",TSR!K104)</f>
        <v/>
      </c>
      <c r="E2480" s="471" t="str">
        <f>IF(TSR!L104="","",TSR!L104)</f>
        <v/>
      </c>
      <c r="F2480" s="471" t="str">
        <f>IF(TSR!N104="","",TSR!N104)</f>
        <v/>
      </c>
      <c r="H2480" s="471">
        <f t="shared" si="365"/>
        <v>2</v>
      </c>
      <c r="I2480" s="471">
        <v>0</v>
      </c>
      <c r="J2480" s="471" t="str">
        <f t="shared" si="366"/>
        <v>caprecs</v>
      </c>
      <c r="K2480" s="471" t="str">
        <f t="shared" si="367"/>
        <v>int</v>
      </c>
      <c r="L2480" s="599"/>
      <c r="M2480" s="472" t="s">
        <v>6613</v>
      </c>
      <c r="N2480" s="472" t="s">
        <v>6614</v>
      </c>
      <c r="O2480" s="472" t="s">
        <v>1485</v>
      </c>
    </row>
    <row r="2481" spans="1:15" x14ac:dyDescent="0.25">
      <c r="A2481" s="471" t="s">
        <v>2339</v>
      </c>
      <c r="B2481" s="1139">
        <f t="shared" ca="1" si="364"/>
        <v>0</v>
      </c>
      <c r="C2481" s="473">
        <f ca="1">IF(ISERROR(VLOOKUP($A$2481,INDIRECT("notes_"&amp;LEFT($A$2481,3)),4,0)),0,VLOOKUP($A$2481,INDIRECT("notes_"&amp;LEFT($A$2481,3)),4,0))</f>
        <v>0</v>
      </c>
      <c r="D2481" s="471" t="str">
        <f>IF(TSR!K105="","",TSR!K105)</f>
        <v/>
      </c>
      <c r="E2481" s="471" t="str">
        <f>IF(TSR!L105="","",TSR!L105)</f>
        <v/>
      </c>
      <c r="F2481" s="471" t="str">
        <f>IF(TSR!N105="","",TSR!N105)</f>
        <v/>
      </c>
      <c r="H2481" s="471">
        <f t="shared" si="365"/>
        <v>2</v>
      </c>
      <c r="I2481" s="471">
        <v>0</v>
      </c>
      <c r="J2481" s="471" t="str">
        <f t="shared" si="366"/>
        <v>capsum</v>
      </c>
      <c r="K2481" s="471" t="str">
        <f t="shared" si="367"/>
        <v>int</v>
      </c>
      <c r="L2481" s="599"/>
      <c r="M2481" s="472" t="s">
        <v>6613</v>
      </c>
      <c r="N2481" s="472" t="s">
        <v>6614</v>
      </c>
      <c r="O2481" s="472" t="s">
        <v>1485</v>
      </c>
    </row>
    <row r="2482" spans="1:15" x14ac:dyDescent="0.25">
      <c r="A2482" s="471" t="s">
        <v>2340</v>
      </c>
      <c r="B2482" s="1139">
        <f t="shared" ref="B2482:B2545" ca="1" si="368">INDEX(INDIRECT(LEFT($A2482,SEARCH("-",$A2482,1)-1)&amp;"_data"),MATCH(MID($A2482,SEARCH("-",$A2482)+1,SEARCH("#",SUBSTITUTE($A2482,"-","#",H2482),1)-(SEARCH("-",$A2482)+1)),INDIRECT(LEFT($A2482,SEARCH("-",$A2482,1)-1)&amp;"_rows"),0),MATCH(RIGHT($A2482,LEN($A2482)-SEARCH("#",SUBSTITUTE($A2482,"-","#",H2482),1)),INDIRECT(LEFT($A2482,SEARCH("-",$A2482,1)-1)&amp;"_Header"),0))</f>
        <v>0</v>
      </c>
      <c r="C2482" s="473">
        <f ca="1">IF(ISERROR(VLOOKUP($A$2482,INDIRECT("notes_"&amp;LEFT($A$2482,3)),4,0)),0,VLOOKUP($A$2482,INDIRECT("notes_"&amp;LEFT($A$2482,3)),4,0))</f>
        <v>0</v>
      </c>
      <c r="H2482" s="471">
        <v>3</v>
      </c>
      <c r="I2482" s="471">
        <v>1</v>
      </c>
      <c r="J2482" s="471" t="str">
        <f t="shared" ref="J2482:J2483" si="369">MID($A2482,SEARCH("-",$A2482)+1,SEARCH("#",SUBSTITUTE($A2482,"-","#",H2482),1)-(SEARCH("-",$A2482)+1))</f>
        <v>tchr-slr</v>
      </c>
      <c r="K2482" s="471" t="str">
        <f t="shared" ref="K2482:K2483" si="370">RIGHT($A2482,LEN($A2482)-SEARCH("#",SUBSTITUTE($A2482,"-","#",H2482),1))</f>
        <v>tot</v>
      </c>
      <c r="L2482" s="599"/>
      <c r="M2482" s="471" t="s">
        <v>6620</v>
      </c>
      <c r="N2482" s="471" t="s">
        <v>1502</v>
      </c>
      <c r="O2482" s="471" t="s">
        <v>1496</v>
      </c>
    </row>
    <row r="2483" spans="1:15" x14ac:dyDescent="0.25">
      <c r="A2483" s="471" t="s">
        <v>2342</v>
      </c>
      <c r="B2483" s="1139">
        <f t="shared" ca="1" si="368"/>
        <v>0</v>
      </c>
      <c r="C2483" s="473">
        <f ca="1">IF(ISERROR(VLOOKUP($A$2483,INDIRECT("notes_"&amp;LEFT($A$2483,3)),4,0)),0,VLOOKUP($A$2483,INDIRECT("notes_"&amp;LEFT($A$2483,3)),4,0))</f>
        <v>0</v>
      </c>
      <c r="H2483" s="471">
        <v>4</v>
      </c>
      <c r="I2483" s="471">
        <v>2</v>
      </c>
      <c r="J2483" s="471" t="str">
        <f t="shared" si="369"/>
        <v>tchr-ni-cnt</v>
      </c>
      <c r="K2483" s="471" t="str">
        <f t="shared" si="370"/>
        <v>tot</v>
      </c>
      <c r="L2483" s="599"/>
      <c r="M2483" s="471" t="s">
        <v>6620</v>
      </c>
      <c r="N2483" s="471" t="s">
        <v>1502</v>
      </c>
      <c r="O2483" s="471" t="s">
        <v>1496</v>
      </c>
    </row>
    <row r="2484" spans="1:15" x14ac:dyDescent="0.25">
      <c r="A2484" s="471" t="s">
        <v>2343</v>
      </c>
      <c r="B2484" s="1139">
        <f t="shared" ca="1" si="368"/>
        <v>0</v>
      </c>
      <c r="C2484" s="473">
        <f ca="1">IF(ISERROR(VLOOKUP($A$2484,INDIRECT("notes_"&amp;LEFT($A$2484,3)),4,0)),0,VLOOKUP($A$2484,INDIRECT("notes_"&amp;LEFT($A$2484,3)),4,0))</f>
        <v>0</v>
      </c>
      <c r="H2484" s="471">
        <v>4</v>
      </c>
      <c r="I2484" s="471">
        <v>2</v>
      </c>
      <c r="J2484" s="471" t="str">
        <f t="shared" ref="J2484:J2485" si="371">MID($A2484,SEARCH("-",$A2484)+1,SEARCH("#",SUBSTITUTE($A2484,"-","#",H2484),1)-(SEARCH("-",$A2484)+1))</f>
        <v>tchr-rtr-bnf</v>
      </c>
      <c r="K2484" s="471" t="str">
        <f t="shared" ref="K2484:K2486" si="372">RIGHT($A2484,LEN($A2484)-SEARCH("#",SUBSTITUTE($A2484,"-","#",H2484),1))</f>
        <v>tot</v>
      </c>
      <c r="L2484" s="599"/>
      <c r="M2484" s="471" t="s">
        <v>6620</v>
      </c>
      <c r="N2484" s="471" t="s">
        <v>1502</v>
      </c>
      <c r="O2484" s="471" t="s">
        <v>1496</v>
      </c>
    </row>
    <row r="2485" spans="1:15" x14ac:dyDescent="0.25">
      <c r="A2485" s="471" t="s">
        <v>2344</v>
      </c>
      <c r="B2485" s="1139">
        <f t="shared" ca="1" si="368"/>
        <v>0</v>
      </c>
      <c r="C2485" s="473">
        <f ca="1">IF(ISERROR(VLOOKUP($A$2485,INDIRECT("notes_"&amp;LEFT($A$2485,3)),4,0)),0,VLOOKUP($A$2485,INDIRECT("notes_"&amp;LEFT($A$2485,3)),4,0))</f>
        <v>0</v>
      </c>
      <c r="H2485" s="471">
        <v>4</v>
      </c>
      <c r="I2485" s="471">
        <v>2</v>
      </c>
      <c r="J2485" s="471" t="str">
        <f t="shared" si="371"/>
        <v>tchr-lct-all</v>
      </c>
      <c r="K2485" s="471" t="str">
        <f t="shared" si="372"/>
        <v>tot</v>
      </c>
      <c r="L2485" s="599"/>
      <c r="M2485" s="471" t="s">
        <v>6620</v>
      </c>
      <c r="N2485" s="471" t="s">
        <v>1502</v>
      </c>
      <c r="O2485" s="471" t="s">
        <v>1496</v>
      </c>
    </row>
    <row r="2486" spans="1:15" x14ac:dyDescent="0.25">
      <c r="A2486" s="471" t="s">
        <v>2345</v>
      </c>
      <c r="B2486" s="1139">
        <f t="shared" ca="1" si="368"/>
        <v>0</v>
      </c>
      <c r="C2486" s="473">
        <f ca="1">IF(ISERROR(VLOOKUP($A$2486,INDIRECT("notes_"&amp;LEFT($A$2486,3)),4,0)),0,VLOOKUP($A$2486,INDIRECT("notes_"&amp;LEFT($A$2486,3)),4,0))</f>
        <v>0</v>
      </c>
      <c r="H2486" s="471">
        <v>2</v>
      </c>
      <c r="I2486" s="471">
        <v>0</v>
      </c>
      <c r="J2486" s="471" t="str">
        <f>MID($A2486,SEARCH("-",$A2486)+1,SEARCH("#",SUBSTITUTE($A2486,"-","#",H2486),1)-(SEARCH("-",$A2486)+1))</f>
        <v>tchrtot</v>
      </c>
      <c r="K2486" s="471" t="str">
        <f t="shared" si="372"/>
        <v>tot</v>
      </c>
      <c r="L2486" s="599"/>
      <c r="M2486" s="471" t="s">
        <v>6620</v>
      </c>
      <c r="N2486" s="471" t="s">
        <v>1502</v>
      </c>
      <c r="O2486" s="471" t="s">
        <v>1496</v>
      </c>
    </row>
    <row r="2487" spans="1:15" x14ac:dyDescent="0.25">
      <c r="A2487" s="471" t="s">
        <v>2346</v>
      </c>
      <c r="B2487" s="1139">
        <f t="shared" ca="1" si="368"/>
        <v>0</v>
      </c>
      <c r="C2487" s="473">
        <f ca="1">IF(ISERROR(VLOOKUP($A$2487,INDIRECT("notes_"&amp;LEFT($A$2487,3)),4,0)),0,VLOOKUP($A$2487,INDIRECT("notes_"&amp;LEFT($A$2487,3)),4,0))</f>
        <v>0</v>
      </c>
      <c r="H2487" s="471">
        <v>4</v>
      </c>
      <c r="I2487" s="471">
        <v>0</v>
      </c>
      <c r="J2487" s="471" t="str">
        <f t="shared" ref="J2487:J2491" si="373">MID($A2487,SEARCH("-",$A2487)+1,SEARCH("#",SUBSTITUTE($A2487,"-","#",H2487),1)-(SEARCH("-",$A2487)+1))</f>
        <v>pol-frs-slr</v>
      </c>
      <c r="K2487" s="471" t="str">
        <f t="shared" ref="K2487:K2491" si="374">RIGHT($A2487,LEN($A2487)-SEARCH("#",SUBSTITUTE($A2487,"-","#",H2487),1))</f>
        <v>tot</v>
      </c>
      <c r="L2487" s="599"/>
      <c r="M2487" s="471" t="s">
        <v>6620</v>
      </c>
      <c r="N2487" s="471" t="s">
        <v>1502</v>
      </c>
      <c r="O2487" s="471" t="s">
        <v>1496</v>
      </c>
    </row>
    <row r="2488" spans="1:15" x14ac:dyDescent="0.25">
      <c r="A2488" s="471" t="s">
        <v>2347</v>
      </c>
      <c r="B2488" s="1139">
        <f t="shared" ca="1" si="368"/>
        <v>0</v>
      </c>
      <c r="C2488" s="473">
        <f ca="1">IF(ISERROR(VLOOKUP($A$2488,INDIRECT("notes_"&amp;LEFT($A$2488,3)),4,0)),0,VLOOKUP($A$2488,INDIRECT("notes_"&amp;LEFT($A$2488,3)),4,0))</f>
        <v>0</v>
      </c>
      <c r="H2488" s="471">
        <v>5</v>
      </c>
      <c r="I2488" s="471">
        <v>0</v>
      </c>
      <c r="J2488" s="471" t="str">
        <f t="shared" si="373"/>
        <v>pol-frs-ni-cnt</v>
      </c>
      <c r="K2488" s="471" t="str">
        <f t="shared" si="374"/>
        <v>tot</v>
      </c>
      <c r="L2488" s="599"/>
      <c r="M2488" s="471" t="s">
        <v>6620</v>
      </c>
      <c r="N2488" s="471" t="s">
        <v>1502</v>
      </c>
      <c r="O2488" s="471" t="s">
        <v>1496</v>
      </c>
    </row>
    <row r="2489" spans="1:15" x14ac:dyDescent="0.25">
      <c r="A2489" s="471" t="s">
        <v>2348</v>
      </c>
      <c r="B2489" s="1139">
        <f t="shared" ca="1" si="368"/>
        <v>0</v>
      </c>
      <c r="C2489" s="473">
        <f ca="1">IF(ISERROR(VLOOKUP($A$2489,INDIRECT("notes_"&amp;LEFT($A$2489,3)),4,0)),0,VLOOKUP($A$2489,INDIRECT("notes_"&amp;LEFT($A$2489,3)),4,0))</f>
        <v>0</v>
      </c>
      <c r="H2489" s="471">
        <v>5</v>
      </c>
      <c r="I2489" s="471">
        <v>0</v>
      </c>
      <c r="J2489" s="471" t="str">
        <f t="shared" si="373"/>
        <v>pol-frs-rtr-bnf</v>
      </c>
      <c r="K2489" s="471" t="str">
        <f t="shared" si="374"/>
        <v>tot</v>
      </c>
      <c r="L2489" s="599"/>
      <c r="M2489" s="471" t="s">
        <v>6620</v>
      </c>
      <c r="N2489" s="471" t="s">
        <v>1502</v>
      </c>
      <c r="O2489" s="471" t="s">
        <v>1496</v>
      </c>
    </row>
    <row r="2490" spans="1:15" x14ac:dyDescent="0.25">
      <c r="A2490" s="471" t="s">
        <v>2349</v>
      </c>
      <c r="B2490" s="1139">
        <f t="shared" ca="1" si="368"/>
        <v>0</v>
      </c>
      <c r="C2490" s="473">
        <f ca="1">IF(ISERROR(VLOOKUP($A$2490,INDIRECT("notes_"&amp;LEFT($A$2490,3)),4,0)),0,VLOOKUP($A$2490,INDIRECT("notes_"&amp;LEFT($A$2490,3)),4,0))</f>
        <v>0</v>
      </c>
      <c r="H2490" s="471">
        <v>5</v>
      </c>
      <c r="I2490" s="471">
        <v>0</v>
      </c>
      <c r="J2490" s="471" t="str">
        <f t="shared" si="373"/>
        <v>pol-frs-lct-all</v>
      </c>
      <c r="K2490" s="471" t="str">
        <f t="shared" si="374"/>
        <v>tot</v>
      </c>
      <c r="L2490" s="599"/>
      <c r="M2490" s="471" t="s">
        <v>6620</v>
      </c>
      <c r="N2490" s="471" t="s">
        <v>1502</v>
      </c>
      <c r="O2490" s="471" t="s">
        <v>1496</v>
      </c>
    </row>
    <row r="2491" spans="1:15" x14ac:dyDescent="0.25">
      <c r="A2491" s="471" t="s">
        <v>2350</v>
      </c>
      <c r="B2491" s="1139">
        <f t="shared" ca="1" si="368"/>
        <v>0</v>
      </c>
      <c r="C2491" s="473">
        <f ca="1">IF(ISERROR(VLOOKUP($A$2491,INDIRECT("notes_"&amp;LEFT($A$2491,3)),4,0)),0,VLOOKUP($A$2491,INDIRECT("notes_"&amp;LEFT($A$2491,3)),4,0))</f>
        <v>0</v>
      </c>
      <c r="H2491" s="471">
        <v>4</v>
      </c>
      <c r="I2491" s="471">
        <v>0</v>
      </c>
      <c r="J2491" s="471" t="str">
        <f t="shared" si="373"/>
        <v>pol-frs-tot</v>
      </c>
      <c r="K2491" s="471" t="str">
        <f t="shared" si="374"/>
        <v>tot</v>
      </c>
      <c r="L2491" s="599"/>
      <c r="M2491" s="471" t="s">
        <v>6620</v>
      </c>
      <c r="N2491" s="471" t="s">
        <v>1502</v>
      </c>
      <c r="O2491" s="471" t="s">
        <v>1496</v>
      </c>
    </row>
    <row r="2492" spans="1:15" x14ac:dyDescent="0.25">
      <c r="A2492" s="471" t="s">
        <v>2351</v>
      </c>
      <c r="B2492" s="1139">
        <f t="shared" ca="1" si="368"/>
        <v>0</v>
      </c>
      <c r="C2492" s="473">
        <f ca="1">IF(ISERROR(VLOOKUP($A$2492,INDIRECT("notes_"&amp;LEFT($A$2492,3)),4,0)),0,VLOOKUP($A$2492,INDIRECT("notes_"&amp;LEFT($A$2492,3)),4,0))</f>
        <v>0</v>
      </c>
      <c r="H2492" s="471">
        <v>3</v>
      </c>
      <c r="I2492" s="471">
        <v>0</v>
      </c>
      <c r="J2492" s="471" t="str">
        <f t="shared" ref="J2492:J2498" si="375">MID($A2492,SEARCH("-",$A2492)+1,SEARCH("#",SUBSTITUTE($A2492,"-","#",H2492),1)-(SEARCH("-",$A2492)+1))</f>
        <v>oth-slr</v>
      </c>
      <c r="K2492" s="471" t="str">
        <f t="shared" ref="K2492:K2498" si="376">RIGHT($A2492,LEN($A2492)-SEARCH("#",SUBSTITUTE($A2492,"-","#",H2492),1))</f>
        <v>tot</v>
      </c>
      <c r="L2492" s="599"/>
      <c r="M2492" s="471" t="s">
        <v>6620</v>
      </c>
      <c r="N2492" s="471" t="s">
        <v>1502</v>
      </c>
      <c r="O2492" s="471" t="s">
        <v>1496</v>
      </c>
    </row>
    <row r="2493" spans="1:15" x14ac:dyDescent="0.25">
      <c r="A2493" s="471" t="s">
        <v>2352</v>
      </c>
      <c r="B2493" s="1139">
        <f t="shared" ca="1" si="368"/>
        <v>0</v>
      </c>
      <c r="C2493" s="473">
        <f ca="1">IF(ISERROR(VLOOKUP($A$2493,INDIRECT("notes_"&amp;LEFT($A$2493,3)),4,0)),0,VLOOKUP($A$2493,INDIRECT("notes_"&amp;LEFT($A$2493,3)),4,0))</f>
        <v>0</v>
      </c>
      <c r="H2493" s="471">
        <v>4</v>
      </c>
      <c r="I2493" s="471">
        <v>0</v>
      </c>
      <c r="J2493" s="471" t="str">
        <f t="shared" si="375"/>
        <v>oth-ni-cnt</v>
      </c>
      <c r="K2493" s="471" t="str">
        <f t="shared" si="376"/>
        <v>tot</v>
      </c>
      <c r="L2493" s="599"/>
      <c r="M2493" s="471" t="s">
        <v>6620</v>
      </c>
      <c r="N2493" s="471" t="s">
        <v>1502</v>
      </c>
      <c r="O2493" s="471" t="s">
        <v>1496</v>
      </c>
    </row>
    <row r="2494" spans="1:15" x14ac:dyDescent="0.25">
      <c r="A2494" s="471" t="s">
        <v>2353</v>
      </c>
      <c r="B2494" s="1139">
        <f t="shared" ca="1" si="368"/>
        <v>0</v>
      </c>
      <c r="C2494" s="473">
        <f ca="1">IF(ISERROR(VLOOKUP($A$2494,INDIRECT("notes_"&amp;LEFT($A$2494,3)),4,0)),0,VLOOKUP($A$2494,INDIRECT("notes_"&amp;LEFT($A$2494,3)),4,0))</f>
        <v>0</v>
      </c>
      <c r="H2494" s="471">
        <v>4</v>
      </c>
      <c r="I2494" s="471">
        <v>0</v>
      </c>
      <c r="J2494" s="471" t="str">
        <f t="shared" si="375"/>
        <v>oth-rtr-bnf</v>
      </c>
      <c r="K2494" s="471" t="str">
        <f t="shared" si="376"/>
        <v>tot</v>
      </c>
      <c r="L2494" s="599"/>
      <c r="M2494" s="471" t="s">
        <v>6620</v>
      </c>
      <c r="N2494" s="471" t="s">
        <v>1502</v>
      </c>
      <c r="O2494" s="471" t="s">
        <v>1496</v>
      </c>
    </row>
    <row r="2495" spans="1:15" x14ac:dyDescent="0.25">
      <c r="A2495" s="471" t="s">
        <v>2354</v>
      </c>
      <c r="B2495" s="1139">
        <f t="shared" ca="1" si="368"/>
        <v>0</v>
      </c>
      <c r="C2495" s="473">
        <f ca="1">IF(ISERROR(VLOOKUP($A$2495,INDIRECT("notes_"&amp;LEFT($A$2495,3)),4,0)),0,VLOOKUP($A$2495,INDIRECT("notes_"&amp;LEFT($A$2495,3)),4,0))</f>
        <v>0</v>
      </c>
      <c r="H2495" s="471">
        <v>4</v>
      </c>
      <c r="I2495" s="471">
        <v>0</v>
      </c>
      <c r="J2495" s="471" t="str">
        <f t="shared" si="375"/>
        <v>oth-lct-all</v>
      </c>
      <c r="K2495" s="471" t="str">
        <f t="shared" si="376"/>
        <v>tot</v>
      </c>
      <c r="L2495" s="599"/>
      <c r="M2495" s="471" t="s">
        <v>6620</v>
      </c>
      <c r="N2495" s="471" t="s">
        <v>1502</v>
      </c>
      <c r="O2495" s="471" t="s">
        <v>1496</v>
      </c>
    </row>
    <row r="2496" spans="1:15" x14ac:dyDescent="0.25">
      <c r="A2496" s="471" t="s">
        <v>2355</v>
      </c>
      <c r="B2496" s="1139">
        <f t="shared" ca="1" si="368"/>
        <v>0</v>
      </c>
      <c r="C2496" s="473">
        <f ca="1">IF(ISERROR(VLOOKUP($A$2496,INDIRECT("notes_"&amp;LEFT($A$2496,3)),4,0)),0,VLOOKUP($A$2496,INDIRECT("notes_"&amp;LEFT($A$2496,3)),4,0))</f>
        <v>0</v>
      </c>
      <c r="H2496" s="471">
        <v>2</v>
      </c>
      <c r="I2496" s="471">
        <v>0</v>
      </c>
      <c r="J2496" s="471" t="str">
        <f t="shared" si="375"/>
        <v>othtot</v>
      </c>
      <c r="K2496" s="471" t="str">
        <f t="shared" si="376"/>
        <v>tot</v>
      </c>
      <c r="L2496" s="599"/>
      <c r="M2496" s="471" t="s">
        <v>6620</v>
      </c>
      <c r="N2496" s="471" t="s">
        <v>1502</v>
      </c>
      <c r="O2496" s="471" t="s">
        <v>1496</v>
      </c>
    </row>
    <row r="2497" spans="1:15" x14ac:dyDescent="0.25">
      <c r="A2497" s="471" t="s">
        <v>2356</v>
      </c>
      <c r="B2497" s="1139">
        <f t="shared" ca="1" si="368"/>
        <v>0</v>
      </c>
      <c r="C2497" s="473">
        <f ca="1">IF(ISERROR(VLOOKUP($A$2497,INDIRECT("notes_"&amp;LEFT($A$2497,3)),4,0)),0,VLOOKUP($A$2497,INDIRECT("notes_"&amp;LEFT($A$2497,3)),4,0))</f>
        <v>0</v>
      </c>
      <c r="H2497" s="471">
        <v>2</v>
      </c>
      <c r="I2497" s="471">
        <v>0</v>
      </c>
      <c r="J2497" s="471" t="str">
        <f t="shared" si="375"/>
        <v>othcst</v>
      </c>
      <c r="K2497" s="471" t="str">
        <f t="shared" si="376"/>
        <v>tot</v>
      </c>
      <c r="L2497" s="599"/>
      <c r="M2497" s="471" t="s">
        <v>6620</v>
      </c>
      <c r="N2497" s="471" t="s">
        <v>1502</v>
      </c>
      <c r="O2497" s="471" t="s">
        <v>1496</v>
      </c>
    </row>
    <row r="2498" spans="1:15" x14ac:dyDescent="0.25">
      <c r="A2498" s="471" t="s">
        <v>2357</v>
      </c>
      <c r="B2498" s="1139">
        <f t="shared" ca="1" si="368"/>
        <v>0</v>
      </c>
      <c r="C2498" s="473">
        <f ca="1">IF(ISERROR(VLOOKUP($A$2498,INDIRECT("notes_"&amp;LEFT($A$2498,3)),4,0)),0,VLOOKUP($A$2498,INDIRECT("notes_"&amp;LEFT($A$2498,3)),4,0))</f>
        <v>0</v>
      </c>
      <c r="H2498" s="471">
        <v>2</v>
      </c>
      <c r="I2498" s="471">
        <v>0</v>
      </c>
      <c r="J2498" s="471" t="str">
        <f t="shared" si="375"/>
        <v>tot</v>
      </c>
      <c r="K2498" s="471" t="str">
        <f t="shared" si="376"/>
        <v>tot</v>
      </c>
      <c r="L2498" s="599"/>
      <c r="M2498" s="471" t="s">
        <v>6620</v>
      </c>
      <c r="N2498" s="471" t="s">
        <v>1502</v>
      </c>
      <c r="O2498" s="471" t="s">
        <v>1496</v>
      </c>
    </row>
    <row r="2499" spans="1:15" x14ac:dyDescent="0.25">
      <c r="A2499" s="471" t="s">
        <v>6621</v>
      </c>
      <c r="B2499" s="1139">
        <f t="shared" ca="1" si="368"/>
        <v>0</v>
      </c>
      <c r="C2499" s="473">
        <f ca="1">IF(ISERROR(VLOOKUP($A$2482,INDIRECT("notes_"&amp;LEFT($A$2482,3)),4,0)),0,VLOOKUP($A$2482,INDIRECT("notes_"&amp;LEFT($A$2482,3)),4,0))</f>
        <v>0</v>
      </c>
      <c r="H2499" s="471">
        <v>3</v>
      </c>
      <c r="I2499" s="471">
        <v>1</v>
      </c>
      <c r="J2499" s="471" t="str">
        <f t="shared" ref="J2499:J2515" si="377">MID($A2499,SEARCH("-",$A2499)+1,SEARCH("#",SUBSTITUTE($A2499,"-","#",H2499),1)-(SEARCH("-",$A2499)+1))</f>
        <v>tchr-slr</v>
      </c>
      <c r="K2499" s="471" t="str">
        <f t="shared" ref="K2499:K2515" si="378">RIGHT($A2499,LEN($A2499)-SEARCH("#",SUBSTITUTE($A2499,"-","#",H2499),1))</f>
        <v>edu</v>
      </c>
      <c r="L2499" s="599"/>
      <c r="M2499" s="471" t="s">
        <v>6620</v>
      </c>
      <c r="N2499" s="471" t="s">
        <v>1502</v>
      </c>
      <c r="O2499" s="471" t="s">
        <v>1496</v>
      </c>
    </row>
    <row r="2500" spans="1:15" x14ac:dyDescent="0.25">
      <c r="A2500" s="471" t="s">
        <v>6622</v>
      </c>
      <c r="B2500" s="1139">
        <f t="shared" ca="1" si="368"/>
        <v>0</v>
      </c>
      <c r="C2500" s="473">
        <f ca="1">IF(ISERROR(VLOOKUP($A$2483,INDIRECT("notes_"&amp;LEFT($A$2483,3)),4,0)),0,VLOOKUP($A$2483,INDIRECT("notes_"&amp;LEFT($A$2483,3)),4,0))</f>
        <v>0</v>
      </c>
      <c r="H2500" s="471">
        <v>4</v>
      </c>
      <c r="I2500" s="471">
        <v>2</v>
      </c>
      <c r="J2500" s="471" t="str">
        <f t="shared" si="377"/>
        <v>tchr-ni-cnt</v>
      </c>
      <c r="K2500" s="471" t="str">
        <f t="shared" si="378"/>
        <v>edu</v>
      </c>
      <c r="L2500" s="599"/>
      <c r="M2500" s="471" t="s">
        <v>6620</v>
      </c>
      <c r="N2500" s="471" t="s">
        <v>1502</v>
      </c>
      <c r="O2500" s="471" t="s">
        <v>1496</v>
      </c>
    </row>
    <row r="2501" spans="1:15" x14ac:dyDescent="0.25">
      <c r="A2501" s="471" t="s">
        <v>6623</v>
      </c>
      <c r="B2501" s="1139">
        <f t="shared" ca="1" si="368"/>
        <v>0</v>
      </c>
      <c r="C2501" s="473">
        <f ca="1">IF(ISERROR(VLOOKUP($A$2484,INDIRECT("notes_"&amp;LEFT($A$2484,3)),4,0)),0,VLOOKUP($A$2484,INDIRECT("notes_"&amp;LEFT($A$2484,3)),4,0))</f>
        <v>0</v>
      </c>
      <c r="H2501" s="471">
        <v>4</v>
      </c>
      <c r="I2501" s="471">
        <v>2</v>
      </c>
      <c r="J2501" s="471" t="str">
        <f t="shared" si="377"/>
        <v>tchr-rtr-bnf</v>
      </c>
      <c r="K2501" s="471" t="str">
        <f t="shared" si="378"/>
        <v>edu</v>
      </c>
      <c r="L2501" s="599"/>
      <c r="M2501" s="471" t="s">
        <v>6620</v>
      </c>
      <c r="N2501" s="471" t="s">
        <v>1502</v>
      </c>
      <c r="O2501" s="471" t="s">
        <v>1496</v>
      </c>
    </row>
    <row r="2502" spans="1:15" x14ac:dyDescent="0.25">
      <c r="A2502" s="471" t="s">
        <v>6624</v>
      </c>
      <c r="B2502" s="1139">
        <f t="shared" ca="1" si="368"/>
        <v>0</v>
      </c>
      <c r="C2502" s="473">
        <f ca="1">IF(ISERROR(VLOOKUP($A$2485,INDIRECT("notes_"&amp;LEFT($A$2485,3)),4,0)),0,VLOOKUP($A$2485,INDIRECT("notes_"&amp;LEFT($A$2485,3)),4,0))</f>
        <v>0</v>
      </c>
      <c r="H2502" s="471">
        <v>4</v>
      </c>
      <c r="I2502" s="471">
        <v>2</v>
      </c>
      <c r="J2502" s="471" t="str">
        <f t="shared" si="377"/>
        <v>tchr-lct-all</v>
      </c>
      <c r="K2502" s="471" t="str">
        <f t="shared" si="378"/>
        <v>edu</v>
      </c>
      <c r="L2502" s="599"/>
      <c r="M2502" s="471" t="s">
        <v>6620</v>
      </c>
      <c r="N2502" s="471" t="s">
        <v>1502</v>
      </c>
      <c r="O2502" s="471" t="s">
        <v>1496</v>
      </c>
    </row>
    <row r="2503" spans="1:15" x14ac:dyDescent="0.25">
      <c r="A2503" s="471" t="s">
        <v>6625</v>
      </c>
      <c r="B2503" s="1139">
        <f t="shared" ca="1" si="368"/>
        <v>0</v>
      </c>
      <c r="C2503" s="473">
        <f ca="1">IF(ISERROR(VLOOKUP($A$2486,INDIRECT("notes_"&amp;LEFT($A$2486,3)),4,0)),0,VLOOKUP($A$2486,INDIRECT("notes_"&amp;LEFT($A$2486,3)),4,0))</f>
        <v>0</v>
      </c>
      <c r="H2503" s="471">
        <v>2</v>
      </c>
      <c r="I2503" s="471">
        <v>0</v>
      </c>
      <c r="J2503" s="471" t="str">
        <f t="shared" si="377"/>
        <v>tchrtot</v>
      </c>
      <c r="K2503" s="471" t="str">
        <f t="shared" si="378"/>
        <v>edu</v>
      </c>
      <c r="L2503" s="599"/>
      <c r="M2503" s="471" t="s">
        <v>6620</v>
      </c>
      <c r="N2503" s="471" t="s">
        <v>1502</v>
      </c>
      <c r="O2503" s="471" t="s">
        <v>1496</v>
      </c>
    </row>
    <row r="2504" spans="1:15" x14ac:dyDescent="0.25">
      <c r="A2504" s="471" t="s">
        <v>6626</v>
      </c>
      <c r="B2504" s="1139">
        <f t="shared" ca="1" si="368"/>
        <v>0</v>
      </c>
      <c r="C2504" s="473">
        <f ca="1">IF(ISERROR(VLOOKUP($A$2487,INDIRECT("notes_"&amp;LEFT($A$2487,3)),4,0)),0,VLOOKUP($A$2487,INDIRECT("notes_"&amp;LEFT($A$2487,3)),4,0))</f>
        <v>0</v>
      </c>
      <c r="H2504" s="471">
        <v>4</v>
      </c>
      <c r="I2504" s="471">
        <v>0</v>
      </c>
      <c r="J2504" s="471" t="str">
        <f t="shared" si="377"/>
        <v>pol-frs-slr</v>
      </c>
      <c r="K2504" s="471" t="str">
        <f t="shared" si="378"/>
        <v>edu</v>
      </c>
      <c r="L2504" s="599"/>
      <c r="M2504" s="471" t="s">
        <v>6620</v>
      </c>
      <c r="N2504" s="471" t="s">
        <v>1502</v>
      </c>
      <c r="O2504" s="471" t="s">
        <v>1496</v>
      </c>
    </row>
    <row r="2505" spans="1:15" x14ac:dyDescent="0.25">
      <c r="A2505" s="471" t="s">
        <v>6627</v>
      </c>
      <c r="B2505" s="1139">
        <f t="shared" ca="1" si="368"/>
        <v>0</v>
      </c>
      <c r="C2505" s="473">
        <f ca="1">IF(ISERROR(VLOOKUP($A$2488,INDIRECT("notes_"&amp;LEFT($A$2488,3)),4,0)),0,VLOOKUP($A$2488,INDIRECT("notes_"&amp;LEFT($A$2488,3)),4,0))</f>
        <v>0</v>
      </c>
      <c r="H2505" s="471">
        <v>5</v>
      </c>
      <c r="I2505" s="471">
        <v>0</v>
      </c>
      <c r="J2505" s="471" t="str">
        <f t="shared" si="377"/>
        <v>pol-frs-ni-cnt</v>
      </c>
      <c r="K2505" s="471" t="str">
        <f t="shared" si="378"/>
        <v>edu</v>
      </c>
      <c r="L2505" s="599"/>
      <c r="M2505" s="471" t="s">
        <v>6620</v>
      </c>
      <c r="N2505" s="471" t="s">
        <v>1502</v>
      </c>
      <c r="O2505" s="471" t="s">
        <v>1496</v>
      </c>
    </row>
    <row r="2506" spans="1:15" x14ac:dyDescent="0.25">
      <c r="A2506" s="471" t="s">
        <v>6628</v>
      </c>
      <c r="B2506" s="1139">
        <f t="shared" ca="1" si="368"/>
        <v>0</v>
      </c>
      <c r="C2506" s="473">
        <f ca="1">IF(ISERROR(VLOOKUP($A$2489,INDIRECT("notes_"&amp;LEFT($A$2489,3)),4,0)),0,VLOOKUP($A$2489,INDIRECT("notes_"&amp;LEFT($A$2489,3)),4,0))</f>
        <v>0</v>
      </c>
      <c r="H2506" s="471">
        <v>5</v>
      </c>
      <c r="I2506" s="471">
        <v>0</v>
      </c>
      <c r="J2506" s="471" t="str">
        <f t="shared" si="377"/>
        <v>pol-frs-rtr-bnf</v>
      </c>
      <c r="K2506" s="471" t="str">
        <f t="shared" si="378"/>
        <v>edu</v>
      </c>
      <c r="L2506" s="599"/>
      <c r="M2506" s="471" t="s">
        <v>6620</v>
      </c>
      <c r="N2506" s="471" t="s">
        <v>1502</v>
      </c>
      <c r="O2506" s="471" t="s">
        <v>1496</v>
      </c>
    </row>
    <row r="2507" spans="1:15" x14ac:dyDescent="0.25">
      <c r="A2507" s="471" t="s">
        <v>6629</v>
      </c>
      <c r="B2507" s="1139">
        <f t="shared" ca="1" si="368"/>
        <v>0</v>
      </c>
      <c r="C2507" s="473">
        <f ca="1">IF(ISERROR(VLOOKUP($A$2490,INDIRECT("notes_"&amp;LEFT($A$2490,3)),4,0)),0,VLOOKUP($A$2490,INDIRECT("notes_"&amp;LEFT($A$2490,3)),4,0))</f>
        <v>0</v>
      </c>
      <c r="H2507" s="471">
        <v>5</v>
      </c>
      <c r="I2507" s="471">
        <v>0</v>
      </c>
      <c r="J2507" s="471" t="str">
        <f t="shared" si="377"/>
        <v>pol-frs-lct-all</v>
      </c>
      <c r="K2507" s="471" t="str">
        <f t="shared" si="378"/>
        <v>edu</v>
      </c>
      <c r="L2507" s="599"/>
      <c r="M2507" s="471" t="s">
        <v>6620</v>
      </c>
      <c r="N2507" s="471" t="s">
        <v>1502</v>
      </c>
      <c r="O2507" s="471" t="s">
        <v>1496</v>
      </c>
    </row>
    <row r="2508" spans="1:15" x14ac:dyDescent="0.25">
      <c r="A2508" s="471" t="s">
        <v>6630</v>
      </c>
      <c r="B2508" s="1139">
        <f t="shared" ca="1" si="368"/>
        <v>0</v>
      </c>
      <c r="C2508" s="473">
        <f ca="1">IF(ISERROR(VLOOKUP($A$2491,INDIRECT("notes_"&amp;LEFT($A$2491,3)),4,0)),0,VLOOKUP($A$2491,INDIRECT("notes_"&amp;LEFT($A$2491,3)),4,0))</f>
        <v>0</v>
      </c>
      <c r="H2508" s="471">
        <v>4</v>
      </c>
      <c r="I2508" s="471">
        <v>0</v>
      </c>
      <c r="J2508" s="471" t="str">
        <f t="shared" si="377"/>
        <v>pol-frs-tot</v>
      </c>
      <c r="K2508" s="471" t="str">
        <f t="shared" si="378"/>
        <v>edu</v>
      </c>
      <c r="L2508" s="599"/>
      <c r="M2508" s="471" t="s">
        <v>6620</v>
      </c>
      <c r="N2508" s="471" t="s">
        <v>1502</v>
      </c>
      <c r="O2508" s="471" t="s">
        <v>1496</v>
      </c>
    </row>
    <row r="2509" spans="1:15" x14ac:dyDescent="0.25">
      <c r="A2509" s="471" t="s">
        <v>6631</v>
      </c>
      <c r="B2509" s="1139">
        <f t="shared" ca="1" si="368"/>
        <v>0</v>
      </c>
      <c r="C2509" s="473">
        <f ca="1">IF(ISERROR(VLOOKUP($A$2492,INDIRECT("notes_"&amp;LEFT($A$2492,3)),4,0)),0,VLOOKUP($A$2492,INDIRECT("notes_"&amp;LEFT($A$2492,3)),4,0))</f>
        <v>0</v>
      </c>
      <c r="H2509" s="471">
        <v>3</v>
      </c>
      <c r="I2509" s="471">
        <v>0</v>
      </c>
      <c r="J2509" s="471" t="str">
        <f t="shared" si="377"/>
        <v>oth-slr</v>
      </c>
      <c r="K2509" s="471" t="str">
        <f t="shared" si="378"/>
        <v>edu</v>
      </c>
      <c r="L2509" s="599"/>
      <c r="M2509" s="471" t="s">
        <v>6620</v>
      </c>
      <c r="N2509" s="471" t="s">
        <v>1502</v>
      </c>
      <c r="O2509" s="471" t="s">
        <v>1496</v>
      </c>
    </row>
    <row r="2510" spans="1:15" x14ac:dyDescent="0.25">
      <c r="A2510" s="471" t="s">
        <v>6632</v>
      </c>
      <c r="B2510" s="1139">
        <f t="shared" ca="1" si="368"/>
        <v>0</v>
      </c>
      <c r="C2510" s="473">
        <f ca="1">IF(ISERROR(VLOOKUP($A$2493,INDIRECT("notes_"&amp;LEFT($A$2493,3)),4,0)),0,VLOOKUP($A$2493,INDIRECT("notes_"&amp;LEFT($A$2493,3)),4,0))</f>
        <v>0</v>
      </c>
      <c r="H2510" s="471">
        <v>4</v>
      </c>
      <c r="I2510" s="471">
        <v>0</v>
      </c>
      <c r="J2510" s="471" t="str">
        <f t="shared" si="377"/>
        <v>oth-ni-cnt</v>
      </c>
      <c r="K2510" s="471" t="str">
        <f t="shared" si="378"/>
        <v>edu</v>
      </c>
      <c r="L2510" s="599"/>
      <c r="M2510" s="471" t="s">
        <v>6620</v>
      </c>
      <c r="N2510" s="471" t="s">
        <v>1502</v>
      </c>
      <c r="O2510" s="471" t="s">
        <v>1496</v>
      </c>
    </row>
    <row r="2511" spans="1:15" x14ac:dyDescent="0.25">
      <c r="A2511" s="471" t="s">
        <v>6633</v>
      </c>
      <c r="B2511" s="1139">
        <f t="shared" ca="1" si="368"/>
        <v>0</v>
      </c>
      <c r="C2511" s="473">
        <f ca="1">IF(ISERROR(VLOOKUP($A$2494,INDIRECT("notes_"&amp;LEFT($A$2494,3)),4,0)),0,VLOOKUP($A$2494,INDIRECT("notes_"&amp;LEFT($A$2494,3)),4,0))</f>
        <v>0</v>
      </c>
      <c r="H2511" s="471">
        <v>4</v>
      </c>
      <c r="I2511" s="471">
        <v>0</v>
      </c>
      <c r="J2511" s="471" t="str">
        <f t="shared" si="377"/>
        <v>oth-rtr-bnf</v>
      </c>
      <c r="K2511" s="471" t="str">
        <f t="shared" si="378"/>
        <v>edu</v>
      </c>
      <c r="L2511" s="599"/>
      <c r="M2511" s="471" t="s">
        <v>6620</v>
      </c>
      <c r="N2511" s="471" t="s">
        <v>1502</v>
      </c>
      <c r="O2511" s="471" t="s">
        <v>1496</v>
      </c>
    </row>
    <row r="2512" spans="1:15" x14ac:dyDescent="0.25">
      <c r="A2512" s="471" t="s">
        <v>6634</v>
      </c>
      <c r="B2512" s="1139">
        <f t="shared" ca="1" si="368"/>
        <v>0</v>
      </c>
      <c r="C2512" s="473">
        <f ca="1">IF(ISERROR(VLOOKUP($A$2495,INDIRECT("notes_"&amp;LEFT($A$2495,3)),4,0)),0,VLOOKUP($A$2495,INDIRECT("notes_"&amp;LEFT($A$2495,3)),4,0))</f>
        <v>0</v>
      </c>
      <c r="H2512" s="471">
        <v>4</v>
      </c>
      <c r="I2512" s="471">
        <v>0</v>
      </c>
      <c r="J2512" s="471" t="str">
        <f t="shared" si="377"/>
        <v>oth-lct-all</v>
      </c>
      <c r="K2512" s="471" t="str">
        <f t="shared" si="378"/>
        <v>edu</v>
      </c>
      <c r="L2512" s="599"/>
      <c r="M2512" s="471" t="s">
        <v>6620</v>
      </c>
      <c r="N2512" s="471" t="s">
        <v>1502</v>
      </c>
      <c r="O2512" s="471" t="s">
        <v>1496</v>
      </c>
    </row>
    <row r="2513" spans="1:15" x14ac:dyDescent="0.25">
      <c r="A2513" s="471" t="s">
        <v>6635</v>
      </c>
      <c r="B2513" s="1139">
        <f t="shared" ca="1" si="368"/>
        <v>0</v>
      </c>
      <c r="C2513" s="473">
        <f ca="1">IF(ISERROR(VLOOKUP($A$2496,INDIRECT("notes_"&amp;LEFT($A$2496,3)),4,0)),0,VLOOKUP($A$2496,INDIRECT("notes_"&amp;LEFT($A$2496,3)),4,0))</f>
        <v>0</v>
      </c>
      <c r="H2513" s="471">
        <v>2</v>
      </c>
      <c r="I2513" s="471">
        <v>0</v>
      </c>
      <c r="J2513" s="471" t="str">
        <f t="shared" si="377"/>
        <v>othtot</v>
      </c>
      <c r="K2513" s="471" t="str">
        <f t="shared" si="378"/>
        <v>edu</v>
      </c>
      <c r="L2513" s="599"/>
      <c r="M2513" s="471" t="s">
        <v>6620</v>
      </c>
      <c r="N2513" s="471" t="s">
        <v>1502</v>
      </c>
      <c r="O2513" s="471" t="s">
        <v>1496</v>
      </c>
    </row>
    <row r="2514" spans="1:15" x14ac:dyDescent="0.25">
      <c r="A2514" s="471" t="s">
        <v>6636</v>
      </c>
      <c r="B2514" s="1139">
        <f t="shared" ca="1" si="368"/>
        <v>0</v>
      </c>
      <c r="C2514" s="473">
        <f ca="1">IF(ISERROR(VLOOKUP($A$2497,INDIRECT("notes_"&amp;LEFT($A$2497,3)),4,0)),0,VLOOKUP($A$2497,INDIRECT("notes_"&amp;LEFT($A$2497,3)),4,0))</f>
        <v>0</v>
      </c>
      <c r="H2514" s="471">
        <v>2</v>
      </c>
      <c r="I2514" s="471">
        <v>0</v>
      </c>
      <c r="J2514" s="471" t="str">
        <f t="shared" si="377"/>
        <v>othcst</v>
      </c>
      <c r="K2514" s="471" t="str">
        <f t="shared" si="378"/>
        <v>edu</v>
      </c>
      <c r="L2514" s="599"/>
      <c r="M2514" s="471" t="s">
        <v>6620</v>
      </c>
      <c r="N2514" s="471" t="s">
        <v>1502</v>
      </c>
      <c r="O2514" s="471" t="s">
        <v>1496</v>
      </c>
    </row>
    <row r="2515" spans="1:15" x14ac:dyDescent="0.25">
      <c r="A2515" s="471" t="s">
        <v>6637</v>
      </c>
      <c r="B2515" s="1139">
        <f t="shared" ca="1" si="368"/>
        <v>0</v>
      </c>
      <c r="C2515" s="473">
        <f ca="1">IF(ISERROR(VLOOKUP($A$2498,INDIRECT("notes_"&amp;LEFT($A$2498,3)),4,0)),0,VLOOKUP($A$2498,INDIRECT("notes_"&amp;LEFT($A$2498,3)),4,0))</f>
        <v>0</v>
      </c>
      <c r="H2515" s="471">
        <v>2</v>
      </c>
      <c r="I2515" s="471">
        <v>0</v>
      </c>
      <c r="J2515" s="471" t="str">
        <f t="shared" si="377"/>
        <v>tot</v>
      </c>
      <c r="K2515" s="471" t="str">
        <f t="shared" si="378"/>
        <v>edu</v>
      </c>
      <c r="L2515" s="599"/>
      <c r="M2515" s="471" t="s">
        <v>6620</v>
      </c>
      <c r="N2515" s="471" t="s">
        <v>1502</v>
      </c>
      <c r="O2515" s="471" t="s">
        <v>1496</v>
      </c>
    </row>
    <row r="2516" spans="1:15" x14ac:dyDescent="0.25">
      <c r="A2516" s="471" t="s">
        <v>6638</v>
      </c>
      <c r="B2516" s="1139">
        <f t="shared" ca="1" si="368"/>
        <v>0</v>
      </c>
      <c r="C2516" s="473">
        <f ca="1">IF(ISERROR(VLOOKUP($A$2482,INDIRECT("notes_"&amp;LEFT($A$2482,3)),4,0)),0,VLOOKUP($A$2482,INDIRECT("notes_"&amp;LEFT($A$2482,3)),4,0))</f>
        <v>0</v>
      </c>
      <c r="H2516" s="471">
        <v>3</v>
      </c>
      <c r="I2516" s="471">
        <v>1</v>
      </c>
      <c r="J2516" s="471" t="str">
        <f t="shared" ref="J2516:J2532" si="379">MID($A2516,SEARCH("-",$A2516)+1,SEARCH("#",SUBSTITUTE($A2516,"-","#",H2516),1)-(SEARCH("-",$A2516)+1))</f>
        <v>tchr-slr</v>
      </c>
      <c r="K2516" s="471" t="str">
        <f t="shared" ref="K2516:K2532" si="380">RIGHT($A2516,LEN($A2516)-SEARCH("#",SUBSTITUTE($A2516,"-","#",H2516),1))</f>
        <v>trans</v>
      </c>
      <c r="L2516" s="599"/>
      <c r="M2516" s="471" t="s">
        <v>6620</v>
      </c>
      <c r="N2516" s="471" t="s">
        <v>1502</v>
      </c>
      <c r="O2516" s="471" t="s">
        <v>1496</v>
      </c>
    </row>
    <row r="2517" spans="1:15" x14ac:dyDescent="0.25">
      <c r="A2517" s="471" t="s">
        <v>6639</v>
      </c>
      <c r="B2517" s="1139">
        <f t="shared" ca="1" si="368"/>
        <v>0</v>
      </c>
      <c r="C2517" s="473">
        <f ca="1">IF(ISERROR(VLOOKUP($A$2483,INDIRECT("notes_"&amp;LEFT($A$2483,3)),4,0)),0,VLOOKUP($A$2483,INDIRECT("notes_"&amp;LEFT($A$2483,3)),4,0))</f>
        <v>0</v>
      </c>
      <c r="H2517" s="471">
        <v>4</v>
      </c>
      <c r="I2517" s="471">
        <v>2</v>
      </c>
      <c r="J2517" s="471" t="str">
        <f t="shared" si="379"/>
        <v>tchr-ni-cnt</v>
      </c>
      <c r="K2517" s="471" t="str">
        <f t="shared" si="380"/>
        <v>trans</v>
      </c>
      <c r="L2517" s="599"/>
      <c r="M2517" s="471" t="s">
        <v>6620</v>
      </c>
      <c r="N2517" s="471" t="s">
        <v>1502</v>
      </c>
      <c r="O2517" s="471" t="s">
        <v>1496</v>
      </c>
    </row>
    <row r="2518" spans="1:15" x14ac:dyDescent="0.25">
      <c r="A2518" s="471" t="s">
        <v>6640</v>
      </c>
      <c r="B2518" s="1139">
        <f t="shared" ca="1" si="368"/>
        <v>0</v>
      </c>
      <c r="C2518" s="473">
        <f ca="1">IF(ISERROR(VLOOKUP($A$2484,INDIRECT("notes_"&amp;LEFT($A$2484,3)),4,0)),0,VLOOKUP($A$2484,INDIRECT("notes_"&amp;LEFT($A$2484,3)),4,0))</f>
        <v>0</v>
      </c>
      <c r="H2518" s="471">
        <v>4</v>
      </c>
      <c r="I2518" s="471">
        <v>2</v>
      </c>
      <c r="J2518" s="471" t="str">
        <f t="shared" si="379"/>
        <v>tchr-rtr-bnf</v>
      </c>
      <c r="K2518" s="471" t="str">
        <f t="shared" si="380"/>
        <v>trans</v>
      </c>
      <c r="L2518" s="599"/>
      <c r="M2518" s="471" t="s">
        <v>6620</v>
      </c>
      <c r="N2518" s="471" t="s">
        <v>1502</v>
      </c>
      <c r="O2518" s="471" t="s">
        <v>1496</v>
      </c>
    </row>
    <row r="2519" spans="1:15" x14ac:dyDescent="0.25">
      <c r="A2519" s="471" t="s">
        <v>6641</v>
      </c>
      <c r="B2519" s="1139">
        <f t="shared" ca="1" si="368"/>
        <v>0</v>
      </c>
      <c r="C2519" s="473">
        <f ca="1">IF(ISERROR(VLOOKUP($A$2485,INDIRECT("notes_"&amp;LEFT($A$2485,3)),4,0)),0,VLOOKUP($A$2485,INDIRECT("notes_"&amp;LEFT($A$2485,3)),4,0))</f>
        <v>0</v>
      </c>
      <c r="H2519" s="471">
        <v>4</v>
      </c>
      <c r="I2519" s="471">
        <v>2</v>
      </c>
      <c r="J2519" s="471" t="str">
        <f t="shared" si="379"/>
        <v>tchr-lct-all</v>
      </c>
      <c r="K2519" s="471" t="str">
        <f t="shared" si="380"/>
        <v>trans</v>
      </c>
      <c r="L2519" s="599"/>
      <c r="M2519" s="471" t="s">
        <v>6620</v>
      </c>
      <c r="N2519" s="471" t="s">
        <v>1502</v>
      </c>
      <c r="O2519" s="471" t="s">
        <v>1496</v>
      </c>
    </row>
    <row r="2520" spans="1:15" x14ac:dyDescent="0.25">
      <c r="A2520" s="471" t="s">
        <v>6642</v>
      </c>
      <c r="B2520" s="1139">
        <f t="shared" ca="1" si="368"/>
        <v>0</v>
      </c>
      <c r="C2520" s="473">
        <f ca="1">IF(ISERROR(VLOOKUP($A$2486,INDIRECT("notes_"&amp;LEFT($A$2486,3)),4,0)),0,VLOOKUP($A$2486,INDIRECT("notes_"&amp;LEFT($A$2486,3)),4,0))</f>
        <v>0</v>
      </c>
      <c r="H2520" s="471">
        <v>2</v>
      </c>
      <c r="I2520" s="471">
        <v>0</v>
      </c>
      <c r="J2520" s="471" t="str">
        <f t="shared" si="379"/>
        <v>tchrtot</v>
      </c>
      <c r="K2520" s="471" t="str">
        <f t="shared" si="380"/>
        <v>trans</v>
      </c>
      <c r="L2520" s="599"/>
      <c r="M2520" s="471" t="s">
        <v>6620</v>
      </c>
      <c r="N2520" s="471" t="s">
        <v>1502</v>
      </c>
      <c r="O2520" s="471" t="s">
        <v>1496</v>
      </c>
    </row>
    <row r="2521" spans="1:15" x14ac:dyDescent="0.25">
      <c r="A2521" s="471" t="s">
        <v>6643</v>
      </c>
      <c r="B2521" s="1139">
        <f t="shared" ca="1" si="368"/>
        <v>0</v>
      </c>
      <c r="C2521" s="473">
        <f ca="1">IF(ISERROR(VLOOKUP($A$2487,INDIRECT("notes_"&amp;LEFT($A$2487,3)),4,0)),0,VLOOKUP($A$2487,INDIRECT("notes_"&amp;LEFT($A$2487,3)),4,0))</f>
        <v>0</v>
      </c>
      <c r="H2521" s="471">
        <v>4</v>
      </c>
      <c r="I2521" s="471">
        <v>0</v>
      </c>
      <c r="J2521" s="471" t="str">
        <f t="shared" si="379"/>
        <v>pol-frs-slr</v>
      </c>
      <c r="K2521" s="471" t="str">
        <f t="shared" si="380"/>
        <v>trans</v>
      </c>
      <c r="L2521" s="599"/>
      <c r="M2521" s="471" t="s">
        <v>6620</v>
      </c>
      <c r="N2521" s="471" t="s">
        <v>1502</v>
      </c>
      <c r="O2521" s="471" t="s">
        <v>1496</v>
      </c>
    </row>
    <row r="2522" spans="1:15" x14ac:dyDescent="0.25">
      <c r="A2522" s="471" t="s">
        <v>6644</v>
      </c>
      <c r="B2522" s="1139">
        <f t="shared" ca="1" si="368"/>
        <v>0</v>
      </c>
      <c r="C2522" s="473">
        <f ca="1">IF(ISERROR(VLOOKUP($A$2488,INDIRECT("notes_"&amp;LEFT($A$2488,3)),4,0)),0,VLOOKUP($A$2488,INDIRECT("notes_"&amp;LEFT($A$2488,3)),4,0))</f>
        <v>0</v>
      </c>
      <c r="H2522" s="471">
        <v>5</v>
      </c>
      <c r="I2522" s="471">
        <v>0</v>
      </c>
      <c r="J2522" s="471" t="str">
        <f t="shared" si="379"/>
        <v>pol-frs-ni-cnt</v>
      </c>
      <c r="K2522" s="471" t="str">
        <f t="shared" si="380"/>
        <v>trans</v>
      </c>
      <c r="L2522" s="599"/>
      <c r="M2522" s="471" t="s">
        <v>6620</v>
      </c>
      <c r="N2522" s="471" t="s">
        <v>1502</v>
      </c>
      <c r="O2522" s="471" t="s">
        <v>1496</v>
      </c>
    </row>
    <row r="2523" spans="1:15" x14ac:dyDescent="0.25">
      <c r="A2523" s="471" t="s">
        <v>6645</v>
      </c>
      <c r="B2523" s="1139">
        <f t="shared" ca="1" si="368"/>
        <v>0</v>
      </c>
      <c r="C2523" s="473">
        <f ca="1">IF(ISERROR(VLOOKUP($A$2489,INDIRECT("notes_"&amp;LEFT($A$2489,3)),4,0)),0,VLOOKUP($A$2489,INDIRECT("notes_"&amp;LEFT($A$2489,3)),4,0))</f>
        <v>0</v>
      </c>
      <c r="H2523" s="471">
        <v>5</v>
      </c>
      <c r="I2523" s="471">
        <v>0</v>
      </c>
      <c r="J2523" s="471" t="str">
        <f t="shared" si="379"/>
        <v>pol-frs-rtr-bnf</v>
      </c>
      <c r="K2523" s="471" t="str">
        <f t="shared" si="380"/>
        <v>trans</v>
      </c>
      <c r="L2523" s="599"/>
      <c r="M2523" s="471" t="s">
        <v>6620</v>
      </c>
      <c r="N2523" s="471" t="s">
        <v>1502</v>
      </c>
      <c r="O2523" s="471" t="s">
        <v>1496</v>
      </c>
    </row>
    <row r="2524" spans="1:15" x14ac:dyDescent="0.25">
      <c r="A2524" s="471" t="s">
        <v>6646</v>
      </c>
      <c r="B2524" s="1139">
        <f t="shared" ca="1" si="368"/>
        <v>0</v>
      </c>
      <c r="C2524" s="473">
        <f ca="1">IF(ISERROR(VLOOKUP($A$2490,INDIRECT("notes_"&amp;LEFT($A$2490,3)),4,0)),0,VLOOKUP($A$2490,INDIRECT("notes_"&amp;LEFT($A$2490,3)),4,0))</f>
        <v>0</v>
      </c>
      <c r="H2524" s="471">
        <v>5</v>
      </c>
      <c r="I2524" s="471">
        <v>0</v>
      </c>
      <c r="J2524" s="471" t="str">
        <f t="shared" si="379"/>
        <v>pol-frs-lct-all</v>
      </c>
      <c r="K2524" s="471" t="str">
        <f t="shared" si="380"/>
        <v>trans</v>
      </c>
      <c r="L2524" s="599"/>
      <c r="M2524" s="471" t="s">
        <v>6620</v>
      </c>
      <c r="N2524" s="471" t="s">
        <v>1502</v>
      </c>
      <c r="O2524" s="471" t="s">
        <v>1496</v>
      </c>
    </row>
    <row r="2525" spans="1:15" x14ac:dyDescent="0.25">
      <c r="A2525" s="471" t="s">
        <v>6647</v>
      </c>
      <c r="B2525" s="1139">
        <f t="shared" ca="1" si="368"/>
        <v>0</v>
      </c>
      <c r="C2525" s="473">
        <f ca="1">IF(ISERROR(VLOOKUP($A$2491,INDIRECT("notes_"&amp;LEFT($A$2491,3)),4,0)),0,VLOOKUP($A$2491,INDIRECT("notes_"&amp;LEFT($A$2491,3)),4,0))</f>
        <v>0</v>
      </c>
      <c r="H2525" s="471">
        <v>4</v>
      </c>
      <c r="I2525" s="471">
        <v>0</v>
      </c>
      <c r="J2525" s="471" t="str">
        <f t="shared" si="379"/>
        <v>pol-frs-tot</v>
      </c>
      <c r="K2525" s="471" t="str">
        <f t="shared" si="380"/>
        <v>trans</v>
      </c>
      <c r="L2525" s="599"/>
      <c r="M2525" s="471" t="s">
        <v>6620</v>
      </c>
      <c r="N2525" s="471" t="s">
        <v>1502</v>
      </c>
      <c r="O2525" s="471" t="s">
        <v>1496</v>
      </c>
    </row>
    <row r="2526" spans="1:15" x14ac:dyDescent="0.25">
      <c r="A2526" s="471" t="s">
        <v>6648</v>
      </c>
      <c r="B2526" s="1139">
        <f t="shared" ca="1" si="368"/>
        <v>0</v>
      </c>
      <c r="C2526" s="473">
        <f ca="1">IF(ISERROR(VLOOKUP($A$2492,INDIRECT("notes_"&amp;LEFT($A$2492,3)),4,0)),0,VLOOKUP($A$2492,INDIRECT("notes_"&amp;LEFT($A$2492,3)),4,0))</f>
        <v>0</v>
      </c>
      <c r="H2526" s="471">
        <v>3</v>
      </c>
      <c r="I2526" s="471">
        <v>0</v>
      </c>
      <c r="J2526" s="471" t="str">
        <f t="shared" si="379"/>
        <v>oth-slr</v>
      </c>
      <c r="K2526" s="471" t="str">
        <f t="shared" si="380"/>
        <v>trans</v>
      </c>
      <c r="L2526" s="599"/>
      <c r="M2526" s="471" t="s">
        <v>6620</v>
      </c>
      <c r="N2526" s="471" t="s">
        <v>1502</v>
      </c>
      <c r="O2526" s="471" t="s">
        <v>1496</v>
      </c>
    </row>
    <row r="2527" spans="1:15" x14ac:dyDescent="0.25">
      <c r="A2527" s="471" t="s">
        <v>6649</v>
      </c>
      <c r="B2527" s="1139">
        <f t="shared" ca="1" si="368"/>
        <v>0</v>
      </c>
      <c r="C2527" s="473">
        <f ca="1">IF(ISERROR(VLOOKUP($A$2493,INDIRECT("notes_"&amp;LEFT($A$2493,3)),4,0)),0,VLOOKUP($A$2493,INDIRECT("notes_"&amp;LEFT($A$2493,3)),4,0))</f>
        <v>0</v>
      </c>
      <c r="H2527" s="471">
        <v>4</v>
      </c>
      <c r="I2527" s="471">
        <v>0</v>
      </c>
      <c r="J2527" s="471" t="str">
        <f t="shared" si="379"/>
        <v>oth-ni-cnt</v>
      </c>
      <c r="K2527" s="471" t="str">
        <f t="shared" si="380"/>
        <v>trans</v>
      </c>
      <c r="L2527" s="599"/>
      <c r="M2527" s="471" t="s">
        <v>6620</v>
      </c>
      <c r="N2527" s="471" t="s">
        <v>1502</v>
      </c>
      <c r="O2527" s="471" t="s">
        <v>1496</v>
      </c>
    </row>
    <row r="2528" spans="1:15" x14ac:dyDescent="0.25">
      <c r="A2528" s="471" t="s">
        <v>6650</v>
      </c>
      <c r="B2528" s="1139">
        <f t="shared" ca="1" si="368"/>
        <v>0</v>
      </c>
      <c r="C2528" s="473">
        <f ca="1">IF(ISERROR(VLOOKUP($A$2494,INDIRECT("notes_"&amp;LEFT($A$2494,3)),4,0)),0,VLOOKUP($A$2494,INDIRECT("notes_"&amp;LEFT($A$2494,3)),4,0))</f>
        <v>0</v>
      </c>
      <c r="H2528" s="471">
        <v>4</v>
      </c>
      <c r="I2528" s="471">
        <v>0</v>
      </c>
      <c r="J2528" s="471" t="str">
        <f t="shared" si="379"/>
        <v>oth-rtr-bnf</v>
      </c>
      <c r="K2528" s="471" t="str">
        <f t="shared" si="380"/>
        <v>trans</v>
      </c>
      <c r="L2528" s="599"/>
      <c r="M2528" s="471" t="s">
        <v>6620</v>
      </c>
      <c r="N2528" s="471" t="s">
        <v>1502</v>
      </c>
      <c r="O2528" s="471" t="s">
        <v>1496</v>
      </c>
    </row>
    <row r="2529" spans="1:15" x14ac:dyDescent="0.25">
      <c r="A2529" s="471" t="s">
        <v>6651</v>
      </c>
      <c r="B2529" s="1139">
        <f t="shared" ca="1" si="368"/>
        <v>0</v>
      </c>
      <c r="C2529" s="473">
        <f ca="1">IF(ISERROR(VLOOKUP($A$2495,INDIRECT("notes_"&amp;LEFT($A$2495,3)),4,0)),0,VLOOKUP($A$2495,INDIRECT("notes_"&amp;LEFT($A$2495,3)),4,0))</f>
        <v>0</v>
      </c>
      <c r="H2529" s="471">
        <v>4</v>
      </c>
      <c r="I2529" s="471">
        <v>0</v>
      </c>
      <c r="J2529" s="471" t="str">
        <f t="shared" si="379"/>
        <v>oth-lct-all</v>
      </c>
      <c r="K2529" s="471" t="str">
        <f t="shared" si="380"/>
        <v>trans</v>
      </c>
      <c r="L2529" s="599"/>
      <c r="M2529" s="471" t="s">
        <v>6620</v>
      </c>
      <c r="N2529" s="471" t="s">
        <v>1502</v>
      </c>
      <c r="O2529" s="471" t="s">
        <v>1496</v>
      </c>
    </row>
    <row r="2530" spans="1:15" x14ac:dyDescent="0.25">
      <c r="A2530" s="471" t="s">
        <v>6652</v>
      </c>
      <c r="B2530" s="1139">
        <f t="shared" ca="1" si="368"/>
        <v>0</v>
      </c>
      <c r="C2530" s="473">
        <f ca="1">IF(ISERROR(VLOOKUP($A$2496,INDIRECT("notes_"&amp;LEFT($A$2496,3)),4,0)),0,VLOOKUP($A$2496,INDIRECT("notes_"&amp;LEFT($A$2496,3)),4,0))</f>
        <v>0</v>
      </c>
      <c r="H2530" s="471">
        <v>2</v>
      </c>
      <c r="I2530" s="471">
        <v>0</v>
      </c>
      <c r="J2530" s="471" t="str">
        <f t="shared" si="379"/>
        <v>othtot</v>
      </c>
      <c r="K2530" s="471" t="str">
        <f t="shared" si="380"/>
        <v>trans</v>
      </c>
      <c r="L2530" s="599"/>
      <c r="M2530" s="471" t="s">
        <v>6620</v>
      </c>
      <c r="N2530" s="471" t="s">
        <v>1502</v>
      </c>
      <c r="O2530" s="471" t="s">
        <v>1496</v>
      </c>
    </row>
    <row r="2531" spans="1:15" x14ac:dyDescent="0.25">
      <c r="A2531" s="471" t="s">
        <v>6653</v>
      </c>
      <c r="B2531" s="1139">
        <f t="shared" ca="1" si="368"/>
        <v>0</v>
      </c>
      <c r="C2531" s="473">
        <f ca="1">IF(ISERROR(VLOOKUP($A$2497,INDIRECT("notes_"&amp;LEFT($A$2497,3)),4,0)),0,VLOOKUP($A$2497,INDIRECT("notes_"&amp;LEFT($A$2497,3)),4,0))</f>
        <v>0</v>
      </c>
      <c r="H2531" s="471">
        <v>2</v>
      </c>
      <c r="I2531" s="471">
        <v>0</v>
      </c>
      <c r="J2531" s="471" t="str">
        <f t="shared" si="379"/>
        <v>othcst</v>
      </c>
      <c r="K2531" s="471" t="str">
        <f t="shared" si="380"/>
        <v>trans</v>
      </c>
      <c r="L2531" s="599"/>
      <c r="M2531" s="471" t="s">
        <v>6620</v>
      </c>
      <c r="N2531" s="471" t="s">
        <v>1502</v>
      </c>
      <c r="O2531" s="471" t="s">
        <v>1496</v>
      </c>
    </row>
    <row r="2532" spans="1:15" x14ac:dyDescent="0.25">
      <c r="A2532" s="471" t="s">
        <v>6654</v>
      </c>
      <c r="B2532" s="1139">
        <f t="shared" ca="1" si="368"/>
        <v>0</v>
      </c>
      <c r="C2532" s="473">
        <f ca="1">IF(ISERROR(VLOOKUP($A$2498,INDIRECT("notes_"&amp;LEFT($A$2498,3)),4,0)),0,VLOOKUP($A$2498,INDIRECT("notes_"&amp;LEFT($A$2498,3)),4,0))</f>
        <v>0</v>
      </c>
      <c r="H2532" s="471">
        <v>2</v>
      </c>
      <c r="I2532" s="471">
        <v>0</v>
      </c>
      <c r="J2532" s="471" t="str">
        <f t="shared" si="379"/>
        <v>tot</v>
      </c>
      <c r="K2532" s="471" t="str">
        <f t="shared" si="380"/>
        <v>trans</v>
      </c>
      <c r="L2532" s="599"/>
      <c r="M2532" s="471" t="s">
        <v>6620</v>
      </c>
      <c r="N2532" s="471" t="s">
        <v>1502</v>
      </c>
      <c r="O2532" s="471" t="s">
        <v>1496</v>
      </c>
    </row>
    <row r="2533" spans="1:15" x14ac:dyDescent="0.25">
      <c r="A2533" s="471" t="s">
        <v>6655</v>
      </c>
      <c r="B2533" s="1139">
        <f t="shared" ca="1" si="368"/>
        <v>0</v>
      </c>
      <c r="C2533" s="473">
        <f ca="1">IF(ISERROR(VLOOKUP($A$2482,INDIRECT("notes_"&amp;LEFT($A$2482,3)),4,0)),0,VLOOKUP($A$2482,INDIRECT("notes_"&amp;LEFT($A$2482,3)),4,0))</f>
        <v>0</v>
      </c>
      <c r="H2533" s="471">
        <v>3</v>
      </c>
      <c r="I2533" s="471">
        <v>1</v>
      </c>
      <c r="J2533" s="471" t="str">
        <f t="shared" ref="J2533:J2549" si="381">MID($A2533,SEARCH("-",$A2533)+1,SEARCH("#",SUBSTITUTE($A2533,"-","#",H2533),1)-(SEARCH("-",$A2533)+1))</f>
        <v>tchr-slr</v>
      </c>
      <c r="K2533" s="471" t="str">
        <f t="shared" ref="K2533:K2549" si="382">RIGHT($A2533,LEN($A2533)-SEARCH("#",SUBSTITUTE($A2533,"-","#",H2533),1))</f>
        <v>sc-ch</v>
      </c>
      <c r="L2533" s="599"/>
      <c r="M2533" s="471" t="s">
        <v>6620</v>
      </c>
      <c r="N2533" s="471" t="s">
        <v>1502</v>
      </c>
      <c r="O2533" s="471" t="s">
        <v>1496</v>
      </c>
    </row>
    <row r="2534" spans="1:15" x14ac:dyDescent="0.25">
      <c r="A2534" s="471" t="s">
        <v>6656</v>
      </c>
      <c r="B2534" s="1139">
        <f t="shared" ca="1" si="368"/>
        <v>0</v>
      </c>
      <c r="C2534" s="473">
        <f ca="1">IF(ISERROR(VLOOKUP($A$2483,INDIRECT("notes_"&amp;LEFT($A$2483,3)),4,0)),0,VLOOKUP($A$2483,INDIRECT("notes_"&amp;LEFT($A$2483,3)),4,0))</f>
        <v>0</v>
      </c>
      <c r="H2534" s="471">
        <v>4</v>
      </c>
      <c r="I2534" s="471">
        <v>2</v>
      </c>
      <c r="J2534" s="471" t="str">
        <f t="shared" si="381"/>
        <v>tchr-ni-cnt</v>
      </c>
      <c r="K2534" s="471" t="str">
        <f t="shared" si="382"/>
        <v>sc-ch</v>
      </c>
      <c r="L2534" s="599"/>
      <c r="M2534" s="471" t="s">
        <v>6620</v>
      </c>
      <c r="N2534" s="471" t="s">
        <v>1502</v>
      </c>
      <c r="O2534" s="471" t="s">
        <v>1496</v>
      </c>
    </row>
    <row r="2535" spans="1:15" x14ac:dyDescent="0.25">
      <c r="A2535" s="471" t="s">
        <v>6657</v>
      </c>
      <c r="B2535" s="1139">
        <f t="shared" ca="1" si="368"/>
        <v>0</v>
      </c>
      <c r="C2535" s="473">
        <f ca="1">IF(ISERROR(VLOOKUP($A$2484,INDIRECT("notes_"&amp;LEFT($A$2484,3)),4,0)),0,VLOOKUP($A$2484,INDIRECT("notes_"&amp;LEFT($A$2484,3)),4,0))</f>
        <v>0</v>
      </c>
      <c r="H2535" s="471">
        <v>4</v>
      </c>
      <c r="I2535" s="471">
        <v>2</v>
      </c>
      <c r="J2535" s="471" t="str">
        <f t="shared" si="381"/>
        <v>tchr-rtr-bnf</v>
      </c>
      <c r="K2535" s="471" t="str">
        <f t="shared" si="382"/>
        <v>sc-ch</v>
      </c>
      <c r="L2535" s="599"/>
      <c r="M2535" s="471" t="s">
        <v>6620</v>
      </c>
      <c r="N2535" s="471" t="s">
        <v>1502</v>
      </c>
      <c r="O2535" s="471" t="s">
        <v>1496</v>
      </c>
    </row>
    <row r="2536" spans="1:15" x14ac:dyDescent="0.25">
      <c r="A2536" s="471" t="s">
        <v>6658</v>
      </c>
      <c r="B2536" s="1139">
        <f t="shared" ca="1" si="368"/>
        <v>0</v>
      </c>
      <c r="C2536" s="473">
        <f ca="1">IF(ISERROR(VLOOKUP($A$2485,INDIRECT("notes_"&amp;LEFT($A$2485,3)),4,0)),0,VLOOKUP($A$2485,INDIRECT("notes_"&amp;LEFT($A$2485,3)),4,0))</f>
        <v>0</v>
      </c>
      <c r="H2536" s="471">
        <v>4</v>
      </c>
      <c r="I2536" s="471">
        <v>2</v>
      </c>
      <c r="J2536" s="471" t="str">
        <f t="shared" si="381"/>
        <v>tchr-lct-all</v>
      </c>
      <c r="K2536" s="471" t="str">
        <f t="shared" si="382"/>
        <v>sc-ch</v>
      </c>
      <c r="L2536" s="599"/>
      <c r="M2536" s="471" t="s">
        <v>6620</v>
      </c>
      <c r="N2536" s="471" t="s">
        <v>1502</v>
      </c>
      <c r="O2536" s="471" t="s">
        <v>1496</v>
      </c>
    </row>
    <row r="2537" spans="1:15" x14ac:dyDescent="0.25">
      <c r="A2537" s="471" t="s">
        <v>6659</v>
      </c>
      <c r="B2537" s="1139">
        <f t="shared" ca="1" si="368"/>
        <v>0</v>
      </c>
      <c r="C2537" s="473">
        <f ca="1">IF(ISERROR(VLOOKUP($A$2486,INDIRECT("notes_"&amp;LEFT($A$2486,3)),4,0)),0,VLOOKUP($A$2486,INDIRECT("notes_"&amp;LEFT($A$2486,3)),4,0))</f>
        <v>0</v>
      </c>
      <c r="H2537" s="471">
        <v>2</v>
      </c>
      <c r="I2537" s="471">
        <v>0</v>
      </c>
      <c r="J2537" s="471" t="str">
        <f t="shared" si="381"/>
        <v>tchrtot</v>
      </c>
      <c r="K2537" s="471" t="str">
        <f t="shared" si="382"/>
        <v>sc-ch</v>
      </c>
      <c r="L2537" s="599"/>
      <c r="M2537" s="471" t="s">
        <v>6620</v>
      </c>
      <c r="N2537" s="471" t="s">
        <v>1502</v>
      </c>
      <c r="O2537" s="471" t="s">
        <v>1496</v>
      </c>
    </row>
    <row r="2538" spans="1:15" x14ac:dyDescent="0.25">
      <c r="A2538" s="471" t="s">
        <v>6660</v>
      </c>
      <c r="B2538" s="1139">
        <f t="shared" ca="1" si="368"/>
        <v>0</v>
      </c>
      <c r="C2538" s="473">
        <f ca="1">IF(ISERROR(VLOOKUP($A$2487,INDIRECT("notes_"&amp;LEFT($A$2487,3)),4,0)),0,VLOOKUP($A$2487,INDIRECT("notes_"&amp;LEFT($A$2487,3)),4,0))</f>
        <v>0</v>
      </c>
      <c r="H2538" s="471">
        <v>4</v>
      </c>
      <c r="I2538" s="471">
        <v>0</v>
      </c>
      <c r="J2538" s="471" t="str">
        <f t="shared" si="381"/>
        <v>pol-frs-slr</v>
      </c>
      <c r="K2538" s="471" t="str">
        <f t="shared" si="382"/>
        <v>sc-ch</v>
      </c>
      <c r="L2538" s="599"/>
      <c r="M2538" s="471" t="s">
        <v>6620</v>
      </c>
      <c r="N2538" s="471" t="s">
        <v>1502</v>
      </c>
      <c r="O2538" s="471" t="s">
        <v>1496</v>
      </c>
    </row>
    <row r="2539" spans="1:15" x14ac:dyDescent="0.25">
      <c r="A2539" s="471" t="s">
        <v>6661</v>
      </c>
      <c r="B2539" s="1139">
        <f t="shared" ca="1" si="368"/>
        <v>0</v>
      </c>
      <c r="C2539" s="473">
        <f ca="1">IF(ISERROR(VLOOKUP($A$2488,INDIRECT("notes_"&amp;LEFT($A$2488,3)),4,0)),0,VLOOKUP($A$2488,INDIRECT("notes_"&amp;LEFT($A$2488,3)),4,0))</f>
        <v>0</v>
      </c>
      <c r="H2539" s="471">
        <v>5</v>
      </c>
      <c r="I2539" s="471">
        <v>0</v>
      </c>
      <c r="J2539" s="471" t="str">
        <f t="shared" si="381"/>
        <v>pol-frs-ni-cnt</v>
      </c>
      <c r="K2539" s="471" t="str">
        <f t="shared" si="382"/>
        <v>sc-ch</v>
      </c>
      <c r="L2539" s="599"/>
      <c r="M2539" s="471" t="s">
        <v>6620</v>
      </c>
      <c r="N2539" s="471" t="s">
        <v>1502</v>
      </c>
      <c r="O2539" s="471" t="s">
        <v>1496</v>
      </c>
    </row>
    <row r="2540" spans="1:15" x14ac:dyDescent="0.25">
      <c r="A2540" s="471" t="s">
        <v>6662</v>
      </c>
      <c r="B2540" s="1139">
        <f t="shared" ca="1" si="368"/>
        <v>0</v>
      </c>
      <c r="C2540" s="473">
        <f ca="1">IF(ISERROR(VLOOKUP($A$2489,INDIRECT("notes_"&amp;LEFT($A$2489,3)),4,0)),0,VLOOKUP($A$2489,INDIRECT("notes_"&amp;LEFT($A$2489,3)),4,0))</f>
        <v>0</v>
      </c>
      <c r="H2540" s="471">
        <v>5</v>
      </c>
      <c r="I2540" s="471">
        <v>0</v>
      </c>
      <c r="J2540" s="471" t="str">
        <f t="shared" si="381"/>
        <v>pol-frs-rtr-bnf</v>
      </c>
      <c r="K2540" s="471" t="str">
        <f t="shared" si="382"/>
        <v>sc-ch</v>
      </c>
      <c r="L2540" s="599"/>
      <c r="M2540" s="471" t="s">
        <v>6620</v>
      </c>
      <c r="N2540" s="471" t="s">
        <v>1502</v>
      </c>
      <c r="O2540" s="471" t="s">
        <v>1496</v>
      </c>
    </row>
    <row r="2541" spans="1:15" x14ac:dyDescent="0.25">
      <c r="A2541" s="471" t="s">
        <v>6663</v>
      </c>
      <c r="B2541" s="1139">
        <f t="shared" ca="1" si="368"/>
        <v>0</v>
      </c>
      <c r="C2541" s="473">
        <f ca="1">IF(ISERROR(VLOOKUP($A$2490,INDIRECT("notes_"&amp;LEFT($A$2490,3)),4,0)),0,VLOOKUP($A$2490,INDIRECT("notes_"&amp;LEFT($A$2490,3)),4,0))</f>
        <v>0</v>
      </c>
      <c r="H2541" s="471">
        <v>5</v>
      </c>
      <c r="I2541" s="471">
        <v>0</v>
      </c>
      <c r="J2541" s="471" t="str">
        <f t="shared" si="381"/>
        <v>pol-frs-lct-all</v>
      </c>
      <c r="K2541" s="471" t="str">
        <f t="shared" si="382"/>
        <v>sc-ch</v>
      </c>
      <c r="L2541" s="599"/>
      <c r="M2541" s="471" t="s">
        <v>6620</v>
      </c>
      <c r="N2541" s="471" t="s">
        <v>1502</v>
      </c>
      <c r="O2541" s="471" t="s">
        <v>1496</v>
      </c>
    </row>
    <row r="2542" spans="1:15" x14ac:dyDescent="0.25">
      <c r="A2542" s="471" t="s">
        <v>6664</v>
      </c>
      <c r="B2542" s="1139">
        <f t="shared" ca="1" si="368"/>
        <v>0</v>
      </c>
      <c r="C2542" s="473">
        <f ca="1">IF(ISERROR(VLOOKUP($A$2491,INDIRECT("notes_"&amp;LEFT($A$2491,3)),4,0)),0,VLOOKUP($A$2491,INDIRECT("notes_"&amp;LEFT($A$2491,3)),4,0))</f>
        <v>0</v>
      </c>
      <c r="H2542" s="471">
        <v>4</v>
      </c>
      <c r="I2542" s="471">
        <v>0</v>
      </c>
      <c r="J2542" s="471" t="str">
        <f t="shared" si="381"/>
        <v>pol-frs-tot</v>
      </c>
      <c r="K2542" s="471" t="str">
        <f t="shared" si="382"/>
        <v>sc-ch</v>
      </c>
      <c r="L2542" s="599"/>
      <c r="M2542" s="471" t="s">
        <v>6620</v>
      </c>
      <c r="N2542" s="471" t="s">
        <v>1502</v>
      </c>
      <c r="O2542" s="471" t="s">
        <v>1496</v>
      </c>
    </row>
    <row r="2543" spans="1:15" x14ac:dyDescent="0.25">
      <c r="A2543" s="471" t="s">
        <v>6665</v>
      </c>
      <c r="B2543" s="1139">
        <f t="shared" ca="1" si="368"/>
        <v>0</v>
      </c>
      <c r="C2543" s="473">
        <f ca="1">IF(ISERROR(VLOOKUP($A$2492,INDIRECT("notes_"&amp;LEFT($A$2492,3)),4,0)),0,VLOOKUP($A$2492,INDIRECT("notes_"&amp;LEFT($A$2492,3)),4,0))</f>
        <v>0</v>
      </c>
      <c r="H2543" s="471">
        <v>3</v>
      </c>
      <c r="I2543" s="471">
        <v>0</v>
      </c>
      <c r="J2543" s="471" t="str">
        <f t="shared" si="381"/>
        <v>oth-slr</v>
      </c>
      <c r="K2543" s="471" t="str">
        <f t="shared" si="382"/>
        <v>sc-ch</v>
      </c>
      <c r="L2543" s="599"/>
      <c r="M2543" s="471" t="s">
        <v>6620</v>
      </c>
      <c r="N2543" s="471" t="s">
        <v>1502</v>
      </c>
      <c r="O2543" s="471" t="s">
        <v>1496</v>
      </c>
    </row>
    <row r="2544" spans="1:15" x14ac:dyDescent="0.25">
      <c r="A2544" s="471" t="s">
        <v>6666</v>
      </c>
      <c r="B2544" s="1139">
        <f t="shared" ca="1" si="368"/>
        <v>0</v>
      </c>
      <c r="C2544" s="473">
        <f ca="1">IF(ISERROR(VLOOKUP($A$2493,INDIRECT("notes_"&amp;LEFT($A$2493,3)),4,0)),0,VLOOKUP($A$2493,INDIRECT("notes_"&amp;LEFT($A$2493,3)),4,0))</f>
        <v>0</v>
      </c>
      <c r="H2544" s="471">
        <v>4</v>
      </c>
      <c r="I2544" s="471">
        <v>0</v>
      </c>
      <c r="J2544" s="471" t="str">
        <f t="shared" si="381"/>
        <v>oth-ni-cnt</v>
      </c>
      <c r="K2544" s="471" t="str">
        <f t="shared" si="382"/>
        <v>sc-ch</v>
      </c>
      <c r="L2544" s="599"/>
      <c r="M2544" s="471" t="s">
        <v>6620</v>
      </c>
      <c r="N2544" s="471" t="s">
        <v>1502</v>
      </c>
      <c r="O2544" s="471" t="s">
        <v>1496</v>
      </c>
    </row>
    <row r="2545" spans="1:15" x14ac:dyDescent="0.25">
      <c r="A2545" s="471" t="s">
        <v>6667</v>
      </c>
      <c r="B2545" s="1139">
        <f t="shared" ca="1" si="368"/>
        <v>0</v>
      </c>
      <c r="C2545" s="473">
        <f ca="1">IF(ISERROR(VLOOKUP($A$2494,INDIRECT("notes_"&amp;LEFT($A$2494,3)),4,0)),0,VLOOKUP($A$2494,INDIRECT("notes_"&amp;LEFT($A$2494,3)),4,0))</f>
        <v>0</v>
      </c>
      <c r="H2545" s="471">
        <v>4</v>
      </c>
      <c r="I2545" s="471">
        <v>0</v>
      </c>
      <c r="J2545" s="471" t="str">
        <f t="shared" si="381"/>
        <v>oth-rtr-bnf</v>
      </c>
      <c r="K2545" s="471" t="str">
        <f t="shared" si="382"/>
        <v>sc-ch</v>
      </c>
      <c r="L2545" s="599"/>
      <c r="M2545" s="471" t="s">
        <v>6620</v>
      </c>
      <c r="N2545" s="471" t="s">
        <v>1502</v>
      </c>
      <c r="O2545" s="471" t="s">
        <v>1496</v>
      </c>
    </row>
    <row r="2546" spans="1:15" x14ac:dyDescent="0.25">
      <c r="A2546" s="471" t="s">
        <v>6668</v>
      </c>
      <c r="B2546" s="1139">
        <f t="shared" ref="B2546:B2609" ca="1" si="383">INDEX(INDIRECT(LEFT($A2546,SEARCH("-",$A2546,1)-1)&amp;"_data"),MATCH(MID($A2546,SEARCH("-",$A2546)+1,SEARCH("#",SUBSTITUTE($A2546,"-","#",H2546),1)-(SEARCH("-",$A2546)+1)),INDIRECT(LEFT($A2546,SEARCH("-",$A2546,1)-1)&amp;"_rows"),0),MATCH(RIGHT($A2546,LEN($A2546)-SEARCH("#",SUBSTITUTE($A2546,"-","#",H2546),1)),INDIRECT(LEFT($A2546,SEARCH("-",$A2546,1)-1)&amp;"_Header"),0))</f>
        <v>0</v>
      </c>
      <c r="C2546" s="473">
        <f ca="1">IF(ISERROR(VLOOKUP($A$2495,INDIRECT("notes_"&amp;LEFT($A$2495,3)),4,0)),0,VLOOKUP($A$2495,INDIRECT("notes_"&amp;LEFT($A$2495,3)),4,0))</f>
        <v>0</v>
      </c>
      <c r="H2546" s="471">
        <v>4</v>
      </c>
      <c r="I2546" s="471">
        <v>0</v>
      </c>
      <c r="J2546" s="471" t="str">
        <f t="shared" si="381"/>
        <v>oth-lct-all</v>
      </c>
      <c r="K2546" s="471" t="str">
        <f t="shared" si="382"/>
        <v>sc-ch</v>
      </c>
      <c r="L2546" s="599"/>
      <c r="M2546" s="471" t="s">
        <v>6620</v>
      </c>
      <c r="N2546" s="471" t="s">
        <v>1502</v>
      </c>
      <c r="O2546" s="471" t="s">
        <v>1496</v>
      </c>
    </row>
    <row r="2547" spans="1:15" x14ac:dyDescent="0.25">
      <c r="A2547" s="471" t="s">
        <v>6669</v>
      </c>
      <c r="B2547" s="1139">
        <f t="shared" ca="1" si="383"/>
        <v>0</v>
      </c>
      <c r="C2547" s="473">
        <f ca="1">IF(ISERROR(VLOOKUP($A$2496,INDIRECT("notes_"&amp;LEFT($A$2496,3)),4,0)),0,VLOOKUP($A$2496,INDIRECT("notes_"&amp;LEFT($A$2496,3)),4,0))</f>
        <v>0</v>
      </c>
      <c r="H2547" s="471">
        <v>2</v>
      </c>
      <c r="I2547" s="471">
        <v>0</v>
      </c>
      <c r="J2547" s="471" t="str">
        <f t="shared" si="381"/>
        <v>othtot</v>
      </c>
      <c r="K2547" s="471" t="str">
        <f t="shared" si="382"/>
        <v>sc-ch</v>
      </c>
      <c r="L2547" s="599"/>
      <c r="M2547" s="471" t="s">
        <v>6620</v>
      </c>
      <c r="N2547" s="471" t="s">
        <v>1502</v>
      </c>
      <c r="O2547" s="471" t="s">
        <v>1496</v>
      </c>
    </row>
    <row r="2548" spans="1:15" x14ac:dyDescent="0.25">
      <c r="A2548" s="471" t="s">
        <v>6670</v>
      </c>
      <c r="B2548" s="1139">
        <f t="shared" ca="1" si="383"/>
        <v>0</v>
      </c>
      <c r="C2548" s="473">
        <f ca="1">IF(ISERROR(VLOOKUP($A$2497,INDIRECT("notes_"&amp;LEFT($A$2497,3)),4,0)),0,VLOOKUP($A$2497,INDIRECT("notes_"&amp;LEFT($A$2497,3)),4,0))</f>
        <v>0</v>
      </c>
      <c r="H2548" s="471">
        <v>2</v>
      </c>
      <c r="I2548" s="471">
        <v>0</v>
      </c>
      <c r="J2548" s="471" t="str">
        <f t="shared" si="381"/>
        <v>othcst</v>
      </c>
      <c r="K2548" s="471" t="str">
        <f t="shared" si="382"/>
        <v>sc-ch</v>
      </c>
      <c r="L2548" s="599"/>
      <c r="M2548" s="471" t="s">
        <v>6620</v>
      </c>
      <c r="N2548" s="471" t="s">
        <v>1502</v>
      </c>
      <c r="O2548" s="471" t="s">
        <v>1496</v>
      </c>
    </row>
    <row r="2549" spans="1:15" x14ac:dyDescent="0.25">
      <c r="A2549" s="471" t="s">
        <v>6671</v>
      </c>
      <c r="B2549" s="1139">
        <f t="shared" ca="1" si="383"/>
        <v>0</v>
      </c>
      <c r="C2549" s="473">
        <f ca="1">IF(ISERROR(VLOOKUP($A$2498,INDIRECT("notes_"&amp;LEFT($A$2498,3)),4,0)),0,VLOOKUP($A$2498,INDIRECT("notes_"&amp;LEFT($A$2498,3)),4,0))</f>
        <v>0</v>
      </c>
      <c r="H2549" s="471">
        <v>2</v>
      </c>
      <c r="I2549" s="471">
        <v>0</v>
      </c>
      <c r="J2549" s="471" t="str">
        <f t="shared" si="381"/>
        <v>tot</v>
      </c>
      <c r="K2549" s="471" t="str">
        <f t="shared" si="382"/>
        <v>sc-ch</v>
      </c>
      <c r="L2549" s="599"/>
      <c r="M2549" s="471" t="s">
        <v>6620</v>
      </c>
      <c r="N2549" s="471" t="s">
        <v>1502</v>
      </c>
      <c r="O2549" s="471" t="s">
        <v>1496</v>
      </c>
    </row>
    <row r="2550" spans="1:15" x14ac:dyDescent="0.25">
      <c r="A2550" s="471" t="s">
        <v>6672</v>
      </c>
      <c r="B2550" s="1139">
        <f t="shared" ca="1" si="383"/>
        <v>0</v>
      </c>
      <c r="C2550" s="473">
        <f ca="1">IF(ISERROR(VLOOKUP($A$2482,INDIRECT("notes_"&amp;LEFT($A$2482,3)),4,0)),0,VLOOKUP($A$2482,INDIRECT("notes_"&amp;LEFT($A$2482,3)),4,0))</f>
        <v>0</v>
      </c>
      <c r="H2550" s="471">
        <v>3</v>
      </c>
      <c r="I2550" s="471">
        <v>1</v>
      </c>
      <c r="J2550" s="471" t="str">
        <f t="shared" ref="J2550:J2566" si="384">MID($A2550,SEARCH("-",$A2550)+1,SEARCH("#",SUBSTITUTE($A2550,"-","#",H2550),1)-(SEARCH("-",$A2550)+1))</f>
        <v>tchr-slr</v>
      </c>
      <c r="K2550" s="471" t="str">
        <f t="shared" ref="K2550:K2566" si="385">RIGHT($A2550,LEN($A2550)-SEARCH("#",SUBSTITUTE($A2550,"-","#",H2550),1))</f>
        <v>sc-ad</v>
      </c>
      <c r="L2550" s="599"/>
      <c r="M2550" s="471" t="s">
        <v>6620</v>
      </c>
      <c r="N2550" s="471" t="s">
        <v>1502</v>
      </c>
      <c r="O2550" s="471" t="s">
        <v>1496</v>
      </c>
    </row>
    <row r="2551" spans="1:15" x14ac:dyDescent="0.25">
      <c r="A2551" s="471" t="s">
        <v>6673</v>
      </c>
      <c r="B2551" s="1139">
        <f t="shared" ca="1" si="383"/>
        <v>0</v>
      </c>
      <c r="C2551" s="473">
        <f ca="1">IF(ISERROR(VLOOKUP($A$2483,INDIRECT("notes_"&amp;LEFT($A$2483,3)),4,0)),0,VLOOKUP($A$2483,INDIRECT("notes_"&amp;LEFT($A$2483,3)),4,0))</f>
        <v>0</v>
      </c>
      <c r="H2551" s="471">
        <v>4</v>
      </c>
      <c r="I2551" s="471">
        <v>2</v>
      </c>
      <c r="J2551" s="471" t="str">
        <f t="shared" si="384"/>
        <v>tchr-ni-cnt</v>
      </c>
      <c r="K2551" s="471" t="str">
        <f t="shared" si="385"/>
        <v>sc-ad</v>
      </c>
      <c r="L2551" s="599"/>
      <c r="M2551" s="471" t="s">
        <v>6620</v>
      </c>
      <c r="N2551" s="471" t="s">
        <v>1502</v>
      </c>
      <c r="O2551" s="471" t="s">
        <v>1496</v>
      </c>
    </row>
    <row r="2552" spans="1:15" x14ac:dyDescent="0.25">
      <c r="A2552" s="471" t="s">
        <v>6674</v>
      </c>
      <c r="B2552" s="1139">
        <f t="shared" ca="1" si="383"/>
        <v>0</v>
      </c>
      <c r="C2552" s="473">
        <f ca="1">IF(ISERROR(VLOOKUP($A$2484,INDIRECT("notes_"&amp;LEFT($A$2484,3)),4,0)),0,VLOOKUP($A$2484,INDIRECT("notes_"&amp;LEFT($A$2484,3)),4,0))</f>
        <v>0</v>
      </c>
      <c r="H2552" s="471">
        <v>4</v>
      </c>
      <c r="I2552" s="471">
        <v>2</v>
      </c>
      <c r="J2552" s="471" t="str">
        <f t="shared" si="384"/>
        <v>tchr-rtr-bnf</v>
      </c>
      <c r="K2552" s="471" t="str">
        <f t="shared" si="385"/>
        <v>sc-ad</v>
      </c>
      <c r="L2552" s="599"/>
      <c r="M2552" s="471" t="s">
        <v>6620</v>
      </c>
      <c r="N2552" s="471" t="s">
        <v>1502</v>
      </c>
      <c r="O2552" s="471" t="s">
        <v>1496</v>
      </c>
    </row>
    <row r="2553" spans="1:15" x14ac:dyDescent="0.25">
      <c r="A2553" s="471" t="s">
        <v>6675</v>
      </c>
      <c r="B2553" s="1139">
        <f t="shared" ca="1" si="383"/>
        <v>0</v>
      </c>
      <c r="C2553" s="473">
        <f ca="1">IF(ISERROR(VLOOKUP($A$2485,INDIRECT("notes_"&amp;LEFT($A$2485,3)),4,0)),0,VLOOKUP($A$2485,INDIRECT("notes_"&amp;LEFT($A$2485,3)),4,0))</f>
        <v>0</v>
      </c>
      <c r="H2553" s="471">
        <v>4</v>
      </c>
      <c r="I2553" s="471">
        <v>2</v>
      </c>
      <c r="J2553" s="471" t="str">
        <f t="shared" si="384"/>
        <v>tchr-lct-all</v>
      </c>
      <c r="K2553" s="471" t="str">
        <f t="shared" si="385"/>
        <v>sc-ad</v>
      </c>
      <c r="L2553" s="599"/>
      <c r="M2553" s="471" t="s">
        <v>6620</v>
      </c>
      <c r="N2553" s="471" t="s">
        <v>1502</v>
      </c>
      <c r="O2553" s="471" t="s">
        <v>1496</v>
      </c>
    </row>
    <row r="2554" spans="1:15" x14ac:dyDescent="0.25">
      <c r="A2554" s="471" t="s">
        <v>6676</v>
      </c>
      <c r="B2554" s="1139">
        <f t="shared" ca="1" si="383"/>
        <v>0</v>
      </c>
      <c r="C2554" s="473">
        <f ca="1">IF(ISERROR(VLOOKUP($A$2486,INDIRECT("notes_"&amp;LEFT($A$2486,3)),4,0)),0,VLOOKUP($A$2486,INDIRECT("notes_"&amp;LEFT($A$2486,3)),4,0))</f>
        <v>0</v>
      </c>
      <c r="H2554" s="471">
        <v>2</v>
      </c>
      <c r="I2554" s="471">
        <v>0</v>
      </c>
      <c r="J2554" s="471" t="str">
        <f t="shared" si="384"/>
        <v>tchrtot</v>
      </c>
      <c r="K2554" s="471" t="str">
        <f t="shared" si="385"/>
        <v>sc-ad</v>
      </c>
      <c r="L2554" s="599"/>
      <c r="M2554" s="471" t="s">
        <v>6620</v>
      </c>
      <c r="N2554" s="471" t="s">
        <v>1502</v>
      </c>
      <c r="O2554" s="471" t="s">
        <v>1496</v>
      </c>
    </row>
    <row r="2555" spans="1:15" x14ac:dyDescent="0.25">
      <c r="A2555" s="471" t="s">
        <v>6677</v>
      </c>
      <c r="B2555" s="1139">
        <f t="shared" ca="1" si="383"/>
        <v>0</v>
      </c>
      <c r="C2555" s="473">
        <f ca="1">IF(ISERROR(VLOOKUP($A$2487,INDIRECT("notes_"&amp;LEFT($A$2487,3)),4,0)),0,VLOOKUP($A$2487,INDIRECT("notes_"&amp;LEFT($A$2487,3)),4,0))</f>
        <v>0</v>
      </c>
      <c r="H2555" s="471">
        <v>4</v>
      </c>
      <c r="I2555" s="471">
        <v>0</v>
      </c>
      <c r="J2555" s="471" t="str">
        <f t="shared" si="384"/>
        <v>pol-frs-slr</v>
      </c>
      <c r="K2555" s="471" t="str">
        <f t="shared" si="385"/>
        <v>sc-ad</v>
      </c>
      <c r="L2555" s="599"/>
      <c r="M2555" s="471" t="s">
        <v>6620</v>
      </c>
      <c r="N2555" s="471" t="s">
        <v>1502</v>
      </c>
      <c r="O2555" s="471" t="s">
        <v>1496</v>
      </c>
    </row>
    <row r="2556" spans="1:15" x14ac:dyDescent="0.25">
      <c r="A2556" s="471" t="s">
        <v>6678</v>
      </c>
      <c r="B2556" s="1139">
        <f t="shared" ca="1" si="383"/>
        <v>0</v>
      </c>
      <c r="C2556" s="473">
        <f ca="1">IF(ISERROR(VLOOKUP($A$2488,INDIRECT("notes_"&amp;LEFT($A$2488,3)),4,0)),0,VLOOKUP($A$2488,INDIRECT("notes_"&amp;LEFT($A$2488,3)),4,0))</f>
        <v>0</v>
      </c>
      <c r="H2556" s="471">
        <v>5</v>
      </c>
      <c r="I2556" s="471">
        <v>0</v>
      </c>
      <c r="J2556" s="471" t="str">
        <f t="shared" si="384"/>
        <v>pol-frs-ni-cnt</v>
      </c>
      <c r="K2556" s="471" t="str">
        <f t="shared" si="385"/>
        <v>sc-ad</v>
      </c>
      <c r="L2556" s="599"/>
      <c r="M2556" s="471" t="s">
        <v>6620</v>
      </c>
      <c r="N2556" s="471" t="s">
        <v>1502</v>
      </c>
      <c r="O2556" s="471" t="s">
        <v>1496</v>
      </c>
    </row>
    <row r="2557" spans="1:15" x14ac:dyDescent="0.25">
      <c r="A2557" s="471" t="s">
        <v>6679</v>
      </c>
      <c r="B2557" s="1139">
        <f t="shared" ca="1" si="383"/>
        <v>0</v>
      </c>
      <c r="C2557" s="473">
        <f ca="1">IF(ISERROR(VLOOKUP($A$2489,INDIRECT("notes_"&amp;LEFT($A$2489,3)),4,0)),0,VLOOKUP($A$2489,INDIRECT("notes_"&amp;LEFT($A$2489,3)),4,0))</f>
        <v>0</v>
      </c>
      <c r="H2557" s="471">
        <v>5</v>
      </c>
      <c r="I2557" s="471">
        <v>0</v>
      </c>
      <c r="J2557" s="471" t="str">
        <f t="shared" si="384"/>
        <v>pol-frs-rtr-bnf</v>
      </c>
      <c r="K2557" s="471" t="str">
        <f t="shared" si="385"/>
        <v>sc-ad</v>
      </c>
      <c r="L2557" s="599"/>
      <c r="M2557" s="471" t="s">
        <v>6620</v>
      </c>
      <c r="N2557" s="471" t="s">
        <v>1502</v>
      </c>
      <c r="O2557" s="471" t="s">
        <v>1496</v>
      </c>
    </row>
    <row r="2558" spans="1:15" x14ac:dyDescent="0.25">
      <c r="A2558" s="471" t="s">
        <v>6680</v>
      </c>
      <c r="B2558" s="1139">
        <f t="shared" ca="1" si="383"/>
        <v>0</v>
      </c>
      <c r="C2558" s="473">
        <f ca="1">IF(ISERROR(VLOOKUP($A$2490,INDIRECT("notes_"&amp;LEFT($A$2490,3)),4,0)),0,VLOOKUP($A$2490,INDIRECT("notes_"&amp;LEFT($A$2490,3)),4,0))</f>
        <v>0</v>
      </c>
      <c r="H2558" s="471">
        <v>5</v>
      </c>
      <c r="I2558" s="471">
        <v>0</v>
      </c>
      <c r="J2558" s="471" t="str">
        <f t="shared" si="384"/>
        <v>pol-frs-lct-all</v>
      </c>
      <c r="K2558" s="471" t="str">
        <f t="shared" si="385"/>
        <v>sc-ad</v>
      </c>
      <c r="L2558" s="599"/>
      <c r="M2558" s="471" t="s">
        <v>6620</v>
      </c>
      <c r="N2558" s="471" t="s">
        <v>1502</v>
      </c>
      <c r="O2558" s="471" t="s">
        <v>1496</v>
      </c>
    </row>
    <row r="2559" spans="1:15" x14ac:dyDescent="0.25">
      <c r="A2559" s="471" t="s">
        <v>6681</v>
      </c>
      <c r="B2559" s="1139">
        <f t="shared" ca="1" si="383"/>
        <v>0</v>
      </c>
      <c r="C2559" s="473">
        <f ca="1">IF(ISERROR(VLOOKUP($A$2491,INDIRECT("notes_"&amp;LEFT($A$2491,3)),4,0)),0,VLOOKUP($A$2491,INDIRECT("notes_"&amp;LEFT($A$2491,3)),4,0))</f>
        <v>0</v>
      </c>
      <c r="H2559" s="471">
        <v>4</v>
      </c>
      <c r="I2559" s="471">
        <v>0</v>
      </c>
      <c r="J2559" s="471" t="str">
        <f t="shared" si="384"/>
        <v>pol-frs-tot</v>
      </c>
      <c r="K2559" s="471" t="str">
        <f t="shared" si="385"/>
        <v>sc-ad</v>
      </c>
      <c r="L2559" s="599"/>
      <c r="M2559" s="471" t="s">
        <v>6620</v>
      </c>
      <c r="N2559" s="471" t="s">
        <v>1502</v>
      </c>
      <c r="O2559" s="471" t="s">
        <v>1496</v>
      </c>
    </row>
    <row r="2560" spans="1:15" x14ac:dyDescent="0.25">
      <c r="A2560" s="471" t="s">
        <v>6682</v>
      </c>
      <c r="B2560" s="1139">
        <f t="shared" ca="1" si="383"/>
        <v>0</v>
      </c>
      <c r="C2560" s="473">
        <f ca="1">IF(ISERROR(VLOOKUP($A$2492,INDIRECT("notes_"&amp;LEFT($A$2492,3)),4,0)),0,VLOOKUP($A$2492,INDIRECT("notes_"&amp;LEFT($A$2492,3)),4,0))</f>
        <v>0</v>
      </c>
      <c r="H2560" s="471">
        <v>3</v>
      </c>
      <c r="I2560" s="471">
        <v>0</v>
      </c>
      <c r="J2560" s="471" t="str">
        <f t="shared" si="384"/>
        <v>oth-slr</v>
      </c>
      <c r="K2560" s="471" t="str">
        <f t="shared" si="385"/>
        <v>sc-ad</v>
      </c>
      <c r="L2560" s="599"/>
      <c r="M2560" s="471" t="s">
        <v>6620</v>
      </c>
      <c r="N2560" s="471" t="s">
        <v>1502</v>
      </c>
      <c r="O2560" s="471" t="s">
        <v>1496</v>
      </c>
    </row>
    <row r="2561" spans="1:15" x14ac:dyDescent="0.25">
      <c r="A2561" s="471" t="s">
        <v>6683</v>
      </c>
      <c r="B2561" s="1139">
        <f t="shared" ca="1" si="383"/>
        <v>0</v>
      </c>
      <c r="C2561" s="473">
        <f ca="1">IF(ISERROR(VLOOKUP($A$2493,INDIRECT("notes_"&amp;LEFT($A$2493,3)),4,0)),0,VLOOKUP($A$2493,INDIRECT("notes_"&amp;LEFT($A$2493,3)),4,0))</f>
        <v>0</v>
      </c>
      <c r="H2561" s="471">
        <v>4</v>
      </c>
      <c r="I2561" s="471">
        <v>0</v>
      </c>
      <c r="J2561" s="471" t="str">
        <f t="shared" si="384"/>
        <v>oth-ni-cnt</v>
      </c>
      <c r="K2561" s="471" t="str">
        <f t="shared" si="385"/>
        <v>sc-ad</v>
      </c>
      <c r="L2561" s="599"/>
      <c r="M2561" s="471" t="s">
        <v>6620</v>
      </c>
      <c r="N2561" s="471" t="s">
        <v>1502</v>
      </c>
      <c r="O2561" s="471" t="s">
        <v>1496</v>
      </c>
    </row>
    <row r="2562" spans="1:15" x14ac:dyDescent="0.25">
      <c r="A2562" s="471" t="s">
        <v>6684</v>
      </c>
      <c r="B2562" s="1139">
        <f t="shared" ca="1" si="383"/>
        <v>0</v>
      </c>
      <c r="C2562" s="473">
        <f ca="1">IF(ISERROR(VLOOKUP($A$2494,INDIRECT("notes_"&amp;LEFT($A$2494,3)),4,0)),0,VLOOKUP($A$2494,INDIRECT("notes_"&amp;LEFT($A$2494,3)),4,0))</f>
        <v>0</v>
      </c>
      <c r="H2562" s="471">
        <v>4</v>
      </c>
      <c r="I2562" s="471">
        <v>0</v>
      </c>
      <c r="J2562" s="471" t="str">
        <f t="shared" si="384"/>
        <v>oth-rtr-bnf</v>
      </c>
      <c r="K2562" s="471" t="str">
        <f t="shared" si="385"/>
        <v>sc-ad</v>
      </c>
      <c r="L2562" s="599"/>
      <c r="M2562" s="471" t="s">
        <v>6620</v>
      </c>
      <c r="N2562" s="471" t="s">
        <v>1502</v>
      </c>
      <c r="O2562" s="471" t="s">
        <v>1496</v>
      </c>
    </row>
    <row r="2563" spans="1:15" x14ac:dyDescent="0.25">
      <c r="A2563" s="471" t="s">
        <v>6685</v>
      </c>
      <c r="B2563" s="1139">
        <f t="shared" ca="1" si="383"/>
        <v>0</v>
      </c>
      <c r="C2563" s="473">
        <f ca="1">IF(ISERROR(VLOOKUP($A$2495,INDIRECT("notes_"&amp;LEFT($A$2495,3)),4,0)),0,VLOOKUP($A$2495,INDIRECT("notes_"&amp;LEFT($A$2495,3)),4,0))</f>
        <v>0</v>
      </c>
      <c r="H2563" s="471">
        <v>4</v>
      </c>
      <c r="I2563" s="471">
        <v>0</v>
      </c>
      <c r="J2563" s="471" t="str">
        <f t="shared" si="384"/>
        <v>oth-lct-all</v>
      </c>
      <c r="K2563" s="471" t="str">
        <f t="shared" si="385"/>
        <v>sc-ad</v>
      </c>
      <c r="L2563" s="599"/>
      <c r="M2563" s="471" t="s">
        <v>6620</v>
      </c>
      <c r="N2563" s="471" t="s">
        <v>1502</v>
      </c>
      <c r="O2563" s="471" t="s">
        <v>1496</v>
      </c>
    </row>
    <row r="2564" spans="1:15" x14ac:dyDescent="0.25">
      <c r="A2564" s="471" t="s">
        <v>6686</v>
      </c>
      <c r="B2564" s="1139">
        <f t="shared" ca="1" si="383"/>
        <v>0</v>
      </c>
      <c r="C2564" s="473">
        <f ca="1">IF(ISERROR(VLOOKUP($A$2496,INDIRECT("notes_"&amp;LEFT($A$2496,3)),4,0)),0,VLOOKUP($A$2496,INDIRECT("notes_"&amp;LEFT($A$2496,3)),4,0))</f>
        <v>0</v>
      </c>
      <c r="H2564" s="471">
        <v>2</v>
      </c>
      <c r="I2564" s="471">
        <v>0</v>
      </c>
      <c r="J2564" s="471" t="str">
        <f t="shared" si="384"/>
        <v>othtot</v>
      </c>
      <c r="K2564" s="471" t="str">
        <f t="shared" si="385"/>
        <v>sc-ad</v>
      </c>
      <c r="L2564" s="599"/>
      <c r="M2564" s="471" t="s">
        <v>6620</v>
      </c>
      <c r="N2564" s="471" t="s">
        <v>1502</v>
      </c>
      <c r="O2564" s="471" t="s">
        <v>1496</v>
      </c>
    </row>
    <row r="2565" spans="1:15" x14ac:dyDescent="0.25">
      <c r="A2565" s="471" t="s">
        <v>6687</v>
      </c>
      <c r="B2565" s="1139">
        <f t="shared" ca="1" si="383"/>
        <v>0</v>
      </c>
      <c r="C2565" s="473">
        <f ca="1">IF(ISERROR(VLOOKUP($A$2497,INDIRECT("notes_"&amp;LEFT($A$2497,3)),4,0)),0,VLOOKUP($A$2497,INDIRECT("notes_"&amp;LEFT($A$2497,3)),4,0))</f>
        <v>0</v>
      </c>
      <c r="H2565" s="471">
        <v>2</v>
      </c>
      <c r="I2565" s="471">
        <v>0</v>
      </c>
      <c r="J2565" s="471" t="str">
        <f t="shared" si="384"/>
        <v>othcst</v>
      </c>
      <c r="K2565" s="471" t="str">
        <f t="shared" si="385"/>
        <v>sc-ad</v>
      </c>
      <c r="L2565" s="599"/>
      <c r="M2565" s="471" t="s">
        <v>6620</v>
      </c>
      <c r="N2565" s="471" t="s">
        <v>1502</v>
      </c>
      <c r="O2565" s="471" t="s">
        <v>1496</v>
      </c>
    </row>
    <row r="2566" spans="1:15" x14ac:dyDescent="0.25">
      <c r="A2566" s="471" t="s">
        <v>6688</v>
      </c>
      <c r="B2566" s="1139">
        <f t="shared" ca="1" si="383"/>
        <v>0</v>
      </c>
      <c r="C2566" s="473">
        <f ca="1">IF(ISERROR(VLOOKUP($A$2498,INDIRECT("notes_"&amp;LEFT($A$2498,3)),4,0)),0,VLOOKUP($A$2498,INDIRECT("notes_"&amp;LEFT($A$2498,3)),4,0))</f>
        <v>0</v>
      </c>
      <c r="H2566" s="471">
        <v>2</v>
      </c>
      <c r="I2566" s="471">
        <v>0</v>
      </c>
      <c r="J2566" s="471" t="str">
        <f t="shared" si="384"/>
        <v>tot</v>
      </c>
      <c r="K2566" s="471" t="str">
        <f t="shared" si="385"/>
        <v>sc-ad</v>
      </c>
      <c r="L2566" s="599"/>
      <c r="M2566" s="471" t="s">
        <v>6620</v>
      </c>
      <c r="N2566" s="471" t="s">
        <v>1502</v>
      </c>
      <c r="O2566" s="471" t="s">
        <v>1496</v>
      </c>
    </row>
    <row r="2567" spans="1:15" x14ac:dyDescent="0.25">
      <c r="A2567" s="471" t="s">
        <v>6689</v>
      </c>
      <c r="B2567" s="1139">
        <f t="shared" ca="1" si="383"/>
        <v>0</v>
      </c>
      <c r="C2567" s="473">
        <f ca="1">IF(ISERROR(VLOOKUP($A$2482,INDIRECT("notes_"&amp;LEFT($A$2482,3)),4,0)),0,VLOOKUP($A$2482,INDIRECT("notes_"&amp;LEFT($A$2482,3)),4,0))</f>
        <v>0</v>
      </c>
      <c r="H2567" s="471">
        <v>3</v>
      </c>
      <c r="I2567" s="471">
        <v>1</v>
      </c>
      <c r="J2567" s="471" t="str">
        <f t="shared" ref="J2567:J2583" si="386">MID($A2567,SEARCH("-",$A2567)+1,SEARCH("#",SUBSTITUTE($A2567,"-","#",H2567),1)-(SEARCH("-",$A2567)+1))</f>
        <v>tchr-slr</v>
      </c>
      <c r="K2567" s="471" t="str">
        <f t="shared" ref="K2567:K2583" si="387">RIGHT($A2567,LEN($A2567)-SEARCH("#",SUBSTITUTE($A2567,"-","#",H2567),1))</f>
        <v>ph</v>
      </c>
      <c r="L2567" s="599"/>
      <c r="M2567" s="471" t="s">
        <v>6620</v>
      </c>
      <c r="N2567" s="471" t="s">
        <v>1502</v>
      </c>
      <c r="O2567" s="471" t="s">
        <v>1496</v>
      </c>
    </row>
    <row r="2568" spans="1:15" x14ac:dyDescent="0.25">
      <c r="A2568" s="471" t="s">
        <v>6690</v>
      </c>
      <c r="B2568" s="1139">
        <f t="shared" ca="1" si="383"/>
        <v>0</v>
      </c>
      <c r="C2568" s="473">
        <f ca="1">IF(ISERROR(VLOOKUP($A$2483,INDIRECT("notes_"&amp;LEFT($A$2483,3)),4,0)),0,VLOOKUP($A$2483,INDIRECT("notes_"&amp;LEFT($A$2483,3)),4,0))</f>
        <v>0</v>
      </c>
      <c r="H2568" s="471">
        <v>4</v>
      </c>
      <c r="I2568" s="471">
        <v>2</v>
      </c>
      <c r="J2568" s="471" t="str">
        <f t="shared" si="386"/>
        <v>tchr-ni-cnt</v>
      </c>
      <c r="K2568" s="471" t="str">
        <f t="shared" si="387"/>
        <v>ph</v>
      </c>
      <c r="L2568" s="599"/>
      <c r="M2568" s="471" t="s">
        <v>6620</v>
      </c>
      <c r="N2568" s="471" t="s">
        <v>1502</v>
      </c>
      <c r="O2568" s="471" t="s">
        <v>1496</v>
      </c>
    </row>
    <row r="2569" spans="1:15" x14ac:dyDescent="0.25">
      <c r="A2569" s="471" t="s">
        <v>6691</v>
      </c>
      <c r="B2569" s="1139">
        <f t="shared" ca="1" si="383"/>
        <v>0</v>
      </c>
      <c r="C2569" s="473">
        <f ca="1">IF(ISERROR(VLOOKUP($A$2484,INDIRECT("notes_"&amp;LEFT($A$2484,3)),4,0)),0,VLOOKUP($A$2484,INDIRECT("notes_"&amp;LEFT($A$2484,3)),4,0))</f>
        <v>0</v>
      </c>
      <c r="H2569" s="471">
        <v>4</v>
      </c>
      <c r="I2569" s="471">
        <v>2</v>
      </c>
      <c r="J2569" s="471" t="str">
        <f t="shared" si="386"/>
        <v>tchr-rtr-bnf</v>
      </c>
      <c r="K2569" s="471" t="str">
        <f t="shared" si="387"/>
        <v>ph</v>
      </c>
      <c r="L2569" s="599"/>
      <c r="M2569" s="471" t="s">
        <v>6620</v>
      </c>
      <c r="N2569" s="471" t="s">
        <v>1502</v>
      </c>
      <c r="O2569" s="471" t="s">
        <v>1496</v>
      </c>
    </row>
    <row r="2570" spans="1:15" x14ac:dyDescent="0.25">
      <c r="A2570" s="471" t="s">
        <v>6692</v>
      </c>
      <c r="B2570" s="1139">
        <f t="shared" ca="1" si="383"/>
        <v>0</v>
      </c>
      <c r="C2570" s="473">
        <f ca="1">IF(ISERROR(VLOOKUP($A$2485,INDIRECT("notes_"&amp;LEFT($A$2485,3)),4,0)),0,VLOOKUP($A$2485,INDIRECT("notes_"&amp;LEFT($A$2485,3)),4,0))</f>
        <v>0</v>
      </c>
      <c r="H2570" s="471">
        <v>4</v>
      </c>
      <c r="I2570" s="471">
        <v>2</v>
      </c>
      <c r="J2570" s="471" t="str">
        <f t="shared" si="386"/>
        <v>tchr-lct-all</v>
      </c>
      <c r="K2570" s="471" t="str">
        <f t="shared" si="387"/>
        <v>ph</v>
      </c>
      <c r="L2570" s="599"/>
      <c r="M2570" s="471" t="s">
        <v>6620</v>
      </c>
      <c r="N2570" s="471" t="s">
        <v>1502</v>
      </c>
      <c r="O2570" s="471" t="s">
        <v>1496</v>
      </c>
    </row>
    <row r="2571" spans="1:15" x14ac:dyDescent="0.25">
      <c r="A2571" s="471" t="s">
        <v>6693</v>
      </c>
      <c r="B2571" s="1139">
        <f t="shared" ca="1" si="383"/>
        <v>0</v>
      </c>
      <c r="C2571" s="473">
        <f ca="1">IF(ISERROR(VLOOKUP($A$2486,INDIRECT("notes_"&amp;LEFT($A$2486,3)),4,0)),0,VLOOKUP($A$2486,INDIRECT("notes_"&amp;LEFT($A$2486,3)),4,0))</f>
        <v>0</v>
      </c>
      <c r="H2571" s="471">
        <v>2</v>
      </c>
      <c r="I2571" s="471">
        <v>0</v>
      </c>
      <c r="J2571" s="471" t="str">
        <f t="shared" si="386"/>
        <v>tchrtot</v>
      </c>
      <c r="K2571" s="471" t="str">
        <f t="shared" si="387"/>
        <v>ph</v>
      </c>
      <c r="L2571" s="599"/>
      <c r="M2571" s="471" t="s">
        <v>6620</v>
      </c>
      <c r="N2571" s="471" t="s">
        <v>1502</v>
      </c>
      <c r="O2571" s="471" t="s">
        <v>1496</v>
      </c>
    </row>
    <row r="2572" spans="1:15" x14ac:dyDescent="0.25">
      <c r="A2572" s="471" t="s">
        <v>6694</v>
      </c>
      <c r="B2572" s="1139">
        <f t="shared" ca="1" si="383"/>
        <v>0</v>
      </c>
      <c r="C2572" s="473">
        <f ca="1">IF(ISERROR(VLOOKUP($A$2487,INDIRECT("notes_"&amp;LEFT($A$2487,3)),4,0)),0,VLOOKUP($A$2487,INDIRECT("notes_"&amp;LEFT($A$2487,3)),4,0))</f>
        <v>0</v>
      </c>
      <c r="H2572" s="471">
        <v>4</v>
      </c>
      <c r="I2572" s="471">
        <v>0</v>
      </c>
      <c r="J2572" s="471" t="str">
        <f t="shared" si="386"/>
        <v>pol-frs-slr</v>
      </c>
      <c r="K2572" s="471" t="str">
        <f t="shared" si="387"/>
        <v>ph</v>
      </c>
      <c r="L2572" s="599"/>
      <c r="M2572" s="471" t="s">
        <v>6620</v>
      </c>
      <c r="N2572" s="471" t="s">
        <v>1502</v>
      </c>
      <c r="O2572" s="471" t="s">
        <v>1496</v>
      </c>
    </row>
    <row r="2573" spans="1:15" x14ac:dyDescent="0.25">
      <c r="A2573" s="471" t="s">
        <v>6695</v>
      </c>
      <c r="B2573" s="1139">
        <f t="shared" ca="1" si="383"/>
        <v>0</v>
      </c>
      <c r="C2573" s="473">
        <f ca="1">IF(ISERROR(VLOOKUP($A$2488,INDIRECT("notes_"&amp;LEFT($A$2488,3)),4,0)),0,VLOOKUP($A$2488,INDIRECT("notes_"&amp;LEFT($A$2488,3)),4,0))</f>
        <v>0</v>
      </c>
      <c r="H2573" s="471">
        <v>5</v>
      </c>
      <c r="I2573" s="471">
        <v>0</v>
      </c>
      <c r="J2573" s="471" t="str">
        <f t="shared" si="386"/>
        <v>pol-frs-ni-cnt</v>
      </c>
      <c r="K2573" s="471" t="str">
        <f t="shared" si="387"/>
        <v>ph</v>
      </c>
      <c r="L2573" s="599"/>
      <c r="M2573" s="471" t="s">
        <v>6620</v>
      </c>
      <c r="N2573" s="471" t="s">
        <v>1502</v>
      </c>
      <c r="O2573" s="471" t="s">
        <v>1496</v>
      </c>
    </row>
    <row r="2574" spans="1:15" x14ac:dyDescent="0.25">
      <c r="A2574" s="471" t="s">
        <v>6696</v>
      </c>
      <c r="B2574" s="1139">
        <f t="shared" ca="1" si="383"/>
        <v>0</v>
      </c>
      <c r="C2574" s="473">
        <f ca="1">IF(ISERROR(VLOOKUP($A$2489,INDIRECT("notes_"&amp;LEFT($A$2489,3)),4,0)),0,VLOOKUP($A$2489,INDIRECT("notes_"&amp;LEFT($A$2489,3)),4,0))</f>
        <v>0</v>
      </c>
      <c r="H2574" s="471">
        <v>5</v>
      </c>
      <c r="I2574" s="471">
        <v>0</v>
      </c>
      <c r="J2574" s="471" t="str">
        <f t="shared" si="386"/>
        <v>pol-frs-rtr-bnf</v>
      </c>
      <c r="K2574" s="471" t="str">
        <f t="shared" si="387"/>
        <v>ph</v>
      </c>
      <c r="L2574" s="599"/>
      <c r="M2574" s="471" t="s">
        <v>6620</v>
      </c>
      <c r="N2574" s="471" t="s">
        <v>1502</v>
      </c>
      <c r="O2574" s="471" t="s">
        <v>1496</v>
      </c>
    </row>
    <row r="2575" spans="1:15" x14ac:dyDescent="0.25">
      <c r="A2575" s="471" t="s">
        <v>6697</v>
      </c>
      <c r="B2575" s="1139">
        <f t="shared" ca="1" si="383"/>
        <v>0</v>
      </c>
      <c r="C2575" s="473">
        <f ca="1">IF(ISERROR(VLOOKUP($A$2490,INDIRECT("notes_"&amp;LEFT($A$2490,3)),4,0)),0,VLOOKUP($A$2490,INDIRECT("notes_"&amp;LEFT($A$2490,3)),4,0))</f>
        <v>0</v>
      </c>
      <c r="H2575" s="471">
        <v>5</v>
      </c>
      <c r="I2575" s="471">
        <v>0</v>
      </c>
      <c r="J2575" s="471" t="str">
        <f t="shared" si="386"/>
        <v>pol-frs-lct-all</v>
      </c>
      <c r="K2575" s="471" t="str">
        <f t="shared" si="387"/>
        <v>ph</v>
      </c>
      <c r="L2575" s="599"/>
      <c r="M2575" s="471" t="s">
        <v>6620</v>
      </c>
      <c r="N2575" s="471" t="s">
        <v>1502</v>
      </c>
      <c r="O2575" s="471" t="s">
        <v>1496</v>
      </c>
    </row>
    <row r="2576" spans="1:15" x14ac:dyDescent="0.25">
      <c r="A2576" s="471" t="s">
        <v>6698</v>
      </c>
      <c r="B2576" s="1139">
        <f t="shared" ca="1" si="383"/>
        <v>0</v>
      </c>
      <c r="C2576" s="473">
        <f ca="1">IF(ISERROR(VLOOKUP($A$2491,INDIRECT("notes_"&amp;LEFT($A$2491,3)),4,0)),0,VLOOKUP($A$2491,INDIRECT("notes_"&amp;LEFT($A$2491,3)),4,0))</f>
        <v>0</v>
      </c>
      <c r="H2576" s="471">
        <v>4</v>
      </c>
      <c r="I2576" s="471">
        <v>0</v>
      </c>
      <c r="J2576" s="471" t="str">
        <f t="shared" si="386"/>
        <v>pol-frs-tot</v>
      </c>
      <c r="K2576" s="471" t="str">
        <f t="shared" si="387"/>
        <v>ph</v>
      </c>
      <c r="L2576" s="599"/>
      <c r="M2576" s="471" t="s">
        <v>6620</v>
      </c>
      <c r="N2576" s="471" t="s">
        <v>1502</v>
      </c>
      <c r="O2576" s="471" t="s">
        <v>1496</v>
      </c>
    </row>
    <row r="2577" spans="1:15" x14ac:dyDescent="0.25">
      <c r="A2577" s="471" t="s">
        <v>6699</v>
      </c>
      <c r="B2577" s="1139">
        <f t="shared" ca="1" si="383"/>
        <v>0</v>
      </c>
      <c r="C2577" s="473">
        <f ca="1">IF(ISERROR(VLOOKUP($A$2492,INDIRECT("notes_"&amp;LEFT($A$2492,3)),4,0)),0,VLOOKUP($A$2492,INDIRECT("notes_"&amp;LEFT($A$2492,3)),4,0))</f>
        <v>0</v>
      </c>
      <c r="H2577" s="471">
        <v>3</v>
      </c>
      <c r="I2577" s="471">
        <v>0</v>
      </c>
      <c r="J2577" s="471" t="str">
        <f t="shared" si="386"/>
        <v>oth-slr</v>
      </c>
      <c r="K2577" s="471" t="str">
        <f t="shared" si="387"/>
        <v>ph</v>
      </c>
      <c r="L2577" s="599"/>
      <c r="M2577" s="471" t="s">
        <v>6620</v>
      </c>
      <c r="N2577" s="471" t="s">
        <v>1502</v>
      </c>
      <c r="O2577" s="471" t="s">
        <v>1496</v>
      </c>
    </row>
    <row r="2578" spans="1:15" x14ac:dyDescent="0.25">
      <c r="A2578" s="471" t="s">
        <v>6700</v>
      </c>
      <c r="B2578" s="1139">
        <f t="shared" ca="1" si="383"/>
        <v>0</v>
      </c>
      <c r="C2578" s="473">
        <f ca="1">IF(ISERROR(VLOOKUP($A$2493,INDIRECT("notes_"&amp;LEFT($A$2493,3)),4,0)),0,VLOOKUP($A$2493,INDIRECT("notes_"&amp;LEFT($A$2493,3)),4,0))</f>
        <v>0</v>
      </c>
      <c r="H2578" s="471">
        <v>4</v>
      </c>
      <c r="I2578" s="471">
        <v>0</v>
      </c>
      <c r="J2578" s="471" t="str">
        <f t="shared" si="386"/>
        <v>oth-ni-cnt</v>
      </c>
      <c r="K2578" s="471" t="str">
        <f t="shared" si="387"/>
        <v>ph</v>
      </c>
      <c r="L2578" s="599"/>
      <c r="M2578" s="471" t="s">
        <v>6620</v>
      </c>
      <c r="N2578" s="471" t="s">
        <v>1502</v>
      </c>
      <c r="O2578" s="471" t="s">
        <v>1496</v>
      </c>
    </row>
    <row r="2579" spans="1:15" x14ac:dyDescent="0.25">
      <c r="A2579" s="471" t="s">
        <v>6701</v>
      </c>
      <c r="B2579" s="1139">
        <f t="shared" ca="1" si="383"/>
        <v>0</v>
      </c>
      <c r="C2579" s="473">
        <f ca="1">IF(ISERROR(VLOOKUP($A$2494,INDIRECT("notes_"&amp;LEFT($A$2494,3)),4,0)),0,VLOOKUP($A$2494,INDIRECT("notes_"&amp;LEFT($A$2494,3)),4,0))</f>
        <v>0</v>
      </c>
      <c r="H2579" s="471">
        <v>4</v>
      </c>
      <c r="I2579" s="471">
        <v>0</v>
      </c>
      <c r="J2579" s="471" t="str">
        <f t="shared" si="386"/>
        <v>oth-rtr-bnf</v>
      </c>
      <c r="K2579" s="471" t="str">
        <f t="shared" si="387"/>
        <v>ph</v>
      </c>
      <c r="L2579" s="599"/>
      <c r="M2579" s="471" t="s">
        <v>6620</v>
      </c>
      <c r="N2579" s="471" t="s">
        <v>1502</v>
      </c>
      <c r="O2579" s="471" t="s">
        <v>1496</v>
      </c>
    </row>
    <row r="2580" spans="1:15" x14ac:dyDescent="0.25">
      <c r="A2580" s="471" t="s">
        <v>6702</v>
      </c>
      <c r="B2580" s="1139">
        <f t="shared" ca="1" si="383"/>
        <v>0</v>
      </c>
      <c r="C2580" s="473">
        <f ca="1">IF(ISERROR(VLOOKUP($A$2495,INDIRECT("notes_"&amp;LEFT($A$2495,3)),4,0)),0,VLOOKUP($A$2495,INDIRECT("notes_"&amp;LEFT($A$2495,3)),4,0))</f>
        <v>0</v>
      </c>
      <c r="H2580" s="471">
        <v>4</v>
      </c>
      <c r="I2580" s="471">
        <v>0</v>
      </c>
      <c r="J2580" s="471" t="str">
        <f t="shared" si="386"/>
        <v>oth-lct-all</v>
      </c>
      <c r="K2580" s="471" t="str">
        <f t="shared" si="387"/>
        <v>ph</v>
      </c>
      <c r="L2580" s="599"/>
      <c r="M2580" s="471" t="s">
        <v>6620</v>
      </c>
      <c r="N2580" s="471" t="s">
        <v>1502</v>
      </c>
      <c r="O2580" s="471" t="s">
        <v>1496</v>
      </c>
    </row>
    <row r="2581" spans="1:15" x14ac:dyDescent="0.25">
      <c r="A2581" s="471" t="s">
        <v>6703</v>
      </c>
      <c r="B2581" s="1139">
        <f t="shared" ca="1" si="383"/>
        <v>0</v>
      </c>
      <c r="C2581" s="473">
        <f ca="1">IF(ISERROR(VLOOKUP($A$2496,INDIRECT("notes_"&amp;LEFT($A$2496,3)),4,0)),0,VLOOKUP($A$2496,INDIRECT("notes_"&amp;LEFT($A$2496,3)),4,0))</f>
        <v>0</v>
      </c>
      <c r="H2581" s="471">
        <v>2</v>
      </c>
      <c r="I2581" s="471">
        <v>0</v>
      </c>
      <c r="J2581" s="471" t="str">
        <f t="shared" si="386"/>
        <v>othtot</v>
      </c>
      <c r="K2581" s="471" t="str">
        <f t="shared" si="387"/>
        <v>ph</v>
      </c>
      <c r="L2581" s="599"/>
      <c r="M2581" s="471" t="s">
        <v>6620</v>
      </c>
      <c r="N2581" s="471" t="s">
        <v>1502</v>
      </c>
      <c r="O2581" s="471" t="s">
        <v>1496</v>
      </c>
    </row>
    <row r="2582" spans="1:15" x14ac:dyDescent="0.25">
      <c r="A2582" s="471" t="s">
        <v>6704</v>
      </c>
      <c r="B2582" s="1139">
        <f t="shared" ca="1" si="383"/>
        <v>0</v>
      </c>
      <c r="C2582" s="473">
        <f ca="1">IF(ISERROR(VLOOKUP($A$2497,INDIRECT("notes_"&amp;LEFT($A$2497,3)),4,0)),0,VLOOKUP($A$2497,INDIRECT("notes_"&amp;LEFT($A$2497,3)),4,0))</f>
        <v>0</v>
      </c>
      <c r="H2582" s="471">
        <v>2</v>
      </c>
      <c r="I2582" s="471">
        <v>0</v>
      </c>
      <c r="J2582" s="471" t="str">
        <f t="shared" si="386"/>
        <v>othcst</v>
      </c>
      <c r="K2582" s="471" t="str">
        <f t="shared" si="387"/>
        <v>ph</v>
      </c>
      <c r="L2582" s="599"/>
      <c r="M2582" s="471" t="s">
        <v>6620</v>
      </c>
      <c r="N2582" s="471" t="s">
        <v>1502</v>
      </c>
      <c r="O2582" s="471" t="s">
        <v>1496</v>
      </c>
    </row>
    <row r="2583" spans="1:15" x14ac:dyDescent="0.25">
      <c r="A2583" s="471" t="s">
        <v>6705</v>
      </c>
      <c r="B2583" s="1139">
        <f t="shared" ca="1" si="383"/>
        <v>0</v>
      </c>
      <c r="C2583" s="473">
        <f ca="1">IF(ISERROR(VLOOKUP($A$2498,INDIRECT("notes_"&amp;LEFT($A$2498,3)),4,0)),0,VLOOKUP($A$2498,INDIRECT("notes_"&amp;LEFT($A$2498,3)),4,0))</f>
        <v>0</v>
      </c>
      <c r="H2583" s="471">
        <v>2</v>
      </c>
      <c r="I2583" s="471">
        <v>0</v>
      </c>
      <c r="J2583" s="471" t="str">
        <f t="shared" si="386"/>
        <v>tot</v>
      </c>
      <c r="K2583" s="471" t="str">
        <f t="shared" si="387"/>
        <v>ph</v>
      </c>
      <c r="L2583" s="599"/>
      <c r="M2583" s="471" t="s">
        <v>6620</v>
      </c>
      <c r="N2583" s="471" t="s">
        <v>1502</v>
      </c>
      <c r="O2583" s="471" t="s">
        <v>1496</v>
      </c>
    </row>
    <row r="2584" spans="1:15" x14ac:dyDescent="0.25">
      <c r="A2584" s="471" t="s">
        <v>6706</v>
      </c>
      <c r="B2584" s="1139">
        <f t="shared" ca="1" si="383"/>
        <v>0</v>
      </c>
      <c r="C2584" s="473">
        <f ca="1">IF(ISERROR(VLOOKUP($A$2482,INDIRECT("notes_"&amp;LEFT($A$2482,3)),4,0)),0,VLOOKUP($A$2482,INDIRECT("notes_"&amp;LEFT($A$2482,3)),4,0))</f>
        <v>0</v>
      </c>
      <c r="H2584" s="471">
        <v>3</v>
      </c>
      <c r="I2584" s="471">
        <v>1</v>
      </c>
      <c r="J2584" s="471" t="str">
        <f t="shared" ref="J2584:J2600" si="388">MID($A2584,SEARCH("-",$A2584)+1,SEARCH("#",SUBSTITUTE($A2584,"-","#",H2584),1)-(SEARCH("-",$A2584)+1))</f>
        <v>tchr-slr</v>
      </c>
      <c r="K2584" s="471" t="str">
        <f t="shared" ref="K2584:K2600" si="389">RIGHT($A2584,LEN($A2584)-SEARCH("#",SUBSTITUTE($A2584,"-","#",H2584),1))</f>
        <v>hous</v>
      </c>
      <c r="L2584" s="599"/>
      <c r="M2584" s="471" t="s">
        <v>6620</v>
      </c>
      <c r="N2584" s="471" t="s">
        <v>1502</v>
      </c>
      <c r="O2584" s="471" t="s">
        <v>1496</v>
      </c>
    </row>
    <row r="2585" spans="1:15" x14ac:dyDescent="0.25">
      <c r="A2585" s="471" t="s">
        <v>6707</v>
      </c>
      <c r="B2585" s="1139">
        <f t="shared" ca="1" si="383"/>
        <v>0</v>
      </c>
      <c r="C2585" s="473">
        <f ca="1">IF(ISERROR(VLOOKUP($A$2483,INDIRECT("notes_"&amp;LEFT($A$2483,3)),4,0)),0,VLOOKUP($A$2483,INDIRECT("notes_"&amp;LEFT($A$2483,3)),4,0))</f>
        <v>0</v>
      </c>
      <c r="H2585" s="471">
        <v>4</v>
      </c>
      <c r="I2585" s="471">
        <v>2</v>
      </c>
      <c r="J2585" s="471" t="str">
        <f t="shared" si="388"/>
        <v>tchr-ni-cnt</v>
      </c>
      <c r="K2585" s="471" t="str">
        <f t="shared" si="389"/>
        <v>hous</v>
      </c>
      <c r="L2585" s="599"/>
      <c r="M2585" s="471" t="s">
        <v>6620</v>
      </c>
      <c r="N2585" s="471" t="s">
        <v>1502</v>
      </c>
      <c r="O2585" s="471" t="s">
        <v>1496</v>
      </c>
    </row>
    <row r="2586" spans="1:15" x14ac:dyDescent="0.25">
      <c r="A2586" s="471" t="s">
        <v>6708</v>
      </c>
      <c r="B2586" s="1139">
        <f t="shared" ca="1" si="383"/>
        <v>0</v>
      </c>
      <c r="C2586" s="473">
        <f ca="1">IF(ISERROR(VLOOKUP($A$2484,INDIRECT("notes_"&amp;LEFT($A$2484,3)),4,0)),0,VLOOKUP($A$2484,INDIRECT("notes_"&amp;LEFT($A$2484,3)),4,0))</f>
        <v>0</v>
      </c>
      <c r="H2586" s="471">
        <v>4</v>
      </c>
      <c r="I2586" s="471">
        <v>2</v>
      </c>
      <c r="J2586" s="471" t="str">
        <f t="shared" si="388"/>
        <v>tchr-rtr-bnf</v>
      </c>
      <c r="K2586" s="471" t="str">
        <f t="shared" si="389"/>
        <v>hous</v>
      </c>
      <c r="L2586" s="599"/>
      <c r="M2586" s="471" t="s">
        <v>6620</v>
      </c>
      <c r="N2586" s="471" t="s">
        <v>1502</v>
      </c>
      <c r="O2586" s="471" t="s">
        <v>1496</v>
      </c>
    </row>
    <row r="2587" spans="1:15" x14ac:dyDescent="0.25">
      <c r="A2587" s="471" t="s">
        <v>6709</v>
      </c>
      <c r="B2587" s="1139">
        <f t="shared" ca="1" si="383"/>
        <v>0</v>
      </c>
      <c r="C2587" s="473">
        <f ca="1">IF(ISERROR(VLOOKUP($A$2485,INDIRECT("notes_"&amp;LEFT($A$2485,3)),4,0)),0,VLOOKUP($A$2485,INDIRECT("notes_"&amp;LEFT($A$2485,3)),4,0))</f>
        <v>0</v>
      </c>
      <c r="H2587" s="471">
        <v>4</v>
      </c>
      <c r="I2587" s="471">
        <v>2</v>
      </c>
      <c r="J2587" s="471" t="str">
        <f t="shared" si="388"/>
        <v>tchr-lct-all</v>
      </c>
      <c r="K2587" s="471" t="str">
        <f t="shared" si="389"/>
        <v>hous</v>
      </c>
      <c r="L2587" s="599"/>
      <c r="M2587" s="471" t="s">
        <v>6620</v>
      </c>
      <c r="N2587" s="471" t="s">
        <v>1502</v>
      </c>
      <c r="O2587" s="471" t="s">
        <v>1496</v>
      </c>
    </row>
    <row r="2588" spans="1:15" x14ac:dyDescent="0.25">
      <c r="A2588" s="471" t="s">
        <v>6710</v>
      </c>
      <c r="B2588" s="1139">
        <f t="shared" ca="1" si="383"/>
        <v>0</v>
      </c>
      <c r="C2588" s="473">
        <f ca="1">IF(ISERROR(VLOOKUP($A$2486,INDIRECT("notes_"&amp;LEFT($A$2486,3)),4,0)),0,VLOOKUP($A$2486,INDIRECT("notes_"&amp;LEFT($A$2486,3)),4,0))</f>
        <v>0</v>
      </c>
      <c r="H2588" s="471">
        <v>2</v>
      </c>
      <c r="I2588" s="471">
        <v>0</v>
      </c>
      <c r="J2588" s="471" t="str">
        <f t="shared" si="388"/>
        <v>tchrtot</v>
      </c>
      <c r="K2588" s="471" t="str">
        <f t="shared" si="389"/>
        <v>hous</v>
      </c>
      <c r="L2588" s="599"/>
      <c r="M2588" s="471" t="s">
        <v>6620</v>
      </c>
      <c r="N2588" s="471" t="s">
        <v>1502</v>
      </c>
      <c r="O2588" s="471" t="s">
        <v>1496</v>
      </c>
    </row>
    <row r="2589" spans="1:15" x14ac:dyDescent="0.25">
      <c r="A2589" s="471" t="s">
        <v>6711</v>
      </c>
      <c r="B2589" s="1139">
        <f t="shared" ca="1" si="383"/>
        <v>0</v>
      </c>
      <c r="C2589" s="473">
        <f ca="1">IF(ISERROR(VLOOKUP($A$2487,INDIRECT("notes_"&amp;LEFT($A$2487,3)),4,0)),0,VLOOKUP($A$2487,INDIRECT("notes_"&amp;LEFT($A$2487,3)),4,0))</f>
        <v>0</v>
      </c>
      <c r="H2589" s="471">
        <v>4</v>
      </c>
      <c r="I2589" s="471">
        <v>0</v>
      </c>
      <c r="J2589" s="471" t="str">
        <f t="shared" si="388"/>
        <v>pol-frs-slr</v>
      </c>
      <c r="K2589" s="471" t="str">
        <f t="shared" si="389"/>
        <v>hous</v>
      </c>
      <c r="L2589" s="599"/>
      <c r="M2589" s="471" t="s">
        <v>6620</v>
      </c>
      <c r="N2589" s="471" t="s">
        <v>1502</v>
      </c>
      <c r="O2589" s="471" t="s">
        <v>1496</v>
      </c>
    </row>
    <row r="2590" spans="1:15" x14ac:dyDescent="0.25">
      <c r="A2590" s="471" t="s">
        <v>6712</v>
      </c>
      <c r="B2590" s="1139">
        <f t="shared" ca="1" si="383"/>
        <v>0</v>
      </c>
      <c r="C2590" s="473">
        <f ca="1">IF(ISERROR(VLOOKUP($A$2488,INDIRECT("notes_"&amp;LEFT($A$2488,3)),4,0)),0,VLOOKUP($A$2488,INDIRECT("notes_"&amp;LEFT($A$2488,3)),4,0))</f>
        <v>0</v>
      </c>
      <c r="H2590" s="471">
        <v>5</v>
      </c>
      <c r="I2590" s="471">
        <v>0</v>
      </c>
      <c r="J2590" s="471" t="str">
        <f t="shared" si="388"/>
        <v>pol-frs-ni-cnt</v>
      </c>
      <c r="K2590" s="471" t="str">
        <f t="shared" si="389"/>
        <v>hous</v>
      </c>
      <c r="L2590" s="599"/>
      <c r="M2590" s="471" t="s">
        <v>6620</v>
      </c>
      <c r="N2590" s="471" t="s">
        <v>1502</v>
      </c>
      <c r="O2590" s="471" t="s">
        <v>1496</v>
      </c>
    </row>
    <row r="2591" spans="1:15" x14ac:dyDescent="0.25">
      <c r="A2591" s="471" t="s">
        <v>6713</v>
      </c>
      <c r="B2591" s="1139">
        <f t="shared" ca="1" si="383"/>
        <v>0</v>
      </c>
      <c r="C2591" s="473">
        <f ca="1">IF(ISERROR(VLOOKUP($A$2489,INDIRECT("notes_"&amp;LEFT($A$2489,3)),4,0)),0,VLOOKUP($A$2489,INDIRECT("notes_"&amp;LEFT($A$2489,3)),4,0))</f>
        <v>0</v>
      </c>
      <c r="H2591" s="471">
        <v>5</v>
      </c>
      <c r="I2591" s="471">
        <v>0</v>
      </c>
      <c r="J2591" s="471" t="str">
        <f t="shared" si="388"/>
        <v>pol-frs-rtr-bnf</v>
      </c>
      <c r="K2591" s="471" t="str">
        <f t="shared" si="389"/>
        <v>hous</v>
      </c>
      <c r="L2591" s="599"/>
      <c r="M2591" s="471" t="s">
        <v>6620</v>
      </c>
      <c r="N2591" s="471" t="s">
        <v>1502</v>
      </c>
      <c r="O2591" s="471" t="s">
        <v>1496</v>
      </c>
    </row>
    <row r="2592" spans="1:15" x14ac:dyDescent="0.25">
      <c r="A2592" s="471" t="s">
        <v>6714</v>
      </c>
      <c r="B2592" s="1139">
        <f t="shared" ca="1" si="383"/>
        <v>0</v>
      </c>
      <c r="C2592" s="473">
        <f ca="1">IF(ISERROR(VLOOKUP($A$2490,INDIRECT("notes_"&amp;LEFT($A$2490,3)),4,0)),0,VLOOKUP($A$2490,INDIRECT("notes_"&amp;LEFT($A$2490,3)),4,0))</f>
        <v>0</v>
      </c>
      <c r="H2592" s="471">
        <v>5</v>
      </c>
      <c r="I2592" s="471">
        <v>0</v>
      </c>
      <c r="J2592" s="471" t="str">
        <f t="shared" si="388"/>
        <v>pol-frs-lct-all</v>
      </c>
      <c r="K2592" s="471" t="str">
        <f t="shared" si="389"/>
        <v>hous</v>
      </c>
      <c r="L2592" s="599"/>
      <c r="M2592" s="471" t="s">
        <v>6620</v>
      </c>
      <c r="N2592" s="471" t="s">
        <v>1502</v>
      </c>
      <c r="O2592" s="471" t="s">
        <v>1496</v>
      </c>
    </row>
    <row r="2593" spans="1:15" x14ac:dyDescent="0.25">
      <c r="A2593" s="471" t="s">
        <v>6715</v>
      </c>
      <c r="B2593" s="1139">
        <f t="shared" ca="1" si="383"/>
        <v>0</v>
      </c>
      <c r="C2593" s="473">
        <f ca="1">IF(ISERROR(VLOOKUP($A$2491,INDIRECT("notes_"&amp;LEFT($A$2491,3)),4,0)),0,VLOOKUP($A$2491,INDIRECT("notes_"&amp;LEFT($A$2491,3)),4,0))</f>
        <v>0</v>
      </c>
      <c r="H2593" s="471">
        <v>4</v>
      </c>
      <c r="I2593" s="471">
        <v>0</v>
      </c>
      <c r="J2593" s="471" t="str">
        <f t="shared" si="388"/>
        <v>pol-frs-tot</v>
      </c>
      <c r="K2593" s="471" t="str">
        <f t="shared" si="389"/>
        <v>hous</v>
      </c>
      <c r="L2593" s="599"/>
      <c r="M2593" s="471" t="s">
        <v>6620</v>
      </c>
      <c r="N2593" s="471" t="s">
        <v>1502</v>
      </c>
      <c r="O2593" s="471" t="s">
        <v>1496</v>
      </c>
    </row>
    <row r="2594" spans="1:15" x14ac:dyDescent="0.25">
      <c r="A2594" s="471" t="s">
        <v>6716</v>
      </c>
      <c r="B2594" s="1139">
        <f t="shared" ca="1" si="383"/>
        <v>0</v>
      </c>
      <c r="C2594" s="473">
        <f ca="1">IF(ISERROR(VLOOKUP($A$2492,INDIRECT("notes_"&amp;LEFT($A$2492,3)),4,0)),0,VLOOKUP($A$2492,INDIRECT("notes_"&amp;LEFT($A$2492,3)),4,0))</f>
        <v>0</v>
      </c>
      <c r="H2594" s="471">
        <v>3</v>
      </c>
      <c r="I2594" s="471">
        <v>0</v>
      </c>
      <c r="J2594" s="471" t="str">
        <f t="shared" si="388"/>
        <v>oth-slr</v>
      </c>
      <c r="K2594" s="471" t="str">
        <f t="shared" si="389"/>
        <v>hous</v>
      </c>
      <c r="L2594" s="599"/>
      <c r="M2594" s="471" t="s">
        <v>6620</v>
      </c>
      <c r="N2594" s="471" t="s">
        <v>1502</v>
      </c>
      <c r="O2594" s="471" t="s">
        <v>1496</v>
      </c>
    </row>
    <row r="2595" spans="1:15" x14ac:dyDescent="0.25">
      <c r="A2595" s="471" t="s">
        <v>6717</v>
      </c>
      <c r="B2595" s="1139">
        <f t="shared" ca="1" si="383"/>
        <v>0</v>
      </c>
      <c r="C2595" s="473">
        <f ca="1">IF(ISERROR(VLOOKUP($A$2493,INDIRECT("notes_"&amp;LEFT($A$2493,3)),4,0)),0,VLOOKUP($A$2493,INDIRECT("notes_"&amp;LEFT($A$2493,3)),4,0))</f>
        <v>0</v>
      </c>
      <c r="H2595" s="471">
        <v>4</v>
      </c>
      <c r="I2595" s="471">
        <v>0</v>
      </c>
      <c r="J2595" s="471" t="str">
        <f t="shared" si="388"/>
        <v>oth-ni-cnt</v>
      </c>
      <c r="K2595" s="471" t="str">
        <f t="shared" si="389"/>
        <v>hous</v>
      </c>
      <c r="L2595" s="599"/>
      <c r="M2595" s="471" t="s">
        <v>6620</v>
      </c>
      <c r="N2595" s="471" t="s">
        <v>1502</v>
      </c>
      <c r="O2595" s="471" t="s">
        <v>1496</v>
      </c>
    </row>
    <row r="2596" spans="1:15" x14ac:dyDescent="0.25">
      <c r="A2596" s="471" t="s">
        <v>6718</v>
      </c>
      <c r="B2596" s="1139">
        <f t="shared" ca="1" si="383"/>
        <v>0</v>
      </c>
      <c r="C2596" s="473">
        <f ca="1">IF(ISERROR(VLOOKUP($A$2494,INDIRECT("notes_"&amp;LEFT($A$2494,3)),4,0)),0,VLOOKUP($A$2494,INDIRECT("notes_"&amp;LEFT($A$2494,3)),4,0))</f>
        <v>0</v>
      </c>
      <c r="H2596" s="471">
        <v>4</v>
      </c>
      <c r="I2596" s="471">
        <v>0</v>
      </c>
      <c r="J2596" s="471" t="str">
        <f t="shared" si="388"/>
        <v>oth-rtr-bnf</v>
      </c>
      <c r="K2596" s="471" t="str">
        <f t="shared" si="389"/>
        <v>hous</v>
      </c>
      <c r="L2596" s="599"/>
      <c r="M2596" s="471" t="s">
        <v>6620</v>
      </c>
      <c r="N2596" s="471" t="s">
        <v>1502</v>
      </c>
      <c r="O2596" s="471" t="s">
        <v>1496</v>
      </c>
    </row>
    <row r="2597" spans="1:15" x14ac:dyDescent="0.25">
      <c r="A2597" s="471" t="s">
        <v>6719</v>
      </c>
      <c r="B2597" s="1139">
        <f t="shared" ca="1" si="383"/>
        <v>0</v>
      </c>
      <c r="C2597" s="473">
        <f ca="1">IF(ISERROR(VLOOKUP($A$2495,INDIRECT("notes_"&amp;LEFT($A$2495,3)),4,0)),0,VLOOKUP($A$2495,INDIRECT("notes_"&amp;LEFT($A$2495,3)),4,0))</f>
        <v>0</v>
      </c>
      <c r="H2597" s="471">
        <v>4</v>
      </c>
      <c r="I2597" s="471">
        <v>0</v>
      </c>
      <c r="J2597" s="471" t="str">
        <f t="shared" si="388"/>
        <v>oth-lct-all</v>
      </c>
      <c r="K2597" s="471" t="str">
        <f t="shared" si="389"/>
        <v>hous</v>
      </c>
      <c r="L2597" s="599"/>
      <c r="M2597" s="471" t="s">
        <v>6620</v>
      </c>
      <c r="N2597" s="471" t="s">
        <v>1502</v>
      </c>
      <c r="O2597" s="471" t="s">
        <v>1496</v>
      </c>
    </row>
    <row r="2598" spans="1:15" x14ac:dyDescent="0.25">
      <c r="A2598" s="471" t="s">
        <v>6720</v>
      </c>
      <c r="B2598" s="1139">
        <f t="shared" ca="1" si="383"/>
        <v>0</v>
      </c>
      <c r="C2598" s="473">
        <f ca="1">IF(ISERROR(VLOOKUP($A$2496,INDIRECT("notes_"&amp;LEFT($A$2496,3)),4,0)),0,VLOOKUP($A$2496,INDIRECT("notes_"&amp;LEFT($A$2496,3)),4,0))</f>
        <v>0</v>
      </c>
      <c r="H2598" s="471">
        <v>2</v>
      </c>
      <c r="I2598" s="471">
        <v>0</v>
      </c>
      <c r="J2598" s="471" t="str">
        <f t="shared" si="388"/>
        <v>othtot</v>
      </c>
      <c r="K2598" s="471" t="str">
        <f t="shared" si="389"/>
        <v>hous</v>
      </c>
      <c r="L2598" s="599"/>
      <c r="M2598" s="471" t="s">
        <v>6620</v>
      </c>
      <c r="N2598" s="471" t="s">
        <v>1502</v>
      </c>
      <c r="O2598" s="471" t="s">
        <v>1496</v>
      </c>
    </row>
    <row r="2599" spans="1:15" x14ac:dyDescent="0.25">
      <c r="A2599" s="471" t="s">
        <v>6721</v>
      </c>
      <c r="B2599" s="1139">
        <f t="shared" ca="1" si="383"/>
        <v>0</v>
      </c>
      <c r="C2599" s="473">
        <f ca="1">IF(ISERROR(VLOOKUP($A$2497,INDIRECT("notes_"&amp;LEFT($A$2497,3)),4,0)),0,VLOOKUP($A$2497,INDIRECT("notes_"&amp;LEFT($A$2497,3)),4,0))</f>
        <v>0</v>
      </c>
      <c r="H2599" s="471">
        <v>2</v>
      </c>
      <c r="I2599" s="471">
        <v>0</v>
      </c>
      <c r="J2599" s="471" t="str">
        <f t="shared" si="388"/>
        <v>othcst</v>
      </c>
      <c r="K2599" s="471" t="str">
        <f t="shared" si="389"/>
        <v>hous</v>
      </c>
      <c r="L2599" s="599"/>
      <c r="M2599" s="471" t="s">
        <v>6620</v>
      </c>
      <c r="N2599" s="471" t="s">
        <v>1502</v>
      </c>
      <c r="O2599" s="471" t="s">
        <v>1496</v>
      </c>
    </row>
    <row r="2600" spans="1:15" x14ac:dyDescent="0.25">
      <c r="A2600" s="471" t="s">
        <v>6722</v>
      </c>
      <c r="B2600" s="1139">
        <f t="shared" ca="1" si="383"/>
        <v>0</v>
      </c>
      <c r="C2600" s="473">
        <f ca="1">IF(ISERROR(VLOOKUP($A$2498,INDIRECT("notes_"&amp;LEFT($A$2498,3)),4,0)),0,VLOOKUP($A$2498,INDIRECT("notes_"&amp;LEFT($A$2498,3)),4,0))</f>
        <v>0</v>
      </c>
      <c r="H2600" s="471">
        <v>2</v>
      </c>
      <c r="I2600" s="471">
        <v>0</v>
      </c>
      <c r="J2600" s="471" t="str">
        <f t="shared" si="388"/>
        <v>tot</v>
      </c>
      <c r="K2600" s="471" t="str">
        <f t="shared" si="389"/>
        <v>hous</v>
      </c>
      <c r="L2600" s="599"/>
      <c r="M2600" s="471" t="s">
        <v>6620</v>
      </c>
      <c r="N2600" s="471" t="s">
        <v>1502</v>
      </c>
      <c r="O2600" s="471" t="s">
        <v>1496</v>
      </c>
    </row>
    <row r="2601" spans="1:15" x14ac:dyDescent="0.25">
      <c r="A2601" s="471" t="s">
        <v>6723</v>
      </c>
      <c r="B2601" s="1139">
        <f t="shared" ca="1" si="383"/>
        <v>0</v>
      </c>
      <c r="C2601" s="473">
        <f ca="1">IF(ISERROR(VLOOKUP($A$2482,INDIRECT("notes_"&amp;LEFT($A$2482,3)),4,0)),0,VLOOKUP($A$2482,INDIRECT("notes_"&amp;LEFT($A$2482,3)),4,0))</f>
        <v>0</v>
      </c>
      <c r="H2601" s="471">
        <v>3</v>
      </c>
      <c r="I2601" s="471">
        <v>1</v>
      </c>
      <c r="J2601" s="471" t="str">
        <f t="shared" ref="J2601:J2617" si="390">MID($A2601,SEARCH("-",$A2601)+1,SEARCH("#",SUBSTITUTE($A2601,"-","#",H2601),1)-(SEARCH("-",$A2601)+1))</f>
        <v>tchr-slr</v>
      </c>
      <c r="K2601" s="471" t="str">
        <f t="shared" ref="K2601:K2617" si="391">RIGHT($A2601,LEN($A2601)-SEARCH("#",SUBSTITUTE($A2601,"-","#",H2601),1))</f>
        <v>cul-env-plan</v>
      </c>
      <c r="L2601" s="599"/>
      <c r="M2601" s="471" t="s">
        <v>6620</v>
      </c>
      <c r="N2601" s="471" t="s">
        <v>1502</v>
      </c>
      <c r="O2601" s="471" t="s">
        <v>1496</v>
      </c>
    </row>
    <row r="2602" spans="1:15" x14ac:dyDescent="0.25">
      <c r="A2602" s="471" t="s">
        <v>6724</v>
      </c>
      <c r="B2602" s="1139">
        <f t="shared" ca="1" si="383"/>
        <v>0</v>
      </c>
      <c r="C2602" s="473">
        <f ca="1">IF(ISERROR(VLOOKUP($A$2483,INDIRECT("notes_"&amp;LEFT($A$2483,3)),4,0)),0,VLOOKUP($A$2483,INDIRECT("notes_"&amp;LEFT($A$2483,3)),4,0))</f>
        <v>0</v>
      </c>
      <c r="H2602" s="471">
        <v>4</v>
      </c>
      <c r="I2602" s="471">
        <v>2</v>
      </c>
      <c r="J2602" s="471" t="str">
        <f t="shared" si="390"/>
        <v>tchr-ni-cnt</v>
      </c>
      <c r="K2602" s="471" t="str">
        <f t="shared" si="391"/>
        <v>cul-env-plan</v>
      </c>
      <c r="L2602" s="599"/>
      <c r="M2602" s="471" t="s">
        <v>6620</v>
      </c>
      <c r="N2602" s="471" t="s">
        <v>1502</v>
      </c>
      <c r="O2602" s="471" t="s">
        <v>1496</v>
      </c>
    </row>
    <row r="2603" spans="1:15" x14ac:dyDescent="0.25">
      <c r="A2603" s="471" t="s">
        <v>6725</v>
      </c>
      <c r="B2603" s="1139">
        <f t="shared" ca="1" si="383"/>
        <v>0</v>
      </c>
      <c r="C2603" s="473">
        <f ca="1">IF(ISERROR(VLOOKUP($A$2484,INDIRECT("notes_"&amp;LEFT($A$2484,3)),4,0)),0,VLOOKUP($A$2484,INDIRECT("notes_"&amp;LEFT($A$2484,3)),4,0))</f>
        <v>0</v>
      </c>
      <c r="H2603" s="471">
        <v>4</v>
      </c>
      <c r="I2603" s="471">
        <v>2</v>
      </c>
      <c r="J2603" s="471" t="str">
        <f t="shared" si="390"/>
        <v>tchr-rtr-bnf</v>
      </c>
      <c r="K2603" s="471" t="str">
        <f t="shared" si="391"/>
        <v>cul-env-plan</v>
      </c>
      <c r="L2603" s="599"/>
      <c r="M2603" s="471" t="s">
        <v>6620</v>
      </c>
      <c r="N2603" s="471" t="s">
        <v>1502</v>
      </c>
      <c r="O2603" s="471" t="s">
        <v>1496</v>
      </c>
    </row>
    <row r="2604" spans="1:15" x14ac:dyDescent="0.25">
      <c r="A2604" s="471" t="s">
        <v>6726</v>
      </c>
      <c r="B2604" s="1139">
        <f t="shared" ca="1" si="383"/>
        <v>0</v>
      </c>
      <c r="C2604" s="473">
        <f ca="1">IF(ISERROR(VLOOKUP($A$2485,INDIRECT("notes_"&amp;LEFT($A$2485,3)),4,0)),0,VLOOKUP($A$2485,INDIRECT("notes_"&amp;LEFT($A$2485,3)),4,0))</f>
        <v>0</v>
      </c>
      <c r="H2604" s="471">
        <v>4</v>
      </c>
      <c r="I2604" s="471">
        <v>2</v>
      </c>
      <c r="J2604" s="471" t="str">
        <f t="shared" si="390"/>
        <v>tchr-lct-all</v>
      </c>
      <c r="K2604" s="471" t="str">
        <f t="shared" si="391"/>
        <v>cul-env-plan</v>
      </c>
      <c r="L2604" s="599"/>
      <c r="M2604" s="471" t="s">
        <v>6620</v>
      </c>
      <c r="N2604" s="471" t="s">
        <v>1502</v>
      </c>
      <c r="O2604" s="471" t="s">
        <v>1496</v>
      </c>
    </row>
    <row r="2605" spans="1:15" x14ac:dyDescent="0.25">
      <c r="A2605" s="471" t="s">
        <v>6727</v>
      </c>
      <c r="B2605" s="1139">
        <f t="shared" ca="1" si="383"/>
        <v>0</v>
      </c>
      <c r="C2605" s="473">
        <f ca="1">IF(ISERROR(VLOOKUP($A$2486,INDIRECT("notes_"&amp;LEFT($A$2486,3)),4,0)),0,VLOOKUP($A$2486,INDIRECT("notes_"&amp;LEFT($A$2486,3)),4,0))</f>
        <v>0</v>
      </c>
      <c r="H2605" s="471">
        <v>2</v>
      </c>
      <c r="I2605" s="471">
        <v>0</v>
      </c>
      <c r="J2605" s="471" t="str">
        <f t="shared" si="390"/>
        <v>tchrtot</v>
      </c>
      <c r="K2605" s="471" t="str">
        <f t="shared" si="391"/>
        <v>cul-env-plan</v>
      </c>
      <c r="L2605" s="599"/>
      <c r="M2605" s="471" t="s">
        <v>6620</v>
      </c>
      <c r="N2605" s="471" t="s">
        <v>1502</v>
      </c>
      <c r="O2605" s="471" t="s">
        <v>1496</v>
      </c>
    </row>
    <row r="2606" spans="1:15" x14ac:dyDescent="0.25">
      <c r="A2606" s="471" t="s">
        <v>6728</v>
      </c>
      <c r="B2606" s="1139">
        <f t="shared" ca="1" si="383"/>
        <v>0</v>
      </c>
      <c r="C2606" s="473">
        <f ca="1">IF(ISERROR(VLOOKUP($A$2487,INDIRECT("notes_"&amp;LEFT($A$2487,3)),4,0)),0,VLOOKUP($A$2487,INDIRECT("notes_"&amp;LEFT($A$2487,3)),4,0))</f>
        <v>0</v>
      </c>
      <c r="H2606" s="471">
        <v>4</v>
      </c>
      <c r="I2606" s="471">
        <v>0</v>
      </c>
      <c r="J2606" s="471" t="str">
        <f t="shared" si="390"/>
        <v>pol-frs-slr</v>
      </c>
      <c r="K2606" s="471" t="str">
        <f t="shared" si="391"/>
        <v>cul-env-plan</v>
      </c>
      <c r="L2606" s="599"/>
      <c r="M2606" s="471" t="s">
        <v>6620</v>
      </c>
      <c r="N2606" s="471" t="s">
        <v>1502</v>
      </c>
      <c r="O2606" s="471" t="s">
        <v>1496</v>
      </c>
    </row>
    <row r="2607" spans="1:15" x14ac:dyDescent="0.25">
      <c r="A2607" s="471" t="s">
        <v>6729</v>
      </c>
      <c r="B2607" s="1139">
        <f t="shared" ca="1" si="383"/>
        <v>0</v>
      </c>
      <c r="C2607" s="473">
        <f ca="1">IF(ISERROR(VLOOKUP($A$2488,INDIRECT("notes_"&amp;LEFT($A$2488,3)),4,0)),0,VLOOKUP($A$2488,INDIRECT("notes_"&amp;LEFT($A$2488,3)),4,0))</f>
        <v>0</v>
      </c>
      <c r="H2607" s="471">
        <v>5</v>
      </c>
      <c r="I2607" s="471">
        <v>0</v>
      </c>
      <c r="J2607" s="471" t="str">
        <f t="shared" si="390"/>
        <v>pol-frs-ni-cnt</v>
      </c>
      <c r="K2607" s="471" t="str">
        <f t="shared" si="391"/>
        <v>cul-env-plan</v>
      </c>
      <c r="L2607" s="599"/>
      <c r="M2607" s="471" t="s">
        <v>6620</v>
      </c>
      <c r="N2607" s="471" t="s">
        <v>1502</v>
      </c>
      <c r="O2607" s="471" t="s">
        <v>1496</v>
      </c>
    </row>
    <row r="2608" spans="1:15" x14ac:dyDescent="0.25">
      <c r="A2608" s="471" t="s">
        <v>6730</v>
      </c>
      <c r="B2608" s="1139">
        <f t="shared" ca="1" si="383"/>
        <v>0</v>
      </c>
      <c r="C2608" s="473">
        <f ca="1">IF(ISERROR(VLOOKUP($A$2489,INDIRECT("notes_"&amp;LEFT($A$2489,3)),4,0)),0,VLOOKUP($A$2489,INDIRECT("notes_"&amp;LEFT($A$2489,3)),4,0))</f>
        <v>0</v>
      </c>
      <c r="H2608" s="471">
        <v>5</v>
      </c>
      <c r="I2608" s="471">
        <v>0</v>
      </c>
      <c r="J2608" s="471" t="str">
        <f t="shared" si="390"/>
        <v>pol-frs-rtr-bnf</v>
      </c>
      <c r="K2608" s="471" t="str">
        <f t="shared" si="391"/>
        <v>cul-env-plan</v>
      </c>
      <c r="L2608" s="599"/>
      <c r="M2608" s="471" t="s">
        <v>6620</v>
      </c>
      <c r="N2608" s="471" t="s">
        <v>1502</v>
      </c>
      <c r="O2608" s="471" t="s">
        <v>1496</v>
      </c>
    </row>
    <row r="2609" spans="1:15" x14ac:dyDescent="0.25">
      <c r="A2609" s="471" t="s">
        <v>6731</v>
      </c>
      <c r="B2609" s="1139">
        <f t="shared" ca="1" si="383"/>
        <v>0</v>
      </c>
      <c r="C2609" s="473">
        <f ca="1">IF(ISERROR(VLOOKUP($A$2490,INDIRECT("notes_"&amp;LEFT($A$2490,3)),4,0)),0,VLOOKUP($A$2490,INDIRECT("notes_"&amp;LEFT($A$2490,3)),4,0))</f>
        <v>0</v>
      </c>
      <c r="H2609" s="471">
        <v>5</v>
      </c>
      <c r="I2609" s="471">
        <v>0</v>
      </c>
      <c r="J2609" s="471" t="str">
        <f t="shared" si="390"/>
        <v>pol-frs-lct-all</v>
      </c>
      <c r="K2609" s="471" t="str">
        <f t="shared" si="391"/>
        <v>cul-env-plan</v>
      </c>
      <c r="L2609" s="599"/>
      <c r="M2609" s="471" t="s">
        <v>6620</v>
      </c>
      <c r="N2609" s="471" t="s">
        <v>1502</v>
      </c>
      <c r="O2609" s="471" t="s">
        <v>1496</v>
      </c>
    </row>
    <row r="2610" spans="1:15" x14ac:dyDescent="0.25">
      <c r="A2610" s="471" t="s">
        <v>6732</v>
      </c>
      <c r="B2610" s="1139">
        <f t="shared" ref="B2610:B2673" ca="1" si="392">INDEX(INDIRECT(LEFT($A2610,SEARCH("-",$A2610,1)-1)&amp;"_data"),MATCH(MID($A2610,SEARCH("-",$A2610)+1,SEARCH("#",SUBSTITUTE($A2610,"-","#",H2610),1)-(SEARCH("-",$A2610)+1)),INDIRECT(LEFT($A2610,SEARCH("-",$A2610,1)-1)&amp;"_rows"),0),MATCH(RIGHT($A2610,LEN($A2610)-SEARCH("#",SUBSTITUTE($A2610,"-","#",H2610),1)),INDIRECT(LEFT($A2610,SEARCH("-",$A2610,1)-1)&amp;"_Header"),0))</f>
        <v>0</v>
      </c>
      <c r="C2610" s="473">
        <f ca="1">IF(ISERROR(VLOOKUP($A$2491,INDIRECT("notes_"&amp;LEFT($A$2491,3)),4,0)),0,VLOOKUP($A$2491,INDIRECT("notes_"&amp;LEFT($A$2491,3)),4,0))</f>
        <v>0</v>
      </c>
      <c r="H2610" s="471">
        <v>4</v>
      </c>
      <c r="I2610" s="471">
        <v>0</v>
      </c>
      <c r="J2610" s="471" t="str">
        <f t="shared" si="390"/>
        <v>pol-frs-tot</v>
      </c>
      <c r="K2610" s="471" t="str">
        <f t="shared" si="391"/>
        <v>cul-env-plan</v>
      </c>
      <c r="L2610" s="599"/>
      <c r="M2610" s="471" t="s">
        <v>6620</v>
      </c>
      <c r="N2610" s="471" t="s">
        <v>1502</v>
      </c>
      <c r="O2610" s="471" t="s">
        <v>1496</v>
      </c>
    </row>
    <row r="2611" spans="1:15" x14ac:dyDescent="0.25">
      <c r="A2611" s="471" t="s">
        <v>6733</v>
      </c>
      <c r="B2611" s="1139">
        <f t="shared" ca="1" si="392"/>
        <v>0</v>
      </c>
      <c r="C2611" s="473">
        <f ca="1">IF(ISERROR(VLOOKUP($A$2492,INDIRECT("notes_"&amp;LEFT($A$2492,3)),4,0)),0,VLOOKUP($A$2492,INDIRECT("notes_"&amp;LEFT($A$2492,3)),4,0))</f>
        <v>0</v>
      </c>
      <c r="H2611" s="471">
        <v>3</v>
      </c>
      <c r="I2611" s="471">
        <v>0</v>
      </c>
      <c r="J2611" s="471" t="str">
        <f t="shared" si="390"/>
        <v>oth-slr</v>
      </c>
      <c r="K2611" s="471" t="str">
        <f t="shared" si="391"/>
        <v>cul-env-plan</v>
      </c>
      <c r="L2611" s="599"/>
      <c r="M2611" s="471" t="s">
        <v>6620</v>
      </c>
      <c r="N2611" s="471" t="s">
        <v>1502</v>
      </c>
      <c r="O2611" s="471" t="s">
        <v>1496</v>
      </c>
    </row>
    <row r="2612" spans="1:15" x14ac:dyDescent="0.25">
      <c r="A2612" s="471" t="s">
        <v>6734</v>
      </c>
      <c r="B2612" s="1139">
        <f t="shared" ca="1" si="392"/>
        <v>0</v>
      </c>
      <c r="C2612" s="473">
        <f ca="1">IF(ISERROR(VLOOKUP($A$2493,INDIRECT("notes_"&amp;LEFT($A$2493,3)),4,0)),0,VLOOKUP($A$2493,INDIRECT("notes_"&amp;LEFT($A$2493,3)),4,0))</f>
        <v>0</v>
      </c>
      <c r="H2612" s="471">
        <v>4</v>
      </c>
      <c r="I2612" s="471">
        <v>0</v>
      </c>
      <c r="J2612" s="471" t="str">
        <f t="shared" si="390"/>
        <v>oth-ni-cnt</v>
      </c>
      <c r="K2612" s="471" t="str">
        <f t="shared" si="391"/>
        <v>cul-env-plan</v>
      </c>
      <c r="L2612" s="599"/>
      <c r="M2612" s="471" t="s">
        <v>6620</v>
      </c>
      <c r="N2612" s="471" t="s">
        <v>1502</v>
      </c>
      <c r="O2612" s="471" t="s">
        <v>1496</v>
      </c>
    </row>
    <row r="2613" spans="1:15" x14ac:dyDescent="0.25">
      <c r="A2613" s="471" t="s">
        <v>6735</v>
      </c>
      <c r="B2613" s="1139">
        <f t="shared" ca="1" si="392"/>
        <v>0</v>
      </c>
      <c r="C2613" s="473">
        <f ca="1">IF(ISERROR(VLOOKUP($A$2494,INDIRECT("notes_"&amp;LEFT($A$2494,3)),4,0)),0,VLOOKUP($A$2494,INDIRECT("notes_"&amp;LEFT($A$2494,3)),4,0))</f>
        <v>0</v>
      </c>
      <c r="H2613" s="471">
        <v>4</v>
      </c>
      <c r="I2613" s="471">
        <v>0</v>
      </c>
      <c r="J2613" s="471" t="str">
        <f t="shared" si="390"/>
        <v>oth-rtr-bnf</v>
      </c>
      <c r="K2613" s="471" t="str">
        <f t="shared" si="391"/>
        <v>cul-env-plan</v>
      </c>
      <c r="L2613" s="599"/>
      <c r="M2613" s="471" t="s">
        <v>6620</v>
      </c>
      <c r="N2613" s="471" t="s">
        <v>1502</v>
      </c>
      <c r="O2613" s="471" t="s">
        <v>1496</v>
      </c>
    </row>
    <row r="2614" spans="1:15" x14ac:dyDescent="0.25">
      <c r="A2614" s="471" t="s">
        <v>6736</v>
      </c>
      <c r="B2614" s="1139">
        <f t="shared" ca="1" si="392"/>
        <v>0</v>
      </c>
      <c r="C2614" s="473">
        <f ca="1">IF(ISERROR(VLOOKUP($A$2495,INDIRECT("notes_"&amp;LEFT($A$2495,3)),4,0)),0,VLOOKUP($A$2495,INDIRECT("notes_"&amp;LEFT($A$2495,3)),4,0))</f>
        <v>0</v>
      </c>
      <c r="H2614" s="471">
        <v>4</v>
      </c>
      <c r="I2614" s="471">
        <v>0</v>
      </c>
      <c r="J2614" s="471" t="str">
        <f t="shared" si="390"/>
        <v>oth-lct-all</v>
      </c>
      <c r="K2614" s="471" t="str">
        <f t="shared" si="391"/>
        <v>cul-env-plan</v>
      </c>
      <c r="L2614" s="599"/>
      <c r="M2614" s="471" t="s">
        <v>6620</v>
      </c>
      <c r="N2614" s="471" t="s">
        <v>1502</v>
      </c>
      <c r="O2614" s="471" t="s">
        <v>1496</v>
      </c>
    </row>
    <row r="2615" spans="1:15" x14ac:dyDescent="0.25">
      <c r="A2615" s="471" t="s">
        <v>6737</v>
      </c>
      <c r="B2615" s="1139">
        <f t="shared" ca="1" si="392"/>
        <v>0</v>
      </c>
      <c r="C2615" s="473">
        <f ca="1">IF(ISERROR(VLOOKUP($A$2496,INDIRECT("notes_"&amp;LEFT($A$2496,3)),4,0)),0,VLOOKUP($A$2496,INDIRECT("notes_"&amp;LEFT($A$2496,3)),4,0))</f>
        <v>0</v>
      </c>
      <c r="H2615" s="471">
        <v>2</v>
      </c>
      <c r="I2615" s="471">
        <v>0</v>
      </c>
      <c r="J2615" s="471" t="str">
        <f t="shared" si="390"/>
        <v>othtot</v>
      </c>
      <c r="K2615" s="471" t="str">
        <f t="shared" si="391"/>
        <v>cul-env-plan</v>
      </c>
      <c r="L2615" s="599"/>
      <c r="M2615" s="471" t="s">
        <v>6620</v>
      </c>
      <c r="N2615" s="471" t="s">
        <v>1502</v>
      </c>
      <c r="O2615" s="471" t="s">
        <v>1496</v>
      </c>
    </row>
    <row r="2616" spans="1:15" x14ac:dyDescent="0.25">
      <c r="A2616" s="471" t="s">
        <v>6738</v>
      </c>
      <c r="B2616" s="1139">
        <f t="shared" ca="1" si="392"/>
        <v>0</v>
      </c>
      <c r="C2616" s="473">
        <f ca="1">IF(ISERROR(VLOOKUP($A$2497,INDIRECT("notes_"&amp;LEFT($A$2497,3)),4,0)),0,VLOOKUP($A$2497,INDIRECT("notes_"&amp;LEFT($A$2497,3)),4,0))</f>
        <v>0</v>
      </c>
      <c r="H2616" s="471">
        <v>2</v>
      </c>
      <c r="I2616" s="471">
        <v>0</v>
      </c>
      <c r="J2616" s="471" t="str">
        <f t="shared" si="390"/>
        <v>othcst</v>
      </c>
      <c r="K2616" s="471" t="str">
        <f t="shared" si="391"/>
        <v>cul-env-plan</v>
      </c>
      <c r="L2616" s="599"/>
      <c r="M2616" s="471" t="s">
        <v>6620</v>
      </c>
      <c r="N2616" s="471" t="s">
        <v>1502</v>
      </c>
      <c r="O2616" s="471" t="s">
        <v>1496</v>
      </c>
    </row>
    <row r="2617" spans="1:15" x14ac:dyDescent="0.25">
      <c r="A2617" s="471" t="s">
        <v>6739</v>
      </c>
      <c r="B2617" s="1139">
        <f t="shared" ca="1" si="392"/>
        <v>0</v>
      </c>
      <c r="C2617" s="473">
        <f ca="1">IF(ISERROR(VLOOKUP($A$2498,INDIRECT("notes_"&amp;LEFT($A$2498,3)),4,0)),0,VLOOKUP($A$2498,INDIRECT("notes_"&amp;LEFT($A$2498,3)),4,0))</f>
        <v>0</v>
      </c>
      <c r="H2617" s="471">
        <v>2</v>
      </c>
      <c r="I2617" s="471">
        <v>0</v>
      </c>
      <c r="J2617" s="471" t="str">
        <f t="shared" si="390"/>
        <v>tot</v>
      </c>
      <c r="K2617" s="471" t="str">
        <f t="shared" si="391"/>
        <v>cul-env-plan</v>
      </c>
      <c r="L2617" s="599"/>
      <c r="M2617" s="471" t="s">
        <v>6620</v>
      </c>
      <c r="N2617" s="471" t="s">
        <v>1502</v>
      </c>
      <c r="O2617" s="471" t="s">
        <v>1496</v>
      </c>
    </row>
    <row r="2618" spans="1:15" x14ac:dyDescent="0.25">
      <c r="A2618" s="471" t="s">
        <v>6740</v>
      </c>
      <c r="B2618" s="1139">
        <f t="shared" ca="1" si="392"/>
        <v>0</v>
      </c>
      <c r="C2618" s="473">
        <f ca="1">IF(ISERROR(VLOOKUP($A$2482,INDIRECT("notes_"&amp;LEFT($A$2482,3)),4,0)),0,VLOOKUP($A$2482,INDIRECT("notes_"&amp;LEFT($A$2482,3)),4,0))</f>
        <v>0</v>
      </c>
      <c r="H2618" s="471">
        <v>3</v>
      </c>
      <c r="I2618" s="471">
        <v>1</v>
      </c>
      <c r="J2618" s="471" t="str">
        <f t="shared" ref="J2618:J2634" si="393">MID($A2618,SEARCH("-",$A2618)+1,SEARCH("#",SUBSTITUTE($A2618,"-","#",H2618),1)-(SEARCH("-",$A2618)+1))</f>
        <v>tchr-slr</v>
      </c>
      <c r="K2618" s="471" t="str">
        <f t="shared" ref="K2618:K2634" si="394">RIGHT($A2618,LEN($A2618)-SEARCH("#",SUBSTITUTE($A2618,"-","#",H2618),1))</f>
        <v>pol</v>
      </c>
      <c r="L2618" s="599"/>
      <c r="M2618" s="471" t="s">
        <v>6620</v>
      </c>
      <c r="N2618" s="471" t="s">
        <v>1502</v>
      </c>
      <c r="O2618" s="471" t="s">
        <v>1496</v>
      </c>
    </row>
    <row r="2619" spans="1:15" x14ac:dyDescent="0.25">
      <c r="A2619" s="471" t="s">
        <v>6741</v>
      </c>
      <c r="B2619" s="1139">
        <f t="shared" ca="1" si="392"/>
        <v>0</v>
      </c>
      <c r="C2619" s="473">
        <f ca="1">IF(ISERROR(VLOOKUP($A$2483,INDIRECT("notes_"&amp;LEFT($A$2483,3)),4,0)),0,VLOOKUP($A$2483,INDIRECT("notes_"&amp;LEFT($A$2483,3)),4,0))</f>
        <v>0</v>
      </c>
      <c r="H2619" s="471">
        <v>4</v>
      </c>
      <c r="I2619" s="471">
        <v>2</v>
      </c>
      <c r="J2619" s="471" t="str">
        <f t="shared" si="393"/>
        <v>tchr-ni-cnt</v>
      </c>
      <c r="K2619" s="471" t="str">
        <f t="shared" si="394"/>
        <v>pol</v>
      </c>
      <c r="L2619" s="599"/>
      <c r="M2619" s="471" t="s">
        <v>6620</v>
      </c>
      <c r="N2619" s="471" t="s">
        <v>1502</v>
      </c>
      <c r="O2619" s="471" t="s">
        <v>1496</v>
      </c>
    </row>
    <row r="2620" spans="1:15" x14ac:dyDescent="0.25">
      <c r="A2620" s="471" t="s">
        <v>6742</v>
      </c>
      <c r="B2620" s="1139">
        <f t="shared" ca="1" si="392"/>
        <v>0</v>
      </c>
      <c r="C2620" s="473">
        <f ca="1">IF(ISERROR(VLOOKUP($A$2484,INDIRECT("notes_"&amp;LEFT($A$2484,3)),4,0)),0,VLOOKUP($A$2484,INDIRECT("notes_"&amp;LEFT($A$2484,3)),4,0))</f>
        <v>0</v>
      </c>
      <c r="H2620" s="471">
        <v>4</v>
      </c>
      <c r="I2620" s="471">
        <v>2</v>
      </c>
      <c r="J2620" s="471" t="str">
        <f t="shared" si="393"/>
        <v>tchr-rtr-bnf</v>
      </c>
      <c r="K2620" s="471" t="str">
        <f t="shared" si="394"/>
        <v>pol</v>
      </c>
      <c r="L2620" s="599"/>
      <c r="M2620" s="471" t="s">
        <v>6620</v>
      </c>
      <c r="N2620" s="471" t="s">
        <v>1502</v>
      </c>
      <c r="O2620" s="471" t="s">
        <v>1496</v>
      </c>
    </row>
    <row r="2621" spans="1:15" x14ac:dyDescent="0.25">
      <c r="A2621" s="471" t="s">
        <v>6743</v>
      </c>
      <c r="B2621" s="1139">
        <f t="shared" ca="1" si="392"/>
        <v>0</v>
      </c>
      <c r="C2621" s="473">
        <f ca="1">IF(ISERROR(VLOOKUP($A$2485,INDIRECT("notes_"&amp;LEFT($A$2485,3)),4,0)),0,VLOOKUP($A$2485,INDIRECT("notes_"&amp;LEFT($A$2485,3)),4,0))</f>
        <v>0</v>
      </c>
      <c r="H2621" s="471">
        <v>4</v>
      </c>
      <c r="I2621" s="471">
        <v>2</v>
      </c>
      <c r="J2621" s="471" t="str">
        <f t="shared" si="393"/>
        <v>tchr-lct-all</v>
      </c>
      <c r="K2621" s="471" t="str">
        <f t="shared" si="394"/>
        <v>pol</v>
      </c>
      <c r="L2621" s="599"/>
      <c r="M2621" s="471" t="s">
        <v>6620</v>
      </c>
      <c r="N2621" s="471" t="s">
        <v>1502</v>
      </c>
      <c r="O2621" s="471" t="s">
        <v>1496</v>
      </c>
    </row>
    <row r="2622" spans="1:15" x14ac:dyDescent="0.25">
      <c r="A2622" s="471" t="s">
        <v>6744</v>
      </c>
      <c r="B2622" s="1139">
        <f t="shared" ca="1" si="392"/>
        <v>0</v>
      </c>
      <c r="C2622" s="473">
        <f ca="1">IF(ISERROR(VLOOKUP($A$2486,INDIRECT("notes_"&amp;LEFT($A$2486,3)),4,0)),0,VLOOKUP($A$2486,INDIRECT("notes_"&amp;LEFT($A$2486,3)),4,0))</f>
        <v>0</v>
      </c>
      <c r="H2622" s="471">
        <v>2</v>
      </c>
      <c r="I2622" s="471">
        <v>0</v>
      </c>
      <c r="J2622" s="471" t="str">
        <f t="shared" si="393"/>
        <v>tchrtot</v>
      </c>
      <c r="K2622" s="471" t="str">
        <f t="shared" si="394"/>
        <v>pol</v>
      </c>
      <c r="L2622" s="599"/>
      <c r="M2622" s="471" t="s">
        <v>6620</v>
      </c>
      <c r="N2622" s="471" t="s">
        <v>1502</v>
      </c>
      <c r="O2622" s="471" t="s">
        <v>1496</v>
      </c>
    </row>
    <row r="2623" spans="1:15" x14ac:dyDescent="0.25">
      <c r="A2623" s="471" t="s">
        <v>6745</v>
      </c>
      <c r="B2623" s="1139">
        <f t="shared" ca="1" si="392"/>
        <v>0</v>
      </c>
      <c r="C2623" s="473">
        <f ca="1">IF(ISERROR(VLOOKUP($A$2487,INDIRECT("notes_"&amp;LEFT($A$2487,3)),4,0)),0,VLOOKUP($A$2487,INDIRECT("notes_"&amp;LEFT($A$2487,3)),4,0))</f>
        <v>0</v>
      </c>
      <c r="H2623" s="471">
        <v>4</v>
      </c>
      <c r="I2623" s="471">
        <v>0</v>
      </c>
      <c r="J2623" s="471" t="str">
        <f t="shared" si="393"/>
        <v>pol-frs-slr</v>
      </c>
      <c r="K2623" s="471" t="str">
        <f t="shared" si="394"/>
        <v>pol</v>
      </c>
      <c r="L2623" s="599"/>
      <c r="M2623" s="471" t="s">
        <v>6620</v>
      </c>
      <c r="N2623" s="471" t="s">
        <v>1502</v>
      </c>
      <c r="O2623" s="471" t="s">
        <v>1496</v>
      </c>
    </row>
    <row r="2624" spans="1:15" x14ac:dyDescent="0.25">
      <c r="A2624" s="471" t="s">
        <v>6746</v>
      </c>
      <c r="B2624" s="1139">
        <f t="shared" ca="1" si="392"/>
        <v>0</v>
      </c>
      <c r="C2624" s="473">
        <f ca="1">IF(ISERROR(VLOOKUP($A$2488,INDIRECT("notes_"&amp;LEFT($A$2488,3)),4,0)),0,VLOOKUP($A$2488,INDIRECT("notes_"&amp;LEFT($A$2488,3)),4,0))</f>
        <v>0</v>
      </c>
      <c r="H2624" s="471">
        <v>5</v>
      </c>
      <c r="I2624" s="471">
        <v>0</v>
      </c>
      <c r="J2624" s="471" t="str">
        <f t="shared" si="393"/>
        <v>pol-frs-ni-cnt</v>
      </c>
      <c r="K2624" s="471" t="str">
        <f t="shared" si="394"/>
        <v>pol</v>
      </c>
      <c r="L2624" s="599"/>
      <c r="M2624" s="471" t="s">
        <v>6620</v>
      </c>
      <c r="N2624" s="471" t="s">
        <v>1502</v>
      </c>
      <c r="O2624" s="471" t="s">
        <v>1496</v>
      </c>
    </row>
    <row r="2625" spans="1:15" x14ac:dyDescent="0.25">
      <c r="A2625" s="471" t="s">
        <v>6747</v>
      </c>
      <c r="B2625" s="1139">
        <f t="shared" ca="1" si="392"/>
        <v>0</v>
      </c>
      <c r="C2625" s="473">
        <f ca="1">IF(ISERROR(VLOOKUP($A$2489,INDIRECT("notes_"&amp;LEFT($A$2489,3)),4,0)),0,VLOOKUP($A$2489,INDIRECT("notes_"&amp;LEFT($A$2489,3)),4,0))</f>
        <v>0</v>
      </c>
      <c r="H2625" s="471">
        <v>5</v>
      </c>
      <c r="I2625" s="471">
        <v>0</v>
      </c>
      <c r="J2625" s="471" t="str">
        <f t="shared" si="393"/>
        <v>pol-frs-rtr-bnf</v>
      </c>
      <c r="K2625" s="471" t="str">
        <f t="shared" si="394"/>
        <v>pol</v>
      </c>
      <c r="L2625" s="599"/>
      <c r="M2625" s="471" t="s">
        <v>6620</v>
      </c>
      <c r="N2625" s="471" t="s">
        <v>1502</v>
      </c>
      <c r="O2625" s="471" t="s">
        <v>1496</v>
      </c>
    </row>
    <row r="2626" spans="1:15" x14ac:dyDescent="0.25">
      <c r="A2626" s="471" t="s">
        <v>6748</v>
      </c>
      <c r="B2626" s="1139">
        <f t="shared" ca="1" si="392"/>
        <v>0</v>
      </c>
      <c r="C2626" s="473">
        <f ca="1">IF(ISERROR(VLOOKUP($A$2490,INDIRECT("notes_"&amp;LEFT($A$2490,3)),4,0)),0,VLOOKUP($A$2490,INDIRECT("notes_"&amp;LEFT($A$2490,3)),4,0))</f>
        <v>0</v>
      </c>
      <c r="H2626" s="471">
        <v>5</v>
      </c>
      <c r="I2626" s="471">
        <v>0</v>
      </c>
      <c r="J2626" s="471" t="str">
        <f t="shared" si="393"/>
        <v>pol-frs-lct-all</v>
      </c>
      <c r="K2626" s="471" t="str">
        <f t="shared" si="394"/>
        <v>pol</v>
      </c>
      <c r="L2626" s="599"/>
      <c r="M2626" s="471" t="s">
        <v>6620</v>
      </c>
      <c r="N2626" s="471" t="s">
        <v>1502</v>
      </c>
      <c r="O2626" s="471" t="s">
        <v>1496</v>
      </c>
    </row>
    <row r="2627" spans="1:15" x14ac:dyDescent="0.25">
      <c r="A2627" s="471" t="s">
        <v>6749</v>
      </c>
      <c r="B2627" s="1139">
        <f t="shared" ca="1" si="392"/>
        <v>0</v>
      </c>
      <c r="C2627" s="473">
        <f ca="1">IF(ISERROR(VLOOKUP($A$2491,INDIRECT("notes_"&amp;LEFT($A$2491,3)),4,0)),0,VLOOKUP($A$2491,INDIRECT("notes_"&amp;LEFT($A$2491,3)),4,0))</f>
        <v>0</v>
      </c>
      <c r="H2627" s="471">
        <v>4</v>
      </c>
      <c r="I2627" s="471">
        <v>0</v>
      </c>
      <c r="J2627" s="471" t="str">
        <f t="shared" si="393"/>
        <v>pol-frs-tot</v>
      </c>
      <c r="K2627" s="471" t="str">
        <f t="shared" si="394"/>
        <v>pol</v>
      </c>
      <c r="L2627" s="599"/>
      <c r="M2627" s="471" t="s">
        <v>6620</v>
      </c>
      <c r="N2627" s="471" t="s">
        <v>1502</v>
      </c>
      <c r="O2627" s="471" t="s">
        <v>1496</v>
      </c>
    </row>
    <row r="2628" spans="1:15" x14ac:dyDescent="0.25">
      <c r="A2628" s="471" t="s">
        <v>6750</v>
      </c>
      <c r="B2628" s="1139">
        <f t="shared" ca="1" si="392"/>
        <v>0</v>
      </c>
      <c r="C2628" s="473">
        <f ca="1">IF(ISERROR(VLOOKUP($A$2492,INDIRECT("notes_"&amp;LEFT($A$2492,3)),4,0)),0,VLOOKUP($A$2492,INDIRECT("notes_"&amp;LEFT($A$2492,3)),4,0))</f>
        <v>0</v>
      </c>
      <c r="H2628" s="471">
        <v>3</v>
      </c>
      <c r="I2628" s="471">
        <v>0</v>
      </c>
      <c r="J2628" s="471" t="str">
        <f t="shared" si="393"/>
        <v>oth-slr</v>
      </c>
      <c r="K2628" s="471" t="str">
        <f t="shared" si="394"/>
        <v>pol</v>
      </c>
      <c r="L2628" s="599"/>
      <c r="M2628" s="471" t="s">
        <v>6620</v>
      </c>
      <c r="N2628" s="471" t="s">
        <v>1502</v>
      </c>
      <c r="O2628" s="471" t="s">
        <v>1496</v>
      </c>
    </row>
    <row r="2629" spans="1:15" x14ac:dyDescent="0.25">
      <c r="A2629" s="471" t="s">
        <v>6751</v>
      </c>
      <c r="B2629" s="1139">
        <f t="shared" ca="1" si="392"/>
        <v>0</v>
      </c>
      <c r="C2629" s="473">
        <f ca="1">IF(ISERROR(VLOOKUP($A$2493,INDIRECT("notes_"&amp;LEFT($A$2493,3)),4,0)),0,VLOOKUP($A$2493,INDIRECT("notes_"&amp;LEFT($A$2493,3)),4,0))</f>
        <v>0</v>
      </c>
      <c r="H2629" s="471">
        <v>4</v>
      </c>
      <c r="I2629" s="471">
        <v>0</v>
      </c>
      <c r="J2629" s="471" t="str">
        <f t="shared" si="393"/>
        <v>oth-ni-cnt</v>
      </c>
      <c r="K2629" s="471" t="str">
        <f t="shared" si="394"/>
        <v>pol</v>
      </c>
      <c r="L2629" s="599"/>
      <c r="M2629" s="471" t="s">
        <v>6620</v>
      </c>
      <c r="N2629" s="471" t="s">
        <v>1502</v>
      </c>
      <c r="O2629" s="471" t="s">
        <v>1496</v>
      </c>
    </row>
    <row r="2630" spans="1:15" x14ac:dyDescent="0.25">
      <c r="A2630" s="471" t="s">
        <v>6752</v>
      </c>
      <c r="B2630" s="1139">
        <f t="shared" ca="1" si="392"/>
        <v>0</v>
      </c>
      <c r="C2630" s="473">
        <f ca="1">IF(ISERROR(VLOOKUP($A$2494,INDIRECT("notes_"&amp;LEFT($A$2494,3)),4,0)),0,VLOOKUP($A$2494,INDIRECT("notes_"&amp;LEFT($A$2494,3)),4,0))</f>
        <v>0</v>
      </c>
      <c r="H2630" s="471">
        <v>4</v>
      </c>
      <c r="I2630" s="471">
        <v>0</v>
      </c>
      <c r="J2630" s="471" t="str">
        <f t="shared" si="393"/>
        <v>oth-rtr-bnf</v>
      </c>
      <c r="K2630" s="471" t="str">
        <f t="shared" si="394"/>
        <v>pol</v>
      </c>
      <c r="L2630" s="599"/>
      <c r="M2630" s="471" t="s">
        <v>6620</v>
      </c>
      <c r="N2630" s="471" t="s">
        <v>1502</v>
      </c>
      <c r="O2630" s="471" t="s">
        <v>1496</v>
      </c>
    </row>
    <row r="2631" spans="1:15" x14ac:dyDescent="0.25">
      <c r="A2631" s="471" t="s">
        <v>6753</v>
      </c>
      <c r="B2631" s="1139">
        <f t="shared" ca="1" si="392"/>
        <v>0</v>
      </c>
      <c r="C2631" s="473">
        <f ca="1">IF(ISERROR(VLOOKUP($A$2495,INDIRECT("notes_"&amp;LEFT($A$2495,3)),4,0)),0,VLOOKUP($A$2495,INDIRECT("notes_"&amp;LEFT($A$2495,3)),4,0))</f>
        <v>0</v>
      </c>
      <c r="H2631" s="471">
        <v>4</v>
      </c>
      <c r="I2631" s="471">
        <v>0</v>
      </c>
      <c r="J2631" s="471" t="str">
        <f t="shared" si="393"/>
        <v>oth-lct-all</v>
      </c>
      <c r="K2631" s="471" t="str">
        <f t="shared" si="394"/>
        <v>pol</v>
      </c>
      <c r="L2631" s="599"/>
      <c r="M2631" s="471" t="s">
        <v>6620</v>
      </c>
      <c r="N2631" s="471" t="s">
        <v>1502</v>
      </c>
      <c r="O2631" s="471" t="s">
        <v>1496</v>
      </c>
    </row>
    <row r="2632" spans="1:15" x14ac:dyDescent="0.25">
      <c r="A2632" s="471" t="s">
        <v>6754</v>
      </c>
      <c r="B2632" s="1139">
        <f t="shared" ca="1" si="392"/>
        <v>0</v>
      </c>
      <c r="C2632" s="473">
        <f ca="1">IF(ISERROR(VLOOKUP($A$2496,INDIRECT("notes_"&amp;LEFT($A$2496,3)),4,0)),0,VLOOKUP($A$2496,INDIRECT("notes_"&amp;LEFT($A$2496,3)),4,0))</f>
        <v>0</v>
      </c>
      <c r="H2632" s="471">
        <v>2</v>
      </c>
      <c r="I2632" s="471">
        <v>0</v>
      </c>
      <c r="J2632" s="471" t="str">
        <f t="shared" si="393"/>
        <v>othtot</v>
      </c>
      <c r="K2632" s="471" t="str">
        <f t="shared" si="394"/>
        <v>pol</v>
      </c>
      <c r="L2632" s="599"/>
      <c r="M2632" s="471" t="s">
        <v>6620</v>
      </c>
      <c r="N2632" s="471" t="s">
        <v>1502</v>
      </c>
      <c r="O2632" s="471" t="s">
        <v>1496</v>
      </c>
    </row>
    <row r="2633" spans="1:15" x14ac:dyDescent="0.25">
      <c r="A2633" s="471" t="s">
        <v>6755</v>
      </c>
      <c r="B2633" s="1139">
        <f t="shared" ca="1" si="392"/>
        <v>0</v>
      </c>
      <c r="C2633" s="473">
        <f ca="1">IF(ISERROR(VLOOKUP($A$2497,INDIRECT("notes_"&amp;LEFT($A$2497,3)),4,0)),0,VLOOKUP($A$2497,INDIRECT("notes_"&amp;LEFT($A$2497,3)),4,0))</f>
        <v>0</v>
      </c>
      <c r="H2633" s="471">
        <v>2</v>
      </c>
      <c r="I2633" s="471">
        <v>0</v>
      </c>
      <c r="J2633" s="471" t="str">
        <f t="shared" si="393"/>
        <v>othcst</v>
      </c>
      <c r="K2633" s="471" t="str">
        <f t="shared" si="394"/>
        <v>pol</v>
      </c>
      <c r="L2633" s="599"/>
      <c r="M2633" s="471" t="s">
        <v>6620</v>
      </c>
      <c r="N2633" s="471" t="s">
        <v>1502</v>
      </c>
      <c r="O2633" s="471" t="s">
        <v>1496</v>
      </c>
    </row>
    <row r="2634" spans="1:15" x14ac:dyDescent="0.25">
      <c r="A2634" s="471" t="s">
        <v>6756</v>
      </c>
      <c r="B2634" s="1139">
        <f t="shared" ca="1" si="392"/>
        <v>0</v>
      </c>
      <c r="C2634" s="473">
        <f ca="1">IF(ISERROR(VLOOKUP($A$2498,INDIRECT("notes_"&amp;LEFT($A$2498,3)),4,0)),0,VLOOKUP($A$2498,INDIRECT("notes_"&amp;LEFT($A$2498,3)),4,0))</f>
        <v>0</v>
      </c>
      <c r="H2634" s="471">
        <v>2</v>
      </c>
      <c r="I2634" s="471">
        <v>0</v>
      </c>
      <c r="J2634" s="471" t="str">
        <f t="shared" si="393"/>
        <v>tot</v>
      </c>
      <c r="K2634" s="471" t="str">
        <f t="shared" si="394"/>
        <v>pol</v>
      </c>
      <c r="L2634" s="599"/>
      <c r="M2634" s="471" t="s">
        <v>6620</v>
      </c>
      <c r="N2634" s="471" t="s">
        <v>1502</v>
      </c>
      <c r="O2634" s="471" t="s">
        <v>1496</v>
      </c>
    </row>
    <row r="2635" spans="1:15" x14ac:dyDescent="0.25">
      <c r="A2635" s="471" t="s">
        <v>6757</v>
      </c>
      <c r="B2635" s="1139">
        <f t="shared" ca="1" si="392"/>
        <v>0</v>
      </c>
      <c r="C2635" s="473">
        <f ca="1">IF(ISERROR(VLOOKUP($A$2482,INDIRECT("notes_"&amp;LEFT($A$2482,3)),4,0)),0,VLOOKUP($A$2482,INDIRECT("notes_"&amp;LEFT($A$2482,3)),4,0))</f>
        <v>0</v>
      </c>
      <c r="H2635" s="471">
        <v>3</v>
      </c>
      <c r="I2635" s="471">
        <v>1</v>
      </c>
      <c r="J2635" s="471" t="str">
        <f t="shared" ref="J2635:J2651" si="395">MID($A2635,SEARCH("-",$A2635)+1,SEARCH("#",SUBSTITUTE($A2635,"-","#",H2635),1)-(SEARCH("-",$A2635)+1))</f>
        <v>tchr-slr</v>
      </c>
      <c r="K2635" s="471" t="str">
        <f t="shared" ref="K2635:K2651" si="396">RIGHT($A2635,LEN($A2635)-SEARCH("#",SUBSTITUTE($A2635,"-","#",H2635),1))</f>
        <v>frs</v>
      </c>
      <c r="L2635" s="599"/>
      <c r="M2635" s="471" t="s">
        <v>6620</v>
      </c>
      <c r="N2635" s="471" t="s">
        <v>1502</v>
      </c>
      <c r="O2635" s="471" t="s">
        <v>1496</v>
      </c>
    </row>
    <row r="2636" spans="1:15" x14ac:dyDescent="0.25">
      <c r="A2636" s="471" t="s">
        <v>6758</v>
      </c>
      <c r="B2636" s="1139">
        <f t="shared" ca="1" si="392"/>
        <v>0</v>
      </c>
      <c r="C2636" s="473">
        <f ca="1">IF(ISERROR(VLOOKUP($A$2483,INDIRECT("notes_"&amp;LEFT($A$2483,3)),4,0)),0,VLOOKUP($A$2483,INDIRECT("notes_"&amp;LEFT($A$2483,3)),4,0))</f>
        <v>0</v>
      </c>
      <c r="H2636" s="471">
        <v>4</v>
      </c>
      <c r="I2636" s="471">
        <v>2</v>
      </c>
      <c r="J2636" s="471" t="str">
        <f t="shared" si="395"/>
        <v>tchr-ni-cnt</v>
      </c>
      <c r="K2636" s="471" t="str">
        <f t="shared" si="396"/>
        <v>frs</v>
      </c>
      <c r="L2636" s="599"/>
      <c r="M2636" s="471" t="s">
        <v>6620</v>
      </c>
      <c r="N2636" s="471" t="s">
        <v>1502</v>
      </c>
      <c r="O2636" s="471" t="s">
        <v>1496</v>
      </c>
    </row>
    <row r="2637" spans="1:15" x14ac:dyDescent="0.25">
      <c r="A2637" s="471" t="s">
        <v>6759</v>
      </c>
      <c r="B2637" s="1139">
        <f t="shared" ca="1" si="392"/>
        <v>0</v>
      </c>
      <c r="C2637" s="473">
        <f ca="1">IF(ISERROR(VLOOKUP($A$2484,INDIRECT("notes_"&amp;LEFT($A$2484,3)),4,0)),0,VLOOKUP($A$2484,INDIRECT("notes_"&amp;LEFT($A$2484,3)),4,0))</f>
        <v>0</v>
      </c>
      <c r="H2637" s="471">
        <v>4</v>
      </c>
      <c r="I2637" s="471">
        <v>2</v>
      </c>
      <c r="J2637" s="471" t="str">
        <f t="shared" si="395"/>
        <v>tchr-rtr-bnf</v>
      </c>
      <c r="K2637" s="471" t="str">
        <f t="shared" si="396"/>
        <v>frs</v>
      </c>
      <c r="L2637" s="599"/>
      <c r="M2637" s="471" t="s">
        <v>6620</v>
      </c>
      <c r="N2637" s="471" t="s">
        <v>1502</v>
      </c>
      <c r="O2637" s="471" t="s">
        <v>1496</v>
      </c>
    </row>
    <row r="2638" spans="1:15" x14ac:dyDescent="0.25">
      <c r="A2638" s="471" t="s">
        <v>6760</v>
      </c>
      <c r="B2638" s="1139">
        <f t="shared" ca="1" si="392"/>
        <v>0</v>
      </c>
      <c r="C2638" s="473">
        <f ca="1">IF(ISERROR(VLOOKUP($A$2485,INDIRECT("notes_"&amp;LEFT($A$2485,3)),4,0)),0,VLOOKUP($A$2485,INDIRECT("notes_"&amp;LEFT($A$2485,3)),4,0))</f>
        <v>0</v>
      </c>
      <c r="H2638" s="471">
        <v>4</v>
      </c>
      <c r="I2638" s="471">
        <v>2</v>
      </c>
      <c r="J2638" s="471" t="str">
        <f t="shared" si="395"/>
        <v>tchr-lct-all</v>
      </c>
      <c r="K2638" s="471" t="str">
        <f t="shared" si="396"/>
        <v>frs</v>
      </c>
      <c r="L2638" s="599"/>
      <c r="M2638" s="471" t="s">
        <v>6620</v>
      </c>
      <c r="N2638" s="471" t="s">
        <v>1502</v>
      </c>
      <c r="O2638" s="471" t="s">
        <v>1496</v>
      </c>
    </row>
    <row r="2639" spans="1:15" x14ac:dyDescent="0.25">
      <c r="A2639" s="471" t="s">
        <v>6761</v>
      </c>
      <c r="B2639" s="1139">
        <f t="shared" ca="1" si="392"/>
        <v>0</v>
      </c>
      <c r="C2639" s="473">
        <f ca="1">IF(ISERROR(VLOOKUP($A$2486,INDIRECT("notes_"&amp;LEFT($A$2486,3)),4,0)),0,VLOOKUP($A$2486,INDIRECT("notes_"&amp;LEFT($A$2486,3)),4,0))</f>
        <v>0</v>
      </c>
      <c r="H2639" s="471">
        <v>2</v>
      </c>
      <c r="I2639" s="471">
        <v>0</v>
      </c>
      <c r="J2639" s="471" t="str">
        <f t="shared" si="395"/>
        <v>tchrtot</v>
      </c>
      <c r="K2639" s="471" t="str">
        <f t="shared" si="396"/>
        <v>frs</v>
      </c>
      <c r="L2639" s="599"/>
      <c r="M2639" s="471" t="s">
        <v>6620</v>
      </c>
      <c r="N2639" s="471" t="s">
        <v>1502</v>
      </c>
      <c r="O2639" s="471" t="s">
        <v>1496</v>
      </c>
    </row>
    <row r="2640" spans="1:15" x14ac:dyDescent="0.25">
      <c r="A2640" s="471" t="s">
        <v>6762</v>
      </c>
      <c r="B2640" s="1139">
        <f t="shared" ca="1" si="392"/>
        <v>0</v>
      </c>
      <c r="C2640" s="473">
        <f ca="1">IF(ISERROR(VLOOKUP($A$2487,INDIRECT("notes_"&amp;LEFT($A$2487,3)),4,0)),0,VLOOKUP($A$2487,INDIRECT("notes_"&amp;LEFT($A$2487,3)),4,0))</f>
        <v>0</v>
      </c>
      <c r="H2640" s="471">
        <v>4</v>
      </c>
      <c r="I2640" s="471">
        <v>0</v>
      </c>
      <c r="J2640" s="471" t="str">
        <f t="shared" si="395"/>
        <v>pol-frs-slr</v>
      </c>
      <c r="K2640" s="471" t="str">
        <f t="shared" si="396"/>
        <v>frs</v>
      </c>
      <c r="L2640" s="599"/>
      <c r="M2640" s="471" t="s">
        <v>6620</v>
      </c>
      <c r="N2640" s="471" t="s">
        <v>1502</v>
      </c>
      <c r="O2640" s="471" t="s">
        <v>1496</v>
      </c>
    </row>
    <row r="2641" spans="1:15" x14ac:dyDescent="0.25">
      <c r="A2641" s="471" t="s">
        <v>6763</v>
      </c>
      <c r="B2641" s="1139">
        <f t="shared" ca="1" si="392"/>
        <v>0</v>
      </c>
      <c r="C2641" s="473">
        <f ca="1">IF(ISERROR(VLOOKUP($A$2488,INDIRECT("notes_"&amp;LEFT($A$2488,3)),4,0)),0,VLOOKUP($A$2488,INDIRECT("notes_"&amp;LEFT($A$2488,3)),4,0))</f>
        <v>0</v>
      </c>
      <c r="H2641" s="471">
        <v>5</v>
      </c>
      <c r="I2641" s="471">
        <v>0</v>
      </c>
      <c r="J2641" s="471" t="str">
        <f t="shared" si="395"/>
        <v>pol-frs-ni-cnt</v>
      </c>
      <c r="K2641" s="471" t="str">
        <f t="shared" si="396"/>
        <v>frs</v>
      </c>
      <c r="L2641" s="599"/>
      <c r="M2641" s="471" t="s">
        <v>6620</v>
      </c>
      <c r="N2641" s="471" t="s">
        <v>1502</v>
      </c>
      <c r="O2641" s="471" t="s">
        <v>1496</v>
      </c>
    </row>
    <row r="2642" spans="1:15" x14ac:dyDescent="0.25">
      <c r="A2642" s="471" t="s">
        <v>6764</v>
      </c>
      <c r="B2642" s="1139">
        <f t="shared" ca="1" si="392"/>
        <v>0</v>
      </c>
      <c r="C2642" s="473">
        <f ca="1">IF(ISERROR(VLOOKUP($A$2489,INDIRECT("notes_"&amp;LEFT($A$2489,3)),4,0)),0,VLOOKUP($A$2489,INDIRECT("notes_"&amp;LEFT($A$2489,3)),4,0))</f>
        <v>0</v>
      </c>
      <c r="H2642" s="471">
        <v>5</v>
      </c>
      <c r="I2642" s="471">
        <v>0</v>
      </c>
      <c r="J2642" s="471" t="str">
        <f t="shared" si="395"/>
        <v>pol-frs-rtr-bnf</v>
      </c>
      <c r="K2642" s="471" t="str">
        <f t="shared" si="396"/>
        <v>frs</v>
      </c>
      <c r="L2642" s="599"/>
      <c r="M2642" s="471" t="s">
        <v>6620</v>
      </c>
      <c r="N2642" s="471" t="s">
        <v>1502</v>
      </c>
      <c r="O2642" s="471" t="s">
        <v>1496</v>
      </c>
    </row>
    <row r="2643" spans="1:15" x14ac:dyDescent="0.25">
      <c r="A2643" s="471" t="s">
        <v>6765</v>
      </c>
      <c r="B2643" s="1139">
        <f t="shared" ca="1" si="392"/>
        <v>0</v>
      </c>
      <c r="C2643" s="473">
        <f ca="1">IF(ISERROR(VLOOKUP($A$2490,INDIRECT("notes_"&amp;LEFT($A$2490,3)),4,0)),0,VLOOKUP($A$2490,INDIRECT("notes_"&amp;LEFT($A$2490,3)),4,0))</f>
        <v>0</v>
      </c>
      <c r="H2643" s="471">
        <v>5</v>
      </c>
      <c r="I2643" s="471">
        <v>0</v>
      </c>
      <c r="J2643" s="471" t="str">
        <f t="shared" si="395"/>
        <v>pol-frs-lct-all</v>
      </c>
      <c r="K2643" s="471" t="str">
        <f t="shared" si="396"/>
        <v>frs</v>
      </c>
      <c r="L2643" s="599"/>
      <c r="M2643" s="471" t="s">
        <v>6620</v>
      </c>
      <c r="N2643" s="471" t="s">
        <v>1502</v>
      </c>
      <c r="O2643" s="471" t="s">
        <v>1496</v>
      </c>
    </row>
    <row r="2644" spans="1:15" x14ac:dyDescent="0.25">
      <c r="A2644" s="471" t="s">
        <v>6766</v>
      </c>
      <c r="B2644" s="1139">
        <f t="shared" ca="1" si="392"/>
        <v>0</v>
      </c>
      <c r="C2644" s="473">
        <f ca="1">IF(ISERROR(VLOOKUP($A$2491,INDIRECT("notes_"&amp;LEFT($A$2491,3)),4,0)),0,VLOOKUP($A$2491,INDIRECT("notes_"&amp;LEFT($A$2491,3)),4,0))</f>
        <v>0</v>
      </c>
      <c r="H2644" s="471">
        <v>4</v>
      </c>
      <c r="I2644" s="471">
        <v>0</v>
      </c>
      <c r="J2644" s="471" t="str">
        <f t="shared" si="395"/>
        <v>pol-frs-tot</v>
      </c>
      <c r="K2644" s="471" t="str">
        <f t="shared" si="396"/>
        <v>frs</v>
      </c>
      <c r="L2644" s="599"/>
      <c r="M2644" s="471" t="s">
        <v>6620</v>
      </c>
      <c r="N2644" s="471" t="s">
        <v>1502</v>
      </c>
      <c r="O2644" s="471" t="s">
        <v>1496</v>
      </c>
    </row>
    <row r="2645" spans="1:15" x14ac:dyDescent="0.25">
      <c r="A2645" s="471" t="s">
        <v>6767</v>
      </c>
      <c r="B2645" s="1139">
        <f t="shared" ca="1" si="392"/>
        <v>0</v>
      </c>
      <c r="C2645" s="473">
        <f ca="1">IF(ISERROR(VLOOKUP($A$2492,INDIRECT("notes_"&amp;LEFT($A$2492,3)),4,0)),0,VLOOKUP($A$2492,INDIRECT("notes_"&amp;LEFT($A$2492,3)),4,0))</f>
        <v>0</v>
      </c>
      <c r="H2645" s="471">
        <v>3</v>
      </c>
      <c r="I2645" s="471">
        <v>0</v>
      </c>
      <c r="J2645" s="471" t="str">
        <f t="shared" si="395"/>
        <v>oth-slr</v>
      </c>
      <c r="K2645" s="471" t="str">
        <f t="shared" si="396"/>
        <v>frs</v>
      </c>
      <c r="L2645" s="599"/>
      <c r="M2645" s="471" t="s">
        <v>6620</v>
      </c>
      <c r="N2645" s="471" t="s">
        <v>1502</v>
      </c>
      <c r="O2645" s="471" t="s">
        <v>1496</v>
      </c>
    </row>
    <row r="2646" spans="1:15" x14ac:dyDescent="0.25">
      <c r="A2646" s="471" t="s">
        <v>6768</v>
      </c>
      <c r="B2646" s="1139">
        <f t="shared" ca="1" si="392"/>
        <v>0</v>
      </c>
      <c r="C2646" s="473">
        <f ca="1">IF(ISERROR(VLOOKUP($A$2493,INDIRECT("notes_"&amp;LEFT($A$2493,3)),4,0)),0,VLOOKUP($A$2493,INDIRECT("notes_"&amp;LEFT($A$2493,3)),4,0))</f>
        <v>0</v>
      </c>
      <c r="H2646" s="471">
        <v>4</v>
      </c>
      <c r="I2646" s="471">
        <v>0</v>
      </c>
      <c r="J2646" s="471" t="str">
        <f t="shared" si="395"/>
        <v>oth-ni-cnt</v>
      </c>
      <c r="K2646" s="471" t="str">
        <f t="shared" si="396"/>
        <v>frs</v>
      </c>
      <c r="L2646" s="599"/>
      <c r="M2646" s="471" t="s">
        <v>6620</v>
      </c>
      <c r="N2646" s="471" t="s">
        <v>1502</v>
      </c>
      <c r="O2646" s="471" t="s">
        <v>1496</v>
      </c>
    </row>
    <row r="2647" spans="1:15" x14ac:dyDescent="0.25">
      <c r="A2647" s="471" t="s">
        <v>6769</v>
      </c>
      <c r="B2647" s="1139">
        <f t="shared" ca="1" si="392"/>
        <v>0</v>
      </c>
      <c r="C2647" s="473">
        <f ca="1">IF(ISERROR(VLOOKUP($A$2494,INDIRECT("notes_"&amp;LEFT($A$2494,3)),4,0)),0,VLOOKUP($A$2494,INDIRECT("notes_"&amp;LEFT($A$2494,3)),4,0))</f>
        <v>0</v>
      </c>
      <c r="H2647" s="471">
        <v>4</v>
      </c>
      <c r="I2647" s="471">
        <v>0</v>
      </c>
      <c r="J2647" s="471" t="str">
        <f t="shared" si="395"/>
        <v>oth-rtr-bnf</v>
      </c>
      <c r="K2647" s="471" t="str">
        <f t="shared" si="396"/>
        <v>frs</v>
      </c>
      <c r="L2647" s="599"/>
      <c r="M2647" s="471" t="s">
        <v>6620</v>
      </c>
      <c r="N2647" s="471" t="s">
        <v>1502</v>
      </c>
      <c r="O2647" s="471" t="s">
        <v>1496</v>
      </c>
    </row>
    <row r="2648" spans="1:15" x14ac:dyDescent="0.25">
      <c r="A2648" s="471" t="s">
        <v>6770</v>
      </c>
      <c r="B2648" s="1139">
        <f t="shared" ca="1" si="392"/>
        <v>0</v>
      </c>
      <c r="C2648" s="473">
        <f ca="1">IF(ISERROR(VLOOKUP($A$2495,INDIRECT("notes_"&amp;LEFT($A$2495,3)),4,0)),0,VLOOKUP($A$2495,INDIRECT("notes_"&amp;LEFT($A$2495,3)),4,0))</f>
        <v>0</v>
      </c>
      <c r="H2648" s="471">
        <v>4</v>
      </c>
      <c r="I2648" s="471">
        <v>0</v>
      </c>
      <c r="J2648" s="471" t="str">
        <f t="shared" si="395"/>
        <v>oth-lct-all</v>
      </c>
      <c r="K2648" s="471" t="str">
        <f t="shared" si="396"/>
        <v>frs</v>
      </c>
      <c r="L2648" s="599"/>
      <c r="M2648" s="471" t="s">
        <v>6620</v>
      </c>
      <c r="N2648" s="471" t="s">
        <v>1502</v>
      </c>
      <c r="O2648" s="471" t="s">
        <v>1496</v>
      </c>
    </row>
    <row r="2649" spans="1:15" x14ac:dyDescent="0.25">
      <c r="A2649" s="471" t="s">
        <v>6771</v>
      </c>
      <c r="B2649" s="1139">
        <f t="shared" ca="1" si="392"/>
        <v>0</v>
      </c>
      <c r="C2649" s="473">
        <f ca="1">IF(ISERROR(VLOOKUP($A$2496,INDIRECT("notes_"&amp;LEFT($A$2496,3)),4,0)),0,VLOOKUP($A$2496,INDIRECT("notes_"&amp;LEFT($A$2496,3)),4,0))</f>
        <v>0</v>
      </c>
      <c r="H2649" s="471">
        <v>2</v>
      </c>
      <c r="I2649" s="471">
        <v>0</v>
      </c>
      <c r="J2649" s="471" t="str">
        <f t="shared" si="395"/>
        <v>othtot</v>
      </c>
      <c r="K2649" s="471" t="str">
        <f t="shared" si="396"/>
        <v>frs</v>
      </c>
      <c r="L2649" s="599"/>
      <c r="M2649" s="471" t="s">
        <v>6620</v>
      </c>
      <c r="N2649" s="471" t="s">
        <v>1502</v>
      </c>
      <c r="O2649" s="471" t="s">
        <v>1496</v>
      </c>
    </row>
    <row r="2650" spans="1:15" x14ac:dyDescent="0.25">
      <c r="A2650" s="471" t="s">
        <v>6772</v>
      </c>
      <c r="B2650" s="1139">
        <f t="shared" ca="1" si="392"/>
        <v>0</v>
      </c>
      <c r="C2650" s="473">
        <f ca="1">IF(ISERROR(VLOOKUP($A$2497,INDIRECT("notes_"&amp;LEFT($A$2497,3)),4,0)),0,VLOOKUP($A$2497,INDIRECT("notes_"&amp;LEFT($A$2497,3)),4,0))</f>
        <v>0</v>
      </c>
      <c r="H2650" s="471">
        <v>2</v>
      </c>
      <c r="I2650" s="471">
        <v>0</v>
      </c>
      <c r="J2650" s="471" t="str">
        <f t="shared" si="395"/>
        <v>othcst</v>
      </c>
      <c r="K2650" s="471" t="str">
        <f t="shared" si="396"/>
        <v>frs</v>
      </c>
      <c r="L2650" s="599"/>
      <c r="M2650" s="471" t="s">
        <v>6620</v>
      </c>
      <c r="N2650" s="471" t="s">
        <v>1502</v>
      </c>
      <c r="O2650" s="471" t="s">
        <v>1496</v>
      </c>
    </row>
    <row r="2651" spans="1:15" x14ac:dyDescent="0.25">
      <c r="A2651" s="471" t="s">
        <v>6773</v>
      </c>
      <c r="B2651" s="1139">
        <f t="shared" ca="1" si="392"/>
        <v>0</v>
      </c>
      <c r="C2651" s="473">
        <f ca="1">IF(ISERROR(VLOOKUP($A$2498,INDIRECT("notes_"&amp;LEFT($A$2498,3)),4,0)),0,VLOOKUP($A$2498,INDIRECT("notes_"&amp;LEFT($A$2498,3)),4,0))</f>
        <v>0</v>
      </c>
      <c r="H2651" s="471">
        <v>2</v>
      </c>
      <c r="I2651" s="471">
        <v>0</v>
      </c>
      <c r="J2651" s="471" t="str">
        <f t="shared" si="395"/>
        <v>tot</v>
      </c>
      <c r="K2651" s="471" t="str">
        <f t="shared" si="396"/>
        <v>frs</v>
      </c>
      <c r="L2651" s="599"/>
      <c r="M2651" s="471" t="s">
        <v>6620</v>
      </c>
      <c r="N2651" s="471" t="s">
        <v>1502</v>
      </c>
      <c r="O2651" s="471" t="s">
        <v>1496</v>
      </c>
    </row>
    <row r="2652" spans="1:15" x14ac:dyDescent="0.25">
      <c r="A2652" s="471" t="s">
        <v>6774</v>
      </c>
      <c r="B2652" s="1139">
        <f t="shared" ca="1" si="392"/>
        <v>0</v>
      </c>
      <c r="C2652" s="473">
        <f ca="1">IF(ISERROR(VLOOKUP($A$2482,INDIRECT("notes_"&amp;LEFT($A$2482,3)),4,0)),0,VLOOKUP($A$2482,INDIRECT("notes_"&amp;LEFT($A$2482,3)),4,0))</f>
        <v>0</v>
      </c>
      <c r="H2652" s="471">
        <v>3</v>
      </c>
      <c r="I2652" s="471">
        <v>1</v>
      </c>
      <c r="J2652" s="471" t="str">
        <f t="shared" ref="J2652:J2668" si="397">MID($A2652,SEARCH("-",$A2652)+1,SEARCH("#",SUBSTITUTE($A2652,"-","#",H2652),1)-(SEARCH("-",$A2652)+1))</f>
        <v>tchr-slr</v>
      </c>
      <c r="K2652" s="471" t="str">
        <f t="shared" ref="K2652:K2668" si="398">RIGHT($A2652,LEN($A2652)-SEARCH("#",SUBSTITUTE($A2652,"-","#",H2652),1))</f>
        <v>cen-oth</v>
      </c>
      <c r="L2652" s="599"/>
      <c r="M2652" s="471" t="s">
        <v>6620</v>
      </c>
      <c r="N2652" s="471" t="s">
        <v>1502</v>
      </c>
      <c r="O2652" s="471" t="s">
        <v>1496</v>
      </c>
    </row>
    <row r="2653" spans="1:15" x14ac:dyDescent="0.25">
      <c r="A2653" s="471" t="s">
        <v>6775</v>
      </c>
      <c r="B2653" s="1139">
        <f t="shared" ca="1" si="392"/>
        <v>0</v>
      </c>
      <c r="C2653" s="473">
        <f ca="1">IF(ISERROR(VLOOKUP($A$2483,INDIRECT("notes_"&amp;LEFT($A$2483,3)),4,0)),0,VLOOKUP($A$2483,INDIRECT("notes_"&amp;LEFT($A$2483,3)),4,0))</f>
        <v>0</v>
      </c>
      <c r="H2653" s="471">
        <v>4</v>
      </c>
      <c r="I2653" s="471">
        <v>2</v>
      </c>
      <c r="J2653" s="471" t="str">
        <f t="shared" si="397"/>
        <v>tchr-ni-cnt</v>
      </c>
      <c r="K2653" s="471" t="str">
        <f t="shared" si="398"/>
        <v>cen-oth</v>
      </c>
      <c r="L2653" s="599"/>
      <c r="M2653" s="471" t="s">
        <v>6620</v>
      </c>
      <c r="N2653" s="471" t="s">
        <v>1502</v>
      </c>
      <c r="O2653" s="471" t="s">
        <v>1496</v>
      </c>
    </row>
    <row r="2654" spans="1:15" x14ac:dyDescent="0.25">
      <c r="A2654" s="471" t="s">
        <v>6776</v>
      </c>
      <c r="B2654" s="1139">
        <f t="shared" ca="1" si="392"/>
        <v>0</v>
      </c>
      <c r="C2654" s="473">
        <f ca="1">IF(ISERROR(VLOOKUP($A$2484,INDIRECT("notes_"&amp;LEFT($A$2484,3)),4,0)),0,VLOOKUP($A$2484,INDIRECT("notes_"&amp;LEFT($A$2484,3)),4,0))</f>
        <v>0</v>
      </c>
      <c r="H2654" s="471">
        <v>4</v>
      </c>
      <c r="I2654" s="471">
        <v>2</v>
      </c>
      <c r="J2654" s="471" t="str">
        <f t="shared" si="397"/>
        <v>tchr-rtr-bnf</v>
      </c>
      <c r="K2654" s="471" t="str">
        <f t="shared" si="398"/>
        <v>cen-oth</v>
      </c>
      <c r="L2654" s="599"/>
      <c r="M2654" s="471" t="s">
        <v>6620</v>
      </c>
      <c r="N2654" s="471" t="s">
        <v>1502</v>
      </c>
      <c r="O2654" s="471" t="s">
        <v>1496</v>
      </c>
    </row>
    <row r="2655" spans="1:15" x14ac:dyDescent="0.25">
      <c r="A2655" s="471" t="s">
        <v>6777</v>
      </c>
      <c r="B2655" s="1139">
        <f t="shared" ca="1" si="392"/>
        <v>0</v>
      </c>
      <c r="C2655" s="473">
        <f ca="1">IF(ISERROR(VLOOKUP($A$2485,INDIRECT("notes_"&amp;LEFT($A$2485,3)),4,0)),0,VLOOKUP($A$2485,INDIRECT("notes_"&amp;LEFT($A$2485,3)),4,0))</f>
        <v>0</v>
      </c>
      <c r="H2655" s="471">
        <v>4</v>
      </c>
      <c r="I2655" s="471">
        <v>2</v>
      </c>
      <c r="J2655" s="471" t="str">
        <f t="shared" si="397"/>
        <v>tchr-lct-all</v>
      </c>
      <c r="K2655" s="471" t="str">
        <f t="shared" si="398"/>
        <v>cen-oth</v>
      </c>
      <c r="L2655" s="599"/>
      <c r="M2655" s="471" t="s">
        <v>6620</v>
      </c>
      <c r="N2655" s="471" t="s">
        <v>1502</v>
      </c>
      <c r="O2655" s="471" t="s">
        <v>1496</v>
      </c>
    </row>
    <row r="2656" spans="1:15" x14ac:dyDescent="0.25">
      <c r="A2656" s="471" t="s">
        <v>6778</v>
      </c>
      <c r="B2656" s="1139">
        <f t="shared" ca="1" si="392"/>
        <v>0</v>
      </c>
      <c r="C2656" s="473">
        <f ca="1">IF(ISERROR(VLOOKUP($A$2486,INDIRECT("notes_"&amp;LEFT($A$2486,3)),4,0)),0,VLOOKUP($A$2486,INDIRECT("notes_"&amp;LEFT($A$2486,3)),4,0))</f>
        <v>0</v>
      </c>
      <c r="H2656" s="471">
        <v>2</v>
      </c>
      <c r="I2656" s="471">
        <v>0</v>
      </c>
      <c r="J2656" s="471" t="str">
        <f t="shared" si="397"/>
        <v>tchrtot</v>
      </c>
      <c r="K2656" s="471" t="str">
        <f t="shared" si="398"/>
        <v>cen-oth</v>
      </c>
      <c r="L2656" s="599"/>
      <c r="M2656" s="471" t="s">
        <v>6620</v>
      </c>
      <c r="N2656" s="471" t="s">
        <v>1502</v>
      </c>
      <c r="O2656" s="471" t="s">
        <v>1496</v>
      </c>
    </row>
    <row r="2657" spans="1:15" x14ac:dyDescent="0.25">
      <c r="A2657" s="471" t="s">
        <v>6779</v>
      </c>
      <c r="B2657" s="1139">
        <f t="shared" ca="1" si="392"/>
        <v>0</v>
      </c>
      <c r="C2657" s="473">
        <f ca="1">IF(ISERROR(VLOOKUP($A$2487,INDIRECT("notes_"&amp;LEFT($A$2487,3)),4,0)),0,VLOOKUP($A$2487,INDIRECT("notes_"&amp;LEFT($A$2487,3)),4,0))</f>
        <v>0</v>
      </c>
      <c r="H2657" s="471">
        <v>4</v>
      </c>
      <c r="I2657" s="471">
        <v>0</v>
      </c>
      <c r="J2657" s="471" t="str">
        <f t="shared" si="397"/>
        <v>pol-frs-slr</v>
      </c>
      <c r="K2657" s="471" t="str">
        <f t="shared" si="398"/>
        <v>cen-oth</v>
      </c>
      <c r="L2657" s="599"/>
      <c r="M2657" s="471" t="s">
        <v>6620</v>
      </c>
      <c r="N2657" s="471" t="s">
        <v>1502</v>
      </c>
      <c r="O2657" s="471" t="s">
        <v>1496</v>
      </c>
    </row>
    <row r="2658" spans="1:15" x14ac:dyDescent="0.25">
      <c r="A2658" s="471" t="s">
        <v>6780</v>
      </c>
      <c r="B2658" s="1139">
        <f t="shared" ca="1" si="392"/>
        <v>0</v>
      </c>
      <c r="C2658" s="473">
        <f ca="1">IF(ISERROR(VLOOKUP($A$2488,INDIRECT("notes_"&amp;LEFT($A$2488,3)),4,0)),0,VLOOKUP($A$2488,INDIRECT("notes_"&amp;LEFT($A$2488,3)),4,0))</f>
        <v>0</v>
      </c>
      <c r="H2658" s="471">
        <v>5</v>
      </c>
      <c r="I2658" s="471">
        <v>0</v>
      </c>
      <c r="J2658" s="471" t="str">
        <f t="shared" si="397"/>
        <v>pol-frs-ni-cnt</v>
      </c>
      <c r="K2658" s="471" t="str">
        <f t="shared" si="398"/>
        <v>cen-oth</v>
      </c>
      <c r="L2658" s="599"/>
      <c r="M2658" s="471" t="s">
        <v>6620</v>
      </c>
      <c r="N2658" s="471" t="s">
        <v>1502</v>
      </c>
      <c r="O2658" s="471" t="s">
        <v>1496</v>
      </c>
    </row>
    <row r="2659" spans="1:15" x14ac:dyDescent="0.25">
      <c r="A2659" s="471" t="s">
        <v>6781</v>
      </c>
      <c r="B2659" s="1139">
        <f t="shared" ca="1" si="392"/>
        <v>0</v>
      </c>
      <c r="C2659" s="473">
        <f ca="1">IF(ISERROR(VLOOKUP($A$2489,INDIRECT("notes_"&amp;LEFT($A$2489,3)),4,0)),0,VLOOKUP($A$2489,INDIRECT("notes_"&amp;LEFT($A$2489,3)),4,0))</f>
        <v>0</v>
      </c>
      <c r="H2659" s="471">
        <v>5</v>
      </c>
      <c r="I2659" s="471">
        <v>0</v>
      </c>
      <c r="J2659" s="471" t="str">
        <f t="shared" si="397"/>
        <v>pol-frs-rtr-bnf</v>
      </c>
      <c r="K2659" s="471" t="str">
        <f t="shared" si="398"/>
        <v>cen-oth</v>
      </c>
      <c r="L2659" s="599"/>
      <c r="M2659" s="471" t="s">
        <v>6620</v>
      </c>
      <c r="N2659" s="471" t="s">
        <v>1502</v>
      </c>
      <c r="O2659" s="471" t="s">
        <v>1496</v>
      </c>
    </row>
    <row r="2660" spans="1:15" x14ac:dyDescent="0.25">
      <c r="A2660" s="471" t="s">
        <v>6782</v>
      </c>
      <c r="B2660" s="1139">
        <f t="shared" ca="1" si="392"/>
        <v>0</v>
      </c>
      <c r="C2660" s="473">
        <f ca="1">IF(ISERROR(VLOOKUP($A$2490,INDIRECT("notes_"&amp;LEFT($A$2490,3)),4,0)),0,VLOOKUP($A$2490,INDIRECT("notes_"&amp;LEFT($A$2490,3)),4,0))</f>
        <v>0</v>
      </c>
      <c r="H2660" s="471">
        <v>5</v>
      </c>
      <c r="I2660" s="471">
        <v>0</v>
      </c>
      <c r="J2660" s="471" t="str">
        <f t="shared" si="397"/>
        <v>pol-frs-lct-all</v>
      </c>
      <c r="K2660" s="471" t="str">
        <f t="shared" si="398"/>
        <v>cen-oth</v>
      </c>
      <c r="L2660" s="599"/>
      <c r="M2660" s="471" t="s">
        <v>6620</v>
      </c>
      <c r="N2660" s="471" t="s">
        <v>1502</v>
      </c>
      <c r="O2660" s="471" t="s">
        <v>1496</v>
      </c>
    </row>
    <row r="2661" spans="1:15" x14ac:dyDescent="0.25">
      <c r="A2661" s="471" t="s">
        <v>6783</v>
      </c>
      <c r="B2661" s="1139">
        <f t="shared" ca="1" si="392"/>
        <v>0</v>
      </c>
      <c r="C2661" s="473">
        <f ca="1">IF(ISERROR(VLOOKUP($A$2491,INDIRECT("notes_"&amp;LEFT($A$2491,3)),4,0)),0,VLOOKUP($A$2491,INDIRECT("notes_"&amp;LEFT($A$2491,3)),4,0))</f>
        <v>0</v>
      </c>
      <c r="H2661" s="471">
        <v>4</v>
      </c>
      <c r="I2661" s="471">
        <v>0</v>
      </c>
      <c r="J2661" s="471" t="str">
        <f t="shared" si="397"/>
        <v>pol-frs-tot</v>
      </c>
      <c r="K2661" s="471" t="str">
        <f t="shared" si="398"/>
        <v>cen-oth</v>
      </c>
      <c r="L2661" s="599"/>
      <c r="M2661" s="471" t="s">
        <v>6620</v>
      </c>
      <c r="N2661" s="471" t="s">
        <v>1502</v>
      </c>
      <c r="O2661" s="471" t="s">
        <v>1496</v>
      </c>
    </row>
    <row r="2662" spans="1:15" x14ac:dyDescent="0.25">
      <c r="A2662" s="471" t="s">
        <v>6784</v>
      </c>
      <c r="B2662" s="1139">
        <f t="shared" ca="1" si="392"/>
        <v>0</v>
      </c>
      <c r="C2662" s="473">
        <f ca="1">IF(ISERROR(VLOOKUP($A$2492,INDIRECT("notes_"&amp;LEFT($A$2492,3)),4,0)),0,VLOOKUP($A$2492,INDIRECT("notes_"&amp;LEFT($A$2492,3)),4,0))</f>
        <v>0</v>
      </c>
      <c r="H2662" s="471">
        <v>3</v>
      </c>
      <c r="I2662" s="471">
        <v>0</v>
      </c>
      <c r="J2662" s="471" t="str">
        <f t="shared" si="397"/>
        <v>oth-slr</v>
      </c>
      <c r="K2662" s="471" t="str">
        <f t="shared" si="398"/>
        <v>cen-oth</v>
      </c>
      <c r="L2662" s="599"/>
      <c r="M2662" s="471" t="s">
        <v>6620</v>
      </c>
      <c r="N2662" s="471" t="s">
        <v>1502</v>
      </c>
      <c r="O2662" s="471" t="s">
        <v>1496</v>
      </c>
    </row>
    <row r="2663" spans="1:15" x14ac:dyDescent="0.25">
      <c r="A2663" s="471" t="s">
        <v>6785</v>
      </c>
      <c r="B2663" s="1139">
        <f t="shared" ca="1" si="392"/>
        <v>0</v>
      </c>
      <c r="C2663" s="473">
        <f ca="1">IF(ISERROR(VLOOKUP($A$2493,INDIRECT("notes_"&amp;LEFT($A$2493,3)),4,0)),0,VLOOKUP($A$2493,INDIRECT("notes_"&amp;LEFT($A$2493,3)),4,0))</f>
        <v>0</v>
      </c>
      <c r="H2663" s="471">
        <v>4</v>
      </c>
      <c r="I2663" s="471">
        <v>0</v>
      </c>
      <c r="J2663" s="471" t="str">
        <f t="shared" si="397"/>
        <v>oth-ni-cnt</v>
      </c>
      <c r="K2663" s="471" t="str">
        <f t="shared" si="398"/>
        <v>cen-oth</v>
      </c>
      <c r="L2663" s="599"/>
      <c r="M2663" s="471" t="s">
        <v>6620</v>
      </c>
      <c r="N2663" s="471" t="s">
        <v>1502</v>
      </c>
      <c r="O2663" s="471" t="s">
        <v>1496</v>
      </c>
    </row>
    <row r="2664" spans="1:15" x14ac:dyDescent="0.25">
      <c r="A2664" s="471" t="s">
        <v>6786</v>
      </c>
      <c r="B2664" s="1139">
        <f t="shared" ca="1" si="392"/>
        <v>0</v>
      </c>
      <c r="C2664" s="473">
        <f ca="1">IF(ISERROR(VLOOKUP($A$2494,INDIRECT("notes_"&amp;LEFT($A$2494,3)),4,0)),0,VLOOKUP($A$2494,INDIRECT("notes_"&amp;LEFT($A$2494,3)),4,0))</f>
        <v>0</v>
      </c>
      <c r="H2664" s="471">
        <v>4</v>
      </c>
      <c r="I2664" s="471">
        <v>0</v>
      </c>
      <c r="J2664" s="471" t="str">
        <f t="shared" si="397"/>
        <v>oth-rtr-bnf</v>
      </c>
      <c r="K2664" s="471" t="str">
        <f t="shared" si="398"/>
        <v>cen-oth</v>
      </c>
      <c r="L2664" s="599"/>
      <c r="M2664" s="471" t="s">
        <v>6620</v>
      </c>
      <c r="N2664" s="471" t="s">
        <v>1502</v>
      </c>
      <c r="O2664" s="471" t="s">
        <v>1496</v>
      </c>
    </row>
    <row r="2665" spans="1:15" x14ac:dyDescent="0.25">
      <c r="A2665" s="471" t="s">
        <v>6787</v>
      </c>
      <c r="B2665" s="1139">
        <f t="shared" ca="1" si="392"/>
        <v>0</v>
      </c>
      <c r="C2665" s="473">
        <f ca="1">IF(ISERROR(VLOOKUP($A$2495,INDIRECT("notes_"&amp;LEFT($A$2495,3)),4,0)),0,VLOOKUP($A$2495,INDIRECT("notes_"&amp;LEFT($A$2495,3)),4,0))</f>
        <v>0</v>
      </c>
      <c r="H2665" s="471">
        <v>4</v>
      </c>
      <c r="I2665" s="471">
        <v>0</v>
      </c>
      <c r="J2665" s="471" t="str">
        <f t="shared" si="397"/>
        <v>oth-lct-all</v>
      </c>
      <c r="K2665" s="471" t="str">
        <f t="shared" si="398"/>
        <v>cen-oth</v>
      </c>
      <c r="L2665" s="599"/>
      <c r="M2665" s="471" t="s">
        <v>6620</v>
      </c>
      <c r="N2665" s="471" t="s">
        <v>1502</v>
      </c>
      <c r="O2665" s="471" t="s">
        <v>1496</v>
      </c>
    </row>
    <row r="2666" spans="1:15" x14ac:dyDescent="0.25">
      <c r="A2666" s="471" t="s">
        <v>6788</v>
      </c>
      <c r="B2666" s="1139">
        <f t="shared" ca="1" si="392"/>
        <v>0</v>
      </c>
      <c r="C2666" s="473">
        <f ca="1">IF(ISERROR(VLOOKUP($A$2496,INDIRECT("notes_"&amp;LEFT($A$2496,3)),4,0)),0,VLOOKUP($A$2496,INDIRECT("notes_"&amp;LEFT($A$2496,3)),4,0))</f>
        <v>0</v>
      </c>
      <c r="H2666" s="471">
        <v>2</v>
      </c>
      <c r="I2666" s="471">
        <v>0</v>
      </c>
      <c r="J2666" s="471" t="str">
        <f t="shared" si="397"/>
        <v>othtot</v>
      </c>
      <c r="K2666" s="471" t="str">
        <f t="shared" si="398"/>
        <v>cen-oth</v>
      </c>
      <c r="L2666" s="599"/>
      <c r="M2666" s="471" t="s">
        <v>6620</v>
      </c>
      <c r="N2666" s="471" t="s">
        <v>1502</v>
      </c>
      <c r="O2666" s="471" t="s">
        <v>1496</v>
      </c>
    </row>
    <row r="2667" spans="1:15" x14ac:dyDescent="0.25">
      <c r="A2667" s="471" t="s">
        <v>6789</v>
      </c>
      <c r="B2667" s="1139">
        <f t="shared" ca="1" si="392"/>
        <v>0</v>
      </c>
      <c r="C2667" s="473">
        <f ca="1">IF(ISERROR(VLOOKUP($A$2497,INDIRECT("notes_"&amp;LEFT($A$2497,3)),4,0)),0,VLOOKUP($A$2497,INDIRECT("notes_"&amp;LEFT($A$2497,3)),4,0))</f>
        <v>0</v>
      </c>
      <c r="H2667" s="471">
        <v>2</v>
      </c>
      <c r="I2667" s="471">
        <v>0</v>
      </c>
      <c r="J2667" s="471" t="str">
        <f t="shared" si="397"/>
        <v>othcst</v>
      </c>
      <c r="K2667" s="471" t="str">
        <f t="shared" si="398"/>
        <v>cen-oth</v>
      </c>
      <c r="L2667" s="599"/>
      <c r="M2667" s="471" t="s">
        <v>6620</v>
      </c>
      <c r="N2667" s="471" t="s">
        <v>1502</v>
      </c>
      <c r="O2667" s="471" t="s">
        <v>1496</v>
      </c>
    </row>
    <row r="2668" spans="1:15" x14ac:dyDescent="0.25">
      <c r="A2668" s="471" t="s">
        <v>6790</v>
      </c>
      <c r="B2668" s="1139">
        <f t="shared" ca="1" si="392"/>
        <v>0</v>
      </c>
      <c r="C2668" s="473">
        <f ca="1">IF(ISERROR(VLOOKUP($A$2498,INDIRECT("notes_"&amp;LEFT($A$2498,3)),4,0)),0,VLOOKUP($A$2498,INDIRECT("notes_"&amp;LEFT($A$2498,3)),4,0))</f>
        <v>0</v>
      </c>
      <c r="H2668" s="471">
        <v>2</v>
      </c>
      <c r="I2668" s="471">
        <v>0</v>
      </c>
      <c r="J2668" s="471" t="str">
        <f t="shared" si="397"/>
        <v>tot</v>
      </c>
      <c r="K2668" s="471" t="str">
        <f t="shared" si="398"/>
        <v>cen-oth</v>
      </c>
      <c r="L2668" s="599"/>
      <c r="M2668" s="471" t="s">
        <v>6620</v>
      </c>
      <c r="N2668" s="471" t="s">
        <v>1502</v>
      </c>
      <c r="O2668" s="471" t="s">
        <v>1496</v>
      </c>
    </row>
    <row r="2669" spans="1:15" x14ac:dyDescent="0.25">
      <c r="A2669" s="471" t="s">
        <v>6791</v>
      </c>
      <c r="B2669" s="1139">
        <f t="shared" ca="1" si="392"/>
        <v>0</v>
      </c>
      <c r="C2669" s="478"/>
      <c r="G2669" s="478">
        <f>Levy!$B37</f>
        <v>0</v>
      </c>
      <c r="H2669" s="471">
        <v>3</v>
      </c>
      <c r="I2669" s="471">
        <v>0</v>
      </c>
      <c r="J2669" s="471" t="str">
        <f t="shared" ref="J2669" si="399">MID($A2669,SEARCH("-",$A2669)+1,SEARCH("#",SUBSTITUTE($A2669,"-","#",H2669),1)-(SEARCH("-",$A2669)+1))</f>
        <v>levyinc1-n levyinc1</v>
      </c>
      <c r="K2669" s="471" t="str">
        <f t="shared" ref="K2669" si="400">RIGHT($A2669,LEN($A2669)-SEARCH("#",SUBSTITUTE($A2669,"-","#",H2669),1))</f>
        <v>inc</v>
      </c>
      <c r="L2669" s="699"/>
      <c r="M2669" s="925" t="s">
        <v>6508</v>
      </c>
      <c r="N2669" s="925" t="s">
        <v>1380</v>
      </c>
      <c r="O2669" s="925" t="s">
        <v>1376</v>
      </c>
    </row>
    <row r="2670" spans="1:15" x14ac:dyDescent="0.25">
      <c r="A2670" s="471" t="s">
        <v>6792</v>
      </c>
      <c r="B2670" s="1139">
        <f t="shared" ca="1" si="392"/>
        <v>0</v>
      </c>
      <c r="C2670" s="478"/>
      <c r="G2670" s="478">
        <f>Levy!$B38</f>
        <v>0</v>
      </c>
      <c r="H2670" s="471">
        <v>3</v>
      </c>
      <c r="I2670" s="471">
        <v>0</v>
      </c>
      <c r="J2670" s="471" t="str">
        <f t="shared" ref="J2670:J2684" si="401">MID($A2670,SEARCH("-",$A2670)+1,SEARCH("#",SUBSTITUTE($A2670,"-","#",H2670),1)-(SEARCH("-",$A2670)+1))</f>
        <v>levyinc2-n levyinc2</v>
      </c>
      <c r="K2670" s="471" t="str">
        <f t="shared" ref="K2670:K2684" si="402">RIGHT($A2670,LEN($A2670)-SEARCH("#",SUBSTITUTE($A2670,"-","#",H2670),1))</f>
        <v>inc</v>
      </c>
      <c r="L2670" s="699"/>
      <c r="M2670" s="925" t="s">
        <v>6508</v>
      </c>
      <c r="N2670" s="925" t="s">
        <v>1380</v>
      </c>
      <c r="O2670" s="925" t="s">
        <v>1376</v>
      </c>
    </row>
    <row r="2671" spans="1:15" x14ac:dyDescent="0.25">
      <c r="A2671" s="471" t="s">
        <v>6793</v>
      </c>
      <c r="B2671" s="1139">
        <f t="shared" ca="1" si="392"/>
        <v>0</v>
      </c>
      <c r="C2671" s="478"/>
      <c r="G2671" s="478">
        <f>Levy!$B39</f>
        <v>0</v>
      </c>
      <c r="H2671" s="471">
        <v>3</v>
      </c>
      <c r="I2671" s="471">
        <v>0</v>
      </c>
      <c r="J2671" s="471" t="str">
        <f t="shared" si="401"/>
        <v>levyinc3-n levyinc3</v>
      </c>
      <c r="K2671" s="471" t="str">
        <f t="shared" si="402"/>
        <v>inc</v>
      </c>
      <c r="L2671" s="699"/>
      <c r="M2671" s="925" t="s">
        <v>6508</v>
      </c>
      <c r="N2671" s="925" t="s">
        <v>1380</v>
      </c>
      <c r="O2671" s="925" t="s">
        <v>1376</v>
      </c>
    </row>
    <row r="2672" spans="1:15" x14ac:dyDescent="0.25">
      <c r="A2672" s="471" t="s">
        <v>6794</v>
      </c>
      <c r="B2672" s="1139">
        <f t="shared" ca="1" si="392"/>
        <v>0</v>
      </c>
      <c r="C2672" s="478"/>
      <c r="G2672" s="478">
        <f>Levy!$B40</f>
        <v>0</v>
      </c>
      <c r="H2672" s="471">
        <v>3</v>
      </c>
      <c r="I2672" s="471">
        <v>0</v>
      </c>
      <c r="J2672" s="471" t="str">
        <f t="shared" si="401"/>
        <v>levyinc4-n levyinc4</v>
      </c>
      <c r="K2672" s="471" t="str">
        <f t="shared" si="402"/>
        <v>inc</v>
      </c>
      <c r="L2672" s="699"/>
      <c r="M2672" s="925" t="s">
        <v>6508</v>
      </c>
      <c r="N2672" s="925" t="s">
        <v>1380</v>
      </c>
      <c r="O2672" s="925" t="s">
        <v>1376</v>
      </c>
    </row>
    <row r="2673" spans="1:15" x14ac:dyDescent="0.25">
      <c r="A2673" s="471" t="s">
        <v>6795</v>
      </c>
      <c r="B2673" s="1139">
        <f t="shared" ca="1" si="392"/>
        <v>0</v>
      </c>
      <c r="C2673" s="478"/>
      <c r="G2673" s="478">
        <f>Levy!$B41</f>
        <v>0</v>
      </c>
      <c r="H2673" s="471">
        <v>3</v>
      </c>
      <c r="I2673" s="471">
        <v>0</v>
      </c>
      <c r="J2673" s="471" t="str">
        <f t="shared" si="401"/>
        <v>levyinc5-n levyinc5</v>
      </c>
      <c r="K2673" s="471" t="str">
        <f t="shared" si="402"/>
        <v>inc</v>
      </c>
      <c r="L2673" s="699"/>
      <c r="M2673" s="925" t="s">
        <v>6508</v>
      </c>
      <c r="N2673" s="925" t="s">
        <v>1380</v>
      </c>
      <c r="O2673" s="925" t="s">
        <v>1376</v>
      </c>
    </row>
    <row r="2674" spans="1:15" x14ac:dyDescent="0.25">
      <c r="A2674" s="471" t="s">
        <v>6796</v>
      </c>
      <c r="B2674" s="1139">
        <f t="shared" ref="B2674:B2699" ca="1" si="403">INDEX(INDIRECT(LEFT($A2674,SEARCH("-",$A2674,1)-1)&amp;"_data"),MATCH(MID($A2674,SEARCH("-",$A2674)+1,SEARCH("#",SUBSTITUTE($A2674,"-","#",H2674),1)-(SEARCH("-",$A2674)+1)),INDIRECT(LEFT($A2674,SEARCH("-",$A2674,1)-1)&amp;"_rows"),0),MATCH(RIGHT($A2674,LEN($A2674)-SEARCH("#",SUBSTITUTE($A2674,"-","#",H2674),1)),INDIRECT(LEFT($A2674,SEARCH("-",$A2674,1)-1)&amp;"_Header"),0))</f>
        <v>0</v>
      </c>
      <c r="C2674" s="478"/>
      <c r="G2674" s="478">
        <f>Levy!$B42</f>
        <v>0</v>
      </c>
      <c r="H2674" s="471">
        <v>3</v>
      </c>
      <c r="I2674" s="471">
        <v>0</v>
      </c>
      <c r="J2674" s="471" t="str">
        <f t="shared" si="401"/>
        <v>levyinc6-n levyinc6</v>
      </c>
      <c r="K2674" s="471" t="str">
        <f t="shared" si="402"/>
        <v>inc</v>
      </c>
      <c r="L2674" s="699"/>
      <c r="M2674" s="925" t="s">
        <v>6508</v>
      </c>
      <c r="N2674" s="925" t="s">
        <v>1380</v>
      </c>
      <c r="O2674" s="925" t="s">
        <v>1376</v>
      </c>
    </row>
    <row r="2675" spans="1:15" x14ac:dyDescent="0.25">
      <c r="A2675" s="471" t="s">
        <v>6797</v>
      </c>
      <c r="B2675" s="1139">
        <f t="shared" ca="1" si="403"/>
        <v>0</v>
      </c>
      <c r="C2675" s="478"/>
      <c r="G2675" s="478">
        <f>Levy!$B43</f>
        <v>0</v>
      </c>
      <c r="H2675" s="471">
        <v>3</v>
      </c>
      <c r="I2675" s="471">
        <v>0</v>
      </c>
      <c r="J2675" s="471" t="str">
        <f t="shared" si="401"/>
        <v>levyinc7-n levyinc7</v>
      </c>
      <c r="K2675" s="471" t="str">
        <f t="shared" si="402"/>
        <v>inc</v>
      </c>
      <c r="L2675" s="699"/>
      <c r="M2675" s="925" t="s">
        <v>6508</v>
      </c>
      <c r="N2675" s="925" t="s">
        <v>1380</v>
      </c>
      <c r="O2675" s="925" t="s">
        <v>1376</v>
      </c>
    </row>
    <row r="2676" spans="1:15" x14ac:dyDescent="0.25">
      <c r="A2676" s="471" t="s">
        <v>6798</v>
      </c>
      <c r="B2676" s="1139">
        <f t="shared" ca="1" si="403"/>
        <v>0</v>
      </c>
      <c r="C2676" s="478"/>
      <c r="G2676" s="478">
        <f>Levy!$B44</f>
        <v>0</v>
      </c>
      <c r="H2676" s="471">
        <v>3</v>
      </c>
      <c r="I2676" s="471">
        <v>0</v>
      </c>
      <c r="J2676" s="471" t="str">
        <f t="shared" si="401"/>
        <v>levyinc8-n levyinc8</v>
      </c>
      <c r="K2676" s="471" t="str">
        <f t="shared" si="402"/>
        <v>inc</v>
      </c>
      <c r="L2676" s="699"/>
      <c r="M2676" s="925" t="s">
        <v>6508</v>
      </c>
      <c r="N2676" s="925" t="s">
        <v>1380</v>
      </c>
      <c r="O2676" s="925" t="s">
        <v>1376</v>
      </c>
    </row>
    <row r="2677" spans="1:15" x14ac:dyDescent="0.25">
      <c r="A2677" s="471" t="s">
        <v>6799</v>
      </c>
      <c r="B2677" s="1139">
        <f t="shared" ca="1" si="403"/>
        <v>0</v>
      </c>
      <c r="C2677" s="478"/>
      <c r="G2677" s="478">
        <f>Levy!$B45</f>
        <v>0</v>
      </c>
      <c r="H2677" s="471">
        <v>3</v>
      </c>
      <c r="I2677" s="471">
        <v>0</v>
      </c>
      <c r="J2677" s="471" t="str">
        <f t="shared" si="401"/>
        <v>levyinc9-n levyinc9</v>
      </c>
      <c r="K2677" s="471" t="str">
        <f t="shared" si="402"/>
        <v>inc</v>
      </c>
      <c r="L2677" s="699"/>
      <c r="M2677" s="925" t="s">
        <v>6508</v>
      </c>
      <c r="N2677" s="925" t="s">
        <v>1380</v>
      </c>
      <c r="O2677" s="925" t="s">
        <v>1376</v>
      </c>
    </row>
    <row r="2678" spans="1:15" x14ac:dyDescent="0.25">
      <c r="A2678" s="471" t="s">
        <v>6800</v>
      </c>
      <c r="B2678" s="1139">
        <f t="shared" ca="1" si="403"/>
        <v>0</v>
      </c>
      <c r="C2678" s="478"/>
      <c r="G2678" s="478">
        <f>Levy!$B46</f>
        <v>0</v>
      </c>
      <c r="H2678" s="471">
        <v>3</v>
      </c>
      <c r="I2678" s="471">
        <v>0</v>
      </c>
      <c r="J2678" s="471" t="str">
        <f t="shared" si="401"/>
        <v>levyinc10-n levyinc10</v>
      </c>
      <c r="K2678" s="471" t="str">
        <f t="shared" si="402"/>
        <v>inc</v>
      </c>
      <c r="L2678" s="699"/>
      <c r="M2678" s="925" t="s">
        <v>6508</v>
      </c>
      <c r="N2678" s="925" t="s">
        <v>1380</v>
      </c>
      <c r="O2678" s="925" t="s">
        <v>1376</v>
      </c>
    </row>
    <row r="2679" spans="1:15" x14ac:dyDescent="0.25">
      <c r="A2679" s="471" t="s">
        <v>6801</v>
      </c>
      <c r="B2679" s="1139">
        <f t="shared" ca="1" si="403"/>
        <v>0</v>
      </c>
      <c r="C2679" s="478"/>
      <c r="G2679" s="478">
        <f>Levy!$B47</f>
        <v>0</v>
      </c>
      <c r="H2679" s="471">
        <v>3</v>
      </c>
      <c r="I2679" s="471">
        <v>0</v>
      </c>
      <c r="J2679" s="471" t="str">
        <f t="shared" si="401"/>
        <v>levyinc11-n levyinc11</v>
      </c>
      <c r="K2679" s="471" t="str">
        <f t="shared" si="402"/>
        <v>inc</v>
      </c>
      <c r="L2679" s="699"/>
      <c r="M2679" s="925" t="s">
        <v>6508</v>
      </c>
      <c r="N2679" s="925" t="s">
        <v>1380</v>
      </c>
      <c r="O2679" s="925" t="s">
        <v>1376</v>
      </c>
    </row>
    <row r="2680" spans="1:15" x14ac:dyDescent="0.25">
      <c r="A2680" s="471" t="s">
        <v>6802</v>
      </c>
      <c r="B2680" s="1139">
        <f t="shared" ca="1" si="403"/>
        <v>0</v>
      </c>
      <c r="C2680" s="478"/>
      <c r="G2680" s="478">
        <f>Levy!$B48</f>
        <v>0</v>
      </c>
      <c r="H2680" s="471">
        <v>3</v>
      </c>
      <c r="I2680" s="471">
        <v>0</v>
      </c>
      <c r="J2680" s="471" t="str">
        <f t="shared" si="401"/>
        <v>levyinc12-n levyinc12</v>
      </c>
      <c r="K2680" s="471" t="str">
        <f t="shared" si="402"/>
        <v>inc</v>
      </c>
      <c r="L2680" s="699"/>
      <c r="M2680" s="925" t="s">
        <v>6508</v>
      </c>
      <c r="N2680" s="925" t="s">
        <v>1380</v>
      </c>
      <c r="O2680" s="925" t="s">
        <v>1376</v>
      </c>
    </row>
    <row r="2681" spans="1:15" x14ac:dyDescent="0.25">
      <c r="A2681" s="471" t="s">
        <v>6803</v>
      </c>
      <c r="B2681" s="1139">
        <f t="shared" ca="1" si="403"/>
        <v>0</v>
      </c>
      <c r="C2681" s="478"/>
      <c r="G2681" s="478">
        <f>Levy!$B49</f>
        <v>0</v>
      </c>
      <c r="H2681" s="471">
        <v>3</v>
      </c>
      <c r="I2681" s="471">
        <v>0</v>
      </c>
      <c r="J2681" s="471" t="str">
        <f t="shared" si="401"/>
        <v>levyinc13-n levyinc13</v>
      </c>
      <c r="K2681" s="471" t="str">
        <f t="shared" si="402"/>
        <v>inc</v>
      </c>
      <c r="L2681" s="699"/>
      <c r="M2681" s="925" t="s">
        <v>6508</v>
      </c>
      <c r="N2681" s="925" t="s">
        <v>1380</v>
      </c>
      <c r="O2681" s="925" t="s">
        <v>1376</v>
      </c>
    </row>
    <row r="2682" spans="1:15" x14ac:dyDescent="0.25">
      <c r="A2682" s="471" t="s">
        <v>6804</v>
      </c>
      <c r="B2682" s="1139">
        <f t="shared" ca="1" si="403"/>
        <v>0</v>
      </c>
      <c r="C2682" s="478"/>
      <c r="G2682" s="478">
        <f>Levy!$B50</f>
        <v>0</v>
      </c>
      <c r="H2682" s="471">
        <v>3</v>
      </c>
      <c r="I2682" s="471">
        <v>0</v>
      </c>
      <c r="J2682" s="471" t="str">
        <f t="shared" si="401"/>
        <v>levyinc14-n levyinc14</v>
      </c>
      <c r="K2682" s="471" t="str">
        <f t="shared" si="402"/>
        <v>inc</v>
      </c>
      <c r="L2682" s="699"/>
      <c r="M2682" s="925" t="s">
        <v>6508</v>
      </c>
      <c r="N2682" s="925" t="s">
        <v>1380</v>
      </c>
      <c r="O2682" s="925" t="s">
        <v>1376</v>
      </c>
    </row>
    <row r="2683" spans="1:15" x14ac:dyDescent="0.25">
      <c r="A2683" s="471" t="s">
        <v>6805</v>
      </c>
      <c r="B2683" s="1139">
        <f t="shared" ca="1" si="403"/>
        <v>0</v>
      </c>
      <c r="C2683" s="478"/>
      <c r="G2683" s="478">
        <f>Levy!$B51</f>
        <v>0</v>
      </c>
      <c r="H2683" s="471">
        <v>3</v>
      </c>
      <c r="I2683" s="471">
        <v>0</v>
      </c>
      <c r="J2683" s="471" t="str">
        <f t="shared" si="401"/>
        <v>levyinc15-n levyinc15</v>
      </c>
      <c r="K2683" s="471" t="str">
        <f t="shared" si="402"/>
        <v>inc</v>
      </c>
      <c r="L2683" s="699"/>
      <c r="M2683" s="925" t="s">
        <v>6508</v>
      </c>
      <c r="N2683" s="925" t="s">
        <v>1380</v>
      </c>
      <c r="O2683" s="925" t="s">
        <v>1376</v>
      </c>
    </row>
    <row r="2684" spans="1:15" x14ac:dyDescent="0.25">
      <c r="A2684" s="701" t="s">
        <v>6806</v>
      </c>
      <c r="B2684" s="1141">
        <f>IF(Levy!$C52="","",Levy!$C52)</f>
        <v>0</v>
      </c>
      <c r="C2684" s="703"/>
      <c r="D2684" s="701"/>
      <c r="E2684" s="701"/>
      <c r="F2684" s="701"/>
      <c r="G2684" s="703"/>
      <c r="H2684" s="703">
        <v>2</v>
      </c>
      <c r="I2684" s="703">
        <v>0</v>
      </c>
      <c r="J2684" s="701" t="str">
        <f t="shared" si="401"/>
        <v>levyinc</v>
      </c>
      <c r="K2684" s="701" t="str">
        <f t="shared" si="402"/>
        <v>tot</v>
      </c>
      <c r="L2684" s="1114" t="s">
        <v>6807</v>
      </c>
      <c r="M2684" s="925"/>
      <c r="N2684" s="925"/>
      <c r="O2684" s="925"/>
    </row>
    <row r="2685" spans="1:15" x14ac:dyDescent="0.25">
      <c r="A2685" s="471" t="s">
        <v>6808</v>
      </c>
      <c r="B2685" s="1139">
        <f t="shared" ca="1" si="403"/>
        <v>0</v>
      </c>
      <c r="C2685" s="478"/>
      <c r="G2685" s="478">
        <f>Levy!$B11</f>
        <v>0</v>
      </c>
      <c r="H2685" s="478" t="s">
        <v>6809</v>
      </c>
      <c r="I2685" s="478" t="s">
        <v>6810</v>
      </c>
      <c r="J2685" s="471" t="str">
        <f t="shared" ref="J2685" si="404">MID($A2685,SEARCH("-",$A2685)+1,SEARCH("#",SUBSTITUTE($A2685,"-","#",H2685),1)-(SEARCH("-",$A2685)+1))</f>
        <v>levyinc1-n levyinc1</v>
      </c>
      <c r="K2685" s="471" t="str">
        <f t="shared" ref="K2685" si="405">RIGHT($A2685,LEN($A2685)-SEARCH("#",SUBSTITUTE($A2685,"-","#",H2685),1))</f>
        <v>inc</v>
      </c>
      <c r="L2685" s="699"/>
      <c r="M2685" s="925" t="s">
        <v>6508</v>
      </c>
      <c r="N2685" s="925" t="s">
        <v>1380</v>
      </c>
      <c r="O2685" s="925" t="s">
        <v>1376</v>
      </c>
    </row>
    <row r="2686" spans="1:15" x14ac:dyDescent="0.25">
      <c r="A2686" s="471" t="s">
        <v>6811</v>
      </c>
      <c r="B2686" s="1139">
        <f t="shared" ca="1" si="403"/>
        <v>0</v>
      </c>
      <c r="C2686" s="478"/>
      <c r="G2686" s="478">
        <f>Levy!$B12</f>
        <v>0</v>
      </c>
      <c r="H2686" s="478" t="s">
        <v>6809</v>
      </c>
      <c r="I2686" s="478" t="s">
        <v>6810</v>
      </c>
      <c r="J2686" s="471" t="str">
        <f t="shared" ref="J2686:J2699" si="406">MID($A2686,SEARCH("-",$A2686)+1,SEARCH("#",SUBSTITUTE($A2686,"-","#",H2686),1)-(SEARCH("-",$A2686)+1))</f>
        <v>levyinc2-n levyinc2</v>
      </c>
      <c r="K2686" s="471" t="str">
        <f t="shared" ref="K2686:K2699" si="407">RIGHT($A2686,LEN($A2686)-SEARCH("#",SUBSTITUTE($A2686,"-","#",H2686),1))</f>
        <v>inc</v>
      </c>
      <c r="L2686" s="699"/>
      <c r="M2686" s="925" t="s">
        <v>6508</v>
      </c>
      <c r="N2686" s="925" t="s">
        <v>1380</v>
      </c>
      <c r="O2686" s="925" t="s">
        <v>1376</v>
      </c>
    </row>
    <row r="2687" spans="1:15" x14ac:dyDescent="0.25">
      <c r="A2687" s="471" t="s">
        <v>6812</v>
      </c>
      <c r="B2687" s="1139">
        <f t="shared" ca="1" si="403"/>
        <v>0</v>
      </c>
      <c r="C2687" s="478"/>
      <c r="G2687" s="478">
        <f>Levy!$B13</f>
        <v>0</v>
      </c>
      <c r="H2687" s="478" t="s">
        <v>6809</v>
      </c>
      <c r="I2687" s="478" t="s">
        <v>6810</v>
      </c>
      <c r="J2687" s="471" t="str">
        <f t="shared" si="406"/>
        <v>levyinc3-n levyinc3</v>
      </c>
      <c r="K2687" s="471" t="str">
        <f t="shared" si="407"/>
        <v>inc</v>
      </c>
      <c r="L2687" s="699"/>
      <c r="M2687" s="925" t="s">
        <v>6508</v>
      </c>
      <c r="N2687" s="925" t="s">
        <v>1380</v>
      </c>
      <c r="O2687" s="925" t="s">
        <v>1376</v>
      </c>
    </row>
    <row r="2688" spans="1:15" x14ac:dyDescent="0.25">
      <c r="A2688" s="471" t="s">
        <v>6813</v>
      </c>
      <c r="B2688" s="1139">
        <f t="shared" ca="1" si="403"/>
        <v>0</v>
      </c>
      <c r="C2688" s="478"/>
      <c r="G2688" s="478">
        <f>Levy!$B14</f>
        <v>0</v>
      </c>
      <c r="H2688" s="478" t="s">
        <v>6809</v>
      </c>
      <c r="I2688" s="478" t="s">
        <v>6810</v>
      </c>
      <c r="J2688" s="471" t="str">
        <f t="shared" si="406"/>
        <v>levyinc4-n levyinc4</v>
      </c>
      <c r="K2688" s="471" t="str">
        <f t="shared" si="407"/>
        <v>inc</v>
      </c>
      <c r="L2688" s="699"/>
      <c r="M2688" s="925" t="s">
        <v>6508</v>
      </c>
      <c r="N2688" s="925" t="s">
        <v>1380</v>
      </c>
      <c r="O2688" s="925" t="s">
        <v>1376</v>
      </c>
    </row>
    <row r="2689" spans="1:15" x14ac:dyDescent="0.25">
      <c r="A2689" s="471" t="s">
        <v>6814</v>
      </c>
      <c r="B2689" s="1139">
        <f t="shared" ca="1" si="403"/>
        <v>0</v>
      </c>
      <c r="C2689" s="478"/>
      <c r="G2689" s="478">
        <f>Levy!$B15</f>
        <v>0</v>
      </c>
      <c r="H2689" s="478" t="s">
        <v>6809</v>
      </c>
      <c r="I2689" s="478" t="s">
        <v>6810</v>
      </c>
      <c r="J2689" s="471" t="str">
        <f t="shared" si="406"/>
        <v>levyinc5-n levyinc5</v>
      </c>
      <c r="K2689" s="471" t="str">
        <f t="shared" si="407"/>
        <v>inc</v>
      </c>
      <c r="L2689" s="699"/>
      <c r="M2689" s="925" t="s">
        <v>6508</v>
      </c>
      <c r="N2689" s="925" t="s">
        <v>1380</v>
      </c>
      <c r="O2689" s="925" t="s">
        <v>1376</v>
      </c>
    </row>
    <row r="2690" spans="1:15" x14ac:dyDescent="0.25">
      <c r="A2690" s="471" t="s">
        <v>6815</v>
      </c>
      <c r="B2690" s="1139">
        <f t="shared" ca="1" si="403"/>
        <v>0</v>
      </c>
      <c r="C2690" s="478"/>
      <c r="G2690" s="478">
        <f>Levy!$B16</f>
        <v>0</v>
      </c>
      <c r="H2690" s="478" t="s">
        <v>6809</v>
      </c>
      <c r="I2690" s="478" t="s">
        <v>6810</v>
      </c>
      <c r="J2690" s="471" t="str">
        <f t="shared" si="406"/>
        <v>levyinc6-n levyinc6</v>
      </c>
      <c r="K2690" s="471" t="str">
        <f t="shared" si="407"/>
        <v>inc</v>
      </c>
      <c r="L2690" s="699"/>
      <c r="M2690" s="925" t="s">
        <v>6508</v>
      </c>
      <c r="N2690" s="925" t="s">
        <v>1380</v>
      </c>
      <c r="O2690" s="925" t="s">
        <v>1376</v>
      </c>
    </row>
    <row r="2691" spans="1:15" x14ac:dyDescent="0.25">
      <c r="A2691" s="471" t="s">
        <v>6816</v>
      </c>
      <c r="B2691" s="1139">
        <f t="shared" ca="1" si="403"/>
        <v>0</v>
      </c>
      <c r="C2691" s="478"/>
      <c r="G2691" s="478">
        <f>Levy!$B17</f>
        <v>0</v>
      </c>
      <c r="H2691" s="478" t="s">
        <v>6809</v>
      </c>
      <c r="I2691" s="478" t="s">
        <v>6810</v>
      </c>
      <c r="J2691" s="471" t="str">
        <f t="shared" si="406"/>
        <v>levyinc7-n levyinc7</v>
      </c>
      <c r="K2691" s="471" t="str">
        <f t="shared" si="407"/>
        <v>inc</v>
      </c>
      <c r="L2691" s="699"/>
      <c r="M2691" s="925" t="s">
        <v>6508</v>
      </c>
      <c r="N2691" s="925" t="s">
        <v>1380</v>
      </c>
      <c r="O2691" s="925" t="s">
        <v>1376</v>
      </c>
    </row>
    <row r="2692" spans="1:15" x14ac:dyDescent="0.25">
      <c r="A2692" s="471" t="s">
        <v>6817</v>
      </c>
      <c r="B2692" s="1139">
        <f t="shared" ca="1" si="403"/>
        <v>0</v>
      </c>
      <c r="C2692" s="478"/>
      <c r="G2692" s="478">
        <f>Levy!$B18</f>
        <v>0</v>
      </c>
      <c r="H2692" s="478" t="s">
        <v>6809</v>
      </c>
      <c r="I2692" s="478" t="s">
        <v>6810</v>
      </c>
      <c r="J2692" s="471" t="str">
        <f t="shared" si="406"/>
        <v>levyinc8-n levyinc8</v>
      </c>
      <c r="K2692" s="471" t="str">
        <f t="shared" si="407"/>
        <v>inc</v>
      </c>
      <c r="L2692" s="699"/>
      <c r="M2692" s="925" t="s">
        <v>6508</v>
      </c>
      <c r="N2692" s="925" t="s">
        <v>1380</v>
      </c>
      <c r="O2692" s="925" t="s">
        <v>1376</v>
      </c>
    </row>
    <row r="2693" spans="1:15" x14ac:dyDescent="0.25">
      <c r="A2693" s="471" t="s">
        <v>6818</v>
      </c>
      <c r="B2693" s="1139">
        <f t="shared" ca="1" si="403"/>
        <v>0</v>
      </c>
      <c r="C2693" s="478"/>
      <c r="G2693" s="478">
        <f>Levy!$B19</f>
        <v>0</v>
      </c>
      <c r="H2693" s="478" t="s">
        <v>6809</v>
      </c>
      <c r="I2693" s="478" t="s">
        <v>6810</v>
      </c>
      <c r="J2693" s="471" t="str">
        <f t="shared" si="406"/>
        <v>levyinc9-n levyinc9</v>
      </c>
      <c r="K2693" s="471" t="str">
        <f t="shared" si="407"/>
        <v>inc</v>
      </c>
      <c r="L2693" s="699"/>
      <c r="M2693" s="925" t="s">
        <v>6508</v>
      </c>
      <c r="N2693" s="925" t="s">
        <v>1380</v>
      </c>
      <c r="O2693" s="925" t="s">
        <v>1376</v>
      </c>
    </row>
    <row r="2694" spans="1:15" x14ac:dyDescent="0.25">
      <c r="A2694" s="471" t="s">
        <v>6819</v>
      </c>
      <c r="B2694" s="1139">
        <f t="shared" ca="1" si="403"/>
        <v>0</v>
      </c>
      <c r="C2694" s="478"/>
      <c r="G2694" s="478">
        <f>Levy!$B20</f>
        <v>0</v>
      </c>
      <c r="H2694" s="478" t="s">
        <v>6809</v>
      </c>
      <c r="I2694" s="478" t="s">
        <v>6810</v>
      </c>
      <c r="J2694" s="471" t="str">
        <f t="shared" si="406"/>
        <v>levyinc10-n levyinc10</v>
      </c>
      <c r="K2694" s="471" t="str">
        <f t="shared" si="407"/>
        <v>inc</v>
      </c>
      <c r="L2694" s="699"/>
      <c r="M2694" s="925" t="s">
        <v>6508</v>
      </c>
      <c r="N2694" s="925" t="s">
        <v>1380</v>
      </c>
      <c r="O2694" s="925" t="s">
        <v>1376</v>
      </c>
    </row>
    <row r="2695" spans="1:15" x14ac:dyDescent="0.25">
      <c r="A2695" s="471" t="s">
        <v>6820</v>
      </c>
      <c r="B2695" s="1139">
        <f t="shared" ca="1" si="403"/>
        <v>0</v>
      </c>
      <c r="C2695" s="478"/>
      <c r="G2695" s="478">
        <f>Levy!$B21</f>
        <v>0</v>
      </c>
      <c r="H2695" s="478" t="s">
        <v>6809</v>
      </c>
      <c r="I2695" s="478" t="s">
        <v>6810</v>
      </c>
      <c r="J2695" s="471" t="str">
        <f t="shared" si="406"/>
        <v>levyinc11-n levyinc11</v>
      </c>
      <c r="K2695" s="471" t="str">
        <f t="shared" si="407"/>
        <v>inc</v>
      </c>
      <c r="L2695" s="699"/>
      <c r="M2695" s="925" t="s">
        <v>6508</v>
      </c>
      <c r="N2695" s="925" t="s">
        <v>1380</v>
      </c>
      <c r="O2695" s="925" t="s">
        <v>1376</v>
      </c>
    </row>
    <row r="2696" spans="1:15" x14ac:dyDescent="0.25">
      <c r="A2696" s="471" t="s">
        <v>6821</v>
      </c>
      <c r="B2696" s="1139">
        <f t="shared" ca="1" si="403"/>
        <v>0</v>
      </c>
      <c r="C2696" s="478"/>
      <c r="G2696" s="478">
        <f>Levy!$B22</f>
        <v>0</v>
      </c>
      <c r="H2696" s="478" t="s">
        <v>6809</v>
      </c>
      <c r="I2696" s="478" t="s">
        <v>6810</v>
      </c>
      <c r="J2696" s="471" t="str">
        <f t="shared" si="406"/>
        <v>levyinc12-n levyinc12</v>
      </c>
      <c r="K2696" s="471" t="str">
        <f t="shared" si="407"/>
        <v>inc</v>
      </c>
      <c r="L2696" s="699"/>
      <c r="M2696" s="925" t="s">
        <v>6508</v>
      </c>
      <c r="N2696" s="925" t="s">
        <v>1380</v>
      </c>
      <c r="O2696" s="925" t="s">
        <v>1376</v>
      </c>
    </row>
    <row r="2697" spans="1:15" x14ac:dyDescent="0.25">
      <c r="A2697" s="471" t="s">
        <v>6822</v>
      </c>
      <c r="B2697" s="1139">
        <f t="shared" ca="1" si="403"/>
        <v>0</v>
      </c>
      <c r="C2697" s="478"/>
      <c r="G2697" s="478">
        <f>Levy!$B23</f>
        <v>0</v>
      </c>
      <c r="H2697" s="478" t="s">
        <v>6809</v>
      </c>
      <c r="I2697" s="478" t="s">
        <v>6810</v>
      </c>
      <c r="J2697" s="471" t="str">
        <f t="shared" si="406"/>
        <v>levyinc13-n levyinc13</v>
      </c>
      <c r="K2697" s="471" t="str">
        <f t="shared" si="407"/>
        <v>inc</v>
      </c>
      <c r="L2697" s="699"/>
      <c r="M2697" s="925" t="s">
        <v>6508</v>
      </c>
      <c r="N2697" s="925" t="s">
        <v>1380</v>
      </c>
      <c r="O2697" s="925" t="s">
        <v>1376</v>
      </c>
    </row>
    <row r="2698" spans="1:15" x14ac:dyDescent="0.25">
      <c r="A2698" s="471" t="s">
        <v>6823</v>
      </c>
      <c r="B2698" s="1139">
        <f t="shared" ca="1" si="403"/>
        <v>0</v>
      </c>
      <c r="C2698" s="478"/>
      <c r="G2698" s="478">
        <f>Levy!$B24</f>
        <v>0</v>
      </c>
      <c r="H2698" s="478" t="s">
        <v>6809</v>
      </c>
      <c r="I2698" s="478" t="s">
        <v>6810</v>
      </c>
      <c r="J2698" s="471" t="str">
        <f t="shared" si="406"/>
        <v>levyinc14-n levyinc14</v>
      </c>
      <c r="K2698" s="471" t="str">
        <f t="shared" si="407"/>
        <v>inc</v>
      </c>
      <c r="L2698" s="699"/>
      <c r="M2698" s="925" t="s">
        <v>6508</v>
      </c>
      <c r="N2698" s="925" t="s">
        <v>1380</v>
      </c>
      <c r="O2698" s="925" t="s">
        <v>1376</v>
      </c>
    </row>
    <row r="2699" spans="1:15" x14ac:dyDescent="0.25">
      <c r="A2699" s="471" t="s">
        <v>6824</v>
      </c>
      <c r="B2699" s="1139">
        <f t="shared" ca="1" si="403"/>
        <v>0</v>
      </c>
      <c r="C2699" s="478"/>
      <c r="G2699" s="478">
        <f>Levy!$B25</f>
        <v>0</v>
      </c>
      <c r="H2699" s="478" t="s">
        <v>6809</v>
      </c>
      <c r="I2699" s="478" t="s">
        <v>6810</v>
      </c>
      <c r="J2699" s="471" t="str">
        <f t="shared" si="406"/>
        <v>levyinc15-n levyinc15</v>
      </c>
      <c r="K2699" s="471" t="str">
        <f t="shared" si="407"/>
        <v>inc</v>
      </c>
      <c r="L2699" s="699"/>
      <c r="M2699" s="925" t="s">
        <v>6508</v>
      </c>
      <c r="N2699" s="925" t="s">
        <v>1380</v>
      </c>
      <c r="O2699" s="925" t="s">
        <v>1376</v>
      </c>
    </row>
    <row r="2700" spans="1:15" x14ac:dyDescent="0.25">
      <c r="A2700" s="701" t="s">
        <v>6825</v>
      </c>
      <c r="B2700" s="1141">
        <f>IF(Levy!$C26="","",Levy!$C26)</f>
        <v>0</v>
      </c>
      <c r="C2700" s="703"/>
      <c r="D2700" s="701"/>
      <c r="E2700" s="701"/>
      <c r="F2700" s="701"/>
      <c r="G2700" s="703"/>
      <c r="H2700" s="703" t="s">
        <v>6826</v>
      </c>
      <c r="I2700" s="703" t="s">
        <v>6810</v>
      </c>
      <c r="J2700" s="701" t="str">
        <f t="shared" ref="J2700" si="408">MID($A2700,SEARCH("-",$A2700)+1,SEARCH("#",SUBSTITUTE($A2700,"-","#",H2700),1)-(SEARCH("-",$A2700)+1))</f>
        <v>levyinc</v>
      </c>
      <c r="K2700" s="701" t="str">
        <f t="shared" ref="K2700" si="409">RIGHT($A2700,LEN($A2700)-SEARCH("#",SUBSTITUTE($A2700,"-","#",H2700),1))</f>
        <v>tot</v>
      </c>
      <c r="L2700" s="1114" t="s">
        <v>6807</v>
      </c>
      <c r="M2700" s="925"/>
      <c r="N2700" s="925"/>
      <c r="O2700" s="925"/>
    </row>
    <row r="2701" spans="1:15" x14ac:dyDescent="0.25">
      <c r="A2701" s="471" t="s">
        <v>2358</v>
      </c>
      <c r="B2701" s="1139">
        <f t="shared" ref="B2701:B2764" ca="1" si="410">INDEX(INDIRECT(LEFT($A2701,SEARCH("-",$A2701,1)-1)&amp;"_data"),MATCH(MID($A2701,SEARCH("-",$A2701)+1,SEARCH("#",SUBSTITUTE($A2701,"-","#",H2701),1)-(SEARCH("-",$A2701)+1)),INDIRECT(LEFT($A2701,SEARCH("-",$A2701,1)-1)&amp;"_rows"),0),MATCH(RIGHT($A2701,LEN($A2701)-SEARCH("#",SUBSTITUTE($A2701,"-","#",H2701),1)),INDIRECT(LEFT($A2701,SEARCH("-",$A2701,1)-1)&amp;"_Header"),0))</f>
        <v>0</v>
      </c>
      <c r="C2701" s="473">
        <f ca="1">IF(ISERROR(VLOOKUP($A$2701,INDIRECT("notes_"&amp;LEFT($A$2701,4)),4,0)),0,VLOOKUP($A$2701,INDIRECT("notes_"&amp;LEFT($A$2701,4)),4,0))</f>
        <v>0</v>
      </c>
      <c r="H2701" s="478" t="s">
        <v>6809</v>
      </c>
      <c r="I2701" s="478" t="s">
        <v>6810</v>
      </c>
      <c r="J2701" s="471" t="str">
        <f t="shared" ref="J2701:J2702" si="411">MID($A2701,SEARCH("-",$A2701)+1,SEARCH("#",SUBSTITUTE($A2701,"-","#",H2701),1)-(SEARCH("-",$A2701)+1))</f>
        <v>runexp-premrepair</v>
      </c>
      <c r="K2701" s="471" t="str">
        <f t="shared" ref="K2701:K2702" si="412">RIGHT($A2701,LEN($A2701)-SEARCH("#",SUBSTITUTE($A2701,"-","#",H2701),1))</f>
        <v>tot</v>
      </c>
      <c r="L2701" s="599"/>
      <c r="M2701" s="471" t="s">
        <v>6827</v>
      </c>
      <c r="N2701" s="471" t="s">
        <v>1577</v>
      </c>
      <c r="O2701" s="471" t="s">
        <v>1576</v>
      </c>
    </row>
    <row r="2702" spans="1:15" x14ac:dyDescent="0.25">
      <c r="A2702" s="471" t="s">
        <v>2359</v>
      </c>
      <c r="B2702" s="1139">
        <f t="shared" ca="1" si="410"/>
        <v>0</v>
      </c>
      <c r="C2702" s="473">
        <f ca="1">IF(ISERROR(VLOOKUP($A$2702,INDIRECT("notes_"&amp;LEFT($A$2702,4)),4,0)),0,VLOOKUP($A$2702,INDIRECT("notes_"&amp;LEFT($A$2702,4)),4,0))</f>
        <v>0</v>
      </c>
      <c r="H2702" s="478" t="s">
        <v>6809</v>
      </c>
      <c r="I2702" s="478" t="s">
        <v>6810</v>
      </c>
      <c r="J2702" s="471" t="str">
        <f t="shared" si="411"/>
        <v>runexp-premenergy</v>
      </c>
      <c r="K2702" s="471" t="str">
        <f t="shared" si="412"/>
        <v>tot</v>
      </c>
      <c r="L2702" s="599"/>
      <c r="M2702" s="471" t="s">
        <v>6827</v>
      </c>
      <c r="N2702" s="471" t="s">
        <v>1577</v>
      </c>
      <c r="O2702" s="471" t="s">
        <v>1576</v>
      </c>
    </row>
    <row r="2703" spans="1:15" x14ac:dyDescent="0.25">
      <c r="A2703" s="471" t="s">
        <v>2360</v>
      </c>
      <c r="B2703" s="1139">
        <f t="shared" ca="1" si="410"/>
        <v>0</v>
      </c>
      <c r="C2703" s="473">
        <f ca="1">IF(ISERROR(VLOOKUP($A$2703,INDIRECT("notes_"&amp;LEFT($A$2703,4)),4,0)),0,VLOOKUP($A$2703,INDIRECT("notes_"&amp;LEFT($A$2703,4)),4,0))</f>
        <v>0</v>
      </c>
      <c r="H2703" s="478" t="s">
        <v>6809</v>
      </c>
      <c r="I2703" s="478" t="s">
        <v>6810</v>
      </c>
      <c r="J2703" s="471" t="str">
        <f t="shared" ref="J2703:J2711" si="413">MID($A2703,SEARCH("-",$A2703)+1,SEARCH("#",SUBSTITUTE($A2703,"-","#",H2703),1)-(SEARCH("-",$A2703)+1))</f>
        <v>runexp-premrents</v>
      </c>
      <c r="K2703" s="471" t="str">
        <f t="shared" ref="K2703:K2711" si="414">RIGHT($A2703,LEN($A2703)-SEARCH("#",SUBSTITUTE($A2703,"-","#",H2703),1))</f>
        <v>tot</v>
      </c>
      <c r="L2703" s="599"/>
      <c r="M2703" s="471" t="s">
        <v>6827</v>
      </c>
      <c r="N2703" s="471" t="s">
        <v>1577</v>
      </c>
      <c r="O2703" s="471" t="s">
        <v>1576</v>
      </c>
    </row>
    <row r="2704" spans="1:15" x14ac:dyDescent="0.25">
      <c r="A2704" s="471" t="s">
        <v>2361</v>
      </c>
      <c r="B2704" s="1139">
        <f t="shared" ca="1" si="410"/>
        <v>0</v>
      </c>
      <c r="C2704" s="473">
        <f ca="1">IF(ISERROR(VLOOKUP($A$2704,INDIRECT("notes_"&amp;LEFT($A$2704,4)),4,0)),0,VLOOKUP($A$2704,INDIRECT("notes_"&amp;LEFT($A$2704,4)),4,0))</f>
        <v>0</v>
      </c>
      <c r="H2704" s="478" t="s">
        <v>6809</v>
      </c>
      <c r="I2704" s="478" t="s">
        <v>6810</v>
      </c>
      <c r="J2704" s="471" t="str">
        <f t="shared" si="413"/>
        <v>runexp-premrates</v>
      </c>
      <c r="K2704" s="471" t="str">
        <f t="shared" si="414"/>
        <v>tot</v>
      </c>
      <c r="L2704" s="599"/>
      <c r="M2704" s="471" t="s">
        <v>6827</v>
      </c>
      <c r="N2704" s="471" t="s">
        <v>1577</v>
      </c>
      <c r="O2704" s="471" t="s">
        <v>1576</v>
      </c>
    </row>
    <row r="2705" spans="1:15" x14ac:dyDescent="0.25">
      <c r="A2705" s="471" t="s">
        <v>2362</v>
      </c>
      <c r="B2705" s="1139">
        <f t="shared" ca="1" si="410"/>
        <v>0</v>
      </c>
      <c r="C2705" s="473">
        <f ca="1">IF(ISERROR(VLOOKUP($A$2705,INDIRECT("notes_"&amp;LEFT($A$2705,4)),4,0)),0,VLOOKUP($A$2705,INDIRECT("notes_"&amp;LEFT($A$2705,4)),4,0))</f>
        <v>0</v>
      </c>
      <c r="H2705" s="478" t="s">
        <v>6809</v>
      </c>
      <c r="I2705" s="478" t="s">
        <v>6810</v>
      </c>
      <c r="J2705" s="471" t="str">
        <f t="shared" si="413"/>
        <v>runexp-premwater</v>
      </c>
      <c r="K2705" s="471" t="str">
        <f t="shared" si="414"/>
        <v>tot</v>
      </c>
      <c r="L2705" s="599"/>
      <c r="M2705" s="471" t="s">
        <v>6827</v>
      </c>
      <c r="N2705" s="471" t="s">
        <v>1577</v>
      </c>
      <c r="O2705" s="471" t="s">
        <v>1576</v>
      </c>
    </row>
    <row r="2706" spans="1:15" x14ac:dyDescent="0.25">
      <c r="A2706" s="471" t="s">
        <v>2363</v>
      </c>
      <c r="B2706" s="1139">
        <f t="shared" ca="1" si="410"/>
        <v>0</v>
      </c>
      <c r="C2706" s="473">
        <f ca="1">IF(ISERROR(VLOOKUP($A$2706,INDIRECT("notes_"&amp;LEFT($A$2706,4)),4,0)),0,VLOOKUP($A$2706,INDIRECT("notes_"&amp;LEFT($A$2706,4)),4,0))</f>
        <v>0</v>
      </c>
      <c r="H2706" s="478" t="s">
        <v>6809</v>
      </c>
      <c r="I2706" s="478" t="s">
        <v>6810</v>
      </c>
      <c r="J2706" s="471" t="str">
        <f t="shared" si="413"/>
        <v>runexp-premfixfit</v>
      </c>
      <c r="K2706" s="471" t="str">
        <f t="shared" si="414"/>
        <v>tot</v>
      </c>
      <c r="L2706" s="599"/>
      <c r="M2706" s="471" t="s">
        <v>6827</v>
      </c>
      <c r="N2706" s="471" t="s">
        <v>1577</v>
      </c>
      <c r="O2706" s="471" t="s">
        <v>1576</v>
      </c>
    </row>
    <row r="2707" spans="1:15" x14ac:dyDescent="0.25">
      <c r="A2707" s="471" t="s">
        <v>2364</v>
      </c>
      <c r="B2707" s="1139">
        <f t="shared" ca="1" si="410"/>
        <v>0</v>
      </c>
      <c r="C2707" s="473">
        <f ca="1">IF(ISERROR(VLOOKUP($A$2707,INDIRECT("notes_"&amp;LEFT($A$2707,4)),4,0)),0,VLOOKUP($A$2707,INDIRECT("notes_"&amp;LEFT($A$2707,4)),4,0))</f>
        <v>0</v>
      </c>
      <c r="H2707" s="478" t="s">
        <v>6809</v>
      </c>
      <c r="I2707" s="478" t="s">
        <v>6810</v>
      </c>
      <c r="J2707" s="471" t="str">
        <f t="shared" si="413"/>
        <v>runexp-premclean</v>
      </c>
      <c r="K2707" s="471" t="str">
        <f t="shared" si="414"/>
        <v>tot</v>
      </c>
      <c r="L2707" s="599"/>
      <c r="M2707" s="471" t="s">
        <v>6827</v>
      </c>
      <c r="N2707" s="471" t="s">
        <v>1577</v>
      </c>
      <c r="O2707" s="471" t="s">
        <v>1576</v>
      </c>
    </row>
    <row r="2708" spans="1:15" x14ac:dyDescent="0.25">
      <c r="A2708" s="471" t="s">
        <v>2365</v>
      </c>
      <c r="B2708" s="1139">
        <f t="shared" ca="1" si="410"/>
        <v>0</v>
      </c>
      <c r="C2708" s="473">
        <f ca="1">IF(ISERROR(VLOOKUP($A$2708,INDIRECT("notes_"&amp;LEFT($A$2708,4)),4,0)),0,VLOOKUP($A$2708,INDIRECT("notes_"&amp;LEFT($A$2708,4)),4,0))</f>
        <v>0</v>
      </c>
      <c r="H2708" s="478" t="s">
        <v>6809</v>
      </c>
      <c r="I2708" s="478" t="s">
        <v>6810</v>
      </c>
      <c r="J2708" s="471" t="str">
        <f t="shared" si="413"/>
        <v>runexp-premgroundmnt</v>
      </c>
      <c r="K2708" s="471" t="str">
        <f t="shared" si="414"/>
        <v>tot</v>
      </c>
      <c r="L2708" s="599"/>
      <c r="M2708" s="471" t="s">
        <v>6827</v>
      </c>
      <c r="N2708" s="471" t="s">
        <v>1577</v>
      </c>
      <c r="O2708" s="471" t="s">
        <v>1576</v>
      </c>
    </row>
    <row r="2709" spans="1:15" x14ac:dyDescent="0.25">
      <c r="A2709" s="471" t="s">
        <v>2366</v>
      </c>
      <c r="B2709" s="1139">
        <f t="shared" ca="1" si="410"/>
        <v>0</v>
      </c>
      <c r="C2709" s="473">
        <f ca="1">IF(ISERROR(VLOOKUP($A$2709,INDIRECT("notes_"&amp;LEFT($A$2709,4)),4,0)),0,VLOOKUP($A$2709,INDIRECT("notes_"&amp;LEFT($A$2709,4)),4,0))</f>
        <v>0</v>
      </c>
      <c r="H2709" s="478" t="s">
        <v>6809</v>
      </c>
      <c r="I2709" s="478" t="s">
        <v>6810</v>
      </c>
      <c r="J2709" s="471" t="str">
        <f t="shared" si="413"/>
        <v>runexp-premins</v>
      </c>
      <c r="K2709" s="471" t="str">
        <f t="shared" si="414"/>
        <v>tot</v>
      </c>
      <c r="L2709" s="599"/>
      <c r="M2709" s="471" t="s">
        <v>6827</v>
      </c>
      <c r="N2709" s="471" t="s">
        <v>1577</v>
      </c>
      <c r="O2709" s="471" t="s">
        <v>1576</v>
      </c>
    </row>
    <row r="2710" spans="1:15" x14ac:dyDescent="0.25">
      <c r="A2710" s="471" t="s">
        <v>2367</v>
      </c>
      <c r="B2710" s="1139">
        <f t="shared" ca="1" si="410"/>
        <v>0</v>
      </c>
      <c r="C2710" s="473">
        <f ca="1">IF(ISERROR(VLOOKUP($A$2710,INDIRECT("notes_"&amp;LEFT($A$2710,4)),4,0)),0,VLOOKUP($A$2710,INDIRECT("notes_"&amp;LEFT($A$2710,4)),4,0))</f>
        <v>0</v>
      </c>
      <c r="H2710" s="478" t="s">
        <v>6809</v>
      </c>
      <c r="I2710" s="478" t="s">
        <v>6810</v>
      </c>
      <c r="J2710" s="471" t="str">
        <f t="shared" si="413"/>
        <v>runexp-premoth</v>
      </c>
      <c r="K2710" s="471" t="str">
        <f t="shared" si="414"/>
        <v>tot</v>
      </c>
      <c r="L2710" s="599"/>
      <c r="M2710" s="471" t="s">
        <v>6827</v>
      </c>
      <c r="N2710" s="471" t="s">
        <v>1577</v>
      </c>
      <c r="O2710" s="471" t="s">
        <v>1576</v>
      </c>
    </row>
    <row r="2711" spans="1:15" x14ac:dyDescent="0.25">
      <c r="A2711" s="471" t="s">
        <v>2368</v>
      </c>
      <c r="B2711" s="1139">
        <f t="shared" ca="1" si="410"/>
        <v>0</v>
      </c>
      <c r="C2711" s="473">
        <f ca="1">IF(ISERROR(VLOOKUP($A$2711,INDIRECT("notes_"&amp;LEFT($A$2711,4)),4,0)),0,VLOOKUP($A$2711,INDIRECT("notes_"&amp;LEFT($A$2711,4)),4,0))</f>
        <v>0</v>
      </c>
      <c r="H2711" s="478" t="s">
        <v>6809</v>
      </c>
      <c r="I2711" s="478" t="s">
        <v>6810</v>
      </c>
      <c r="J2711" s="471" t="str">
        <f t="shared" si="413"/>
        <v>runexp-premtot</v>
      </c>
      <c r="K2711" s="471" t="str">
        <f t="shared" si="414"/>
        <v>tot</v>
      </c>
      <c r="L2711" s="599"/>
      <c r="M2711" s="471" t="s">
        <v>6827</v>
      </c>
      <c r="N2711" s="471" t="s">
        <v>1577</v>
      </c>
      <c r="O2711" s="471" t="s">
        <v>1576</v>
      </c>
    </row>
    <row r="2712" spans="1:15" x14ac:dyDescent="0.25">
      <c r="A2712" s="471" t="s">
        <v>2369</v>
      </c>
      <c r="B2712" s="1139">
        <f t="shared" ca="1" si="410"/>
        <v>0</v>
      </c>
      <c r="C2712" s="473">
        <f ca="1">IF(ISERROR(VLOOKUP($A$2712,INDIRECT("notes_"&amp;LEFT($A$2712,4)),4,0)),0,VLOOKUP($A$2712,INDIRECT("notes_"&amp;LEFT($A$2712,4)),4,0))</f>
        <v>0</v>
      </c>
      <c r="H2712" s="478" t="s">
        <v>6809</v>
      </c>
      <c r="I2712" s="478" t="s">
        <v>6810</v>
      </c>
      <c r="J2712" s="471" t="str">
        <f t="shared" ref="J2712:J2721" si="415">MID($A2712,SEARCH("-",$A2712)+1,SEARCH("#",SUBSTITUTE($A2712,"-","#",H2712),1)-(SEARCH("-",$A2712)+1))</f>
        <v>runexp-transvhcmnt</v>
      </c>
      <c r="K2712" s="471" t="str">
        <f t="shared" ref="K2712:K2721" si="416">RIGHT($A2712,LEN($A2712)-SEARCH("#",SUBSTITUTE($A2712,"-","#",H2712),1))</f>
        <v>tot</v>
      </c>
      <c r="L2712" s="599"/>
      <c r="M2712" s="471" t="s">
        <v>6827</v>
      </c>
      <c r="N2712" s="471" t="s">
        <v>1577</v>
      </c>
      <c r="O2712" s="471" t="s">
        <v>1576</v>
      </c>
    </row>
    <row r="2713" spans="1:15" x14ac:dyDescent="0.25">
      <c r="A2713" s="471" t="s">
        <v>2370</v>
      </c>
      <c r="B2713" s="1139">
        <f t="shared" ca="1" si="410"/>
        <v>0</v>
      </c>
      <c r="C2713" s="473">
        <f ca="1">IF(ISERROR(VLOOKUP($A$2713,INDIRECT("notes_"&amp;LEFT($A$2713,4)),4,0)),0,VLOOKUP($A$2713,INDIRECT("notes_"&amp;LEFT($A$2713,4)),4,0))</f>
        <v>0</v>
      </c>
      <c r="H2713" s="478" t="s">
        <v>6828</v>
      </c>
      <c r="I2713" s="478" t="s">
        <v>6810</v>
      </c>
      <c r="J2713" s="471" t="str">
        <f t="shared" si="415"/>
        <v>runexp-transhire-lease</v>
      </c>
      <c r="K2713" s="471" t="str">
        <f t="shared" si="416"/>
        <v>tot</v>
      </c>
      <c r="L2713" s="599"/>
      <c r="M2713" s="471" t="s">
        <v>6827</v>
      </c>
      <c r="N2713" s="471" t="s">
        <v>1577</v>
      </c>
      <c r="O2713" s="471" t="s">
        <v>1576</v>
      </c>
    </row>
    <row r="2714" spans="1:15" x14ac:dyDescent="0.25">
      <c r="A2714" s="471" t="s">
        <v>2371</v>
      </c>
      <c r="B2714" s="1139">
        <f t="shared" ca="1" si="410"/>
        <v>0</v>
      </c>
      <c r="C2714" s="473">
        <f ca="1">IF(ISERROR(VLOOKUP($A$2714,INDIRECT("notes_"&amp;LEFT($A$2714,4)),4,0)),0,VLOOKUP($A$2714,INDIRECT("notes_"&amp;LEFT($A$2714,4)),4,0))</f>
        <v>0</v>
      </c>
      <c r="H2714" s="478" t="s">
        <v>6809</v>
      </c>
      <c r="I2714" s="478" t="s">
        <v>6810</v>
      </c>
      <c r="J2714" s="471" t="str">
        <f t="shared" si="415"/>
        <v>runexp-transcarall</v>
      </c>
      <c r="K2714" s="471" t="str">
        <f t="shared" si="416"/>
        <v>tot</v>
      </c>
      <c r="L2714" s="599"/>
      <c r="M2714" s="471" t="s">
        <v>6827</v>
      </c>
      <c r="N2714" s="471" t="s">
        <v>1577</v>
      </c>
      <c r="O2714" s="471" t="s">
        <v>1576</v>
      </c>
    </row>
    <row r="2715" spans="1:15" x14ac:dyDescent="0.25">
      <c r="A2715" s="471" t="s">
        <v>2372</v>
      </c>
      <c r="B2715" s="1139">
        <f t="shared" ca="1" si="410"/>
        <v>0</v>
      </c>
      <c r="C2715" s="473">
        <f ca="1">IF(ISERROR(VLOOKUP($A$2715,INDIRECT("notes_"&amp;LEFT($A$2715,4)),4,0)),0,VLOOKUP($A$2715,INDIRECT("notes_"&amp;LEFT($A$2715,4)),4,0))</f>
        <v>0</v>
      </c>
      <c r="H2715" s="478" t="s">
        <v>6809</v>
      </c>
      <c r="I2715" s="478" t="s">
        <v>6810</v>
      </c>
      <c r="J2715" s="471" t="str">
        <f t="shared" si="415"/>
        <v>runexp-transpubttrnsall</v>
      </c>
      <c r="K2715" s="471" t="str">
        <f t="shared" si="416"/>
        <v>tot</v>
      </c>
      <c r="L2715" s="599"/>
      <c r="M2715" s="471" t="s">
        <v>6827</v>
      </c>
      <c r="N2715" s="471" t="s">
        <v>1577</v>
      </c>
      <c r="O2715" s="471" t="s">
        <v>1576</v>
      </c>
    </row>
    <row r="2716" spans="1:15" x14ac:dyDescent="0.25">
      <c r="A2716" s="471" t="s">
        <v>2373</v>
      </c>
      <c r="B2716" s="1139">
        <f t="shared" ca="1" si="410"/>
        <v>0</v>
      </c>
      <c r="C2716" s="473">
        <f ca="1">IF(ISERROR(VLOOKUP($A$2716,INDIRECT("notes_"&amp;LEFT($A$2716,4)),4,0)),0,VLOOKUP($A$2716,INDIRECT("notes_"&amp;LEFT($A$2716,4)),4,0))</f>
        <v>0</v>
      </c>
      <c r="H2716" s="478" t="s">
        <v>6809</v>
      </c>
      <c r="I2716" s="478" t="s">
        <v>6810</v>
      </c>
      <c r="J2716" s="471" t="str">
        <f t="shared" si="415"/>
        <v>runexp-transins</v>
      </c>
      <c r="K2716" s="471" t="str">
        <f t="shared" si="416"/>
        <v>tot</v>
      </c>
      <c r="L2716" s="599"/>
      <c r="M2716" s="471" t="s">
        <v>6827</v>
      </c>
      <c r="N2716" s="471" t="s">
        <v>1577</v>
      </c>
      <c r="O2716" s="471" t="s">
        <v>1576</v>
      </c>
    </row>
    <row r="2717" spans="1:15" x14ac:dyDescent="0.25">
      <c r="A2717" s="471" t="s">
        <v>2374</v>
      </c>
      <c r="B2717" s="1139">
        <f t="shared" ca="1" si="410"/>
        <v>0</v>
      </c>
      <c r="C2717" s="473">
        <f ca="1">IF(ISERROR(VLOOKUP($A$2717,INDIRECT("notes_"&amp;LEFT($A$2717,4)),4,0)),0,VLOOKUP($A$2717,INDIRECT("notes_"&amp;LEFT($A$2717,4)),4,0))</f>
        <v>0</v>
      </c>
      <c r="H2717" s="478" t="s">
        <v>6809</v>
      </c>
      <c r="I2717" s="478" t="s">
        <v>6810</v>
      </c>
      <c r="J2717" s="471" t="str">
        <f t="shared" si="415"/>
        <v>runexp-transoth</v>
      </c>
      <c r="K2717" s="471" t="str">
        <f t="shared" si="416"/>
        <v>tot</v>
      </c>
      <c r="L2717" s="599"/>
      <c r="M2717" s="471" t="s">
        <v>6827</v>
      </c>
      <c r="N2717" s="471" t="s">
        <v>1577</v>
      </c>
      <c r="O2717" s="471" t="s">
        <v>1576</v>
      </c>
    </row>
    <row r="2718" spans="1:15" x14ac:dyDescent="0.25">
      <c r="A2718" s="471" t="s">
        <v>2375</v>
      </c>
      <c r="B2718" s="1139">
        <f t="shared" ca="1" si="410"/>
        <v>0</v>
      </c>
      <c r="C2718" s="473">
        <f ca="1">IF(ISERROR(VLOOKUP($A$2718,INDIRECT("notes_"&amp;LEFT($A$2718,4)),4,0)),0,VLOOKUP($A$2718,INDIRECT("notes_"&amp;LEFT($A$2718,4)),4,0))</f>
        <v>0</v>
      </c>
      <c r="H2718" s="478" t="s">
        <v>6809</v>
      </c>
      <c r="I2718" s="478" t="s">
        <v>6810</v>
      </c>
      <c r="J2718" s="471" t="str">
        <f t="shared" si="415"/>
        <v>runexp-transtot</v>
      </c>
      <c r="K2718" s="471" t="str">
        <f t="shared" si="416"/>
        <v>tot</v>
      </c>
      <c r="L2718" s="599"/>
      <c r="M2718" s="471" t="s">
        <v>6827</v>
      </c>
      <c r="N2718" s="471" t="s">
        <v>1577</v>
      </c>
      <c r="O2718" s="471" t="s">
        <v>1576</v>
      </c>
    </row>
    <row r="2719" spans="1:15" x14ac:dyDescent="0.25">
      <c r="A2719" s="471" t="s">
        <v>2376</v>
      </c>
      <c r="B2719" s="1139">
        <f t="shared" ca="1" si="410"/>
        <v>0</v>
      </c>
      <c r="C2719" s="473">
        <f ca="1">IF(ISERROR(VLOOKUP($A$2719,INDIRECT("notes_"&amp;LEFT($A$2719,4)),4,0)),0,VLOOKUP($A$2719,INDIRECT("notes_"&amp;LEFT($A$2719,4)),4,0))</f>
        <v>0</v>
      </c>
      <c r="H2719" s="478" t="s">
        <v>6809</v>
      </c>
      <c r="I2719" s="478" t="s">
        <v>6810</v>
      </c>
      <c r="J2719" s="471" t="str">
        <f t="shared" si="415"/>
        <v>runexp-suppequip</v>
      </c>
      <c r="K2719" s="471" t="str">
        <f t="shared" si="416"/>
        <v>tot</v>
      </c>
      <c r="L2719" s="599"/>
      <c r="M2719" s="471" t="s">
        <v>6827</v>
      </c>
      <c r="N2719" s="471" t="s">
        <v>1577</v>
      </c>
      <c r="O2719" s="471" t="s">
        <v>1576</v>
      </c>
    </row>
    <row r="2720" spans="1:15" x14ac:dyDescent="0.25">
      <c r="A2720" s="471" t="s">
        <v>2377</v>
      </c>
      <c r="B2720" s="1139">
        <f t="shared" ca="1" si="410"/>
        <v>0</v>
      </c>
      <c r="C2720" s="473">
        <f ca="1">IF(ISERROR(VLOOKUP($A$2720,INDIRECT("notes_"&amp;LEFT($A$2720,4)),4,0)),0,VLOOKUP($A$2720,INDIRECT("notes_"&amp;LEFT($A$2720,4)),4,0))</f>
        <v>0</v>
      </c>
      <c r="H2720" s="478" t="s">
        <v>6809</v>
      </c>
      <c r="I2720" s="478" t="s">
        <v>6810</v>
      </c>
      <c r="J2720" s="471" t="str">
        <f t="shared" si="415"/>
        <v>runexp-suppcatering</v>
      </c>
      <c r="K2720" s="471" t="str">
        <f t="shared" si="416"/>
        <v>tot</v>
      </c>
      <c r="L2720" s="599"/>
      <c r="M2720" s="471" t="s">
        <v>6827</v>
      </c>
      <c r="N2720" s="471" t="s">
        <v>1577</v>
      </c>
      <c r="O2720" s="471" t="s">
        <v>1576</v>
      </c>
    </row>
    <row r="2721" spans="1:15" x14ac:dyDescent="0.25">
      <c r="A2721" s="471" t="s">
        <v>2378</v>
      </c>
      <c r="B2721" s="1139">
        <f t="shared" ca="1" si="410"/>
        <v>0</v>
      </c>
      <c r="C2721" s="473">
        <f ca="1">IF(ISERROR(VLOOKUP($A$2721,INDIRECT("notes_"&amp;LEFT($A$2721,4)),4,0)),0,VLOOKUP($A$2721,INDIRECT("notes_"&amp;LEFT($A$2721,4)),4,0))</f>
        <v>0</v>
      </c>
      <c r="H2721" s="478" t="s">
        <v>6809</v>
      </c>
      <c r="I2721" s="478" t="s">
        <v>6810</v>
      </c>
      <c r="J2721" s="471" t="str">
        <f t="shared" si="415"/>
        <v>runexp-suppclth</v>
      </c>
      <c r="K2721" s="471" t="str">
        <f t="shared" si="416"/>
        <v>tot</v>
      </c>
      <c r="L2721" s="599"/>
      <c r="M2721" s="471" t="s">
        <v>6827</v>
      </c>
      <c r="N2721" s="471" t="s">
        <v>1577</v>
      </c>
      <c r="O2721" s="471" t="s">
        <v>1576</v>
      </c>
    </row>
    <row r="2722" spans="1:15" x14ac:dyDescent="0.25">
      <c r="A2722" s="471" t="s">
        <v>2379</v>
      </c>
      <c r="B2722" s="1139">
        <f t="shared" ca="1" si="410"/>
        <v>0</v>
      </c>
      <c r="C2722" s="473">
        <f ca="1">IF(ISERROR(VLOOKUP($A$2722,INDIRECT("notes_"&amp;LEFT($A$2722,4)),4,0)),0,VLOOKUP($A$2722,INDIRECT("notes_"&amp;LEFT($A$2722,4)),4,0))</f>
        <v>0</v>
      </c>
      <c r="H2722" s="478" t="s">
        <v>6809</v>
      </c>
      <c r="I2722" s="478" t="s">
        <v>6810</v>
      </c>
      <c r="J2722" s="471" t="str">
        <f t="shared" ref="J2722:J2731" si="417">MID($A2722,SEARCH("-",$A2722)+1,SEARCH("#",SUBSTITUTE($A2722,"-","#",H2722),1)-(SEARCH("-",$A2722)+1))</f>
        <v>runexp-suppoffexp</v>
      </c>
      <c r="K2722" s="471" t="str">
        <f t="shared" ref="K2722:K2731" si="418">RIGHT($A2722,LEN($A2722)-SEARCH("#",SUBSTITUTE($A2722,"-","#",H2722),1))</f>
        <v>tot</v>
      </c>
      <c r="L2722" s="599"/>
      <c r="M2722" s="471" t="s">
        <v>6827</v>
      </c>
      <c r="N2722" s="471" t="s">
        <v>1577</v>
      </c>
      <c r="O2722" s="471" t="s">
        <v>1576</v>
      </c>
    </row>
    <row r="2723" spans="1:15" x14ac:dyDescent="0.25">
      <c r="A2723" s="471" t="s">
        <v>2380</v>
      </c>
      <c r="B2723" s="1139">
        <f t="shared" ca="1" si="410"/>
        <v>0</v>
      </c>
      <c r="C2723" s="473">
        <f ca="1">IF(ISERROR(VLOOKUP($A$2723,INDIRECT("notes_"&amp;LEFT($A$2723,4)),4,0)),0,VLOOKUP($A$2723,INDIRECT("notes_"&amp;LEFT($A$2723,4)),4,0))</f>
        <v>0</v>
      </c>
      <c r="H2723" s="478" t="s">
        <v>6809</v>
      </c>
      <c r="I2723" s="478" t="s">
        <v>6810</v>
      </c>
      <c r="J2723" s="471" t="str">
        <f t="shared" si="417"/>
        <v>runexp-suppcomms</v>
      </c>
      <c r="K2723" s="471" t="str">
        <f t="shared" si="418"/>
        <v>tot</v>
      </c>
      <c r="L2723" s="599"/>
      <c r="M2723" s="471" t="s">
        <v>6827</v>
      </c>
      <c r="N2723" s="471" t="s">
        <v>1577</v>
      </c>
      <c r="O2723" s="471" t="s">
        <v>1576</v>
      </c>
    </row>
    <row r="2724" spans="1:15" x14ac:dyDescent="0.25">
      <c r="A2724" s="471" t="s">
        <v>2381</v>
      </c>
      <c r="B2724" s="1139">
        <f t="shared" ca="1" si="410"/>
        <v>0</v>
      </c>
      <c r="C2724" s="473">
        <f ca="1">IF(ISERROR(VLOOKUP($A$2724,INDIRECT("notes_"&amp;LEFT($A$2724,4)),4,0)),0,VLOOKUP($A$2724,INDIRECT("notes_"&amp;LEFT($A$2724,4)),4,0))</f>
        <v>0</v>
      </c>
      <c r="H2724" s="478" t="s">
        <v>6809</v>
      </c>
      <c r="I2724" s="478" t="s">
        <v>6810</v>
      </c>
      <c r="J2724" s="471" t="str">
        <f t="shared" si="417"/>
        <v>runexp-suppsubs</v>
      </c>
      <c r="K2724" s="471" t="str">
        <f t="shared" si="418"/>
        <v>tot</v>
      </c>
      <c r="L2724" s="599"/>
      <c r="M2724" s="471" t="s">
        <v>6827</v>
      </c>
      <c r="N2724" s="471" t="s">
        <v>1577</v>
      </c>
      <c r="O2724" s="471" t="s">
        <v>1576</v>
      </c>
    </row>
    <row r="2725" spans="1:15" x14ac:dyDescent="0.25">
      <c r="A2725" s="471" t="s">
        <v>2382</v>
      </c>
      <c r="B2725" s="1139">
        <f t="shared" ca="1" si="410"/>
        <v>0</v>
      </c>
      <c r="C2725" s="473">
        <f ca="1">IF(ISERROR(VLOOKUP($A$2725,INDIRECT("notes_"&amp;LEFT($A$2725,4)),4,0)),0,VLOOKUP($A$2725,INDIRECT("notes_"&amp;LEFT($A$2725,4)),4,0))</f>
        <v>0</v>
      </c>
      <c r="H2725" s="478" t="s">
        <v>6809</v>
      </c>
      <c r="I2725" s="478" t="s">
        <v>6810</v>
      </c>
      <c r="J2725" s="471" t="str">
        <f t="shared" si="417"/>
        <v>runexp-suppsubscrip</v>
      </c>
      <c r="K2725" s="471" t="str">
        <f t="shared" si="418"/>
        <v>tot</v>
      </c>
      <c r="L2725" s="599"/>
      <c r="M2725" s="471" t="s">
        <v>6827</v>
      </c>
      <c r="N2725" s="471" t="s">
        <v>1577</v>
      </c>
      <c r="O2725" s="471" t="s">
        <v>1576</v>
      </c>
    </row>
    <row r="2726" spans="1:15" x14ac:dyDescent="0.25">
      <c r="A2726" s="471" t="s">
        <v>2383</v>
      </c>
      <c r="B2726" s="1139">
        <f t="shared" ca="1" si="410"/>
        <v>0</v>
      </c>
      <c r="C2726" s="473">
        <f ca="1">IF(ISERROR(VLOOKUP($A$2726,INDIRECT("notes_"&amp;LEFT($A$2726,4)),4,0)),0,VLOOKUP($A$2726,INDIRECT("notes_"&amp;LEFT($A$2726,4)),4,0))</f>
        <v>0</v>
      </c>
      <c r="H2726" s="478" t="s">
        <v>6809</v>
      </c>
      <c r="I2726" s="478" t="s">
        <v>6810</v>
      </c>
      <c r="J2726" s="471" t="str">
        <f t="shared" si="417"/>
        <v>runexp-suppins</v>
      </c>
      <c r="K2726" s="471" t="str">
        <f t="shared" si="418"/>
        <v>tot</v>
      </c>
      <c r="L2726" s="599"/>
      <c r="M2726" s="471" t="s">
        <v>6827</v>
      </c>
      <c r="N2726" s="471" t="s">
        <v>1577</v>
      </c>
      <c r="O2726" s="471" t="s">
        <v>1576</v>
      </c>
    </row>
    <row r="2727" spans="1:15" x14ac:dyDescent="0.25">
      <c r="A2727" s="471" t="s">
        <v>2384</v>
      </c>
      <c r="B2727" s="1139">
        <f t="shared" ca="1" si="410"/>
        <v>0</v>
      </c>
      <c r="C2727" s="473">
        <f ca="1">IF(ISERROR(VLOOKUP($A$2727,INDIRECT("notes_"&amp;LEFT($A$2727,4)),4,0)),0,VLOOKUP($A$2727,INDIRECT("notes_"&amp;LEFT($A$2727,4)),4,0))</f>
        <v>0</v>
      </c>
      <c r="H2727" s="478" t="s">
        <v>6829</v>
      </c>
      <c r="I2727" s="478" t="s">
        <v>6810</v>
      </c>
      <c r="J2727" s="471" t="str">
        <f t="shared" si="417"/>
        <v>runexp-suppsch-non-ict</v>
      </c>
      <c r="K2727" s="471" t="str">
        <f t="shared" si="418"/>
        <v>tot</v>
      </c>
      <c r="L2727" s="599"/>
      <c r="M2727" s="471" t="s">
        <v>6827</v>
      </c>
      <c r="N2727" s="471" t="s">
        <v>1577</v>
      </c>
      <c r="O2727" s="471" t="s">
        <v>1576</v>
      </c>
    </row>
    <row r="2728" spans="1:15" x14ac:dyDescent="0.25">
      <c r="A2728" s="471" t="s">
        <v>2385</v>
      </c>
      <c r="B2728" s="1139">
        <f t="shared" ca="1" si="410"/>
        <v>0</v>
      </c>
      <c r="C2728" s="473">
        <f ca="1">IF(ISERROR(VLOOKUP($A$2728,INDIRECT("notes_"&amp;LEFT($A$2728,4)),4,0)),0,VLOOKUP($A$2728,INDIRECT("notes_"&amp;LEFT($A$2728,4)),4,0))</f>
        <v>0</v>
      </c>
      <c r="H2728" s="478" t="s">
        <v>6828</v>
      </c>
      <c r="I2728" s="478" t="s">
        <v>6810</v>
      </c>
      <c r="J2728" s="471" t="str">
        <f t="shared" si="417"/>
        <v>runexp-suppsch-ict</v>
      </c>
      <c r="K2728" s="471" t="str">
        <f t="shared" si="418"/>
        <v>tot</v>
      </c>
      <c r="L2728" s="599"/>
      <c r="M2728" s="471" t="s">
        <v>6827</v>
      </c>
      <c r="N2728" s="471" t="s">
        <v>1577</v>
      </c>
      <c r="O2728" s="471" t="s">
        <v>1576</v>
      </c>
    </row>
    <row r="2729" spans="1:15" x14ac:dyDescent="0.25">
      <c r="A2729" s="471" t="s">
        <v>2386</v>
      </c>
      <c r="B2729" s="1139">
        <f t="shared" ca="1" si="410"/>
        <v>0</v>
      </c>
      <c r="C2729" s="473">
        <f ca="1">IF(ISERROR(VLOOKUP($A$2729,INDIRECT("notes_"&amp;LEFT($A$2729,4)),4,0)),0,VLOOKUP($A$2729,INDIRECT("notes_"&amp;LEFT($A$2729,4)),4,0))</f>
        <v>0</v>
      </c>
      <c r="H2729" s="478" t="s">
        <v>6809</v>
      </c>
      <c r="I2729" s="478" t="s">
        <v>6810</v>
      </c>
      <c r="J2729" s="471" t="str">
        <f t="shared" si="417"/>
        <v>runexp-suppexam</v>
      </c>
      <c r="K2729" s="471" t="str">
        <f t="shared" si="418"/>
        <v>tot</v>
      </c>
      <c r="L2729" s="599"/>
      <c r="M2729" s="471" t="s">
        <v>6827</v>
      </c>
      <c r="N2729" s="471" t="s">
        <v>1577</v>
      </c>
      <c r="O2729" s="471" t="s">
        <v>1576</v>
      </c>
    </row>
    <row r="2730" spans="1:15" x14ac:dyDescent="0.25">
      <c r="A2730" s="471" t="s">
        <v>2387</v>
      </c>
      <c r="B2730" s="1139">
        <f t="shared" ca="1" si="410"/>
        <v>0</v>
      </c>
      <c r="C2730" s="473">
        <f ca="1">IF(ISERROR(VLOOKUP($A$2730,INDIRECT("notes_"&amp;LEFT($A$2730,4)),4,0)),0,VLOOKUP($A$2730,INDIRECT("notes_"&amp;LEFT($A$2730,4)),4,0))</f>
        <v>0</v>
      </c>
      <c r="H2730" s="478" t="s">
        <v>6809</v>
      </c>
      <c r="I2730" s="478" t="s">
        <v>6810</v>
      </c>
      <c r="J2730" s="471" t="str">
        <f t="shared" si="417"/>
        <v>runexp-suppoth</v>
      </c>
      <c r="K2730" s="471" t="str">
        <f t="shared" si="418"/>
        <v>tot</v>
      </c>
      <c r="L2730" s="599"/>
      <c r="M2730" s="471" t="s">
        <v>6827</v>
      </c>
      <c r="N2730" s="471" t="s">
        <v>1577</v>
      </c>
      <c r="O2730" s="471" t="s">
        <v>1576</v>
      </c>
    </row>
    <row r="2731" spans="1:15" x14ac:dyDescent="0.25">
      <c r="A2731" s="471" t="s">
        <v>2388</v>
      </c>
      <c r="B2731" s="1139">
        <f t="shared" ca="1" si="410"/>
        <v>0</v>
      </c>
      <c r="C2731" s="473">
        <f ca="1">IF(ISERROR(VLOOKUP($A$2731,INDIRECT("notes_"&amp;LEFT($A$2731,4)),4,0)),0,VLOOKUP($A$2731,INDIRECT("notes_"&amp;LEFT($A$2731,4)),4,0))</f>
        <v>0</v>
      </c>
      <c r="H2731" s="478" t="s">
        <v>6809</v>
      </c>
      <c r="I2731" s="478" t="s">
        <v>6810</v>
      </c>
      <c r="J2731" s="471" t="str">
        <f t="shared" si="417"/>
        <v>runexp-supptot</v>
      </c>
      <c r="K2731" s="471" t="str">
        <f t="shared" si="418"/>
        <v>tot</v>
      </c>
      <c r="L2731" s="599"/>
      <c r="M2731" s="471" t="s">
        <v>6827</v>
      </c>
      <c r="N2731" s="471" t="s">
        <v>1577</v>
      </c>
      <c r="O2731" s="471" t="s">
        <v>1576</v>
      </c>
    </row>
    <row r="2732" spans="1:15" x14ac:dyDescent="0.25">
      <c r="A2732" s="471" t="s">
        <v>2389</v>
      </c>
      <c r="B2732" s="1139">
        <f t="shared" ca="1" si="410"/>
        <v>0</v>
      </c>
      <c r="C2732" s="473">
        <f ca="1">IF(ISERROR(VLOOKUP($A$2732,INDIRECT("notes_"&amp;LEFT($A$2732,4)),4,0)),0,VLOOKUP($A$2732,INDIRECT("notes_"&amp;LEFT($A$2732,4)),4,0))</f>
        <v>0</v>
      </c>
      <c r="H2732" s="478" t="s">
        <v>6830</v>
      </c>
      <c r="I2732" s="478" t="s">
        <v>6810</v>
      </c>
      <c r="J2732" s="471" t="str">
        <f t="shared" ref="J2732:J2742" si="419">MID($A2732,SEARCH("-",$A2732)+1,SEARCH("#",SUBSTITUTE($A2732,"-","#",H2732),1)-(SEARCH("-",$A2732)+1))</f>
        <v>runexp-tpp-jnt-oth-la</v>
      </c>
      <c r="K2732" s="471" t="str">
        <f t="shared" ref="K2732:K2742" si="420">RIGHT($A2732,LEN($A2732)-SEARCH("#",SUBSTITUTE($A2732,"-","#",H2732),1))</f>
        <v>tot</v>
      </c>
      <c r="L2732" s="599"/>
      <c r="M2732" s="471" t="s">
        <v>6827</v>
      </c>
      <c r="N2732" s="471" t="s">
        <v>1577</v>
      </c>
      <c r="O2732" s="471" t="s">
        <v>1576</v>
      </c>
    </row>
    <row r="2733" spans="1:15" x14ac:dyDescent="0.25">
      <c r="A2733" s="471" t="s">
        <v>2390</v>
      </c>
      <c r="B2733" s="1139">
        <f t="shared" ca="1" si="410"/>
        <v>0</v>
      </c>
      <c r="C2733" s="473">
        <f ca="1">IF(ISERROR(VLOOKUP($A$2733,INDIRECT("notes_"&amp;LEFT($A$2733,4)),4,0)),0,VLOOKUP($A$2733,INDIRECT("notes_"&amp;LEFT($A$2733,4)),4,0))</f>
        <v>0</v>
      </c>
      <c r="H2733" s="478" t="s">
        <v>6829</v>
      </c>
      <c r="I2733" s="478" t="s">
        <v>6810</v>
      </c>
      <c r="J2733" s="471" t="str">
        <f t="shared" si="419"/>
        <v>runexp-tpp-pym-vln</v>
      </c>
      <c r="K2733" s="471" t="str">
        <f t="shared" si="420"/>
        <v>tot</v>
      </c>
      <c r="L2733" s="599"/>
      <c r="M2733" s="471" t="s">
        <v>6827</v>
      </c>
      <c r="N2733" s="471" t="s">
        <v>1577</v>
      </c>
      <c r="O2733" s="471" t="s">
        <v>1576</v>
      </c>
    </row>
    <row r="2734" spans="1:15" x14ac:dyDescent="0.25">
      <c r="A2734" s="471" t="s">
        <v>2391</v>
      </c>
      <c r="B2734" s="1139">
        <f t="shared" ca="1" si="410"/>
        <v>0</v>
      </c>
      <c r="C2734" s="473">
        <f ca="1">IF(ISERROR(VLOOKUP($A$2734,INDIRECT("notes_"&amp;LEFT($A$2734,4)),4,0)),0,VLOOKUP($A$2734,INDIRECT("notes_"&amp;LEFT($A$2734,4)),4,0))</f>
        <v>0</v>
      </c>
      <c r="H2734" s="478" t="s">
        <v>6829</v>
      </c>
      <c r="I2734" s="478" t="s">
        <v>6810</v>
      </c>
      <c r="J2734" s="471" t="str">
        <f t="shared" si="419"/>
        <v>runexp-tpp-pc-profess</v>
      </c>
      <c r="K2734" s="471" t="str">
        <f t="shared" si="420"/>
        <v>tot</v>
      </c>
      <c r="L2734" s="599"/>
      <c r="M2734" s="471" t="s">
        <v>6827</v>
      </c>
      <c r="N2734" s="471" t="s">
        <v>1577</v>
      </c>
      <c r="O2734" s="471" t="s">
        <v>1576</v>
      </c>
    </row>
    <row r="2735" spans="1:15" x14ac:dyDescent="0.25">
      <c r="A2735" s="471" t="s">
        <v>2392</v>
      </c>
      <c r="B2735" s="1139">
        <f t="shared" ca="1" si="410"/>
        <v>0</v>
      </c>
      <c r="C2735" s="473">
        <f ca="1">IF(ISERROR(VLOOKUP($A$2735,INDIRECT("notes_"&amp;LEFT($A$2735,4)),4,0)),0,VLOOKUP($A$2735,INDIRECT("notes_"&amp;LEFT($A$2735,4)),4,0))</f>
        <v>0</v>
      </c>
      <c r="H2735" s="478" t="s">
        <v>6829</v>
      </c>
      <c r="I2735" s="478" t="s">
        <v>6810</v>
      </c>
      <c r="J2735" s="471" t="str">
        <f t="shared" si="419"/>
        <v>runexp-tpp-pc-agency</v>
      </c>
      <c r="K2735" s="471" t="str">
        <f t="shared" si="420"/>
        <v>tot</v>
      </c>
      <c r="L2735" s="599"/>
      <c r="M2735" s="471" t="s">
        <v>6827</v>
      </c>
      <c r="N2735" s="471" t="s">
        <v>1577</v>
      </c>
      <c r="O2735" s="471" t="s">
        <v>1576</v>
      </c>
    </row>
    <row r="2736" spans="1:15" x14ac:dyDescent="0.25">
      <c r="A2736" s="471" t="s">
        <v>2393</v>
      </c>
      <c r="B2736" s="1139">
        <f t="shared" ca="1" si="410"/>
        <v>0</v>
      </c>
      <c r="C2736" s="473">
        <f ca="1">IF(ISERROR(VLOOKUP($A$2736,INDIRECT("notes_"&amp;LEFT($A$2736,4)),4,0)),0,VLOOKUP($A$2736,INDIRECT("notes_"&amp;LEFT($A$2736,4)),4,0))</f>
        <v>0</v>
      </c>
      <c r="H2736" s="478" t="s">
        <v>6829</v>
      </c>
      <c r="I2736" s="478" t="s">
        <v>6810</v>
      </c>
      <c r="J2736" s="471" t="str">
        <f t="shared" si="419"/>
        <v>runexp-tpp-pc-oth</v>
      </c>
      <c r="K2736" s="471" t="str">
        <f t="shared" si="420"/>
        <v>tot</v>
      </c>
      <c r="L2736" s="599"/>
      <c r="M2736" s="471" t="s">
        <v>6827</v>
      </c>
      <c r="N2736" s="471" t="s">
        <v>1577</v>
      </c>
      <c r="O2736" s="471" t="s">
        <v>1576</v>
      </c>
    </row>
    <row r="2737" spans="1:15" x14ac:dyDescent="0.25">
      <c r="A2737" s="471" t="s">
        <v>2394</v>
      </c>
      <c r="B2737" s="1139">
        <f t="shared" ca="1" si="410"/>
        <v>0</v>
      </c>
      <c r="C2737" s="473">
        <f ca="1">IF(ISERROR(VLOOKUP($A$2737,INDIRECT("notes_"&amp;LEFT($A$2737,4)),4,0)),0,VLOOKUP($A$2737,INDIRECT("notes_"&amp;LEFT($A$2737,4)),4,0))</f>
        <v>0</v>
      </c>
      <c r="H2737" s="478" t="s">
        <v>6828</v>
      </c>
      <c r="I2737" s="478" t="s">
        <v>6810</v>
      </c>
      <c r="J2737" s="471" t="str">
        <f t="shared" si="419"/>
        <v>runexp-tpp-ito</v>
      </c>
      <c r="K2737" s="471" t="str">
        <f t="shared" si="420"/>
        <v>tot</v>
      </c>
      <c r="L2737" s="599"/>
      <c r="M2737" s="471" t="s">
        <v>6827</v>
      </c>
      <c r="N2737" s="471" t="s">
        <v>1577</v>
      </c>
      <c r="O2737" s="471" t="s">
        <v>1576</v>
      </c>
    </row>
    <row r="2738" spans="1:15" x14ac:dyDescent="0.25">
      <c r="A2738" s="471" t="s">
        <v>2395</v>
      </c>
      <c r="B2738" s="1139">
        <f t="shared" ca="1" si="410"/>
        <v>0</v>
      </c>
      <c r="C2738" s="473">
        <f ca="1">IF(ISERROR(VLOOKUP($A$2738,INDIRECT("notes_"&amp;LEFT($A$2738,4)),4,0)),0,VLOOKUP($A$2738,INDIRECT("notes_"&amp;LEFT($A$2738,4)),4,0))</f>
        <v>0</v>
      </c>
      <c r="H2738" s="478" t="s">
        <v>6828</v>
      </c>
      <c r="I2738" s="478" t="s">
        <v>6810</v>
      </c>
      <c r="J2738" s="471" t="str">
        <f t="shared" si="419"/>
        <v>runexp-tpp-tot</v>
      </c>
      <c r="K2738" s="471" t="str">
        <f t="shared" si="420"/>
        <v>tot</v>
      </c>
      <c r="L2738" s="599"/>
      <c r="M2738" s="471" t="s">
        <v>6827</v>
      </c>
      <c r="N2738" s="471" t="s">
        <v>1577</v>
      </c>
      <c r="O2738" s="471" t="s">
        <v>1576</v>
      </c>
    </row>
    <row r="2739" spans="1:15" x14ac:dyDescent="0.25">
      <c r="A2739" s="471" t="s">
        <v>2396</v>
      </c>
      <c r="B2739" s="1139">
        <f t="shared" ca="1" si="410"/>
        <v>0</v>
      </c>
      <c r="C2739" s="473">
        <f ca="1">IF(ISERROR(VLOOKUP($A$2739,INDIRECT("notes_"&amp;LEFT($A$2739,4)),4,0)),0,VLOOKUP($A$2739,INDIRECT("notes_"&amp;LEFT($A$2739,4)),4,0))</f>
        <v>0</v>
      </c>
      <c r="H2739" s="478" t="s">
        <v>6830</v>
      </c>
      <c r="I2739" s="478" t="s">
        <v>6810</v>
      </c>
      <c r="J2739" s="471" t="str">
        <f t="shared" si="419"/>
        <v>runexp-ttl-trn-pym-dsc</v>
      </c>
      <c r="K2739" s="471" t="str">
        <f t="shared" si="420"/>
        <v>tot</v>
      </c>
      <c r="L2739" s="599"/>
      <c r="M2739" s="471" t="s">
        <v>6827</v>
      </c>
      <c r="N2739" s="471" t="s">
        <v>1577</v>
      </c>
      <c r="O2739" s="471" t="s">
        <v>1576</v>
      </c>
    </row>
    <row r="2740" spans="1:15" x14ac:dyDescent="0.25">
      <c r="A2740" s="471" t="s">
        <v>2397</v>
      </c>
      <c r="B2740" s="1139">
        <f t="shared" ca="1" si="410"/>
        <v>0</v>
      </c>
      <c r="C2740" s="473">
        <f ca="1">IF(ISERROR(VLOOKUP($A$2740,INDIRECT("notes_"&amp;LEFT($A$2740,4)),4,0)),0,VLOOKUP($A$2740,INDIRECT("notes_"&amp;LEFT($A$2740,4)),4,0))</f>
        <v>0</v>
      </c>
      <c r="H2740" s="478" t="s">
        <v>6829</v>
      </c>
      <c r="I2740" s="478" t="s">
        <v>6810</v>
      </c>
      <c r="J2740" s="471" t="str">
        <f t="shared" si="419"/>
        <v>runexp-exp-mng-ss</v>
      </c>
      <c r="K2740" s="471" t="str">
        <f t="shared" si="420"/>
        <v>tot</v>
      </c>
      <c r="L2740" s="599"/>
      <c r="M2740" s="471" t="s">
        <v>6827</v>
      </c>
      <c r="N2740" s="471" t="s">
        <v>1577</v>
      </c>
      <c r="O2740" s="471" t="s">
        <v>1576</v>
      </c>
    </row>
    <row r="2741" spans="1:15" x14ac:dyDescent="0.25">
      <c r="A2741" s="471" t="s">
        <v>2398</v>
      </c>
      <c r="B2741" s="1139">
        <f t="shared" ca="1" si="410"/>
        <v>0</v>
      </c>
      <c r="C2741" s="473">
        <f ca="1">IF(ISERROR(VLOOKUP($A$2741,INDIRECT("notes_"&amp;LEFT($A$2741,4)),4,0)),0,VLOOKUP($A$2741,INDIRECT("notes_"&amp;LEFT($A$2741,4)),4,0))</f>
        <v>0</v>
      </c>
      <c r="H2741" s="478" t="s">
        <v>6809</v>
      </c>
      <c r="I2741" s="478" t="s">
        <v>6810</v>
      </c>
      <c r="J2741" s="471" t="str">
        <f t="shared" si="419"/>
        <v>runexp-tot</v>
      </c>
      <c r="K2741" s="471" t="str">
        <f t="shared" si="420"/>
        <v>tot</v>
      </c>
      <c r="L2741" s="599"/>
      <c r="M2741" s="471" t="s">
        <v>6827</v>
      </c>
      <c r="N2741" s="471" t="s">
        <v>1577</v>
      </c>
      <c r="O2741" s="471" t="s">
        <v>1576</v>
      </c>
    </row>
    <row r="2742" spans="1:15" x14ac:dyDescent="0.25">
      <c r="A2742" s="471" t="s">
        <v>6831</v>
      </c>
      <c r="B2742" s="1139">
        <f t="shared" ca="1" si="410"/>
        <v>0</v>
      </c>
      <c r="C2742" s="473">
        <f ca="1">IF(ISERROR(VLOOKUP($A$2701,INDIRECT("notes_"&amp;LEFT($A$2701,4)),4,0)),0,VLOOKUP($A$2701,INDIRECT("notes_"&amp;LEFT($A$2701,4)),4,0))</f>
        <v>0</v>
      </c>
      <c r="H2742" s="478" t="s">
        <v>6809</v>
      </c>
      <c r="I2742" s="478" t="s">
        <v>6810</v>
      </c>
      <c r="J2742" s="471" t="str">
        <f t="shared" si="419"/>
        <v>runexp-premrepair</v>
      </c>
      <c r="K2742" s="471" t="str">
        <f t="shared" si="420"/>
        <v>sc-ch</v>
      </c>
      <c r="L2742" s="599"/>
      <c r="M2742" s="471" t="s">
        <v>6827</v>
      </c>
      <c r="N2742" s="471" t="s">
        <v>1577</v>
      </c>
      <c r="O2742" s="471" t="s">
        <v>1576</v>
      </c>
    </row>
    <row r="2743" spans="1:15" x14ac:dyDescent="0.25">
      <c r="A2743" s="471" t="s">
        <v>6832</v>
      </c>
      <c r="B2743" s="1139">
        <f t="shared" ca="1" si="410"/>
        <v>0</v>
      </c>
      <c r="C2743" s="473">
        <f ca="1">IF(ISERROR(VLOOKUP($A$2702,INDIRECT("notes_"&amp;LEFT($A$2702,4)),4,0)),0,VLOOKUP($A$2702,INDIRECT("notes_"&amp;LEFT($A$2702,4)),4,0))</f>
        <v>0</v>
      </c>
      <c r="H2743" s="478" t="s">
        <v>6809</v>
      </c>
      <c r="I2743" s="478" t="s">
        <v>6810</v>
      </c>
      <c r="J2743" s="471" t="str">
        <f t="shared" ref="J2743:J2752" si="421">MID($A2743,SEARCH("-",$A2743)+1,SEARCH("#",SUBSTITUTE($A2743,"-","#",H2743),1)-(SEARCH("-",$A2743)+1))</f>
        <v>runexp-premenergy</v>
      </c>
      <c r="K2743" s="471" t="str">
        <f t="shared" ref="K2743:K2752" si="422">RIGHT($A2743,LEN($A2743)-SEARCH("#",SUBSTITUTE($A2743,"-","#",H2743),1))</f>
        <v>sc-ch</v>
      </c>
      <c r="L2743" s="599"/>
      <c r="M2743" s="471" t="s">
        <v>6827</v>
      </c>
      <c r="N2743" s="471" t="s">
        <v>1577</v>
      </c>
      <c r="O2743" s="471" t="s">
        <v>1576</v>
      </c>
    </row>
    <row r="2744" spans="1:15" x14ac:dyDescent="0.25">
      <c r="A2744" s="471" t="s">
        <v>6833</v>
      </c>
      <c r="B2744" s="1139">
        <f t="shared" ca="1" si="410"/>
        <v>0</v>
      </c>
      <c r="C2744" s="473">
        <f ca="1">IF(ISERROR(VLOOKUP($A$2703,INDIRECT("notes_"&amp;LEFT($A$2703,4)),4,0)),0,VLOOKUP($A$2703,INDIRECT("notes_"&amp;LEFT($A$2703,4)),4,0))</f>
        <v>0</v>
      </c>
      <c r="H2744" s="478" t="s">
        <v>6809</v>
      </c>
      <c r="I2744" s="478" t="s">
        <v>6810</v>
      </c>
      <c r="J2744" s="471" t="str">
        <f t="shared" si="421"/>
        <v>runexp-premrents</v>
      </c>
      <c r="K2744" s="471" t="str">
        <f t="shared" si="422"/>
        <v>sc-ch</v>
      </c>
      <c r="L2744" s="599"/>
      <c r="M2744" s="471" t="s">
        <v>6827</v>
      </c>
      <c r="N2744" s="471" t="s">
        <v>1577</v>
      </c>
      <c r="O2744" s="471" t="s">
        <v>1576</v>
      </c>
    </row>
    <row r="2745" spans="1:15" x14ac:dyDescent="0.25">
      <c r="A2745" s="471" t="s">
        <v>6834</v>
      </c>
      <c r="B2745" s="1139">
        <f t="shared" ca="1" si="410"/>
        <v>0</v>
      </c>
      <c r="C2745" s="473">
        <f ca="1">IF(ISERROR(VLOOKUP($A$2704,INDIRECT("notes_"&amp;LEFT($A$2704,4)),4,0)),0,VLOOKUP($A$2704,INDIRECT("notes_"&amp;LEFT($A$2704,4)),4,0))</f>
        <v>0</v>
      </c>
      <c r="H2745" s="478" t="s">
        <v>6809</v>
      </c>
      <c r="I2745" s="478" t="s">
        <v>6810</v>
      </c>
      <c r="J2745" s="471" t="str">
        <f t="shared" si="421"/>
        <v>runexp-premrates</v>
      </c>
      <c r="K2745" s="471" t="str">
        <f t="shared" si="422"/>
        <v>sc-ch</v>
      </c>
      <c r="L2745" s="599"/>
      <c r="M2745" s="471" t="s">
        <v>6827</v>
      </c>
      <c r="N2745" s="471" t="s">
        <v>1577</v>
      </c>
      <c r="O2745" s="471" t="s">
        <v>1576</v>
      </c>
    </row>
    <row r="2746" spans="1:15" x14ac:dyDescent="0.25">
      <c r="A2746" s="471" t="s">
        <v>6835</v>
      </c>
      <c r="B2746" s="1139">
        <f t="shared" ca="1" si="410"/>
        <v>0</v>
      </c>
      <c r="C2746" s="473">
        <f ca="1">IF(ISERROR(VLOOKUP($A$2705,INDIRECT("notes_"&amp;LEFT($A$2705,4)),4,0)),0,VLOOKUP($A$2705,INDIRECT("notes_"&amp;LEFT($A$2705,4)),4,0))</f>
        <v>0</v>
      </c>
      <c r="H2746" s="478" t="s">
        <v>6809</v>
      </c>
      <c r="I2746" s="478" t="s">
        <v>6810</v>
      </c>
      <c r="J2746" s="471" t="str">
        <f t="shared" si="421"/>
        <v>runexp-premwater</v>
      </c>
      <c r="K2746" s="471" t="str">
        <f t="shared" si="422"/>
        <v>sc-ch</v>
      </c>
      <c r="L2746" s="599"/>
      <c r="M2746" s="471" t="s">
        <v>6827</v>
      </c>
      <c r="N2746" s="471" t="s">
        <v>1577</v>
      </c>
      <c r="O2746" s="471" t="s">
        <v>1576</v>
      </c>
    </row>
    <row r="2747" spans="1:15" x14ac:dyDescent="0.25">
      <c r="A2747" s="471" t="s">
        <v>6836</v>
      </c>
      <c r="B2747" s="1139">
        <f t="shared" ca="1" si="410"/>
        <v>0</v>
      </c>
      <c r="C2747" s="473">
        <f ca="1">IF(ISERROR(VLOOKUP($A$2706,INDIRECT("notes_"&amp;LEFT($A$2706,4)),4,0)),0,VLOOKUP($A$2706,INDIRECT("notes_"&amp;LEFT($A$2706,4)),4,0))</f>
        <v>0</v>
      </c>
      <c r="H2747" s="478" t="s">
        <v>6809</v>
      </c>
      <c r="I2747" s="478" t="s">
        <v>6810</v>
      </c>
      <c r="J2747" s="471" t="str">
        <f t="shared" si="421"/>
        <v>runexp-premfixfit</v>
      </c>
      <c r="K2747" s="471" t="str">
        <f t="shared" si="422"/>
        <v>sc-ch</v>
      </c>
      <c r="L2747" s="599"/>
      <c r="M2747" s="471" t="s">
        <v>6827</v>
      </c>
      <c r="N2747" s="471" t="s">
        <v>1577</v>
      </c>
      <c r="O2747" s="471" t="s">
        <v>1576</v>
      </c>
    </row>
    <row r="2748" spans="1:15" x14ac:dyDescent="0.25">
      <c r="A2748" s="471" t="s">
        <v>6837</v>
      </c>
      <c r="B2748" s="1139">
        <f t="shared" ca="1" si="410"/>
        <v>0</v>
      </c>
      <c r="C2748" s="473">
        <f ca="1">IF(ISERROR(VLOOKUP($A$2707,INDIRECT("notes_"&amp;LEFT($A$2707,4)),4,0)),0,VLOOKUP($A$2707,INDIRECT("notes_"&amp;LEFT($A$2707,4)),4,0))</f>
        <v>0</v>
      </c>
      <c r="H2748" s="478" t="s">
        <v>6809</v>
      </c>
      <c r="I2748" s="478" t="s">
        <v>6810</v>
      </c>
      <c r="J2748" s="471" t="str">
        <f t="shared" si="421"/>
        <v>runexp-premclean</v>
      </c>
      <c r="K2748" s="471" t="str">
        <f t="shared" si="422"/>
        <v>sc-ch</v>
      </c>
      <c r="L2748" s="599"/>
      <c r="M2748" s="471" t="s">
        <v>6827</v>
      </c>
      <c r="N2748" s="471" t="s">
        <v>1577</v>
      </c>
      <c r="O2748" s="471" t="s">
        <v>1576</v>
      </c>
    </row>
    <row r="2749" spans="1:15" x14ac:dyDescent="0.25">
      <c r="A2749" s="471" t="s">
        <v>6838</v>
      </c>
      <c r="B2749" s="1139">
        <f t="shared" ca="1" si="410"/>
        <v>0</v>
      </c>
      <c r="C2749" s="473">
        <f ca="1">IF(ISERROR(VLOOKUP($A$2708,INDIRECT("notes_"&amp;LEFT($A$2708,4)),4,0)),0,VLOOKUP($A$2708,INDIRECT("notes_"&amp;LEFT($A$2708,4)),4,0))</f>
        <v>0</v>
      </c>
      <c r="H2749" s="478" t="s">
        <v>6809</v>
      </c>
      <c r="I2749" s="478" t="s">
        <v>6810</v>
      </c>
      <c r="J2749" s="471" t="str">
        <f t="shared" si="421"/>
        <v>runexp-premgroundmnt</v>
      </c>
      <c r="K2749" s="471" t="str">
        <f t="shared" si="422"/>
        <v>sc-ch</v>
      </c>
      <c r="L2749" s="599"/>
      <c r="M2749" s="471" t="s">
        <v>6827</v>
      </c>
      <c r="N2749" s="471" t="s">
        <v>1577</v>
      </c>
      <c r="O2749" s="471" t="s">
        <v>1576</v>
      </c>
    </row>
    <row r="2750" spans="1:15" x14ac:dyDescent="0.25">
      <c r="A2750" s="471" t="s">
        <v>6839</v>
      </c>
      <c r="B2750" s="1139">
        <f t="shared" ca="1" si="410"/>
        <v>0</v>
      </c>
      <c r="C2750" s="473">
        <f ca="1">IF(ISERROR(VLOOKUP($A$2709,INDIRECT("notes_"&amp;LEFT($A$2709,4)),4,0)),0,VLOOKUP($A$2709,INDIRECT("notes_"&amp;LEFT($A$2709,4)),4,0))</f>
        <v>0</v>
      </c>
      <c r="H2750" s="478" t="s">
        <v>6809</v>
      </c>
      <c r="I2750" s="478" t="s">
        <v>6810</v>
      </c>
      <c r="J2750" s="471" t="str">
        <f t="shared" si="421"/>
        <v>runexp-premins</v>
      </c>
      <c r="K2750" s="471" t="str">
        <f t="shared" si="422"/>
        <v>sc-ch</v>
      </c>
      <c r="L2750" s="599"/>
      <c r="M2750" s="471" t="s">
        <v>6827</v>
      </c>
      <c r="N2750" s="471" t="s">
        <v>1577</v>
      </c>
      <c r="O2750" s="471" t="s">
        <v>1576</v>
      </c>
    </row>
    <row r="2751" spans="1:15" x14ac:dyDescent="0.25">
      <c r="A2751" s="471" t="s">
        <v>6840</v>
      </c>
      <c r="B2751" s="1139">
        <f t="shared" ca="1" si="410"/>
        <v>0</v>
      </c>
      <c r="C2751" s="473">
        <f ca="1">IF(ISERROR(VLOOKUP($A$2710,INDIRECT("notes_"&amp;LEFT($A$2710,4)),4,0)),0,VLOOKUP($A$2710,INDIRECT("notes_"&amp;LEFT($A$2710,4)),4,0))</f>
        <v>0</v>
      </c>
      <c r="H2751" s="478" t="s">
        <v>6809</v>
      </c>
      <c r="I2751" s="478" t="s">
        <v>6810</v>
      </c>
      <c r="J2751" s="471" t="str">
        <f t="shared" si="421"/>
        <v>runexp-premoth</v>
      </c>
      <c r="K2751" s="471" t="str">
        <f t="shared" si="422"/>
        <v>sc-ch</v>
      </c>
      <c r="L2751" s="599"/>
      <c r="M2751" s="471" t="s">
        <v>6827</v>
      </c>
      <c r="N2751" s="471" t="s">
        <v>1577</v>
      </c>
      <c r="O2751" s="471" t="s">
        <v>1576</v>
      </c>
    </row>
    <row r="2752" spans="1:15" x14ac:dyDescent="0.25">
      <c r="A2752" s="471" t="s">
        <v>6841</v>
      </c>
      <c r="B2752" s="1139">
        <f t="shared" ca="1" si="410"/>
        <v>0</v>
      </c>
      <c r="C2752" s="473">
        <f ca="1">IF(ISERROR(VLOOKUP($A$2711,INDIRECT("notes_"&amp;LEFT($A$2711,4)),4,0)),0,VLOOKUP($A$2711,INDIRECT("notes_"&amp;LEFT($A$2711,4)),4,0))</f>
        <v>0</v>
      </c>
      <c r="H2752" s="478" t="s">
        <v>6809</v>
      </c>
      <c r="I2752" s="478" t="s">
        <v>6810</v>
      </c>
      <c r="J2752" s="471" t="str">
        <f t="shared" si="421"/>
        <v>runexp-premtot</v>
      </c>
      <c r="K2752" s="471" t="str">
        <f t="shared" si="422"/>
        <v>sc-ch</v>
      </c>
      <c r="L2752" s="599"/>
      <c r="M2752" s="471" t="s">
        <v>6827</v>
      </c>
      <c r="N2752" s="471" t="s">
        <v>1577</v>
      </c>
      <c r="O2752" s="471" t="s">
        <v>1576</v>
      </c>
    </row>
    <row r="2753" spans="1:15" x14ac:dyDescent="0.25">
      <c r="A2753" s="471" t="s">
        <v>6842</v>
      </c>
      <c r="B2753" s="1139">
        <f t="shared" ca="1" si="410"/>
        <v>0</v>
      </c>
      <c r="C2753" s="473">
        <f ca="1">IF(ISERROR(VLOOKUP($A$2712,INDIRECT("notes_"&amp;LEFT($A$2712,4)),4,0)),0,VLOOKUP($A$2712,INDIRECT("notes_"&amp;LEFT($A$2712,4)),4,0))</f>
        <v>0</v>
      </c>
      <c r="H2753" s="478" t="s">
        <v>6809</v>
      </c>
      <c r="I2753" s="478" t="s">
        <v>6810</v>
      </c>
      <c r="J2753" s="471" t="str">
        <f t="shared" ref="J2753:J2764" si="423">MID($A2753,SEARCH("-",$A2753)+1,SEARCH("#",SUBSTITUTE($A2753,"-","#",H2753),1)-(SEARCH("-",$A2753)+1))</f>
        <v>runexp-transvhcmnt</v>
      </c>
      <c r="K2753" s="471" t="str">
        <f t="shared" ref="K2753:K2764" si="424">RIGHT($A2753,LEN($A2753)-SEARCH("#",SUBSTITUTE($A2753,"-","#",H2753),1))</f>
        <v>sc-ch</v>
      </c>
      <c r="L2753" s="599"/>
      <c r="M2753" s="471" t="s">
        <v>6827</v>
      </c>
      <c r="N2753" s="471" t="s">
        <v>1577</v>
      </c>
      <c r="O2753" s="471" t="s">
        <v>1576</v>
      </c>
    </row>
    <row r="2754" spans="1:15" x14ac:dyDescent="0.25">
      <c r="A2754" s="471" t="s">
        <v>6843</v>
      </c>
      <c r="B2754" s="1139">
        <f t="shared" ca="1" si="410"/>
        <v>0</v>
      </c>
      <c r="C2754" s="473">
        <f ca="1">IF(ISERROR(VLOOKUP($A$2713,INDIRECT("notes_"&amp;LEFT($A$2713,4)),4,0)),0,VLOOKUP($A$2713,INDIRECT("notes_"&amp;LEFT($A$2713,4)),4,0))</f>
        <v>0</v>
      </c>
      <c r="H2754" s="478" t="s">
        <v>6828</v>
      </c>
      <c r="I2754" s="478" t="s">
        <v>6810</v>
      </c>
      <c r="J2754" s="471" t="str">
        <f t="shared" si="423"/>
        <v>runexp-transhire-lease</v>
      </c>
      <c r="K2754" s="471" t="str">
        <f t="shared" si="424"/>
        <v>sc-ch</v>
      </c>
      <c r="L2754" s="599"/>
      <c r="M2754" s="471" t="s">
        <v>6827</v>
      </c>
      <c r="N2754" s="471" t="s">
        <v>1577</v>
      </c>
      <c r="O2754" s="471" t="s">
        <v>1576</v>
      </c>
    </row>
    <row r="2755" spans="1:15" x14ac:dyDescent="0.25">
      <c r="A2755" s="471" t="s">
        <v>6844</v>
      </c>
      <c r="B2755" s="1139">
        <f t="shared" ca="1" si="410"/>
        <v>0</v>
      </c>
      <c r="C2755" s="473">
        <f ca="1">IF(ISERROR(VLOOKUP($A$2714,INDIRECT("notes_"&amp;LEFT($A$2714,4)),4,0)),0,VLOOKUP($A$2714,INDIRECT("notes_"&amp;LEFT($A$2714,4)),4,0))</f>
        <v>0</v>
      </c>
      <c r="H2755" s="478" t="s">
        <v>6809</v>
      </c>
      <c r="I2755" s="478" t="s">
        <v>6810</v>
      </c>
      <c r="J2755" s="471" t="str">
        <f t="shared" si="423"/>
        <v>runexp-transcarall</v>
      </c>
      <c r="K2755" s="471" t="str">
        <f t="shared" si="424"/>
        <v>sc-ch</v>
      </c>
      <c r="L2755" s="599"/>
      <c r="M2755" s="471" t="s">
        <v>6827</v>
      </c>
      <c r="N2755" s="471" t="s">
        <v>1577</v>
      </c>
      <c r="O2755" s="471" t="s">
        <v>1576</v>
      </c>
    </row>
    <row r="2756" spans="1:15" x14ac:dyDescent="0.25">
      <c r="A2756" s="471" t="s">
        <v>6845</v>
      </c>
      <c r="B2756" s="1139">
        <f t="shared" ca="1" si="410"/>
        <v>0</v>
      </c>
      <c r="C2756" s="473">
        <f ca="1">IF(ISERROR(VLOOKUP($A$2715,INDIRECT("notes_"&amp;LEFT($A$2715,4)),4,0)),0,VLOOKUP($A$2715,INDIRECT("notes_"&amp;LEFT($A$2715,4)),4,0))</f>
        <v>0</v>
      </c>
      <c r="H2756" s="478" t="s">
        <v>6809</v>
      </c>
      <c r="I2756" s="478" t="s">
        <v>6810</v>
      </c>
      <c r="J2756" s="471" t="str">
        <f t="shared" si="423"/>
        <v>runexp-transpubttrnsall</v>
      </c>
      <c r="K2756" s="471" t="str">
        <f t="shared" si="424"/>
        <v>sc-ch</v>
      </c>
      <c r="L2756" s="599"/>
      <c r="M2756" s="471" t="s">
        <v>6827</v>
      </c>
      <c r="N2756" s="471" t="s">
        <v>1577</v>
      </c>
      <c r="O2756" s="471" t="s">
        <v>1576</v>
      </c>
    </row>
    <row r="2757" spans="1:15" x14ac:dyDescent="0.25">
      <c r="A2757" s="471" t="s">
        <v>6846</v>
      </c>
      <c r="B2757" s="1139">
        <f t="shared" ca="1" si="410"/>
        <v>0</v>
      </c>
      <c r="C2757" s="473">
        <f ca="1">IF(ISERROR(VLOOKUP($A$2716,INDIRECT("notes_"&amp;LEFT($A$2716,4)),4,0)),0,VLOOKUP($A$2716,INDIRECT("notes_"&amp;LEFT($A$2716,4)),4,0))</f>
        <v>0</v>
      </c>
      <c r="H2757" s="478" t="s">
        <v>6809</v>
      </c>
      <c r="I2757" s="478" t="s">
        <v>6810</v>
      </c>
      <c r="J2757" s="471" t="str">
        <f t="shared" si="423"/>
        <v>runexp-transins</v>
      </c>
      <c r="K2757" s="471" t="str">
        <f t="shared" si="424"/>
        <v>sc-ch</v>
      </c>
      <c r="L2757" s="599"/>
      <c r="M2757" s="471" t="s">
        <v>6827</v>
      </c>
      <c r="N2757" s="471" t="s">
        <v>1577</v>
      </c>
      <c r="O2757" s="471" t="s">
        <v>1576</v>
      </c>
    </row>
    <row r="2758" spans="1:15" x14ac:dyDescent="0.25">
      <c r="A2758" s="471" t="s">
        <v>6847</v>
      </c>
      <c r="B2758" s="1139">
        <f t="shared" ca="1" si="410"/>
        <v>0</v>
      </c>
      <c r="C2758" s="473">
        <f ca="1">IF(ISERROR(VLOOKUP($A$2717,INDIRECT("notes_"&amp;LEFT($A$2717,4)),4,0)),0,VLOOKUP($A$2717,INDIRECT("notes_"&amp;LEFT($A$2717,4)),4,0))</f>
        <v>0</v>
      </c>
      <c r="H2758" s="478" t="s">
        <v>6809</v>
      </c>
      <c r="I2758" s="478" t="s">
        <v>6810</v>
      </c>
      <c r="J2758" s="471" t="str">
        <f t="shared" si="423"/>
        <v>runexp-transoth</v>
      </c>
      <c r="K2758" s="471" t="str">
        <f t="shared" si="424"/>
        <v>sc-ch</v>
      </c>
      <c r="L2758" s="599"/>
      <c r="M2758" s="471" t="s">
        <v>6827</v>
      </c>
      <c r="N2758" s="471" t="s">
        <v>1577</v>
      </c>
      <c r="O2758" s="471" t="s">
        <v>1576</v>
      </c>
    </row>
    <row r="2759" spans="1:15" x14ac:dyDescent="0.25">
      <c r="A2759" s="471" t="s">
        <v>6848</v>
      </c>
      <c r="B2759" s="1139">
        <f t="shared" ca="1" si="410"/>
        <v>0</v>
      </c>
      <c r="C2759" s="473">
        <f ca="1">IF(ISERROR(VLOOKUP($A$2718,INDIRECT("notes_"&amp;LEFT($A$2718,4)),4,0)),0,VLOOKUP($A$2718,INDIRECT("notes_"&amp;LEFT($A$2718,4)),4,0))</f>
        <v>0</v>
      </c>
      <c r="H2759" s="478" t="s">
        <v>6809</v>
      </c>
      <c r="I2759" s="478" t="s">
        <v>6810</v>
      </c>
      <c r="J2759" s="471" t="str">
        <f t="shared" si="423"/>
        <v>runexp-transtot</v>
      </c>
      <c r="K2759" s="471" t="str">
        <f t="shared" si="424"/>
        <v>sc-ch</v>
      </c>
      <c r="L2759" s="599"/>
      <c r="M2759" s="471" t="s">
        <v>6827</v>
      </c>
      <c r="N2759" s="471" t="s">
        <v>1577</v>
      </c>
      <c r="O2759" s="471" t="s">
        <v>1576</v>
      </c>
    </row>
    <row r="2760" spans="1:15" x14ac:dyDescent="0.25">
      <c r="A2760" s="471" t="s">
        <v>6849</v>
      </c>
      <c r="B2760" s="1139">
        <f t="shared" ca="1" si="410"/>
        <v>0</v>
      </c>
      <c r="C2760" s="473">
        <f ca="1">IF(ISERROR(VLOOKUP($A$2719,INDIRECT("notes_"&amp;LEFT($A$2719,4)),4,0)),0,VLOOKUP($A$2719,INDIRECT("notes_"&amp;LEFT($A$2719,4)),4,0))</f>
        <v>0</v>
      </c>
      <c r="H2760" s="478" t="s">
        <v>6809</v>
      </c>
      <c r="I2760" s="478" t="s">
        <v>6810</v>
      </c>
      <c r="J2760" s="471" t="str">
        <f t="shared" si="423"/>
        <v>runexp-suppequip</v>
      </c>
      <c r="K2760" s="471" t="str">
        <f t="shared" si="424"/>
        <v>sc-ch</v>
      </c>
      <c r="L2760" s="599"/>
      <c r="M2760" s="471" t="s">
        <v>6827</v>
      </c>
      <c r="N2760" s="471" t="s">
        <v>1577</v>
      </c>
      <c r="O2760" s="471" t="s">
        <v>1576</v>
      </c>
    </row>
    <row r="2761" spans="1:15" x14ac:dyDescent="0.25">
      <c r="A2761" s="471" t="s">
        <v>6850</v>
      </c>
      <c r="B2761" s="1139">
        <f t="shared" ca="1" si="410"/>
        <v>0</v>
      </c>
      <c r="C2761" s="473">
        <f ca="1">IF(ISERROR(VLOOKUP($A$2720,INDIRECT("notes_"&amp;LEFT($A$2720,4)),4,0)),0,VLOOKUP($A$2720,INDIRECT("notes_"&amp;LEFT($A$2720,4)),4,0))</f>
        <v>0</v>
      </c>
      <c r="H2761" s="478" t="s">
        <v>6809</v>
      </c>
      <c r="I2761" s="478" t="s">
        <v>6810</v>
      </c>
      <c r="J2761" s="471" t="str">
        <f t="shared" si="423"/>
        <v>runexp-suppcatering</v>
      </c>
      <c r="K2761" s="471" t="str">
        <f t="shared" si="424"/>
        <v>sc-ch</v>
      </c>
      <c r="L2761" s="599"/>
      <c r="M2761" s="471" t="s">
        <v>6827</v>
      </c>
      <c r="N2761" s="471" t="s">
        <v>1577</v>
      </c>
      <c r="O2761" s="471" t="s">
        <v>1576</v>
      </c>
    </row>
    <row r="2762" spans="1:15" x14ac:dyDescent="0.25">
      <c r="A2762" s="471" t="s">
        <v>6851</v>
      </c>
      <c r="B2762" s="1139">
        <f t="shared" ca="1" si="410"/>
        <v>0</v>
      </c>
      <c r="C2762" s="473">
        <f ca="1">IF(ISERROR(VLOOKUP($A$2721,INDIRECT("notes_"&amp;LEFT($A$2721,4)),4,0)),0,VLOOKUP($A$2721,INDIRECT("notes_"&amp;LEFT($A$2721,4)),4,0))</f>
        <v>0</v>
      </c>
      <c r="H2762" s="478" t="s">
        <v>6809</v>
      </c>
      <c r="I2762" s="478" t="s">
        <v>6810</v>
      </c>
      <c r="J2762" s="471" t="str">
        <f t="shared" si="423"/>
        <v>runexp-suppclth</v>
      </c>
      <c r="K2762" s="471" t="str">
        <f t="shared" si="424"/>
        <v>sc-ch</v>
      </c>
      <c r="L2762" s="599"/>
      <c r="M2762" s="471" t="s">
        <v>6827</v>
      </c>
      <c r="N2762" s="471" t="s">
        <v>1577</v>
      </c>
      <c r="O2762" s="471" t="s">
        <v>1576</v>
      </c>
    </row>
    <row r="2763" spans="1:15" x14ac:dyDescent="0.25">
      <c r="A2763" s="471" t="s">
        <v>6852</v>
      </c>
      <c r="B2763" s="1139">
        <f t="shared" ca="1" si="410"/>
        <v>0</v>
      </c>
      <c r="C2763" s="473">
        <f ca="1">IF(ISERROR(VLOOKUP($A$2722,INDIRECT("notes_"&amp;LEFT($A$2722,4)),4,0)),0,VLOOKUP($A$2722,INDIRECT("notes_"&amp;LEFT($A$2722,4)),4,0))</f>
        <v>0</v>
      </c>
      <c r="H2763" s="478" t="s">
        <v>6809</v>
      </c>
      <c r="I2763" s="478" t="s">
        <v>6810</v>
      </c>
      <c r="J2763" s="471" t="str">
        <f t="shared" si="423"/>
        <v>runexp-suppoffexp</v>
      </c>
      <c r="K2763" s="471" t="str">
        <f t="shared" si="424"/>
        <v>sc-ch</v>
      </c>
      <c r="L2763" s="599"/>
      <c r="M2763" s="471" t="s">
        <v>6827</v>
      </c>
      <c r="N2763" s="471" t="s">
        <v>1577</v>
      </c>
      <c r="O2763" s="471" t="s">
        <v>1576</v>
      </c>
    </row>
    <row r="2764" spans="1:15" x14ac:dyDescent="0.25">
      <c r="A2764" s="471" t="s">
        <v>6853</v>
      </c>
      <c r="B2764" s="1139">
        <f t="shared" ca="1" si="410"/>
        <v>0</v>
      </c>
      <c r="C2764" s="473">
        <f ca="1">IF(ISERROR(VLOOKUP($A$2723,INDIRECT("notes_"&amp;LEFT($A$2723,4)),4,0)),0,VLOOKUP($A$2723,INDIRECT("notes_"&amp;LEFT($A$2723,4)),4,0))</f>
        <v>0</v>
      </c>
      <c r="H2764" s="478" t="s">
        <v>6809</v>
      </c>
      <c r="I2764" s="478" t="s">
        <v>6810</v>
      </c>
      <c r="J2764" s="471" t="str">
        <f t="shared" si="423"/>
        <v>runexp-suppcomms</v>
      </c>
      <c r="K2764" s="471" t="str">
        <f t="shared" si="424"/>
        <v>sc-ch</v>
      </c>
      <c r="L2764" s="599"/>
      <c r="M2764" s="471" t="s">
        <v>6827</v>
      </c>
      <c r="N2764" s="471" t="s">
        <v>1577</v>
      </c>
      <c r="O2764" s="471" t="s">
        <v>1576</v>
      </c>
    </row>
    <row r="2765" spans="1:15" x14ac:dyDescent="0.25">
      <c r="A2765" s="471" t="s">
        <v>6854</v>
      </c>
      <c r="B2765" s="1139">
        <f t="shared" ref="B2765:B2828" ca="1" si="425">INDEX(INDIRECT(LEFT($A2765,SEARCH("-",$A2765,1)-1)&amp;"_data"),MATCH(MID($A2765,SEARCH("-",$A2765)+1,SEARCH("#",SUBSTITUTE($A2765,"-","#",H2765),1)-(SEARCH("-",$A2765)+1)),INDIRECT(LEFT($A2765,SEARCH("-",$A2765,1)-1)&amp;"_rows"),0),MATCH(RIGHT($A2765,LEN($A2765)-SEARCH("#",SUBSTITUTE($A2765,"-","#",H2765),1)),INDIRECT(LEFT($A2765,SEARCH("-",$A2765,1)-1)&amp;"_Header"),0))</f>
        <v>0</v>
      </c>
      <c r="C2765" s="473">
        <f ca="1">IF(ISERROR(VLOOKUP($A$2724,INDIRECT("notes_"&amp;LEFT($A$2724,4)),4,0)),0,VLOOKUP($A$2724,INDIRECT("notes_"&amp;LEFT($A$2724,4)),4,0))</f>
        <v>0</v>
      </c>
      <c r="H2765" s="478" t="s">
        <v>6809</v>
      </c>
      <c r="I2765" s="478" t="s">
        <v>6810</v>
      </c>
      <c r="J2765" s="471" t="str">
        <f t="shared" ref="J2765:J2794" si="426">MID($A2765,SEARCH("-",$A2765)+1,SEARCH("#",SUBSTITUTE($A2765,"-","#",H2765),1)-(SEARCH("-",$A2765)+1))</f>
        <v>runexp-suppsubs</v>
      </c>
      <c r="K2765" s="471" t="str">
        <f t="shared" ref="K2765:K2794" si="427">RIGHT($A2765,LEN($A2765)-SEARCH("#",SUBSTITUTE($A2765,"-","#",H2765),1))</f>
        <v>sc-ch</v>
      </c>
      <c r="L2765" s="599"/>
      <c r="M2765" s="471" t="s">
        <v>6827</v>
      </c>
      <c r="N2765" s="471" t="s">
        <v>1577</v>
      </c>
      <c r="O2765" s="471" t="s">
        <v>1576</v>
      </c>
    </row>
    <row r="2766" spans="1:15" x14ac:dyDescent="0.25">
      <c r="A2766" s="471" t="s">
        <v>6855</v>
      </c>
      <c r="B2766" s="1139">
        <f t="shared" ca="1" si="425"/>
        <v>0</v>
      </c>
      <c r="C2766" s="473">
        <f ca="1">IF(ISERROR(VLOOKUP($A$2725,INDIRECT("notes_"&amp;LEFT($A$2725,4)),4,0)),0,VLOOKUP($A$2725,INDIRECT("notes_"&amp;LEFT($A$2725,4)),4,0))</f>
        <v>0</v>
      </c>
      <c r="H2766" s="478" t="s">
        <v>6809</v>
      </c>
      <c r="I2766" s="478" t="s">
        <v>6810</v>
      </c>
      <c r="J2766" s="471" t="str">
        <f t="shared" si="426"/>
        <v>runexp-suppsubscrip</v>
      </c>
      <c r="K2766" s="471" t="str">
        <f t="shared" si="427"/>
        <v>sc-ch</v>
      </c>
      <c r="L2766" s="599"/>
      <c r="M2766" s="471" t="s">
        <v>6827</v>
      </c>
      <c r="N2766" s="471" t="s">
        <v>1577</v>
      </c>
      <c r="O2766" s="471" t="s">
        <v>1576</v>
      </c>
    </row>
    <row r="2767" spans="1:15" x14ac:dyDescent="0.25">
      <c r="A2767" s="471" t="s">
        <v>6856</v>
      </c>
      <c r="B2767" s="1139">
        <f t="shared" ca="1" si="425"/>
        <v>0</v>
      </c>
      <c r="C2767" s="473">
        <f ca="1">IF(ISERROR(VLOOKUP($A$2726,INDIRECT("notes_"&amp;LEFT($A$2726,4)),4,0)),0,VLOOKUP($A$2726,INDIRECT("notes_"&amp;LEFT($A$2726,4)),4,0))</f>
        <v>0</v>
      </c>
      <c r="H2767" s="478" t="s">
        <v>6809</v>
      </c>
      <c r="I2767" s="478" t="s">
        <v>6810</v>
      </c>
      <c r="J2767" s="471" t="str">
        <f t="shared" si="426"/>
        <v>runexp-suppins</v>
      </c>
      <c r="K2767" s="471" t="str">
        <f t="shared" si="427"/>
        <v>sc-ch</v>
      </c>
      <c r="L2767" s="599"/>
      <c r="M2767" s="471" t="s">
        <v>6827</v>
      </c>
      <c r="N2767" s="471" t="s">
        <v>1577</v>
      </c>
      <c r="O2767" s="471" t="s">
        <v>1576</v>
      </c>
    </row>
    <row r="2768" spans="1:15" x14ac:dyDescent="0.25">
      <c r="A2768" s="471" t="s">
        <v>6857</v>
      </c>
      <c r="B2768" s="1139">
        <f t="shared" ca="1" si="425"/>
        <v>0</v>
      </c>
      <c r="C2768" s="473">
        <f ca="1">IF(ISERROR(VLOOKUP($A$2727,INDIRECT("notes_"&amp;LEFT($A$2727,4)),4,0)),0,VLOOKUP($A$2727,INDIRECT("notes_"&amp;LEFT($A$2727,4)),4,0))</f>
        <v>0</v>
      </c>
      <c r="H2768" s="478" t="s">
        <v>6829</v>
      </c>
      <c r="I2768" s="478" t="s">
        <v>6810</v>
      </c>
      <c r="J2768" s="471" t="str">
        <f t="shared" si="426"/>
        <v>runexp-suppsch-non-ict</v>
      </c>
      <c r="K2768" s="471" t="str">
        <f t="shared" si="427"/>
        <v>sc-ch</v>
      </c>
      <c r="L2768" s="599"/>
      <c r="M2768" s="471" t="s">
        <v>6827</v>
      </c>
      <c r="N2768" s="471" t="s">
        <v>1577</v>
      </c>
      <c r="O2768" s="471" t="s">
        <v>1576</v>
      </c>
    </row>
    <row r="2769" spans="1:15" x14ac:dyDescent="0.25">
      <c r="A2769" s="471" t="s">
        <v>6858</v>
      </c>
      <c r="B2769" s="1139">
        <f t="shared" ca="1" si="425"/>
        <v>0</v>
      </c>
      <c r="C2769" s="473">
        <f ca="1">IF(ISERROR(VLOOKUP($A$2728,INDIRECT("notes_"&amp;LEFT($A$2728,4)),4,0)),0,VLOOKUP($A$2728,INDIRECT("notes_"&amp;LEFT($A$2728,4)),4,0))</f>
        <v>0</v>
      </c>
      <c r="H2769" s="478" t="s">
        <v>6828</v>
      </c>
      <c r="I2769" s="478" t="s">
        <v>6810</v>
      </c>
      <c r="J2769" s="471" t="str">
        <f t="shared" si="426"/>
        <v>runexp-suppsch-ict</v>
      </c>
      <c r="K2769" s="471" t="str">
        <f t="shared" si="427"/>
        <v>sc-ch</v>
      </c>
      <c r="L2769" s="599"/>
      <c r="M2769" s="471" t="s">
        <v>6827</v>
      </c>
      <c r="N2769" s="471" t="s">
        <v>1577</v>
      </c>
      <c r="O2769" s="471" t="s">
        <v>1576</v>
      </c>
    </row>
    <row r="2770" spans="1:15" x14ac:dyDescent="0.25">
      <c r="A2770" s="471" t="s">
        <v>6859</v>
      </c>
      <c r="B2770" s="1139">
        <f t="shared" ca="1" si="425"/>
        <v>0</v>
      </c>
      <c r="C2770" s="473">
        <f ca="1">IF(ISERROR(VLOOKUP($A$2729,INDIRECT("notes_"&amp;LEFT($A$2729,4)),4,0)),0,VLOOKUP($A$2729,INDIRECT("notes_"&amp;LEFT($A$2729,4)),4,0))</f>
        <v>0</v>
      </c>
      <c r="H2770" s="478" t="s">
        <v>6809</v>
      </c>
      <c r="I2770" s="478" t="s">
        <v>6810</v>
      </c>
      <c r="J2770" s="471" t="str">
        <f t="shared" si="426"/>
        <v>runexp-suppexam</v>
      </c>
      <c r="K2770" s="471" t="str">
        <f t="shared" si="427"/>
        <v>sc-ch</v>
      </c>
      <c r="L2770" s="599"/>
      <c r="M2770" s="471" t="s">
        <v>6827</v>
      </c>
      <c r="N2770" s="471" t="s">
        <v>1577</v>
      </c>
      <c r="O2770" s="471" t="s">
        <v>1576</v>
      </c>
    </row>
    <row r="2771" spans="1:15" x14ac:dyDescent="0.25">
      <c r="A2771" s="471" t="s">
        <v>6860</v>
      </c>
      <c r="B2771" s="1139">
        <f t="shared" ca="1" si="425"/>
        <v>0</v>
      </c>
      <c r="C2771" s="473">
        <f ca="1">IF(ISERROR(VLOOKUP($A$2730,INDIRECT("notes_"&amp;LEFT($A$2730,4)),4,0)),0,VLOOKUP($A$2730,INDIRECT("notes_"&amp;LEFT($A$2730,4)),4,0))</f>
        <v>0</v>
      </c>
      <c r="H2771" s="478" t="s">
        <v>6809</v>
      </c>
      <c r="I2771" s="478" t="s">
        <v>6810</v>
      </c>
      <c r="J2771" s="471" t="str">
        <f t="shared" si="426"/>
        <v>runexp-suppoth</v>
      </c>
      <c r="K2771" s="471" t="str">
        <f t="shared" si="427"/>
        <v>sc-ch</v>
      </c>
      <c r="L2771" s="599"/>
      <c r="M2771" s="471" t="s">
        <v>6827</v>
      </c>
      <c r="N2771" s="471" t="s">
        <v>1577</v>
      </c>
      <c r="O2771" s="471" t="s">
        <v>1576</v>
      </c>
    </row>
    <row r="2772" spans="1:15" x14ac:dyDescent="0.25">
      <c r="A2772" s="471" t="s">
        <v>6861</v>
      </c>
      <c r="B2772" s="1139">
        <f t="shared" ca="1" si="425"/>
        <v>0</v>
      </c>
      <c r="C2772" s="473">
        <f ca="1">IF(ISERROR(VLOOKUP($A$2731,INDIRECT("notes_"&amp;LEFT($A$2731,4)),4,0)),0,VLOOKUP($A$2731,INDIRECT("notes_"&amp;LEFT($A$2731,4)),4,0))</f>
        <v>0</v>
      </c>
      <c r="H2772" s="478" t="s">
        <v>6809</v>
      </c>
      <c r="I2772" s="478" t="s">
        <v>6810</v>
      </c>
      <c r="J2772" s="471" t="str">
        <f t="shared" si="426"/>
        <v>runexp-supptot</v>
      </c>
      <c r="K2772" s="471" t="str">
        <f t="shared" si="427"/>
        <v>sc-ch</v>
      </c>
      <c r="L2772" s="599"/>
      <c r="M2772" s="471" t="s">
        <v>6827</v>
      </c>
      <c r="N2772" s="471" t="s">
        <v>1577</v>
      </c>
      <c r="O2772" s="471" t="s">
        <v>1576</v>
      </c>
    </row>
    <row r="2773" spans="1:15" x14ac:dyDescent="0.25">
      <c r="A2773" s="471" t="s">
        <v>6862</v>
      </c>
      <c r="B2773" s="1139">
        <f t="shared" ca="1" si="425"/>
        <v>0</v>
      </c>
      <c r="C2773" s="473">
        <f ca="1">IF(ISERROR(VLOOKUP($A$2732,INDIRECT("notes_"&amp;LEFT($A$2732,4)),4,0)),0,VLOOKUP($A$2732,INDIRECT("notes_"&amp;LEFT($A$2732,4)),4,0))</f>
        <v>0</v>
      </c>
      <c r="H2773" s="478" t="s">
        <v>6830</v>
      </c>
      <c r="I2773" s="478" t="s">
        <v>6810</v>
      </c>
      <c r="J2773" s="471" t="str">
        <f t="shared" si="426"/>
        <v>runexp-tpp-jnt-oth-la</v>
      </c>
      <c r="K2773" s="471" t="str">
        <f t="shared" si="427"/>
        <v>sc-ch</v>
      </c>
      <c r="L2773" s="599"/>
      <c r="M2773" s="471" t="s">
        <v>6827</v>
      </c>
      <c r="N2773" s="471" t="s">
        <v>1577</v>
      </c>
      <c r="O2773" s="471" t="s">
        <v>1576</v>
      </c>
    </row>
    <row r="2774" spans="1:15" x14ac:dyDescent="0.25">
      <c r="A2774" s="471" t="s">
        <v>6863</v>
      </c>
      <c r="B2774" s="1139">
        <f t="shared" ca="1" si="425"/>
        <v>0</v>
      </c>
      <c r="C2774" s="473">
        <f ca="1">IF(ISERROR(VLOOKUP($A$2733,INDIRECT("notes_"&amp;LEFT($A$2733,4)),4,0)),0,VLOOKUP($A$2733,INDIRECT("notes_"&amp;LEFT($A$2733,4)),4,0))</f>
        <v>0</v>
      </c>
      <c r="H2774" s="478" t="s">
        <v>6829</v>
      </c>
      <c r="I2774" s="478" t="s">
        <v>6810</v>
      </c>
      <c r="J2774" s="471" t="str">
        <f t="shared" si="426"/>
        <v>runexp-tpp-pym-vln</v>
      </c>
      <c r="K2774" s="471" t="str">
        <f t="shared" si="427"/>
        <v>sc-ch</v>
      </c>
      <c r="L2774" s="599"/>
      <c r="M2774" s="471" t="s">
        <v>6827</v>
      </c>
      <c r="N2774" s="471" t="s">
        <v>1577</v>
      </c>
      <c r="O2774" s="471" t="s">
        <v>1576</v>
      </c>
    </row>
    <row r="2775" spans="1:15" x14ac:dyDescent="0.25">
      <c r="A2775" s="471" t="s">
        <v>6864</v>
      </c>
      <c r="B2775" s="1139">
        <f t="shared" ca="1" si="425"/>
        <v>0</v>
      </c>
      <c r="C2775" s="473">
        <f ca="1">IF(ISERROR(VLOOKUP($A$2734,INDIRECT("notes_"&amp;LEFT($A$2734,4)),4,0)),0,VLOOKUP($A$2734,INDIRECT("notes_"&amp;LEFT($A$2734,4)),4,0))</f>
        <v>0</v>
      </c>
      <c r="H2775" s="478" t="s">
        <v>6829</v>
      </c>
      <c r="I2775" s="478" t="s">
        <v>6810</v>
      </c>
      <c r="J2775" s="471" t="str">
        <f t="shared" si="426"/>
        <v>runexp-tpp-pc-profess</v>
      </c>
      <c r="K2775" s="471" t="str">
        <f t="shared" si="427"/>
        <v>sc-ch</v>
      </c>
      <c r="L2775" s="599"/>
      <c r="M2775" s="471" t="s">
        <v>6827</v>
      </c>
      <c r="N2775" s="471" t="s">
        <v>1577</v>
      </c>
      <c r="O2775" s="471" t="s">
        <v>1576</v>
      </c>
    </row>
    <row r="2776" spans="1:15" x14ac:dyDescent="0.25">
      <c r="A2776" s="471" t="s">
        <v>6865</v>
      </c>
      <c r="B2776" s="1139">
        <f t="shared" ca="1" si="425"/>
        <v>0</v>
      </c>
      <c r="C2776" s="473">
        <f ca="1">IF(ISERROR(VLOOKUP($A$2735,INDIRECT("notes_"&amp;LEFT($A$2735,4)),4,0)),0,VLOOKUP($A$2735,INDIRECT("notes_"&amp;LEFT($A$2735,4)),4,0))</f>
        <v>0</v>
      </c>
      <c r="H2776" s="478" t="s">
        <v>6829</v>
      </c>
      <c r="I2776" s="478" t="s">
        <v>6810</v>
      </c>
      <c r="J2776" s="471" t="str">
        <f t="shared" si="426"/>
        <v>runexp-tpp-pc-agency</v>
      </c>
      <c r="K2776" s="471" t="str">
        <f t="shared" si="427"/>
        <v>sc-ch</v>
      </c>
      <c r="L2776" s="599"/>
      <c r="M2776" s="471" t="s">
        <v>6827</v>
      </c>
      <c r="N2776" s="471" t="s">
        <v>1577</v>
      </c>
      <c r="O2776" s="471" t="s">
        <v>1576</v>
      </c>
    </row>
    <row r="2777" spans="1:15" x14ac:dyDescent="0.25">
      <c r="A2777" s="471" t="s">
        <v>6866</v>
      </c>
      <c r="B2777" s="1139">
        <f t="shared" ca="1" si="425"/>
        <v>0</v>
      </c>
      <c r="C2777" s="473">
        <f ca="1">IF(ISERROR(VLOOKUP($A$2736,INDIRECT("notes_"&amp;LEFT($A$2736,4)),4,0)),0,VLOOKUP($A$2736,INDIRECT("notes_"&amp;LEFT($A$2736,4)),4,0))</f>
        <v>0</v>
      </c>
      <c r="H2777" s="478" t="s">
        <v>6829</v>
      </c>
      <c r="I2777" s="478" t="s">
        <v>6810</v>
      </c>
      <c r="J2777" s="471" t="str">
        <f t="shared" si="426"/>
        <v>runexp-tpp-pc-oth</v>
      </c>
      <c r="K2777" s="471" t="str">
        <f t="shared" si="427"/>
        <v>sc-ch</v>
      </c>
      <c r="L2777" s="599"/>
      <c r="M2777" s="471" t="s">
        <v>6827</v>
      </c>
      <c r="N2777" s="471" t="s">
        <v>1577</v>
      </c>
      <c r="O2777" s="471" t="s">
        <v>1576</v>
      </c>
    </row>
    <row r="2778" spans="1:15" x14ac:dyDescent="0.25">
      <c r="A2778" s="471" t="s">
        <v>6867</v>
      </c>
      <c r="B2778" s="1139">
        <f t="shared" ca="1" si="425"/>
        <v>0</v>
      </c>
      <c r="C2778" s="473">
        <f ca="1">IF(ISERROR(VLOOKUP($A$2737,INDIRECT("notes_"&amp;LEFT($A$2737,4)),4,0)),0,VLOOKUP($A$2737,INDIRECT("notes_"&amp;LEFT($A$2737,4)),4,0))</f>
        <v>0</v>
      </c>
      <c r="H2778" s="478" t="s">
        <v>6828</v>
      </c>
      <c r="I2778" s="478" t="s">
        <v>6810</v>
      </c>
      <c r="J2778" s="471" t="str">
        <f t="shared" si="426"/>
        <v>runexp-tpp-ito</v>
      </c>
      <c r="K2778" s="471" t="str">
        <f t="shared" si="427"/>
        <v>sc-ch</v>
      </c>
      <c r="L2778" s="599"/>
      <c r="M2778" s="471" t="s">
        <v>6827</v>
      </c>
      <c r="N2778" s="471" t="s">
        <v>1577</v>
      </c>
      <c r="O2778" s="471" t="s">
        <v>1576</v>
      </c>
    </row>
    <row r="2779" spans="1:15" x14ac:dyDescent="0.25">
      <c r="A2779" s="471" t="s">
        <v>6868</v>
      </c>
      <c r="B2779" s="1139">
        <f t="shared" ca="1" si="425"/>
        <v>0</v>
      </c>
      <c r="C2779" s="473">
        <f ca="1">IF(ISERROR(VLOOKUP($A$2738,INDIRECT("notes_"&amp;LEFT($A$2738,4)),4,0)),0,VLOOKUP($A$2738,INDIRECT("notes_"&amp;LEFT($A$2738,4)),4,0))</f>
        <v>0</v>
      </c>
      <c r="H2779" s="478" t="s">
        <v>6828</v>
      </c>
      <c r="I2779" s="478" t="s">
        <v>6810</v>
      </c>
      <c r="J2779" s="471" t="str">
        <f t="shared" si="426"/>
        <v>runexp-tpp-tot</v>
      </c>
      <c r="K2779" s="471" t="str">
        <f t="shared" si="427"/>
        <v>sc-ch</v>
      </c>
      <c r="L2779" s="599"/>
      <c r="M2779" s="471" t="s">
        <v>6827</v>
      </c>
      <c r="N2779" s="471" t="s">
        <v>1577</v>
      </c>
      <c r="O2779" s="471" t="s">
        <v>1576</v>
      </c>
    </row>
    <row r="2780" spans="1:15" x14ac:dyDescent="0.25">
      <c r="A2780" s="471" t="s">
        <v>6869</v>
      </c>
      <c r="B2780" s="1139">
        <f t="shared" ca="1" si="425"/>
        <v>0</v>
      </c>
      <c r="C2780" s="473">
        <f ca="1">IF(ISERROR(VLOOKUP($A$2739,INDIRECT("notes_"&amp;LEFT($A$2739,4)),4,0)),0,VLOOKUP($A$2739,INDIRECT("notes_"&amp;LEFT($A$2739,4)),4,0))</f>
        <v>0</v>
      </c>
      <c r="H2780" s="478" t="s">
        <v>6830</v>
      </c>
      <c r="I2780" s="478" t="s">
        <v>6810</v>
      </c>
      <c r="J2780" s="471" t="str">
        <f t="shared" si="426"/>
        <v>runexp-ttl-trn-pym-dsc</v>
      </c>
      <c r="K2780" s="471" t="str">
        <f t="shared" si="427"/>
        <v>sc-ch</v>
      </c>
      <c r="L2780" s="599"/>
      <c r="M2780" s="471" t="s">
        <v>6827</v>
      </c>
      <c r="N2780" s="471" t="s">
        <v>1577</v>
      </c>
      <c r="O2780" s="471" t="s">
        <v>1576</v>
      </c>
    </row>
    <row r="2781" spans="1:15" x14ac:dyDescent="0.25">
      <c r="A2781" s="471" t="s">
        <v>6870</v>
      </c>
      <c r="B2781" s="1139">
        <f t="shared" ca="1" si="425"/>
        <v>0</v>
      </c>
      <c r="C2781" s="473">
        <f ca="1">IF(ISERROR(VLOOKUP($A$2740,INDIRECT("notes_"&amp;LEFT($A$2740,4)),4,0)),0,VLOOKUP($A$2740,INDIRECT("notes_"&amp;LEFT($A$2740,4)),4,0))</f>
        <v>0</v>
      </c>
      <c r="H2781" s="478" t="s">
        <v>6829</v>
      </c>
      <c r="I2781" s="478" t="s">
        <v>6810</v>
      </c>
      <c r="J2781" s="471" t="str">
        <f t="shared" si="426"/>
        <v>runexp-exp-mng-ss</v>
      </c>
      <c r="K2781" s="471" t="str">
        <f t="shared" si="427"/>
        <v>sc-ch</v>
      </c>
      <c r="L2781" s="599"/>
      <c r="M2781" s="471" t="s">
        <v>6827</v>
      </c>
      <c r="N2781" s="471" t="s">
        <v>1577</v>
      </c>
      <c r="O2781" s="471" t="s">
        <v>1576</v>
      </c>
    </row>
    <row r="2782" spans="1:15" x14ac:dyDescent="0.25">
      <c r="A2782" s="471" t="s">
        <v>6871</v>
      </c>
      <c r="B2782" s="1139">
        <f t="shared" ca="1" si="425"/>
        <v>0</v>
      </c>
      <c r="C2782" s="473">
        <f ca="1">IF(ISERROR(VLOOKUP($A$2741,INDIRECT("notes_"&amp;LEFT($A$2741,4)),4,0)),0,VLOOKUP($A$2741,INDIRECT("notes_"&amp;LEFT($A$2741,4)),4,0))</f>
        <v>0</v>
      </c>
      <c r="H2782" s="478" t="s">
        <v>6809</v>
      </c>
      <c r="I2782" s="478" t="s">
        <v>6810</v>
      </c>
      <c r="J2782" s="471" t="str">
        <f t="shared" si="426"/>
        <v>runexp-tot</v>
      </c>
      <c r="K2782" s="471" t="str">
        <f t="shared" si="427"/>
        <v>sc-ch</v>
      </c>
      <c r="L2782" s="599"/>
      <c r="M2782" s="471" t="s">
        <v>6827</v>
      </c>
      <c r="N2782" s="471" t="s">
        <v>1577</v>
      </c>
      <c r="O2782" s="471" t="s">
        <v>1576</v>
      </c>
    </row>
    <row r="2783" spans="1:15" x14ac:dyDescent="0.25">
      <c r="A2783" s="471" t="s">
        <v>6872</v>
      </c>
      <c r="B2783" s="1139">
        <f t="shared" ca="1" si="425"/>
        <v>0</v>
      </c>
      <c r="C2783" s="473">
        <f ca="1">IF(ISERROR(VLOOKUP($A$2701,INDIRECT("notes_"&amp;LEFT($A$2701,4)),4,0)),0,VLOOKUP($A$2701,INDIRECT("notes_"&amp;LEFT($A$2701,4)),4,0))</f>
        <v>0</v>
      </c>
      <c r="H2783" s="478" t="s">
        <v>6809</v>
      </c>
      <c r="I2783" s="478" t="s">
        <v>6810</v>
      </c>
      <c r="J2783" s="471" t="str">
        <f t="shared" si="426"/>
        <v>runexp-premrepair</v>
      </c>
      <c r="K2783" s="471" t="str">
        <f t="shared" si="427"/>
        <v>sc-ad</v>
      </c>
      <c r="L2783" s="599"/>
      <c r="M2783" s="471" t="s">
        <v>6827</v>
      </c>
      <c r="N2783" s="471" t="s">
        <v>1577</v>
      </c>
      <c r="O2783" s="471" t="s">
        <v>1576</v>
      </c>
    </row>
    <row r="2784" spans="1:15" x14ac:dyDescent="0.25">
      <c r="A2784" s="471" t="s">
        <v>6873</v>
      </c>
      <c r="B2784" s="1139">
        <f t="shared" ca="1" si="425"/>
        <v>0</v>
      </c>
      <c r="C2784" s="473">
        <f ca="1">IF(ISERROR(VLOOKUP($A$2702,INDIRECT("notes_"&amp;LEFT($A$2702,4)),4,0)),0,VLOOKUP($A$2702,INDIRECT("notes_"&amp;LEFT($A$2702,4)),4,0))</f>
        <v>0</v>
      </c>
      <c r="H2784" s="478" t="s">
        <v>6809</v>
      </c>
      <c r="I2784" s="478" t="s">
        <v>6810</v>
      </c>
      <c r="J2784" s="471" t="str">
        <f t="shared" si="426"/>
        <v>runexp-premenergy</v>
      </c>
      <c r="K2784" s="471" t="str">
        <f t="shared" si="427"/>
        <v>sc-ad</v>
      </c>
      <c r="L2784" s="599"/>
      <c r="M2784" s="471" t="s">
        <v>6827</v>
      </c>
      <c r="N2784" s="471" t="s">
        <v>1577</v>
      </c>
      <c r="O2784" s="471" t="s">
        <v>1576</v>
      </c>
    </row>
    <row r="2785" spans="1:15" x14ac:dyDescent="0.25">
      <c r="A2785" s="471" t="s">
        <v>6874</v>
      </c>
      <c r="B2785" s="1139">
        <f t="shared" ca="1" si="425"/>
        <v>0</v>
      </c>
      <c r="C2785" s="473">
        <f ca="1">IF(ISERROR(VLOOKUP($A$2703,INDIRECT("notes_"&amp;LEFT($A$2703,4)),4,0)),0,VLOOKUP($A$2703,INDIRECT("notes_"&amp;LEFT($A$2703,4)),4,0))</f>
        <v>0</v>
      </c>
      <c r="H2785" s="478" t="s">
        <v>6809</v>
      </c>
      <c r="I2785" s="478" t="s">
        <v>6810</v>
      </c>
      <c r="J2785" s="471" t="str">
        <f t="shared" si="426"/>
        <v>runexp-premrents</v>
      </c>
      <c r="K2785" s="471" t="str">
        <f t="shared" si="427"/>
        <v>sc-ad</v>
      </c>
      <c r="L2785" s="599"/>
      <c r="M2785" s="471" t="s">
        <v>6827</v>
      </c>
      <c r="N2785" s="471" t="s">
        <v>1577</v>
      </c>
      <c r="O2785" s="471" t="s">
        <v>1576</v>
      </c>
    </row>
    <row r="2786" spans="1:15" x14ac:dyDescent="0.25">
      <c r="A2786" s="471" t="s">
        <v>6875</v>
      </c>
      <c r="B2786" s="1139">
        <f t="shared" ca="1" si="425"/>
        <v>0</v>
      </c>
      <c r="C2786" s="473">
        <f ca="1">IF(ISERROR(VLOOKUP($A$2704,INDIRECT("notes_"&amp;LEFT($A$2704,4)),4,0)),0,VLOOKUP($A$2704,INDIRECT("notes_"&amp;LEFT($A$2704,4)),4,0))</f>
        <v>0</v>
      </c>
      <c r="H2786" s="478" t="s">
        <v>6809</v>
      </c>
      <c r="I2786" s="478" t="s">
        <v>6810</v>
      </c>
      <c r="J2786" s="471" t="str">
        <f t="shared" si="426"/>
        <v>runexp-premrates</v>
      </c>
      <c r="K2786" s="471" t="str">
        <f t="shared" si="427"/>
        <v>sc-ad</v>
      </c>
      <c r="L2786" s="599"/>
      <c r="M2786" s="471" t="s">
        <v>6827</v>
      </c>
      <c r="N2786" s="471" t="s">
        <v>1577</v>
      </c>
      <c r="O2786" s="471" t="s">
        <v>1576</v>
      </c>
    </row>
    <row r="2787" spans="1:15" x14ac:dyDescent="0.25">
      <c r="A2787" s="471" t="s">
        <v>6876</v>
      </c>
      <c r="B2787" s="1139">
        <f t="shared" ca="1" si="425"/>
        <v>0</v>
      </c>
      <c r="C2787" s="473">
        <f ca="1">IF(ISERROR(VLOOKUP($A$2705,INDIRECT("notes_"&amp;LEFT($A$2705,4)),4,0)),0,VLOOKUP($A$2705,INDIRECT("notes_"&amp;LEFT($A$2705,4)),4,0))</f>
        <v>0</v>
      </c>
      <c r="H2787" s="478" t="s">
        <v>6809</v>
      </c>
      <c r="I2787" s="478" t="s">
        <v>6810</v>
      </c>
      <c r="J2787" s="471" t="str">
        <f t="shared" si="426"/>
        <v>runexp-premwater</v>
      </c>
      <c r="K2787" s="471" t="str">
        <f t="shared" si="427"/>
        <v>sc-ad</v>
      </c>
      <c r="L2787" s="599"/>
      <c r="M2787" s="471" t="s">
        <v>6827</v>
      </c>
      <c r="N2787" s="471" t="s">
        <v>1577</v>
      </c>
      <c r="O2787" s="471" t="s">
        <v>1576</v>
      </c>
    </row>
    <row r="2788" spans="1:15" x14ac:dyDescent="0.25">
      <c r="A2788" s="471" t="s">
        <v>6877</v>
      </c>
      <c r="B2788" s="1139">
        <f t="shared" ca="1" si="425"/>
        <v>0</v>
      </c>
      <c r="C2788" s="473">
        <f ca="1">IF(ISERROR(VLOOKUP($A$2706,INDIRECT("notes_"&amp;LEFT($A$2706,4)),4,0)),0,VLOOKUP($A$2706,INDIRECT("notes_"&amp;LEFT($A$2706,4)),4,0))</f>
        <v>0</v>
      </c>
      <c r="H2788" s="478" t="s">
        <v>6809</v>
      </c>
      <c r="I2788" s="478" t="s">
        <v>6810</v>
      </c>
      <c r="J2788" s="471" t="str">
        <f t="shared" si="426"/>
        <v>runexp-premfixfit</v>
      </c>
      <c r="K2788" s="471" t="str">
        <f t="shared" si="427"/>
        <v>sc-ad</v>
      </c>
      <c r="L2788" s="599"/>
      <c r="M2788" s="471" t="s">
        <v>6827</v>
      </c>
      <c r="N2788" s="471" t="s">
        <v>1577</v>
      </c>
      <c r="O2788" s="471" t="s">
        <v>1576</v>
      </c>
    </row>
    <row r="2789" spans="1:15" x14ac:dyDescent="0.25">
      <c r="A2789" s="471" t="s">
        <v>6878</v>
      </c>
      <c r="B2789" s="1139">
        <f t="shared" ca="1" si="425"/>
        <v>0</v>
      </c>
      <c r="C2789" s="473">
        <f ca="1">IF(ISERROR(VLOOKUP($A$2707,INDIRECT("notes_"&amp;LEFT($A$2707,4)),4,0)),0,VLOOKUP($A$2707,INDIRECT("notes_"&amp;LEFT($A$2707,4)),4,0))</f>
        <v>0</v>
      </c>
      <c r="H2789" s="478" t="s">
        <v>6809</v>
      </c>
      <c r="I2789" s="478" t="s">
        <v>6810</v>
      </c>
      <c r="J2789" s="471" t="str">
        <f t="shared" si="426"/>
        <v>runexp-premclean</v>
      </c>
      <c r="K2789" s="471" t="str">
        <f t="shared" si="427"/>
        <v>sc-ad</v>
      </c>
      <c r="L2789" s="599"/>
      <c r="M2789" s="471" t="s">
        <v>6827</v>
      </c>
      <c r="N2789" s="471" t="s">
        <v>1577</v>
      </c>
      <c r="O2789" s="471" t="s">
        <v>1576</v>
      </c>
    </row>
    <row r="2790" spans="1:15" x14ac:dyDescent="0.25">
      <c r="A2790" s="471" t="s">
        <v>6879</v>
      </c>
      <c r="B2790" s="1139">
        <f t="shared" ca="1" si="425"/>
        <v>0</v>
      </c>
      <c r="C2790" s="473">
        <f ca="1">IF(ISERROR(VLOOKUP($A$2708,INDIRECT("notes_"&amp;LEFT($A$2708,4)),4,0)),0,VLOOKUP($A$2708,INDIRECT("notes_"&amp;LEFT($A$2708,4)),4,0))</f>
        <v>0</v>
      </c>
      <c r="H2790" s="478" t="s">
        <v>6809</v>
      </c>
      <c r="I2790" s="478" t="s">
        <v>6810</v>
      </c>
      <c r="J2790" s="471" t="str">
        <f t="shared" si="426"/>
        <v>runexp-premgroundmnt</v>
      </c>
      <c r="K2790" s="471" t="str">
        <f t="shared" si="427"/>
        <v>sc-ad</v>
      </c>
      <c r="L2790" s="599"/>
      <c r="M2790" s="471" t="s">
        <v>6827</v>
      </c>
      <c r="N2790" s="471" t="s">
        <v>1577</v>
      </c>
      <c r="O2790" s="471" t="s">
        <v>1576</v>
      </c>
    </row>
    <row r="2791" spans="1:15" x14ac:dyDescent="0.25">
      <c r="A2791" s="471" t="s">
        <v>6880</v>
      </c>
      <c r="B2791" s="1139">
        <f t="shared" ca="1" si="425"/>
        <v>0</v>
      </c>
      <c r="C2791" s="473">
        <f ca="1">IF(ISERROR(VLOOKUP($A$2709,INDIRECT("notes_"&amp;LEFT($A$2709,4)),4,0)),0,VLOOKUP($A$2709,INDIRECT("notes_"&amp;LEFT($A$2709,4)),4,0))</f>
        <v>0</v>
      </c>
      <c r="H2791" s="478" t="s">
        <v>6809</v>
      </c>
      <c r="I2791" s="478" t="s">
        <v>6810</v>
      </c>
      <c r="J2791" s="471" t="str">
        <f t="shared" si="426"/>
        <v>runexp-premins</v>
      </c>
      <c r="K2791" s="471" t="str">
        <f t="shared" si="427"/>
        <v>sc-ad</v>
      </c>
      <c r="L2791" s="599"/>
      <c r="M2791" s="471" t="s">
        <v>6827</v>
      </c>
      <c r="N2791" s="471" t="s">
        <v>1577</v>
      </c>
      <c r="O2791" s="471" t="s">
        <v>1576</v>
      </c>
    </row>
    <row r="2792" spans="1:15" x14ac:dyDescent="0.25">
      <c r="A2792" s="471" t="s">
        <v>6881</v>
      </c>
      <c r="B2792" s="1139">
        <f t="shared" ca="1" si="425"/>
        <v>0</v>
      </c>
      <c r="C2792" s="473">
        <f ca="1">IF(ISERROR(VLOOKUP($A$2710,INDIRECT("notes_"&amp;LEFT($A$2710,4)),4,0)),0,VLOOKUP($A$2710,INDIRECT("notes_"&amp;LEFT($A$2710,4)),4,0))</f>
        <v>0</v>
      </c>
      <c r="H2792" s="478" t="s">
        <v>6809</v>
      </c>
      <c r="I2792" s="478" t="s">
        <v>6810</v>
      </c>
      <c r="J2792" s="471" t="str">
        <f t="shared" si="426"/>
        <v>runexp-premoth</v>
      </c>
      <c r="K2792" s="471" t="str">
        <f t="shared" si="427"/>
        <v>sc-ad</v>
      </c>
      <c r="L2792" s="599"/>
      <c r="M2792" s="471" t="s">
        <v>6827</v>
      </c>
      <c r="N2792" s="471" t="s">
        <v>1577</v>
      </c>
      <c r="O2792" s="471" t="s">
        <v>1576</v>
      </c>
    </row>
    <row r="2793" spans="1:15" x14ac:dyDescent="0.25">
      <c r="A2793" s="471" t="s">
        <v>6882</v>
      </c>
      <c r="B2793" s="1139">
        <f t="shared" ca="1" si="425"/>
        <v>0</v>
      </c>
      <c r="C2793" s="473">
        <f ca="1">IF(ISERROR(VLOOKUP($A$2711,INDIRECT("notes_"&amp;LEFT($A$2711,4)),4,0)),0,VLOOKUP($A$2711,INDIRECT("notes_"&amp;LEFT($A$2711,4)),4,0))</f>
        <v>0</v>
      </c>
      <c r="H2793" s="478" t="s">
        <v>6809</v>
      </c>
      <c r="I2793" s="478" t="s">
        <v>6810</v>
      </c>
      <c r="J2793" s="471" t="str">
        <f t="shared" si="426"/>
        <v>runexp-premtot</v>
      </c>
      <c r="K2793" s="471" t="str">
        <f t="shared" si="427"/>
        <v>sc-ad</v>
      </c>
      <c r="L2793" s="599"/>
      <c r="M2793" s="471" t="s">
        <v>6827</v>
      </c>
      <c r="N2793" s="471" t="s">
        <v>1577</v>
      </c>
      <c r="O2793" s="471" t="s">
        <v>1576</v>
      </c>
    </row>
    <row r="2794" spans="1:15" x14ac:dyDescent="0.25">
      <c r="A2794" s="471" t="s">
        <v>6883</v>
      </c>
      <c r="B2794" s="1139">
        <f t="shared" ca="1" si="425"/>
        <v>0</v>
      </c>
      <c r="C2794" s="473">
        <f ca="1">IF(ISERROR(VLOOKUP($A$2712,INDIRECT("notes_"&amp;LEFT($A$2712,4)),4,0)),0,VLOOKUP($A$2712,INDIRECT("notes_"&amp;LEFT($A$2712,4)),4,0))</f>
        <v>0</v>
      </c>
      <c r="H2794" s="478" t="s">
        <v>6809</v>
      </c>
      <c r="I2794" s="478" t="s">
        <v>6810</v>
      </c>
      <c r="J2794" s="471" t="str">
        <f t="shared" si="426"/>
        <v>runexp-transvhcmnt</v>
      </c>
      <c r="K2794" s="471" t="str">
        <f t="shared" si="427"/>
        <v>sc-ad</v>
      </c>
      <c r="L2794" s="599"/>
      <c r="M2794" s="471" t="s">
        <v>6827</v>
      </c>
      <c r="N2794" s="471" t="s">
        <v>1577</v>
      </c>
      <c r="O2794" s="471" t="s">
        <v>1576</v>
      </c>
    </row>
    <row r="2795" spans="1:15" x14ac:dyDescent="0.25">
      <c r="A2795" s="471" t="s">
        <v>6884</v>
      </c>
      <c r="B2795" s="1139">
        <f t="shared" ca="1" si="425"/>
        <v>0</v>
      </c>
      <c r="C2795" s="473">
        <f ca="1">IF(ISERROR(VLOOKUP($A$2713,INDIRECT("notes_"&amp;LEFT($A$2713,4)),4,0)),0,VLOOKUP($A$2713,INDIRECT("notes_"&amp;LEFT($A$2713,4)),4,0))</f>
        <v>0</v>
      </c>
      <c r="H2795" s="478" t="s">
        <v>6828</v>
      </c>
      <c r="I2795" s="478" t="s">
        <v>6810</v>
      </c>
      <c r="J2795" s="471" t="str">
        <f t="shared" ref="J2795:J2803" si="428">MID($A2795,SEARCH("-",$A2795)+1,SEARCH("#",SUBSTITUTE($A2795,"-","#",H2795),1)-(SEARCH("-",$A2795)+1))</f>
        <v>runexp-transhire-lease</v>
      </c>
      <c r="K2795" s="471" t="str">
        <f t="shared" ref="K2795:K2803" si="429">RIGHT($A2795,LEN($A2795)-SEARCH("#",SUBSTITUTE($A2795,"-","#",H2795),1))</f>
        <v>sc-ad</v>
      </c>
      <c r="L2795" s="599"/>
      <c r="M2795" s="471" t="s">
        <v>6827</v>
      </c>
      <c r="N2795" s="471" t="s">
        <v>1577</v>
      </c>
      <c r="O2795" s="471" t="s">
        <v>1576</v>
      </c>
    </row>
    <row r="2796" spans="1:15" x14ac:dyDescent="0.25">
      <c r="A2796" s="471" t="s">
        <v>6885</v>
      </c>
      <c r="B2796" s="1139">
        <f t="shared" ca="1" si="425"/>
        <v>0</v>
      </c>
      <c r="C2796" s="473">
        <f ca="1">IF(ISERROR(VLOOKUP($A$2714,INDIRECT("notes_"&amp;LEFT($A$2714,4)),4,0)),0,VLOOKUP($A$2714,INDIRECT("notes_"&amp;LEFT($A$2714,4)),4,0))</f>
        <v>0</v>
      </c>
      <c r="H2796" s="478" t="s">
        <v>6809</v>
      </c>
      <c r="I2796" s="478" t="s">
        <v>6810</v>
      </c>
      <c r="J2796" s="471" t="str">
        <f t="shared" si="428"/>
        <v>runexp-transcarall</v>
      </c>
      <c r="K2796" s="471" t="str">
        <f t="shared" si="429"/>
        <v>sc-ad</v>
      </c>
      <c r="L2796" s="599"/>
      <c r="M2796" s="471" t="s">
        <v>6827</v>
      </c>
      <c r="N2796" s="471" t="s">
        <v>1577</v>
      </c>
      <c r="O2796" s="471" t="s">
        <v>1576</v>
      </c>
    </row>
    <row r="2797" spans="1:15" x14ac:dyDescent="0.25">
      <c r="A2797" s="471" t="s">
        <v>6886</v>
      </c>
      <c r="B2797" s="1139">
        <f t="shared" ca="1" si="425"/>
        <v>0</v>
      </c>
      <c r="C2797" s="473">
        <f ca="1">IF(ISERROR(VLOOKUP($A$2715,INDIRECT("notes_"&amp;LEFT($A$2715,4)),4,0)),0,VLOOKUP($A$2715,INDIRECT("notes_"&amp;LEFT($A$2715,4)),4,0))</f>
        <v>0</v>
      </c>
      <c r="H2797" s="478" t="s">
        <v>6809</v>
      </c>
      <c r="I2797" s="478" t="s">
        <v>6810</v>
      </c>
      <c r="J2797" s="471" t="str">
        <f t="shared" si="428"/>
        <v>runexp-transpubttrnsall</v>
      </c>
      <c r="K2797" s="471" t="str">
        <f t="shared" si="429"/>
        <v>sc-ad</v>
      </c>
      <c r="L2797" s="599"/>
      <c r="M2797" s="471" t="s">
        <v>6827</v>
      </c>
      <c r="N2797" s="471" t="s">
        <v>1577</v>
      </c>
      <c r="O2797" s="471" t="s">
        <v>1576</v>
      </c>
    </row>
    <row r="2798" spans="1:15" x14ac:dyDescent="0.25">
      <c r="A2798" s="471" t="s">
        <v>6887</v>
      </c>
      <c r="B2798" s="1139">
        <f t="shared" ca="1" si="425"/>
        <v>0</v>
      </c>
      <c r="C2798" s="473">
        <f ca="1">IF(ISERROR(VLOOKUP($A$2716,INDIRECT("notes_"&amp;LEFT($A$2716,4)),4,0)),0,VLOOKUP($A$2716,INDIRECT("notes_"&amp;LEFT($A$2716,4)),4,0))</f>
        <v>0</v>
      </c>
      <c r="H2798" s="478" t="s">
        <v>6809</v>
      </c>
      <c r="I2798" s="478" t="s">
        <v>6810</v>
      </c>
      <c r="J2798" s="471" t="str">
        <f t="shared" si="428"/>
        <v>runexp-transins</v>
      </c>
      <c r="K2798" s="471" t="str">
        <f t="shared" si="429"/>
        <v>sc-ad</v>
      </c>
      <c r="L2798" s="599"/>
      <c r="M2798" s="471" t="s">
        <v>6827</v>
      </c>
      <c r="N2798" s="471" t="s">
        <v>1577</v>
      </c>
      <c r="O2798" s="471" t="s">
        <v>1576</v>
      </c>
    </row>
    <row r="2799" spans="1:15" x14ac:dyDescent="0.25">
      <c r="A2799" s="471" t="s">
        <v>6888</v>
      </c>
      <c r="B2799" s="1139">
        <f t="shared" ca="1" si="425"/>
        <v>0</v>
      </c>
      <c r="C2799" s="473">
        <f ca="1">IF(ISERROR(VLOOKUP($A$2717,INDIRECT("notes_"&amp;LEFT($A$2717,4)),4,0)),0,VLOOKUP($A$2717,INDIRECT("notes_"&amp;LEFT($A$2717,4)),4,0))</f>
        <v>0</v>
      </c>
      <c r="H2799" s="478" t="s">
        <v>6809</v>
      </c>
      <c r="I2799" s="478" t="s">
        <v>6810</v>
      </c>
      <c r="J2799" s="471" t="str">
        <f t="shared" si="428"/>
        <v>runexp-transoth</v>
      </c>
      <c r="K2799" s="471" t="str">
        <f t="shared" si="429"/>
        <v>sc-ad</v>
      </c>
      <c r="L2799" s="599"/>
      <c r="M2799" s="471" t="s">
        <v>6827</v>
      </c>
      <c r="N2799" s="471" t="s">
        <v>1577</v>
      </c>
      <c r="O2799" s="471" t="s">
        <v>1576</v>
      </c>
    </row>
    <row r="2800" spans="1:15" x14ac:dyDescent="0.25">
      <c r="A2800" s="471" t="s">
        <v>6889</v>
      </c>
      <c r="B2800" s="1139">
        <f t="shared" ca="1" si="425"/>
        <v>0</v>
      </c>
      <c r="C2800" s="473">
        <f ca="1">IF(ISERROR(VLOOKUP($A$2718,INDIRECT("notes_"&amp;LEFT($A$2718,4)),4,0)),0,VLOOKUP($A$2718,INDIRECT("notes_"&amp;LEFT($A$2718,4)),4,0))</f>
        <v>0</v>
      </c>
      <c r="H2800" s="478" t="s">
        <v>6809</v>
      </c>
      <c r="I2800" s="478" t="s">
        <v>6810</v>
      </c>
      <c r="J2800" s="471" t="str">
        <f t="shared" si="428"/>
        <v>runexp-transtot</v>
      </c>
      <c r="K2800" s="471" t="str">
        <f t="shared" si="429"/>
        <v>sc-ad</v>
      </c>
      <c r="L2800" s="599"/>
      <c r="M2800" s="471" t="s">
        <v>6827</v>
      </c>
      <c r="N2800" s="471" t="s">
        <v>1577</v>
      </c>
      <c r="O2800" s="471" t="s">
        <v>1576</v>
      </c>
    </row>
    <row r="2801" spans="1:15" x14ac:dyDescent="0.25">
      <c r="A2801" s="471" t="s">
        <v>6890</v>
      </c>
      <c r="B2801" s="1139">
        <f t="shared" ca="1" si="425"/>
        <v>0</v>
      </c>
      <c r="C2801" s="473">
        <f ca="1">IF(ISERROR(VLOOKUP($A$2719,INDIRECT("notes_"&amp;LEFT($A$2719,4)),4,0)),0,VLOOKUP($A$2719,INDIRECT("notes_"&amp;LEFT($A$2719,4)),4,0))</f>
        <v>0</v>
      </c>
      <c r="H2801" s="478" t="s">
        <v>6809</v>
      </c>
      <c r="I2801" s="478" t="s">
        <v>6810</v>
      </c>
      <c r="J2801" s="471" t="str">
        <f t="shared" si="428"/>
        <v>runexp-suppequip</v>
      </c>
      <c r="K2801" s="471" t="str">
        <f t="shared" si="429"/>
        <v>sc-ad</v>
      </c>
      <c r="L2801" s="599"/>
      <c r="M2801" s="471" t="s">
        <v>6827</v>
      </c>
      <c r="N2801" s="471" t="s">
        <v>1577</v>
      </c>
      <c r="O2801" s="471" t="s">
        <v>1576</v>
      </c>
    </row>
    <row r="2802" spans="1:15" x14ac:dyDescent="0.25">
      <c r="A2802" s="471" t="s">
        <v>6891</v>
      </c>
      <c r="B2802" s="1139">
        <f t="shared" ca="1" si="425"/>
        <v>0</v>
      </c>
      <c r="C2802" s="473">
        <f ca="1">IF(ISERROR(VLOOKUP($A$2720,INDIRECT("notes_"&amp;LEFT($A$2720,4)),4,0)),0,VLOOKUP($A$2720,INDIRECT("notes_"&amp;LEFT($A$2720,4)),4,0))</f>
        <v>0</v>
      </c>
      <c r="H2802" s="478" t="s">
        <v>6809</v>
      </c>
      <c r="I2802" s="478" t="s">
        <v>6810</v>
      </c>
      <c r="J2802" s="471" t="str">
        <f t="shared" si="428"/>
        <v>runexp-suppcatering</v>
      </c>
      <c r="K2802" s="471" t="str">
        <f t="shared" si="429"/>
        <v>sc-ad</v>
      </c>
      <c r="L2802" s="599"/>
      <c r="M2802" s="471" t="s">
        <v>6827</v>
      </c>
      <c r="N2802" s="471" t="s">
        <v>1577</v>
      </c>
      <c r="O2802" s="471" t="s">
        <v>1576</v>
      </c>
    </row>
    <row r="2803" spans="1:15" x14ac:dyDescent="0.25">
      <c r="A2803" s="471" t="s">
        <v>6892</v>
      </c>
      <c r="B2803" s="1139">
        <f t="shared" ca="1" si="425"/>
        <v>0</v>
      </c>
      <c r="C2803" s="473">
        <f ca="1">IF(ISERROR(VLOOKUP($A$2721,INDIRECT("notes_"&amp;LEFT($A$2721,4)),4,0)),0,VLOOKUP($A$2721,INDIRECT("notes_"&amp;LEFT($A$2721,4)),4,0))</f>
        <v>0</v>
      </c>
      <c r="H2803" s="478" t="s">
        <v>6809</v>
      </c>
      <c r="I2803" s="478" t="s">
        <v>6810</v>
      </c>
      <c r="J2803" s="471" t="str">
        <f t="shared" si="428"/>
        <v>runexp-suppclth</v>
      </c>
      <c r="K2803" s="471" t="str">
        <f t="shared" si="429"/>
        <v>sc-ad</v>
      </c>
      <c r="L2803" s="599"/>
      <c r="M2803" s="471" t="s">
        <v>6827</v>
      </c>
      <c r="N2803" s="471" t="s">
        <v>1577</v>
      </c>
      <c r="O2803" s="471" t="s">
        <v>1576</v>
      </c>
    </row>
    <row r="2804" spans="1:15" x14ac:dyDescent="0.25">
      <c r="A2804" s="471" t="s">
        <v>6893</v>
      </c>
      <c r="B2804" s="1139">
        <f t="shared" ca="1" si="425"/>
        <v>0</v>
      </c>
      <c r="C2804" s="473">
        <f ca="1">IF(ISERROR(VLOOKUP($A$2722,INDIRECT("notes_"&amp;LEFT($A$2722,4)),4,0)),0,VLOOKUP($A$2722,INDIRECT("notes_"&amp;LEFT($A$2722,4)),4,0))</f>
        <v>0</v>
      </c>
      <c r="H2804" s="478" t="s">
        <v>6809</v>
      </c>
      <c r="I2804" s="478" t="s">
        <v>6810</v>
      </c>
      <c r="J2804" s="471" t="str">
        <f t="shared" ref="J2804:J2825" si="430">MID($A2804,SEARCH("-",$A2804)+1,SEARCH("#",SUBSTITUTE($A2804,"-","#",H2804),1)-(SEARCH("-",$A2804)+1))</f>
        <v>runexp-suppoffexp</v>
      </c>
      <c r="K2804" s="471" t="str">
        <f t="shared" ref="K2804:K2825" si="431">RIGHT($A2804,LEN($A2804)-SEARCH("#",SUBSTITUTE($A2804,"-","#",H2804),1))</f>
        <v>sc-ad</v>
      </c>
      <c r="L2804" s="599"/>
      <c r="M2804" s="471" t="s">
        <v>6827</v>
      </c>
      <c r="N2804" s="471" t="s">
        <v>1577</v>
      </c>
      <c r="O2804" s="471" t="s">
        <v>1576</v>
      </c>
    </row>
    <row r="2805" spans="1:15" x14ac:dyDescent="0.25">
      <c r="A2805" s="471" t="s">
        <v>6894</v>
      </c>
      <c r="B2805" s="1139">
        <f t="shared" ca="1" si="425"/>
        <v>0</v>
      </c>
      <c r="C2805" s="473">
        <f ca="1">IF(ISERROR(VLOOKUP($A$2723,INDIRECT("notes_"&amp;LEFT($A$2723,4)),4,0)),0,VLOOKUP($A$2723,INDIRECT("notes_"&amp;LEFT($A$2723,4)),4,0))</f>
        <v>0</v>
      </c>
      <c r="H2805" s="478" t="s">
        <v>6809</v>
      </c>
      <c r="I2805" s="478" t="s">
        <v>6810</v>
      </c>
      <c r="J2805" s="471" t="str">
        <f t="shared" si="430"/>
        <v>runexp-suppcomms</v>
      </c>
      <c r="K2805" s="471" t="str">
        <f t="shared" si="431"/>
        <v>sc-ad</v>
      </c>
      <c r="L2805" s="599"/>
      <c r="M2805" s="471" t="s">
        <v>6827</v>
      </c>
      <c r="N2805" s="471" t="s">
        <v>1577</v>
      </c>
      <c r="O2805" s="471" t="s">
        <v>1576</v>
      </c>
    </row>
    <row r="2806" spans="1:15" x14ac:dyDescent="0.25">
      <c r="A2806" s="471" t="s">
        <v>6895</v>
      </c>
      <c r="B2806" s="1139">
        <f t="shared" ca="1" si="425"/>
        <v>0</v>
      </c>
      <c r="C2806" s="473">
        <f ca="1">IF(ISERROR(VLOOKUP($A$2724,INDIRECT("notes_"&amp;LEFT($A$2724,4)),4,0)),0,VLOOKUP($A$2724,INDIRECT("notes_"&amp;LEFT($A$2724,4)),4,0))</f>
        <v>0</v>
      </c>
      <c r="H2806" s="478" t="s">
        <v>6809</v>
      </c>
      <c r="I2806" s="478" t="s">
        <v>6810</v>
      </c>
      <c r="J2806" s="471" t="str">
        <f t="shared" si="430"/>
        <v>runexp-suppsubs</v>
      </c>
      <c r="K2806" s="471" t="str">
        <f t="shared" si="431"/>
        <v>sc-ad</v>
      </c>
      <c r="L2806" s="599"/>
      <c r="M2806" s="471" t="s">
        <v>6827</v>
      </c>
      <c r="N2806" s="471" t="s">
        <v>1577</v>
      </c>
      <c r="O2806" s="471" t="s">
        <v>1576</v>
      </c>
    </row>
    <row r="2807" spans="1:15" x14ac:dyDescent="0.25">
      <c r="A2807" s="471" t="s">
        <v>6896</v>
      </c>
      <c r="B2807" s="1139">
        <f t="shared" ca="1" si="425"/>
        <v>0</v>
      </c>
      <c r="C2807" s="473">
        <f ca="1">IF(ISERROR(VLOOKUP($A$2725,INDIRECT("notes_"&amp;LEFT($A$2725,4)),4,0)),0,VLOOKUP($A$2725,INDIRECT("notes_"&amp;LEFT($A$2725,4)),4,0))</f>
        <v>0</v>
      </c>
      <c r="H2807" s="478" t="s">
        <v>6809</v>
      </c>
      <c r="I2807" s="478" t="s">
        <v>6810</v>
      </c>
      <c r="J2807" s="471" t="str">
        <f t="shared" si="430"/>
        <v>runexp-suppsubscrip</v>
      </c>
      <c r="K2807" s="471" t="str">
        <f t="shared" si="431"/>
        <v>sc-ad</v>
      </c>
      <c r="L2807" s="599"/>
      <c r="M2807" s="471" t="s">
        <v>6827</v>
      </c>
      <c r="N2807" s="471" t="s">
        <v>1577</v>
      </c>
      <c r="O2807" s="471" t="s">
        <v>1576</v>
      </c>
    </row>
    <row r="2808" spans="1:15" x14ac:dyDescent="0.25">
      <c r="A2808" s="471" t="s">
        <v>6897</v>
      </c>
      <c r="B2808" s="1139">
        <f t="shared" ca="1" si="425"/>
        <v>0</v>
      </c>
      <c r="C2808" s="473">
        <f ca="1">IF(ISERROR(VLOOKUP($A$2726,INDIRECT("notes_"&amp;LEFT($A$2726,4)),4,0)),0,VLOOKUP($A$2726,INDIRECT("notes_"&amp;LEFT($A$2726,4)),4,0))</f>
        <v>0</v>
      </c>
      <c r="H2808" s="478" t="s">
        <v>6809</v>
      </c>
      <c r="I2808" s="478" t="s">
        <v>6810</v>
      </c>
      <c r="J2808" s="471" t="str">
        <f t="shared" si="430"/>
        <v>runexp-suppins</v>
      </c>
      <c r="K2808" s="471" t="str">
        <f t="shared" si="431"/>
        <v>sc-ad</v>
      </c>
      <c r="L2808" s="599"/>
      <c r="M2808" s="471" t="s">
        <v>6827</v>
      </c>
      <c r="N2808" s="471" t="s">
        <v>1577</v>
      </c>
      <c r="O2808" s="471" t="s">
        <v>1576</v>
      </c>
    </row>
    <row r="2809" spans="1:15" x14ac:dyDescent="0.25">
      <c r="A2809" s="471" t="s">
        <v>6898</v>
      </c>
      <c r="B2809" s="1139">
        <f t="shared" ca="1" si="425"/>
        <v>0</v>
      </c>
      <c r="C2809" s="473">
        <f ca="1">IF(ISERROR(VLOOKUP($A$2727,INDIRECT("notes_"&amp;LEFT($A$2727,4)),4,0)),0,VLOOKUP($A$2727,INDIRECT("notes_"&amp;LEFT($A$2727,4)),4,0))</f>
        <v>0</v>
      </c>
      <c r="H2809" s="478" t="s">
        <v>6829</v>
      </c>
      <c r="I2809" s="478" t="s">
        <v>6810</v>
      </c>
      <c r="J2809" s="471" t="str">
        <f t="shared" si="430"/>
        <v>runexp-suppsch-non-ict</v>
      </c>
      <c r="K2809" s="471" t="str">
        <f t="shared" si="431"/>
        <v>sc-ad</v>
      </c>
      <c r="L2809" s="599"/>
      <c r="M2809" s="471" t="s">
        <v>6827</v>
      </c>
      <c r="N2809" s="471" t="s">
        <v>1577</v>
      </c>
      <c r="O2809" s="471" t="s">
        <v>1576</v>
      </c>
    </row>
    <row r="2810" spans="1:15" x14ac:dyDescent="0.25">
      <c r="A2810" s="471" t="s">
        <v>6899</v>
      </c>
      <c r="B2810" s="1139">
        <f t="shared" ca="1" si="425"/>
        <v>0</v>
      </c>
      <c r="C2810" s="473">
        <f ca="1">IF(ISERROR(VLOOKUP($A$2728,INDIRECT("notes_"&amp;LEFT($A$2728,4)),4,0)),0,VLOOKUP($A$2728,INDIRECT("notes_"&amp;LEFT($A$2728,4)),4,0))</f>
        <v>0</v>
      </c>
      <c r="H2810" s="478" t="s">
        <v>6828</v>
      </c>
      <c r="I2810" s="478" t="s">
        <v>6810</v>
      </c>
      <c r="J2810" s="471" t="str">
        <f t="shared" si="430"/>
        <v>runexp-suppsch-ict</v>
      </c>
      <c r="K2810" s="471" t="str">
        <f t="shared" si="431"/>
        <v>sc-ad</v>
      </c>
      <c r="L2810" s="599"/>
      <c r="M2810" s="471" t="s">
        <v>6827</v>
      </c>
      <c r="N2810" s="471" t="s">
        <v>1577</v>
      </c>
      <c r="O2810" s="471" t="s">
        <v>1576</v>
      </c>
    </row>
    <row r="2811" spans="1:15" x14ac:dyDescent="0.25">
      <c r="A2811" s="471" t="s">
        <v>6900</v>
      </c>
      <c r="B2811" s="1139">
        <f t="shared" ca="1" si="425"/>
        <v>0</v>
      </c>
      <c r="C2811" s="473">
        <f ca="1">IF(ISERROR(VLOOKUP($A$2729,INDIRECT("notes_"&amp;LEFT($A$2729,4)),4,0)),0,VLOOKUP($A$2729,INDIRECT("notes_"&amp;LEFT($A$2729,4)),4,0))</f>
        <v>0</v>
      </c>
      <c r="H2811" s="478" t="s">
        <v>6809</v>
      </c>
      <c r="I2811" s="478" t="s">
        <v>6810</v>
      </c>
      <c r="J2811" s="471" t="str">
        <f t="shared" si="430"/>
        <v>runexp-suppexam</v>
      </c>
      <c r="K2811" s="471" t="str">
        <f t="shared" si="431"/>
        <v>sc-ad</v>
      </c>
      <c r="L2811" s="599"/>
      <c r="M2811" s="471" t="s">
        <v>6827</v>
      </c>
      <c r="N2811" s="471" t="s">
        <v>1577</v>
      </c>
      <c r="O2811" s="471" t="s">
        <v>1576</v>
      </c>
    </row>
    <row r="2812" spans="1:15" x14ac:dyDescent="0.25">
      <c r="A2812" s="471" t="s">
        <v>6901</v>
      </c>
      <c r="B2812" s="1139">
        <f t="shared" ca="1" si="425"/>
        <v>0</v>
      </c>
      <c r="C2812" s="473">
        <f ca="1">IF(ISERROR(VLOOKUP($A$2730,INDIRECT("notes_"&amp;LEFT($A$2730,4)),4,0)),0,VLOOKUP($A$2730,INDIRECT("notes_"&amp;LEFT($A$2730,4)),4,0))</f>
        <v>0</v>
      </c>
      <c r="H2812" s="478" t="s">
        <v>6809</v>
      </c>
      <c r="I2812" s="478" t="s">
        <v>6810</v>
      </c>
      <c r="J2812" s="471" t="str">
        <f t="shared" si="430"/>
        <v>runexp-suppoth</v>
      </c>
      <c r="K2812" s="471" t="str">
        <f t="shared" si="431"/>
        <v>sc-ad</v>
      </c>
      <c r="L2812" s="599"/>
      <c r="M2812" s="471" t="s">
        <v>6827</v>
      </c>
      <c r="N2812" s="471" t="s">
        <v>1577</v>
      </c>
      <c r="O2812" s="471" t="s">
        <v>1576</v>
      </c>
    </row>
    <row r="2813" spans="1:15" x14ac:dyDescent="0.25">
      <c r="A2813" s="471" t="s">
        <v>6902</v>
      </c>
      <c r="B2813" s="1139">
        <f t="shared" ca="1" si="425"/>
        <v>0</v>
      </c>
      <c r="C2813" s="473">
        <f ca="1">IF(ISERROR(VLOOKUP($A$2731,INDIRECT("notes_"&amp;LEFT($A$2731,4)),4,0)),0,VLOOKUP($A$2731,INDIRECT("notes_"&amp;LEFT($A$2731,4)),4,0))</f>
        <v>0</v>
      </c>
      <c r="H2813" s="478" t="s">
        <v>6809</v>
      </c>
      <c r="I2813" s="478" t="s">
        <v>6810</v>
      </c>
      <c r="J2813" s="471" t="str">
        <f t="shared" si="430"/>
        <v>runexp-supptot</v>
      </c>
      <c r="K2813" s="471" t="str">
        <f t="shared" si="431"/>
        <v>sc-ad</v>
      </c>
      <c r="L2813" s="599"/>
      <c r="M2813" s="471" t="s">
        <v>6827</v>
      </c>
      <c r="N2813" s="471" t="s">
        <v>1577</v>
      </c>
      <c r="O2813" s="471" t="s">
        <v>1576</v>
      </c>
    </row>
    <row r="2814" spans="1:15" x14ac:dyDescent="0.25">
      <c r="A2814" s="471" t="s">
        <v>6903</v>
      </c>
      <c r="B2814" s="1139">
        <f t="shared" ca="1" si="425"/>
        <v>0</v>
      </c>
      <c r="C2814" s="473">
        <f ca="1">IF(ISERROR(VLOOKUP($A$2732,INDIRECT("notes_"&amp;LEFT($A$2732,4)),4,0)),0,VLOOKUP($A$2732,INDIRECT("notes_"&amp;LEFT($A$2732,4)),4,0))</f>
        <v>0</v>
      </c>
      <c r="H2814" s="478" t="s">
        <v>6830</v>
      </c>
      <c r="I2814" s="478" t="s">
        <v>6810</v>
      </c>
      <c r="J2814" s="471" t="str">
        <f t="shared" si="430"/>
        <v>runexp-tpp-jnt-oth-la</v>
      </c>
      <c r="K2814" s="471" t="str">
        <f t="shared" si="431"/>
        <v>sc-ad</v>
      </c>
      <c r="L2814" s="599"/>
      <c r="M2814" s="471" t="s">
        <v>6827</v>
      </c>
      <c r="N2814" s="471" t="s">
        <v>1577</v>
      </c>
      <c r="O2814" s="471" t="s">
        <v>1576</v>
      </c>
    </row>
    <row r="2815" spans="1:15" x14ac:dyDescent="0.25">
      <c r="A2815" s="471" t="s">
        <v>6904</v>
      </c>
      <c r="B2815" s="1139">
        <f t="shared" ca="1" si="425"/>
        <v>0</v>
      </c>
      <c r="C2815" s="473">
        <f ca="1">IF(ISERROR(VLOOKUP($A$2733,INDIRECT("notes_"&amp;LEFT($A$2733,4)),4,0)),0,VLOOKUP($A$2733,INDIRECT("notes_"&amp;LEFT($A$2733,4)),4,0))</f>
        <v>0</v>
      </c>
      <c r="H2815" s="478" t="s">
        <v>6829</v>
      </c>
      <c r="I2815" s="478" t="s">
        <v>6810</v>
      </c>
      <c r="J2815" s="471" t="str">
        <f t="shared" si="430"/>
        <v>runexp-tpp-pym-vln</v>
      </c>
      <c r="K2815" s="471" t="str">
        <f t="shared" si="431"/>
        <v>sc-ad</v>
      </c>
      <c r="L2815" s="599"/>
      <c r="M2815" s="471" t="s">
        <v>6827</v>
      </c>
      <c r="N2815" s="471" t="s">
        <v>1577</v>
      </c>
      <c r="O2815" s="471" t="s">
        <v>1576</v>
      </c>
    </row>
    <row r="2816" spans="1:15" x14ac:dyDescent="0.25">
      <c r="A2816" s="471" t="s">
        <v>6905</v>
      </c>
      <c r="B2816" s="1139">
        <f t="shared" ca="1" si="425"/>
        <v>0</v>
      </c>
      <c r="C2816" s="473">
        <f ca="1">IF(ISERROR(VLOOKUP($A$2734,INDIRECT("notes_"&amp;LEFT($A$2734,4)),4,0)),0,VLOOKUP($A$2734,INDIRECT("notes_"&amp;LEFT($A$2734,4)),4,0))</f>
        <v>0</v>
      </c>
      <c r="H2816" s="478" t="s">
        <v>6829</v>
      </c>
      <c r="I2816" s="478" t="s">
        <v>6810</v>
      </c>
      <c r="J2816" s="471" t="str">
        <f t="shared" si="430"/>
        <v>runexp-tpp-pc-profess</v>
      </c>
      <c r="K2816" s="471" t="str">
        <f t="shared" si="431"/>
        <v>sc-ad</v>
      </c>
      <c r="L2816" s="599"/>
      <c r="M2816" s="471" t="s">
        <v>6827</v>
      </c>
      <c r="N2816" s="471" t="s">
        <v>1577</v>
      </c>
      <c r="O2816" s="471" t="s">
        <v>1576</v>
      </c>
    </row>
    <row r="2817" spans="1:15" x14ac:dyDescent="0.25">
      <c r="A2817" s="471" t="s">
        <v>6906</v>
      </c>
      <c r="B2817" s="1139">
        <f t="shared" ca="1" si="425"/>
        <v>0</v>
      </c>
      <c r="C2817" s="473">
        <f ca="1">IF(ISERROR(VLOOKUP($A$2735,INDIRECT("notes_"&amp;LEFT($A$2735,4)),4,0)),0,VLOOKUP($A$2735,INDIRECT("notes_"&amp;LEFT($A$2735,4)),4,0))</f>
        <v>0</v>
      </c>
      <c r="H2817" s="478" t="s">
        <v>6829</v>
      </c>
      <c r="I2817" s="478" t="s">
        <v>6810</v>
      </c>
      <c r="J2817" s="471" t="str">
        <f t="shared" si="430"/>
        <v>runexp-tpp-pc-agency</v>
      </c>
      <c r="K2817" s="471" t="str">
        <f t="shared" si="431"/>
        <v>sc-ad</v>
      </c>
      <c r="L2817" s="599"/>
      <c r="M2817" s="471" t="s">
        <v>6827</v>
      </c>
      <c r="N2817" s="471" t="s">
        <v>1577</v>
      </c>
      <c r="O2817" s="471" t="s">
        <v>1576</v>
      </c>
    </row>
    <row r="2818" spans="1:15" x14ac:dyDescent="0.25">
      <c r="A2818" s="471" t="s">
        <v>6907</v>
      </c>
      <c r="B2818" s="1139">
        <f t="shared" ca="1" si="425"/>
        <v>0</v>
      </c>
      <c r="C2818" s="473">
        <f ca="1">IF(ISERROR(VLOOKUP($A$2736,INDIRECT("notes_"&amp;LEFT($A$2736,4)),4,0)),0,VLOOKUP($A$2736,INDIRECT("notes_"&amp;LEFT($A$2736,4)),4,0))</f>
        <v>0</v>
      </c>
      <c r="H2818" s="478" t="s">
        <v>6829</v>
      </c>
      <c r="I2818" s="478" t="s">
        <v>6810</v>
      </c>
      <c r="J2818" s="471" t="str">
        <f t="shared" si="430"/>
        <v>runexp-tpp-pc-oth</v>
      </c>
      <c r="K2818" s="471" t="str">
        <f t="shared" si="431"/>
        <v>sc-ad</v>
      </c>
      <c r="L2818" s="599"/>
      <c r="M2818" s="471" t="s">
        <v>6827</v>
      </c>
      <c r="N2818" s="471" t="s">
        <v>1577</v>
      </c>
      <c r="O2818" s="471" t="s">
        <v>1576</v>
      </c>
    </row>
    <row r="2819" spans="1:15" x14ac:dyDescent="0.25">
      <c r="A2819" s="471" t="s">
        <v>6908</v>
      </c>
      <c r="B2819" s="1139">
        <f t="shared" ca="1" si="425"/>
        <v>0</v>
      </c>
      <c r="C2819" s="473">
        <f ca="1">IF(ISERROR(VLOOKUP($A$2737,INDIRECT("notes_"&amp;LEFT($A$2737,4)),4,0)),0,VLOOKUP($A$2737,INDIRECT("notes_"&amp;LEFT($A$2737,4)),4,0))</f>
        <v>0</v>
      </c>
      <c r="H2819" s="478" t="s">
        <v>6828</v>
      </c>
      <c r="I2819" s="478" t="s">
        <v>6810</v>
      </c>
      <c r="J2819" s="471" t="str">
        <f t="shared" si="430"/>
        <v>runexp-tpp-ito</v>
      </c>
      <c r="K2819" s="471" t="str">
        <f t="shared" si="431"/>
        <v>sc-ad</v>
      </c>
      <c r="L2819" s="599"/>
      <c r="M2819" s="471" t="s">
        <v>6827</v>
      </c>
      <c r="N2819" s="471" t="s">
        <v>1577</v>
      </c>
      <c r="O2819" s="471" t="s">
        <v>1576</v>
      </c>
    </row>
    <row r="2820" spans="1:15" x14ac:dyDescent="0.25">
      <c r="A2820" s="471" t="s">
        <v>6909</v>
      </c>
      <c r="B2820" s="1139">
        <f t="shared" ca="1" si="425"/>
        <v>0</v>
      </c>
      <c r="C2820" s="473">
        <f ca="1">IF(ISERROR(VLOOKUP($A$2738,INDIRECT("notes_"&amp;LEFT($A$2738,4)),4,0)),0,VLOOKUP($A$2738,INDIRECT("notes_"&amp;LEFT($A$2738,4)),4,0))</f>
        <v>0</v>
      </c>
      <c r="H2820" s="478" t="s">
        <v>6828</v>
      </c>
      <c r="I2820" s="478" t="s">
        <v>6810</v>
      </c>
      <c r="J2820" s="471" t="str">
        <f t="shared" si="430"/>
        <v>runexp-tpp-tot</v>
      </c>
      <c r="K2820" s="471" t="str">
        <f t="shared" si="431"/>
        <v>sc-ad</v>
      </c>
      <c r="L2820" s="599"/>
      <c r="M2820" s="471" t="s">
        <v>6827</v>
      </c>
      <c r="N2820" s="471" t="s">
        <v>1577</v>
      </c>
      <c r="O2820" s="471" t="s">
        <v>1576</v>
      </c>
    </row>
    <row r="2821" spans="1:15" x14ac:dyDescent="0.25">
      <c r="A2821" s="471" t="s">
        <v>6910</v>
      </c>
      <c r="B2821" s="1139">
        <f t="shared" ca="1" si="425"/>
        <v>0</v>
      </c>
      <c r="C2821" s="473">
        <f ca="1">IF(ISERROR(VLOOKUP($A$2739,INDIRECT("notes_"&amp;LEFT($A$2739,4)),4,0)),0,VLOOKUP($A$2739,INDIRECT("notes_"&amp;LEFT($A$2739,4)),4,0))</f>
        <v>0</v>
      </c>
      <c r="H2821" s="478" t="s">
        <v>6830</v>
      </c>
      <c r="I2821" s="478" t="s">
        <v>6810</v>
      </c>
      <c r="J2821" s="471" t="str">
        <f t="shared" si="430"/>
        <v>runexp-ttl-trn-pym-dsc</v>
      </c>
      <c r="K2821" s="471" t="str">
        <f t="shared" si="431"/>
        <v>sc-ad</v>
      </c>
      <c r="L2821" s="599"/>
      <c r="M2821" s="471" t="s">
        <v>6827</v>
      </c>
      <c r="N2821" s="471" t="s">
        <v>1577</v>
      </c>
      <c r="O2821" s="471" t="s">
        <v>1576</v>
      </c>
    </row>
    <row r="2822" spans="1:15" x14ac:dyDescent="0.25">
      <c r="A2822" s="471" t="s">
        <v>6911</v>
      </c>
      <c r="B2822" s="1139">
        <f t="shared" ca="1" si="425"/>
        <v>0</v>
      </c>
      <c r="C2822" s="473">
        <f ca="1">IF(ISERROR(VLOOKUP($A$2740,INDIRECT("notes_"&amp;LEFT($A$2740,4)),4,0)),0,VLOOKUP($A$2740,INDIRECT("notes_"&amp;LEFT($A$2740,4)),4,0))</f>
        <v>0</v>
      </c>
      <c r="H2822" s="478" t="s">
        <v>6829</v>
      </c>
      <c r="I2822" s="478" t="s">
        <v>6810</v>
      </c>
      <c r="J2822" s="471" t="str">
        <f t="shared" si="430"/>
        <v>runexp-exp-mng-ss</v>
      </c>
      <c r="K2822" s="471" t="str">
        <f t="shared" si="431"/>
        <v>sc-ad</v>
      </c>
      <c r="L2822" s="599"/>
      <c r="M2822" s="471" t="s">
        <v>6827</v>
      </c>
      <c r="N2822" s="471" t="s">
        <v>1577</v>
      </c>
      <c r="O2822" s="471" t="s">
        <v>1576</v>
      </c>
    </row>
    <row r="2823" spans="1:15" x14ac:dyDescent="0.25">
      <c r="A2823" s="471" t="s">
        <v>6912</v>
      </c>
      <c r="B2823" s="1139">
        <f t="shared" ca="1" si="425"/>
        <v>0</v>
      </c>
      <c r="C2823" s="473">
        <f ca="1">IF(ISERROR(VLOOKUP($A$2741,INDIRECT("notes_"&amp;LEFT($A$2741,4)),4,0)),0,VLOOKUP($A$2741,INDIRECT("notes_"&amp;LEFT($A$2741,4)),4,0))</f>
        <v>0</v>
      </c>
      <c r="H2823" s="478" t="s">
        <v>6809</v>
      </c>
      <c r="I2823" s="478" t="s">
        <v>6810</v>
      </c>
      <c r="J2823" s="471" t="str">
        <f t="shared" si="430"/>
        <v>runexp-tot</v>
      </c>
      <c r="K2823" s="471" t="str">
        <f t="shared" si="431"/>
        <v>sc-ad</v>
      </c>
      <c r="L2823" s="599"/>
      <c r="M2823" s="471" t="s">
        <v>6827</v>
      </c>
      <c r="N2823" s="471" t="s">
        <v>1577</v>
      </c>
      <c r="O2823" s="471" t="s">
        <v>1576</v>
      </c>
    </row>
    <row r="2824" spans="1:15" x14ac:dyDescent="0.25">
      <c r="A2824" s="471" t="s">
        <v>6913</v>
      </c>
      <c r="B2824" s="1139">
        <f t="shared" ca="1" si="425"/>
        <v>0</v>
      </c>
      <c r="C2824" s="473">
        <f ca="1">IF(ISERROR(VLOOKUP($A$2701,INDIRECT("notes_"&amp;LEFT($A$2701,4)),4,0)),0,VLOOKUP($A$2701,INDIRECT("notes_"&amp;LEFT($A$2701,4)),4,0))</f>
        <v>0</v>
      </c>
      <c r="H2824" s="478" t="s">
        <v>6809</v>
      </c>
      <c r="I2824" s="478" t="s">
        <v>6810</v>
      </c>
      <c r="J2824" s="471" t="str">
        <f t="shared" si="430"/>
        <v>runexp-premrepair</v>
      </c>
      <c r="K2824" s="471" t="str">
        <f t="shared" si="431"/>
        <v>pol</v>
      </c>
      <c r="L2824" s="599"/>
      <c r="M2824" s="471" t="s">
        <v>6827</v>
      </c>
      <c r="N2824" s="471" t="s">
        <v>1577</v>
      </c>
      <c r="O2824" s="471" t="s">
        <v>1576</v>
      </c>
    </row>
    <row r="2825" spans="1:15" x14ac:dyDescent="0.25">
      <c r="A2825" s="471" t="s">
        <v>6914</v>
      </c>
      <c r="B2825" s="1139">
        <f t="shared" ca="1" si="425"/>
        <v>0</v>
      </c>
      <c r="C2825" s="473">
        <f ca="1">IF(ISERROR(VLOOKUP($A$2702,INDIRECT("notes_"&amp;LEFT($A$2702,4)),4,0)),0,VLOOKUP($A$2702,INDIRECT("notes_"&amp;LEFT($A$2702,4)),4,0))</f>
        <v>0</v>
      </c>
      <c r="H2825" s="478" t="s">
        <v>6809</v>
      </c>
      <c r="I2825" s="478" t="s">
        <v>6810</v>
      </c>
      <c r="J2825" s="471" t="str">
        <f t="shared" si="430"/>
        <v>runexp-premenergy</v>
      </c>
      <c r="K2825" s="471" t="str">
        <f t="shared" si="431"/>
        <v>pol</v>
      </c>
      <c r="L2825" s="599"/>
      <c r="M2825" s="471" t="s">
        <v>6827</v>
      </c>
      <c r="N2825" s="471" t="s">
        <v>1577</v>
      </c>
      <c r="O2825" s="471" t="s">
        <v>1576</v>
      </c>
    </row>
    <row r="2826" spans="1:15" x14ac:dyDescent="0.25">
      <c r="A2826" s="471" t="s">
        <v>6915</v>
      </c>
      <c r="B2826" s="1139">
        <f t="shared" ca="1" si="425"/>
        <v>0</v>
      </c>
      <c r="C2826" s="473">
        <f ca="1">IF(ISERROR(VLOOKUP($A$2703,INDIRECT("notes_"&amp;LEFT($A$2703,4)),4,0)),0,VLOOKUP($A$2703,INDIRECT("notes_"&amp;LEFT($A$2703,4)),4,0))</f>
        <v>0</v>
      </c>
      <c r="H2826" s="478" t="s">
        <v>6809</v>
      </c>
      <c r="I2826" s="478" t="s">
        <v>6810</v>
      </c>
      <c r="J2826" s="471" t="str">
        <f t="shared" ref="J2826:J2846" si="432">MID($A2826,SEARCH("-",$A2826)+1,SEARCH("#",SUBSTITUTE($A2826,"-","#",H2826),1)-(SEARCH("-",$A2826)+1))</f>
        <v>runexp-premrents</v>
      </c>
      <c r="K2826" s="471" t="str">
        <f t="shared" ref="K2826:K2846" si="433">RIGHT($A2826,LEN($A2826)-SEARCH("#",SUBSTITUTE($A2826,"-","#",H2826),1))</f>
        <v>pol</v>
      </c>
      <c r="L2826" s="599"/>
      <c r="M2826" s="471" t="s">
        <v>6827</v>
      </c>
      <c r="N2826" s="471" t="s">
        <v>1577</v>
      </c>
      <c r="O2826" s="471" t="s">
        <v>1576</v>
      </c>
    </row>
    <row r="2827" spans="1:15" x14ac:dyDescent="0.25">
      <c r="A2827" s="471" t="s">
        <v>6916</v>
      </c>
      <c r="B2827" s="1139">
        <f t="shared" ca="1" si="425"/>
        <v>0</v>
      </c>
      <c r="C2827" s="473">
        <f ca="1">IF(ISERROR(VLOOKUP($A$2704,INDIRECT("notes_"&amp;LEFT($A$2704,4)),4,0)),0,VLOOKUP($A$2704,INDIRECT("notes_"&amp;LEFT($A$2704,4)),4,0))</f>
        <v>0</v>
      </c>
      <c r="H2827" s="478" t="s">
        <v>6809</v>
      </c>
      <c r="I2827" s="478" t="s">
        <v>6810</v>
      </c>
      <c r="J2827" s="471" t="str">
        <f t="shared" si="432"/>
        <v>runexp-premrates</v>
      </c>
      <c r="K2827" s="471" t="str">
        <f t="shared" si="433"/>
        <v>pol</v>
      </c>
      <c r="L2827" s="599"/>
      <c r="M2827" s="471" t="s">
        <v>6827</v>
      </c>
      <c r="N2827" s="471" t="s">
        <v>1577</v>
      </c>
      <c r="O2827" s="471" t="s">
        <v>1576</v>
      </c>
    </row>
    <row r="2828" spans="1:15" x14ac:dyDescent="0.25">
      <c r="A2828" s="471" t="s">
        <v>6917</v>
      </c>
      <c r="B2828" s="1139">
        <f t="shared" ca="1" si="425"/>
        <v>0</v>
      </c>
      <c r="C2828" s="473">
        <f ca="1">IF(ISERROR(VLOOKUP($A$2705,INDIRECT("notes_"&amp;LEFT($A$2705,4)),4,0)),0,VLOOKUP($A$2705,INDIRECT("notes_"&amp;LEFT($A$2705,4)),4,0))</f>
        <v>0</v>
      </c>
      <c r="H2828" s="478" t="s">
        <v>6809</v>
      </c>
      <c r="I2828" s="478" t="s">
        <v>6810</v>
      </c>
      <c r="J2828" s="471" t="str">
        <f t="shared" si="432"/>
        <v>runexp-premwater</v>
      </c>
      <c r="K2828" s="471" t="str">
        <f t="shared" si="433"/>
        <v>pol</v>
      </c>
      <c r="L2828" s="599"/>
      <c r="M2828" s="471" t="s">
        <v>6827</v>
      </c>
      <c r="N2828" s="471" t="s">
        <v>1577</v>
      </c>
      <c r="O2828" s="471" t="s">
        <v>1576</v>
      </c>
    </row>
    <row r="2829" spans="1:15" x14ac:dyDescent="0.25">
      <c r="A2829" s="471" t="s">
        <v>6918</v>
      </c>
      <c r="B2829" s="1139">
        <f t="shared" ref="B2829:B2892" ca="1" si="434">INDEX(INDIRECT(LEFT($A2829,SEARCH("-",$A2829,1)-1)&amp;"_data"),MATCH(MID($A2829,SEARCH("-",$A2829)+1,SEARCH("#",SUBSTITUTE($A2829,"-","#",H2829),1)-(SEARCH("-",$A2829)+1)),INDIRECT(LEFT($A2829,SEARCH("-",$A2829,1)-1)&amp;"_rows"),0),MATCH(RIGHT($A2829,LEN($A2829)-SEARCH("#",SUBSTITUTE($A2829,"-","#",H2829),1)),INDIRECT(LEFT($A2829,SEARCH("-",$A2829,1)-1)&amp;"_Header"),0))</f>
        <v>0</v>
      </c>
      <c r="C2829" s="473">
        <f ca="1">IF(ISERROR(VLOOKUP($A$2706,INDIRECT("notes_"&amp;LEFT($A$2706,4)),4,0)),0,VLOOKUP($A$2706,INDIRECT("notes_"&amp;LEFT($A$2706,4)),4,0))</f>
        <v>0</v>
      </c>
      <c r="H2829" s="478" t="s">
        <v>6809</v>
      </c>
      <c r="I2829" s="478" t="s">
        <v>6810</v>
      </c>
      <c r="J2829" s="471" t="str">
        <f t="shared" si="432"/>
        <v>runexp-premfixfit</v>
      </c>
      <c r="K2829" s="471" t="str">
        <f t="shared" si="433"/>
        <v>pol</v>
      </c>
      <c r="L2829" s="599"/>
      <c r="M2829" s="471" t="s">
        <v>6827</v>
      </c>
      <c r="N2829" s="471" t="s">
        <v>1577</v>
      </c>
      <c r="O2829" s="471" t="s">
        <v>1576</v>
      </c>
    </row>
    <row r="2830" spans="1:15" x14ac:dyDescent="0.25">
      <c r="A2830" s="471" t="s">
        <v>6919</v>
      </c>
      <c r="B2830" s="1139">
        <f t="shared" ca="1" si="434"/>
        <v>0</v>
      </c>
      <c r="C2830" s="473">
        <f ca="1">IF(ISERROR(VLOOKUP($A$2707,INDIRECT("notes_"&amp;LEFT($A$2707,4)),4,0)),0,VLOOKUP($A$2707,INDIRECT("notes_"&amp;LEFT($A$2707,4)),4,0))</f>
        <v>0</v>
      </c>
      <c r="H2830" s="478" t="s">
        <v>6809</v>
      </c>
      <c r="I2830" s="478" t="s">
        <v>6810</v>
      </c>
      <c r="J2830" s="471" t="str">
        <f t="shared" si="432"/>
        <v>runexp-premclean</v>
      </c>
      <c r="K2830" s="471" t="str">
        <f t="shared" si="433"/>
        <v>pol</v>
      </c>
      <c r="L2830" s="599"/>
      <c r="M2830" s="471" t="s">
        <v>6827</v>
      </c>
      <c r="N2830" s="471" t="s">
        <v>1577</v>
      </c>
      <c r="O2830" s="471" t="s">
        <v>1576</v>
      </c>
    </row>
    <row r="2831" spans="1:15" x14ac:dyDescent="0.25">
      <c r="A2831" s="471" t="s">
        <v>6920</v>
      </c>
      <c r="B2831" s="1139">
        <f t="shared" ca="1" si="434"/>
        <v>0</v>
      </c>
      <c r="C2831" s="473">
        <f ca="1">IF(ISERROR(VLOOKUP($A$2708,INDIRECT("notes_"&amp;LEFT($A$2708,4)),4,0)),0,VLOOKUP($A$2708,INDIRECT("notes_"&amp;LEFT($A$2708,4)),4,0))</f>
        <v>0</v>
      </c>
      <c r="H2831" s="478" t="s">
        <v>6809</v>
      </c>
      <c r="I2831" s="478" t="s">
        <v>6810</v>
      </c>
      <c r="J2831" s="471" t="str">
        <f t="shared" si="432"/>
        <v>runexp-premgroundmnt</v>
      </c>
      <c r="K2831" s="471" t="str">
        <f t="shared" si="433"/>
        <v>pol</v>
      </c>
      <c r="L2831" s="599"/>
      <c r="M2831" s="471" t="s">
        <v>6827</v>
      </c>
      <c r="N2831" s="471" t="s">
        <v>1577</v>
      </c>
      <c r="O2831" s="471" t="s">
        <v>1576</v>
      </c>
    </row>
    <row r="2832" spans="1:15" x14ac:dyDescent="0.25">
      <c r="A2832" s="471" t="s">
        <v>6921</v>
      </c>
      <c r="B2832" s="1139">
        <f t="shared" ca="1" si="434"/>
        <v>0</v>
      </c>
      <c r="C2832" s="473">
        <f ca="1">IF(ISERROR(VLOOKUP($A$2709,INDIRECT("notes_"&amp;LEFT($A$2709,4)),4,0)),0,VLOOKUP($A$2709,INDIRECT("notes_"&amp;LEFT($A$2709,4)),4,0))</f>
        <v>0</v>
      </c>
      <c r="H2832" s="478" t="s">
        <v>6809</v>
      </c>
      <c r="I2832" s="478" t="s">
        <v>6810</v>
      </c>
      <c r="J2832" s="471" t="str">
        <f t="shared" si="432"/>
        <v>runexp-premins</v>
      </c>
      <c r="K2832" s="471" t="str">
        <f t="shared" si="433"/>
        <v>pol</v>
      </c>
      <c r="L2832" s="599"/>
      <c r="M2832" s="471" t="s">
        <v>6827</v>
      </c>
      <c r="N2832" s="471" t="s">
        <v>1577</v>
      </c>
      <c r="O2832" s="471" t="s">
        <v>1576</v>
      </c>
    </row>
    <row r="2833" spans="1:15" x14ac:dyDescent="0.25">
      <c r="A2833" s="471" t="s">
        <v>6922</v>
      </c>
      <c r="B2833" s="1139">
        <f t="shared" ca="1" si="434"/>
        <v>0</v>
      </c>
      <c r="C2833" s="473">
        <f ca="1">IF(ISERROR(VLOOKUP($A$2710,INDIRECT("notes_"&amp;LEFT($A$2710,4)),4,0)),0,VLOOKUP($A$2710,INDIRECT("notes_"&amp;LEFT($A$2710,4)),4,0))</f>
        <v>0</v>
      </c>
      <c r="H2833" s="478" t="s">
        <v>6809</v>
      </c>
      <c r="I2833" s="478" t="s">
        <v>6810</v>
      </c>
      <c r="J2833" s="471" t="str">
        <f t="shared" si="432"/>
        <v>runexp-premoth</v>
      </c>
      <c r="K2833" s="471" t="str">
        <f t="shared" si="433"/>
        <v>pol</v>
      </c>
      <c r="L2833" s="599"/>
      <c r="M2833" s="471" t="s">
        <v>6827</v>
      </c>
      <c r="N2833" s="471" t="s">
        <v>1577</v>
      </c>
      <c r="O2833" s="471" t="s">
        <v>1576</v>
      </c>
    </row>
    <row r="2834" spans="1:15" x14ac:dyDescent="0.25">
      <c r="A2834" s="471" t="s">
        <v>6923</v>
      </c>
      <c r="B2834" s="1139">
        <f t="shared" ca="1" si="434"/>
        <v>0</v>
      </c>
      <c r="C2834" s="473">
        <f ca="1">IF(ISERROR(VLOOKUP($A$2711,INDIRECT("notes_"&amp;LEFT($A$2711,4)),4,0)),0,VLOOKUP($A$2711,INDIRECT("notes_"&amp;LEFT($A$2711,4)),4,0))</f>
        <v>0</v>
      </c>
      <c r="H2834" s="478" t="s">
        <v>6809</v>
      </c>
      <c r="I2834" s="478" t="s">
        <v>6810</v>
      </c>
      <c r="J2834" s="471" t="str">
        <f t="shared" si="432"/>
        <v>runexp-premtot</v>
      </c>
      <c r="K2834" s="471" t="str">
        <f t="shared" si="433"/>
        <v>pol</v>
      </c>
      <c r="L2834" s="599"/>
      <c r="M2834" s="471" t="s">
        <v>6827</v>
      </c>
      <c r="N2834" s="471" t="s">
        <v>1577</v>
      </c>
      <c r="O2834" s="471" t="s">
        <v>1576</v>
      </c>
    </row>
    <row r="2835" spans="1:15" x14ac:dyDescent="0.25">
      <c r="A2835" s="471" t="s">
        <v>6924</v>
      </c>
      <c r="B2835" s="1139">
        <f t="shared" ca="1" si="434"/>
        <v>0</v>
      </c>
      <c r="C2835" s="473">
        <f ca="1">IF(ISERROR(VLOOKUP($A$2712,INDIRECT("notes_"&amp;LEFT($A$2712,4)),4,0)),0,VLOOKUP($A$2712,INDIRECT("notes_"&amp;LEFT($A$2712,4)),4,0))</f>
        <v>0</v>
      </c>
      <c r="H2835" s="478" t="s">
        <v>6809</v>
      </c>
      <c r="I2835" s="478" t="s">
        <v>6810</v>
      </c>
      <c r="J2835" s="471" t="str">
        <f t="shared" si="432"/>
        <v>runexp-transvhcmnt</v>
      </c>
      <c r="K2835" s="471" t="str">
        <f t="shared" si="433"/>
        <v>pol</v>
      </c>
      <c r="L2835" s="599"/>
      <c r="M2835" s="471" t="s">
        <v>6827</v>
      </c>
      <c r="N2835" s="471" t="s">
        <v>1577</v>
      </c>
      <c r="O2835" s="471" t="s">
        <v>1576</v>
      </c>
    </row>
    <row r="2836" spans="1:15" x14ac:dyDescent="0.25">
      <c r="A2836" s="471" t="s">
        <v>6925</v>
      </c>
      <c r="B2836" s="1139">
        <f t="shared" ca="1" si="434"/>
        <v>0</v>
      </c>
      <c r="C2836" s="473">
        <f ca="1">IF(ISERROR(VLOOKUP($A$2713,INDIRECT("notes_"&amp;LEFT($A$2713,4)),4,0)),0,VLOOKUP($A$2713,INDIRECT("notes_"&amp;LEFT($A$2713,4)),4,0))</f>
        <v>0</v>
      </c>
      <c r="H2836" s="478" t="s">
        <v>6828</v>
      </c>
      <c r="I2836" s="478" t="s">
        <v>6810</v>
      </c>
      <c r="J2836" s="471" t="str">
        <f t="shared" si="432"/>
        <v>runexp-transhire-lease</v>
      </c>
      <c r="K2836" s="471" t="str">
        <f t="shared" si="433"/>
        <v>pol</v>
      </c>
      <c r="L2836" s="599"/>
      <c r="M2836" s="471" t="s">
        <v>6827</v>
      </c>
      <c r="N2836" s="471" t="s">
        <v>1577</v>
      </c>
      <c r="O2836" s="471" t="s">
        <v>1576</v>
      </c>
    </row>
    <row r="2837" spans="1:15" x14ac:dyDescent="0.25">
      <c r="A2837" s="471" t="s">
        <v>6926</v>
      </c>
      <c r="B2837" s="1139">
        <f t="shared" ca="1" si="434"/>
        <v>0</v>
      </c>
      <c r="C2837" s="473">
        <f ca="1">IF(ISERROR(VLOOKUP($A$2714,INDIRECT("notes_"&amp;LEFT($A$2714,4)),4,0)),0,VLOOKUP($A$2714,INDIRECT("notes_"&amp;LEFT($A$2714,4)),4,0))</f>
        <v>0</v>
      </c>
      <c r="H2837" s="478" t="s">
        <v>6809</v>
      </c>
      <c r="I2837" s="478" t="s">
        <v>6810</v>
      </c>
      <c r="J2837" s="471" t="str">
        <f t="shared" si="432"/>
        <v>runexp-transcarall</v>
      </c>
      <c r="K2837" s="471" t="str">
        <f t="shared" si="433"/>
        <v>pol</v>
      </c>
      <c r="L2837" s="599"/>
      <c r="M2837" s="471" t="s">
        <v>6827</v>
      </c>
      <c r="N2837" s="471" t="s">
        <v>1577</v>
      </c>
      <c r="O2837" s="471" t="s">
        <v>1576</v>
      </c>
    </row>
    <row r="2838" spans="1:15" x14ac:dyDescent="0.25">
      <c r="A2838" s="471" t="s">
        <v>6927</v>
      </c>
      <c r="B2838" s="1139">
        <f t="shared" ca="1" si="434"/>
        <v>0</v>
      </c>
      <c r="C2838" s="473">
        <f ca="1">IF(ISERROR(VLOOKUP($A$2715,INDIRECT("notes_"&amp;LEFT($A$2715,4)),4,0)),0,VLOOKUP($A$2715,INDIRECT("notes_"&amp;LEFT($A$2715,4)),4,0))</f>
        <v>0</v>
      </c>
      <c r="H2838" s="478" t="s">
        <v>6809</v>
      </c>
      <c r="I2838" s="478" t="s">
        <v>6810</v>
      </c>
      <c r="J2838" s="471" t="str">
        <f t="shared" si="432"/>
        <v>runexp-transpubttrnsall</v>
      </c>
      <c r="K2838" s="471" t="str">
        <f t="shared" si="433"/>
        <v>pol</v>
      </c>
      <c r="L2838" s="599"/>
      <c r="M2838" s="471" t="s">
        <v>6827</v>
      </c>
      <c r="N2838" s="471" t="s">
        <v>1577</v>
      </c>
      <c r="O2838" s="471" t="s">
        <v>1576</v>
      </c>
    </row>
    <row r="2839" spans="1:15" x14ac:dyDescent="0.25">
      <c r="A2839" s="471" t="s">
        <v>6928</v>
      </c>
      <c r="B2839" s="1139">
        <f t="shared" ca="1" si="434"/>
        <v>0</v>
      </c>
      <c r="C2839" s="473">
        <f ca="1">IF(ISERROR(VLOOKUP($A$2716,INDIRECT("notes_"&amp;LEFT($A$2716,4)),4,0)),0,VLOOKUP($A$2716,INDIRECT("notes_"&amp;LEFT($A$2716,4)),4,0))</f>
        <v>0</v>
      </c>
      <c r="H2839" s="478" t="s">
        <v>6809</v>
      </c>
      <c r="I2839" s="478" t="s">
        <v>6810</v>
      </c>
      <c r="J2839" s="471" t="str">
        <f t="shared" si="432"/>
        <v>runexp-transins</v>
      </c>
      <c r="K2839" s="471" t="str">
        <f t="shared" si="433"/>
        <v>pol</v>
      </c>
      <c r="L2839" s="599"/>
      <c r="M2839" s="471" t="s">
        <v>6827</v>
      </c>
      <c r="N2839" s="471" t="s">
        <v>1577</v>
      </c>
      <c r="O2839" s="471" t="s">
        <v>1576</v>
      </c>
    </row>
    <row r="2840" spans="1:15" x14ac:dyDescent="0.25">
      <c r="A2840" s="471" t="s">
        <v>6929</v>
      </c>
      <c r="B2840" s="1139">
        <f t="shared" ca="1" si="434"/>
        <v>0</v>
      </c>
      <c r="C2840" s="473">
        <f ca="1">IF(ISERROR(VLOOKUP($A$2717,INDIRECT("notes_"&amp;LEFT($A$2717,4)),4,0)),0,VLOOKUP($A$2717,INDIRECT("notes_"&amp;LEFT($A$2717,4)),4,0))</f>
        <v>0</v>
      </c>
      <c r="H2840" s="478" t="s">
        <v>6809</v>
      </c>
      <c r="I2840" s="478" t="s">
        <v>6810</v>
      </c>
      <c r="J2840" s="471" t="str">
        <f t="shared" si="432"/>
        <v>runexp-transoth</v>
      </c>
      <c r="K2840" s="471" t="str">
        <f t="shared" si="433"/>
        <v>pol</v>
      </c>
      <c r="L2840" s="599"/>
      <c r="M2840" s="471" t="s">
        <v>6827</v>
      </c>
      <c r="N2840" s="471" t="s">
        <v>1577</v>
      </c>
      <c r="O2840" s="471" t="s">
        <v>1576</v>
      </c>
    </row>
    <row r="2841" spans="1:15" x14ac:dyDescent="0.25">
      <c r="A2841" s="471" t="s">
        <v>6930</v>
      </c>
      <c r="B2841" s="1139">
        <f t="shared" ca="1" si="434"/>
        <v>0</v>
      </c>
      <c r="C2841" s="473">
        <f ca="1">IF(ISERROR(VLOOKUP($A$2718,INDIRECT("notes_"&amp;LEFT($A$2718,4)),4,0)),0,VLOOKUP($A$2718,INDIRECT("notes_"&amp;LEFT($A$2718,4)),4,0))</f>
        <v>0</v>
      </c>
      <c r="H2841" s="478" t="s">
        <v>6809</v>
      </c>
      <c r="I2841" s="478" t="s">
        <v>6810</v>
      </c>
      <c r="J2841" s="471" t="str">
        <f t="shared" si="432"/>
        <v>runexp-transtot</v>
      </c>
      <c r="K2841" s="471" t="str">
        <f t="shared" si="433"/>
        <v>pol</v>
      </c>
      <c r="L2841" s="599"/>
      <c r="M2841" s="471" t="s">
        <v>6827</v>
      </c>
      <c r="N2841" s="471" t="s">
        <v>1577</v>
      </c>
      <c r="O2841" s="471" t="s">
        <v>1576</v>
      </c>
    </row>
    <row r="2842" spans="1:15" x14ac:dyDescent="0.25">
      <c r="A2842" s="471" t="s">
        <v>6931</v>
      </c>
      <c r="B2842" s="1139">
        <f t="shared" ca="1" si="434"/>
        <v>0</v>
      </c>
      <c r="C2842" s="473">
        <f ca="1">IF(ISERROR(VLOOKUP($A$2719,INDIRECT("notes_"&amp;LEFT($A$2719,4)),4,0)),0,VLOOKUP($A$2719,INDIRECT("notes_"&amp;LEFT($A$2719,4)),4,0))</f>
        <v>0</v>
      </c>
      <c r="H2842" s="478" t="s">
        <v>6809</v>
      </c>
      <c r="I2842" s="478" t="s">
        <v>6810</v>
      </c>
      <c r="J2842" s="471" t="str">
        <f t="shared" si="432"/>
        <v>runexp-suppequip</v>
      </c>
      <c r="K2842" s="471" t="str">
        <f t="shared" si="433"/>
        <v>pol</v>
      </c>
      <c r="L2842" s="599"/>
      <c r="M2842" s="471" t="s">
        <v>6827</v>
      </c>
      <c r="N2842" s="471" t="s">
        <v>1577</v>
      </c>
      <c r="O2842" s="471" t="s">
        <v>1576</v>
      </c>
    </row>
    <row r="2843" spans="1:15" x14ac:dyDescent="0.25">
      <c r="A2843" s="471" t="s">
        <v>6932</v>
      </c>
      <c r="B2843" s="1139">
        <f t="shared" ca="1" si="434"/>
        <v>0</v>
      </c>
      <c r="C2843" s="473">
        <f ca="1">IF(ISERROR(VLOOKUP($A$2720,INDIRECT("notes_"&amp;LEFT($A$2720,4)),4,0)),0,VLOOKUP($A$2720,INDIRECT("notes_"&amp;LEFT($A$2720,4)),4,0))</f>
        <v>0</v>
      </c>
      <c r="H2843" s="478" t="s">
        <v>6809</v>
      </c>
      <c r="I2843" s="478" t="s">
        <v>6810</v>
      </c>
      <c r="J2843" s="471" t="str">
        <f t="shared" si="432"/>
        <v>runexp-suppcatering</v>
      </c>
      <c r="K2843" s="471" t="str">
        <f t="shared" si="433"/>
        <v>pol</v>
      </c>
      <c r="L2843" s="599"/>
      <c r="M2843" s="471" t="s">
        <v>6827</v>
      </c>
      <c r="N2843" s="471" t="s">
        <v>1577</v>
      </c>
      <c r="O2843" s="471" t="s">
        <v>1576</v>
      </c>
    </row>
    <row r="2844" spans="1:15" x14ac:dyDescent="0.25">
      <c r="A2844" s="471" t="s">
        <v>6933</v>
      </c>
      <c r="B2844" s="1139">
        <f t="shared" ca="1" si="434"/>
        <v>0</v>
      </c>
      <c r="C2844" s="473">
        <f ca="1">IF(ISERROR(VLOOKUP($A$2721,INDIRECT("notes_"&amp;LEFT($A$2721,4)),4,0)),0,VLOOKUP($A$2721,INDIRECT("notes_"&amp;LEFT($A$2721,4)),4,0))</f>
        <v>0</v>
      </c>
      <c r="H2844" s="478" t="s">
        <v>6809</v>
      </c>
      <c r="I2844" s="478" t="s">
        <v>6810</v>
      </c>
      <c r="J2844" s="471" t="str">
        <f t="shared" si="432"/>
        <v>runexp-suppclth</v>
      </c>
      <c r="K2844" s="471" t="str">
        <f t="shared" si="433"/>
        <v>pol</v>
      </c>
      <c r="L2844" s="599"/>
      <c r="M2844" s="471" t="s">
        <v>6827</v>
      </c>
      <c r="N2844" s="471" t="s">
        <v>1577</v>
      </c>
      <c r="O2844" s="471" t="s">
        <v>1576</v>
      </c>
    </row>
    <row r="2845" spans="1:15" x14ac:dyDescent="0.25">
      <c r="A2845" s="471" t="s">
        <v>6934</v>
      </c>
      <c r="B2845" s="1139">
        <f t="shared" ca="1" si="434"/>
        <v>0</v>
      </c>
      <c r="C2845" s="473">
        <f ca="1">IF(ISERROR(VLOOKUP($A$2722,INDIRECT("notes_"&amp;LEFT($A$2722,4)),4,0)),0,VLOOKUP($A$2722,INDIRECT("notes_"&amp;LEFT($A$2722,4)),4,0))</f>
        <v>0</v>
      </c>
      <c r="H2845" s="478" t="s">
        <v>6809</v>
      </c>
      <c r="I2845" s="478" t="s">
        <v>6810</v>
      </c>
      <c r="J2845" s="471" t="str">
        <f t="shared" si="432"/>
        <v>runexp-suppoffexp</v>
      </c>
      <c r="K2845" s="471" t="str">
        <f t="shared" si="433"/>
        <v>pol</v>
      </c>
      <c r="L2845" s="599"/>
      <c r="M2845" s="471" t="s">
        <v>6827</v>
      </c>
      <c r="N2845" s="471" t="s">
        <v>1577</v>
      </c>
      <c r="O2845" s="471" t="s">
        <v>1576</v>
      </c>
    </row>
    <row r="2846" spans="1:15" x14ac:dyDescent="0.25">
      <c r="A2846" s="471" t="s">
        <v>6935</v>
      </c>
      <c r="B2846" s="1139">
        <f t="shared" ca="1" si="434"/>
        <v>0</v>
      </c>
      <c r="C2846" s="473">
        <f ca="1">IF(ISERROR(VLOOKUP($A$2723,INDIRECT("notes_"&amp;LEFT($A$2723,4)),4,0)),0,VLOOKUP($A$2723,INDIRECT("notes_"&amp;LEFT($A$2723,4)),4,0))</f>
        <v>0</v>
      </c>
      <c r="H2846" s="478" t="s">
        <v>6809</v>
      </c>
      <c r="I2846" s="478" t="s">
        <v>6810</v>
      </c>
      <c r="J2846" s="471" t="str">
        <f t="shared" si="432"/>
        <v>runexp-suppcomms</v>
      </c>
      <c r="K2846" s="471" t="str">
        <f t="shared" si="433"/>
        <v>pol</v>
      </c>
      <c r="L2846" s="599"/>
      <c r="M2846" s="471" t="s">
        <v>6827</v>
      </c>
      <c r="N2846" s="471" t="s">
        <v>1577</v>
      </c>
      <c r="O2846" s="471" t="s">
        <v>1576</v>
      </c>
    </row>
    <row r="2847" spans="1:15" x14ac:dyDescent="0.25">
      <c r="A2847" s="471" t="s">
        <v>6936</v>
      </c>
      <c r="B2847" s="1139">
        <f t="shared" ca="1" si="434"/>
        <v>0</v>
      </c>
      <c r="C2847" s="473">
        <f ca="1">IF(ISERROR(VLOOKUP($A$2724,INDIRECT("notes_"&amp;LEFT($A$2724,4)),4,0)),0,VLOOKUP($A$2724,INDIRECT("notes_"&amp;LEFT($A$2724,4)),4,0))</f>
        <v>0</v>
      </c>
      <c r="H2847" s="478" t="s">
        <v>6809</v>
      </c>
      <c r="I2847" s="478" t="s">
        <v>6810</v>
      </c>
      <c r="J2847" s="471" t="str">
        <f t="shared" ref="J2847:J2865" si="435">MID($A2847,SEARCH("-",$A2847)+1,SEARCH("#",SUBSTITUTE($A2847,"-","#",H2847),1)-(SEARCH("-",$A2847)+1))</f>
        <v>runexp-suppsubs</v>
      </c>
      <c r="K2847" s="471" t="str">
        <f t="shared" ref="K2847:K2865" si="436">RIGHT($A2847,LEN($A2847)-SEARCH("#",SUBSTITUTE($A2847,"-","#",H2847),1))</f>
        <v>pol</v>
      </c>
      <c r="L2847" s="599"/>
      <c r="M2847" s="471" t="s">
        <v>6827</v>
      </c>
      <c r="N2847" s="471" t="s">
        <v>1577</v>
      </c>
      <c r="O2847" s="471" t="s">
        <v>1576</v>
      </c>
    </row>
    <row r="2848" spans="1:15" x14ac:dyDescent="0.25">
      <c r="A2848" s="471" t="s">
        <v>6937</v>
      </c>
      <c r="B2848" s="1139">
        <f t="shared" ca="1" si="434"/>
        <v>0</v>
      </c>
      <c r="C2848" s="473">
        <f ca="1">IF(ISERROR(VLOOKUP($A$2725,INDIRECT("notes_"&amp;LEFT($A$2725,4)),4,0)),0,VLOOKUP($A$2725,INDIRECT("notes_"&amp;LEFT($A$2725,4)),4,0))</f>
        <v>0</v>
      </c>
      <c r="H2848" s="478" t="s">
        <v>6809</v>
      </c>
      <c r="I2848" s="478" t="s">
        <v>6810</v>
      </c>
      <c r="J2848" s="471" t="str">
        <f t="shared" si="435"/>
        <v>runexp-suppsubscrip</v>
      </c>
      <c r="K2848" s="471" t="str">
        <f t="shared" si="436"/>
        <v>pol</v>
      </c>
      <c r="L2848" s="599"/>
      <c r="M2848" s="471" t="s">
        <v>6827</v>
      </c>
      <c r="N2848" s="471" t="s">
        <v>1577</v>
      </c>
      <c r="O2848" s="471" t="s">
        <v>1576</v>
      </c>
    </row>
    <row r="2849" spans="1:15" x14ac:dyDescent="0.25">
      <c r="A2849" s="471" t="s">
        <v>6938</v>
      </c>
      <c r="B2849" s="1139">
        <f t="shared" ca="1" si="434"/>
        <v>0</v>
      </c>
      <c r="C2849" s="473">
        <f ca="1">IF(ISERROR(VLOOKUP($A$2726,INDIRECT("notes_"&amp;LEFT($A$2726,4)),4,0)),0,VLOOKUP($A$2726,INDIRECT("notes_"&amp;LEFT($A$2726,4)),4,0))</f>
        <v>0</v>
      </c>
      <c r="H2849" s="478" t="s">
        <v>6809</v>
      </c>
      <c r="I2849" s="478" t="s">
        <v>6810</v>
      </c>
      <c r="J2849" s="471" t="str">
        <f t="shared" si="435"/>
        <v>runexp-suppins</v>
      </c>
      <c r="K2849" s="471" t="str">
        <f t="shared" si="436"/>
        <v>pol</v>
      </c>
      <c r="L2849" s="599"/>
      <c r="M2849" s="471" t="s">
        <v>6827</v>
      </c>
      <c r="N2849" s="471" t="s">
        <v>1577</v>
      </c>
      <c r="O2849" s="471" t="s">
        <v>1576</v>
      </c>
    </row>
    <row r="2850" spans="1:15" x14ac:dyDescent="0.25">
      <c r="A2850" s="471" t="s">
        <v>6939</v>
      </c>
      <c r="B2850" s="1139">
        <f t="shared" ca="1" si="434"/>
        <v>0</v>
      </c>
      <c r="C2850" s="473">
        <f ca="1">IF(ISERROR(VLOOKUP($A$2727,INDIRECT("notes_"&amp;LEFT($A$2727,4)),4,0)),0,VLOOKUP($A$2727,INDIRECT("notes_"&amp;LEFT($A$2727,4)),4,0))</f>
        <v>0</v>
      </c>
      <c r="H2850" s="478" t="s">
        <v>6829</v>
      </c>
      <c r="I2850" s="478" t="s">
        <v>6810</v>
      </c>
      <c r="J2850" s="471" t="str">
        <f t="shared" si="435"/>
        <v>runexp-suppsch-non-ict</v>
      </c>
      <c r="K2850" s="471" t="str">
        <f t="shared" si="436"/>
        <v>pol</v>
      </c>
      <c r="L2850" s="599"/>
      <c r="M2850" s="471" t="s">
        <v>6827</v>
      </c>
      <c r="N2850" s="471" t="s">
        <v>1577</v>
      </c>
      <c r="O2850" s="471" t="s">
        <v>1576</v>
      </c>
    </row>
    <row r="2851" spans="1:15" x14ac:dyDescent="0.25">
      <c r="A2851" s="471" t="s">
        <v>6940</v>
      </c>
      <c r="B2851" s="1139">
        <f t="shared" ca="1" si="434"/>
        <v>0</v>
      </c>
      <c r="C2851" s="473">
        <f ca="1">IF(ISERROR(VLOOKUP($A$2728,INDIRECT("notes_"&amp;LEFT($A$2728,4)),4,0)),0,VLOOKUP($A$2728,INDIRECT("notes_"&amp;LEFT($A$2728,4)),4,0))</f>
        <v>0</v>
      </c>
      <c r="H2851" s="478" t="s">
        <v>6828</v>
      </c>
      <c r="I2851" s="478" t="s">
        <v>6810</v>
      </c>
      <c r="J2851" s="471" t="str">
        <f t="shared" si="435"/>
        <v>runexp-suppsch-ict</v>
      </c>
      <c r="K2851" s="471" t="str">
        <f t="shared" si="436"/>
        <v>pol</v>
      </c>
      <c r="L2851" s="599"/>
      <c r="M2851" s="471" t="s">
        <v>6827</v>
      </c>
      <c r="N2851" s="471" t="s">
        <v>1577</v>
      </c>
      <c r="O2851" s="471" t="s">
        <v>1576</v>
      </c>
    </row>
    <row r="2852" spans="1:15" x14ac:dyDescent="0.25">
      <c r="A2852" s="471" t="s">
        <v>6941</v>
      </c>
      <c r="B2852" s="1139">
        <f t="shared" ca="1" si="434"/>
        <v>0</v>
      </c>
      <c r="C2852" s="473">
        <f ca="1">IF(ISERROR(VLOOKUP($A$2729,INDIRECT("notes_"&amp;LEFT($A$2729,4)),4,0)),0,VLOOKUP($A$2729,INDIRECT("notes_"&amp;LEFT($A$2729,4)),4,0))</f>
        <v>0</v>
      </c>
      <c r="H2852" s="478" t="s">
        <v>6809</v>
      </c>
      <c r="I2852" s="478" t="s">
        <v>6810</v>
      </c>
      <c r="J2852" s="471" t="str">
        <f t="shared" si="435"/>
        <v>runexp-suppexam</v>
      </c>
      <c r="K2852" s="471" t="str">
        <f t="shared" si="436"/>
        <v>pol</v>
      </c>
      <c r="L2852" s="599"/>
      <c r="M2852" s="471" t="s">
        <v>6827</v>
      </c>
      <c r="N2852" s="471" t="s">
        <v>1577</v>
      </c>
      <c r="O2852" s="471" t="s">
        <v>1576</v>
      </c>
    </row>
    <row r="2853" spans="1:15" x14ac:dyDescent="0.25">
      <c r="A2853" s="471" t="s">
        <v>6942</v>
      </c>
      <c r="B2853" s="1139">
        <f t="shared" ca="1" si="434"/>
        <v>0</v>
      </c>
      <c r="C2853" s="473">
        <f ca="1">IF(ISERROR(VLOOKUP($A$2730,INDIRECT("notes_"&amp;LEFT($A$2730,4)),4,0)),0,VLOOKUP($A$2730,INDIRECT("notes_"&amp;LEFT($A$2730,4)),4,0))</f>
        <v>0</v>
      </c>
      <c r="H2853" s="478" t="s">
        <v>6809</v>
      </c>
      <c r="I2853" s="478" t="s">
        <v>6810</v>
      </c>
      <c r="J2853" s="471" t="str">
        <f t="shared" si="435"/>
        <v>runexp-suppoth</v>
      </c>
      <c r="K2853" s="471" t="str">
        <f t="shared" si="436"/>
        <v>pol</v>
      </c>
      <c r="L2853" s="599"/>
      <c r="M2853" s="471" t="s">
        <v>6827</v>
      </c>
      <c r="N2853" s="471" t="s">
        <v>1577</v>
      </c>
      <c r="O2853" s="471" t="s">
        <v>1576</v>
      </c>
    </row>
    <row r="2854" spans="1:15" x14ac:dyDescent="0.25">
      <c r="A2854" s="471" t="s">
        <v>6943</v>
      </c>
      <c r="B2854" s="1139">
        <f t="shared" ca="1" si="434"/>
        <v>0</v>
      </c>
      <c r="C2854" s="473">
        <f ca="1">IF(ISERROR(VLOOKUP($A$2731,INDIRECT("notes_"&amp;LEFT($A$2731,4)),4,0)),0,VLOOKUP($A$2731,INDIRECT("notes_"&amp;LEFT($A$2731,4)),4,0))</f>
        <v>0</v>
      </c>
      <c r="H2854" s="478" t="s">
        <v>6809</v>
      </c>
      <c r="I2854" s="478" t="s">
        <v>6810</v>
      </c>
      <c r="J2854" s="471" t="str">
        <f t="shared" si="435"/>
        <v>runexp-supptot</v>
      </c>
      <c r="K2854" s="471" t="str">
        <f t="shared" si="436"/>
        <v>pol</v>
      </c>
      <c r="L2854" s="599"/>
      <c r="M2854" s="471" t="s">
        <v>6827</v>
      </c>
      <c r="N2854" s="471" t="s">
        <v>1577</v>
      </c>
      <c r="O2854" s="471" t="s">
        <v>1576</v>
      </c>
    </row>
    <row r="2855" spans="1:15" x14ac:dyDescent="0.25">
      <c r="A2855" s="471" t="s">
        <v>6944</v>
      </c>
      <c r="B2855" s="1139">
        <f t="shared" ca="1" si="434"/>
        <v>0</v>
      </c>
      <c r="C2855" s="473">
        <f ca="1">IF(ISERROR(VLOOKUP($A$2732,INDIRECT("notes_"&amp;LEFT($A$2732,4)),4,0)),0,VLOOKUP($A$2732,INDIRECT("notes_"&amp;LEFT($A$2732,4)),4,0))</f>
        <v>0</v>
      </c>
      <c r="H2855" s="478" t="s">
        <v>6830</v>
      </c>
      <c r="I2855" s="478" t="s">
        <v>6810</v>
      </c>
      <c r="J2855" s="471" t="str">
        <f t="shared" si="435"/>
        <v>runexp-tpp-jnt-oth-la</v>
      </c>
      <c r="K2855" s="471" t="str">
        <f t="shared" si="436"/>
        <v>pol</v>
      </c>
      <c r="L2855" s="599"/>
      <c r="M2855" s="471" t="s">
        <v>6827</v>
      </c>
      <c r="N2855" s="471" t="s">
        <v>1577</v>
      </c>
      <c r="O2855" s="471" t="s">
        <v>1576</v>
      </c>
    </row>
    <row r="2856" spans="1:15" x14ac:dyDescent="0.25">
      <c r="A2856" s="471" t="s">
        <v>6945</v>
      </c>
      <c r="B2856" s="1139">
        <f t="shared" ca="1" si="434"/>
        <v>0</v>
      </c>
      <c r="C2856" s="473">
        <f ca="1">IF(ISERROR(VLOOKUP($A$2733,INDIRECT("notes_"&amp;LEFT($A$2733,4)),4,0)),0,VLOOKUP($A$2733,INDIRECT("notes_"&amp;LEFT($A$2733,4)),4,0))</f>
        <v>0</v>
      </c>
      <c r="H2856" s="478" t="s">
        <v>6829</v>
      </c>
      <c r="I2856" s="478" t="s">
        <v>6810</v>
      </c>
      <c r="J2856" s="471" t="str">
        <f t="shared" si="435"/>
        <v>runexp-tpp-pym-vln</v>
      </c>
      <c r="K2856" s="471" t="str">
        <f t="shared" si="436"/>
        <v>pol</v>
      </c>
      <c r="L2856" s="599"/>
      <c r="M2856" s="471" t="s">
        <v>6827</v>
      </c>
      <c r="N2856" s="471" t="s">
        <v>1577</v>
      </c>
      <c r="O2856" s="471" t="s">
        <v>1576</v>
      </c>
    </row>
    <row r="2857" spans="1:15" x14ac:dyDescent="0.25">
      <c r="A2857" s="471" t="s">
        <v>6946</v>
      </c>
      <c r="B2857" s="1139">
        <f t="shared" ca="1" si="434"/>
        <v>0</v>
      </c>
      <c r="C2857" s="473">
        <f ca="1">IF(ISERROR(VLOOKUP($A$2734,INDIRECT("notes_"&amp;LEFT($A$2734,4)),4,0)),0,VLOOKUP($A$2734,INDIRECT("notes_"&amp;LEFT($A$2734,4)),4,0))</f>
        <v>0</v>
      </c>
      <c r="H2857" s="478" t="s">
        <v>6829</v>
      </c>
      <c r="I2857" s="478" t="s">
        <v>6810</v>
      </c>
      <c r="J2857" s="471" t="str">
        <f t="shared" si="435"/>
        <v>runexp-tpp-pc-profess</v>
      </c>
      <c r="K2857" s="471" t="str">
        <f t="shared" si="436"/>
        <v>pol</v>
      </c>
      <c r="L2857" s="599"/>
      <c r="M2857" s="471" t="s">
        <v>6827</v>
      </c>
      <c r="N2857" s="471" t="s">
        <v>1577</v>
      </c>
      <c r="O2857" s="471" t="s">
        <v>1576</v>
      </c>
    </row>
    <row r="2858" spans="1:15" x14ac:dyDescent="0.25">
      <c r="A2858" s="471" t="s">
        <v>6947</v>
      </c>
      <c r="B2858" s="1139">
        <f t="shared" ca="1" si="434"/>
        <v>0</v>
      </c>
      <c r="C2858" s="473">
        <f ca="1">IF(ISERROR(VLOOKUP($A$2735,INDIRECT("notes_"&amp;LEFT($A$2735,4)),4,0)),0,VLOOKUP($A$2735,INDIRECT("notes_"&amp;LEFT($A$2735,4)),4,0))</f>
        <v>0</v>
      </c>
      <c r="H2858" s="478" t="s">
        <v>6829</v>
      </c>
      <c r="I2858" s="478" t="s">
        <v>6810</v>
      </c>
      <c r="J2858" s="471" t="str">
        <f t="shared" si="435"/>
        <v>runexp-tpp-pc-agency</v>
      </c>
      <c r="K2858" s="471" t="str">
        <f t="shared" si="436"/>
        <v>pol</v>
      </c>
      <c r="L2858" s="599"/>
      <c r="M2858" s="471" t="s">
        <v>6827</v>
      </c>
      <c r="N2858" s="471" t="s">
        <v>1577</v>
      </c>
      <c r="O2858" s="471" t="s">
        <v>1576</v>
      </c>
    </row>
    <row r="2859" spans="1:15" x14ac:dyDescent="0.25">
      <c r="A2859" s="471" t="s">
        <v>6948</v>
      </c>
      <c r="B2859" s="1139">
        <f t="shared" ca="1" si="434"/>
        <v>0</v>
      </c>
      <c r="C2859" s="473">
        <f ca="1">IF(ISERROR(VLOOKUP($A$2736,INDIRECT("notes_"&amp;LEFT($A$2736,4)),4,0)),0,VLOOKUP($A$2736,INDIRECT("notes_"&amp;LEFT($A$2736,4)),4,0))</f>
        <v>0</v>
      </c>
      <c r="H2859" s="478" t="s">
        <v>6829</v>
      </c>
      <c r="I2859" s="478" t="s">
        <v>6810</v>
      </c>
      <c r="J2859" s="471" t="str">
        <f t="shared" si="435"/>
        <v>runexp-tpp-pc-oth</v>
      </c>
      <c r="K2859" s="471" t="str">
        <f t="shared" si="436"/>
        <v>pol</v>
      </c>
      <c r="L2859" s="599"/>
      <c r="M2859" s="471" t="s">
        <v>6827</v>
      </c>
      <c r="N2859" s="471" t="s">
        <v>1577</v>
      </c>
      <c r="O2859" s="471" t="s">
        <v>1576</v>
      </c>
    </row>
    <row r="2860" spans="1:15" x14ac:dyDescent="0.25">
      <c r="A2860" s="471" t="s">
        <v>6949</v>
      </c>
      <c r="B2860" s="1139">
        <f t="shared" ca="1" si="434"/>
        <v>0</v>
      </c>
      <c r="C2860" s="473">
        <f ca="1">IF(ISERROR(VLOOKUP($A$2737,INDIRECT("notes_"&amp;LEFT($A$2737,4)),4,0)),0,VLOOKUP($A$2737,INDIRECT("notes_"&amp;LEFT($A$2737,4)),4,0))</f>
        <v>0</v>
      </c>
      <c r="H2860" s="478" t="s">
        <v>6828</v>
      </c>
      <c r="I2860" s="478" t="s">
        <v>6810</v>
      </c>
      <c r="J2860" s="471" t="str">
        <f t="shared" si="435"/>
        <v>runexp-tpp-ito</v>
      </c>
      <c r="K2860" s="471" t="str">
        <f t="shared" si="436"/>
        <v>pol</v>
      </c>
      <c r="L2860" s="599"/>
      <c r="M2860" s="471" t="s">
        <v>6827</v>
      </c>
      <c r="N2860" s="471" t="s">
        <v>1577</v>
      </c>
      <c r="O2860" s="471" t="s">
        <v>1576</v>
      </c>
    </row>
    <row r="2861" spans="1:15" x14ac:dyDescent="0.25">
      <c r="A2861" s="471" t="s">
        <v>6950</v>
      </c>
      <c r="B2861" s="1139">
        <f t="shared" ca="1" si="434"/>
        <v>0</v>
      </c>
      <c r="C2861" s="473">
        <f ca="1">IF(ISERROR(VLOOKUP($A$2738,INDIRECT("notes_"&amp;LEFT($A$2738,4)),4,0)),0,VLOOKUP($A$2738,INDIRECT("notes_"&amp;LEFT($A$2738,4)),4,0))</f>
        <v>0</v>
      </c>
      <c r="H2861" s="478" t="s">
        <v>6828</v>
      </c>
      <c r="I2861" s="478" t="s">
        <v>6810</v>
      </c>
      <c r="J2861" s="471" t="str">
        <f t="shared" si="435"/>
        <v>runexp-tpp-tot</v>
      </c>
      <c r="K2861" s="471" t="str">
        <f t="shared" si="436"/>
        <v>pol</v>
      </c>
      <c r="L2861" s="599"/>
      <c r="M2861" s="471" t="s">
        <v>6827</v>
      </c>
      <c r="N2861" s="471" t="s">
        <v>1577</v>
      </c>
      <c r="O2861" s="471" t="s">
        <v>1576</v>
      </c>
    </row>
    <row r="2862" spans="1:15" x14ac:dyDescent="0.25">
      <c r="A2862" s="471" t="s">
        <v>6951</v>
      </c>
      <c r="B2862" s="1139">
        <f t="shared" ca="1" si="434"/>
        <v>0</v>
      </c>
      <c r="C2862" s="473">
        <f ca="1">IF(ISERROR(VLOOKUP($A$2739,INDIRECT("notes_"&amp;LEFT($A$2739,4)),4,0)),0,VLOOKUP($A$2739,INDIRECT("notes_"&amp;LEFT($A$2739,4)),4,0))</f>
        <v>0</v>
      </c>
      <c r="H2862" s="478" t="s">
        <v>6830</v>
      </c>
      <c r="I2862" s="478" t="s">
        <v>6810</v>
      </c>
      <c r="J2862" s="471" t="str">
        <f t="shared" si="435"/>
        <v>runexp-ttl-trn-pym-dsc</v>
      </c>
      <c r="K2862" s="471" t="str">
        <f t="shared" si="436"/>
        <v>pol</v>
      </c>
      <c r="L2862" s="599"/>
      <c r="M2862" s="471" t="s">
        <v>6827</v>
      </c>
      <c r="N2862" s="471" t="s">
        <v>1577</v>
      </c>
      <c r="O2862" s="471" t="s">
        <v>1576</v>
      </c>
    </row>
    <row r="2863" spans="1:15" x14ac:dyDescent="0.25">
      <c r="A2863" s="471" t="s">
        <v>6952</v>
      </c>
      <c r="B2863" s="1139">
        <f t="shared" ca="1" si="434"/>
        <v>0</v>
      </c>
      <c r="C2863" s="473">
        <f ca="1">IF(ISERROR(VLOOKUP($A$2740,INDIRECT("notes_"&amp;LEFT($A$2740,4)),4,0)),0,VLOOKUP($A$2740,INDIRECT("notes_"&amp;LEFT($A$2740,4)),4,0))</f>
        <v>0</v>
      </c>
      <c r="H2863" s="478" t="s">
        <v>6829</v>
      </c>
      <c r="I2863" s="478" t="s">
        <v>6810</v>
      </c>
      <c r="J2863" s="471" t="str">
        <f t="shared" si="435"/>
        <v>runexp-exp-mng-ss</v>
      </c>
      <c r="K2863" s="471" t="str">
        <f t="shared" si="436"/>
        <v>pol</v>
      </c>
      <c r="L2863" s="599"/>
      <c r="M2863" s="471" t="s">
        <v>6827</v>
      </c>
      <c r="N2863" s="471" t="s">
        <v>1577</v>
      </c>
      <c r="O2863" s="471" t="s">
        <v>1576</v>
      </c>
    </row>
    <row r="2864" spans="1:15" x14ac:dyDescent="0.25">
      <c r="A2864" s="471" t="s">
        <v>6953</v>
      </c>
      <c r="B2864" s="1139">
        <f t="shared" ca="1" si="434"/>
        <v>0</v>
      </c>
      <c r="C2864" s="473">
        <f ca="1">IF(ISERROR(VLOOKUP($A$2741,INDIRECT("notes_"&amp;LEFT($A$2741,4)),4,0)),0,VLOOKUP($A$2741,INDIRECT("notes_"&amp;LEFT($A$2741,4)),4,0))</f>
        <v>0</v>
      </c>
      <c r="H2864" s="478" t="s">
        <v>6809</v>
      </c>
      <c r="I2864" s="478" t="s">
        <v>6810</v>
      </c>
      <c r="J2864" s="471" t="str">
        <f t="shared" si="435"/>
        <v>runexp-tot</v>
      </c>
      <c r="K2864" s="471" t="str">
        <f t="shared" si="436"/>
        <v>pol</v>
      </c>
      <c r="L2864" s="599"/>
      <c r="M2864" s="471" t="s">
        <v>6827</v>
      </c>
      <c r="N2864" s="471" t="s">
        <v>1577</v>
      </c>
      <c r="O2864" s="471" t="s">
        <v>1576</v>
      </c>
    </row>
    <row r="2865" spans="1:15" x14ac:dyDescent="0.25">
      <c r="A2865" s="471" t="s">
        <v>6954</v>
      </c>
      <c r="B2865" s="1139">
        <f t="shared" ca="1" si="434"/>
        <v>0</v>
      </c>
      <c r="C2865" s="473">
        <f ca="1">IF(ISERROR(VLOOKUP($A$2701,INDIRECT("notes_"&amp;LEFT($A$2701,4)),4,0)),0,VLOOKUP($A$2701,INDIRECT("notes_"&amp;LEFT($A$2701,4)),4,0))</f>
        <v>0</v>
      </c>
      <c r="H2865" s="478" t="s">
        <v>6809</v>
      </c>
      <c r="I2865" s="478" t="s">
        <v>6810</v>
      </c>
      <c r="J2865" s="471" t="str">
        <f t="shared" si="435"/>
        <v>runexp-premrepair</v>
      </c>
      <c r="K2865" s="471" t="str">
        <f t="shared" si="436"/>
        <v>oth</v>
      </c>
      <c r="L2865" s="599"/>
      <c r="M2865" s="471" t="s">
        <v>6827</v>
      </c>
      <c r="N2865" s="471" t="s">
        <v>1577</v>
      </c>
      <c r="O2865" s="471" t="s">
        <v>1576</v>
      </c>
    </row>
    <row r="2866" spans="1:15" x14ac:dyDescent="0.25">
      <c r="A2866" s="471" t="s">
        <v>6955</v>
      </c>
      <c r="B2866" s="1139">
        <f t="shared" ca="1" si="434"/>
        <v>0</v>
      </c>
      <c r="C2866" s="473">
        <f ca="1">IF(ISERROR(VLOOKUP($A$2702,INDIRECT("notes_"&amp;LEFT($A$2702,4)),4,0)),0,VLOOKUP($A$2702,INDIRECT("notes_"&amp;LEFT($A$2702,4)),4,0))</f>
        <v>0</v>
      </c>
      <c r="H2866" s="478" t="s">
        <v>6809</v>
      </c>
      <c r="I2866" s="478" t="s">
        <v>6810</v>
      </c>
      <c r="J2866" s="471" t="str">
        <f t="shared" ref="J2866:J2888" si="437">MID($A2866,SEARCH("-",$A2866)+1,SEARCH("#",SUBSTITUTE($A2866,"-","#",H2866),1)-(SEARCH("-",$A2866)+1))</f>
        <v>runexp-premenergy</v>
      </c>
      <c r="K2866" s="471" t="str">
        <f t="shared" ref="K2866:K2888" si="438">RIGHT($A2866,LEN($A2866)-SEARCH("#",SUBSTITUTE($A2866,"-","#",H2866),1))</f>
        <v>oth</v>
      </c>
      <c r="L2866" s="599"/>
      <c r="M2866" s="471" t="s">
        <v>6827</v>
      </c>
      <c r="N2866" s="471" t="s">
        <v>1577</v>
      </c>
      <c r="O2866" s="471" t="s">
        <v>1576</v>
      </c>
    </row>
    <row r="2867" spans="1:15" x14ac:dyDescent="0.25">
      <c r="A2867" s="471" t="s">
        <v>6956</v>
      </c>
      <c r="B2867" s="1139">
        <f t="shared" ca="1" si="434"/>
        <v>0</v>
      </c>
      <c r="C2867" s="473">
        <f ca="1">IF(ISERROR(VLOOKUP($A$2703,INDIRECT("notes_"&amp;LEFT($A$2703,4)),4,0)),0,VLOOKUP($A$2703,INDIRECT("notes_"&amp;LEFT($A$2703,4)),4,0))</f>
        <v>0</v>
      </c>
      <c r="H2867" s="478" t="s">
        <v>6809</v>
      </c>
      <c r="I2867" s="478" t="s">
        <v>6810</v>
      </c>
      <c r="J2867" s="471" t="str">
        <f t="shared" si="437"/>
        <v>runexp-premrents</v>
      </c>
      <c r="K2867" s="471" t="str">
        <f t="shared" si="438"/>
        <v>oth</v>
      </c>
      <c r="L2867" s="599"/>
      <c r="M2867" s="471" t="s">
        <v>6827</v>
      </c>
      <c r="N2867" s="471" t="s">
        <v>1577</v>
      </c>
      <c r="O2867" s="471" t="s">
        <v>1576</v>
      </c>
    </row>
    <row r="2868" spans="1:15" x14ac:dyDescent="0.25">
      <c r="A2868" s="471" t="s">
        <v>6957</v>
      </c>
      <c r="B2868" s="1139">
        <f t="shared" ca="1" si="434"/>
        <v>0</v>
      </c>
      <c r="C2868" s="473">
        <f ca="1">IF(ISERROR(VLOOKUP($A$2704,INDIRECT("notes_"&amp;LEFT($A$2704,4)),4,0)),0,VLOOKUP($A$2704,INDIRECT("notes_"&amp;LEFT($A$2704,4)),4,0))</f>
        <v>0</v>
      </c>
      <c r="H2868" s="478" t="s">
        <v>6809</v>
      </c>
      <c r="I2868" s="478" t="s">
        <v>6810</v>
      </c>
      <c r="J2868" s="471" t="str">
        <f t="shared" si="437"/>
        <v>runexp-premrates</v>
      </c>
      <c r="K2868" s="471" t="str">
        <f t="shared" si="438"/>
        <v>oth</v>
      </c>
      <c r="L2868" s="599"/>
      <c r="M2868" s="471" t="s">
        <v>6827</v>
      </c>
      <c r="N2868" s="471" t="s">
        <v>1577</v>
      </c>
      <c r="O2868" s="471" t="s">
        <v>1576</v>
      </c>
    </row>
    <row r="2869" spans="1:15" x14ac:dyDescent="0.25">
      <c r="A2869" s="471" t="s">
        <v>6958</v>
      </c>
      <c r="B2869" s="1139">
        <f t="shared" ca="1" si="434"/>
        <v>0</v>
      </c>
      <c r="C2869" s="473">
        <f ca="1">IF(ISERROR(VLOOKUP($A$2705,INDIRECT("notes_"&amp;LEFT($A$2705,4)),4,0)),0,VLOOKUP($A$2705,INDIRECT("notes_"&amp;LEFT($A$2705,4)),4,0))</f>
        <v>0</v>
      </c>
      <c r="H2869" s="478" t="s">
        <v>6809</v>
      </c>
      <c r="I2869" s="478" t="s">
        <v>6810</v>
      </c>
      <c r="J2869" s="471" t="str">
        <f t="shared" si="437"/>
        <v>runexp-premwater</v>
      </c>
      <c r="K2869" s="471" t="str">
        <f t="shared" si="438"/>
        <v>oth</v>
      </c>
      <c r="L2869" s="599"/>
      <c r="M2869" s="471" t="s">
        <v>6827</v>
      </c>
      <c r="N2869" s="471" t="s">
        <v>1577</v>
      </c>
      <c r="O2869" s="471" t="s">
        <v>1576</v>
      </c>
    </row>
    <row r="2870" spans="1:15" x14ac:dyDescent="0.25">
      <c r="A2870" s="471" t="s">
        <v>6959</v>
      </c>
      <c r="B2870" s="1139">
        <f t="shared" ca="1" si="434"/>
        <v>0</v>
      </c>
      <c r="C2870" s="473">
        <f ca="1">IF(ISERROR(VLOOKUP($A$2706,INDIRECT("notes_"&amp;LEFT($A$2706,4)),4,0)),0,VLOOKUP($A$2706,INDIRECT("notes_"&amp;LEFT($A$2706,4)),4,0))</f>
        <v>0</v>
      </c>
      <c r="H2870" s="478" t="s">
        <v>6809</v>
      </c>
      <c r="I2870" s="478" t="s">
        <v>6810</v>
      </c>
      <c r="J2870" s="471" t="str">
        <f t="shared" si="437"/>
        <v>runexp-premfixfit</v>
      </c>
      <c r="K2870" s="471" t="str">
        <f t="shared" si="438"/>
        <v>oth</v>
      </c>
      <c r="L2870" s="599"/>
      <c r="M2870" s="471" t="s">
        <v>6827</v>
      </c>
      <c r="N2870" s="471" t="s">
        <v>1577</v>
      </c>
      <c r="O2870" s="471" t="s">
        <v>1576</v>
      </c>
    </row>
    <row r="2871" spans="1:15" x14ac:dyDescent="0.25">
      <c r="A2871" s="471" t="s">
        <v>6960</v>
      </c>
      <c r="B2871" s="1139">
        <f t="shared" ca="1" si="434"/>
        <v>0</v>
      </c>
      <c r="C2871" s="473">
        <f ca="1">IF(ISERROR(VLOOKUP($A$2707,INDIRECT("notes_"&amp;LEFT($A$2707,4)),4,0)),0,VLOOKUP($A$2707,INDIRECT("notes_"&amp;LEFT($A$2707,4)),4,0))</f>
        <v>0</v>
      </c>
      <c r="H2871" s="478" t="s">
        <v>6809</v>
      </c>
      <c r="I2871" s="478" t="s">
        <v>6810</v>
      </c>
      <c r="J2871" s="471" t="str">
        <f t="shared" si="437"/>
        <v>runexp-premclean</v>
      </c>
      <c r="K2871" s="471" t="str">
        <f t="shared" si="438"/>
        <v>oth</v>
      </c>
      <c r="L2871" s="599"/>
      <c r="M2871" s="471" t="s">
        <v>6827</v>
      </c>
      <c r="N2871" s="471" t="s">
        <v>1577</v>
      </c>
      <c r="O2871" s="471" t="s">
        <v>1576</v>
      </c>
    </row>
    <row r="2872" spans="1:15" x14ac:dyDescent="0.25">
      <c r="A2872" s="471" t="s">
        <v>6961</v>
      </c>
      <c r="B2872" s="1139">
        <f t="shared" ca="1" si="434"/>
        <v>0</v>
      </c>
      <c r="C2872" s="473">
        <f ca="1">IF(ISERROR(VLOOKUP($A$2708,INDIRECT("notes_"&amp;LEFT($A$2708,4)),4,0)),0,VLOOKUP($A$2708,INDIRECT("notes_"&amp;LEFT($A$2708,4)),4,0))</f>
        <v>0</v>
      </c>
      <c r="H2872" s="478" t="s">
        <v>6809</v>
      </c>
      <c r="I2872" s="478" t="s">
        <v>6810</v>
      </c>
      <c r="J2872" s="471" t="str">
        <f t="shared" si="437"/>
        <v>runexp-premgroundmnt</v>
      </c>
      <c r="K2872" s="471" t="str">
        <f t="shared" si="438"/>
        <v>oth</v>
      </c>
      <c r="L2872" s="599"/>
      <c r="M2872" s="471" t="s">
        <v>6827</v>
      </c>
      <c r="N2872" s="471" t="s">
        <v>1577</v>
      </c>
      <c r="O2872" s="471" t="s">
        <v>1576</v>
      </c>
    </row>
    <row r="2873" spans="1:15" x14ac:dyDescent="0.25">
      <c r="A2873" s="471" t="s">
        <v>6962</v>
      </c>
      <c r="B2873" s="1139">
        <f t="shared" ca="1" si="434"/>
        <v>0</v>
      </c>
      <c r="C2873" s="473">
        <f ca="1">IF(ISERROR(VLOOKUP($A$2709,INDIRECT("notes_"&amp;LEFT($A$2709,4)),4,0)),0,VLOOKUP($A$2709,INDIRECT("notes_"&amp;LEFT($A$2709,4)),4,0))</f>
        <v>0</v>
      </c>
      <c r="H2873" s="478" t="s">
        <v>6809</v>
      </c>
      <c r="I2873" s="478" t="s">
        <v>6810</v>
      </c>
      <c r="J2873" s="471" t="str">
        <f t="shared" si="437"/>
        <v>runexp-premins</v>
      </c>
      <c r="K2873" s="471" t="str">
        <f t="shared" si="438"/>
        <v>oth</v>
      </c>
      <c r="L2873" s="599"/>
      <c r="M2873" s="471" t="s">
        <v>6827</v>
      </c>
      <c r="N2873" s="471" t="s">
        <v>1577</v>
      </c>
      <c r="O2873" s="471" t="s">
        <v>1576</v>
      </c>
    </row>
    <row r="2874" spans="1:15" x14ac:dyDescent="0.25">
      <c r="A2874" s="471" t="s">
        <v>6963</v>
      </c>
      <c r="B2874" s="1139">
        <f t="shared" ca="1" si="434"/>
        <v>0</v>
      </c>
      <c r="C2874" s="473">
        <f ca="1">IF(ISERROR(VLOOKUP($A$2710,INDIRECT("notes_"&amp;LEFT($A$2710,4)),4,0)),0,VLOOKUP($A$2710,INDIRECT("notes_"&amp;LEFT($A$2710,4)),4,0))</f>
        <v>0</v>
      </c>
      <c r="H2874" s="478" t="s">
        <v>6809</v>
      </c>
      <c r="I2874" s="478" t="s">
        <v>6810</v>
      </c>
      <c r="J2874" s="471" t="str">
        <f t="shared" si="437"/>
        <v>runexp-premoth</v>
      </c>
      <c r="K2874" s="471" t="str">
        <f t="shared" si="438"/>
        <v>oth</v>
      </c>
      <c r="L2874" s="599"/>
      <c r="M2874" s="471" t="s">
        <v>6827</v>
      </c>
      <c r="N2874" s="471" t="s">
        <v>1577</v>
      </c>
      <c r="O2874" s="471" t="s">
        <v>1576</v>
      </c>
    </row>
    <row r="2875" spans="1:15" x14ac:dyDescent="0.25">
      <c r="A2875" s="471" t="s">
        <v>6964</v>
      </c>
      <c r="B2875" s="1139">
        <f t="shared" ca="1" si="434"/>
        <v>0</v>
      </c>
      <c r="C2875" s="473">
        <f ca="1">IF(ISERROR(VLOOKUP($A$2711,INDIRECT("notes_"&amp;LEFT($A$2711,4)),4,0)),0,VLOOKUP($A$2711,INDIRECT("notes_"&amp;LEFT($A$2711,4)),4,0))</f>
        <v>0</v>
      </c>
      <c r="H2875" s="478" t="s">
        <v>6809</v>
      </c>
      <c r="I2875" s="478" t="s">
        <v>6810</v>
      </c>
      <c r="J2875" s="471" t="str">
        <f t="shared" si="437"/>
        <v>runexp-premtot</v>
      </c>
      <c r="K2875" s="471" t="str">
        <f t="shared" si="438"/>
        <v>oth</v>
      </c>
      <c r="L2875" s="599"/>
      <c r="M2875" s="471" t="s">
        <v>6827</v>
      </c>
      <c r="N2875" s="471" t="s">
        <v>1577</v>
      </c>
      <c r="O2875" s="471" t="s">
        <v>1576</v>
      </c>
    </row>
    <row r="2876" spans="1:15" x14ac:dyDescent="0.25">
      <c r="A2876" s="471" t="s">
        <v>6965</v>
      </c>
      <c r="B2876" s="1139">
        <f t="shared" ca="1" si="434"/>
        <v>0</v>
      </c>
      <c r="C2876" s="473">
        <f ca="1">IF(ISERROR(VLOOKUP($A$2712,INDIRECT("notes_"&amp;LEFT($A$2712,4)),4,0)),0,VLOOKUP($A$2712,INDIRECT("notes_"&amp;LEFT($A$2712,4)),4,0))</f>
        <v>0</v>
      </c>
      <c r="H2876" s="478" t="s">
        <v>6809</v>
      </c>
      <c r="I2876" s="478" t="s">
        <v>6810</v>
      </c>
      <c r="J2876" s="471" t="str">
        <f t="shared" si="437"/>
        <v>runexp-transvhcmnt</v>
      </c>
      <c r="K2876" s="471" t="str">
        <f t="shared" si="438"/>
        <v>oth</v>
      </c>
      <c r="L2876" s="599"/>
      <c r="M2876" s="471" t="s">
        <v>6827</v>
      </c>
      <c r="N2876" s="471" t="s">
        <v>1577</v>
      </c>
      <c r="O2876" s="471" t="s">
        <v>1576</v>
      </c>
    </row>
    <row r="2877" spans="1:15" x14ac:dyDescent="0.25">
      <c r="A2877" s="471" t="s">
        <v>6966</v>
      </c>
      <c r="B2877" s="1139">
        <f t="shared" ca="1" si="434"/>
        <v>0</v>
      </c>
      <c r="C2877" s="473">
        <f ca="1">IF(ISERROR(VLOOKUP($A$2713,INDIRECT("notes_"&amp;LEFT($A$2713,4)),4,0)),0,VLOOKUP($A$2713,INDIRECT("notes_"&amp;LEFT($A$2713,4)),4,0))</f>
        <v>0</v>
      </c>
      <c r="H2877" s="478" t="s">
        <v>6828</v>
      </c>
      <c r="I2877" s="478" t="s">
        <v>6810</v>
      </c>
      <c r="J2877" s="471" t="str">
        <f t="shared" si="437"/>
        <v>runexp-transhire-lease</v>
      </c>
      <c r="K2877" s="471" t="str">
        <f t="shared" si="438"/>
        <v>oth</v>
      </c>
      <c r="L2877" s="599"/>
      <c r="M2877" s="471" t="s">
        <v>6827</v>
      </c>
      <c r="N2877" s="471" t="s">
        <v>1577</v>
      </c>
      <c r="O2877" s="471" t="s">
        <v>1576</v>
      </c>
    </row>
    <row r="2878" spans="1:15" x14ac:dyDescent="0.25">
      <c r="A2878" s="471" t="s">
        <v>6967</v>
      </c>
      <c r="B2878" s="1139">
        <f t="shared" ca="1" si="434"/>
        <v>0</v>
      </c>
      <c r="C2878" s="473">
        <f ca="1">IF(ISERROR(VLOOKUP($A$2714,INDIRECT("notes_"&amp;LEFT($A$2714,4)),4,0)),0,VLOOKUP($A$2714,INDIRECT("notes_"&amp;LEFT($A$2714,4)),4,0))</f>
        <v>0</v>
      </c>
      <c r="H2878" s="478" t="s">
        <v>6809</v>
      </c>
      <c r="I2878" s="478" t="s">
        <v>6810</v>
      </c>
      <c r="J2878" s="471" t="str">
        <f t="shared" si="437"/>
        <v>runexp-transcarall</v>
      </c>
      <c r="K2878" s="471" t="str">
        <f t="shared" si="438"/>
        <v>oth</v>
      </c>
      <c r="L2878" s="599"/>
      <c r="M2878" s="471" t="s">
        <v>6827</v>
      </c>
      <c r="N2878" s="471" t="s">
        <v>1577</v>
      </c>
      <c r="O2878" s="471" t="s">
        <v>1576</v>
      </c>
    </row>
    <row r="2879" spans="1:15" x14ac:dyDescent="0.25">
      <c r="A2879" s="471" t="s">
        <v>6968</v>
      </c>
      <c r="B2879" s="1139">
        <f t="shared" ca="1" si="434"/>
        <v>0</v>
      </c>
      <c r="C2879" s="473">
        <f ca="1">IF(ISERROR(VLOOKUP($A$2715,INDIRECT("notes_"&amp;LEFT($A$2715,4)),4,0)),0,VLOOKUP($A$2715,INDIRECT("notes_"&amp;LEFT($A$2715,4)),4,0))</f>
        <v>0</v>
      </c>
      <c r="H2879" s="478" t="s">
        <v>6809</v>
      </c>
      <c r="I2879" s="478" t="s">
        <v>6810</v>
      </c>
      <c r="J2879" s="471" t="str">
        <f t="shared" si="437"/>
        <v>runexp-transpubttrnsall</v>
      </c>
      <c r="K2879" s="471" t="str">
        <f t="shared" si="438"/>
        <v>oth</v>
      </c>
      <c r="L2879" s="599"/>
      <c r="M2879" s="471" t="s">
        <v>6827</v>
      </c>
      <c r="N2879" s="471" t="s">
        <v>1577</v>
      </c>
      <c r="O2879" s="471" t="s">
        <v>1576</v>
      </c>
    </row>
    <row r="2880" spans="1:15" x14ac:dyDescent="0.25">
      <c r="A2880" s="471" t="s">
        <v>6969</v>
      </c>
      <c r="B2880" s="1139">
        <f t="shared" ca="1" si="434"/>
        <v>0</v>
      </c>
      <c r="C2880" s="473">
        <f ca="1">IF(ISERROR(VLOOKUP($A$2716,INDIRECT("notes_"&amp;LEFT($A$2716,4)),4,0)),0,VLOOKUP($A$2716,INDIRECT("notes_"&amp;LEFT($A$2716,4)),4,0))</f>
        <v>0</v>
      </c>
      <c r="H2880" s="478" t="s">
        <v>6809</v>
      </c>
      <c r="I2880" s="478" t="s">
        <v>6810</v>
      </c>
      <c r="J2880" s="471" t="str">
        <f t="shared" si="437"/>
        <v>runexp-transins</v>
      </c>
      <c r="K2880" s="471" t="str">
        <f t="shared" si="438"/>
        <v>oth</v>
      </c>
      <c r="L2880" s="599"/>
      <c r="M2880" s="471" t="s">
        <v>6827</v>
      </c>
      <c r="N2880" s="471" t="s">
        <v>1577</v>
      </c>
      <c r="O2880" s="471" t="s">
        <v>1576</v>
      </c>
    </row>
    <row r="2881" spans="1:15" x14ac:dyDescent="0.25">
      <c r="A2881" s="471" t="s">
        <v>6970</v>
      </c>
      <c r="B2881" s="1139">
        <f t="shared" ca="1" si="434"/>
        <v>0</v>
      </c>
      <c r="C2881" s="473">
        <f ca="1">IF(ISERROR(VLOOKUP($A$2717,INDIRECT("notes_"&amp;LEFT($A$2717,4)),4,0)),0,VLOOKUP($A$2717,INDIRECT("notes_"&amp;LEFT($A$2717,4)),4,0))</f>
        <v>0</v>
      </c>
      <c r="H2881" s="478" t="s">
        <v>6809</v>
      </c>
      <c r="I2881" s="478" t="s">
        <v>6810</v>
      </c>
      <c r="J2881" s="471" t="str">
        <f t="shared" si="437"/>
        <v>runexp-transoth</v>
      </c>
      <c r="K2881" s="471" t="str">
        <f t="shared" si="438"/>
        <v>oth</v>
      </c>
      <c r="L2881" s="599"/>
      <c r="M2881" s="471" t="s">
        <v>6827</v>
      </c>
      <c r="N2881" s="471" t="s">
        <v>1577</v>
      </c>
      <c r="O2881" s="471" t="s">
        <v>1576</v>
      </c>
    </row>
    <row r="2882" spans="1:15" x14ac:dyDescent="0.25">
      <c r="A2882" s="471" t="s">
        <v>6971</v>
      </c>
      <c r="B2882" s="1139">
        <f t="shared" ca="1" si="434"/>
        <v>0</v>
      </c>
      <c r="C2882" s="473">
        <f ca="1">IF(ISERROR(VLOOKUP($A$2718,INDIRECT("notes_"&amp;LEFT($A$2718,4)),4,0)),0,VLOOKUP($A$2718,INDIRECT("notes_"&amp;LEFT($A$2718,4)),4,0))</f>
        <v>0</v>
      </c>
      <c r="H2882" s="478" t="s">
        <v>6809</v>
      </c>
      <c r="I2882" s="478" t="s">
        <v>6810</v>
      </c>
      <c r="J2882" s="471" t="str">
        <f t="shared" si="437"/>
        <v>runexp-transtot</v>
      </c>
      <c r="K2882" s="471" t="str">
        <f t="shared" si="438"/>
        <v>oth</v>
      </c>
      <c r="L2882" s="599"/>
      <c r="M2882" s="471" t="s">
        <v>6827</v>
      </c>
      <c r="N2882" s="471" t="s">
        <v>1577</v>
      </c>
      <c r="O2882" s="471" t="s">
        <v>1576</v>
      </c>
    </row>
    <row r="2883" spans="1:15" x14ac:dyDescent="0.25">
      <c r="A2883" s="471" t="s">
        <v>6972</v>
      </c>
      <c r="B2883" s="1139">
        <f t="shared" ca="1" si="434"/>
        <v>0</v>
      </c>
      <c r="C2883" s="473">
        <f ca="1">IF(ISERROR(VLOOKUP($A$2719,INDIRECT("notes_"&amp;LEFT($A$2719,4)),4,0)),0,VLOOKUP($A$2719,INDIRECT("notes_"&amp;LEFT($A$2719,4)),4,0))</f>
        <v>0</v>
      </c>
      <c r="H2883" s="478" t="s">
        <v>6809</v>
      </c>
      <c r="I2883" s="478" t="s">
        <v>6810</v>
      </c>
      <c r="J2883" s="471" t="str">
        <f t="shared" si="437"/>
        <v>runexp-suppequip</v>
      </c>
      <c r="K2883" s="471" t="str">
        <f t="shared" si="438"/>
        <v>oth</v>
      </c>
      <c r="L2883" s="599"/>
      <c r="M2883" s="471" t="s">
        <v>6827</v>
      </c>
      <c r="N2883" s="471" t="s">
        <v>1577</v>
      </c>
      <c r="O2883" s="471" t="s">
        <v>1576</v>
      </c>
    </row>
    <row r="2884" spans="1:15" x14ac:dyDescent="0.25">
      <c r="A2884" s="471" t="s">
        <v>6973</v>
      </c>
      <c r="B2884" s="1139">
        <f t="shared" ca="1" si="434"/>
        <v>0</v>
      </c>
      <c r="C2884" s="473">
        <f ca="1">IF(ISERROR(VLOOKUP($A$2720,INDIRECT("notes_"&amp;LEFT($A$2720,4)),4,0)),0,VLOOKUP($A$2720,INDIRECT("notes_"&amp;LEFT($A$2720,4)),4,0))</f>
        <v>0</v>
      </c>
      <c r="H2884" s="478" t="s">
        <v>6809</v>
      </c>
      <c r="I2884" s="478" t="s">
        <v>6810</v>
      </c>
      <c r="J2884" s="471" t="str">
        <f t="shared" si="437"/>
        <v>runexp-suppcatering</v>
      </c>
      <c r="K2884" s="471" t="str">
        <f t="shared" si="438"/>
        <v>oth</v>
      </c>
      <c r="L2884" s="599"/>
      <c r="M2884" s="471" t="s">
        <v>6827</v>
      </c>
      <c r="N2884" s="471" t="s">
        <v>1577</v>
      </c>
      <c r="O2884" s="471" t="s">
        <v>1576</v>
      </c>
    </row>
    <row r="2885" spans="1:15" x14ac:dyDescent="0.25">
      <c r="A2885" s="471" t="s">
        <v>6974</v>
      </c>
      <c r="B2885" s="1139">
        <f t="shared" ca="1" si="434"/>
        <v>0</v>
      </c>
      <c r="C2885" s="473">
        <f ca="1">IF(ISERROR(VLOOKUP($A$2721,INDIRECT("notes_"&amp;LEFT($A$2721,4)),4,0)),0,VLOOKUP($A$2721,INDIRECT("notes_"&amp;LEFT($A$2721,4)),4,0))</f>
        <v>0</v>
      </c>
      <c r="H2885" s="478" t="s">
        <v>6809</v>
      </c>
      <c r="I2885" s="478" t="s">
        <v>6810</v>
      </c>
      <c r="J2885" s="471" t="str">
        <f t="shared" si="437"/>
        <v>runexp-suppclth</v>
      </c>
      <c r="K2885" s="471" t="str">
        <f t="shared" si="438"/>
        <v>oth</v>
      </c>
      <c r="L2885" s="599"/>
      <c r="M2885" s="471" t="s">
        <v>6827</v>
      </c>
      <c r="N2885" s="471" t="s">
        <v>1577</v>
      </c>
      <c r="O2885" s="471" t="s">
        <v>1576</v>
      </c>
    </row>
    <row r="2886" spans="1:15" x14ac:dyDescent="0.25">
      <c r="A2886" s="471" t="s">
        <v>6975</v>
      </c>
      <c r="B2886" s="1139">
        <f t="shared" ca="1" si="434"/>
        <v>0</v>
      </c>
      <c r="C2886" s="473">
        <f ca="1">IF(ISERROR(VLOOKUP($A$2722,INDIRECT("notes_"&amp;LEFT($A$2722,4)),4,0)),0,VLOOKUP($A$2722,INDIRECT("notes_"&amp;LEFT($A$2722,4)),4,0))</f>
        <v>0</v>
      </c>
      <c r="H2886" s="478" t="s">
        <v>6809</v>
      </c>
      <c r="I2886" s="478" t="s">
        <v>6810</v>
      </c>
      <c r="J2886" s="471" t="str">
        <f t="shared" si="437"/>
        <v>runexp-suppoffexp</v>
      </c>
      <c r="K2886" s="471" t="str">
        <f t="shared" si="438"/>
        <v>oth</v>
      </c>
      <c r="L2886" s="599"/>
      <c r="M2886" s="471" t="s">
        <v>6827</v>
      </c>
      <c r="N2886" s="471" t="s">
        <v>1577</v>
      </c>
      <c r="O2886" s="471" t="s">
        <v>1576</v>
      </c>
    </row>
    <row r="2887" spans="1:15" x14ac:dyDescent="0.25">
      <c r="A2887" s="471" t="s">
        <v>6976</v>
      </c>
      <c r="B2887" s="1139">
        <f t="shared" ca="1" si="434"/>
        <v>0</v>
      </c>
      <c r="C2887" s="473">
        <f ca="1">IF(ISERROR(VLOOKUP($A$2723,INDIRECT("notes_"&amp;LEFT($A$2723,4)),4,0)),0,VLOOKUP($A$2723,INDIRECT("notes_"&amp;LEFT($A$2723,4)),4,0))</f>
        <v>0</v>
      </c>
      <c r="H2887" s="478" t="s">
        <v>6809</v>
      </c>
      <c r="I2887" s="478" t="s">
        <v>6810</v>
      </c>
      <c r="J2887" s="471" t="str">
        <f t="shared" si="437"/>
        <v>runexp-suppcomms</v>
      </c>
      <c r="K2887" s="471" t="str">
        <f t="shared" si="438"/>
        <v>oth</v>
      </c>
      <c r="L2887" s="599"/>
      <c r="M2887" s="471" t="s">
        <v>6827</v>
      </c>
      <c r="N2887" s="471" t="s">
        <v>1577</v>
      </c>
      <c r="O2887" s="471" t="s">
        <v>1576</v>
      </c>
    </row>
    <row r="2888" spans="1:15" x14ac:dyDescent="0.25">
      <c r="A2888" s="471" t="s">
        <v>6977</v>
      </c>
      <c r="B2888" s="1139">
        <f t="shared" ca="1" si="434"/>
        <v>0</v>
      </c>
      <c r="C2888" s="473">
        <f ca="1">IF(ISERROR(VLOOKUP($A$2724,INDIRECT("notes_"&amp;LEFT($A$2724,4)),4,0)),0,VLOOKUP($A$2724,INDIRECT("notes_"&amp;LEFT($A$2724,4)),4,0))</f>
        <v>0</v>
      </c>
      <c r="H2888" s="478" t="s">
        <v>6809</v>
      </c>
      <c r="I2888" s="478" t="s">
        <v>6810</v>
      </c>
      <c r="J2888" s="471" t="str">
        <f t="shared" si="437"/>
        <v>runexp-suppsubs</v>
      </c>
      <c r="K2888" s="471" t="str">
        <f t="shared" si="438"/>
        <v>oth</v>
      </c>
      <c r="L2888" s="599"/>
      <c r="M2888" s="471" t="s">
        <v>6827</v>
      </c>
      <c r="N2888" s="471" t="s">
        <v>1577</v>
      </c>
      <c r="O2888" s="471" t="s">
        <v>1576</v>
      </c>
    </row>
    <row r="2889" spans="1:15" x14ac:dyDescent="0.25">
      <c r="A2889" s="471" t="s">
        <v>6978</v>
      </c>
      <c r="B2889" s="1139">
        <f t="shared" ca="1" si="434"/>
        <v>0</v>
      </c>
      <c r="C2889" s="473">
        <f ca="1">IF(ISERROR(VLOOKUP($A$2725,INDIRECT("notes_"&amp;LEFT($A$2725,4)),4,0)),0,VLOOKUP($A$2725,INDIRECT("notes_"&amp;LEFT($A$2725,4)),4,0))</f>
        <v>0</v>
      </c>
      <c r="H2889" s="478" t="s">
        <v>6809</v>
      </c>
      <c r="I2889" s="478" t="s">
        <v>6810</v>
      </c>
      <c r="J2889" s="471" t="str">
        <f t="shared" ref="J2889:J2909" si="439">MID($A2889,SEARCH("-",$A2889)+1,SEARCH("#",SUBSTITUTE($A2889,"-","#",H2889),1)-(SEARCH("-",$A2889)+1))</f>
        <v>runexp-suppsubscrip</v>
      </c>
      <c r="K2889" s="471" t="str">
        <f t="shared" ref="K2889:K2909" si="440">RIGHT($A2889,LEN($A2889)-SEARCH("#",SUBSTITUTE($A2889,"-","#",H2889),1))</f>
        <v>oth</v>
      </c>
      <c r="L2889" s="599"/>
      <c r="M2889" s="471" t="s">
        <v>6827</v>
      </c>
      <c r="N2889" s="471" t="s">
        <v>1577</v>
      </c>
      <c r="O2889" s="471" t="s">
        <v>1576</v>
      </c>
    </row>
    <row r="2890" spans="1:15" x14ac:dyDescent="0.25">
      <c r="A2890" s="471" t="s">
        <v>6979</v>
      </c>
      <c r="B2890" s="1139">
        <f t="shared" ca="1" si="434"/>
        <v>0</v>
      </c>
      <c r="C2890" s="473">
        <f ca="1">IF(ISERROR(VLOOKUP($A$2726,INDIRECT("notes_"&amp;LEFT($A$2726,4)),4,0)),0,VLOOKUP($A$2726,INDIRECT("notes_"&amp;LEFT($A$2726,4)),4,0))</f>
        <v>0</v>
      </c>
      <c r="H2890" s="478" t="s">
        <v>6809</v>
      </c>
      <c r="I2890" s="478" t="s">
        <v>6810</v>
      </c>
      <c r="J2890" s="471" t="str">
        <f t="shared" si="439"/>
        <v>runexp-suppins</v>
      </c>
      <c r="K2890" s="471" t="str">
        <f t="shared" si="440"/>
        <v>oth</v>
      </c>
      <c r="L2890" s="599"/>
      <c r="M2890" s="471" t="s">
        <v>6827</v>
      </c>
      <c r="N2890" s="471" t="s">
        <v>1577</v>
      </c>
      <c r="O2890" s="471" t="s">
        <v>1576</v>
      </c>
    </row>
    <row r="2891" spans="1:15" x14ac:dyDescent="0.25">
      <c r="A2891" s="471" t="s">
        <v>6980</v>
      </c>
      <c r="B2891" s="1139">
        <f t="shared" ca="1" si="434"/>
        <v>0</v>
      </c>
      <c r="C2891" s="473">
        <f ca="1">IF(ISERROR(VLOOKUP($A$2727,INDIRECT("notes_"&amp;LEFT($A$2727,4)),4,0)),0,VLOOKUP($A$2727,INDIRECT("notes_"&amp;LEFT($A$2727,4)),4,0))</f>
        <v>0</v>
      </c>
      <c r="H2891" s="478" t="s">
        <v>6829</v>
      </c>
      <c r="I2891" s="478" t="s">
        <v>6810</v>
      </c>
      <c r="J2891" s="471" t="str">
        <f t="shared" si="439"/>
        <v>runexp-suppsch-non-ict</v>
      </c>
      <c r="K2891" s="471" t="str">
        <f t="shared" si="440"/>
        <v>oth</v>
      </c>
      <c r="L2891" s="599"/>
      <c r="M2891" s="471" t="s">
        <v>6827</v>
      </c>
      <c r="N2891" s="471" t="s">
        <v>1577</v>
      </c>
      <c r="O2891" s="471" t="s">
        <v>1576</v>
      </c>
    </row>
    <row r="2892" spans="1:15" x14ac:dyDescent="0.25">
      <c r="A2892" s="471" t="s">
        <v>6981</v>
      </c>
      <c r="B2892" s="1139">
        <f t="shared" ca="1" si="434"/>
        <v>0</v>
      </c>
      <c r="C2892" s="473">
        <f ca="1">IF(ISERROR(VLOOKUP($A$2728,INDIRECT("notes_"&amp;LEFT($A$2728,4)),4,0)),0,VLOOKUP($A$2728,INDIRECT("notes_"&amp;LEFT($A$2728,4)),4,0))</f>
        <v>0</v>
      </c>
      <c r="H2892" s="478" t="s">
        <v>6828</v>
      </c>
      <c r="I2892" s="478" t="s">
        <v>6810</v>
      </c>
      <c r="J2892" s="471" t="str">
        <f t="shared" si="439"/>
        <v>runexp-suppsch-ict</v>
      </c>
      <c r="K2892" s="471" t="str">
        <f t="shared" si="440"/>
        <v>oth</v>
      </c>
      <c r="L2892" s="599"/>
      <c r="M2892" s="471" t="s">
        <v>6827</v>
      </c>
      <c r="N2892" s="471" t="s">
        <v>1577</v>
      </c>
      <c r="O2892" s="471" t="s">
        <v>1576</v>
      </c>
    </row>
    <row r="2893" spans="1:15" x14ac:dyDescent="0.25">
      <c r="A2893" s="471" t="s">
        <v>6982</v>
      </c>
      <c r="B2893" s="1139">
        <f t="shared" ref="B2893:B2909" ca="1" si="441">INDEX(INDIRECT(LEFT($A2893,SEARCH("-",$A2893,1)-1)&amp;"_data"),MATCH(MID($A2893,SEARCH("-",$A2893)+1,SEARCH("#",SUBSTITUTE($A2893,"-","#",H2893),1)-(SEARCH("-",$A2893)+1)),INDIRECT(LEFT($A2893,SEARCH("-",$A2893,1)-1)&amp;"_rows"),0),MATCH(RIGHT($A2893,LEN($A2893)-SEARCH("#",SUBSTITUTE($A2893,"-","#",H2893),1)),INDIRECT(LEFT($A2893,SEARCH("-",$A2893,1)-1)&amp;"_Header"),0))</f>
        <v>0</v>
      </c>
      <c r="C2893" s="473">
        <f ca="1">IF(ISERROR(VLOOKUP($A$2729,INDIRECT("notes_"&amp;LEFT($A$2729,4)),4,0)),0,VLOOKUP($A$2729,INDIRECT("notes_"&amp;LEFT($A$2729,4)),4,0))</f>
        <v>0</v>
      </c>
      <c r="H2893" s="478" t="s">
        <v>6809</v>
      </c>
      <c r="I2893" s="478" t="s">
        <v>6810</v>
      </c>
      <c r="J2893" s="471" t="str">
        <f t="shared" si="439"/>
        <v>runexp-suppexam</v>
      </c>
      <c r="K2893" s="471" t="str">
        <f t="shared" si="440"/>
        <v>oth</v>
      </c>
      <c r="L2893" s="599"/>
      <c r="M2893" s="471" t="s">
        <v>6827</v>
      </c>
      <c r="N2893" s="471" t="s">
        <v>1577</v>
      </c>
      <c r="O2893" s="471" t="s">
        <v>1576</v>
      </c>
    </row>
    <row r="2894" spans="1:15" x14ac:dyDescent="0.25">
      <c r="A2894" s="471" t="s">
        <v>6983</v>
      </c>
      <c r="B2894" s="1139">
        <f t="shared" ca="1" si="441"/>
        <v>0</v>
      </c>
      <c r="C2894" s="473">
        <f ca="1">IF(ISERROR(VLOOKUP($A$2730,INDIRECT("notes_"&amp;LEFT($A$2730,4)),4,0)),0,VLOOKUP($A$2730,INDIRECT("notes_"&amp;LEFT($A$2730,4)),4,0))</f>
        <v>0</v>
      </c>
      <c r="H2894" s="478" t="s">
        <v>6809</v>
      </c>
      <c r="I2894" s="478" t="s">
        <v>6810</v>
      </c>
      <c r="J2894" s="471" t="str">
        <f t="shared" si="439"/>
        <v>runexp-suppoth</v>
      </c>
      <c r="K2894" s="471" t="str">
        <f t="shared" si="440"/>
        <v>oth</v>
      </c>
      <c r="L2894" s="599"/>
      <c r="M2894" s="471" t="s">
        <v>6827</v>
      </c>
      <c r="N2894" s="471" t="s">
        <v>1577</v>
      </c>
      <c r="O2894" s="471" t="s">
        <v>1576</v>
      </c>
    </row>
    <row r="2895" spans="1:15" x14ac:dyDescent="0.25">
      <c r="A2895" s="471" t="s">
        <v>6984</v>
      </c>
      <c r="B2895" s="1139">
        <f t="shared" ca="1" si="441"/>
        <v>0</v>
      </c>
      <c r="C2895" s="473">
        <f ca="1">IF(ISERROR(VLOOKUP($A$2731,INDIRECT("notes_"&amp;LEFT($A$2731,4)),4,0)),0,VLOOKUP($A$2731,INDIRECT("notes_"&amp;LEFT($A$2731,4)),4,0))</f>
        <v>0</v>
      </c>
      <c r="H2895" s="478" t="s">
        <v>6809</v>
      </c>
      <c r="I2895" s="478" t="s">
        <v>6810</v>
      </c>
      <c r="J2895" s="471" t="str">
        <f t="shared" si="439"/>
        <v>runexp-supptot</v>
      </c>
      <c r="K2895" s="471" t="str">
        <f t="shared" si="440"/>
        <v>oth</v>
      </c>
      <c r="L2895" s="599"/>
      <c r="M2895" s="471" t="s">
        <v>6827</v>
      </c>
      <c r="N2895" s="471" t="s">
        <v>1577</v>
      </c>
      <c r="O2895" s="471" t="s">
        <v>1576</v>
      </c>
    </row>
    <row r="2896" spans="1:15" x14ac:dyDescent="0.25">
      <c r="A2896" s="471" t="s">
        <v>6985</v>
      </c>
      <c r="B2896" s="1139">
        <f t="shared" ca="1" si="441"/>
        <v>0</v>
      </c>
      <c r="C2896" s="473">
        <f ca="1">IF(ISERROR(VLOOKUP($A$2732,INDIRECT("notes_"&amp;LEFT($A$2732,4)),4,0)),0,VLOOKUP($A$2732,INDIRECT("notes_"&amp;LEFT($A$2732,4)),4,0))</f>
        <v>0</v>
      </c>
      <c r="H2896" s="478" t="s">
        <v>6830</v>
      </c>
      <c r="I2896" s="478" t="s">
        <v>6810</v>
      </c>
      <c r="J2896" s="471" t="str">
        <f t="shared" si="439"/>
        <v>runexp-tpp-jnt-oth-la</v>
      </c>
      <c r="K2896" s="471" t="str">
        <f t="shared" si="440"/>
        <v>oth</v>
      </c>
      <c r="L2896" s="599"/>
      <c r="M2896" s="471" t="s">
        <v>6827</v>
      </c>
      <c r="N2896" s="471" t="s">
        <v>1577</v>
      </c>
      <c r="O2896" s="471" t="s">
        <v>1576</v>
      </c>
    </row>
    <row r="2897" spans="1:15" x14ac:dyDescent="0.25">
      <c r="A2897" s="471" t="s">
        <v>6986</v>
      </c>
      <c r="B2897" s="1139">
        <f t="shared" ca="1" si="441"/>
        <v>0</v>
      </c>
      <c r="C2897" s="473">
        <f ca="1">IF(ISERROR(VLOOKUP($A$2733,INDIRECT("notes_"&amp;LEFT($A$2733,4)),4,0)),0,VLOOKUP($A$2733,INDIRECT("notes_"&amp;LEFT($A$2733,4)),4,0))</f>
        <v>0</v>
      </c>
      <c r="H2897" s="478" t="s">
        <v>6829</v>
      </c>
      <c r="I2897" s="478" t="s">
        <v>6810</v>
      </c>
      <c r="J2897" s="471" t="str">
        <f t="shared" si="439"/>
        <v>runexp-tpp-pym-vln</v>
      </c>
      <c r="K2897" s="471" t="str">
        <f t="shared" si="440"/>
        <v>oth</v>
      </c>
      <c r="L2897" s="599"/>
      <c r="M2897" s="471" t="s">
        <v>6827</v>
      </c>
      <c r="N2897" s="471" t="s">
        <v>1577</v>
      </c>
      <c r="O2897" s="471" t="s">
        <v>1576</v>
      </c>
    </row>
    <row r="2898" spans="1:15" x14ac:dyDescent="0.25">
      <c r="A2898" s="471" t="s">
        <v>6987</v>
      </c>
      <c r="B2898" s="1139">
        <f t="shared" ca="1" si="441"/>
        <v>0</v>
      </c>
      <c r="C2898" s="473">
        <f ca="1">IF(ISERROR(VLOOKUP($A$2734,INDIRECT("notes_"&amp;LEFT($A$2734,4)),4,0)),0,VLOOKUP($A$2734,INDIRECT("notes_"&amp;LEFT($A$2734,4)),4,0))</f>
        <v>0</v>
      </c>
      <c r="H2898" s="478" t="s">
        <v>6829</v>
      </c>
      <c r="I2898" s="478" t="s">
        <v>6810</v>
      </c>
      <c r="J2898" s="471" t="str">
        <f t="shared" si="439"/>
        <v>runexp-tpp-pc-profess</v>
      </c>
      <c r="K2898" s="471" t="str">
        <f t="shared" si="440"/>
        <v>oth</v>
      </c>
      <c r="L2898" s="599"/>
      <c r="M2898" s="471" t="s">
        <v>6827</v>
      </c>
      <c r="N2898" s="471" t="s">
        <v>1577</v>
      </c>
      <c r="O2898" s="471" t="s">
        <v>1576</v>
      </c>
    </row>
    <row r="2899" spans="1:15" x14ac:dyDescent="0.25">
      <c r="A2899" s="471" t="s">
        <v>6988</v>
      </c>
      <c r="B2899" s="1139">
        <f t="shared" ca="1" si="441"/>
        <v>0</v>
      </c>
      <c r="C2899" s="473">
        <f ca="1">IF(ISERROR(VLOOKUP($A$2735,INDIRECT("notes_"&amp;LEFT($A$2735,4)),4,0)),0,VLOOKUP($A$2735,INDIRECT("notes_"&amp;LEFT($A$2735,4)),4,0))</f>
        <v>0</v>
      </c>
      <c r="H2899" s="478" t="s">
        <v>6829</v>
      </c>
      <c r="I2899" s="478" t="s">
        <v>6810</v>
      </c>
      <c r="J2899" s="471" t="str">
        <f t="shared" si="439"/>
        <v>runexp-tpp-pc-agency</v>
      </c>
      <c r="K2899" s="471" t="str">
        <f t="shared" si="440"/>
        <v>oth</v>
      </c>
      <c r="L2899" s="599"/>
      <c r="M2899" s="471" t="s">
        <v>6827</v>
      </c>
      <c r="N2899" s="471" t="s">
        <v>1577</v>
      </c>
      <c r="O2899" s="471" t="s">
        <v>1576</v>
      </c>
    </row>
    <row r="2900" spans="1:15" x14ac:dyDescent="0.25">
      <c r="A2900" s="471" t="s">
        <v>6989</v>
      </c>
      <c r="B2900" s="1139">
        <f t="shared" ca="1" si="441"/>
        <v>0</v>
      </c>
      <c r="C2900" s="473">
        <f ca="1">IF(ISERROR(VLOOKUP($A$2736,INDIRECT("notes_"&amp;LEFT($A$2736,4)),4,0)),0,VLOOKUP($A$2736,INDIRECT("notes_"&amp;LEFT($A$2736,4)),4,0))</f>
        <v>0</v>
      </c>
      <c r="H2900" s="478" t="s">
        <v>6829</v>
      </c>
      <c r="I2900" s="478" t="s">
        <v>6810</v>
      </c>
      <c r="J2900" s="471" t="str">
        <f t="shared" si="439"/>
        <v>runexp-tpp-pc-oth</v>
      </c>
      <c r="K2900" s="471" t="str">
        <f t="shared" si="440"/>
        <v>oth</v>
      </c>
      <c r="L2900" s="599"/>
      <c r="M2900" s="471" t="s">
        <v>6827</v>
      </c>
      <c r="N2900" s="471" t="s">
        <v>1577</v>
      </c>
      <c r="O2900" s="471" t="s">
        <v>1576</v>
      </c>
    </row>
    <row r="2901" spans="1:15" x14ac:dyDescent="0.25">
      <c r="A2901" s="471" t="s">
        <v>6990</v>
      </c>
      <c r="B2901" s="1139">
        <f t="shared" ca="1" si="441"/>
        <v>0</v>
      </c>
      <c r="C2901" s="473">
        <f ca="1">IF(ISERROR(VLOOKUP($A$2737,INDIRECT("notes_"&amp;LEFT($A$2737,4)),4,0)),0,VLOOKUP($A$2737,INDIRECT("notes_"&amp;LEFT($A$2737,4)),4,0))</f>
        <v>0</v>
      </c>
      <c r="H2901" s="478" t="s">
        <v>6828</v>
      </c>
      <c r="I2901" s="478" t="s">
        <v>6810</v>
      </c>
      <c r="J2901" s="471" t="str">
        <f t="shared" si="439"/>
        <v>runexp-tpp-ito</v>
      </c>
      <c r="K2901" s="471" t="str">
        <f t="shared" si="440"/>
        <v>oth</v>
      </c>
      <c r="L2901" s="599"/>
      <c r="M2901" s="471" t="s">
        <v>6827</v>
      </c>
      <c r="N2901" s="471" t="s">
        <v>1577</v>
      </c>
      <c r="O2901" s="471" t="s">
        <v>1576</v>
      </c>
    </row>
    <row r="2902" spans="1:15" x14ac:dyDescent="0.25">
      <c r="A2902" s="471" t="s">
        <v>6991</v>
      </c>
      <c r="B2902" s="1139">
        <f t="shared" ca="1" si="441"/>
        <v>0</v>
      </c>
      <c r="C2902" s="473">
        <f ca="1">IF(ISERROR(VLOOKUP($A$2738,INDIRECT("notes_"&amp;LEFT($A$2738,4)),4,0)),0,VLOOKUP($A$2738,INDIRECT("notes_"&amp;LEFT($A$2738,4)),4,0))</f>
        <v>0</v>
      </c>
      <c r="H2902" s="478" t="s">
        <v>6828</v>
      </c>
      <c r="I2902" s="478" t="s">
        <v>6810</v>
      </c>
      <c r="J2902" s="471" t="str">
        <f t="shared" si="439"/>
        <v>runexp-tpp-tot</v>
      </c>
      <c r="K2902" s="471" t="str">
        <f t="shared" si="440"/>
        <v>oth</v>
      </c>
      <c r="L2902" s="599"/>
      <c r="M2902" s="471" t="s">
        <v>6827</v>
      </c>
      <c r="N2902" s="471" t="s">
        <v>1577</v>
      </c>
      <c r="O2902" s="471" t="s">
        <v>1576</v>
      </c>
    </row>
    <row r="2903" spans="1:15" x14ac:dyDescent="0.25">
      <c r="A2903" s="471" t="s">
        <v>6992</v>
      </c>
      <c r="B2903" s="1139">
        <f t="shared" ca="1" si="441"/>
        <v>0</v>
      </c>
      <c r="C2903" s="473">
        <f ca="1">IF(ISERROR(VLOOKUP($A$2739,INDIRECT("notes_"&amp;LEFT($A$2739,4)),4,0)),0,VLOOKUP($A$2739,INDIRECT("notes_"&amp;LEFT($A$2739,4)),4,0))</f>
        <v>0</v>
      </c>
      <c r="H2903" s="478" t="s">
        <v>6830</v>
      </c>
      <c r="I2903" s="478" t="s">
        <v>6810</v>
      </c>
      <c r="J2903" s="471" t="str">
        <f t="shared" si="439"/>
        <v>runexp-ttl-trn-pym-dsc</v>
      </c>
      <c r="K2903" s="471" t="str">
        <f t="shared" si="440"/>
        <v>oth</v>
      </c>
      <c r="L2903" s="599"/>
      <c r="M2903" s="471" t="s">
        <v>6827</v>
      </c>
      <c r="N2903" s="471" t="s">
        <v>1577</v>
      </c>
      <c r="O2903" s="471" t="s">
        <v>1576</v>
      </c>
    </row>
    <row r="2904" spans="1:15" x14ac:dyDescent="0.25">
      <c r="A2904" s="471" t="s">
        <v>6993</v>
      </c>
      <c r="B2904" s="1139">
        <f t="shared" ca="1" si="441"/>
        <v>0</v>
      </c>
      <c r="C2904" s="473">
        <f ca="1">IF(ISERROR(VLOOKUP($A$2740,INDIRECT("notes_"&amp;LEFT($A$2740,4)),4,0)),0,VLOOKUP($A$2740,INDIRECT("notes_"&amp;LEFT($A$2740,4)),4,0))</f>
        <v>0</v>
      </c>
      <c r="H2904" s="478" t="s">
        <v>6829</v>
      </c>
      <c r="I2904" s="478" t="s">
        <v>6810</v>
      </c>
      <c r="J2904" s="471" t="str">
        <f t="shared" si="439"/>
        <v>runexp-exp-mng-ss</v>
      </c>
      <c r="K2904" s="471" t="str">
        <f t="shared" si="440"/>
        <v>oth</v>
      </c>
      <c r="L2904" s="599"/>
      <c r="M2904" s="471" t="s">
        <v>6827</v>
      </c>
      <c r="N2904" s="471" t="s">
        <v>1577</v>
      </c>
      <c r="O2904" s="471" t="s">
        <v>1576</v>
      </c>
    </row>
    <row r="2905" spans="1:15" x14ac:dyDescent="0.25">
      <c r="A2905" s="471" t="s">
        <v>6994</v>
      </c>
      <c r="B2905" s="1139">
        <f t="shared" ca="1" si="441"/>
        <v>0</v>
      </c>
      <c r="C2905" s="473">
        <f ca="1">IF(ISERROR(VLOOKUP($A$2741,INDIRECT("notes_"&amp;LEFT($A$2741,4)),4,0)),0,VLOOKUP($A$2741,INDIRECT("notes_"&amp;LEFT($A$2741,4)),4,0))</f>
        <v>0</v>
      </c>
      <c r="H2905" s="478" t="s">
        <v>6809</v>
      </c>
      <c r="I2905" s="478" t="s">
        <v>6810</v>
      </c>
      <c r="J2905" s="471" t="str">
        <f t="shared" si="439"/>
        <v>runexp-tot</v>
      </c>
      <c r="K2905" s="471" t="str">
        <f t="shared" si="440"/>
        <v>oth</v>
      </c>
      <c r="L2905" s="599"/>
      <c r="M2905" s="471" t="s">
        <v>6827</v>
      </c>
      <c r="N2905" s="471" t="s">
        <v>1577</v>
      </c>
      <c r="O2905" s="471" t="s">
        <v>1576</v>
      </c>
    </row>
    <row r="2906" spans="1:15" x14ac:dyDescent="0.25">
      <c r="A2906" s="471" t="s">
        <v>2399</v>
      </c>
      <c r="B2906" s="1139">
        <f t="shared" ca="1" si="441"/>
        <v>0</v>
      </c>
      <c r="C2906" s="473">
        <f ca="1">IF(ISERROR(VLOOKUP(A2906,INDIRECT("notes_"&amp;LEFT(A2906,4)),4,0)),0,VLOOKUP(A2906,INDIRECT("notes_"&amp;LEFT(A2906,4)),4,0))</f>
        <v>0</v>
      </c>
      <c r="H2906" s="478" t="s">
        <v>6809</v>
      </c>
      <c r="I2906" s="478" t="s">
        <v>6810</v>
      </c>
      <c r="J2906" s="471" t="str">
        <f t="shared" si="439"/>
        <v>inc-rnt</v>
      </c>
      <c r="K2906" s="471" t="str">
        <f t="shared" si="440"/>
        <v>tot</v>
      </c>
      <c r="L2906" s="599"/>
      <c r="M2906" s="471" t="s">
        <v>6995</v>
      </c>
      <c r="N2906" s="471" t="s">
        <v>6996</v>
      </c>
      <c r="O2906" s="471" t="s">
        <v>1669</v>
      </c>
    </row>
    <row r="2907" spans="1:15" x14ac:dyDescent="0.25">
      <c r="A2907" s="471" t="s">
        <v>2400</v>
      </c>
      <c r="B2907" s="1139">
        <f t="shared" ca="1" si="441"/>
        <v>0</v>
      </c>
      <c r="C2907" s="473">
        <f ca="1">IF(ISERROR(VLOOKUP(A2907,INDIRECT("notes_"&amp;LEFT(A2907,4)),4,0)),0,VLOOKUP(A2907,INDIRECT("notes_"&amp;LEFT(A2907,4)),4,0))</f>
        <v>0</v>
      </c>
      <c r="H2907" s="478" t="s">
        <v>6809</v>
      </c>
      <c r="I2907" s="478" t="s">
        <v>6810</v>
      </c>
      <c r="J2907" s="471" t="str">
        <f t="shared" si="439"/>
        <v>inc-rch</v>
      </c>
      <c r="K2907" s="471" t="str">
        <f t="shared" si="440"/>
        <v>tot</v>
      </c>
      <c r="L2907" s="599"/>
      <c r="M2907" s="471" t="s">
        <v>6995</v>
      </c>
      <c r="N2907" s="471" t="s">
        <v>6996</v>
      </c>
      <c r="O2907" s="471" t="s">
        <v>1669</v>
      </c>
    </row>
    <row r="2908" spans="1:15" x14ac:dyDescent="0.25">
      <c r="A2908" s="471" t="s">
        <v>2401</v>
      </c>
      <c r="B2908" s="1139">
        <f t="shared" ca="1" si="441"/>
        <v>0</v>
      </c>
      <c r="C2908" s="473">
        <f ca="1">IF(ISERROR(VLOOKUP(A2908,INDIRECT("notes_"&amp;LEFT(A2908,4)),4,0)),0,VLOOKUP(A2908,INDIRECT("notes_"&amp;LEFT(A2908,4)),4,0))</f>
        <v>0</v>
      </c>
      <c r="H2908" s="478" t="s">
        <v>6809</v>
      </c>
      <c r="I2908" s="478" t="s">
        <v>6810</v>
      </c>
      <c r="J2908" s="471" t="str">
        <f t="shared" si="439"/>
        <v>inc-oth</v>
      </c>
      <c r="K2908" s="471" t="str">
        <f t="shared" si="440"/>
        <v>tot</v>
      </c>
      <c r="L2908" s="599"/>
      <c r="M2908" s="471" t="s">
        <v>6995</v>
      </c>
      <c r="N2908" s="471" t="s">
        <v>6996</v>
      </c>
      <c r="O2908" s="471" t="s">
        <v>1669</v>
      </c>
    </row>
    <row r="2909" spans="1:15" x14ac:dyDescent="0.25">
      <c r="A2909" s="471" t="s">
        <v>2402</v>
      </c>
      <c r="B2909" s="1139">
        <f t="shared" ca="1" si="441"/>
        <v>0</v>
      </c>
      <c r="C2909" s="473">
        <f ca="1">IF(ISERROR(VLOOKUP(A2909,INDIRECT("notes_"&amp;LEFT(A2909,4)),4,0)),0,VLOOKUP(A2909,INDIRECT("notes_"&amp;LEFT(A2909,4)),4,0))</f>
        <v>0</v>
      </c>
      <c r="H2909" s="478" t="s">
        <v>6809</v>
      </c>
      <c r="I2909" s="478" t="s">
        <v>6810</v>
      </c>
      <c r="J2909" s="471" t="str">
        <f t="shared" si="439"/>
        <v>inc-tot</v>
      </c>
      <c r="K2909" s="471" t="str">
        <f t="shared" si="440"/>
        <v>tot</v>
      </c>
      <c r="L2909" s="599"/>
      <c r="M2909" s="471" t="s">
        <v>6995</v>
      </c>
      <c r="N2909" s="471" t="s">
        <v>6996</v>
      </c>
      <c r="O2909" s="471" t="s">
        <v>1669</v>
      </c>
    </row>
    <row r="2910" spans="1:15" x14ac:dyDescent="0.25">
      <c r="H2910" s="478"/>
      <c r="I2910" s="478"/>
    </row>
  </sheetData>
  <sheetProtection sheet="1" objects="1" scenarios="1"/>
  <autoFilter ref="A1:S2909" xr:uid="{3AF0926C-18D9-4635-BE7E-32B2FFF9D852}"/>
  <phoneticPr fontId="146"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topLeftCell="B1" zoomScale="160" zoomScaleNormal="160" workbookViewId="0">
      <selection activeCell="B1" sqref="B1:L1"/>
    </sheetView>
  </sheetViews>
  <sheetFormatPr defaultRowHeight="12.5" x14ac:dyDescent="0.25"/>
  <cols>
    <col min="1" max="1" width="14" customWidth="1"/>
    <col min="4" max="4" width="11.453125" customWidth="1"/>
    <col min="5" max="5" width="17.453125" bestFit="1" customWidth="1"/>
    <col min="6" max="6" width="24.26953125" customWidth="1"/>
    <col min="7" max="7" width="12.453125" customWidth="1"/>
    <col min="8" max="8" width="16.54296875" customWidth="1"/>
    <col min="9" max="9" width="11.54296875" customWidth="1"/>
  </cols>
  <sheetData>
    <row r="1" spans="1:9" x14ac:dyDescent="0.25">
      <c r="A1" t="str">
        <f>LA_name</f>
        <v>Please click here to select your authority name ==&gt;</v>
      </c>
      <c r="B1" t="s">
        <v>4706</v>
      </c>
      <c r="C1">
        <v>202603</v>
      </c>
      <c r="D1" s="756" t="s">
        <v>6997</v>
      </c>
      <c r="E1" t="s">
        <v>6998</v>
      </c>
      <c r="F1" t="s">
        <v>6999</v>
      </c>
      <c r="G1">
        <v>2025</v>
      </c>
      <c r="H1" t="s">
        <v>7000</v>
      </c>
      <c r="I1">
        <v>2026</v>
      </c>
    </row>
    <row r="2" spans="1:9" x14ac:dyDescent="0.25">
      <c r="D2" t="s">
        <v>7001</v>
      </c>
      <c r="E2" s="280" t="s">
        <v>7002</v>
      </c>
      <c r="F2" s="280" t="s">
        <v>7003</v>
      </c>
      <c r="G2" t="s">
        <v>7004</v>
      </c>
      <c r="H2" s="280" t="s">
        <v>7005</v>
      </c>
      <c r="I2" s="280" t="s">
        <v>7006</v>
      </c>
    </row>
  </sheetData>
  <sheetProtection sheet="1" objects="1" scenarios="1"/>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J431"/>
  <sheetViews>
    <sheetView zoomScaleNormal="100" workbookViewId="0">
      <selection activeCell="B1" sqref="B1:L1"/>
    </sheetView>
  </sheetViews>
  <sheetFormatPr defaultRowHeight="12.5" x14ac:dyDescent="0.25"/>
  <cols>
    <col min="2" max="4" width="20" customWidth="1"/>
    <col min="5" max="5" width="14.7265625" customWidth="1"/>
    <col min="6" max="6" width="47.26953125" customWidth="1"/>
    <col min="8" max="10" width="21.26953125" customWidth="1"/>
  </cols>
  <sheetData>
    <row r="1" spans="1:10" ht="14" x14ac:dyDescent="0.25">
      <c r="A1" s="1431" t="s">
        <v>7007</v>
      </c>
      <c r="B1" s="1431" t="s">
        <v>7008</v>
      </c>
      <c r="C1" s="1431" t="s">
        <v>7009</v>
      </c>
      <c r="D1" s="1431" t="s">
        <v>7010</v>
      </c>
      <c r="E1" s="1431" t="s">
        <v>7011</v>
      </c>
      <c r="F1" s="1431" t="s">
        <v>7012</v>
      </c>
      <c r="G1" s="1431" t="s">
        <v>65</v>
      </c>
      <c r="H1" s="1431" t="s">
        <v>7013</v>
      </c>
      <c r="I1" s="1431" t="s">
        <v>7014</v>
      </c>
      <c r="J1" s="1431" t="s">
        <v>7015</v>
      </c>
    </row>
    <row r="2" spans="1:10" ht="14" x14ac:dyDescent="0.3">
      <c r="A2" s="288" t="str">
        <f>E2&amp;B2</f>
        <v>RO110</v>
      </c>
      <c r="B2" s="288">
        <v>10</v>
      </c>
      <c r="C2" s="288">
        <v>7</v>
      </c>
      <c r="D2" s="288">
        <v>1</v>
      </c>
      <c r="E2" s="289" t="s">
        <v>2001</v>
      </c>
      <c r="F2" s="290" t="s">
        <v>7016</v>
      </c>
      <c r="G2" s="291">
        <v>4000</v>
      </c>
      <c r="H2" s="292">
        <v>60</v>
      </c>
      <c r="I2" s="288">
        <v>10</v>
      </c>
      <c r="J2" s="288">
        <v>7</v>
      </c>
    </row>
    <row r="3" spans="1:10" ht="14" x14ac:dyDescent="0.3">
      <c r="A3" s="288" t="str">
        <f t="shared" ref="A3:A67" si="0">E3&amp;B3</f>
        <v>RO120</v>
      </c>
      <c r="B3" s="288">
        <v>20</v>
      </c>
      <c r="C3" s="288">
        <v>7</v>
      </c>
      <c r="D3" s="288">
        <f>D2+1</f>
        <v>2</v>
      </c>
      <c r="E3" s="289" t="s">
        <v>2001</v>
      </c>
      <c r="F3" s="290" t="s">
        <v>7017</v>
      </c>
      <c r="G3" s="291">
        <v>4000</v>
      </c>
      <c r="H3" s="292">
        <v>45</v>
      </c>
      <c r="I3" s="288">
        <v>20</v>
      </c>
      <c r="J3" s="288">
        <v>7</v>
      </c>
    </row>
    <row r="4" spans="1:10" ht="14" x14ac:dyDescent="0.3">
      <c r="A4" s="288" t="str">
        <f t="shared" si="0"/>
        <v>RO130</v>
      </c>
      <c r="B4" s="288">
        <v>30</v>
      </c>
      <c r="C4" s="288">
        <v>7</v>
      </c>
      <c r="D4" s="288">
        <f t="shared" ref="D4:D67" si="1">D3+1</f>
        <v>3</v>
      </c>
      <c r="E4" s="289" t="s">
        <v>2001</v>
      </c>
      <c r="F4" s="290" t="s">
        <v>7018</v>
      </c>
      <c r="G4" s="291">
        <v>10000</v>
      </c>
      <c r="H4" s="292">
        <v>60</v>
      </c>
      <c r="I4" s="288">
        <v>30</v>
      </c>
      <c r="J4" s="288">
        <v>7</v>
      </c>
    </row>
    <row r="5" spans="1:10" ht="14" x14ac:dyDescent="0.3">
      <c r="A5" s="288" t="str">
        <f t="shared" si="0"/>
        <v>RO140</v>
      </c>
      <c r="B5" s="288">
        <v>40</v>
      </c>
      <c r="C5" s="288">
        <v>7</v>
      </c>
      <c r="D5" s="288">
        <f t="shared" si="1"/>
        <v>4</v>
      </c>
      <c r="E5" s="289" t="s">
        <v>2001</v>
      </c>
      <c r="F5" s="290" t="s">
        <v>7019</v>
      </c>
      <c r="G5" s="291">
        <v>4000</v>
      </c>
      <c r="H5" s="292">
        <v>60</v>
      </c>
      <c r="I5" s="288">
        <v>40</v>
      </c>
      <c r="J5" s="288">
        <v>7</v>
      </c>
    </row>
    <row r="6" spans="1:10" ht="14" x14ac:dyDescent="0.3">
      <c r="A6" s="288" t="str">
        <f t="shared" si="0"/>
        <v>RO145</v>
      </c>
      <c r="B6" s="288">
        <v>45</v>
      </c>
      <c r="C6" s="288">
        <v>7</v>
      </c>
      <c r="D6" s="288">
        <f t="shared" si="1"/>
        <v>5</v>
      </c>
      <c r="E6" s="289" t="s">
        <v>2001</v>
      </c>
      <c r="F6" s="290" t="s">
        <v>7020</v>
      </c>
      <c r="G6" s="291">
        <v>8000</v>
      </c>
      <c r="H6" s="292">
        <v>60</v>
      </c>
      <c r="I6" s="288">
        <v>45</v>
      </c>
      <c r="J6" s="288">
        <v>7</v>
      </c>
    </row>
    <row r="7" spans="1:10" ht="14" x14ac:dyDescent="0.3">
      <c r="A7" s="288" t="str">
        <f t="shared" si="0"/>
        <v>RO165</v>
      </c>
      <c r="B7" s="288">
        <v>65</v>
      </c>
      <c r="C7" s="288">
        <v>7</v>
      </c>
      <c r="D7" s="288">
        <f t="shared" si="1"/>
        <v>6</v>
      </c>
      <c r="E7" s="289" t="s">
        <v>2001</v>
      </c>
      <c r="F7" s="290" t="s">
        <v>7021</v>
      </c>
      <c r="G7" s="291">
        <v>4000</v>
      </c>
      <c r="H7" s="292">
        <v>60</v>
      </c>
      <c r="I7" s="288">
        <v>65</v>
      </c>
      <c r="J7" s="288">
        <v>7</v>
      </c>
    </row>
    <row r="8" spans="1:10" ht="14" x14ac:dyDescent="0.3">
      <c r="A8" s="288" t="str">
        <f t="shared" si="0"/>
        <v>RO190</v>
      </c>
      <c r="B8" s="288">
        <v>90</v>
      </c>
      <c r="C8" s="288">
        <v>7</v>
      </c>
      <c r="D8" s="288">
        <f t="shared" si="1"/>
        <v>7</v>
      </c>
      <c r="E8" s="289" t="s">
        <v>2001</v>
      </c>
      <c r="F8" s="290" t="s">
        <v>7022</v>
      </c>
      <c r="G8" s="291">
        <v>8000</v>
      </c>
      <c r="H8" s="292">
        <v>60</v>
      </c>
      <c r="I8" s="288">
        <v>90</v>
      </c>
      <c r="J8" s="288">
        <v>7</v>
      </c>
    </row>
    <row r="9" spans="1:10" ht="14" x14ac:dyDescent="0.3">
      <c r="A9" s="293" t="str">
        <f t="shared" si="0"/>
        <v>RO211</v>
      </c>
      <c r="B9" s="293">
        <v>11</v>
      </c>
      <c r="C9" s="293">
        <v>7</v>
      </c>
      <c r="D9" s="293">
        <f t="shared" si="1"/>
        <v>8</v>
      </c>
      <c r="E9" s="294" t="s">
        <v>2010</v>
      </c>
      <c r="F9" s="295" t="s">
        <v>7023</v>
      </c>
      <c r="G9" s="296">
        <v>4000</v>
      </c>
      <c r="H9" s="297">
        <v>40</v>
      </c>
      <c r="I9" s="293">
        <v>11</v>
      </c>
      <c r="J9" s="293">
        <v>7</v>
      </c>
    </row>
    <row r="10" spans="1:10" ht="14" x14ac:dyDescent="0.3">
      <c r="A10" s="293" t="str">
        <f t="shared" si="0"/>
        <v>RO212</v>
      </c>
      <c r="B10" s="293">
        <v>12</v>
      </c>
      <c r="C10" s="293">
        <v>7</v>
      </c>
      <c r="D10" s="293">
        <f t="shared" si="1"/>
        <v>9</v>
      </c>
      <c r="E10" s="294" t="s">
        <v>2010</v>
      </c>
      <c r="F10" s="295" t="s">
        <v>7024</v>
      </c>
      <c r="G10" s="296">
        <v>4000</v>
      </c>
      <c r="H10" s="297">
        <v>40</v>
      </c>
      <c r="I10" s="293">
        <v>12</v>
      </c>
      <c r="J10" s="293">
        <v>7</v>
      </c>
    </row>
    <row r="11" spans="1:10" ht="14" x14ac:dyDescent="0.3">
      <c r="A11" s="293" t="str">
        <f t="shared" si="0"/>
        <v>RO231</v>
      </c>
      <c r="B11" s="293">
        <v>31</v>
      </c>
      <c r="C11" s="293">
        <v>7</v>
      </c>
      <c r="D11" s="293">
        <f t="shared" si="1"/>
        <v>10</v>
      </c>
      <c r="E11" s="294" t="s">
        <v>2010</v>
      </c>
      <c r="F11" s="295" t="s">
        <v>7025</v>
      </c>
      <c r="G11" s="296">
        <v>4000</v>
      </c>
      <c r="H11" s="297">
        <v>40</v>
      </c>
      <c r="I11" s="293">
        <v>31</v>
      </c>
      <c r="J11" s="293">
        <v>7</v>
      </c>
    </row>
    <row r="12" spans="1:10" ht="14" x14ac:dyDescent="0.3">
      <c r="A12" s="293" t="str">
        <f t="shared" si="0"/>
        <v>RO232</v>
      </c>
      <c r="B12" s="293">
        <v>32</v>
      </c>
      <c r="C12" s="293">
        <v>7</v>
      </c>
      <c r="D12" s="293">
        <f t="shared" si="1"/>
        <v>11</v>
      </c>
      <c r="E12" s="294" t="s">
        <v>2010</v>
      </c>
      <c r="F12" s="295" t="s">
        <v>7026</v>
      </c>
      <c r="G12" s="296">
        <v>4000</v>
      </c>
      <c r="H12" s="297">
        <v>40</v>
      </c>
      <c r="I12" s="293">
        <v>32</v>
      </c>
      <c r="J12" s="293">
        <v>7</v>
      </c>
    </row>
    <row r="13" spans="1:10" ht="14" x14ac:dyDescent="0.3">
      <c r="A13" s="293" t="str">
        <f t="shared" si="0"/>
        <v>RO233</v>
      </c>
      <c r="B13" s="293">
        <v>33</v>
      </c>
      <c r="C13" s="293">
        <v>7</v>
      </c>
      <c r="D13" s="293">
        <f t="shared" si="1"/>
        <v>12</v>
      </c>
      <c r="E13" s="294" t="s">
        <v>2010</v>
      </c>
      <c r="F13" s="295" t="s">
        <v>7027</v>
      </c>
      <c r="G13" s="296">
        <v>4000</v>
      </c>
      <c r="H13" s="297">
        <v>40</v>
      </c>
      <c r="I13" s="293">
        <v>33</v>
      </c>
      <c r="J13" s="293">
        <v>7</v>
      </c>
    </row>
    <row r="14" spans="1:10" ht="14" x14ac:dyDescent="0.3">
      <c r="A14" s="293" t="str">
        <f t="shared" si="0"/>
        <v>RO241</v>
      </c>
      <c r="B14" s="293">
        <v>41</v>
      </c>
      <c r="C14" s="293">
        <v>7</v>
      </c>
      <c r="D14" s="293">
        <f t="shared" si="1"/>
        <v>13</v>
      </c>
      <c r="E14" s="294" t="s">
        <v>2010</v>
      </c>
      <c r="F14" s="295" t="s">
        <v>7028</v>
      </c>
      <c r="G14" s="296">
        <v>4000</v>
      </c>
      <c r="H14" s="297">
        <v>40</v>
      </c>
      <c r="I14" s="293">
        <v>41</v>
      </c>
      <c r="J14" s="293">
        <v>7</v>
      </c>
    </row>
    <row r="15" spans="1:10" ht="14" x14ac:dyDescent="0.3">
      <c r="A15" s="293" t="str">
        <f t="shared" si="0"/>
        <v>RO244</v>
      </c>
      <c r="B15" s="293">
        <v>44</v>
      </c>
      <c r="C15" s="293">
        <v>7</v>
      </c>
      <c r="D15" s="293">
        <f t="shared" si="1"/>
        <v>14</v>
      </c>
      <c r="E15" s="294" t="s">
        <v>2010</v>
      </c>
      <c r="F15" s="295" t="s">
        <v>7029</v>
      </c>
      <c r="G15" s="296">
        <v>8000</v>
      </c>
      <c r="H15" s="297">
        <v>40</v>
      </c>
      <c r="I15" s="293">
        <v>44</v>
      </c>
      <c r="J15" s="293">
        <v>7</v>
      </c>
    </row>
    <row r="16" spans="1:10" ht="14" x14ac:dyDescent="0.3">
      <c r="A16" s="293" t="str">
        <f t="shared" si="0"/>
        <v>RO248</v>
      </c>
      <c r="B16" s="293">
        <v>48</v>
      </c>
      <c r="C16" s="293">
        <v>7</v>
      </c>
      <c r="D16" s="293">
        <f t="shared" si="1"/>
        <v>15</v>
      </c>
      <c r="E16" s="294" t="s">
        <v>2010</v>
      </c>
      <c r="F16" s="295" t="s">
        <v>7030</v>
      </c>
      <c r="G16" s="296">
        <v>4000</v>
      </c>
      <c r="H16" s="297">
        <v>40</v>
      </c>
      <c r="I16" s="293">
        <v>48</v>
      </c>
      <c r="J16" s="293">
        <v>7</v>
      </c>
    </row>
    <row r="17" spans="1:10" ht="14" x14ac:dyDescent="0.3">
      <c r="A17" s="293" t="str">
        <f t="shared" si="0"/>
        <v>RO249</v>
      </c>
      <c r="B17" s="293">
        <v>49</v>
      </c>
      <c r="C17" s="293">
        <v>7</v>
      </c>
      <c r="D17" s="293">
        <f t="shared" si="1"/>
        <v>16</v>
      </c>
      <c r="E17" s="294" t="s">
        <v>2010</v>
      </c>
      <c r="F17" s="295" t="s">
        <v>7027</v>
      </c>
      <c r="G17" s="296">
        <v>4000</v>
      </c>
      <c r="H17" s="297">
        <v>40</v>
      </c>
      <c r="I17" s="293">
        <v>49</v>
      </c>
      <c r="J17" s="293">
        <v>7</v>
      </c>
    </row>
    <row r="18" spans="1:10" ht="14" x14ac:dyDescent="0.3">
      <c r="A18" s="293" t="str">
        <f t="shared" si="0"/>
        <v>RO251</v>
      </c>
      <c r="B18" s="293">
        <v>51</v>
      </c>
      <c r="C18" s="293">
        <v>7</v>
      </c>
      <c r="D18" s="293">
        <f t="shared" si="1"/>
        <v>17</v>
      </c>
      <c r="E18" s="294" t="s">
        <v>2010</v>
      </c>
      <c r="F18" s="295" t="s">
        <v>7031</v>
      </c>
      <c r="G18" s="296">
        <v>3000</v>
      </c>
      <c r="H18" s="297">
        <v>30</v>
      </c>
      <c r="I18" s="293">
        <v>51</v>
      </c>
      <c r="J18" s="293">
        <v>7</v>
      </c>
    </row>
    <row r="19" spans="1:10" ht="14" x14ac:dyDescent="0.3">
      <c r="A19" s="293" t="s">
        <v>7032</v>
      </c>
      <c r="B19" s="293">
        <v>52</v>
      </c>
      <c r="C19" s="293">
        <v>7</v>
      </c>
      <c r="D19" s="293">
        <f t="shared" si="1"/>
        <v>18</v>
      </c>
      <c r="E19" s="294" t="s">
        <v>2010</v>
      </c>
      <c r="F19" s="295" t="s">
        <v>7033</v>
      </c>
      <c r="G19" s="296">
        <v>3000</v>
      </c>
      <c r="H19" s="297">
        <v>30</v>
      </c>
      <c r="I19" s="293">
        <v>52</v>
      </c>
      <c r="J19" s="293">
        <v>7</v>
      </c>
    </row>
    <row r="20" spans="1:10" ht="14" x14ac:dyDescent="0.3">
      <c r="A20" s="293" t="str">
        <f t="shared" si="0"/>
        <v>RO254</v>
      </c>
      <c r="B20" s="293">
        <v>54</v>
      </c>
      <c r="C20" s="293">
        <v>7</v>
      </c>
      <c r="D20" s="293">
        <f t="shared" si="1"/>
        <v>19</v>
      </c>
      <c r="E20" s="294" t="s">
        <v>2010</v>
      </c>
      <c r="F20" s="295" t="s">
        <v>7034</v>
      </c>
      <c r="G20" s="296">
        <v>3000</v>
      </c>
      <c r="H20" s="297">
        <v>30</v>
      </c>
      <c r="I20" s="293">
        <v>54</v>
      </c>
      <c r="J20" s="293">
        <v>7</v>
      </c>
    </row>
    <row r="21" spans="1:10" ht="14" x14ac:dyDescent="0.3">
      <c r="A21" s="293" t="str">
        <f t="shared" si="0"/>
        <v>RO258</v>
      </c>
      <c r="B21" s="293">
        <v>58</v>
      </c>
      <c r="C21" s="293">
        <v>7</v>
      </c>
      <c r="D21" s="293">
        <f t="shared" si="1"/>
        <v>20</v>
      </c>
      <c r="E21" s="294" t="s">
        <v>2010</v>
      </c>
      <c r="F21" s="295" t="s">
        <v>7035</v>
      </c>
      <c r="G21" s="296">
        <v>3000</v>
      </c>
      <c r="H21" s="297">
        <v>30</v>
      </c>
      <c r="I21" s="293">
        <v>58</v>
      </c>
      <c r="J21" s="293">
        <v>7</v>
      </c>
    </row>
    <row r="22" spans="1:10" ht="14" x14ac:dyDescent="0.3">
      <c r="A22" s="293" t="str">
        <f t="shared" si="0"/>
        <v>RO261</v>
      </c>
      <c r="B22" s="293">
        <v>61</v>
      </c>
      <c r="C22" s="293">
        <v>7</v>
      </c>
      <c r="D22" s="293">
        <f t="shared" si="1"/>
        <v>21</v>
      </c>
      <c r="E22" s="294" t="s">
        <v>2010</v>
      </c>
      <c r="F22" s="295" t="s">
        <v>7036</v>
      </c>
      <c r="G22" s="296">
        <v>4000</v>
      </c>
      <c r="H22" s="297">
        <v>40</v>
      </c>
      <c r="I22" s="293">
        <v>61</v>
      </c>
      <c r="J22" s="293">
        <v>7</v>
      </c>
    </row>
    <row r="23" spans="1:10" ht="14" x14ac:dyDescent="0.3">
      <c r="A23" s="293" t="str">
        <f t="shared" si="0"/>
        <v>RO262</v>
      </c>
      <c r="B23" s="293">
        <v>62</v>
      </c>
      <c r="C23" s="293">
        <v>7</v>
      </c>
      <c r="D23" s="293">
        <f t="shared" si="1"/>
        <v>22</v>
      </c>
      <c r="E23" s="294" t="s">
        <v>2010</v>
      </c>
      <c r="F23" s="295" t="s">
        <v>7037</v>
      </c>
      <c r="G23" s="296">
        <v>4000</v>
      </c>
      <c r="H23" s="297">
        <v>40</v>
      </c>
      <c r="I23" s="293">
        <v>62</v>
      </c>
      <c r="J23" s="293">
        <v>7</v>
      </c>
    </row>
    <row r="24" spans="1:10" ht="14" x14ac:dyDescent="0.3">
      <c r="A24" s="293" t="str">
        <f t="shared" si="0"/>
        <v>RO271</v>
      </c>
      <c r="B24" s="293">
        <v>71</v>
      </c>
      <c r="C24" s="293">
        <v>7</v>
      </c>
      <c r="D24" s="293">
        <f t="shared" si="1"/>
        <v>23</v>
      </c>
      <c r="E24" s="294" t="s">
        <v>2010</v>
      </c>
      <c r="F24" s="295" t="s">
        <v>7038</v>
      </c>
      <c r="G24" s="296">
        <v>4000</v>
      </c>
      <c r="H24" s="297">
        <v>40</v>
      </c>
      <c r="I24" s="293">
        <v>71</v>
      </c>
      <c r="J24" s="293">
        <v>7</v>
      </c>
    </row>
    <row r="25" spans="1:10" ht="14" x14ac:dyDescent="0.3">
      <c r="A25" s="293" t="str">
        <f t="shared" si="0"/>
        <v>RO272</v>
      </c>
      <c r="B25" s="293">
        <v>72</v>
      </c>
      <c r="C25" s="293">
        <v>7</v>
      </c>
      <c r="D25" s="293">
        <f t="shared" si="1"/>
        <v>24</v>
      </c>
      <c r="E25" s="294" t="s">
        <v>2010</v>
      </c>
      <c r="F25" s="295" t="s">
        <v>7039</v>
      </c>
      <c r="G25" s="296">
        <v>4000</v>
      </c>
      <c r="H25" s="297">
        <v>40</v>
      </c>
      <c r="I25" s="293">
        <v>72</v>
      </c>
      <c r="J25" s="293">
        <v>7</v>
      </c>
    </row>
    <row r="26" spans="1:10" ht="14" x14ac:dyDescent="0.3">
      <c r="A26" s="293" t="str">
        <f t="shared" si="0"/>
        <v>RO273</v>
      </c>
      <c r="B26" s="293">
        <v>73</v>
      </c>
      <c r="C26" s="293">
        <v>7</v>
      </c>
      <c r="D26" s="293">
        <f t="shared" si="1"/>
        <v>25</v>
      </c>
      <c r="E26" s="294" t="s">
        <v>2010</v>
      </c>
      <c r="F26" s="296" t="s">
        <v>7040</v>
      </c>
      <c r="G26" s="296">
        <v>4000</v>
      </c>
      <c r="H26" s="297">
        <v>40</v>
      </c>
      <c r="I26" s="293">
        <v>73</v>
      </c>
      <c r="J26" s="293">
        <v>7</v>
      </c>
    </row>
    <row r="27" spans="1:10" ht="14" x14ac:dyDescent="0.3">
      <c r="A27" s="293" t="str">
        <f t="shared" si="0"/>
        <v>RO274</v>
      </c>
      <c r="B27" s="293">
        <v>74</v>
      </c>
      <c r="C27" s="293">
        <v>7</v>
      </c>
      <c r="D27" s="293">
        <f t="shared" si="1"/>
        <v>26</v>
      </c>
      <c r="E27" s="294" t="s">
        <v>2010</v>
      </c>
      <c r="F27" s="296" t="s">
        <v>7041</v>
      </c>
      <c r="G27" s="296">
        <v>4000</v>
      </c>
      <c r="H27" s="297">
        <v>40</v>
      </c>
      <c r="I27" s="293">
        <v>74</v>
      </c>
      <c r="J27" s="293">
        <v>7</v>
      </c>
    </row>
    <row r="28" spans="1:10" ht="14" x14ac:dyDescent="0.3">
      <c r="A28" s="293" t="str">
        <f t="shared" si="0"/>
        <v>RO275</v>
      </c>
      <c r="B28" s="293">
        <v>75</v>
      </c>
      <c r="C28" s="293">
        <v>7</v>
      </c>
      <c r="D28" s="293">
        <f t="shared" si="1"/>
        <v>27</v>
      </c>
      <c r="E28" s="294" t="s">
        <v>2010</v>
      </c>
      <c r="F28" s="296" t="s">
        <v>7042</v>
      </c>
      <c r="G28" s="296">
        <v>4000</v>
      </c>
      <c r="H28" s="297">
        <v>40</v>
      </c>
      <c r="I28" s="293">
        <v>75</v>
      </c>
      <c r="J28" s="293">
        <v>7</v>
      </c>
    </row>
    <row r="29" spans="1:10" ht="14" x14ac:dyDescent="0.3">
      <c r="A29" s="293" t="str">
        <f t="shared" si="0"/>
        <v>RO276</v>
      </c>
      <c r="B29" s="293">
        <v>76</v>
      </c>
      <c r="C29" s="293">
        <v>7</v>
      </c>
      <c r="D29" s="293">
        <f t="shared" si="1"/>
        <v>28</v>
      </c>
      <c r="E29" s="294" t="s">
        <v>2010</v>
      </c>
      <c r="F29" s="296" t="s">
        <v>7043</v>
      </c>
      <c r="G29" s="296">
        <v>4000</v>
      </c>
      <c r="H29" s="297">
        <v>40</v>
      </c>
      <c r="I29" s="293">
        <v>76</v>
      </c>
      <c r="J29" s="293">
        <v>7</v>
      </c>
    </row>
    <row r="30" spans="1:10" ht="14" x14ac:dyDescent="0.3">
      <c r="A30" s="293" t="str">
        <f t="shared" si="0"/>
        <v>RO280</v>
      </c>
      <c r="B30" s="293">
        <v>80</v>
      </c>
      <c r="C30" s="293">
        <v>7</v>
      </c>
      <c r="D30" s="293">
        <f t="shared" si="1"/>
        <v>29</v>
      </c>
      <c r="E30" s="294" t="s">
        <v>2010</v>
      </c>
      <c r="F30" s="296" t="s">
        <v>7044</v>
      </c>
      <c r="G30" s="296">
        <v>3000</v>
      </c>
      <c r="H30" s="297">
        <v>30</v>
      </c>
      <c r="I30" s="293">
        <v>80</v>
      </c>
      <c r="J30" s="293">
        <v>7</v>
      </c>
    </row>
    <row r="31" spans="1:10" ht="14" x14ac:dyDescent="0.3">
      <c r="A31" s="293" t="str">
        <f t="shared" si="0"/>
        <v>RO290</v>
      </c>
      <c r="B31" s="293">
        <v>90</v>
      </c>
      <c r="C31" s="293">
        <v>7</v>
      </c>
      <c r="D31" s="293">
        <f t="shared" si="1"/>
        <v>30</v>
      </c>
      <c r="E31" s="294" t="s">
        <v>2010</v>
      </c>
      <c r="F31" s="296" t="s">
        <v>7045</v>
      </c>
      <c r="G31" s="296">
        <v>4000</v>
      </c>
      <c r="H31" s="297">
        <v>40</v>
      </c>
      <c r="I31" s="293">
        <v>90</v>
      </c>
      <c r="J31" s="293">
        <v>7</v>
      </c>
    </row>
    <row r="32" spans="1:10" ht="14" x14ac:dyDescent="0.3">
      <c r="A32" s="293" t="str">
        <f t="shared" si="0"/>
        <v>RO2101</v>
      </c>
      <c r="B32" s="293">
        <v>101</v>
      </c>
      <c r="C32" s="293">
        <v>5</v>
      </c>
      <c r="D32" s="293">
        <f t="shared" si="1"/>
        <v>31</v>
      </c>
      <c r="E32" s="294" t="s">
        <v>2010</v>
      </c>
      <c r="F32" s="296" t="s">
        <v>7046</v>
      </c>
      <c r="G32" s="296">
        <v>4000</v>
      </c>
      <c r="H32" s="297">
        <v>40</v>
      </c>
      <c r="I32" s="293">
        <v>101</v>
      </c>
      <c r="J32" s="293">
        <v>5</v>
      </c>
    </row>
    <row r="33" spans="1:10" ht="14" x14ac:dyDescent="0.3">
      <c r="A33" s="293" t="str">
        <f t="shared" si="0"/>
        <v>RO2102</v>
      </c>
      <c r="B33" s="293">
        <v>102</v>
      </c>
      <c r="C33" s="293">
        <v>5</v>
      </c>
      <c r="D33" s="293">
        <f t="shared" si="1"/>
        <v>32</v>
      </c>
      <c r="E33" s="294" t="s">
        <v>2010</v>
      </c>
      <c r="F33" s="296" t="s">
        <v>7047</v>
      </c>
      <c r="G33" s="296">
        <v>4000</v>
      </c>
      <c r="H33" s="297">
        <v>40</v>
      </c>
      <c r="I33" s="293">
        <v>102</v>
      </c>
      <c r="J33" s="293">
        <v>5</v>
      </c>
    </row>
    <row r="34" spans="1:10" ht="14" x14ac:dyDescent="0.3">
      <c r="A34" s="293" t="str">
        <f t="shared" si="0"/>
        <v>RO2103</v>
      </c>
      <c r="B34" s="293">
        <v>103</v>
      </c>
      <c r="C34" s="293">
        <v>5</v>
      </c>
      <c r="D34" s="293">
        <f t="shared" si="1"/>
        <v>33</v>
      </c>
      <c r="E34" s="294" t="s">
        <v>2010</v>
      </c>
      <c r="F34" s="296" t="s">
        <v>7048</v>
      </c>
      <c r="G34" s="296">
        <v>4000</v>
      </c>
      <c r="H34" s="297">
        <v>40</v>
      </c>
      <c r="I34" s="293">
        <v>103</v>
      </c>
      <c r="J34" s="293">
        <v>5</v>
      </c>
    </row>
    <row r="35" spans="1:10" ht="14" x14ac:dyDescent="0.3">
      <c r="A35" s="293" t="str">
        <f t="shared" si="0"/>
        <v>RO2104</v>
      </c>
      <c r="B35" s="293">
        <v>104</v>
      </c>
      <c r="C35" s="293">
        <v>5</v>
      </c>
      <c r="D35" s="293">
        <f t="shared" si="1"/>
        <v>34</v>
      </c>
      <c r="E35" s="294" t="s">
        <v>2010</v>
      </c>
      <c r="F35" s="296" t="s">
        <v>7049</v>
      </c>
      <c r="G35" s="296">
        <v>4000</v>
      </c>
      <c r="H35" s="297">
        <v>40</v>
      </c>
      <c r="I35" s="293">
        <v>104</v>
      </c>
      <c r="J35" s="293">
        <v>5</v>
      </c>
    </row>
    <row r="36" spans="1:10" ht="14" x14ac:dyDescent="0.3">
      <c r="A36" s="293" t="str">
        <f t="shared" si="0"/>
        <v>RO2130</v>
      </c>
      <c r="B36" s="293">
        <v>130</v>
      </c>
      <c r="C36" s="293">
        <v>7</v>
      </c>
      <c r="D36" s="293">
        <f t="shared" si="1"/>
        <v>35</v>
      </c>
      <c r="E36" s="294" t="s">
        <v>2010</v>
      </c>
      <c r="F36" s="296" t="s">
        <v>7050</v>
      </c>
      <c r="G36" s="296">
        <v>4000</v>
      </c>
      <c r="H36" s="297">
        <v>40</v>
      </c>
      <c r="I36" s="293">
        <v>130</v>
      </c>
      <c r="J36" s="293">
        <v>7</v>
      </c>
    </row>
    <row r="37" spans="1:10" ht="14" x14ac:dyDescent="0.3">
      <c r="A37" s="293" t="str">
        <f t="shared" si="0"/>
        <v>RO2141</v>
      </c>
      <c r="B37" s="293">
        <v>141</v>
      </c>
      <c r="C37" s="293">
        <v>2</v>
      </c>
      <c r="D37" s="293">
        <f t="shared" si="1"/>
        <v>36</v>
      </c>
      <c r="E37" s="294" t="s">
        <v>2010</v>
      </c>
      <c r="F37" s="296" t="s">
        <v>7051</v>
      </c>
      <c r="G37" s="296">
        <v>4000</v>
      </c>
      <c r="H37" s="297">
        <v>40</v>
      </c>
      <c r="I37" s="293">
        <v>141</v>
      </c>
      <c r="J37" s="293">
        <v>2</v>
      </c>
    </row>
    <row r="38" spans="1:10" ht="14" x14ac:dyDescent="0.3">
      <c r="A38" s="293" t="str">
        <f t="shared" si="0"/>
        <v>RO2144</v>
      </c>
      <c r="B38" s="293">
        <v>144</v>
      </c>
      <c r="C38" s="293">
        <v>2</v>
      </c>
      <c r="D38" s="293">
        <f t="shared" si="1"/>
        <v>37</v>
      </c>
      <c r="E38" s="294" t="s">
        <v>2010</v>
      </c>
      <c r="F38" s="296" t="s">
        <v>7052</v>
      </c>
      <c r="G38" s="296">
        <v>4000</v>
      </c>
      <c r="H38" s="297">
        <v>40</v>
      </c>
      <c r="I38" s="293">
        <v>144</v>
      </c>
      <c r="J38" s="293">
        <v>2</v>
      </c>
    </row>
    <row r="39" spans="1:10" ht="14" x14ac:dyDescent="0.3">
      <c r="A39" s="293" t="str">
        <f t="shared" si="0"/>
        <v>RO2161</v>
      </c>
      <c r="B39" s="293">
        <v>161</v>
      </c>
      <c r="C39" s="293">
        <v>4</v>
      </c>
      <c r="D39" s="293">
        <f t="shared" si="1"/>
        <v>38</v>
      </c>
      <c r="E39" s="294" t="s">
        <v>2010</v>
      </c>
      <c r="F39" s="296" t="s">
        <v>7053</v>
      </c>
      <c r="G39" s="296">
        <v>4000</v>
      </c>
      <c r="H39" s="297">
        <v>40</v>
      </c>
      <c r="I39" s="293">
        <v>161</v>
      </c>
      <c r="J39" s="293">
        <v>4</v>
      </c>
    </row>
    <row r="40" spans="1:10" ht="14" x14ac:dyDescent="0.3">
      <c r="A40" s="293" t="str">
        <f t="shared" si="0"/>
        <v>RO2162</v>
      </c>
      <c r="B40" s="293">
        <v>162</v>
      </c>
      <c r="C40" s="293">
        <v>4</v>
      </c>
      <c r="D40" s="293">
        <f t="shared" si="1"/>
        <v>39</v>
      </c>
      <c r="E40" s="294" t="s">
        <v>2010</v>
      </c>
      <c r="F40" s="296" t="s">
        <v>7054</v>
      </c>
      <c r="G40" s="296">
        <v>4000</v>
      </c>
      <c r="H40" s="297">
        <v>40</v>
      </c>
      <c r="I40" s="293">
        <v>162</v>
      </c>
      <c r="J40" s="293">
        <v>4</v>
      </c>
    </row>
    <row r="41" spans="1:10" ht="14" x14ac:dyDescent="0.3">
      <c r="A41" s="293" t="str">
        <f t="shared" si="0"/>
        <v>RO2172</v>
      </c>
      <c r="B41" s="293">
        <v>172</v>
      </c>
      <c r="C41" s="293">
        <v>7</v>
      </c>
      <c r="D41" s="293">
        <f t="shared" si="1"/>
        <v>40</v>
      </c>
      <c r="E41" s="294" t="s">
        <v>2010</v>
      </c>
      <c r="F41" s="296" t="s">
        <v>7055</v>
      </c>
      <c r="G41" s="296">
        <v>4000</v>
      </c>
      <c r="H41" s="297">
        <v>40</v>
      </c>
      <c r="I41" s="293">
        <v>172</v>
      </c>
      <c r="J41" s="293">
        <v>7</v>
      </c>
    </row>
    <row r="42" spans="1:10" ht="14" x14ac:dyDescent="0.3">
      <c r="A42" s="293" t="str">
        <f t="shared" si="0"/>
        <v>RO2173</v>
      </c>
      <c r="B42" s="293">
        <v>173</v>
      </c>
      <c r="C42" s="293">
        <v>7</v>
      </c>
      <c r="D42" s="293">
        <f t="shared" si="1"/>
        <v>41</v>
      </c>
      <c r="E42" s="294" t="s">
        <v>2010</v>
      </c>
      <c r="F42" s="296" t="s">
        <v>7056</v>
      </c>
      <c r="G42" s="296">
        <v>4000</v>
      </c>
      <c r="H42" s="297">
        <v>40</v>
      </c>
      <c r="I42" s="293">
        <v>173</v>
      </c>
      <c r="J42" s="293">
        <v>7</v>
      </c>
    </row>
    <row r="43" spans="1:10" ht="14" x14ac:dyDescent="0.3">
      <c r="A43" s="293" t="str">
        <f t="shared" si="0"/>
        <v>RO2174</v>
      </c>
      <c r="B43" s="293">
        <v>174</v>
      </c>
      <c r="C43" s="293">
        <v>7</v>
      </c>
      <c r="D43" s="293">
        <f t="shared" si="1"/>
        <v>42</v>
      </c>
      <c r="E43" s="294" t="s">
        <v>2010</v>
      </c>
      <c r="F43" s="296" t="s">
        <v>7057</v>
      </c>
      <c r="G43" s="296">
        <v>4000</v>
      </c>
      <c r="H43" s="297">
        <v>40</v>
      </c>
      <c r="I43" s="293">
        <v>174</v>
      </c>
      <c r="J43" s="293">
        <v>7</v>
      </c>
    </row>
    <row r="44" spans="1:10" ht="14" x14ac:dyDescent="0.3">
      <c r="A44" s="288" t="str">
        <f t="shared" si="0"/>
        <v>RO310</v>
      </c>
      <c r="B44" s="288">
        <v>10</v>
      </c>
      <c r="C44" s="288">
        <v>7</v>
      </c>
      <c r="D44" s="288">
        <f t="shared" si="1"/>
        <v>43</v>
      </c>
      <c r="E44" s="289" t="s">
        <v>2047</v>
      </c>
      <c r="F44" s="291" t="s">
        <v>7058</v>
      </c>
      <c r="G44" s="291">
        <v>4000</v>
      </c>
      <c r="H44" s="292">
        <v>45</v>
      </c>
      <c r="I44" s="288">
        <v>10</v>
      </c>
      <c r="J44" s="288">
        <v>7</v>
      </c>
    </row>
    <row r="45" spans="1:10" ht="14" x14ac:dyDescent="0.3">
      <c r="A45" s="288" t="str">
        <f t="shared" si="0"/>
        <v>RO313</v>
      </c>
      <c r="B45" s="288">
        <v>13</v>
      </c>
      <c r="C45" s="288">
        <v>7</v>
      </c>
      <c r="D45" s="288">
        <f t="shared" si="1"/>
        <v>44</v>
      </c>
      <c r="E45" s="289" t="s">
        <v>2047</v>
      </c>
      <c r="F45" s="290" t="s">
        <v>7059</v>
      </c>
      <c r="G45" s="291">
        <v>4000</v>
      </c>
      <c r="H45" s="292">
        <v>45</v>
      </c>
      <c r="I45" s="288">
        <v>13</v>
      </c>
      <c r="J45" s="288">
        <v>7</v>
      </c>
    </row>
    <row r="46" spans="1:10" ht="14" x14ac:dyDescent="0.3">
      <c r="A46" s="288" t="str">
        <f t="shared" si="0"/>
        <v>RO315</v>
      </c>
      <c r="B46" s="288">
        <v>15</v>
      </c>
      <c r="C46" s="288">
        <v>7</v>
      </c>
      <c r="D46" s="288">
        <f t="shared" si="1"/>
        <v>45</v>
      </c>
      <c r="E46" s="289" t="s">
        <v>2047</v>
      </c>
      <c r="F46" s="290" t="s">
        <v>7060</v>
      </c>
      <c r="G46" s="291">
        <v>4000</v>
      </c>
      <c r="H46" s="292">
        <v>45</v>
      </c>
      <c r="I46" s="288">
        <v>15</v>
      </c>
      <c r="J46" s="288">
        <v>7</v>
      </c>
    </row>
    <row r="47" spans="1:10" ht="14" x14ac:dyDescent="0.3">
      <c r="A47" s="288" t="str">
        <f t="shared" si="0"/>
        <v>RO322</v>
      </c>
      <c r="B47" s="288">
        <v>22</v>
      </c>
      <c r="C47" s="288">
        <v>7</v>
      </c>
      <c r="D47" s="288">
        <f t="shared" si="1"/>
        <v>46</v>
      </c>
      <c r="E47" s="289" t="s">
        <v>2047</v>
      </c>
      <c r="F47" s="290" t="s">
        <v>7061</v>
      </c>
      <c r="G47" s="291">
        <v>4000</v>
      </c>
      <c r="H47" s="292">
        <v>45</v>
      </c>
      <c r="I47" s="288">
        <v>22</v>
      </c>
      <c r="J47" s="288">
        <v>7</v>
      </c>
    </row>
    <row r="48" spans="1:10" ht="14" x14ac:dyDescent="0.3">
      <c r="A48" s="288" t="str">
        <f t="shared" si="0"/>
        <v>RO323</v>
      </c>
      <c r="B48" s="288">
        <v>23</v>
      </c>
      <c r="C48" s="288">
        <v>7</v>
      </c>
      <c r="D48" s="288">
        <f t="shared" si="1"/>
        <v>47</v>
      </c>
      <c r="E48" s="289" t="s">
        <v>2047</v>
      </c>
      <c r="F48" s="290" t="s">
        <v>7062</v>
      </c>
      <c r="G48" s="291">
        <v>3000</v>
      </c>
      <c r="H48" s="292">
        <v>30</v>
      </c>
      <c r="I48" s="288">
        <v>23</v>
      </c>
      <c r="J48" s="288">
        <v>7</v>
      </c>
    </row>
    <row r="49" spans="1:10" ht="14" x14ac:dyDescent="0.3">
      <c r="A49" s="288" t="str">
        <f t="shared" si="0"/>
        <v>RO325</v>
      </c>
      <c r="B49" s="288">
        <v>25</v>
      </c>
      <c r="C49" s="288">
        <v>7</v>
      </c>
      <c r="D49" s="288">
        <f t="shared" si="1"/>
        <v>48</v>
      </c>
      <c r="E49" s="289" t="s">
        <v>2047</v>
      </c>
      <c r="F49" s="290" t="s">
        <v>7063</v>
      </c>
      <c r="G49" s="291">
        <v>10000</v>
      </c>
      <c r="H49" s="292">
        <v>45</v>
      </c>
      <c r="I49" s="288">
        <v>25</v>
      </c>
      <c r="J49" s="288">
        <v>7</v>
      </c>
    </row>
    <row r="50" spans="1:10" ht="14" x14ac:dyDescent="0.3">
      <c r="A50" s="288" t="str">
        <f t="shared" si="0"/>
        <v>RO326</v>
      </c>
      <c r="B50" s="288">
        <v>26</v>
      </c>
      <c r="C50" s="288">
        <v>7</v>
      </c>
      <c r="D50" s="288">
        <f t="shared" si="1"/>
        <v>49</v>
      </c>
      <c r="E50" s="289" t="s">
        <v>2047</v>
      </c>
      <c r="F50" s="290" t="s">
        <v>7064</v>
      </c>
      <c r="G50" s="291">
        <v>4000</v>
      </c>
      <c r="H50" s="292">
        <v>40</v>
      </c>
      <c r="I50" s="288">
        <v>26</v>
      </c>
      <c r="J50" s="288">
        <v>7</v>
      </c>
    </row>
    <row r="51" spans="1:10" ht="14" x14ac:dyDescent="0.3">
      <c r="A51" s="288" t="str">
        <f t="shared" si="0"/>
        <v>RO327</v>
      </c>
      <c r="B51" s="288">
        <v>27</v>
      </c>
      <c r="C51" s="288">
        <v>7</v>
      </c>
      <c r="D51" s="288">
        <f t="shared" si="1"/>
        <v>50</v>
      </c>
      <c r="E51" s="289" t="s">
        <v>2047</v>
      </c>
      <c r="F51" s="290" t="s">
        <v>7065</v>
      </c>
      <c r="G51" s="291">
        <v>10000</v>
      </c>
      <c r="H51" s="292">
        <v>40</v>
      </c>
      <c r="I51" s="288">
        <v>27</v>
      </c>
      <c r="J51" s="288">
        <v>7</v>
      </c>
    </row>
    <row r="52" spans="1:10" ht="14" x14ac:dyDescent="0.3">
      <c r="A52" s="288" t="str">
        <f t="shared" si="0"/>
        <v>RO330</v>
      </c>
      <c r="B52" s="288">
        <v>30</v>
      </c>
      <c r="C52" s="288">
        <v>7</v>
      </c>
      <c r="D52" s="288">
        <f t="shared" si="1"/>
        <v>51</v>
      </c>
      <c r="E52" s="289" t="s">
        <v>2047</v>
      </c>
      <c r="F52" s="290" t="s">
        <v>7066</v>
      </c>
      <c r="G52" s="291">
        <v>10000</v>
      </c>
      <c r="H52" s="292">
        <v>40</v>
      </c>
      <c r="I52" s="288">
        <v>30</v>
      </c>
      <c r="J52" s="288">
        <v>7</v>
      </c>
    </row>
    <row r="53" spans="1:10" ht="14" x14ac:dyDescent="0.3">
      <c r="A53" s="288" t="str">
        <f t="shared" si="0"/>
        <v>RO332</v>
      </c>
      <c r="B53" s="288">
        <v>32</v>
      </c>
      <c r="C53" s="288">
        <v>7</v>
      </c>
      <c r="D53" s="288">
        <f t="shared" si="1"/>
        <v>52</v>
      </c>
      <c r="E53" s="289" t="s">
        <v>2047</v>
      </c>
      <c r="F53" s="290" t="s">
        <v>7067</v>
      </c>
      <c r="G53" s="291">
        <v>4000</v>
      </c>
      <c r="H53" s="292">
        <v>40</v>
      </c>
      <c r="I53" s="288">
        <v>32</v>
      </c>
      <c r="J53" s="288">
        <v>7</v>
      </c>
    </row>
    <row r="54" spans="1:10" ht="14" x14ac:dyDescent="0.3">
      <c r="A54" s="288" t="str">
        <f t="shared" si="0"/>
        <v>RO333</v>
      </c>
      <c r="B54" s="288">
        <v>33</v>
      </c>
      <c r="C54" s="288">
        <v>7</v>
      </c>
      <c r="D54" s="288">
        <f t="shared" si="1"/>
        <v>53</v>
      </c>
      <c r="E54" s="289" t="s">
        <v>2047</v>
      </c>
      <c r="F54" s="290" t="s">
        <v>7068</v>
      </c>
      <c r="G54" s="291">
        <v>10000</v>
      </c>
      <c r="H54" s="292">
        <v>40</v>
      </c>
      <c r="I54" s="288">
        <v>33</v>
      </c>
      <c r="J54" s="288">
        <v>7</v>
      </c>
    </row>
    <row r="55" spans="1:10" ht="14" x14ac:dyDescent="0.3">
      <c r="A55" s="288" t="str">
        <f t="shared" si="0"/>
        <v>RO334</v>
      </c>
      <c r="B55" s="288">
        <v>34</v>
      </c>
      <c r="C55" s="288">
        <v>7</v>
      </c>
      <c r="D55" s="288">
        <f t="shared" si="1"/>
        <v>54</v>
      </c>
      <c r="E55" s="289" t="s">
        <v>2047</v>
      </c>
      <c r="F55" s="290" t="s">
        <v>7069</v>
      </c>
      <c r="G55" s="291">
        <v>4000</v>
      </c>
      <c r="H55" s="292">
        <v>40</v>
      </c>
      <c r="I55" s="288">
        <v>34</v>
      </c>
      <c r="J55" s="288">
        <v>7</v>
      </c>
    </row>
    <row r="56" spans="1:10" ht="14" x14ac:dyDescent="0.3">
      <c r="A56" s="288" t="str">
        <f t="shared" si="0"/>
        <v>RO335</v>
      </c>
      <c r="B56" s="288">
        <v>35</v>
      </c>
      <c r="C56" s="288">
        <v>7</v>
      </c>
      <c r="D56" s="288">
        <f t="shared" si="1"/>
        <v>55</v>
      </c>
      <c r="E56" s="289" t="s">
        <v>2047</v>
      </c>
      <c r="F56" s="290" t="s">
        <v>7070</v>
      </c>
      <c r="G56" s="291">
        <v>4000</v>
      </c>
      <c r="H56" s="292">
        <v>40</v>
      </c>
      <c r="I56" s="288">
        <v>35</v>
      </c>
      <c r="J56" s="288">
        <v>7</v>
      </c>
    </row>
    <row r="57" spans="1:10" ht="14" x14ac:dyDescent="0.3">
      <c r="A57" s="288" t="str">
        <f t="shared" si="0"/>
        <v>RO336</v>
      </c>
      <c r="B57" s="288">
        <v>36</v>
      </c>
      <c r="C57" s="288">
        <v>7</v>
      </c>
      <c r="D57" s="288">
        <f t="shared" si="1"/>
        <v>56</v>
      </c>
      <c r="E57" s="289" t="s">
        <v>2047</v>
      </c>
      <c r="F57" s="290" t="s">
        <v>7071</v>
      </c>
      <c r="G57" s="291">
        <v>6000</v>
      </c>
      <c r="H57" s="292">
        <v>55</v>
      </c>
      <c r="I57" s="288">
        <v>36</v>
      </c>
      <c r="J57" s="288">
        <v>7</v>
      </c>
    </row>
    <row r="58" spans="1:10" ht="14" x14ac:dyDescent="0.3">
      <c r="A58" s="288" t="str">
        <f t="shared" si="0"/>
        <v>RO337</v>
      </c>
      <c r="B58" s="288">
        <v>37</v>
      </c>
      <c r="C58" s="288">
        <v>7</v>
      </c>
      <c r="D58" s="288">
        <f t="shared" si="1"/>
        <v>57</v>
      </c>
      <c r="E58" s="289" t="s">
        <v>2047</v>
      </c>
      <c r="F58" s="290" t="s">
        <v>7072</v>
      </c>
      <c r="G58" s="291">
        <v>8000</v>
      </c>
      <c r="H58" s="292">
        <v>55</v>
      </c>
      <c r="I58" s="288">
        <v>37</v>
      </c>
      <c r="J58" s="288">
        <v>7</v>
      </c>
    </row>
    <row r="59" spans="1:10" ht="14" x14ac:dyDescent="0.3">
      <c r="A59" s="288" t="str">
        <f t="shared" si="0"/>
        <v>RO340</v>
      </c>
      <c r="B59" s="288">
        <v>40</v>
      </c>
      <c r="C59" s="288">
        <v>7</v>
      </c>
      <c r="D59" s="288">
        <f t="shared" si="1"/>
        <v>58</v>
      </c>
      <c r="E59" s="289" t="s">
        <v>2047</v>
      </c>
      <c r="F59" s="290" t="s">
        <v>7073</v>
      </c>
      <c r="G59" s="291">
        <v>4000</v>
      </c>
      <c r="H59" s="292">
        <v>40</v>
      </c>
      <c r="I59" s="288">
        <v>40</v>
      </c>
      <c r="J59" s="288">
        <v>7</v>
      </c>
    </row>
    <row r="60" spans="1:10" ht="14" x14ac:dyDescent="0.3">
      <c r="A60" s="288" t="str">
        <f t="shared" si="0"/>
        <v>RO341</v>
      </c>
      <c r="B60" s="288">
        <v>41</v>
      </c>
      <c r="C60" s="288">
        <v>7</v>
      </c>
      <c r="D60" s="288">
        <f t="shared" si="1"/>
        <v>59</v>
      </c>
      <c r="E60" s="289" t="s">
        <v>2047</v>
      </c>
      <c r="F60" s="290" t="s">
        <v>7074</v>
      </c>
      <c r="G60" s="291">
        <v>4000</v>
      </c>
      <c r="H60" s="292">
        <v>40</v>
      </c>
      <c r="I60" s="288">
        <v>41</v>
      </c>
      <c r="J60" s="288">
        <v>7</v>
      </c>
    </row>
    <row r="61" spans="1:10" ht="14" x14ac:dyDescent="0.3">
      <c r="A61" s="288" t="str">
        <f t="shared" si="0"/>
        <v>RO344</v>
      </c>
      <c r="B61" s="288">
        <v>44</v>
      </c>
      <c r="C61" s="288">
        <v>7</v>
      </c>
      <c r="D61" s="288">
        <f t="shared" si="1"/>
        <v>60</v>
      </c>
      <c r="E61" s="289" t="s">
        <v>2047</v>
      </c>
      <c r="F61" s="290" t="s">
        <v>7075</v>
      </c>
      <c r="G61" s="291">
        <v>12000</v>
      </c>
      <c r="H61" s="292">
        <v>40</v>
      </c>
      <c r="I61" s="288">
        <v>44</v>
      </c>
      <c r="J61" s="288">
        <v>7</v>
      </c>
    </row>
    <row r="62" spans="1:10" ht="14" x14ac:dyDescent="0.3">
      <c r="A62" s="288" t="str">
        <f t="shared" si="0"/>
        <v>RO345</v>
      </c>
      <c r="B62" s="288">
        <v>45</v>
      </c>
      <c r="C62" s="288">
        <v>7</v>
      </c>
      <c r="D62" s="288">
        <f t="shared" si="1"/>
        <v>61</v>
      </c>
      <c r="E62" s="289" t="s">
        <v>2047</v>
      </c>
      <c r="F62" s="290" t="s">
        <v>7076</v>
      </c>
      <c r="G62" s="291">
        <v>4000</v>
      </c>
      <c r="H62" s="292">
        <v>40</v>
      </c>
      <c r="I62" s="288">
        <v>45</v>
      </c>
      <c r="J62" s="288">
        <v>7</v>
      </c>
    </row>
    <row r="63" spans="1:10" ht="14" x14ac:dyDescent="0.3">
      <c r="A63" s="288" t="str">
        <f t="shared" si="0"/>
        <v>RO348</v>
      </c>
      <c r="B63" s="288">
        <v>48</v>
      </c>
      <c r="C63" s="288">
        <v>7</v>
      </c>
      <c r="D63" s="288">
        <f t="shared" si="1"/>
        <v>62</v>
      </c>
      <c r="E63" s="289" t="s">
        <v>2047</v>
      </c>
      <c r="F63" s="290" t="s">
        <v>7077</v>
      </c>
      <c r="G63" s="291">
        <v>4000</v>
      </c>
      <c r="H63" s="292">
        <v>40</v>
      </c>
      <c r="I63" s="288">
        <v>48</v>
      </c>
      <c r="J63" s="288">
        <v>7</v>
      </c>
    </row>
    <row r="64" spans="1:10" ht="14" x14ac:dyDescent="0.3">
      <c r="A64" s="288" t="str">
        <f t="shared" si="0"/>
        <v>RO349</v>
      </c>
      <c r="B64" s="288">
        <v>49</v>
      </c>
      <c r="C64" s="288">
        <v>7</v>
      </c>
      <c r="D64" s="288">
        <f t="shared" si="1"/>
        <v>63</v>
      </c>
      <c r="E64" s="289" t="s">
        <v>2047</v>
      </c>
      <c r="F64" s="290" t="s">
        <v>7078</v>
      </c>
      <c r="G64" s="291">
        <v>4000</v>
      </c>
      <c r="H64" s="292">
        <v>40</v>
      </c>
      <c r="I64" s="288">
        <v>49</v>
      </c>
      <c r="J64" s="288">
        <v>7</v>
      </c>
    </row>
    <row r="65" spans="1:10" ht="14" x14ac:dyDescent="0.3">
      <c r="A65" s="288" t="str">
        <f t="shared" si="0"/>
        <v>RO350</v>
      </c>
      <c r="B65" s="288">
        <v>50</v>
      </c>
      <c r="C65" s="288">
        <v>7</v>
      </c>
      <c r="D65" s="288">
        <f t="shared" si="1"/>
        <v>64</v>
      </c>
      <c r="E65" s="289" t="s">
        <v>2047</v>
      </c>
      <c r="F65" s="290" t="s">
        <v>7079</v>
      </c>
      <c r="G65" s="291">
        <v>5000</v>
      </c>
      <c r="H65" s="292">
        <v>40</v>
      </c>
      <c r="I65" s="288">
        <v>50</v>
      </c>
      <c r="J65" s="288">
        <v>7</v>
      </c>
    </row>
    <row r="66" spans="1:10" ht="14" x14ac:dyDescent="0.3">
      <c r="A66" s="288" t="str">
        <f t="shared" si="0"/>
        <v>RO351</v>
      </c>
      <c r="B66" s="288">
        <v>51</v>
      </c>
      <c r="C66" s="288">
        <v>7</v>
      </c>
      <c r="D66" s="288">
        <f t="shared" si="1"/>
        <v>65</v>
      </c>
      <c r="E66" s="289" t="s">
        <v>2047</v>
      </c>
      <c r="F66" s="290" t="s">
        <v>7080</v>
      </c>
      <c r="G66" s="291">
        <v>4000</v>
      </c>
      <c r="H66" s="292">
        <v>40</v>
      </c>
      <c r="I66" s="288">
        <v>51</v>
      </c>
      <c r="J66" s="288">
        <v>7</v>
      </c>
    </row>
    <row r="67" spans="1:10" ht="14" x14ac:dyDescent="0.3">
      <c r="A67" s="288" t="str">
        <f t="shared" si="0"/>
        <v>RO353</v>
      </c>
      <c r="B67" s="288">
        <v>53</v>
      </c>
      <c r="C67" s="288">
        <v>7</v>
      </c>
      <c r="D67" s="288">
        <f t="shared" si="1"/>
        <v>66</v>
      </c>
      <c r="E67" s="289" t="s">
        <v>2047</v>
      </c>
      <c r="F67" s="290" t="s">
        <v>7081</v>
      </c>
      <c r="G67" s="291">
        <v>4000</v>
      </c>
      <c r="H67" s="292">
        <v>40</v>
      </c>
      <c r="I67" s="288">
        <v>53</v>
      </c>
      <c r="J67" s="288">
        <v>7</v>
      </c>
    </row>
    <row r="68" spans="1:10" ht="14" x14ac:dyDescent="0.3">
      <c r="A68" s="288" t="str">
        <f t="shared" ref="A68:A137" si="2">E68&amp;B68</f>
        <v>RO354</v>
      </c>
      <c r="B68" s="288">
        <v>54</v>
      </c>
      <c r="C68" s="288">
        <v>7</v>
      </c>
      <c r="D68" s="288">
        <f t="shared" ref="D68:D137" si="3">D67+1</f>
        <v>67</v>
      </c>
      <c r="E68" s="289" t="s">
        <v>2047</v>
      </c>
      <c r="F68" s="290" t="s">
        <v>7082</v>
      </c>
      <c r="G68" s="291">
        <v>10000</v>
      </c>
      <c r="H68" s="292">
        <v>55</v>
      </c>
      <c r="I68" s="288">
        <v>54</v>
      </c>
      <c r="J68" s="288">
        <v>7</v>
      </c>
    </row>
    <row r="69" spans="1:10" ht="14" x14ac:dyDescent="0.3">
      <c r="A69" s="288" t="str">
        <f t="shared" si="2"/>
        <v>RO355</v>
      </c>
      <c r="B69" s="288">
        <v>55</v>
      </c>
      <c r="C69" s="288">
        <v>7</v>
      </c>
      <c r="D69" s="288">
        <f t="shared" si="3"/>
        <v>68</v>
      </c>
      <c r="E69" s="289" t="s">
        <v>2047</v>
      </c>
      <c r="F69" s="290" t="s">
        <v>7083</v>
      </c>
      <c r="G69" s="291">
        <v>4000</v>
      </c>
      <c r="H69" s="292">
        <v>40</v>
      </c>
      <c r="I69" s="288">
        <v>55</v>
      </c>
      <c r="J69" s="288">
        <v>7</v>
      </c>
    </row>
    <row r="70" spans="1:10" ht="14" x14ac:dyDescent="0.3">
      <c r="A70" s="288" t="str">
        <f t="shared" si="2"/>
        <v>RO356</v>
      </c>
      <c r="B70" s="288">
        <v>56</v>
      </c>
      <c r="C70" s="288">
        <v>7</v>
      </c>
      <c r="D70" s="288">
        <f t="shared" si="3"/>
        <v>69</v>
      </c>
      <c r="E70" s="289" t="s">
        <v>2047</v>
      </c>
      <c r="F70" s="290" t="s">
        <v>7084</v>
      </c>
      <c r="G70" s="291">
        <v>10000</v>
      </c>
      <c r="H70" s="292">
        <v>55</v>
      </c>
      <c r="I70" s="288">
        <v>56</v>
      </c>
      <c r="J70" s="288">
        <v>7</v>
      </c>
    </row>
    <row r="71" spans="1:10" ht="14" x14ac:dyDescent="0.3">
      <c r="A71" s="288" t="str">
        <f t="shared" si="2"/>
        <v>RO360</v>
      </c>
      <c r="B71" s="288">
        <v>60</v>
      </c>
      <c r="C71" s="288">
        <v>7</v>
      </c>
      <c r="D71" s="288">
        <f t="shared" si="3"/>
        <v>70</v>
      </c>
      <c r="E71" s="289" t="s">
        <v>2047</v>
      </c>
      <c r="F71" s="290" t="s">
        <v>7085</v>
      </c>
      <c r="G71" s="291">
        <v>10000</v>
      </c>
      <c r="H71" s="292">
        <v>55</v>
      </c>
      <c r="I71" s="288">
        <v>60</v>
      </c>
      <c r="J71" s="288">
        <v>7</v>
      </c>
    </row>
    <row r="72" spans="1:10" ht="14" x14ac:dyDescent="0.3">
      <c r="A72" s="288" t="str">
        <f t="shared" si="2"/>
        <v>RO361</v>
      </c>
      <c r="B72" s="288">
        <v>61</v>
      </c>
      <c r="C72" s="288">
        <v>7</v>
      </c>
      <c r="D72" s="288">
        <f t="shared" si="3"/>
        <v>71</v>
      </c>
      <c r="E72" s="289" t="s">
        <v>2047</v>
      </c>
      <c r="F72" s="290" t="s">
        <v>7086</v>
      </c>
      <c r="G72" s="291">
        <v>3000</v>
      </c>
      <c r="H72" s="292">
        <v>40</v>
      </c>
      <c r="I72" s="288">
        <v>61</v>
      </c>
      <c r="J72" s="288">
        <v>7</v>
      </c>
    </row>
    <row r="73" spans="1:10" ht="14" x14ac:dyDescent="0.3">
      <c r="A73" s="288" t="str">
        <f t="shared" si="2"/>
        <v>RO362</v>
      </c>
      <c r="B73" s="288">
        <v>62</v>
      </c>
      <c r="C73" s="288">
        <v>7</v>
      </c>
      <c r="D73" s="288">
        <f t="shared" si="3"/>
        <v>72</v>
      </c>
      <c r="E73" s="289" t="s">
        <v>2047</v>
      </c>
      <c r="F73" s="290" t="s">
        <v>7087</v>
      </c>
      <c r="G73" s="291">
        <v>3000</v>
      </c>
      <c r="H73" s="292">
        <v>40</v>
      </c>
      <c r="I73" s="288">
        <v>62</v>
      </c>
      <c r="J73" s="288">
        <v>7</v>
      </c>
    </row>
    <row r="74" spans="1:10" ht="14" x14ac:dyDescent="0.3">
      <c r="A74" s="288" t="str">
        <f t="shared" si="2"/>
        <v>RO363</v>
      </c>
      <c r="B74" s="288">
        <v>63</v>
      </c>
      <c r="C74" s="288">
        <v>7</v>
      </c>
      <c r="D74" s="288">
        <f t="shared" si="3"/>
        <v>73</v>
      </c>
      <c r="E74" s="289" t="s">
        <v>2047</v>
      </c>
      <c r="F74" s="290" t="s">
        <v>7088</v>
      </c>
      <c r="G74" s="291">
        <v>3000</v>
      </c>
      <c r="H74" s="292">
        <v>40</v>
      </c>
      <c r="I74" s="288">
        <v>63</v>
      </c>
      <c r="J74" s="288">
        <v>7</v>
      </c>
    </row>
    <row r="75" spans="1:10" ht="14" x14ac:dyDescent="0.3">
      <c r="A75" s="288" t="str">
        <f t="shared" si="2"/>
        <v>RO365</v>
      </c>
      <c r="B75" s="288">
        <v>65</v>
      </c>
      <c r="C75" s="288">
        <v>7</v>
      </c>
      <c r="D75" s="288">
        <f t="shared" si="3"/>
        <v>74</v>
      </c>
      <c r="E75" s="289" t="s">
        <v>2047</v>
      </c>
      <c r="F75" s="290" t="s">
        <v>7089</v>
      </c>
      <c r="G75" s="291">
        <v>3000</v>
      </c>
      <c r="H75" s="292">
        <v>40</v>
      </c>
      <c r="I75" s="288">
        <v>65</v>
      </c>
      <c r="J75" s="288">
        <v>7</v>
      </c>
    </row>
    <row r="76" spans="1:10" ht="14" x14ac:dyDescent="0.3">
      <c r="A76" s="288" t="str">
        <f t="shared" si="2"/>
        <v>RO366</v>
      </c>
      <c r="B76" s="288">
        <v>66</v>
      </c>
      <c r="C76" s="288">
        <v>7</v>
      </c>
      <c r="D76" s="288">
        <f t="shared" si="3"/>
        <v>75</v>
      </c>
      <c r="E76" s="289" t="s">
        <v>2047</v>
      </c>
      <c r="F76" s="290" t="s">
        <v>7090</v>
      </c>
      <c r="G76" s="291">
        <v>3000</v>
      </c>
      <c r="H76" s="292">
        <v>40</v>
      </c>
      <c r="I76" s="288">
        <v>66</v>
      </c>
      <c r="J76" s="288">
        <v>7</v>
      </c>
    </row>
    <row r="77" spans="1:10" ht="14" x14ac:dyDescent="0.3">
      <c r="A77" s="288" t="str">
        <f t="shared" si="2"/>
        <v>RO368</v>
      </c>
      <c r="B77" s="288">
        <v>68</v>
      </c>
      <c r="C77" s="288">
        <v>7</v>
      </c>
      <c r="D77" s="288">
        <f t="shared" si="3"/>
        <v>76</v>
      </c>
      <c r="E77" s="289" t="s">
        <v>2047</v>
      </c>
      <c r="F77" s="290" t="s">
        <v>7091</v>
      </c>
      <c r="G77" s="291">
        <v>2000</v>
      </c>
      <c r="H77" s="292">
        <v>40</v>
      </c>
      <c r="I77" s="288">
        <v>68</v>
      </c>
      <c r="J77" s="288">
        <v>7</v>
      </c>
    </row>
    <row r="78" spans="1:10" ht="14" x14ac:dyDescent="0.3">
      <c r="A78" s="288" t="str">
        <f t="shared" si="2"/>
        <v>RO370</v>
      </c>
      <c r="B78" s="288">
        <v>70</v>
      </c>
      <c r="C78" s="288">
        <v>7</v>
      </c>
      <c r="D78" s="288">
        <f t="shared" si="3"/>
        <v>77</v>
      </c>
      <c r="E78" s="289" t="s">
        <v>2047</v>
      </c>
      <c r="F78" s="290" t="s">
        <v>7092</v>
      </c>
      <c r="G78" s="291">
        <v>2000</v>
      </c>
      <c r="H78" s="292">
        <v>40</v>
      </c>
      <c r="I78" s="288">
        <v>70</v>
      </c>
      <c r="J78" s="288">
        <v>7</v>
      </c>
    </row>
    <row r="79" spans="1:10" ht="14" x14ac:dyDescent="0.3">
      <c r="A79" s="288" t="str">
        <f t="shared" si="2"/>
        <v>RO371</v>
      </c>
      <c r="B79" s="288">
        <v>71</v>
      </c>
      <c r="C79" s="288">
        <v>7</v>
      </c>
      <c r="D79" s="288">
        <f t="shared" si="3"/>
        <v>78</v>
      </c>
      <c r="E79" s="289" t="s">
        <v>2047</v>
      </c>
      <c r="F79" s="290" t="s">
        <v>7093</v>
      </c>
      <c r="G79" s="291">
        <v>2000</v>
      </c>
      <c r="H79" s="292">
        <v>40</v>
      </c>
      <c r="I79" s="288">
        <v>71</v>
      </c>
      <c r="J79" s="288">
        <v>7</v>
      </c>
    </row>
    <row r="80" spans="1:10" ht="14" x14ac:dyDescent="0.3">
      <c r="A80" s="288" t="str">
        <f t="shared" si="2"/>
        <v>RO372</v>
      </c>
      <c r="B80" s="288">
        <v>72</v>
      </c>
      <c r="C80" s="288">
        <v>7</v>
      </c>
      <c r="D80" s="288">
        <f t="shared" si="3"/>
        <v>79</v>
      </c>
      <c r="E80" s="289" t="s">
        <v>2047</v>
      </c>
      <c r="F80" s="290" t="s">
        <v>7094</v>
      </c>
      <c r="G80" s="291">
        <v>2000</v>
      </c>
      <c r="H80" s="292">
        <v>40</v>
      </c>
      <c r="I80" s="288">
        <v>72</v>
      </c>
      <c r="J80" s="288">
        <v>7</v>
      </c>
    </row>
    <row r="81" spans="1:10" ht="14" x14ac:dyDescent="0.3">
      <c r="A81" s="288" t="str">
        <f t="shared" si="2"/>
        <v>RO373</v>
      </c>
      <c r="B81" s="288">
        <v>73</v>
      </c>
      <c r="C81" s="288">
        <v>7</v>
      </c>
      <c r="D81" s="288">
        <f t="shared" si="3"/>
        <v>80</v>
      </c>
      <c r="E81" s="289" t="s">
        <v>2047</v>
      </c>
      <c r="F81" s="290" t="s">
        <v>7095</v>
      </c>
      <c r="G81" s="291">
        <v>2000</v>
      </c>
      <c r="H81" s="292">
        <v>40</v>
      </c>
      <c r="I81" s="288">
        <v>73</v>
      </c>
      <c r="J81" s="288">
        <v>7</v>
      </c>
    </row>
    <row r="82" spans="1:10" ht="14" x14ac:dyDescent="0.3">
      <c r="A82" s="288" t="str">
        <f t="shared" si="2"/>
        <v>RO374</v>
      </c>
      <c r="B82" s="288">
        <v>74</v>
      </c>
      <c r="C82" s="288">
        <v>7</v>
      </c>
      <c r="D82" s="288">
        <f t="shared" si="3"/>
        <v>81</v>
      </c>
      <c r="E82" s="289" t="s">
        <v>2047</v>
      </c>
      <c r="F82" s="290" t="s">
        <v>7096</v>
      </c>
      <c r="G82" s="291">
        <v>2000</v>
      </c>
      <c r="H82" s="292">
        <v>40</v>
      </c>
      <c r="I82" s="288">
        <v>74</v>
      </c>
      <c r="J82" s="288">
        <v>7</v>
      </c>
    </row>
    <row r="83" spans="1:10" ht="14" x14ac:dyDescent="0.3">
      <c r="A83" s="288" t="str">
        <f t="shared" si="2"/>
        <v>RO376</v>
      </c>
      <c r="B83" s="288">
        <v>76</v>
      </c>
      <c r="C83" s="288">
        <v>7</v>
      </c>
      <c r="D83" s="288">
        <f t="shared" si="3"/>
        <v>82</v>
      </c>
      <c r="E83" s="289" t="s">
        <v>2047</v>
      </c>
      <c r="F83" s="290" t="s">
        <v>7097</v>
      </c>
      <c r="G83" s="291">
        <v>2000</v>
      </c>
      <c r="H83" s="292">
        <v>40</v>
      </c>
      <c r="I83" s="288">
        <v>76</v>
      </c>
      <c r="J83" s="288">
        <v>7</v>
      </c>
    </row>
    <row r="84" spans="1:10" ht="14" x14ac:dyDescent="0.3">
      <c r="A84" s="288" t="str">
        <f t="shared" si="2"/>
        <v>RO378</v>
      </c>
      <c r="B84" s="288">
        <v>78</v>
      </c>
      <c r="C84" s="288">
        <v>7</v>
      </c>
      <c r="D84" s="288">
        <f t="shared" si="3"/>
        <v>83</v>
      </c>
      <c r="E84" s="289" t="s">
        <v>2047</v>
      </c>
      <c r="F84" s="290" t="s">
        <v>7098</v>
      </c>
      <c r="G84" s="291">
        <v>2000</v>
      </c>
      <c r="H84" s="292">
        <v>40</v>
      </c>
      <c r="I84" s="288">
        <v>78</v>
      </c>
      <c r="J84" s="288">
        <v>7</v>
      </c>
    </row>
    <row r="85" spans="1:10" ht="14" x14ac:dyDescent="0.3">
      <c r="A85" s="288" t="str">
        <f t="shared" si="2"/>
        <v>RO380</v>
      </c>
      <c r="B85" s="288">
        <v>80</v>
      </c>
      <c r="C85" s="288">
        <v>7</v>
      </c>
      <c r="D85" s="288">
        <f t="shared" si="3"/>
        <v>84</v>
      </c>
      <c r="E85" s="289" t="s">
        <v>2047</v>
      </c>
      <c r="F85" s="290" t="s">
        <v>7099</v>
      </c>
      <c r="G85" s="291">
        <v>2000</v>
      </c>
      <c r="H85" s="292">
        <v>40</v>
      </c>
      <c r="I85" s="288">
        <v>80</v>
      </c>
      <c r="J85" s="288">
        <v>7</v>
      </c>
    </row>
    <row r="86" spans="1:10" ht="14" x14ac:dyDescent="0.3">
      <c r="A86" s="288" t="str">
        <f t="shared" si="2"/>
        <v>RO381</v>
      </c>
      <c r="B86" s="288">
        <v>81</v>
      </c>
      <c r="C86" s="288">
        <v>7</v>
      </c>
      <c r="D86" s="288">
        <f t="shared" si="3"/>
        <v>85</v>
      </c>
      <c r="E86" s="289" t="s">
        <v>2047</v>
      </c>
      <c r="F86" s="290" t="s">
        <v>7100</v>
      </c>
      <c r="G86" s="291">
        <v>3000</v>
      </c>
      <c r="H86" s="292">
        <v>40</v>
      </c>
      <c r="I86" s="288">
        <v>81</v>
      </c>
      <c r="J86" s="288">
        <v>7</v>
      </c>
    </row>
    <row r="87" spans="1:10" ht="14" x14ac:dyDescent="0.3">
      <c r="A87" s="288" t="str">
        <f t="shared" si="2"/>
        <v>RO382</v>
      </c>
      <c r="B87" s="288">
        <v>82</v>
      </c>
      <c r="C87" s="288">
        <v>7</v>
      </c>
      <c r="D87" s="288">
        <f t="shared" si="3"/>
        <v>86</v>
      </c>
      <c r="E87" s="289" t="s">
        <v>2047</v>
      </c>
      <c r="F87" s="290" t="s">
        <v>7101</v>
      </c>
      <c r="G87" s="291">
        <v>3000</v>
      </c>
      <c r="H87" s="292">
        <v>40</v>
      </c>
      <c r="I87" s="288">
        <v>82</v>
      </c>
      <c r="J87" s="288">
        <v>7</v>
      </c>
    </row>
    <row r="88" spans="1:10" ht="14" x14ac:dyDescent="0.3">
      <c r="A88" s="288" t="str">
        <f t="shared" si="2"/>
        <v>RO383</v>
      </c>
      <c r="B88" s="288">
        <v>83</v>
      </c>
      <c r="C88" s="288">
        <v>7</v>
      </c>
      <c r="D88" s="288">
        <f t="shared" si="3"/>
        <v>87</v>
      </c>
      <c r="E88" s="289" t="s">
        <v>2047</v>
      </c>
      <c r="F88" s="290" t="s">
        <v>7102</v>
      </c>
      <c r="G88" s="291">
        <v>4000</v>
      </c>
      <c r="H88" s="292">
        <v>40</v>
      </c>
      <c r="I88" s="288">
        <v>83</v>
      </c>
      <c r="J88" s="288">
        <v>7</v>
      </c>
    </row>
    <row r="89" spans="1:10" ht="14" x14ac:dyDescent="0.3">
      <c r="A89" s="288" t="str">
        <f t="shared" si="2"/>
        <v>RO384</v>
      </c>
      <c r="B89" s="288">
        <v>84</v>
      </c>
      <c r="C89" s="288">
        <v>7</v>
      </c>
      <c r="D89" s="288">
        <f t="shared" si="3"/>
        <v>88</v>
      </c>
      <c r="E89" s="289" t="s">
        <v>2047</v>
      </c>
      <c r="F89" s="290" t="s">
        <v>7103</v>
      </c>
      <c r="G89" s="291">
        <v>4000</v>
      </c>
      <c r="H89" s="292">
        <v>40</v>
      </c>
      <c r="I89" s="288">
        <v>84</v>
      </c>
      <c r="J89" s="288"/>
    </row>
    <row r="90" spans="1:10" ht="14" x14ac:dyDescent="0.3">
      <c r="A90" s="288" t="str">
        <f t="shared" si="2"/>
        <v>RO385</v>
      </c>
      <c r="B90" s="288">
        <v>85</v>
      </c>
      <c r="C90" s="288">
        <v>7</v>
      </c>
      <c r="D90" s="288">
        <f t="shared" si="3"/>
        <v>89</v>
      </c>
      <c r="E90" s="289" t="s">
        <v>2047</v>
      </c>
      <c r="F90" s="290" t="s">
        <v>7104</v>
      </c>
      <c r="G90" s="291">
        <v>4000</v>
      </c>
      <c r="H90" s="292">
        <v>40</v>
      </c>
      <c r="I90" s="288">
        <v>85</v>
      </c>
      <c r="J90" s="288"/>
    </row>
    <row r="91" spans="1:10" ht="14" x14ac:dyDescent="0.3">
      <c r="A91" s="288" t="str">
        <f t="shared" si="2"/>
        <v>RO386</v>
      </c>
      <c r="B91" s="288">
        <v>86</v>
      </c>
      <c r="C91" s="288">
        <v>7</v>
      </c>
      <c r="D91" s="288">
        <f t="shared" si="3"/>
        <v>90</v>
      </c>
      <c r="E91" s="289" t="s">
        <v>2047</v>
      </c>
      <c r="F91" s="290" t="s">
        <v>7105</v>
      </c>
      <c r="G91" s="291">
        <v>4000</v>
      </c>
      <c r="H91" s="292">
        <v>40</v>
      </c>
      <c r="I91" s="288">
        <v>86</v>
      </c>
      <c r="J91" s="288"/>
    </row>
    <row r="92" spans="1:10" ht="14" x14ac:dyDescent="0.3">
      <c r="A92" s="288" t="str">
        <f t="shared" si="2"/>
        <v>RO387</v>
      </c>
      <c r="B92" s="288">
        <v>87</v>
      </c>
      <c r="C92" s="288">
        <v>7</v>
      </c>
      <c r="D92" s="288">
        <f t="shared" si="3"/>
        <v>91</v>
      </c>
      <c r="E92" s="289" t="s">
        <v>2047</v>
      </c>
      <c r="F92" s="290" t="s">
        <v>7106</v>
      </c>
      <c r="G92" s="291">
        <v>4000</v>
      </c>
      <c r="H92" s="292">
        <v>40</v>
      </c>
      <c r="I92" s="288">
        <v>87</v>
      </c>
      <c r="J92" s="288"/>
    </row>
    <row r="93" spans="1:10" ht="14" x14ac:dyDescent="0.3">
      <c r="A93" s="288" t="str">
        <f t="shared" si="2"/>
        <v>RO389</v>
      </c>
      <c r="B93" s="288">
        <v>89</v>
      </c>
      <c r="C93" s="288">
        <v>7</v>
      </c>
      <c r="D93" s="288">
        <f t="shared" si="3"/>
        <v>92</v>
      </c>
      <c r="E93" s="289" t="s">
        <v>2047</v>
      </c>
      <c r="F93" s="290" t="s">
        <v>7107</v>
      </c>
      <c r="G93" s="291">
        <v>6000</v>
      </c>
      <c r="H93" s="292">
        <v>40</v>
      </c>
      <c r="I93" s="288">
        <v>89</v>
      </c>
      <c r="J93" s="288">
        <v>7</v>
      </c>
    </row>
    <row r="94" spans="1:10" ht="14" x14ac:dyDescent="0.3">
      <c r="A94" s="288" t="str">
        <f t="shared" si="2"/>
        <v>RO390</v>
      </c>
      <c r="B94" s="288">
        <v>90</v>
      </c>
      <c r="C94" s="288">
        <v>7</v>
      </c>
      <c r="D94" s="288">
        <f t="shared" si="3"/>
        <v>93</v>
      </c>
      <c r="E94" s="289" t="s">
        <v>2047</v>
      </c>
      <c r="F94" s="290" t="s">
        <v>7108</v>
      </c>
      <c r="G94" s="291">
        <v>4000</v>
      </c>
      <c r="H94" s="292">
        <v>40</v>
      </c>
      <c r="I94" s="288">
        <v>90</v>
      </c>
      <c r="J94" s="288">
        <v>7</v>
      </c>
    </row>
    <row r="95" spans="1:10" ht="14" x14ac:dyDescent="0.3">
      <c r="A95" s="288" t="str">
        <f t="shared" si="2"/>
        <v>RO393</v>
      </c>
      <c r="B95" s="288">
        <v>93</v>
      </c>
      <c r="C95" s="288">
        <v>7</v>
      </c>
      <c r="D95" s="288">
        <f t="shared" si="3"/>
        <v>94</v>
      </c>
      <c r="E95" s="289" t="s">
        <v>2047</v>
      </c>
      <c r="F95" s="290" t="s">
        <v>7109</v>
      </c>
      <c r="G95" s="291">
        <v>2000</v>
      </c>
      <c r="H95" s="292">
        <v>40</v>
      </c>
      <c r="I95" s="288">
        <v>93</v>
      </c>
      <c r="J95" s="288">
        <v>7</v>
      </c>
    </row>
    <row r="96" spans="1:10" ht="14" x14ac:dyDescent="0.3">
      <c r="A96" s="288" t="str">
        <f t="shared" si="2"/>
        <v>RO394</v>
      </c>
      <c r="B96" s="288">
        <v>94</v>
      </c>
      <c r="C96" s="288">
        <v>7</v>
      </c>
      <c r="D96" s="288">
        <f t="shared" si="3"/>
        <v>95</v>
      </c>
      <c r="E96" s="289" t="s">
        <v>2047</v>
      </c>
      <c r="F96" s="290" t="s">
        <v>7110</v>
      </c>
      <c r="G96" s="291">
        <v>2000</v>
      </c>
      <c r="H96" s="292">
        <v>40</v>
      </c>
      <c r="I96" s="288">
        <v>94</v>
      </c>
      <c r="J96" s="288">
        <v>7</v>
      </c>
    </row>
    <row r="97" spans="1:10" ht="14" x14ac:dyDescent="0.3">
      <c r="A97" s="288" t="str">
        <f t="shared" si="2"/>
        <v>RO395</v>
      </c>
      <c r="B97" s="288">
        <v>95</v>
      </c>
      <c r="C97" s="288">
        <v>7</v>
      </c>
      <c r="D97" s="288">
        <f t="shared" si="3"/>
        <v>96</v>
      </c>
      <c r="E97" s="289" t="s">
        <v>2047</v>
      </c>
      <c r="F97" s="290" t="s">
        <v>7111</v>
      </c>
      <c r="G97" s="291">
        <v>2000</v>
      </c>
      <c r="H97" s="292">
        <v>40</v>
      </c>
      <c r="I97" s="288">
        <v>95</v>
      </c>
      <c r="J97" s="288">
        <v>7</v>
      </c>
    </row>
    <row r="98" spans="1:10" ht="14" x14ac:dyDescent="0.3">
      <c r="A98" s="288" t="str">
        <f t="shared" si="2"/>
        <v>RO396</v>
      </c>
      <c r="B98" s="288">
        <v>96</v>
      </c>
      <c r="C98" s="288">
        <v>7</v>
      </c>
      <c r="D98" s="288">
        <f t="shared" si="3"/>
        <v>97</v>
      </c>
      <c r="E98" s="289" t="s">
        <v>2047</v>
      </c>
      <c r="F98" s="290" t="s">
        <v>7112</v>
      </c>
      <c r="G98" s="291">
        <v>2000</v>
      </c>
      <c r="H98" s="292">
        <v>40</v>
      </c>
      <c r="I98" s="288">
        <v>96</v>
      </c>
      <c r="J98" s="288">
        <v>7</v>
      </c>
    </row>
    <row r="99" spans="1:10" ht="14" x14ac:dyDescent="0.3">
      <c r="A99" s="288" t="str">
        <f t="shared" si="2"/>
        <v>RO398</v>
      </c>
      <c r="B99" s="288">
        <v>98</v>
      </c>
      <c r="C99" s="288">
        <v>7</v>
      </c>
      <c r="D99" s="288">
        <f t="shared" si="3"/>
        <v>98</v>
      </c>
      <c r="E99" s="289" t="s">
        <v>2047</v>
      </c>
      <c r="F99" s="290" t="s">
        <v>7113</v>
      </c>
      <c r="G99" s="291">
        <v>2000</v>
      </c>
      <c r="H99" s="292">
        <v>40</v>
      </c>
      <c r="I99" s="288">
        <v>98</v>
      </c>
      <c r="J99" s="288">
        <v>7</v>
      </c>
    </row>
    <row r="100" spans="1:10" ht="14" x14ac:dyDescent="0.3">
      <c r="A100" s="288" t="str">
        <f t="shared" si="2"/>
        <v>RO399</v>
      </c>
      <c r="B100" s="288">
        <v>99</v>
      </c>
      <c r="C100" s="288">
        <v>7</v>
      </c>
      <c r="D100" s="288">
        <f t="shared" si="3"/>
        <v>99</v>
      </c>
      <c r="E100" s="289" t="s">
        <v>2047</v>
      </c>
      <c r="F100" s="290" t="s">
        <v>7114</v>
      </c>
      <c r="G100" s="291">
        <v>2000</v>
      </c>
      <c r="H100" s="292">
        <v>40</v>
      </c>
      <c r="I100" s="288">
        <v>99</v>
      </c>
      <c r="J100" s="288">
        <v>7</v>
      </c>
    </row>
    <row r="101" spans="1:10" ht="14" x14ac:dyDescent="0.3">
      <c r="A101" s="293" t="str">
        <f t="shared" si="2"/>
        <v>RO410</v>
      </c>
      <c r="B101" s="293">
        <v>10</v>
      </c>
      <c r="C101" s="293">
        <v>7</v>
      </c>
      <c r="D101" s="288">
        <f t="shared" si="3"/>
        <v>100</v>
      </c>
      <c r="E101" s="294" t="s">
        <v>2115</v>
      </c>
      <c r="F101" s="295" t="s">
        <v>7115</v>
      </c>
      <c r="G101" s="296">
        <v>3000</v>
      </c>
      <c r="H101" s="297">
        <v>35</v>
      </c>
      <c r="I101" s="293">
        <v>10</v>
      </c>
      <c r="J101" s="293">
        <v>7</v>
      </c>
    </row>
    <row r="102" spans="1:10" ht="14" x14ac:dyDescent="0.3">
      <c r="A102" s="293" t="str">
        <f t="shared" si="2"/>
        <v>RO420</v>
      </c>
      <c r="B102" s="293">
        <v>20</v>
      </c>
      <c r="C102" s="293">
        <v>7</v>
      </c>
      <c r="D102" s="288">
        <f t="shared" si="3"/>
        <v>101</v>
      </c>
      <c r="E102" s="294" t="s">
        <v>2115</v>
      </c>
      <c r="F102" s="295" t="s">
        <v>7116</v>
      </c>
      <c r="G102" s="296">
        <v>4000</v>
      </c>
      <c r="H102" s="297">
        <v>35</v>
      </c>
      <c r="I102" s="293">
        <v>20</v>
      </c>
      <c r="J102" s="293">
        <v>7</v>
      </c>
    </row>
    <row r="103" spans="1:10" ht="14" x14ac:dyDescent="0.3">
      <c r="A103" s="293" t="str">
        <f t="shared" si="2"/>
        <v>RO431</v>
      </c>
      <c r="B103" s="293">
        <v>31</v>
      </c>
      <c r="C103" s="293">
        <v>7</v>
      </c>
      <c r="D103" s="288">
        <f t="shared" si="3"/>
        <v>102</v>
      </c>
      <c r="E103" s="294" t="s">
        <v>2115</v>
      </c>
      <c r="F103" s="295" t="s">
        <v>7117</v>
      </c>
      <c r="G103" s="296">
        <v>4000</v>
      </c>
      <c r="H103" s="297">
        <v>35</v>
      </c>
      <c r="I103" s="293">
        <v>31</v>
      </c>
      <c r="J103" s="293">
        <v>7</v>
      </c>
    </row>
    <row r="104" spans="1:10" ht="14" x14ac:dyDescent="0.3">
      <c r="A104" s="293" t="str">
        <f t="shared" si="2"/>
        <v>RO438</v>
      </c>
      <c r="B104" s="293">
        <v>38</v>
      </c>
      <c r="C104" s="293">
        <v>7</v>
      </c>
      <c r="D104" s="288">
        <f t="shared" si="3"/>
        <v>103</v>
      </c>
      <c r="E104" s="294" t="s">
        <v>2115</v>
      </c>
      <c r="F104" s="295" t="s">
        <v>7118</v>
      </c>
      <c r="G104" s="296">
        <v>4000</v>
      </c>
      <c r="H104" s="297">
        <v>35</v>
      </c>
      <c r="I104" s="293">
        <v>38</v>
      </c>
      <c r="J104" s="293">
        <v>7</v>
      </c>
    </row>
    <row r="105" spans="1:10" ht="14" x14ac:dyDescent="0.3">
      <c r="A105" s="293" t="str">
        <f t="shared" si="2"/>
        <v>RO480</v>
      </c>
      <c r="B105" s="293">
        <v>80</v>
      </c>
      <c r="C105" s="293">
        <v>7</v>
      </c>
      <c r="D105" s="288">
        <f t="shared" si="3"/>
        <v>104</v>
      </c>
      <c r="E105" s="294" t="s">
        <v>2115</v>
      </c>
      <c r="F105" s="295" t="s">
        <v>7119</v>
      </c>
      <c r="G105" s="296">
        <v>4000</v>
      </c>
      <c r="H105" s="297">
        <v>35</v>
      </c>
      <c r="I105" s="293">
        <v>80</v>
      </c>
      <c r="J105" s="293">
        <v>7</v>
      </c>
    </row>
    <row r="106" spans="1:10" ht="14" x14ac:dyDescent="0.3">
      <c r="A106" s="293" t="str">
        <f t="shared" si="2"/>
        <v>RO481</v>
      </c>
      <c r="B106" s="293">
        <v>81</v>
      </c>
      <c r="C106" s="293">
        <v>7</v>
      </c>
      <c r="D106" s="288">
        <f t="shared" si="3"/>
        <v>105</v>
      </c>
      <c r="E106" s="294" t="s">
        <v>2115</v>
      </c>
      <c r="F106" s="295" t="s">
        <v>7120</v>
      </c>
      <c r="G106" s="296">
        <v>4000</v>
      </c>
      <c r="H106" s="297">
        <v>35</v>
      </c>
      <c r="I106" s="293">
        <v>81</v>
      </c>
      <c r="J106" s="293">
        <v>7</v>
      </c>
    </row>
    <row r="107" spans="1:10" ht="14" x14ac:dyDescent="0.3">
      <c r="A107" s="293" t="str">
        <f t="shared" si="2"/>
        <v>RO482</v>
      </c>
      <c r="B107" s="293">
        <v>82</v>
      </c>
      <c r="C107" s="293">
        <v>7</v>
      </c>
      <c r="D107" s="288">
        <f t="shared" si="3"/>
        <v>106</v>
      </c>
      <c r="E107" s="294" t="s">
        <v>2115</v>
      </c>
      <c r="F107" s="295" t="s">
        <v>7121</v>
      </c>
      <c r="G107" s="296">
        <v>4000</v>
      </c>
      <c r="H107" s="297">
        <v>35</v>
      </c>
      <c r="I107" s="293">
        <v>82</v>
      </c>
      <c r="J107" s="293">
        <v>7</v>
      </c>
    </row>
    <row r="108" spans="1:10" ht="14" x14ac:dyDescent="0.3">
      <c r="A108" s="293" t="str">
        <f t="shared" si="2"/>
        <v>RO483</v>
      </c>
      <c r="B108" s="293">
        <v>83</v>
      </c>
      <c r="C108" s="293">
        <v>7</v>
      </c>
      <c r="D108" s="288">
        <f t="shared" si="3"/>
        <v>107</v>
      </c>
      <c r="E108" s="294" t="s">
        <v>2115</v>
      </c>
      <c r="F108" s="295" t="s">
        <v>7122</v>
      </c>
      <c r="G108" s="296">
        <v>4000</v>
      </c>
      <c r="H108" s="297">
        <v>35</v>
      </c>
      <c r="I108" s="293">
        <v>83</v>
      </c>
      <c r="J108" s="293">
        <v>7</v>
      </c>
    </row>
    <row r="109" spans="1:10" ht="14" x14ac:dyDescent="0.3">
      <c r="A109" s="293" t="str">
        <f t="shared" si="2"/>
        <v>RO484</v>
      </c>
      <c r="B109" s="293">
        <v>84</v>
      </c>
      <c r="C109" s="293">
        <v>7</v>
      </c>
      <c r="D109" s="288">
        <f t="shared" si="3"/>
        <v>108</v>
      </c>
      <c r="E109" s="294" t="s">
        <v>2115</v>
      </c>
      <c r="F109" s="295" t="s">
        <v>7123</v>
      </c>
      <c r="G109" s="296">
        <v>4000</v>
      </c>
      <c r="H109" s="297">
        <v>35</v>
      </c>
      <c r="I109" s="293">
        <v>84</v>
      </c>
      <c r="J109" s="293">
        <v>7</v>
      </c>
    </row>
    <row r="110" spans="1:10" ht="14" x14ac:dyDescent="0.3">
      <c r="A110" s="293" t="str">
        <f t="shared" si="2"/>
        <v>RO485</v>
      </c>
      <c r="B110" s="293">
        <v>85</v>
      </c>
      <c r="C110" s="293">
        <v>7</v>
      </c>
      <c r="D110" s="288">
        <f t="shared" si="3"/>
        <v>109</v>
      </c>
      <c r="E110" s="294" t="s">
        <v>2115</v>
      </c>
      <c r="F110" s="295" t="s">
        <v>7124</v>
      </c>
      <c r="G110" s="296">
        <v>4000</v>
      </c>
      <c r="H110" s="297">
        <v>35</v>
      </c>
      <c r="I110" s="293">
        <v>85</v>
      </c>
      <c r="J110" s="293">
        <v>7</v>
      </c>
    </row>
    <row r="111" spans="1:10" ht="14" x14ac:dyDescent="0.3">
      <c r="A111" s="293" t="str">
        <f t="shared" si="2"/>
        <v>RO486</v>
      </c>
      <c r="B111" s="293">
        <v>86</v>
      </c>
      <c r="C111" s="293">
        <v>7</v>
      </c>
      <c r="D111" s="288">
        <f t="shared" si="3"/>
        <v>110</v>
      </c>
      <c r="E111" s="294" t="s">
        <v>2115</v>
      </c>
      <c r="F111" s="295" t="s">
        <v>7125</v>
      </c>
      <c r="G111" s="296">
        <v>4000</v>
      </c>
      <c r="H111" s="297">
        <v>35</v>
      </c>
      <c r="I111" s="293">
        <v>86</v>
      </c>
      <c r="J111" s="293">
        <v>7</v>
      </c>
    </row>
    <row r="112" spans="1:10" ht="14" x14ac:dyDescent="0.3">
      <c r="A112" s="293" t="str">
        <f t="shared" si="2"/>
        <v>RO487</v>
      </c>
      <c r="B112" s="293">
        <v>87</v>
      </c>
      <c r="C112" s="293">
        <v>7</v>
      </c>
      <c r="D112" s="288">
        <f t="shared" si="3"/>
        <v>111</v>
      </c>
      <c r="E112" s="294" t="s">
        <v>2115</v>
      </c>
      <c r="F112" s="295" t="s">
        <v>7126</v>
      </c>
      <c r="G112" s="296">
        <v>4000</v>
      </c>
      <c r="H112" s="297">
        <v>35</v>
      </c>
      <c r="I112" s="293">
        <v>87</v>
      </c>
      <c r="J112" s="293">
        <v>7</v>
      </c>
    </row>
    <row r="113" spans="1:10" ht="14" x14ac:dyDescent="0.3">
      <c r="A113" s="293" t="str">
        <f t="shared" si="2"/>
        <v>RO488</v>
      </c>
      <c r="B113" s="293">
        <v>88</v>
      </c>
      <c r="C113" s="293">
        <v>7</v>
      </c>
      <c r="D113" s="288">
        <f t="shared" si="3"/>
        <v>112</v>
      </c>
      <c r="E113" s="294" t="s">
        <v>2115</v>
      </c>
      <c r="F113" s="295" t="s">
        <v>7127</v>
      </c>
      <c r="G113" s="296">
        <v>4000</v>
      </c>
      <c r="H113" s="297">
        <v>35</v>
      </c>
      <c r="I113" s="293">
        <v>88</v>
      </c>
      <c r="J113" s="293">
        <v>7</v>
      </c>
    </row>
    <row r="114" spans="1:10" ht="14" x14ac:dyDescent="0.3">
      <c r="A114" s="293" t="str">
        <f t="shared" si="2"/>
        <v>RO489</v>
      </c>
      <c r="B114" s="293">
        <v>89</v>
      </c>
      <c r="C114" s="293">
        <v>7</v>
      </c>
      <c r="D114" s="288">
        <f t="shared" si="3"/>
        <v>113</v>
      </c>
      <c r="E114" s="294" t="s">
        <v>2115</v>
      </c>
      <c r="F114" s="295" t="s">
        <v>7128</v>
      </c>
      <c r="G114" s="296">
        <v>4000</v>
      </c>
      <c r="H114" s="297">
        <v>35</v>
      </c>
      <c r="I114" s="293">
        <v>89</v>
      </c>
      <c r="J114" s="293">
        <v>7</v>
      </c>
    </row>
    <row r="115" spans="1:10" ht="14" x14ac:dyDescent="0.3">
      <c r="A115" s="293" t="str">
        <f t="shared" si="2"/>
        <v>RO490</v>
      </c>
      <c r="B115" s="293">
        <v>90</v>
      </c>
      <c r="C115" s="293">
        <v>7</v>
      </c>
      <c r="D115" s="288">
        <f t="shared" si="3"/>
        <v>114</v>
      </c>
      <c r="E115" s="294" t="s">
        <v>2115</v>
      </c>
      <c r="F115" s="295" t="s">
        <v>7129</v>
      </c>
      <c r="G115" s="296">
        <v>4000</v>
      </c>
      <c r="H115" s="297">
        <v>35</v>
      </c>
      <c r="I115" s="293">
        <v>90</v>
      </c>
      <c r="J115" s="293">
        <v>7</v>
      </c>
    </row>
    <row r="116" spans="1:10" ht="14" x14ac:dyDescent="0.3">
      <c r="A116" s="293" t="str">
        <f t="shared" si="2"/>
        <v>RO491</v>
      </c>
      <c r="B116" s="293">
        <v>91</v>
      </c>
      <c r="C116" s="293">
        <v>7</v>
      </c>
      <c r="D116" s="288">
        <f t="shared" si="3"/>
        <v>115</v>
      </c>
      <c r="E116" s="294" t="s">
        <v>2115</v>
      </c>
      <c r="F116" s="295" t="s">
        <v>7130</v>
      </c>
      <c r="G116" s="296">
        <v>4000</v>
      </c>
      <c r="H116" s="297">
        <v>35</v>
      </c>
      <c r="I116" s="293">
        <v>91</v>
      </c>
      <c r="J116" s="293">
        <v>7</v>
      </c>
    </row>
    <row r="117" spans="1:10" ht="14" x14ac:dyDescent="0.3">
      <c r="A117" s="293" t="str">
        <f t="shared" si="2"/>
        <v>RO451</v>
      </c>
      <c r="B117" s="293">
        <v>51</v>
      </c>
      <c r="C117" s="293">
        <v>7</v>
      </c>
      <c r="D117" s="288">
        <f t="shared" si="3"/>
        <v>116</v>
      </c>
      <c r="E117" s="294" t="s">
        <v>2115</v>
      </c>
      <c r="F117" s="295" t="s">
        <v>7131</v>
      </c>
      <c r="G117" s="296">
        <v>3000</v>
      </c>
      <c r="H117" s="297">
        <v>35</v>
      </c>
      <c r="I117" s="293">
        <v>51</v>
      </c>
      <c r="J117" s="293">
        <v>7</v>
      </c>
    </row>
    <row r="118" spans="1:10" ht="14" x14ac:dyDescent="0.3">
      <c r="A118" s="293" t="str">
        <f t="shared" si="2"/>
        <v>RO452</v>
      </c>
      <c r="B118" s="293">
        <v>52</v>
      </c>
      <c r="C118" s="293">
        <v>7</v>
      </c>
      <c r="D118" s="288">
        <f t="shared" si="3"/>
        <v>117</v>
      </c>
      <c r="E118" s="294" t="s">
        <v>2115</v>
      </c>
      <c r="F118" s="295" t="s">
        <v>7132</v>
      </c>
      <c r="G118" s="296">
        <v>3000</v>
      </c>
      <c r="H118" s="297">
        <v>35</v>
      </c>
      <c r="I118" s="293">
        <v>52</v>
      </c>
      <c r="J118" s="293">
        <v>7</v>
      </c>
    </row>
    <row r="119" spans="1:10" ht="14" x14ac:dyDescent="0.3">
      <c r="A119" s="293" t="str">
        <f t="shared" si="2"/>
        <v>RO453</v>
      </c>
      <c r="B119" s="293">
        <v>53</v>
      </c>
      <c r="C119" s="293">
        <v>7</v>
      </c>
      <c r="D119" s="288">
        <f t="shared" si="3"/>
        <v>118</v>
      </c>
      <c r="E119" s="294" t="s">
        <v>2115</v>
      </c>
      <c r="F119" s="295" t="s">
        <v>7133</v>
      </c>
      <c r="G119" s="296">
        <v>3000</v>
      </c>
      <c r="H119" s="297">
        <v>35</v>
      </c>
      <c r="I119" s="293">
        <v>53</v>
      </c>
      <c r="J119" s="293">
        <v>7</v>
      </c>
    </row>
    <row r="120" spans="1:10" ht="14" x14ac:dyDescent="0.3">
      <c r="A120" s="293" t="str">
        <f t="shared" si="2"/>
        <v>RO457</v>
      </c>
      <c r="B120" s="293">
        <v>57</v>
      </c>
      <c r="C120" s="293">
        <v>7</v>
      </c>
      <c r="D120" s="288">
        <f t="shared" si="3"/>
        <v>119</v>
      </c>
      <c r="E120" s="294" t="s">
        <v>2115</v>
      </c>
      <c r="F120" s="295" t="s">
        <v>7134</v>
      </c>
      <c r="G120" s="296">
        <v>4000</v>
      </c>
      <c r="H120" s="297">
        <v>35</v>
      </c>
      <c r="I120" s="293">
        <v>57</v>
      </c>
      <c r="J120" s="293">
        <v>7</v>
      </c>
    </row>
    <row r="121" spans="1:10" ht="14" x14ac:dyDescent="0.3">
      <c r="A121" s="293" t="str">
        <f t="shared" si="2"/>
        <v>RO460</v>
      </c>
      <c r="B121" s="293">
        <v>60</v>
      </c>
      <c r="C121" s="293">
        <v>7</v>
      </c>
      <c r="D121" s="288">
        <f t="shared" si="3"/>
        <v>120</v>
      </c>
      <c r="E121" s="294" t="s">
        <v>2115</v>
      </c>
      <c r="F121" s="295" t="s">
        <v>7135</v>
      </c>
      <c r="G121" s="296">
        <v>3000</v>
      </c>
      <c r="H121" s="297">
        <v>35</v>
      </c>
      <c r="I121" s="293">
        <v>60</v>
      </c>
      <c r="J121" s="293">
        <v>7</v>
      </c>
    </row>
    <row r="122" spans="1:10" ht="14" x14ac:dyDescent="0.3">
      <c r="A122" s="293" t="str">
        <f t="shared" si="2"/>
        <v>RO475</v>
      </c>
      <c r="B122" s="293">
        <v>75</v>
      </c>
      <c r="C122" s="293">
        <v>7</v>
      </c>
      <c r="D122" s="288">
        <f t="shared" si="3"/>
        <v>121</v>
      </c>
      <c r="E122" s="294" t="s">
        <v>2115</v>
      </c>
      <c r="F122" s="295" t="s">
        <v>7136</v>
      </c>
      <c r="G122" s="296">
        <v>6000</v>
      </c>
      <c r="H122" s="297">
        <v>35</v>
      </c>
      <c r="I122" s="293">
        <v>75</v>
      </c>
      <c r="J122" s="293">
        <v>7</v>
      </c>
    </row>
    <row r="123" spans="1:10" ht="14" x14ac:dyDescent="0.3">
      <c r="A123" s="293" t="str">
        <f t="shared" si="2"/>
        <v>RO478</v>
      </c>
      <c r="B123" s="293">
        <v>78</v>
      </c>
      <c r="C123" s="293">
        <v>7</v>
      </c>
      <c r="D123" s="288">
        <f t="shared" si="3"/>
        <v>122</v>
      </c>
      <c r="E123" s="294" t="s">
        <v>2115</v>
      </c>
      <c r="F123" s="295" t="s">
        <v>7137</v>
      </c>
      <c r="G123" s="296">
        <v>3000</v>
      </c>
      <c r="H123" s="297">
        <v>35</v>
      </c>
      <c r="I123" s="293">
        <v>78</v>
      </c>
      <c r="J123" s="293">
        <v>7</v>
      </c>
    </row>
    <row r="124" spans="1:10" ht="14" x14ac:dyDescent="0.3">
      <c r="A124" s="293" t="str">
        <f t="shared" si="2"/>
        <v>RO490</v>
      </c>
      <c r="B124" s="293">
        <v>90</v>
      </c>
      <c r="C124" s="293">
        <v>7</v>
      </c>
      <c r="D124" s="288">
        <f t="shared" si="3"/>
        <v>123</v>
      </c>
      <c r="E124" s="294" t="s">
        <v>2115</v>
      </c>
      <c r="F124" s="295" t="s">
        <v>7138</v>
      </c>
      <c r="G124" s="296">
        <v>4000</v>
      </c>
      <c r="H124" s="297">
        <v>35</v>
      </c>
      <c r="I124" s="293">
        <v>90</v>
      </c>
      <c r="J124" s="293">
        <v>7</v>
      </c>
    </row>
    <row r="125" spans="1:10" ht="14" x14ac:dyDescent="0.3">
      <c r="A125" s="293" t="str">
        <f t="shared" si="2"/>
        <v>RO4101</v>
      </c>
      <c r="B125" s="293">
        <v>101</v>
      </c>
      <c r="C125" s="293">
        <v>8</v>
      </c>
      <c r="D125" s="288">
        <f t="shared" si="3"/>
        <v>124</v>
      </c>
      <c r="E125" s="294" t="s">
        <v>2115</v>
      </c>
      <c r="F125" s="295" t="s">
        <v>7139</v>
      </c>
      <c r="G125" s="296">
        <v>8000</v>
      </c>
      <c r="H125" s="297">
        <v>55</v>
      </c>
      <c r="I125" s="293">
        <v>101</v>
      </c>
      <c r="J125" s="293">
        <v>8</v>
      </c>
    </row>
    <row r="126" spans="1:10" ht="14" x14ac:dyDescent="0.3">
      <c r="A126" s="293" t="str">
        <f t="shared" si="2"/>
        <v>RO4102</v>
      </c>
      <c r="B126" s="293">
        <v>102</v>
      </c>
      <c r="C126" s="293">
        <v>8</v>
      </c>
      <c r="D126" s="288">
        <f t="shared" si="3"/>
        <v>125</v>
      </c>
      <c r="E126" s="294" t="s">
        <v>2115</v>
      </c>
      <c r="F126" s="295" t="s">
        <v>7140</v>
      </c>
      <c r="G126" s="296">
        <v>8000</v>
      </c>
      <c r="H126" s="297">
        <v>55</v>
      </c>
      <c r="I126" s="293">
        <v>102</v>
      </c>
      <c r="J126" s="293">
        <v>8</v>
      </c>
    </row>
    <row r="127" spans="1:10" ht="14" x14ac:dyDescent="0.3">
      <c r="A127" s="293" t="str">
        <f t="shared" si="2"/>
        <v>RO4103</v>
      </c>
      <c r="B127" s="293">
        <v>103</v>
      </c>
      <c r="C127" s="293">
        <v>8</v>
      </c>
      <c r="D127" s="288">
        <f t="shared" si="3"/>
        <v>126</v>
      </c>
      <c r="E127" s="294" t="s">
        <v>2115</v>
      </c>
      <c r="F127" s="295" t="s">
        <v>7141</v>
      </c>
      <c r="G127" s="296">
        <v>8000</v>
      </c>
      <c r="H127" s="297">
        <v>55</v>
      </c>
      <c r="I127" s="293">
        <v>103</v>
      </c>
      <c r="J127" s="293">
        <v>8</v>
      </c>
    </row>
    <row r="128" spans="1:10" ht="14" x14ac:dyDescent="0.3">
      <c r="A128" s="293" t="str">
        <f t="shared" si="2"/>
        <v>RO4104</v>
      </c>
      <c r="B128" s="293">
        <v>104</v>
      </c>
      <c r="C128" s="293">
        <v>8</v>
      </c>
      <c r="D128" s="288">
        <f t="shared" si="3"/>
        <v>127</v>
      </c>
      <c r="E128" s="294" t="s">
        <v>2115</v>
      </c>
      <c r="F128" s="295" t="s">
        <v>7142</v>
      </c>
      <c r="G128" s="296">
        <v>8000</v>
      </c>
      <c r="H128" s="297">
        <v>55</v>
      </c>
      <c r="I128" s="293">
        <v>104</v>
      </c>
      <c r="J128" s="293">
        <v>8</v>
      </c>
    </row>
    <row r="129" spans="1:10" ht="14" x14ac:dyDescent="0.3">
      <c r="A129" s="293" t="str">
        <f t="shared" si="2"/>
        <v>RO4105</v>
      </c>
      <c r="B129" s="293">
        <v>105</v>
      </c>
      <c r="C129" s="293">
        <v>8</v>
      </c>
      <c r="D129" s="288">
        <f t="shared" si="3"/>
        <v>128</v>
      </c>
      <c r="E129" s="294" t="s">
        <v>2115</v>
      </c>
      <c r="F129" s="295" t="s">
        <v>7143</v>
      </c>
      <c r="G129" s="296">
        <v>8000</v>
      </c>
      <c r="H129" s="297">
        <v>55</v>
      </c>
      <c r="I129" s="293">
        <v>105</v>
      </c>
      <c r="J129" s="293">
        <v>8</v>
      </c>
    </row>
    <row r="130" spans="1:10" ht="14" x14ac:dyDescent="0.3">
      <c r="A130" s="293" t="str">
        <f t="shared" si="2"/>
        <v>RO4106</v>
      </c>
      <c r="B130" s="293">
        <v>106</v>
      </c>
      <c r="C130" s="293">
        <v>8</v>
      </c>
      <c r="D130" s="288">
        <f t="shared" si="3"/>
        <v>129</v>
      </c>
      <c r="E130" s="294" t="s">
        <v>2115</v>
      </c>
      <c r="F130" s="295" t="s">
        <v>7144</v>
      </c>
      <c r="G130" s="296">
        <v>8000</v>
      </c>
      <c r="H130" s="297">
        <v>55</v>
      </c>
      <c r="I130" s="293">
        <v>106</v>
      </c>
      <c r="J130" s="293">
        <v>8</v>
      </c>
    </row>
    <row r="131" spans="1:10" ht="14" x14ac:dyDescent="0.3">
      <c r="A131" s="293" t="str">
        <f t="shared" si="2"/>
        <v>RO4107</v>
      </c>
      <c r="B131" s="293">
        <v>107</v>
      </c>
      <c r="C131" s="293">
        <v>8</v>
      </c>
      <c r="D131" s="288">
        <f t="shared" si="3"/>
        <v>130</v>
      </c>
      <c r="E131" s="294" t="s">
        <v>2115</v>
      </c>
      <c r="F131" s="295" t="s">
        <v>7145</v>
      </c>
      <c r="G131" s="296">
        <v>8000</v>
      </c>
      <c r="H131" s="297">
        <v>55</v>
      </c>
      <c r="I131" s="293">
        <v>107</v>
      </c>
      <c r="J131" s="293">
        <v>8</v>
      </c>
    </row>
    <row r="132" spans="1:10" ht="14" x14ac:dyDescent="0.3">
      <c r="A132" s="293" t="str">
        <f t="shared" si="2"/>
        <v>RO4108</v>
      </c>
      <c r="B132" s="293">
        <v>108</v>
      </c>
      <c r="C132" s="293">
        <v>8</v>
      </c>
      <c r="D132" s="288">
        <f t="shared" si="3"/>
        <v>131</v>
      </c>
      <c r="E132" s="294" t="s">
        <v>2115</v>
      </c>
      <c r="F132" s="295" t="s">
        <v>7146</v>
      </c>
      <c r="G132" s="296">
        <v>8000</v>
      </c>
      <c r="H132" s="297">
        <v>55</v>
      </c>
      <c r="I132" s="293">
        <v>108</v>
      </c>
      <c r="J132" s="293">
        <v>8</v>
      </c>
    </row>
    <row r="133" spans="1:10" ht="14" x14ac:dyDescent="0.3">
      <c r="A133" s="293" t="str">
        <f t="shared" si="2"/>
        <v>RO4111</v>
      </c>
      <c r="B133" s="293">
        <v>111</v>
      </c>
      <c r="C133" s="293">
        <v>8</v>
      </c>
      <c r="D133" s="288">
        <f t="shared" si="3"/>
        <v>132</v>
      </c>
      <c r="E133" s="294" t="s">
        <v>2115</v>
      </c>
      <c r="F133" s="295" t="s">
        <v>7147</v>
      </c>
      <c r="G133" s="296">
        <v>8000</v>
      </c>
      <c r="H133" s="297">
        <v>55</v>
      </c>
      <c r="I133" s="293">
        <v>111</v>
      </c>
      <c r="J133" s="293">
        <v>8</v>
      </c>
    </row>
    <row r="134" spans="1:10" ht="14" x14ac:dyDescent="0.3">
      <c r="A134" s="293" t="str">
        <f t="shared" si="2"/>
        <v>RO4115</v>
      </c>
      <c r="B134" s="293">
        <v>115</v>
      </c>
      <c r="C134" s="293">
        <v>8</v>
      </c>
      <c r="D134" s="288">
        <f t="shared" si="3"/>
        <v>133</v>
      </c>
      <c r="E134" s="294" t="s">
        <v>2115</v>
      </c>
      <c r="F134" s="295" t="s">
        <v>7148</v>
      </c>
      <c r="G134" s="296">
        <v>8000</v>
      </c>
      <c r="H134" s="297">
        <v>55</v>
      </c>
      <c r="I134" s="293">
        <v>115</v>
      </c>
      <c r="J134" s="293">
        <v>8</v>
      </c>
    </row>
    <row r="135" spans="1:10" ht="14" x14ac:dyDescent="0.3">
      <c r="A135" s="293" t="str">
        <f t="shared" si="2"/>
        <v>RO4121</v>
      </c>
      <c r="B135" s="293">
        <v>121</v>
      </c>
      <c r="C135" s="293">
        <v>8</v>
      </c>
      <c r="D135" s="288">
        <f t="shared" si="3"/>
        <v>134</v>
      </c>
      <c r="E135" s="294" t="s">
        <v>2115</v>
      </c>
      <c r="F135" s="295" t="s">
        <v>7149</v>
      </c>
      <c r="G135" s="296">
        <v>8000</v>
      </c>
      <c r="H135" s="297">
        <v>55</v>
      </c>
      <c r="I135" s="293">
        <v>121</v>
      </c>
      <c r="J135" s="293">
        <v>8</v>
      </c>
    </row>
    <row r="136" spans="1:10" ht="14" x14ac:dyDescent="0.3">
      <c r="A136" s="293" t="str">
        <f t="shared" si="2"/>
        <v>RO4122</v>
      </c>
      <c r="B136" s="293">
        <v>122</v>
      </c>
      <c r="C136" s="293">
        <v>8</v>
      </c>
      <c r="D136" s="288">
        <f t="shared" si="3"/>
        <v>135</v>
      </c>
      <c r="E136" s="294" t="s">
        <v>2115</v>
      </c>
      <c r="F136" s="295" t="s">
        <v>7150</v>
      </c>
      <c r="G136" s="296">
        <v>8000</v>
      </c>
      <c r="H136" s="297">
        <v>55</v>
      </c>
      <c r="I136" s="293">
        <v>122</v>
      </c>
      <c r="J136" s="293">
        <v>8</v>
      </c>
    </row>
    <row r="137" spans="1:10" ht="14" x14ac:dyDescent="0.3">
      <c r="A137" s="293" t="str">
        <f t="shared" si="2"/>
        <v>RO4123</v>
      </c>
      <c r="B137" s="293">
        <v>123</v>
      </c>
      <c r="C137" s="293">
        <v>8</v>
      </c>
      <c r="D137" s="288">
        <f t="shared" si="3"/>
        <v>136</v>
      </c>
      <c r="E137" s="294" t="s">
        <v>2115</v>
      </c>
      <c r="F137" s="295" t="s">
        <v>7151</v>
      </c>
      <c r="G137" s="296">
        <v>8000</v>
      </c>
      <c r="H137" s="297">
        <v>55</v>
      </c>
      <c r="I137" s="293">
        <v>123</v>
      </c>
      <c r="J137" s="293">
        <v>8</v>
      </c>
    </row>
    <row r="138" spans="1:10" ht="14" x14ac:dyDescent="0.3">
      <c r="A138" s="293" t="str">
        <f t="shared" ref="A138:A203" si="4">E138&amp;B138</f>
        <v>RO4124</v>
      </c>
      <c r="B138" s="293">
        <v>124</v>
      </c>
      <c r="C138" s="293">
        <v>8</v>
      </c>
      <c r="D138" s="288">
        <f t="shared" ref="D138:D201" si="5">D137+1</f>
        <v>137</v>
      </c>
      <c r="E138" s="294" t="s">
        <v>2115</v>
      </c>
      <c r="F138" s="295" t="s">
        <v>7152</v>
      </c>
      <c r="G138" s="296">
        <v>8000</v>
      </c>
      <c r="H138" s="297">
        <v>55</v>
      </c>
      <c r="I138" s="293">
        <v>124</v>
      </c>
      <c r="J138" s="293">
        <v>8</v>
      </c>
    </row>
    <row r="139" spans="1:10" ht="14" x14ac:dyDescent="0.3">
      <c r="A139" s="293" t="str">
        <f t="shared" si="4"/>
        <v>RO4125</v>
      </c>
      <c r="B139" s="293">
        <v>125</v>
      </c>
      <c r="C139" s="293">
        <v>8</v>
      </c>
      <c r="D139" s="288">
        <f t="shared" si="5"/>
        <v>138</v>
      </c>
      <c r="E139" s="294" t="s">
        <v>2115</v>
      </c>
      <c r="F139" s="295" t="s">
        <v>7153</v>
      </c>
      <c r="G139" s="296">
        <v>8000</v>
      </c>
      <c r="H139" s="297">
        <v>55</v>
      </c>
      <c r="I139" s="293">
        <v>125</v>
      </c>
      <c r="J139" s="293">
        <v>8</v>
      </c>
    </row>
    <row r="140" spans="1:10" ht="14" x14ac:dyDescent="0.3">
      <c r="A140" s="293" t="str">
        <f t="shared" ref="A140:A145" si="6">E141&amp;B140</f>
        <v>RO4126</v>
      </c>
      <c r="B140" s="293">
        <v>126</v>
      </c>
      <c r="C140" s="293">
        <v>8</v>
      </c>
      <c r="D140" s="288">
        <f t="shared" si="5"/>
        <v>139</v>
      </c>
      <c r="E140" s="294" t="s">
        <v>2115</v>
      </c>
      <c r="F140" s="295" t="s">
        <v>7154</v>
      </c>
      <c r="G140" s="296"/>
      <c r="H140" s="297"/>
      <c r="I140" s="293">
        <v>126</v>
      </c>
      <c r="J140" s="293">
        <v>8</v>
      </c>
    </row>
    <row r="141" spans="1:10" ht="14" x14ac:dyDescent="0.3">
      <c r="A141" s="293" t="str">
        <f t="shared" si="6"/>
        <v>RO4127</v>
      </c>
      <c r="B141" s="293">
        <v>127</v>
      </c>
      <c r="C141" s="293">
        <v>8</v>
      </c>
      <c r="D141" s="288">
        <f t="shared" si="5"/>
        <v>140</v>
      </c>
      <c r="E141" s="294" t="s">
        <v>2115</v>
      </c>
      <c r="F141" s="295" t="s">
        <v>7155</v>
      </c>
      <c r="G141" s="296"/>
      <c r="H141" s="297"/>
      <c r="I141" s="293">
        <v>127</v>
      </c>
      <c r="J141" s="293">
        <v>8</v>
      </c>
    </row>
    <row r="142" spans="1:10" ht="14" x14ac:dyDescent="0.3">
      <c r="A142" s="293" t="str">
        <f t="shared" si="6"/>
        <v>RO4128</v>
      </c>
      <c r="B142" s="293">
        <v>128</v>
      </c>
      <c r="C142" s="293">
        <v>8</v>
      </c>
      <c r="D142" s="288">
        <f t="shared" si="5"/>
        <v>141</v>
      </c>
      <c r="E142" s="294" t="s">
        <v>2115</v>
      </c>
      <c r="F142" s="295" t="s">
        <v>7156</v>
      </c>
      <c r="G142" s="296">
        <v>15000</v>
      </c>
      <c r="H142" s="297">
        <v>65</v>
      </c>
      <c r="I142" s="293">
        <v>128</v>
      </c>
      <c r="J142" s="293">
        <v>8</v>
      </c>
    </row>
    <row r="143" spans="1:10" ht="14" x14ac:dyDescent="0.3">
      <c r="A143" s="293" t="str">
        <f t="shared" si="6"/>
        <v>RO4129</v>
      </c>
      <c r="B143" s="293">
        <v>129</v>
      </c>
      <c r="C143" s="293">
        <v>8</v>
      </c>
      <c r="D143" s="288">
        <f t="shared" si="5"/>
        <v>142</v>
      </c>
      <c r="E143" s="294" t="s">
        <v>2115</v>
      </c>
      <c r="F143" s="295" t="s">
        <v>7157</v>
      </c>
      <c r="G143" s="296">
        <v>8000</v>
      </c>
      <c r="H143" s="297">
        <v>55</v>
      </c>
      <c r="I143" s="293">
        <v>129</v>
      </c>
      <c r="J143" s="293">
        <v>8</v>
      </c>
    </row>
    <row r="144" spans="1:10" ht="14" x14ac:dyDescent="0.3">
      <c r="A144" s="293" t="str">
        <f t="shared" si="6"/>
        <v>RO4130</v>
      </c>
      <c r="B144" s="293">
        <v>130</v>
      </c>
      <c r="C144" s="293">
        <v>8</v>
      </c>
      <c r="D144" s="288">
        <f t="shared" si="5"/>
        <v>143</v>
      </c>
      <c r="E144" s="294" t="s">
        <v>2115</v>
      </c>
      <c r="F144" s="295" t="s">
        <v>7158</v>
      </c>
      <c r="G144" s="296">
        <v>8000</v>
      </c>
      <c r="H144" s="297">
        <v>55</v>
      </c>
      <c r="I144" s="293">
        <v>130</v>
      </c>
      <c r="J144" s="293">
        <v>8</v>
      </c>
    </row>
    <row r="145" spans="1:10" ht="14" x14ac:dyDescent="0.3">
      <c r="A145" s="293" t="str">
        <f t="shared" si="6"/>
        <v>RO4131</v>
      </c>
      <c r="B145" s="293">
        <v>131</v>
      </c>
      <c r="C145" s="293">
        <v>8</v>
      </c>
      <c r="D145" s="288">
        <f t="shared" si="5"/>
        <v>144</v>
      </c>
      <c r="E145" s="294" t="s">
        <v>2115</v>
      </c>
      <c r="F145" s="295" t="s">
        <v>7159</v>
      </c>
      <c r="G145" s="296">
        <v>8000</v>
      </c>
      <c r="H145" s="297">
        <v>55</v>
      </c>
      <c r="I145" s="293">
        <v>131</v>
      </c>
      <c r="J145" s="293">
        <v>8</v>
      </c>
    </row>
    <row r="146" spans="1:10" ht="14" x14ac:dyDescent="0.3">
      <c r="A146" s="293" t="str">
        <f t="shared" si="4"/>
        <v>RO4133</v>
      </c>
      <c r="B146" s="293">
        <v>133</v>
      </c>
      <c r="C146" s="293">
        <v>8</v>
      </c>
      <c r="D146" s="288">
        <f t="shared" si="5"/>
        <v>145</v>
      </c>
      <c r="E146" s="294" t="s">
        <v>2115</v>
      </c>
      <c r="F146" s="295" t="s">
        <v>7160</v>
      </c>
      <c r="G146" s="296">
        <v>8000</v>
      </c>
      <c r="H146" s="297">
        <v>55</v>
      </c>
      <c r="I146" s="293">
        <v>133</v>
      </c>
      <c r="J146" s="293">
        <v>8</v>
      </c>
    </row>
    <row r="147" spans="1:10" ht="14" x14ac:dyDescent="0.3">
      <c r="A147" s="293" t="str">
        <f t="shared" si="4"/>
        <v>RO4135</v>
      </c>
      <c r="B147" s="293">
        <v>135</v>
      </c>
      <c r="C147" s="293">
        <v>8</v>
      </c>
      <c r="D147" s="288">
        <f t="shared" si="5"/>
        <v>146</v>
      </c>
      <c r="E147" s="294" t="s">
        <v>2115</v>
      </c>
      <c r="F147" s="295" t="s">
        <v>7161</v>
      </c>
      <c r="G147" s="296">
        <v>8000</v>
      </c>
      <c r="H147" s="297">
        <v>40</v>
      </c>
      <c r="I147" s="293">
        <v>135</v>
      </c>
      <c r="J147" s="293">
        <v>8</v>
      </c>
    </row>
    <row r="148" spans="1:10" ht="14" x14ac:dyDescent="0.3">
      <c r="A148" s="293" t="str">
        <f t="shared" si="4"/>
        <v>RO4140</v>
      </c>
      <c r="B148" s="293">
        <v>140</v>
      </c>
      <c r="C148" s="293">
        <v>8</v>
      </c>
      <c r="D148" s="288">
        <f t="shared" si="5"/>
        <v>147</v>
      </c>
      <c r="E148" s="294" t="s">
        <v>2115</v>
      </c>
      <c r="F148" s="295" t="s">
        <v>7162</v>
      </c>
      <c r="G148" s="296">
        <v>8000</v>
      </c>
      <c r="H148" s="297">
        <v>40</v>
      </c>
      <c r="I148" s="293">
        <v>140</v>
      </c>
      <c r="J148" s="293">
        <v>8</v>
      </c>
    </row>
    <row r="149" spans="1:10" ht="14" x14ac:dyDescent="0.3">
      <c r="A149" s="293" t="str">
        <f t="shared" si="4"/>
        <v>RO4146</v>
      </c>
      <c r="B149" s="293">
        <v>146</v>
      </c>
      <c r="C149" s="293">
        <v>9</v>
      </c>
      <c r="D149" s="288">
        <f t="shared" si="5"/>
        <v>148</v>
      </c>
      <c r="E149" s="294" t="s">
        <v>2115</v>
      </c>
      <c r="F149" s="295" t="s">
        <v>7163</v>
      </c>
      <c r="G149" s="296">
        <v>10000</v>
      </c>
      <c r="H149" s="297">
        <v>55</v>
      </c>
      <c r="I149" s="293">
        <v>146</v>
      </c>
      <c r="J149" s="293">
        <v>9</v>
      </c>
    </row>
    <row r="150" spans="1:10" ht="14" x14ac:dyDescent="0.3">
      <c r="A150" s="293" t="str">
        <f t="shared" si="4"/>
        <v>RO4146</v>
      </c>
      <c r="B150" s="293">
        <v>146</v>
      </c>
      <c r="C150" s="293">
        <v>10</v>
      </c>
      <c r="D150" s="288">
        <f t="shared" si="5"/>
        <v>149</v>
      </c>
      <c r="E150" s="294" t="s">
        <v>2115</v>
      </c>
      <c r="F150" s="295" t="s">
        <v>7164</v>
      </c>
      <c r="G150" s="296">
        <v>10000</v>
      </c>
      <c r="H150" s="297">
        <v>55</v>
      </c>
      <c r="I150" s="293">
        <v>146</v>
      </c>
      <c r="J150" s="293">
        <v>10</v>
      </c>
    </row>
    <row r="151" spans="1:10" ht="14" x14ac:dyDescent="0.3">
      <c r="A151" s="288" t="str">
        <f t="shared" si="4"/>
        <v>RO5111</v>
      </c>
      <c r="B151" s="288">
        <v>111</v>
      </c>
      <c r="C151" s="288">
        <v>7</v>
      </c>
      <c r="D151" s="288">
        <f t="shared" si="5"/>
        <v>150</v>
      </c>
      <c r="E151" s="289" t="s">
        <v>2163</v>
      </c>
      <c r="F151" s="290" t="s">
        <v>7165</v>
      </c>
      <c r="G151" s="291">
        <v>3000</v>
      </c>
      <c r="H151" s="292">
        <v>30</v>
      </c>
      <c r="I151" s="288">
        <v>111</v>
      </c>
      <c r="J151" s="288">
        <v>7</v>
      </c>
    </row>
    <row r="152" spans="1:10" ht="14" x14ac:dyDescent="0.3">
      <c r="A152" s="288" t="str">
        <f t="shared" si="4"/>
        <v>RO5112</v>
      </c>
      <c r="B152" s="288">
        <v>112</v>
      </c>
      <c r="C152" s="288">
        <v>7</v>
      </c>
      <c r="D152" s="288">
        <f t="shared" si="5"/>
        <v>151</v>
      </c>
      <c r="E152" s="289" t="s">
        <v>2163</v>
      </c>
      <c r="F152" s="290" t="s">
        <v>7166</v>
      </c>
      <c r="G152" s="291">
        <v>3000</v>
      </c>
      <c r="H152" s="292">
        <v>30</v>
      </c>
      <c r="I152" s="288">
        <v>112</v>
      </c>
      <c r="J152" s="288">
        <v>7</v>
      </c>
    </row>
    <row r="153" spans="1:10" ht="14" x14ac:dyDescent="0.3">
      <c r="A153" s="288" t="str">
        <f t="shared" si="4"/>
        <v>RO5113</v>
      </c>
      <c r="B153" s="288">
        <v>113</v>
      </c>
      <c r="C153" s="288">
        <v>7</v>
      </c>
      <c r="D153" s="288">
        <f t="shared" si="5"/>
        <v>152</v>
      </c>
      <c r="E153" s="289" t="s">
        <v>2163</v>
      </c>
      <c r="F153" s="290" t="s">
        <v>7167</v>
      </c>
      <c r="G153" s="291">
        <v>3000</v>
      </c>
      <c r="H153" s="292">
        <v>30</v>
      </c>
      <c r="I153" s="288">
        <v>113</v>
      </c>
      <c r="J153" s="288">
        <v>7</v>
      </c>
    </row>
    <row r="154" spans="1:10" ht="14" x14ac:dyDescent="0.3">
      <c r="A154" s="288" t="str">
        <f t="shared" si="4"/>
        <v>RO5114</v>
      </c>
      <c r="B154" s="288">
        <v>114</v>
      </c>
      <c r="C154" s="288">
        <v>7</v>
      </c>
      <c r="D154" s="288">
        <f t="shared" si="5"/>
        <v>153</v>
      </c>
      <c r="E154" s="289" t="s">
        <v>2163</v>
      </c>
      <c r="F154" s="290" t="s">
        <v>7168</v>
      </c>
      <c r="G154" s="291">
        <v>3000</v>
      </c>
      <c r="H154" s="292">
        <v>30</v>
      </c>
      <c r="I154" s="288">
        <v>114</v>
      </c>
      <c r="J154" s="288">
        <v>7</v>
      </c>
    </row>
    <row r="155" spans="1:10" ht="14" x14ac:dyDescent="0.3">
      <c r="A155" s="288" t="str">
        <f t="shared" si="4"/>
        <v>RO5115</v>
      </c>
      <c r="B155" s="288">
        <v>115</v>
      </c>
      <c r="C155" s="288">
        <v>7</v>
      </c>
      <c r="D155" s="288">
        <f t="shared" si="5"/>
        <v>154</v>
      </c>
      <c r="E155" s="289" t="s">
        <v>2163</v>
      </c>
      <c r="F155" s="290" t="s">
        <v>7169</v>
      </c>
      <c r="G155" s="291">
        <v>3000</v>
      </c>
      <c r="H155" s="292">
        <v>30</v>
      </c>
      <c r="I155" s="288">
        <v>115</v>
      </c>
      <c r="J155" s="288">
        <v>7</v>
      </c>
    </row>
    <row r="156" spans="1:10" ht="14" x14ac:dyDescent="0.3">
      <c r="A156" s="288" t="str">
        <f t="shared" si="4"/>
        <v>RO5121</v>
      </c>
      <c r="B156" s="288">
        <v>121</v>
      </c>
      <c r="C156" s="288">
        <v>7</v>
      </c>
      <c r="D156" s="288">
        <f t="shared" si="5"/>
        <v>155</v>
      </c>
      <c r="E156" s="289" t="s">
        <v>2163</v>
      </c>
      <c r="F156" s="290" t="s">
        <v>7170</v>
      </c>
      <c r="G156" s="291">
        <v>3000</v>
      </c>
      <c r="H156" s="292">
        <v>30</v>
      </c>
      <c r="I156" s="288">
        <v>121</v>
      </c>
      <c r="J156" s="288">
        <v>7</v>
      </c>
    </row>
    <row r="157" spans="1:10" ht="14" x14ac:dyDescent="0.3">
      <c r="A157" s="288" t="str">
        <f t="shared" si="4"/>
        <v>RO5122</v>
      </c>
      <c r="B157" s="288">
        <v>122</v>
      </c>
      <c r="C157" s="288">
        <v>7</v>
      </c>
      <c r="D157" s="288">
        <f t="shared" si="5"/>
        <v>156</v>
      </c>
      <c r="E157" s="289" t="s">
        <v>2163</v>
      </c>
      <c r="F157" s="290" t="s">
        <v>7171</v>
      </c>
      <c r="G157" s="291">
        <v>3000</v>
      </c>
      <c r="H157" s="292">
        <v>30</v>
      </c>
      <c r="I157" s="288">
        <v>122</v>
      </c>
      <c r="J157" s="288">
        <v>7</v>
      </c>
    </row>
    <row r="158" spans="1:10" ht="14" x14ac:dyDescent="0.3">
      <c r="A158" s="288" t="str">
        <f t="shared" si="4"/>
        <v>RO5123</v>
      </c>
      <c r="B158" s="288">
        <v>123</v>
      </c>
      <c r="C158" s="288">
        <v>7</v>
      </c>
      <c r="D158" s="288">
        <f t="shared" si="5"/>
        <v>157</v>
      </c>
      <c r="E158" s="289" t="s">
        <v>2163</v>
      </c>
      <c r="F158" s="290" t="s">
        <v>7172</v>
      </c>
      <c r="G158" s="291">
        <v>4000</v>
      </c>
      <c r="H158" s="292">
        <v>35</v>
      </c>
      <c r="I158" s="288">
        <v>123</v>
      </c>
      <c r="J158" s="288">
        <v>7</v>
      </c>
    </row>
    <row r="159" spans="1:10" ht="14" x14ac:dyDescent="0.3">
      <c r="A159" s="288" t="str">
        <f t="shared" si="4"/>
        <v>RO5129</v>
      </c>
      <c r="B159" s="288">
        <v>129</v>
      </c>
      <c r="C159" s="288">
        <v>7</v>
      </c>
      <c r="D159" s="288">
        <f t="shared" si="5"/>
        <v>158</v>
      </c>
      <c r="E159" s="289" t="s">
        <v>2163</v>
      </c>
      <c r="F159" s="290" t="s">
        <v>7173</v>
      </c>
      <c r="G159" s="291">
        <v>4000</v>
      </c>
      <c r="H159" s="292">
        <v>35</v>
      </c>
      <c r="I159" s="288">
        <v>129</v>
      </c>
      <c r="J159" s="288">
        <v>7</v>
      </c>
    </row>
    <row r="160" spans="1:10" ht="14" x14ac:dyDescent="0.3">
      <c r="A160" s="288" t="str">
        <f t="shared" si="4"/>
        <v>RO5131</v>
      </c>
      <c r="B160" s="288">
        <v>131</v>
      </c>
      <c r="C160" s="288">
        <v>7</v>
      </c>
      <c r="D160" s="288">
        <f t="shared" si="5"/>
        <v>159</v>
      </c>
      <c r="E160" s="289" t="s">
        <v>2163</v>
      </c>
      <c r="F160" s="290" t="s">
        <v>7174</v>
      </c>
      <c r="G160" s="291">
        <v>4000</v>
      </c>
      <c r="H160" s="292">
        <v>35</v>
      </c>
      <c r="I160" s="288">
        <v>131</v>
      </c>
      <c r="J160" s="288">
        <v>7</v>
      </c>
    </row>
    <row r="161" spans="1:10" ht="14" x14ac:dyDescent="0.3">
      <c r="A161" s="288" t="s">
        <v>7175</v>
      </c>
      <c r="B161" s="288">
        <v>137</v>
      </c>
      <c r="C161" s="288">
        <v>7</v>
      </c>
      <c r="D161" s="288">
        <f t="shared" si="5"/>
        <v>160</v>
      </c>
      <c r="E161" s="289" t="s">
        <v>2163</v>
      </c>
      <c r="F161" s="290" t="s">
        <v>7176</v>
      </c>
      <c r="G161" s="291">
        <v>4000</v>
      </c>
      <c r="H161" s="292">
        <v>35</v>
      </c>
      <c r="I161" s="288">
        <v>137</v>
      </c>
      <c r="J161" s="288">
        <v>7</v>
      </c>
    </row>
    <row r="162" spans="1:10" ht="14" x14ac:dyDescent="0.3">
      <c r="A162" s="288" t="str">
        <f t="shared" si="4"/>
        <v>RO5140</v>
      </c>
      <c r="B162" s="288">
        <v>140</v>
      </c>
      <c r="C162" s="288">
        <v>7</v>
      </c>
      <c r="D162" s="288">
        <f t="shared" si="5"/>
        <v>161</v>
      </c>
      <c r="E162" s="289" t="s">
        <v>2163</v>
      </c>
      <c r="F162" s="290" t="s">
        <v>7177</v>
      </c>
      <c r="G162" s="291">
        <v>3000</v>
      </c>
      <c r="H162" s="292">
        <v>30</v>
      </c>
      <c r="I162" s="288">
        <v>140</v>
      </c>
      <c r="J162" s="288">
        <v>7</v>
      </c>
    </row>
    <row r="163" spans="1:10" ht="14" x14ac:dyDescent="0.3">
      <c r="A163" s="288" t="str">
        <f t="shared" si="4"/>
        <v>RO5150</v>
      </c>
      <c r="B163" s="288">
        <v>150</v>
      </c>
      <c r="C163" s="288">
        <v>7</v>
      </c>
      <c r="D163" s="288">
        <f t="shared" si="5"/>
        <v>162</v>
      </c>
      <c r="E163" s="289" t="s">
        <v>2163</v>
      </c>
      <c r="F163" s="290" t="s">
        <v>7178</v>
      </c>
      <c r="G163" s="291">
        <v>3000</v>
      </c>
      <c r="H163" s="292">
        <v>15</v>
      </c>
      <c r="I163" s="288">
        <v>150</v>
      </c>
      <c r="J163" s="288">
        <v>7</v>
      </c>
    </row>
    <row r="164" spans="1:10" ht="14" x14ac:dyDescent="0.3">
      <c r="A164" s="288" t="str">
        <f t="shared" si="4"/>
        <v>RO5190</v>
      </c>
      <c r="B164" s="288">
        <v>190</v>
      </c>
      <c r="C164" s="288">
        <v>7</v>
      </c>
      <c r="D164" s="288">
        <f t="shared" si="5"/>
        <v>163</v>
      </c>
      <c r="E164" s="289" t="s">
        <v>2163</v>
      </c>
      <c r="F164" s="290" t="s">
        <v>7179</v>
      </c>
      <c r="G164" s="291">
        <v>4000</v>
      </c>
      <c r="H164" s="292">
        <v>35</v>
      </c>
      <c r="I164" s="288">
        <v>190</v>
      </c>
      <c r="J164" s="288">
        <v>7</v>
      </c>
    </row>
    <row r="165" spans="1:10" ht="14" x14ac:dyDescent="0.3">
      <c r="A165" s="288" t="str">
        <f t="shared" si="4"/>
        <v>RO5210</v>
      </c>
      <c r="B165" s="288">
        <v>210</v>
      </c>
      <c r="C165" s="288">
        <v>7</v>
      </c>
      <c r="D165" s="288">
        <f t="shared" si="5"/>
        <v>164</v>
      </c>
      <c r="E165" s="289" t="s">
        <v>2163</v>
      </c>
      <c r="F165" s="290" t="s">
        <v>7180</v>
      </c>
      <c r="G165" s="291">
        <v>2000</v>
      </c>
      <c r="H165" s="292">
        <v>25</v>
      </c>
      <c r="I165" s="288">
        <v>210</v>
      </c>
      <c r="J165" s="288">
        <v>7</v>
      </c>
    </row>
    <row r="166" spans="1:10" ht="14" x14ac:dyDescent="0.3">
      <c r="A166" s="288" t="str">
        <f t="shared" si="4"/>
        <v>RO5219</v>
      </c>
      <c r="B166" s="288">
        <v>219</v>
      </c>
      <c r="C166" s="288">
        <v>7</v>
      </c>
      <c r="D166" s="288">
        <f t="shared" si="5"/>
        <v>165</v>
      </c>
      <c r="E166" s="289" t="s">
        <v>2163</v>
      </c>
      <c r="F166" s="290" t="s">
        <v>7181</v>
      </c>
      <c r="G166" s="291">
        <v>2000</v>
      </c>
      <c r="H166" s="292">
        <v>30</v>
      </c>
      <c r="I166" s="288">
        <v>219</v>
      </c>
      <c r="J166" s="288">
        <v>7</v>
      </c>
    </row>
    <row r="167" spans="1:10" ht="14" x14ac:dyDescent="0.3">
      <c r="A167" s="288" t="str">
        <f t="shared" si="4"/>
        <v>RO5220</v>
      </c>
      <c r="B167" s="288">
        <v>220</v>
      </c>
      <c r="C167" s="288">
        <v>7</v>
      </c>
      <c r="D167" s="288">
        <f t="shared" si="5"/>
        <v>166</v>
      </c>
      <c r="E167" s="289" t="s">
        <v>2163</v>
      </c>
      <c r="F167" s="290" t="s">
        <v>7182</v>
      </c>
      <c r="G167" s="291">
        <v>2000</v>
      </c>
      <c r="H167" s="292">
        <v>30</v>
      </c>
      <c r="I167" s="288">
        <v>220</v>
      </c>
      <c r="J167" s="288">
        <v>7</v>
      </c>
    </row>
    <row r="168" spans="1:10" ht="14" x14ac:dyDescent="0.3">
      <c r="A168" s="288" t="str">
        <f t="shared" si="4"/>
        <v>RO5221</v>
      </c>
      <c r="B168" s="288">
        <v>221</v>
      </c>
      <c r="C168" s="288">
        <v>7</v>
      </c>
      <c r="D168" s="288">
        <f t="shared" si="5"/>
        <v>167</v>
      </c>
      <c r="E168" s="289" t="s">
        <v>2163</v>
      </c>
      <c r="F168" s="290" t="s">
        <v>7183</v>
      </c>
      <c r="G168" s="291">
        <v>2000</v>
      </c>
      <c r="H168" s="292">
        <v>30</v>
      </c>
      <c r="I168" s="288">
        <v>221</v>
      </c>
      <c r="J168" s="288">
        <v>7</v>
      </c>
    </row>
    <row r="169" spans="1:10" ht="14" x14ac:dyDescent="0.3">
      <c r="A169" s="288" t="str">
        <f t="shared" si="4"/>
        <v>RO5222</v>
      </c>
      <c r="B169" s="288">
        <v>222</v>
      </c>
      <c r="C169" s="288">
        <v>7</v>
      </c>
      <c r="D169" s="288">
        <f t="shared" si="5"/>
        <v>168</v>
      </c>
      <c r="E169" s="289" t="s">
        <v>2163</v>
      </c>
      <c r="F169" s="290" t="s">
        <v>7184</v>
      </c>
      <c r="G169" s="291">
        <v>2000</v>
      </c>
      <c r="H169" s="292">
        <v>30</v>
      </c>
      <c r="I169" s="288">
        <v>222</v>
      </c>
      <c r="J169" s="288">
        <v>7</v>
      </c>
    </row>
    <row r="170" spans="1:10" ht="14" x14ac:dyDescent="0.3">
      <c r="A170" s="288" t="str">
        <f t="shared" si="4"/>
        <v>RO5223</v>
      </c>
      <c r="B170" s="288">
        <v>223</v>
      </c>
      <c r="C170" s="288">
        <v>7</v>
      </c>
      <c r="D170" s="288">
        <f t="shared" si="5"/>
        <v>169</v>
      </c>
      <c r="E170" s="289" t="s">
        <v>2163</v>
      </c>
      <c r="F170" s="290" t="s">
        <v>7185</v>
      </c>
      <c r="G170" s="291">
        <v>2000</v>
      </c>
      <c r="H170" s="292">
        <v>30</v>
      </c>
      <c r="I170" s="288">
        <v>223</v>
      </c>
      <c r="J170" s="288">
        <v>7</v>
      </c>
    </row>
    <row r="171" spans="1:10" ht="14" x14ac:dyDescent="0.3">
      <c r="A171" s="288" t="str">
        <f t="shared" si="4"/>
        <v>RO5224</v>
      </c>
      <c r="B171" s="288">
        <v>224</v>
      </c>
      <c r="C171" s="288">
        <v>7</v>
      </c>
      <c r="D171" s="288">
        <f t="shared" si="5"/>
        <v>170</v>
      </c>
      <c r="E171" s="289" t="s">
        <v>2163</v>
      </c>
      <c r="F171" s="290" t="s">
        <v>7186</v>
      </c>
      <c r="G171" s="291">
        <v>2000</v>
      </c>
      <c r="H171" s="292">
        <v>30</v>
      </c>
      <c r="I171" s="288">
        <v>224</v>
      </c>
      <c r="J171" s="288">
        <v>7</v>
      </c>
    </row>
    <row r="172" spans="1:10" ht="14" x14ac:dyDescent="0.3">
      <c r="A172" s="288" t="str">
        <f t="shared" si="4"/>
        <v>RO5225</v>
      </c>
      <c r="B172" s="288">
        <v>225</v>
      </c>
      <c r="C172" s="288">
        <v>7</v>
      </c>
      <c r="D172" s="288">
        <f t="shared" si="5"/>
        <v>171</v>
      </c>
      <c r="E172" s="289" t="s">
        <v>2163</v>
      </c>
      <c r="F172" s="290" t="s">
        <v>7187</v>
      </c>
      <c r="G172" s="291">
        <v>2000</v>
      </c>
      <c r="H172" s="292">
        <v>30</v>
      </c>
      <c r="I172" s="288">
        <v>225</v>
      </c>
      <c r="J172" s="288">
        <v>7</v>
      </c>
    </row>
    <row r="173" spans="1:10" ht="14" x14ac:dyDescent="0.3">
      <c r="A173" s="288" t="str">
        <f t="shared" si="4"/>
        <v>RO5226</v>
      </c>
      <c r="B173" s="288">
        <v>226</v>
      </c>
      <c r="C173" s="288">
        <v>7</v>
      </c>
      <c r="D173" s="288">
        <f t="shared" si="5"/>
        <v>172</v>
      </c>
      <c r="E173" s="289" t="s">
        <v>2163</v>
      </c>
      <c r="F173" s="290" t="s">
        <v>7188</v>
      </c>
      <c r="G173" s="291">
        <v>2000</v>
      </c>
      <c r="H173" s="292">
        <v>30</v>
      </c>
      <c r="I173" s="288">
        <v>226</v>
      </c>
      <c r="J173" s="288">
        <v>7</v>
      </c>
    </row>
    <row r="174" spans="1:10" ht="14" x14ac:dyDescent="0.3">
      <c r="A174" s="288" t="str">
        <f t="shared" si="4"/>
        <v>RO5227</v>
      </c>
      <c r="B174" s="288">
        <v>227</v>
      </c>
      <c r="C174" s="288">
        <v>7</v>
      </c>
      <c r="D174" s="288">
        <f t="shared" si="5"/>
        <v>173</v>
      </c>
      <c r="E174" s="289" t="s">
        <v>2163</v>
      </c>
      <c r="F174" s="290" t="s">
        <v>7189</v>
      </c>
      <c r="G174" s="291">
        <v>2000</v>
      </c>
      <c r="H174" s="292">
        <v>30</v>
      </c>
      <c r="I174" s="288">
        <v>227</v>
      </c>
      <c r="J174" s="288">
        <v>7</v>
      </c>
    </row>
    <row r="175" spans="1:10" ht="14" x14ac:dyDescent="0.3">
      <c r="A175" s="288" t="str">
        <f t="shared" si="4"/>
        <v>RO5228</v>
      </c>
      <c r="B175" s="288">
        <v>228</v>
      </c>
      <c r="C175" s="288">
        <v>7</v>
      </c>
      <c r="D175" s="288">
        <f t="shared" si="5"/>
        <v>174</v>
      </c>
      <c r="E175" s="289" t="s">
        <v>2163</v>
      </c>
      <c r="F175" s="290" t="s">
        <v>7190</v>
      </c>
      <c r="G175" s="291">
        <v>2000</v>
      </c>
      <c r="H175" s="292">
        <v>30</v>
      </c>
      <c r="I175" s="288">
        <v>228</v>
      </c>
      <c r="J175" s="288">
        <v>7</v>
      </c>
    </row>
    <row r="176" spans="1:10" ht="14" x14ac:dyDescent="0.3">
      <c r="A176" s="288" t="str">
        <f t="shared" si="4"/>
        <v>RO5229</v>
      </c>
      <c r="B176" s="288">
        <v>229</v>
      </c>
      <c r="C176" s="288">
        <v>7</v>
      </c>
      <c r="D176" s="288">
        <f t="shared" si="5"/>
        <v>175</v>
      </c>
      <c r="E176" s="289" t="s">
        <v>2163</v>
      </c>
      <c r="F176" s="290" t="s">
        <v>7191</v>
      </c>
      <c r="G176" s="291">
        <v>2000</v>
      </c>
      <c r="H176" s="292">
        <v>30</v>
      </c>
      <c r="I176" s="288">
        <v>229</v>
      </c>
      <c r="J176" s="288">
        <v>7</v>
      </c>
    </row>
    <row r="177" spans="1:10" ht="14" x14ac:dyDescent="0.3">
      <c r="A177" s="288" t="str">
        <f t="shared" si="4"/>
        <v>RO5230</v>
      </c>
      <c r="B177" s="288">
        <v>230</v>
      </c>
      <c r="C177" s="288">
        <v>7</v>
      </c>
      <c r="D177" s="288">
        <f t="shared" si="5"/>
        <v>176</v>
      </c>
      <c r="E177" s="289" t="s">
        <v>2163</v>
      </c>
      <c r="F177" s="290" t="s">
        <v>7192</v>
      </c>
      <c r="G177" s="291">
        <v>2000</v>
      </c>
      <c r="H177" s="292">
        <v>30</v>
      </c>
      <c r="I177" s="288">
        <v>230</v>
      </c>
      <c r="J177" s="288">
        <v>7</v>
      </c>
    </row>
    <row r="178" spans="1:10" ht="14" x14ac:dyDescent="0.3">
      <c r="A178" s="288" t="str">
        <f t="shared" si="4"/>
        <v>RO5231</v>
      </c>
      <c r="B178" s="288">
        <v>231</v>
      </c>
      <c r="C178" s="288">
        <v>7</v>
      </c>
      <c r="D178" s="288">
        <f t="shared" si="5"/>
        <v>177</v>
      </c>
      <c r="E178" s="289" t="s">
        <v>2163</v>
      </c>
      <c r="F178" s="290" t="s">
        <v>7193</v>
      </c>
      <c r="G178" s="291">
        <v>3000</v>
      </c>
      <c r="H178" s="292">
        <v>30</v>
      </c>
      <c r="I178" s="288">
        <v>231</v>
      </c>
      <c r="J178" s="288">
        <v>7</v>
      </c>
    </row>
    <row r="179" spans="1:10" ht="14" x14ac:dyDescent="0.3">
      <c r="A179" s="288" t="str">
        <f t="shared" si="4"/>
        <v>RO5232</v>
      </c>
      <c r="B179" s="288">
        <v>232</v>
      </c>
      <c r="C179" s="288">
        <v>7</v>
      </c>
      <c r="D179" s="288">
        <f t="shared" si="5"/>
        <v>178</v>
      </c>
      <c r="E179" s="289" t="s">
        <v>2163</v>
      </c>
      <c r="F179" s="290" t="s">
        <v>7194</v>
      </c>
      <c r="G179" s="291">
        <v>3000</v>
      </c>
      <c r="H179" s="292">
        <v>30</v>
      </c>
      <c r="I179" s="288">
        <v>232</v>
      </c>
      <c r="J179" s="288">
        <v>7</v>
      </c>
    </row>
    <row r="180" spans="1:10" ht="14" x14ac:dyDescent="0.3">
      <c r="A180" s="288" t="str">
        <f t="shared" si="4"/>
        <v>RO5233</v>
      </c>
      <c r="B180" s="288">
        <v>233</v>
      </c>
      <c r="C180" s="288">
        <v>7</v>
      </c>
      <c r="D180" s="288">
        <f t="shared" si="5"/>
        <v>179</v>
      </c>
      <c r="E180" s="289" t="s">
        <v>2163</v>
      </c>
      <c r="F180" s="290" t="s">
        <v>7195</v>
      </c>
      <c r="G180" s="291">
        <v>3000</v>
      </c>
      <c r="H180" s="292">
        <v>30</v>
      </c>
      <c r="I180" s="288">
        <v>233</v>
      </c>
      <c r="J180" s="288">
        <v>7</v>
      </c>
    </row>
    <row r="181" spans="1:10" ht="14" x14ac:dyDescent="0.3">
      <c r="A181" s="288" t="str">
        <f t="shared" si="4"/>
        <v>RO5241</v>
      </c>
      <c r="B181" s="288">
        <v>241</v>
      </c>
      <c r="C181" s="288">
        <v>7</v>
      </c>
      <c r="D181" s="288">
        <f t="shared" si="5"/>
        <v>180</v>
      </c>
      <c r="E181" s="289" t="s">
        <v>2163</v>
      </c>
      <c r="F181" s="290" t="s">
        <v>7196</v>
      </c>
      <c r="G181" s="291">
        <v>2000</v>
      </c>
      <c r="H181" s="292">
        <v>30</v>
      </c>
      <c r="I181" s="288">
        <v>241</v>
      </c>
      <c r="J181" s="288">
        <v>7</v>
      </c>
    </row>
    <row r="182" spans="1:10" ht="14" x14ac:dyDescent="0.3">
      <c r="A182" s="288" t="str">
        <f t="shared" si="4"/>
        <v>RO5243</v>
      </c>
      <c r="B182" s="288">
        <v>243</v>
      </c>
      <c r="C182" s="288">
        <v>7</v>
      </c>
      <c r="D182" s="288">
        <f t="shared" si="5"/>
        <v>181</v>
      </c>
      <c r="E182" s="289" t="s">
        <v>2163</v>
      </c>
      <c r="F182" s="290" t="s">
        <v>7197</v>
      </c>
      <c r="G182" s="291">
        <v>2000</v>
      </c>
      <c r="H182" s="292">
        <v>30</v>
      </c>
      <c r="I182" s="288">
        <v>243</v>
      </c>
      <c r="J182" s="288">
        <v>7</v>
      </c>
    </row>
    <row r="183" spans="1:10" ht="14" x14ac:dyDescent="0.3">
      <c r="A183" s="288" t="str">
        <f t="shared" si="4"/>
        <v>RO5244</v>
      </c>
      <c r="B183" s="288">
        <v>244</v>
      </c>
      <c r="C183" s="288">
        <v>7</v>
      </c>
      <c r="D183" s="288">
        <f t="shared" si="5"/>
        <v>182</v>
      </c>
      <c r="E183" s="289" t="s">
        <v>2163</v>
      </c>
      <c r="F183" s="290" t="s">
        <v>7198</v>
      </c>
      <c r="G183" s="291">
        <v>2000</v>
      </c>
      <c r="H183" s="292">
        <v>30</v>
      </c>
      <c r="I183" s="288">
        <v>244</v>
      </c>
      <c r="J183" s="288">
        <v>7</v>
      </c>
    </row>
    <row r="184" spans="1:10" ht="14" x14ac:dyDescent="0.3">
      <c r="A184" s="288" t="str">
        <f t="shared" si="4"/>
        <v>RO5247</v>
      </c>
      <c r="B184" s="288">
        <v>247</v>
      </c>
      <c r="C184" s="288">
        <v>7</v>
      </c>
      <c r="D184" s="288">
        <f t="shared" si="5"/>
        <v>183</v>
      </c>
      <c r="E184" s="289" t="s">
        <v>2163</v>
      </c>
      <c r="F184" s="290" t="s">
        <v>7199</v>
      </c>
      <c r="G184" s="291">
        <v>2000</v>
      </c>
      <c r="H184" s="292">
        <v>30</v>
      </c>
      <c r="I184" s="288">
        <v>247</v>
      </c>
      <c r="J184" s="288">
        <v>7</v>
      </c>
    </row>
    <row r="185" spans="1:10" ht="14" x14ac:dyDescent="0.3">
      <c r="A185" s="288" t="str">
        <f t="shared" si="4"/>
        <v>RO5250</v>
      </c>
      <c r="B185" s="288">
        <v>250</v>
      </c>
      <c r="C185" s="288">
        <v>7</v>
      </c>
      <c r="D185" s="288">
        <f t="shared" si="5"/>
        <v>184</v>
      </c>
      <c r="E185" s="289" t="s">
        <v>2163</v>
      </c>
      <c r="F185" s="290" t="s">
        <v>7200</v>
      </c>
      <c r="G185" s="291">
        <v>2000</v>
      </c>
      <c r="H185" s="292">
        <v>30</v>
      </c>
      <c r="I185" s="288">
        <v>250</v>
      </c>
      <c r="J185" s="288">
        <v>7</v>
      </c>
    </row>
    <row r="186" spans="1:10" ht="14" x14ac:dyDescent="0.3">
      <c r="A186" s="288" t="str">
        <f t="shared" si="4"/>
        <v>RO5270</v>
      </c>
      <c r="B186" s="288">
        <v>270</v>
      </c>
      <c r="C186" s="288">
        <v>7</v>
      </c>
      <c r="D186" s="288">
        <f t="shared" si="5"/>
        <v>185</v>
      </c>
      <c r="E186" s="289" t="s">
        <v>2163</v>
      </c>
      <c r="F186" s="290" t="s">
        <v>7201</v>
      </c>
      <c r="G186" s="291">
        <v>4000</v>
      </c>
      <c r="H186" s="292">
        <v>40</v>
      </c>
      <c r="I186" s="288">
        <v>270</v>
      </c>
      <c r="J186" s="288">
        <v>7</v>
      </c>
    </row>
    <row r="187" spans="1:10" ht="14" x14ac:dyDescent="0.3">
      <c r="A187" s="288" t="str">
        <f t="shared" si="4"/>
        <v>RO5281</v>
      </c>
      <c r="B187" s="288">
        <v>281</v>
      </c>
      <c r="C187" s="288">
        <v>7</v>
      </c>
      <c r="D187" s="288">
        <f t="shared" si="5"/>
        <v>186</v>
      </c>
      <c r="E187" s="289" t="s">
        <v>2163</v>
      </c>
      <c r="F187" s="290" t="s">
        <v>7202</v>
      </c>
      <c r="G187" s="291">
        <v>4000</v>
      </c>
      <c r="H187" s="292">
        <v>40</v>
      </c>
      <c r="I187" s="288">
        <v>281</v>
      </c>
      <c r="J187" s="288">
        <v>7</v>
      </c>
    </row>
    <row r="188" spans="1:10" ht="14" x14ac:dyDescent="0.3">
      <c r="A188" s="288" t="str">
        <f t="shared" si="4"/>
        <v>RO5282</v>
      </c>
      <c r="B188" s="288">
        <v>282</v>
      </c>
      <c r="C188" s="288">
        <v>7</v>
      </c>
      <c r="D188" s="288">
        <f t="shared" si="5"/>
        <v>187</v>
      </c>
      <c r="E188" s="289" t="s">
        <v>2163</v>
      </c>
      <c r="F188" s="290" t="s">
        <v>7203</v>
      </c>
      <c r="G188" s="291">
        <v>4000</v>
      </c>
      <c r="H188" s="292">
        <v>40</v>
      </c>
      <c r="I188" s="288">
        <v>282</v>
      </c>
      <c r="J188" s="288">
        <v>7</v>
      </c>
    </row>
    <row r="189" spans="1:10" ht="14" x14ac:dyDescent="0.3">
      <c r="A189" s="288" t="str">
        <f t="shared" si="4"/>
        <v>RO5283</v>
      </c>
      <c r="B189" s="288">
        <v>283</v>
      </c>
      <c r="C189" s="288">
        <v>7</v>
      </c>
      <c r="D189" s="288">
        <f t="shared" si="5"/>
        <v>188</v>
      </c>
      <c r="E189" s="289" t="s">
        <v>2163</v>
      </c>
      <c r="F189" s="290" t="s">
        <v>7204</v>
      </c>
      <c r="G189" s="291">
        <v>4000</v>
      </c>
      <c r="H189" s="292">
        <v>40</v>
      </c>
      <c r="I189" s="288">
        <v>283</v>
      </c>
      <c r="J189" s="288">
        <v>7</v>
      </c>
    </row>
    <row r="190" spans="1:10" ht="14" x14ac:dyDescent="0.3">
      <c r="A190" s="288" t="str">
        <f t="shared" si="4"/>
        <v>RO5284</v>
      </c>
      <c r="B190" s="288">
        <v>284</v>
      </c>
      <c r="C190" s="288">
        <v>7</v>
      </c>
      <c r="D190" s="288">
        <f t="shared" si="5"/>
        <v>189</v>
      </c>
      <c r="E190" s="289" t="s">
        <v>2163</v>
      </c>
      <c r="F190" s="290" t="s">
        <v>7205</v>
      </c>
      <c r="G190" s="291">
        <v>4000</v>
      </c>
      <c r="H190" s="292">
        <v>40</v>
      </c>
      <c r="I190" s="288">
        <v>284</v>
      </c>
      <c r="J190" s="288">
        <v>7</v>
      </c>
    </row>
    <row r="191" spans="1:10" ht="14" x14ac:dyDescent="0.3">
      <c r="A191" s="288" t="str">
        <f t="shared" si="4"/>
        <v>RO5285</v>
      </c>
      <c r="B191" s="288">
        <v>285</v>
      </c>
      <c r="C191" s="288">
        <v>7</v>
      </c>
      <c r="D191" s="288">
        <f t="shared" si="5"/>
        <v>190</v>
      </c>
      <c r="E191" s="289" t="s">
        <v>2163</v>
      </c>
      <c r="F191" s="290" t="s">
        <v>7206</v>
      </c>
      <c r="G191" s="291">
        <v>4000</v>
      </c>
      <c r="H191" s="292">
        <v>40</v>
      </c>
      <c r="I191" s="288">
        <v>285</v>
      </c>
      <c r="J191" s="288">
        <v>7</v>
      </c>
    </row>
    <row r="192" spans="1:10" ht="14" x14ac:dyDescent="0.3">
      <c r="A192" s="288" t="str">
        <f t="shared" si="4"/>
        <v>RO5286</v>
      </c>
      <c r="B192" s="288">
        <v>286</v>
      </c>
      <c r="C192" s="288">
        <v>7</v>
      </c>
      <c r="D192" s="288">
        <f t="shared" si="5"/>
        <v>191</v>
      </c>
      <c r="E192" s="289" t="s">
        <v>2163</v>
      </c>
      <c r="F192" s="290" t="s">
        <v>7207</v>
      </c>
      <c r="G192" s="291">
        <v>4000</v>
      </c>
      <c r="H192" s="292">
        <v>40</v>
      </c>
      <c r="I192" s="288">
        <v>286</v>
      </c>
      <c r="J192" s="288">
        <v>7</v>
      </c>
    </row>
    <row r="193" spans="1:10" ht="14" x14ac:dyDescent="0.3">
      <c r="A193" s="288" t="str">
        <f t="shared" si="4"/>
        <v>RO5290</v>
      </c>
      <c r="B193" s="288">
        <v>290</v>
      </c>
      <c r="C193" s="288">
        <v>7</v>
      </c>
      <c r="D193" s="288">
        <f t="shared" si="5"/>
        <v>192</v>
      </c>
      <c r="E193" s="289" t="s">
        <v>2163</v>
      </c>
      <c r="F193" s="290" t="s">
        <v>7208</v>
      </c>
      <c r="G193" s="291">
        <v>4000</v>
      </c>
      <c r="H193" s="292">
        <v>40</v>
      </c>
      <c r="I193" s="288">
        <v>290</v>
      </c>
      <c r="J193" s="288">
        <v>7</v>
      </c>
    </row>
    <row r="194" spans="1:10" ht="14" x14ac:dyDescent="0.3">
      <c r="A194" s="288" t="str">
        <f t="shared" si="4"/>
        <v>RO5310</v>
      </c>
      <c r="B194" s="288">
        <v>310</v>
      </c>
      <c r="C194" s="288">
        <v>7</v>
      </c>
      <c r="D194" s="288">
        <f t="shared" si="5"/>
        <v>193</v>
      </c>
      <c r="E194" s="289" t="s">
        <v>2163</v>
      </c>
      <c r="F194" s="290" t="s">
        <v>7209</v>
      </c>
      <c r="G194" s="291">
        <v>2000</v>
      </c>
      <c r="H194" s="292">
        <v>30</v>
      </c>
      <c r="I194" s="288">
        <v>310</v>
      </c>
      <c r="J194" s="288">
        <v>7</v>
      </c>
    </row>
    <row r="195" spans="1:10" ht="14" x14ac:dyDescent="0.3">
      <c r="A195" s="288" t="str">
        <f t="shared" si="4"/>
        <v>RO5320</v>
      </c>
      <c r="B195" s="288">
        <v>320</v>
      </c>
      <c r="C195" s="288">
        <v>7</v>
      </c>
      <c r="D195" s="288">
        <f t="shared" si="5"/>
        <v>194</v>
      </c>
      <c r="E195" s="289" t="s">
        <v>2163</v>
      </c>
      <c r="F195" s="290" t="s">
        <v>7210</v>
      </c>
      <c r="G195" s="291">
        <v>2000</v>
      </c>
      <c r="H195" s="292">
        <v>30</v>
      </c>
      <c r="I195" s="288">
        <v>320</v>
      </c>
      <c r="J195" s="288">
        <v>7</v>
      </c>
    </row>
    <row r="196" spans="1:10" ht="14" x14ac:dyDescent="0.3">
      <c r="A196" s="288" t="str">
        <f t="shared" si="4"/>
        <v>RO5335</v>
      </c>
      <c r="B196" s="288">
        <v>335</v>
      </c>
      <c r="C196" s="288">
        <v>7</v>
      </c>
      <c r="D196" s="288">
        <f t="shared" si="5"/>
        <v>195</v>
      </c>
      <c r="E196" s="289" t="s">
        <v>2163</v>
      </c>
      <c r="F196" s="290" t="s">
        <v>7211</v>
      </c>
      <c r="G196" s="291">
        <v>4000</v>
      </c>
      <c r="H196" s="292">
        <v>40</v>
      </c>
      <c r="I196" s="288">
        <v>335</v>
      </c>
      <c r="J196" s="288">
        <v>7</v>
      </c>
    </row>
    <row r="197" spans="1:10" ht="14" x14ac:dyDescent="0.3">
      <c r="A197" s="288" t="str">
        <f t="shared" si="4"/>
        <v>RO5338</v>
      </c>
      <c r="B197" s="288">
        <v>338</v>
      </c>
      <c r="C197" s="288">
        <v>7</v>
      </c>
      <c r="D197" s="288">
        <f t="shared" si="5"/>
        <v>196</v>
      </c>
      <c r="E197" s="289" t="s">
        <v>2163</v>
      </c>
      <c r="F197" s="290" t="s">
        <v>7212</v>
      </c>
      <c r="G197" s="291">
        <v>4000</v>
      </c>
      <c r="H197" s="292">
        <v>40</v>
      </c>
      <c r="I197" s="288">
        <v>338</v>
      </c>
      <c r="J197" s="288">
        <v>7</v>
      </c>
    </row>
    <row r="198" spans="1:10" ht="14" x14ac:dyDescent="0.3">
      <c r="A198" s="288" t="str">
        <f t="shared" si="4"/>
        <v>RO5340</v>
      </c>
      <c r="B198" s="288">
        <v>340</v>
      </c>
      <c r="C198" s="288">
        <v>7</v>
      </c>
      <c r="D198" s="288">
        <f t="shared" si="5"/>
        <v>197</v>
      </c>
      <c r="E198" s="289" t="s">
        <v>2163</v>
      </c>
      <c r="F198" s="290" t="s">
        <v>7213</v>
      </c>
      <c r="G198" s="291">
        <v>4000</v>
      </c>
      <c r="H198" s="292">
        <v>40</v>
      </c>
      <c r="I198" s="288">
        <v>340</v>
      </c>
      <c r="J198" s="288">
        <v>7</v>
      </c>
    </row>
    <row r="199" spans="1:10" ht="14" x14ac:dyDescent="0.3">
      <c r="A199" s="288" t="str">
        <f t="shared" si="4"/>
        <v>RO5350</v>
      </c>
      <c r="B199" s="288">
        <v>350</v>
      </c>
      <c r="C199" s="288">
        <v>7</v>
      </c>
      <c r="D199" s="288">
        <f t="shared" si="5"/>
        <v>198</v>
      </c>
      <c r="E199" s="289" t="s">
        <v>2163</v>
      </c>
      <c r="F199" s="290" t="s">
        <v>7214</v>
      </c>
      <c r="G199" s="291">
        <v>12000</v>
      </c>
      <c r="H199" s="292">
        <v>40</v>
      </c>
      <c r="I199" s="288">
        <v>350</v>
      </c>
      <c r="J199" s="288">
        <v>7</v>
      </c>
    </row>
    <row r="200" spans="1:10" ht="14" x14ac:dyDescent="0.3">
      <c r="A200" s="288" t="str">
        <f t="shared" si="4"/>
        <v>RO5351</v>
      </c>
      <c r="B200" s="288">
        <v>351</v>
      </c>
      <c r="C200" s="288">
        <v>7</v>
      </c>
      <c r="D200" s="288">
        <f t="shared" si="5"/>
        <v>199</v>
      </c>
      <c r="E200" s="289" t="s">
        <v>2163</v>
      </c>
      <c r="F200" s="290" t="s">
        <v>7215</v>
      </c>
      <c r="G200" s="291">
        <v>4000</v>
      </c>
      <c r="H200" s="292">
        <v>40</v>
      </c>
      <c r="I200" s="288">
        <v>351</v>
      </c>
      <c r="J200" s="288">
        <v>7</v>
      </c>
    </row>
    <row r="201" spans="1:10" ht="14" x14ac:dyDescent="0.3">
      <c r="A201" s="288" t="str">
        <f t="shared" si="4"/>
        <v>RO5352</v>
      </c>
      <c r="B201" s="288">
        <v>352</v>
      </c>
      <c r="C201" s="288">
        <v>7</v>
      </c>
      <c r="D201" s="288">
        <f t="shared" si="5"/>
        <v>200</v>
      </c>
      <c r="E201" s="289" t="s">
        <v>2163</v>
      </c>
      <c r="F201" s="290" t="s">
        <v>7216</v>
      </c>
      <c r="G201" s="291">
        <v>4000</v>
      </c>
      <c r="H201" s="292">
        <v>40</v>
      </c>
      <c r="I201" s="288">
        <v>352</v>
      </c>
      <c r="J201" s="288">
        <v>7</v>
      </c>
    </row>
    <row r="202" spans="1:10" ht="14" x14ac:dyDescent="0.3">
      <c r="A202" s="288" t="str">
        <f t="shared" si="4"/>
        <v>RO5360</v>
      </c>
      <c r="B202" s="288">
        <v>360</v>
      </c>
      <c r="C202" s="288">
        <v>7</v>
      </c>
      <c r="D202" s="288">
        <f t="shared" ref="D202:D265" si="7">D201+1</f>
        <v>201</v>
      </c>
      <c r="E202" s="289" t="s">
        <v>2163</v>
      </c>
      <c r="F202" s="290" t="s">
        <v>7217</v>
      </c>
      <c r="G202" s="291">
        <v>4000</v>
      </c>
      <c r="H202" s="292">
        <v>40</v>
      </c>
      <c r="I202" s="288">
        <v>360</v>
      </c>
      <c r="J202" s="288">
        <v>7</v>
      </c>
    </row>
    <row r="203" spans="1:10" ht="14" x14ac:dyDescent="0.3">
      <c r="A203" s="288" t="str">
        <f t="shared" si="4"/>
        <v>RO5390</v>
      </c>
      <c r="B203" s="288">
        <v>390</v>
      </c>
      <c r="C203" s="288">
        <v>7</v>
      </c>
      <c r="D203" s="288">
        <f t="shared" si="7"/>
        <v>202</v>
      </c>
      <c r="E203" s="289" t="s">
        <v>2163</v>
      </c>
      <c r="F203" s="290" t="s">
        <v>7218</v>
      </c>
      <c r="G203" s="291">
        <v>4000</v>
      </c>
      <c r="H203" s="292">
        <v>40</v>
      </c>
      <c r="I203" s="288">
        <v>390</v>
      </c>
      <c r="J203" s="288">
        <v>7</v>
      </c>
    </row>
    <row r="204" spans="1:10" ht="14" x14ac:dyDescent="0.3">
      <c r="A204" s="288" t="str">
        <f t="shared" ref="A204:A267" si="8">E204&amp;B204</f>
        <v>RO5400</v>
      </c>
      <c r="B204" s="288">
        <v>400</v>
      </c>
      <c r="C204" s="288">
        <v>7</v>
      </c>
      <c r="D204" s="288">
        <f t="shared" si="7"/>
        <v>203</v>
      </c>
      <c r="E204" s="289" t="s">
        <v>2163</v>
      </c>
      <c r="F204" s="290" t="s">
        <v>7219</v>
      </c>
      <c r="G204" s="291">
        <v>12000</v>
      </c>
      <c r="H204" s="292">
        <v>40</v>
      </c>
      <c r="I204" s="288">
        <v>400</v>
      </c>
      <c r="J204" s="288">
        <v>7</v>
      </c>
    </row>
    <row r="205" spans="1:10" ht="14" x14ac:dyDescent="0.3">
      <c r="A205" s="293" t="str">
        <f t="shared" si="8"/>
        <v>RO6100</v>
      </c>
      <c r="B205" s="293">
        <v>100</v>
      </c>
      <c r="C205" s="293">
        <v>7</v>
      </c>
      <c r="D205" s="288">
        <f t="shared" si="7"/>
        <v>204</v>
      </c>
      <c r="E205" s="294" t="s">
        <v>2222</v>
      </c>
      <c r="F205" s="295" t="s">
        <v>7220</v>
      </c>
      <c r="G205" s="296">
        <v>4000</v>
      </c>
      <c r="H205" s="297">
        <v>40</v>
      </c>
      <c r="I205" s="293">
        <v>100</v>
      </c>
      <c r="J205" s="293">
        <v>7</v>
      </c>
    </row>
    <row r="206" spans="1:10" ht="14" x14ac:dyDescent="0.3">
      <c r="A206" s="293" t="str">
        <f t="shared" si="8"/>
        <v>RO6210</v>
      </c>
      <c r="B206" s="293">
        <v>210</v>
      </c>
      <c r="C206" s="293">
        <v>7</v>
      </c>
      <c r="D206" s="288">
        <f t="shared" si="7"/>
        <v>205</v>
      </c>
      <c r="E206" s="294" t="s">
        <v>2222</v>
      </c>
      <c r="F206" s="295" t="s">
        <v>7221</v>
      </c>
      <c r="G206" s="296">
        <v>4000</v>
      </c>
      <c r="H206" s="297">
        <v>40</v>
      </c>
      <c r="I206" s="293">
        <v>210</v>
      </c>
      <c r="J206" s="293">
        <v>7</v>
      </c>
    </row>
    <row r="207" spans="1:10" ht="14" x14ac:dyDescent="0.3">
      <c r="A207" s="293" t="str">
        <f t="shared" si="8"/>
        <v>RO6220</v>
      </c>
      <c r="B207" s="293">
        <v>220</v>
      </c>
      <c r="C207" s="293">
        <v>7</v>
      </c>
      <c r="D207" s="288">
        <f t="shared" si="7"/>
        <v>206</v>
      </c>
      <c r="E207" s="294" t="s">
        <v>2222</v>
      </c>
      <c r="F207" s="295" t="s">
        <v>7222</v>
      </c>
      <c r="G207" s="296">
        <v>4000</v>
      </c>
      <c r="H207" s="297">
        <v>40</v>
      </c>
      <c r="I207" s="293">
        <v>220</v>
      </c>
      <c r="J207" s="293">
        <v>7</v>
      </c>
    </row>
    <row r="208" spans="1:10" ht="14" x14ac:dyDescent="0.3">
      <c r="A208" s="293" t="str">
        <f t="shared" si="8"/>
        <v>RO6230</v>
      </c>
      <c r="B208" s="293">
        <v>230</v>
      </c>
      <c r="C208" s="293">
        <v>7</v>
      </c>
      <c r="D208" s="288">
        <f t="shared" si="7"/>
        <v>207</v>
      </c>
      <c r="E208" s="294" t="s">
        <v>2222</v>
      </c>
      <c r="F208" s="295" t="s">
        <v>7223</v>
      </c>
      <c r="G208" s="296">
        <v>4000</v>
      </c>
      <c r="H208" s="297">
        <v>40</v>
      </c>
      <c r="I208" s="293">
        <v>230</v>
      </c>
      <c r="J208" s="293">
        <v>7</v>
      </c>
    </row>
    <row r="209" spans="1:10" ht="14" x14ac:dyDescent="0.3">
      <c r="A209" s="293" t="str">
        <f t="shared" si="8"/>
        <v>RO6290</v>
      </c>
      <c r="B209" s="293">
        <v>290</v>
      </c>
      <c r="C209" s="293">
        <v>7</v>
      </c>
      <c r="D209" s="288">
        <f t="shared" si="7"/>
        <v>208</v>
      </c>
      <c r="E209" s="294" t="s">
        <v>2222</v>
      </c>
      <c r="F209" s="295" t="s">
        <v>7224</v>
      </c>
      <c r="G209" s="296">
        <v>4000</v>
      </c>
      <c r="H209" s="297">
        <v>40</v>
      </c>
      <c r="I209" s="293">
        <v>290</v>
      </c>
      <c r="J209" s="293">
        <v>7</v>
      </c>
    </row>
    <row r="210" spans="1:10" ht="14" x14ac:dyDescent="0.3">
      <c r="A210" s="293" t="str">
        <f t="shared" si="8"/>
        <v>RO6410</v>
      </c>
      <c r="B210" s="293">
        <v>410</v>
      </c>
      <c r="C210" s="293">
        <v>7</v>
      </c>
      <c r="D210" s="288">
        <f t="shared" si="7"/>
        <v>209</v>
      </c>
      <c r="E210" s="294" t="s">
        <v>2222</v>
      </c>
      <c r="F210" s="295" t="s">
        <v>7225</v>
      </c>
      <c r="G210" s="296">
        <v>6000</v>
      </c>
      <c r="H210" s="297">
        <v>55</v>
      </c>
      <c r="I210" s="293">
        <v>410</v>
      </c>
      <c r="J210" s="293">
        <v>7</v>
      </c>
    </row>
    <row r="211" spans="1:10" ht="14" x14ac:dyDescent="0.3">
      <c r="A211" s="293" t="str">
        <f t="shared" si="8"/>
        <v>RO6421</v>
      </c>
      <c r="B211" s="293">
        <v>421</v>
      </c>
      <c r="C211" s="293">
        <v>7</v>
      </c>
      <c r="D211" s="288">
        <f t="shared" si="7"/>
        <v>210</v>
      </c>
      <c r="E211" s="294" t="s">
        <v>2222</v>
      </c>
      <c r="F211" s="295" t="s">
        <v>7226</v>
      </c>
      <c r="G211" s="296">
        <v>4000</v>
      </c>
      <c r="H211" s="297">
        <v>40</v>
      </c>
      <c r="I211" s="293">
        <v>421</v>
      </c>
      <c r="J211" s="293">
        <v>7</v>
      </c>
    </row>
    <row r="212" spans="1:10" ht="14" x14ac:dyDescent="0.3">
      <c r="A212" s="293" t="str">
        <f t="shared" si="8"/>
        <v>RO6422</v>
      </c>
      <c r="B212" s="293">
        <v>422</v>
      </c>
      <c r="C212" s="293">
        <v>7</v>
      </c>
      <c r="D212" s="288">
        <f t="shared" si="7"/>
        <v>211</v>
      </c>
      <c r="E212" s="294" t="s">
        <v>2222</v>
      </c>
      <c r="F212" s="295" t="s">
        <v>7227</v>
      </c>
      <c r="G212" s="296">
        <v>4000</v>
      </c>
      <c r="H212" s="297">
        <v>40</v>
      </c>
      <c r="I212" s="293">
        <v>422</v>
      </c>
      <c r="J212" s="293">
        <v>7</v>
      </c>
    </row>
    <row r="213" spans="1:10" ht="14" x14ac:dyDescent="0.3">
      <c r="A213" s="293" t="str">
        <f t="shared" si="8"/>
        <v>RO6423</v>
      </c>
      <c r="B213" s="293">
        <v>423</v>
      </c>
      <c r="C213" s="293">
        <v>7</v>
      </c>
      <c r="D213" s="288">
        <f t="shared" si="7"/>
        <v>212</v>
      </c>
      <c r="E213" s="294" t="s">
        <v>2222</v>
      </c>
      <c r="F213" s="295" t="s">
        <v>7228</v>
      </c>
      <c r="G213" s="296">
        <v>4000</v>
      </c>
      <c r="H213" s="297">
        <v>40</v>
      </c>
      <c r="I213" s="293">
        <v>423</v>
      </c>
      <c r="J213" s="293">
        <v>7</v>
      </c>
    </row>
    <row r="214" spans="1:10" ht="14" x14ac:dyDescent="0.3">
      <c r="A214" s="293" t="str">
        <f t="shared" si="8"/>
        <v>RO6425</v>
      </c>
      <c r="B214" s="293">
        <v>425</v>
      </c>
      <c r="C214" s="293">
        <v>7</v>
      </c>
      <c r="D214" s="288">
        <f t="shared" si="7"/>
        <v>213</v>
      </c>
      <c r="E214" s="294" t="s">
        <v>2222</v>
      </c>
      <c r="F214" s="295" t="s">
        <v>7229</v>
      </c>
      <c r="G214" s="296">
        <v>4000</v>
      </c>
      <c r="H214" s="297">
        <v>40</v>
      </c>
      <c r="I214" s="293">
        <v>425</v>
      </c>
      <c r="J214" s="293">
        <v>7</v>
      </c>
    </row>
    <row r="215" spans="1:10" ht="14" x14ac:dyDescent="0.3">
      <c r="A215" s="293" t="str">
        <f t="shared" si="8"/>
        <v>RO6426</v>
      </c>
      <c r="B215" s="293">
        <v>426</v>
      </c>
      <c r="C215" s="293">
        <v>7</v>
      </c>
      <c r="D215" s="288">
        <f t="shared" si="7"/>
        <v>214</v>
      </c>
      <c r="E215" s="294" t="s">
        <v>2222</v>
      </c>
      <c r="F215" s="295" t="s">
        <v>7230</v>
      </c>
      <c r="G215" s="296">
        <v>4000</v>
      </c>
      <c r="H215" s="297">
        <v>40</v>
      </c>
      <c r="I215" s="293">
        <v>426</v>
      </c>
      <c r="J215" s="293">
        <v>7</v>
      </c>
    </row>
    <row r="216" spans="1:10" ht="14" x14ac:dyDescent="0.3">
      <c r="A216" s="293" t="str">
        <f t="shared" si="8"/>
        <v>RO6428</v>
      </c>
      <c r="B216" s="293">
        <v>428</v>
      </c>
      <c r="C216" s="293">
        <v>7</v>
      </c>
      <c r="D216" s="288">
        <f t="shared" si="7"/>
        <v>215</v>
      </c>
      <c r="E216" s="294" t="s">
        <v>2222</v>
      </c>
      <c r="F216" s="295" t="s">
        <v>7231</v>
      </c>
      <c r="G216" s="296">
        <v>4000</v>
      </c>
      <c r="H216" s="297">
        <v>40</v>
      </c>
      <c r="I216" s="293">
        <v>428</v>
      </c>
      <c r="J216" s="293">
        <v>7</v>
      </c>
    </row>
    <row r="217" spans="1:10" ht="14" x14ac:dyDescent="0.3">
      <c r="A217" s="293" t="str">
        <f t="shared" si="8"/>
        <v>RO6430</v>
      </c>
      <c r="B217" s="293">
        <v>430</v>
      </c>
      <c r="C217" s="293">
        <v>7</v>
      </c>
      <c r="D217" s="288">
        <f t="shared" si="7"/>
        <v>216</v>
      </c>
      <c r="E217" s="294" t="s">
        <v>2222</v>
      </c>
      <c r="F217" s="295" t="s">
        <v>7232</v>
      </c>
      <c r="G217" s="296">
        <v>4000</v>
      </c>
      <c r="H217" s="297">
        <v>40</v>
      </c>
      <c r="I217" s="293">
        <v>430</v>
      </c>
      <c r="J217" s="293">
        <v>7</v>
      </c>
    </row>
    <row r="218" spans="1:10" ht="14" x14ac:dyDescent="0.3">
      <c r="A218" s="293" t="str">
        <f t="shared" si="8"/>
        <v>RO6441</v>
      </c>
      <c r="B218" s="293">
        <v>441</v>
      </c>
      <c r="C218" s="293">
        <v>7</v>
      </c>
      <c r="D218" s="288">
        <f t="shared" si="7"/>
        <v>217</v>
      </c>
      <c r="E218" s="294" t="s">
        <v>2222</v>
      </c>
      <c r="F218" s="295" t="s">
        <v>7233</v>
      </c>
      <c r="G218" s="296">
        <v>4000</v>
      </c>
      <c r="H218" s="297">
        <v>40</v>
      </c>
      <c r="I218" s="293">
        <v>441</v>
      </c>
      <c r="J218" s="293">
        <v>7</v>
      </c>
    </row>
    <row r="219" spans="1:10" ht="14" x14ac:dyDescent="0.3">
      <c r="A219" s="293" t="str">
        <f t="shared" si="8"/>
        <v>RO6442</v>
      </c>
      <c r="B219" s="293">
        <v>442</v>
      </c>
      <c r="C219" s="293">
        <v>7</v>
      </c>
      <c r="D219" s="288">
        <f t="shared" si="7"/>
        <v>218</v>
      </c>
      <c r="E219" s="294" t="s">
        <v>2222</v>
      </c>
      <c r="F219" s="295" t="s">
        <v>7234</v>
      </c>
      <c r="G219" s="296">
        <v>4000</v>
      </c>
      <c r="H219" s="297">
        <v>40</v>
      </c>
      <c r="I219" s="293">
        <v>442</v>
      </c>
      <c r="J219" s="293">
        <v>7</v>
      </c>
    </row>
    <row r="220" spans="1:10" ht="14" x14ac:dyDescent="0.3">
      <c r="A220" s="293" t="str">
        <f t="shared" si="8"/>
        <v>RO6450</v>
      </c>
      <c r="B220" s="293">
        <v>450</v>
      </c>
      <c r="C220" s="293">
        <v>7</v>
      </c>
      <c r="D220" s="288">
        <f t="shared" si="7"/>
        <v>219</v>
      </c>
      <c r="E220" s="294" t="s">
        <v>2222</v>
      </c>
      <c r="F220" s="295" t="s">
        <v>7235</v>
      </c>
      <c r="G220" s="296">
        <v>4000</v>
      </c>
      <c r="H220" s="297">
        <v>40</v>
      </c>
      <c r="I220" s="293">
        <v>450</v>
      </c>
      <c r="J220" s="293">
        <v>7</v>
      </c>
    </row>
    <row r="221" spans="1:10" ht="14" x14ac:dyDescent="0.3">
      <c r="A221" s="293" t="str">
        <f t="shared" si="8"/>
        <v>RO6460</v>
      </c>
      <c r="B221" s="293">
        <v>460</v>
      </c>
      <c r="C221" s="293">
        <v>7</v>
      </c>
      <c r="D221" s="288">
        <f t="shared" si="7"/>
        <v>220</v>
      </c>
      <c r="E221" s="294" t="s">
        <v>2222</v>
      </c>
      <c r="F221" s="295" t="s">
        <v>7236</v>
      </c>
      <c r="G221" s="296">
        <v>4000</v>
      </c>
      <c r="H221" s="297">
        <v>40</v>
      </c>
      <c r="I221" s="293">
        <v>460</v>
      </c>
      <c r="J221" s="293">
        <v>7</v>
      </c>
    </row>
    <row r="222" spans="1:10" ht="14" x14ac:dyDescent="0.3">
      <c r="A222" s="293" t="str">
        <f t="shared" si="8"/>
        <v>RO6465</v>
      </c>
      <c r="B222" s="293">
        <v>465</v>
      </c>
      <c r="C222" s="293">
        <v>7</v>
      </c>
      <c r="D222" s="288">
        <f t="shared" si="7"/>
        <v>221</v>
      </c>
      <c r="E222" s="294" t="s">
        <v>2222</v>
      </c>
      <c r="F222" s="295" t="s">
        <v>7237</v>
      </c>
      <c r="G222" s="296">
        <v>4000</v>
      </c>
      <c r="H222" s="297">
        <v>40</v>
      </c>
      <c r="I222" s="293">
        <v>465</v>
      </c>
      <c r="J222" s="293">
        <v>7</v>
      </c>
    </row>
    <row r="223" spans="1:10" ht="14" x14ac:dyDescent="0.3">
      <c r="A223" s="293" t="str">
        <f t="shared" si="8"/>
        <v>RO6470</v>
      </c>
      <c r="B223" s="293">
        <v>470</v>
      </c>
      <c r="C223" s="293">
        <v>7</v>
      </c>
      <c r="D223" s="288">
        <f t="shared" si="7"/>
        <v>222</v>
      </c>
      <c r="E223" s="294" t="s">
        <v>2222</v>
      </c>
      <c r="F223" s="295" t="s">
        <v>7238</v>
      </c>
      <c r="G223" s="296">
        <v>4000</v>
      </c>
      <c r="H223" s="297">
        <v>40</v>
      </c>
      <c r="I223" s="293">
        <v>470</v>
      </c>
      <c r="J223" s="293">
        <v>7</v>
      </c>
    </row>
    <row r="224" spans="1:10" ht="14" x14ac:dyDescent="0.3">
      <c r="A224" s="293" t="str">
        <f t="shared" si="8"/>
        <v>RO6475</v>
      </c>
      <c r="B224" s="293">
        <v>475</v>
      </c>
      <c r="C224" s="293">
        <v>7</v>
      </c>
      <c r="D224" s="288">
        <f t="shared" si="7"/>
        <v>223</v>
      </c>
      <c r="E224" s="294" t="s">
        <v>2222</v>
      </c>
      <c r="F224" s="295" t="s">
        <v>7239</v>
      </c>
      <c r="G224" s="296">
        <v>4000</v>
      </c>
      <c r="H224" s="297">
        <v>40</v>
      </c>
      <c r="I224" s="293">
        <v>475</v>
      </c>
      <c r="J224" s="293">
        <v>7</v>
      </c>
    </row>
    <row r="225" spans="1:10" ht="14" x14ac:dyDescent="0.3">
      <c r="A225" s="293" t="str">
        <f t="shared" si="8"/>
        <v>RO6476</v>
      </c>
      <c r="B225" s="293">
        <v>476</v>
      </c>
      <c r="C225" s="293">
        <v>7</v>
      </c>
      <c r="D225" s="288">
        <f t="shared" si="7"/>
        <v>224</v>
      </c>
      <c r="E225" s="294" t="s">
        <v>2222</v>
      </c>
      <c r="F225" s="295" t="s">
        <v>7240</v>
      </c>
      <c r="G225" s="296">
        <v>4000</v>
      </c>
      <c r="H225" s="297">
        <v>40</v>
      </c>
      <c r="I225" s="293">
        <v>476</v>
      </c>
      <c r="J225" s="293">
        <v>7</v>
      </c>
    </row>
    <row r="226" spans="1:10" ht="14" x14ac:dyDescent="0.3">
      <c r="A226" s="293" t="str">
        <f t="shared" si="8"/>
        <v>RO6481</v>
      </c>
      <c r="B226" s="293">
        <v>481</v>
      </c>
      <c r="C226" s="293">
        <v>7</v>
      </c>
      <c r="D226" s="288">
        <f t="shared" si="7"/>
        <v>225</v>
      </c>
      <c r="E226" s="294" t="s">
        <v>2222</v>
      </c>
      <c r="F226" s="295" t="s">
        <v>7241</v>
      </c>
      <c r="G226" s="296">
        <v>20000</v>
      </c>
      <c r="H226" s="297">
        <v>40</v>
      </c>
      <c r="I226" s="293">
        <v>481</v>
      </c>
      <c r="J226" s="293">
        <v>7</v>
      </c>
    </row>
    <row r="227" spans="1:10" ht="14" x14ac:dyDescent="0.3">
      <c r="A227" s="293" t="str">
        <f t="shared" si="8"/>
        <v>RO6482</v>
      </c>
      <c r="B227" s="293">
        <v>482</v>
      </c>
      <c r="C227" s="293">
        <v>7</v>
      </c>
      <c r="D227" s="288">
        <f t="shared" si="7"/>
        <v>226</v>
      </c>
      <c r="E227" s="294" t="s">
        <v>2222</v>
      </c>
      <c r="F227" s="295" t="s">
        <v>7242</v>
      </c>
      <c r="G227" s="296">
        <v>4000</v>
      </c>
      <c r="H227" s="297">
        <v>40</v>
      </c>
      <c r="I227" s="293">
        <v>482</v>
      </c>
      <c r="J227" s="293">
        <v>7</v>
      </c>
    </row>
    <row r="228" spans="1:10" ht="14" x14ac:dyDescent="0.3">
      <c r="A228" s="293" t="str">
        <f t="shared" si="8"/>
        <v>RO6484</v>
      </c>
      <c r="B228" s="293">
        <v>484</v>
      </c>
      <c r="C228" s="293">
        <v>7</v>
      </c>
      <c r="D228" s="288">
        <f t="shared" si="7"/>
        <v>227</v>
      </c>
      <c r="E228" s="294" t="s">
        <v>2222</v>
      </c>
      <c r="F228" s="295" t="s">
        <v>7243</v>
      </c>
      <c r="G228" s="296">
        <v>10000</v>
      </c>
      <c r="H228" s="297">
        <v>40</v>
      </c>
      <c r="I228" s="293">
        <v>484</v>
      </c>
      <c r="J228" s="293">
        <v>7</v>
      </c>
    </row>
    <row r="229" spans="1:10" ht="14" x14ac:dyDescent="0.3">
      <c r="A229" s="293" t="str">
        <f t="shared" si="8"/>
        <v>RO6489</v>
      </c>
      <c r="B229" s="293">
        <v>489</v>
      </c>
      <c r="C229" s="293">
        <v>7</v>
      </c>
      <c r="D229" s="288">
        <f t="shared" si="7"/>
        <v>228</v>
      </c>
      <c r="E229" s="294" t="s">
        <v>2222</v>
      </c>
      <c r="F229" s="295" t="s">
        <v>7244</v>
      </c>
      <c r="G229" s="296">
        <v>10000</v>
      </c>
      <c r="H229" s="297">
        <v>45</v>
      </c>
      <c r="I229" s="293">
        <v>489</v>
      </c>
      <c r="J229" s="293">
        <v>7</v>
      </c>
    </row>
    <row r="230" spans="1:10" ht="14" x14ac:dyDescent="0.3">
      <c r="A230" s="293" t="str">
        <f t="shared" si="8"/>
        <v>RO6490</v>
      </c>
      <c r="B230" s="293">
        <v>490</v>
      </c>
      <c r="C230" s="293">
        <v>7</v>
      </c>
      <c r="D230" s="288">
        <f t="shared" si="7"/>
        <v>229</v>
      </c>
      <c r="E230" s="294" t="s">
        <v>2222</v>
      </c>
      <c r="F230" s="295" t="s">
        <v>7245</v>
      </c>
      <c r="G230" s="296">
        <v>10000</v>
      </c>
      <c r="H230" s="297">
        <v>45</v>
      </c>
      <c r="I230" s="293">
        <v>490</v>
      </c>
      <c r="J230" s="293">
        <v>7</v>
      </c>
    </row>
    <row r="231" spans="1:10" ht="14" x14ac:dyDescent="0.3">
      <c r="A231" s="293" t="str">
        <f t="shared" si="8"/>
        <v>RO6491</v>
      </c>
      <c r="B231" s="293">
        <v>491</v>
      </c>
      <c r="C231" s="293">
        <v>5</v>
      </c>
      <c r="D231" s="288">
        <f t="shared" si="7"/>
        <v>230</v>
      </c>
      <c r="E231" s="294" t="s">
        <v>2222</v>
      </c>
      <c r="F231" s="295" t="s">
        <v>7246</v>
      </c>
      <c r="G231" s="296">
        <v>10000</v>
      </c>
      <c r="H231" s="297">
        <v>45</v>
      </c>
      <c r="I231" s="293">
        <v>491</v>
      </c>
      <c r="J231" s="293">
        <v>5</v>
      </c>
    </row>
    <row r="232" spans="1:10" ht="14" x14ac:dyDescent="0.3">
      <c r="A232" s="293" t="str">
        <f t="shared" si="8"/>
        <v>RO6492</v>
      </c>
      <c r="B232" s="293">
        <v>492</v>
      </c>
      <c r="C232" s="293">
        <v>5</v>
      </c>
      <c r="D232" s="288">
        <f t="shared" si="7"/>
        <v>231</v>
      </c>
      <c r="E232" s="294" t="s">
        <v>2222</v>
      </c>
      <c r="F232" s="295" t="s">
        <v>7247</v>
      </c>
      <c r="G232" s="296">
        <v>10000</v>
      </c>
      <c r="H232" s="297">
        <v>45</v>
      </c>
      <c r="I232" s="293">
        <v>492</v>
      </c>
      <c r="J232" s="293">
        <v>5</v>
      </c>
    </row>
    <row r="233" spans="1:10" ht="14" x14ac:dyDescent="0.3">
      <c r="A233" s="293" t="str">
        <f t="shared" si="8"/>
        <v>RO6493</v>
      </c>
      <c r="B233" s="293">
        <v>493</v>
      </c>
      <c r="C233" s="293">
        <v>5</v>
      </c>
      <c r="D233" s="288">
        <f t="shared" si="7"/>
        <v>232</v>
      </c>
      <c r="E233" s="294" t="s">
        <v>2222</v>
      </c>
      <c r="F233" s="295" t="s">
        <v>7248</v>
      </c>
      <c r="G233" s="296">
        <v>10000</v>
      </c>
      <c r="H233" s="297">
        <v>45</v>
      </c>
      <c r="I233" s="293">
        <v>493</v>
      </c>
      <c r="J233" s="293">
        <v>5</v>
      </c>
    </row>
    <row r="234" spans="1:10" ht="14" x14ac:dyDescent="0.3">
      <c r="A234" s="293" t="str">
        <f t="shared" si="8"/>
        <v>RO6494</v>
      </c>
      <c r="B234" s="293">
        <v>494</v>
      </c>
      <c r="C234" s="293">
        <v>5</v>
      </c>
      <c r="D234" s="288">
        <f t="shared" si="7"/>
        <v>233</v>
      </c>
      <c r="E234" s="294" t="s">
        <v>2222</v>
      </c>
      <c r="F234" s="295" t="s">
        <v>7249</v>
      </c>
      <c r="G234" s="296">
        <v>10000</v>
      </c>
      <c r="H234" s="297">
        <v>45</v>
      </c>
      <c r="I234" s="293">
        <v>494</v>
      </c>
      <c r="J234" s="293">
        <v>5</v>
      </c>
    </row>
    <row r="235" spans="1:10" ht="14" x14ac:dyDescent="0.3">
      <c r="A235" s="293" t="str">
        <f t="shared" si="8"/>
        <v>RO6495</v>
      </c>
      <c r="B235" s="293">
        <v>495</v>
      </c>
      <c r="C235" s="293">
        <v>5</v>
      </c>
      <c r="D235" s="288">
        <f t="shared" si="7"/>
        <v>234</v>
      </c>
      <c r="E235" s="294" t="s">
        <v>2222</v>
      </c>
      <c r="F235" s="295" t="s">
        <v>7250</v>
      </c>
      <c r="G235" s="296">
        <v>10000</v>
      </c>
      <c r="H235" s="297">
        <v>45</v>
      </c>
      <c r="I235" s="293">
        <v>495</v>
      </c>
      <c r="J235" s="293">
        <v>5</v>
      </c>
    </row>
    <row r="236" spans="1:10" ht="14" x14ac:dyDescent="0.3">
      <c r="A236" s="293" t="str">
        <f t="shared" si="8"/>
        <v>RO6500</v>
      </c>
      <c r="B236" s="293">
        <v>500</v>
      </c>
      <c r="C236" s="293">
        <v>7</v>
      </c>
      <c r="D236" s="288">
        <f t="shared" si="7"/>
        <v>235</v>
      </c>
      <c r="E236" s="294" t="s">
        <v>2222</v>
      </c>
      <c r="F236" s="295" t="s">
        <v>7251</v>
      </c>
      <c r="G236" s="296">
        <v>10000</v>
      </c>
      <c r="H236" s="297">
        <v>45</v>
      </c>
      <c r="I236" s="293">
        <v>500</v>
      </c>
      <c r="J236" s="293">
        <v>7</v>
      </c>
    </row>
    <row r="237" spans="1:10" ht="14" x14ac:dyDescent="0.3">
      <c r="A237" s="298" t="str">
        <f t="shared" si="8"/>
        <v>RSX190</v>
      </c>
      <c r="B237" s="298">
        <v>190</v>
      </c>
      <c r="C237" s="298">
        <v>7</v>
      </c>
      <c r="D237" s="288">
        <f t="shared" si="7"/>
        <v>236</v>
      </c>
      <c r="E237" s="299" t="s">
        <v>448</v>
      </c>
      <c r="F237" s="300" t="s">
        <v>7252</v>
      </c>
      <c r="G237" s="301">
        <v>2000</v>
      </c>
      <c r="H237" s="302">
        <v>12</v>
      </c>
      <c r="I237" s="298">
        <v>190</v>
      </c>
      <c r="J237" s="298">
        <v>7</v>
      </c>
    </row>
    <row r="238" spans="1:10" ht="14" x14ac:dyDescent="0.3">
      <c r="A238" s="298" t="str">
        <f t="shared" si="8"/>
        <v>RSX290</v>
      </c>
      <c r="B238" s="298">
        <v>290</v>
      </c>
      <c r="C238" s="298">
        <v>7</v>
      </c>
      <c r="D238" s="288">
        <f t="shared" si="7"/>
        <v>237</v>
      </c>
      <c r="E238" s="299" t="s">
        <v>448</v>
      </c>
      <c r="F238" s="300" t="s">
        <v>7253</v>
      </c>
      <c r="G238" s="301">
        <v>2000</v>
      </c>
      <c r="H238" s="302">
        <v>25</v>
      </c>
      <c r="I238" s="298">
        <v>290</v>
      </c>
      <c r="J238" s="298">
        <v>7</v>
      </c>
    </row>
    <row r="239" spans="1:10" ht="14" x14ac:dyDescent="0.3">
      <c r="A239" s="298" t="str">
        <f t="shared" si="8"/>
        <v>RSX330</v>
      </c>
      <c r="B239" s="298">
        <v>330</v>
      </c>
      <c r="C239" s="298">
        <v>7</v>
      </c>
      <c r="D239" s="288">
        <f t="shared" si="7"/>
        <v>238</v>
      </c>
      <c r="E239" s="299" t="s">
        <v>448</v>
      </c>
      <c r="F239" s="300" t="s">
        <v>7254</v>
      </c>
      <c r="G239" s="301">
        <v>2000</v>
      </c>
      <c r="H239" s="302">
        <v>25</v>
      </c>
      <c r="I239" s="298">
        <v>330</v>
      </c>
      <c r="J239" s="298">
        <v>7</v>
      </c>
    </row>
    <row r="240" spans="1:10" ht="14" x14ac:dyDescent="0.3">
      <c r="A240" s="298" t="str">
        <f t="shared" si="8"/>
        <v>RSX360</v>
      </c>
      <c r="B240" s="298">
        <v>360</v>
      </c>
      <c r="C240" s="298">
        <v>7</v>
      </c>
      <c r="D240" s="288">
        <f t="shared" si="7"/>
        <v>239</v>
      </c>
      <c r="E240" s="299" t="s">
        <v>448</v>
      </c>
      <c r="F240" s="300" t="s">
        <v>7255</v>
      </c>
      <c r="G240" s="301">
        <v>2000</v>
      </c>
      <c r="H240" s="302">
        <v>25</v>
      </c>
      <c r="I240" s="298">
        <v>360</v>
      </c>
      <c r="J240" s="298">
        <v>7</v>
      </c>
    </row>
    <row r="241" spans="1:10" ht="14" x14ac:dyDescent="0.3">
      <c r="A241" s="298" t="str">
        <f t="shared" si="8"/>
        <v>RSX390</v>
      </c>
      <c r="B241" s="298">
        <v>390</v>
      </c>
      <c r="C241" s="298">
        <v>7</v>
      </c>
      <c r="D241" s="288">
        <f t="shared" si="7"/>
        <v>240</v>
      </c>
      <c r="E241" s="299" t="s">
        <v>448</v>
      </c>
      <c r="F241" s="300" t="s">
        <v>7256</v>
      </c>
      <c r="G241" s="301">
        <v>2000</v>
      </c>
      <c r="H241" s="302">
        <v>25</v>
      </c>
      <c r="I241" s="298">
        <v>390</v>
      </c>
      <c r="J241" s="298">
        <v>7</v>
      </c>
    </row>
    <row r="242" spans="1:10" ht="14" x14ac:dyDescent="0.3">
      <c r="A242" s="298" t="str">
        <f t="shared" si="8"/>
        <v>RSX490</v>
      </c>
      <c r="B242" s="298">
        <v>490</v>
      </c>
      <c r="C242" s="298">
        <v>7</v>
      </c>
      <c r="D242" s="288">
        <f t="shared" si="7"/>
        <v>241</v>
      </c>
      <c r="E242" s="299" t="s">
        <v>448</v>
      </c>
      <c r="F242" s="300" t="s">
        <v>7257</v>
      </c>
      <c r="G242" s="301">
        <v>2000</v>
      </c>
      <c r="H242" s="302">
        <v>25</v>
      </c>
      <c r="I242" s="298">
        <v>490</v>
      </c>
      <c r="J242" s="298">
        <v>7</v>
      </c>
    </row>
    <row r="243" spans="1:10" ht="14" x14ac:dyDescent="0.3">
      <c r="A243" s="298" t="str">
        <f t="shared" si="8"/>
        <v>RSX509</v>
      </c>
      <c r="B243" s="298">
        <v>509</v>
      </c>
      <c r="C243" s="298">
        <v>7</v>
      </c>
      <c r="D243" s="288">
        <f t="shared" si="7"/>
        <v>242</v>
      </c>
      <c r="E243" s="299" t="s">
        <v>448</v>
      </c>
      <c r="F243" s="300" t="s">
        <v>7258</v>
      </c>
      <c r="G243" s="301">
        <v>2000</v>
      </c>
      <c r="H243" s="302">
        <v>25</v>
      </c>
      <c r="I243" s="298">
        <v>509</v>
      </c>
      <c r="J243" s="298">
        <v>7</v>
      </c>
    </row>
    <row r="244" spans="1:10" ht="14" x14ac:dyDescent="0.3">
      <c r="A244" s="298" t="str">
        <f t="shared" si="8"/>
        <v>RSX590</v>
      </c>
      <c r="B244" s="298">
        <v>590</v>
      </c>
      <c r="C244" s="298">
        <v>7</v>
      </c>
      <c r="D244" s="288">
        <f t="shared" si="7"/>
        <v>243</v>
      </c>
      <c r="E244" s="299" t="s">
        <v>448</v>
      </c>
      <c r="F244" s="300" t="s">
        <v>7259</v>
      </c>
      <c r="G244" s="301">
        <v>2000</v>
      </c>
      <c r="H244" s="302">
        <v>25</v>
      </c>
      <c r="I244" s="298">
        <v>590</v>
      </c>
      <c r="J244" s="298">
        <v>7</v>
      </c>
    </row>
    <row r="245" spans="1:10" ht="14" x14ac:dyDescent="0.3">
      <c r="A245" s="298" t="str">
        <f t="shared" si="8"/>
        <v>RSX599</v>
      </c>
      <c r="B245" s="298">
        <v>599</v>
      </c>
      <c r="C245" s="298">
        <v>7</v>
      </c>
      <c r="D245" s="288">
        <f t="shared" si="7"/>
        <v>244</v>
      </c>
      <c r="E245" s="299" t="s">
        <v>448</v>
      </c>
      <c r="F245" s="300" t="s">
        <v>7260</v>
      </c>
      <c r="G245" s="301">
        <v>3000</v>
      </c>
      <c r="H245" s="302">
        <v>25</v>
      </c>
      <c r="I245" s="298">
        <v>599</v>
      </c>
      <c r="J245" s="298">
        <v>7</v>
      </c>
    </row>
    <row r="246" spans="1:10" ht="14" x14ac:dyDescent="0.3">
      <c r="A246" s="298" t="str">
        <f t="shared" si="8"/>
        <v>RSX601</v>
      </c>
      <c r="B246" s="298">
        <v>601</v>
      </c>
      <c r="C246" s="298">
        <v>7</v>
      </c>
      <c r="D246" s="288">
        <f t="shared" si="7"/>
        <v>245</v>
      </c>
      <c r="E246" s="299" t="s">
        <v>448</v>
      </c>
      <c r="F246" s="300" t="s">
        <v>7261</v>
      </c>
      <c r="G246" s="301">
        <v>2000</v>
      </c>
      <c r="H246" s="302">
        <v>25</v>
      </c>
      <c r="I246" s="298">
        <v>601</v>
      </c>
      <c r="J246" s="298">
        <v>7</v>
      </c>
    </row>
    <row r="247" spans="1:10" ht="14" x14ac:dyDescent="0.3">
      <c r="A247" s="298" t="str">
        <f t="shared" si="8"/>
        <v>RSX602</v>
      </c>
      <c r="B247" s="298">
        <v>602</v>
      </c>
      <c r="C247" s="298">
        <v>7</v>
      </c>
      <c r="D247" s="288">
        <f t="shared" si="7"/>
        <v>246</v>
      </c>
      <c r="E247" s="299" t="s">
        <v>448</v>
      </c>
      <c r="F247" s="300" t="s">
        <v>7262</v>
      </c>
      <c r="G247" s="301">
        <v>2000</v>
      </c>
      <c r="H247" s="302">
        <v>25</v>
      </c>
      <c r="I247" s="298">
        <v>602</v>
      </c>
      <c r="J247" s="298">
        <v>7</v>
      </c>
    </row>
    <row r="248" spans="1:10" ht="14" x14ac:dyDescent="0.3">
      <c r="A248" s="298" t="str">
        <f t="shared" si="8"/>
        <v>RSX690</v>
      </c>
      <c r="B248" s="298">
        <v>690</v>
      </c>
      <c r="C248" s="298">
        <v>7</v>
      </c>
      <c r="D248" s="288">
        <f t="shared" si="7"/>
        <v>247</v>
      </c>
      <c r="E248" s="299" t="s">
        <v>448</v>
      </c>
      <c r="F248" s="300" t="s">
        <v>7263</v>
      </c>
      <c r="G248" s="301">
        <v>3000</v>
      </c>
      <c r="H248" s="302">
        <v>30</v>
      </c>
      <c r="I248" s="298">
        <v>690</v>
      </c>
      <c r="J248" s="298">
        <v>7</v>
      </c>
    </row>
    <row r="249" spans="1:10" ht="14" x14ac:dyDescent="0.3">
      <c r="A249" s="298" t="str">
        <f t="shared" si="8"/>
        <v>RSX698</v>
      </c>
      <c r="B249" s="298">
        <v>698</v>
      </c>
      <c r="C249" s="298">
        <v>7</v>
      </c>
      <c r="D249" s="288">
        <f t="shared" si="7"/>
        <v>248</v>
      </c>
      <c r="E249" s="299" t="s">
        <v>448</v>
      </c>
      <c r="F249" s="300" t="s">
        <v>7264</v>
      </c>
      <c r="G249" s="301">
        <v>5000</v>
      </c>
      <c r="H249" s="302">
        <v>30</v>
      </c>
      <c r="I249" s="298">
        <v>698</v>
      </c>
      <c r="J249" s="298">
        <v>7</v>
      </c>
    </row>
    <row r="250" spans="1:10" ht="14" x14ac:dyDescent="0.3">
      <c r="A250" s="298" t="str">
        <f t="shared" si="8"/>
        <v>RSX699</v>
      </c>
      <c r="B250" s="298">
        <v>699</v>
      </c>
      <c r="C250" s="298">
        <v>7</v>
      </c>
      <c r="D250" s="288">
        <f t="shared" si="7"/>
        <v>249</v>
      </c>
      <c r="E250" s="299" t="s">
        <v>448</v>
      </c>
      <c r="F250" s="300" t="s">
        <v>7265</v>
      </c>
      <c r="G250" s="301">
        <v>10000</v>
      </c>
      <c r="H250" s="302">
        <v>40</v>
      </c>
      <c r="I250" s="298">
        <v>699</v>
      </c>
      <c r="J250" s="298">
        <v>7</v>
      </c>
    </row>
    <row r="251" spans="1:10" ht="14" x14ac:dyDescent="0.3">
      <c r="A251" s="288" t="str">
        <f t="shared" si="8"/>
        <v>RS190</v>
      </c>
      <c r="B251" s="288">
        <v>190</v>
      </c>
      <c r="C251" s="288">
        <v>1</v>
      </c>
      <c r="D251" s="288">
        <f t="shared" si="7"/>
        <v>250</v>
      </c>
      <c r="E251" s="289" t="s">
        <v>52</v>
      </c>
      <c r="F251" s="290" t="s">
        <v>7252</v>
      </c>
      <c r="G251" s="291">
        <v>2000</v>
      </c>
      <c r="H251" s="292">
        <v>12</v>
      </c>
      <c r="I251" s="288">
        <v>190</v>
      </c>
      <c r="J251" s="288">
        <v>1</v>
      </c>
    </row>
    <row r="252" spans="1:10" ht="14" x14ac:dyDescent="0.3">
      <c r="A252" s="288" t="str">
        <f t="shared" si="8"/>
        <v>RS290</v>
      </c>
      <c r="B252" s="288">
        <v>290</v>
      </c>
      <c r="C252" s="288">
        <v>1</v>
      </c>
      <c r="D252" s="288">
        <f t="shared" si="7"/>
        <v>251</v>
      </c>
      <c r="E252" s="289" t="s">
        <v>52</v>
      </c>
      <c r="F252" s="290" t="s">
        <v>7253</v>
      </c>
      <c r="G252" s="291">
        <v>2000</v>
      </c>
      <c r="H252" s="292">
        <v>25</v>
      </c>
      <c r="I252" s="288">
        <v>290</v>
      </c>
      <c r="J252" s="288">
        <v>1</v>
      </c>
    </row>
    <row r="253" spans="1:10" ht="14" x14ac:dyDescent="0.3">
      <c r="A253" s="288" t="str">
        <f t="shared" si="8"/>
        <v>RS330</v>
      </c>
      <c r="B253" s="288">
        <v>330</v>
      </c>
      <c r="C253" s="288">
        <v>1</v>
      </c>
      <c r="D253" s="288">
        <f t="shared" si="7"/>
        <v>252</v>
      </c>
      <c r="E253" s="289" t="s">
        <v>52</v>
      </c>
      <c r="F253" s="290" t="s">
        <v>7254</v>
      </c>
      <c r="G253" s="291">
        <v>2000</v>
      </c>
      <c r="H253" s="292">
        <v>25</v>
      </c>
      <c r="I253" s="288">
        <v>330</v>
      </c>
      <c r="J253" s="288">
        <v>1</v>
      </c>
    </row>
    <row r="254" spans="1:10" ht="14" x14ac:dyDescent="0.3">
      <c r="A254" s="288" t="str">
        <f t="shared" si="8"/>
        <v>RS360</v>
      </c>
      <c r="B254" s="288">
        <v>360</v>
      </c>
      <c r="C254" s="288">
        <v>1</v>
      </c>
      <c r="D254" s="288">
        <f t="shared" si="7"/>
        <v>253</v>
      </c>
      <c r="E254" s="289" t="s">
        <v>52</v>
      </c>
      <c r="F254" s="290" t="s">
        <v>7255</v>
      </c>
      <c r="G254" s="291">
        <v>2000</v>
      </c>
      <c r="H254" s="292">
        <v>25</v>
      </c>
      <c r="I254" s="288">
        <v>360</v>
      </c>
      <c r="J254" s="288">
        <v>1</v>
      </c>
    </row>
    <row r="255" spans="1:10" ht="14" x14ac:dyDescent="0.3">
      <c r="A255" s="288" t="str">
        <f t="shared" si="8"/>
        <v>RS390</v>
      </c>
      <c r="B255" s="288">
        <v>390</v>
      </c>
      <c r="C255" s="288">
        <v>1</v>
      </c>
      <c r="D255" s="288">
        <f t="shared" si="7"/>
        <v>254</v>
      </c>
      <c r="E255" s="289" t="s">
        <v>52</v>
      </c>
      <c r="F255" s="290" t="s">
        <v>7256</v>
      </c>
      <c r="G255" s="291">
        <v>2000</v>
      </c>
      <c r="H255" s="292">
        <v>25</v>
      </c>
      <c r="I255" s="288">
        <v>390</v>
      </c>
      <c r="J255" s="288">
        <v>1</v>
      </c>
    </row>
    <row r="256" spans="1:10" ht="14" x14ac:dyDescent="0.3">
      <c r="A256" s="288" t="str">
        <f t="shared" si="8"/>
        <v>RS490</v>
      </c>
      <c r="B256" s="288">
        <v>490</v>
      </c>
      <c r="C256" s="288">
        <v>1</v>
      </c>
      <c r="D256" s="288">
        <f t="shared" si="7"/>
        <v>255</v>
      </c>
      <c r="E256" s="289" t="s">
        <v>52</v>
      </c>
      <c r="F256" s="290" t="s">
        <v>7257</v>
      </c>
      <c r="G256" s="291">
        <v>2000</v>
      </c>
      <c r="H256" s="292">
        <v>25</v>
      </c>
      <c r="I256" s="288">
        <v>490</v>
      </c>
      <c r="J256" s="288">
        <v>1</v>
      </c>
    </row>
    <row r="257" spans="1:10" ht="14" x14ac:dyDescent="0.3">
      <c r="A257" s="288" t="str">
        <f t="shared" si="8"/>
        <v>RS509</v>
      </c>
      <c r="B257" s="288">
        <v>509</v>
      </c>
      <c r="C257" s="288">
        <v>1</v>
      </c>
      <c r="D257" s="288">
        <f t="shared" si="7"/>
        <v>256</v>
      </c>
      <c r="E257" s="289" t="s">
        <v>52</v>
      </c>
      <c r="F257" s="290" t="s">
        <v>7258</v>
      </c>
      <c r="G257" s="291">
        <v>2000</v>
      </c>
      <c r="H257" s="292">
        <v>25</v>
      </c>
      <c r="I257" s="288">
        <v>509</v>
      </c>
      <c r="J257" s="288">
        <v>1</v>
      </c>
    </row>
    <row r="258" spans="1:10" ht="14" x14ac:dyDescent="0.3">
      <c r="A258" s="288" t="str">
        <f t="shared" si="8"/>
        <v>RS590</v>
      </c>
      <c r="B258" s="288">
        <v>590</v>
      </c>
      <c r="C258" s="288">
        <v>1</v>
      </c>
      <c r="D258" s="288">
        <f t="shared" si="7"/>
        <v>257</v>
      </c>
      <c r="E258" s="289" t="s">
        <v>52</v>
      </c>
      <c r="F258" s="290" t="s">
        <v>7259</v>
      </c>
      <c r="G258" s="291">
        <v>2000</v>
      </c>
      <c r="H258" s="292">
        <v>25</v>
      </c>
      <c r="I258" s="288">
        <v>590</v>
      </c>
      <c r="J258" s="288">
        <v>1</v>
      </c>
    </row>
    <row r="259" spans="1:10" ht="14" x14ac:dyDescent="0.3">
      <c r="A259" s="288" t="str">
        <f t="shared" si="8"/>
        <v>RS599</v>
      </c>
      <c r="B259" s="288">
        <v>599</v>
      </c>
      <c r="C259" s="288">
        <v>1</v>
      </c>
      <c r="D259" s="288">
        <f t="shared" si="7"/>
        <v>258</v>
      </c>
      <c r="E259" s="289" t="s">
        <v>52</v>
      </c>
      <c r="F259" s="290" t="s">
        <v>7260</v>
      </c>
      <c r="G259" s="291">
        <v>3000</v>
      </c>
      <c r="H259" s="292">
        <v>25</v>
      </c>
      <c r="I259" s="288">
        <v>599</v>
      </c>
      <c r="J259" s="288">
        <v>1</v>
      </c>
    </row>
    <row r="260" spans="1:10" ht="14" x14ac:dyDescent="0.3">
      <c r="A260" s="288" t="str">
        <f t="shared" si="8"/>
        <v>RS601</v>
      </c>
      <c r="B260" s="288">
        <v>601</v>
      </c>
      <c r="C260" s="288">
        <v>1</v>
      </c>
      <c r="D260" s="288">
        <f t="shared" si="7"/>
        <v>259</v>
      </c>
      <c r="E260" s="289" t="s">
        <v>52</v>
      </c>
      <c r="F260" s="290" t="s">
        <v>7261</v>
      </c>
      <c r="G260" s="291">
        <v>2000</v>
      </c>
      <c r="H260" s="292">
        <v>25</v>
      </c>
      <c r="I260" s="288">
        <v>601</v>
      </c>
      <c r="J260" s="288">
        <v>1</v>
      </c>
    </row>
    <row r="261" spans="1:10" ht="14" x14ac:dyDescent="0.3">
      <c r="A261" s="288" t="str">
        <f t="shared" si="8"/>
        <v>RS602</v>
      </c>
      <c r="B261" s="288">
        <v>602</v>
      </c>
      <c r="C261" s="288">
        <v>1</v>
      </c>
      <c r="D261" s="288">
        <f t="shared" si="7"/>
        <v>260</v>
      </c>
      <c r="E261" s="289" t="s">
        <v>52</v>
      </c>
      <c r="F261" s="290" t="s">
        <v>7262</v>
      </c>
      <c r="G261" s="291">
        <v>2000</v>
      </c>
      <c r="H261" s="292">
        <v>25</v>
      </c>
      <c r="I261" s="288">
        <v>602</v>
      </c>
      <c r="J261" s="288">
        <v>1</v>
      </c>
    </row>
    <row r="262" spans="1:10" ht="14" x14ac:dyDescent="0.3">
      <c r="A262" s="288" t="str">
        <f t="shared" si="8"/>
        <v>RS690</v>
      </c>
      <c r="B262" s="288">
        <v>690</v>
      </c>
      <c r="C262" s="288">
        <v>1</v>
      </c>
      <c r="D262" s="288">
        <f t="shared" si="7"/>
        <v>261</v>
      </c>
      <c r="E262" s="289" t="s">
        <v>52</v>
      </c>
      <c r="F262" s="290" t="s">
        <v>7263</v>
      </c>
      <c r="G262" s="291">
        <v>3000</v>
      </c>
      <c r="H262" s="292">
        <v>30</v>
      </c>
      <c r="I262" s="288">
        <v>690</v>
      </c>
      <c r="J262" s="288">
        <v>1</v>
      </c>
    </row>
    <row r="263" spans="1:10" ht="14" x14ac:dyDescent="0.3">
      <c r="A263" s="288" t="str">
        <f t="shared" si="8"/>
        <v>RS698</v>
      </c>
      <c r="B263" s="288">
        <v>698</v>
      </c>
      <c r="C263" s="288">
        <v>1</v>
      </c>
      <c r="D263" s="288">
        <f t="shared" si="7"/>
        <v>262</v>
      </c>
      <c r="E263" s="289" t="s">
        <v>52</v>
      </c>
      <c r="F263" s="290" t="s">
        <v>7264</v>
      </c>
      <c r="G263" s="291">
        <v>5000</v>
      </c>
      <c r="H263" s="292">
        <v>30</v>
      </c>
      <c r="I263" s="288">
        <v>698</v>
      </c>
      <c r="J263" s="288">
        <v>1</v>
      </c>
    </row>
    <row r="264" spans="1:10" ht="14" x14ac:dyDescent="0.3">
      <c r="A264" s="288" t="str">
        <f t="shared" si="8"/>
        <v>RS699</v>
      </c>
      <c r="B264" s="288">
        <v>699</v>
      </c>
      <c r="C264" s="288">
        <v>1</v>
      </c>
      <c r="D264" s="288">
        <f t="shared" si="7"/>
        <v>263</v>
      </c>
      <c r="E264" s="289" t="s">
        <v>52</v>
      </c>
      <c r="F264" s="290" t="s">
        <v>7266</v>
      </c>
      <c r="G264" s="291">
        <v>10000</v>
      </c>
      <c r="H264" s="292">
        <v>40</v>
      </c>
      <c r="I264" s="288">
        <v>699</v>
      </c>
      <c r="J264" s="288">
        <v>1</v>
      </c>
    </row>
    <row r="265" spans="1:10" ht="14" x14ac:dyDescent="0.3">
      <c r="A265" s="288" t="str">
        <f t="shared" si="8"/>
        <v>RS711</v>
      </c>
      <c r="B265" s="288">
        <v>711</v>
      </c>
      <c r="C265" s="288">
        <v>1</v>
      </c>
      <c r="D265" s="288">
        <f t="shared" si="7"/>
        <v>264</v>
      </c>
      <c r="E265" s="289" t="s">
        <v>52</v>
      </c>
      <c r="F265" s="290" t="s">
        <v>7267</v>
      </c>
      <c r="G265" s="291">
        <v>4000</v>
      </c>
      <c r="H265" s="292">
        <v>40</v>
      </c>
      <c r="I265" s="288">
        <v>711</v>
      </c>
      <c r="J265" s="288">
        <v>1</v>
      </c>
    </row>
    <row r="266" spans="1:10" ht="14" x14ac:dyDescent="0.3">
      <c r="A266" s="288" t="str">
        <f t="shared" si="8"/>
        <v>RS712</v>
      </c>
      <c r="B266" s="288">
        <v>712</v>
      </c>
      <c r="C266" s="288">
        <v>1</v>
      </c>
      <c r="D266" s="288">
        <f t="shared" ref="D266:D329" si="9">D265+1</f>
        <v>265</v>
      </c>
      <c r="E266" s="289" t="s">
        <v>52</v>
      </c>
      <c r="F266" s="290" t="s">
        <v>7268</v>
      </c>
      <c r="G266" s="291">
        <v>8000</v>
      </c>
      <c r="H266" s="292">
        <v>40</v>
      </c>
      <c r="I266" s="288">
        <v>712</v>
      </c>
      <c r="J266" s="288">
        <v>1</v>
      </c>
    </row>
    <row r="267" spans="1:10" ht="14" x14ac:dyDescent="0.3">
      <c r="A267" s="288" t="str">
        <f t="shared" si="8"/>
        <v>RS713</v>
      </c>
      <c r="B267" s="288">
        <v>713</v>
      </c>
      <c r="C267" s="288">
        <v>1</v>
      </c>
      <c r="D267" s="288">
        <f t="shared" si="9"/>
        <v>266</v>
      </c>
      <c r="E267" s="289" t="s">
        <v>52</v>
      </c>
      <c r="F267" s="290" t="s">
        <v>7269</v>
      </c>
      <c r="G267" s="291">
        <v>4000</v>
      </c>
      <c r="H267" s="292">
        <v>40</v>
      </c>
      <c r="I267" s="288">
        <v>713</v>
      </c>
      <c r="J267" s="288">
        <v>1</v>
      </c>
    </row>
    <row r="268" spans="1:10" ht="14" x14ac:dyDescent="0.3">
      <c r="A268" s="288" t="str">
        <f t="shared" ref="A268:A336" si="10">E268&amp;B268</f>
        <v>RS714</v>
      </c>
      <c r="B268" s="288">
        <v>714</v>
      </c>
      <c r="C268" s="288">
        <v>1</v>
      </c>
      <c r="D268" s="288">
        <f t="shared" si="9"/>
        <v>267</v>
      </c>
      <c r="E268" s="289" t="s">
        <v>52</v>
      </c>
      <c r="F268" s="290" t="s">
        <v>7270</v>
      </c>
      <c r="G268" s="291">
        <v>4000</v>
      </c>
      <c r="H268" s="292">
        <v>40</v>
      </c>
      <c r="I268" s="288">
        <v>714</v>
      </c>
      <c r="J268" s="288">
        <v>1</v>
      </c>
    </row>
    <row r="269" spans="1:10" ht="14" x14ac:dyDescent="0.3">
      <c r="A269" s="288" t="str">
        <f t="shared" si="10"/>
        <v>RS718</v>
      </c>
      <c r="B269" s="288">
        <v>718</v>
      </c>
      <c r="C269" s="288">
        <v>1</v>
      </c>
      <c r="D269" s="288">
        <f t="shared" si="9"/>
        <v>268</v>
      </c>
      <c r="E269" s="289" t="s">
        <v>52</v>
      </c>
      <c r="F269" s="290" t="s">
        <v>7271</v>
      </c>
      <c r="G269" s="291">
        <v>4000</v>
      </c>
      <c r="H269" s="292">
        <v>40</v>
      </c>
      <c r="I269" s="288">
        <v>718</v>
      </c>
      <c r="J269" s="288">
        <v>1</v>
      </c>
    </row>
    <row r="270" spans="1:10" ht="14" x14ac:dyDescent="0.3">
      <c r="A270" s="288" t="str">
        <f t="shared" si="10"/>
        <v>RS721</v>
      </c>
      <c r="B270" s="288">
        <v>721</v>
      </c>
      <c r="C270" s="288">
        <v>1</v>
      </c>
      <c r="D270" s="288">
        <f t="shared" si="9"/>
        <v>269</v>
      </c>
      <c r="E270" s="289" t="s">
        <v>52</v>
      </c>
      <c r="F270" s="290" t="s">
        <v>7272</v>
      </c>
      <c r="G270" s="291">
        <v>4000</v>
      </c>
      <c r="H270" s="292">
        <v>40</v>
      </c>
      <c r="I270" s="288">
        <v>721</v>
      </c>
      <c r="J270" s="288">
        <v>1</v>
      </c>
    </row>
    <row r="271" spans="1:10" ht="14" x14ac:dyDescent="0.3">
      <c r="A271" s="288" t="str">
        <f t="shared" si="10"/>
        <v>RS722</v>
      </c>
      <c r="B271" s="288">
        <v>722</v>
      </c>
      <c r="C271" s="288">
        <v>1</v>
      </c>
      <c r="D271" s="288">
        <f t="shared" si="9"/>
        <v>270</v>
      </c>
      <c r="E271" s="289" t="s">
        <v>52</v>
      </c>
      <c r="F271" s="290" t="s">
        <v>7273</v>
      </c>
      <c r="G271" s="291">
        <v>12000</v>
      </c>
      <c r="H271" s="292">
        <v>40</v>
      </c>
      <c r="I271" s="288">
        <v>722</v>
      </c>
      <c r="J271" s="288">
        <v>1</v>
      </c>
    </row>
    <row r="272" spans="1:10" ht="14" x14ac:dyDescent="0.3">
      <c r="A272" s="288" t="str">
        <f t="shared" si="10"/>
        <v>RS724</v>
      </c>
      <c r="B272" s="288">
        <v>724</v>
      </c>
      <c r="C272" s="288">
        <v>1</v>
      </c>
      <c r="D272" s="288">
        <f t="shared" si="9"/>
        <v>271</v>
      </c>
      <c r="E272" s="289" t="s">
        <v>52</v>
      </c>
      <c r="F272" s="290" t="s">
        <v>7274</v>
      </c>
      <c r="G272" s="291">
        <v>12000</v>
      </c>
      <c r="H272" s="292">
        <v>50</v>
      </c>
      <c r="I272" s="288">
        <v>724</v>
      </c>
      <c r="J272" s="288">
        <v>1</v>
      </c>
    </row>
    <row r="273" spans="1:10" ht="14" x14ac:dyDescent="0.3">
      <c r="A273" s="288" t="str">
        <f t="shared" si="10"/>
        <v>RS727</v>
      </c>
      <c r="B273" s="288">
        <v>727</v>
      </c>
      <c r="C273" s="288">
        <v>1</v>
      </c>
      <c r="D273" s="288">
        <f t="shared" si="9"/>
        <v>272</v>
      </c>
      <c r="E273" s="289" t="s">
        <v>52</v>
      </c>
      <c r="F273" s="290" t="s">
        <v>7275</v>
      </c>
      <c r="G273" s="291">
        <v>4000</v>
      </c>
      <c r="H273" s="292">
        <v>40</v>
      </c>
      <c r="I273" s="288">
        <v>727</v>
      </c>
      <c r="J273" s="288">
        <v>1</v>
      </c>
    </row>
    <row r="274" spans="1:10" ht="14" x14ac:dyDescent="0.3">
      <c r="A274" s="288" t="str">
        <f t="shared" si="10"/>
        <v>RS728</v>
      </c>
      <c r="B274" s="288">
        <v>728</v>
      </c>
      <c r="C274" s="288">
        <v>1</v>
      </c>
      <c r="D274" s="288">
        <f t="shared" si="9"/>
        <v>273</v>
      </c>
      <c r="E274" s="289" t="s">
        <v>52</v>
      </c>
      <c r="F274" s="290" t="s">
        <v>7276</v>
      </c>
      <c r="G274" s="291">
        <v>8000</v>
      </c>
      <c r="H274" s="292">
        <v>40</v>
      </c>
      <c r="I274" s="288">
        <v>728</v>
      </c>
      <c r="J274" s="288">
        <v>1</v>
      </c>
    </row>
    <row r="275" spans="1:10" ht="14" x14ac:dyDescent="0.3">
      <c r="A275" s="288" t="str">
        <f t="shared" si="10"/>
        <v>RS731</v>
      </c>
      <c r="B275" s="288">
        <v>731</v>
      </c>
      <c r="C275" s="288">
        <v>1</v>
      </c>
      <c r="D275" s="288">
        <f t="shared" si="9"/>
        <v>274</v>
      </c>
      <c r="E275" s="289" t="s">
        <v>52</v>
      </c>
      <c r="F275" s="290" t="s">
        <v>7277</v>
      </c>
      <c r="G275" s="291">
        <v>10000</v>
      </c>
      <c r="H275" s="292">
        <v>40</v>
      </c>
      <c r="I275" s="288">
        <v>731</v>
      </c>
      <c r="J275" s="288">
        <v>1</v>
      </c>
    </row>
    <row r="276" spans="1:10" ht="14" x14ac:dyDescent="0.3">
      <c r="A276" s="288" t="str">
        <f t="shared" si="10"/>
        <v>RS732</v>
      </c>
      <c r="B276" s="288">
        <v>732</v>
      </c>
      <c r="C276" s="288">
        <v>1</v>
      </c>
      <c r="D276" s="288">
        <f t="shared" si="9"/>
        <v>275</v>
      </c>
      <c r="E276" s="289" t="s">
        <v>52</v>
      </c>
      <c r="F276" s="290" t="s">
        <v>7278</v>
      </c>
      <c r="G276" s="291">
        <v>4000</v>
      </c>
      <c r="H276" s="292">
        <v>50</v>
      </c>
      <c r="I276" s="288">
        <v>732</v>
      </c>
      <c r="J276" s="288">
        <v>1</v>
      </c>
    </row>
    <row r="277" spans="1:10" ht="14" x14ac:dyDescent="0.3">
      <c r="A277" s="288" t="str">
        <f t="shared" si="10"/>
        <v>RS741</v>
      </c>
      <c r="B277" s="288">
        <v>741</v>
      </c>
      <c r="C277" s="288">
        <v>1</v>
      </c>
      <c r="D277" s="288">
        <f t="shared" si="9"/>
        <v>276</v>
      </c>
      <c r="E277" s="289" t="s">
        <v>52</v>
      </c>
      <c r="F277" s="290" t="s">
        <v>7279</v>
      </c>
      <c r="G277" s="291">
        <v>4000</v>
      </c>
      <c r="H277" s="292">
        <v>40</v>
      </c>
      <c r="I277" s="288">
        <v>741</v>
      </c>
      <c r="J277" s="288">
        <v>1</v>
      </c>
    </row>
    <row r="278" spans="1:10" ht="14" x14ac:dyDescent="0.3">
      <c r="A278" s="288" t="str">
        <f t="shared" si="10"/>
        <v>RS742</v>
      </c>
      <c r="B278" s="288">
        <v>742</v>
      </c>
      <c r="C278" s="288">
        <v>1</v>
      </c>
      <c r="D278" s="288">
        <f t="shared" si="9"/>
        <v>277</v>
      </c>
      <c r="E278" s="289" t="s">
        <v>52</v>
      </c>
      <c r="F278" s="290" t="s">
        <v>7280</v>
      </c>
      <c r="G278" s="291">
        <v>12000</v>
      </c>
      <c r="H278" s="292">
        <v>40</v>
      </c>
      <c r="I278" s="288">
        <v>742</v>
      </c>
      <c r="J278" s="288">
        <v>1</v>
      </c>
    </row>
    <row r="279" spans="1:10" ht="14" x14ac:dyDescent="0.3">
      <c r="A279" s="288" t="str">
        <f t="shared" si="10"/>
        <v>RS747</v>
      </c>
      <c r="B279" s="288">
        <v>747</v>
      </c>
      <c r="C279" s="288">
        <v>1</v>
      </c>
      <c r="D279" s="288">
        <f t="shared" si="9"/>
        <v>278</v>
      </c>
      <c r="E279" s="289" t="s">
        <v>52</v>
      </c>
      <c r="F279" s="290" t="s">
        <v>7281</v>
      </c>
      <c r="G279" s="291">
        <v>10000</v>
      </c>
      <c r="H279" s="292">
        <v>40</v>
      </c>
      <c r="I279" s="288">
        <v>747</v>
      </c>
      <c r="J279" s="288">
        <v>1</v>
      </c>
    </row>
    <row r="280" spans="1:10" ht="14" x14ac:dyDescent="0.3">
      <c r="A280" s="288" t="str">
        <f t="shared" si="10"/>
        <v>RS748</v>
      </c>
      <c r="B280" s="288">
        <v>748</v>
      </c>
      <c r="C280" s="288">
        <v>1</v>
      </c>
      <c r="D280" s="288">
        <f t="shared" si="9"/>
        <v>279</v>
      </c>
      <c r="E280" s="289" t="s">
        <v>52</v>
      </c>
      <c r="F280" s="290" t="s">
        <v>7282</v>
      </c>
      <c r="G280" s="291">
        <v>4000</v>
      </c>
      <c r="H280" s="292">
        <v>40</v>
      </c>
      <c r="I280" s="288">
        <v>748</v>
      </c>
      <c r="J280" s="288">
        <v>1</v>
      </c>
    </row>
    <row r="281" spans="1:10" ht="14" x14ac:dyDescent="0.3">
      <c r="A281" s="288" t="str">
        <f t="shared" si="10"/>
        <v>RS749</v>
      </c>
      <c r="B281" s="288">
        <v>749</v>
      </c>
      <c r="C281" s="288">
        <v>1</v>
      </c>
      <c r="D281" s="288">
        <f t="shared" si="9"/>
        <v>280</v>
      </c>
      <c r="E281" s="289" t="s">
        <v>52</v>
      </c>
      <c r="F281" s="290" t="s">
        <v>7283</v>
      </c>
      <c r="G281" s="291">
        <v>2000</v>
      </c>
      <c r="H281" s="292">
        <v>15</v>
      </c>
      <c r="I281" s="288">
        <v>749</v>
      </c>
      <c r="J281" s="288">
        <v>1</v>
      </c>
    </row>
    <row r="282" spans="1:10" ht="14" x14ac:dyDescent="0.3">
      <c r="A282" s="288" t="str">
        <f t="shared" si="10"/>
        <v>RS759</v>
      </c>
      <c r="B282" s="288">
        <v>759</v>
      </c>
      <c r="C282" s="288">
        <v>1</v>
      </c>
      <c r="D282" s="288">
        <f t="shared" si="9"/>
        <v>281</v>
      </c>
      <c r="E282" s="289" t="s">
        <v>52</v>
      </c>
      <c r="F282" s="290" t="s">
        <v>7284</v>
      </c>
      <c r="G282" s="291">
        <v>4000</v>
      </c>
      <c r="H282" s="292">
        <v>40</v>
      </c>
      <c r="I282" s="288">
        <v>759</v>
      </c>
      <c r="J282" s="288">
        <v>1</v>
      </c>
    </row>
    <row r="283" spans="1:10" ht="14" x14ac:dyDescent="0.3">
      <c r="A283" s="288" t="str">
        <f t="shared" si="10"/>
        <v>RS765</v>
      </c>
      <c r="B283" s="288">
        <v>765</v>
      </c>
      <c r="C283" s="288">
        <v>1</v>
      </c>
      <c r="D283" s="288">
        <f t="shared" si="9"/>
        <v>282</v>
      </c>
      <c r="E283" s="289" t="s">
        <v>52</v>
      </c>
      <c r="F283" s="290" t="s">
        <v>7285</v>
      </c>
      <c r="G283" s="291">
        <v>4000</v>
      </c>
      <c r="H283" s="292">
        <v>40</v>
      </c>
      <c r="I283" s="288">
        <v>765</v>
      </c>
      <c r="J283" s="288">
        <v>1</v>
      </c>
    </row>
    <row r="284" spans="1:10" ht="14" x14ac:dyDescent="0.3">
      <c r="A284" s="288" t="str">
        <f t="shared" si="10"/>
        <v>RS766</v>
      </c>
      <c r="B284" s="288">
        <v>766</v>
      </c>
      <c r="C284" s="288">
        <v>1</v>
      </c>
      <c r="D284" s="288">
        <f t="shared" si="9"/>
        <v>283</v>
      </c>
      <c r="E284" s="289" t="s">
        <v>52</v>
      </c>
      <c r="F284" s="290" t="s">
        <v>7286</v>
      </c>
      <c r="G284" s="291">
        <v>4000</v>
      </c>
      <c r="H284" s="292">
        <v>40</v>
      </c>
      <c r="I284" s="288">
        <v>766</v>
      </c>
      <c r="J284" s="288">
        <v>1</v>
      </c>
    </row>
    <row r="285" spans="1:10" ht="14" x14ac:dyDescent="0.3">
      <c r="A285" s="288" t="str">
        <f t="shared" si="10"/>
        <v>RS771</v>
      </c>
      <c r="B285" s="288">
        <v>771</v>
      </c>
      <c r="C285" s="288">
        <v>1</v>
      </c>
      <c r="D285" s="288">
        <f t="shared" si="9"/>
        <v>284</v>
      </c>
      <c r="E285" s="289" t="s">
        <v>52</v>
      </c>
      <c r="F285" s="290" t="s">
        <v>7287</v>
      </c>
      <c r="G285" s="291">
        <v>8000</v>
      </c>
      <c r="H285" s="292">
        <v>40</v>
      </c>
      <c r="I285" s="288">
        <v>771</v>
      </c>
      <c r="J285" s="288">
        <v>1</v>
      </c>
    </row>
    <row r="286" spans="1:10" ht="14" x14ac:dyDescent="0.3">
      <c r="A286" s="288" t="str">
        <f t="shared" si="10"/>
        <v>RS773</v>
      </c>
      <c r="B286" s="288">
        <v>773</v>
      </c>
      <c r="C286" s="288">
        <v>1</v>
      </c>
      <c r="D286" s="288">
        <f t="shared" si="9"/>
        <v>285</v>
      </c>
      <c r="E286" s="289" t="s">
        <v>52</v>
      </c>
      <c r="F286" s="290" t="s">
        <v>7288</v>
      </c>
      <c r="G286" s="291">
        <v>10000</v>
      </c>
      <c r="H286" s="292">
        <v>40</v>
      </c>
      <c r="I286" s="288">
        <v>773</v>
      </c>
      <c r="J286" s="288">
        <v>1</v>
      </c>
    </row>
    <row r="287" spans="1:10" ht="14" x14ac:dyDescent="0.3">
      <c r="A287" s="288" t="str">
        <f t="shared" si="10"/>
        <v>RS776</v>
      </c>
      <c r="B287" s="288">
        <v>776</v>
      </c>
      <c r="C287" s="288">
        <v>1</v>
      </c>
      <c r="D287" s="288">
        <f t="shared" si="9"/>
        <v>286</v>
      </c>
      <c r="E287" s="289" t="s">
        <v>52</v>
      </c>
      <c r="F287" s="290" t="s">
        <v>7289</v>
      </c>
      <c r="G287" s="291">
        <v>4000</v>
      </c>
      <c r="H287" s="292">
        <v>40</v>
      </c>
      <c r="I287" s="288">
        <v>776</v>
      </c>
      <c r="J287" s="288">
        <v>1</v>
      </c>
    </row>
    <row r="288" spans="1:10" ht="14" x14ac:dyDescent="0.3">
      <c r="A288" s="288" t="str">
        <f t="shared" si="10"/>
        <v>RS781</v>
      </c>
      <c r="B288" s="288">
        <v>781</v>
      </c>
      <c r="C288" s="288">
        <v>1</v>
      </c>
      <c r="D288" s="288">
        <f t="shared" si="9"/>
        <v>287</v>
      </c>
      <c r="E288" s="289" t="s">
        <v>52</v>
      </c>
      <c r="F288" s="290" t="s">
        <v>7290</v>
      </c>
      <c r="G288" s="291">
        <v>4000</v>
      </c>
      <c r="H288" s="292">
        <v>40</v>
      </c>
      <c r="I288" s="288">
        <v>781</v>
      </c>
      <c r="J288" s="288">
        <v>1</v>
      </c>
    </row>
    <row r="289" spans="1:10" ht="14" x14ac:dyDescent="0.3">
      <c r="A289" s="288" t="str">
        <f t="shared" si="10"/>
        <v>RS783</v>
      </c>
      <c r="B289" s="288">
        <v>783</v>
      </c>
      <c r="C289" s="288">
        <v>1</v>
      </c>
      <c r="D289" s="288">
        <f t="shared" si="9"/>
        <v>288</v>
      </c>
      <c r="E289" s="289" t="s">
        <v>52</v>
      </c>
      <c r="F289" s="290" t="s">
        <v>7291</v>
      </c>
      <c r="G289" s="291">
        <v>8000</v>
      </c>
      <c r="H289" s="292">
        <v>40</v>
      </c>
      <c r="I289" s="288">
        <v>783</v>
      </c>
      <c r="J289" s="288">
        <v>1</v>
      </c>
    </row>
    <row r="290" spans="1:10" ht="14" x14ac:dyDescent="0.3">
      <c r="A290" s="288" t="str">
        <f t="shared" si="10"/>
        <v>RS785</v>
      </c>
      <c r="B290" s="288">
        <v>785</v>
      </c>
      <c r="C290" s="288">
        <v>1</v>
      </c>
      <c r="D290" s="288">
        <f t="shared" si="9"/>
        <v>289</v>
      </c>
      <c r="E290" s="289" t="s">
        <v>52</v>
      </c>
      <c r="F290" s="290" t="s">
        <v>7292</v>
      </c>
      <c r="G290" s="291">
        <v>2000</v>
      </c>
      <c r="H290" s="292">
        <v>25</v>
      </c>
      <c r="I290" s="288">
        <v>785</v>
      </c>
      <c r="J290" s="288">
        <v>1</v>
      </c>
    </row>
    <row r="291" spans="1:10" ht="14" x14ac:dyDescent="0.3">
      <c r="A291" s="288" t="str">
        <f t="shared" si="10"/>
        <v>RS786</v>
      </c>
      <c r="B291" s="288">
        <v>786</v>
      </c>
      <c r="C291" s="288">
        <v>1</v>
      </c>
      <c r="D291" s="288">
        <f t="shared" si="9"/>
        <v>290</v>
      </c>
      <c r="E291" s="289" t="s">
        <v>52</v>
      </c>
      <c r="F291" s="290" t="s">
        <v>7293</v>
      </c>
      <c r="G291" s="291">
        <v>12000</v>
      </c>
      <c r="H291" s="292">
        <v>40</v>
      </c>
      <c r="I291" s="288">
        <v>786</v>
      </c>
      <c r="J291" s="288">
        <v>1</v>
      </c>
    </row>
    <row r="292" spans="1:10" ht="14" x14ac:dyDescent="0.3">
      <c r="A292" s="288" t="str">
        <f t="shared" si="10"/>
        <v>RS788</v>
      </c>
      <c r="B292" s="288">
        <v>788</v>
      </c>
      <c r="C292" s="288">
        <v>1</v>
      </c>
      <c r="D292" s="288">
        <f t="shared" si="9"/>
        <v>291</v>
      </c>
      <c r="E292" s="289" t="s">
        <v>52</v>
      </c>
      <c r="F292" s="290" t="s">
        <v>7294</v>
      </c>
      <c r="G292" s="291">
        <v>4000</v>
      </c>
      <c r="H292" s="292">
        <v>40</v>
      </c>
      <c r="I292" s="288">
        <v>788</v>
      </c>
      <c r="J292" s="288">
        <v>1</v>
      </c>
    </row>
    <row r="293" spans="1:10" ht="14" x14ac:dyDescent="0.3">
      <c r="A293" s="288" t="str">
        <f t="shared" si="10"/>
        <v>RS789</v>
      </c>
      <c r="B293" s="288">
        <v>789</v>
      </c>
      <c r="C293" s="288">
        <v>1</v>
      </c>
      <c r="D293" s="288">
        <f t="shared" si="9"/>
        <v>292</v>
      </c>
      <c r="E293" s="289" t="s">
        <v>52</v>
      </c>
      <c r="F293" s="290" t="s">
        <v>7295</v>
      </c>
      <c r="G293" s="291">
        <v>10000</v>
      </c>
      <c r="H293" s="292">
        <v>50</v>
      </c>
      <c r="I293" s="288">
        <v>789</v>
      </c>
      <c r="J293" s="288">
        <v>1</v>
      </c>
    </row>
    <row r="294" spans="1:10" ht="14" x14ac:dyDescent="0.3">
      <c r="A294" s="288" t="str">
        <f t="shared" si="10"/>
        <v>RS790</v>
      </c>
      <c r="B294" s="288">
        <v>790</v>
      </c>
      <c r="C294" s="288">
        <v>1</v>
      </c>
      <c r="D294" s="288">
        <f t="shared" si="9"/>
        <v>293</v>
      </c>
      <c r="E294" s="289" t="s">
        <v>52</v>
      </c>
      <c r="F294" s="290" t="s">
        <v>7296</v>
      </c>
      <c r="G294" s="291">
        <v>4000</v>
      </c>
      <c r="H294" s="292">
        <v>40</v>
      </c>
      <c r="I294" s="288">
        <v>790</v>
      </c>
      <c r="J294" s="288">
        <v>1</v>
      </c>
    </row>
    <row r="295" spans="1:10" ht="14" x14ac:dyDescent="0.3">
      <c r="A295" s="288" t="str">
        <f t="shared" si="10"/>
        <v>RS791</v>
      </c>
      <c r="B295" s="288">
        <v>791</v>
      </c>
      <c r="C295" s="288">
        <v>1</v>
      </c>
      <c r="D295" s="288">
        <f t="shared" si="9"/>
        <v>294</v>
      </c>
      <c r="E295" s="289" t="s">
        <v>52</v>
      </c>
      <c r="F295" s="290" t="s">
        <v>7297</v>
      </c>
      <c r="G295" s="291">
        <v>4000</v>
      </c>
      <c r="H295" s="292">
        <v>40</v>
      </c>
      <c r="I295" s="288">
        <v>791</v>
      </c>
      <c r="J295" s="288">
        <v>1</v>
      </c>
    </row>
    <row r="296" spans="1:10" ht="14" x14ac:dyDescent="0.3">
      <c r="A296" s="288" t="str">
        <f t="shared" si="10"/>
        <v>RS793</v>
      </c>
      <c r="B296" s="288">
        <v>793</v>
      </c>
      <c r="C296" s="288">
        <v>1</v>
      </c>
      <c r="D296" s="288">
        <f t="shared" si="9"/>
        <v>295</v>
      </c>
      <c r="E296" s="289" t="s">
        <v>52</v>
      </c>
      <c r="F296" s="290" t="s">
        <v>7298</v>
      </c>
      <c r="G296" s="291">
        <v>4000</v>
      </c>
      <c r="H296" s="292">
        <v>40</v>
      </c>
      <c r="I296" s="288">
        <v>793</v>
      </c>
      <c r="J296" s="288">
        <v>1</v>
      </c>
    </row>
    <row r="297" spans="1:10" ht="14" x14ac:dyDescent="0.3">
      <c r="A297" s="288" t="str">
        <f t="shared" si="10"/>
        <v>RS794</v>
      </c>
      <c r="B297" s="288">
        <v>794</v>
      </c>
      <c r="C297" s="288">
        <v>1</v>
      </c>
      <c r="D297" s="288">
        <f t="shared" si="9"/>
        <v>296</v>
      </c>
      <c r="E297" s="289" t="s">
        <v>52</v>
      </c>
      <c r="F297" s="290" t="s">
        <v>7299</v>
      </c>
      <c r="G297" s="291">
        <v>20000</v>
      </c>
      <c r="H297" s="292">
        <v>40</v>
      </c>
      <c r="I297" s="288">
        <v>794</v>
      </c>
      <c r="J297" s="288">
        <v>1</v>
      </c>
    </row>
    <row r="298" spans="1:10" ht="14" x14ac:dyDescent="0.3">
      <c r="A298" s="288" t="str">
        <f t="shared" si="10"/>
        <v>RS795</v>
      </c>
      <c r="B298" s="288">
        <v>795</v>
      </c>
      <c r="C298" s="288">
        <v>1</v>
      </c>
      <c r="D298" s="288">
        <f t="shared" si="9"/>
        <v>297</v>
      </c>
      <c r="E298" s="289" t="s">
        <v>52</v>
      </c>
      <c r="F298" s="290" t="s">
        <v>7300</v>
      </c>
      <c r="G298" s="291">
        <v>4000</v>
      </c>
      <c r="H298" s="292">
        <v>40</v>
      </c>
      <c r="I298" s="288">
        <v>795</v>
      </c>
      <c r="J298" s="288">
        <v>1</v>
      </c>
    </row>
    <row r="299" spans="1:10" ht="14" x14ac:dyDescent="0.3">
      <c r="A299" s="288" t="str">
        <f t="shared" si="10"/>
        <v>RS796</v>
      </c>
      <c r="B299" s="288">
        <v>796</v>
      </c>
      <c r="C299" s="288">
        <v>1</v>
      </c>
      <c r="D299" s="288">
        <f t="shared" si="9"/>
        <v>298</v>
      </c>
      <c r="E299" s="289" t="s">
        <v>52</v>
      </c>
      <c r="F299" s="290" t="s">
        <v>7301</v>
      </c>
      <c r="G299" s="291">
        <v>4000</v>
      </c>
      <c r="H299" s="292">
        <v>40</v>
      </c>
      <c r="I299" s="288">
        <v>796</v>
      </c>
      <c r="J299" s="288">
        <v>1</v>
      </c>
    </row>
    <row r="300" spans="1:10" ht="14" x14ac:dyDescent="0.3">
      <c r="A300" s="288" t="str">
        <f t="shared" si="10"/>
        <v>RS797</v>
      </c>
      <c r="B300" s="288">
        <v>797</v>
      </c>
      <c r="C300" s="288">
        <v>1</v>
      </c>
      <c r="D300" s="288">
        <f t="shared" si="9"/>
        <v>299</v>
      </c>
      <c r="E300" s="289" t="s">
        <v>52</v>
      </c>
      <c r="F300" s="290" t="s">
        <v>7302</v>
      </c>
      <c r="G300" s="291">
        <v>2000</v>
      </c>
      <c r="H300" s="292">
        <v>55</v>
      </c>
      <c r="I300" s="288">
        <v>797</v>
      </c>
      <c r="J300" s="288">
        <v>1</v>
      </c>
    </row>
    <row r="301" spans="1:10" ht="14" x14ac:dyDescent="0.3">
      <c r="A301" s="288" t="str">
        <f t="shared" si="10"/>
        <v>RS800</v>
      </c>
      <c r="B301" s="288">
        <v>800</v>
      </c>
      <c r="C301" s="288">
        <v>1</v>
      </c>
      <c r="D301" s="288">
        <f t="shared" si="9"/>
        <v>300</v>
      </c>
      <c r="E301" s="289" t="s">
        <v>52</v>
      </c>
      <c r="F301" s="290" t="s">
        <v>7303</v>
      </c>
      <c r="G301" s="291">
        <v>2000</v>
      </c>
      <c r="H301" s="292">
        <v>15</v>
      </c>
      <c r="I301" s="288">
        <v>800</v>
      </c>
      <c r="J301" s="288">
        <v>1</v>
      </c>
    </row>
    <row r="302" spans="1:10" ht="14" x14ac:dyDescent="0.3">
      <c r="A302" s="288" t="str">
        <f t="shared" si="10"/>
        <v>RS803</v>
      </c>
      <c r="B302" s="288">
        <v>803</v>
      </c>
      <c r="C302" s="288">
        <v>1</v>
      </c>
      <c r="D302" s="288">
        <f t="shared" si="9"/>
        <v>301</v>
      </c>
      <c r="E302" s="289" t="s">
        <v>52</v>
      </c>
      <c r="F302" s="290" t="s">
        <v>7304</v>
      </c>
      <c r="G302" s="291">
        <v>4000</v>
      </c>
      <c r="H302" s="292">
        <v>40</v>
      </c>
      <c r="I302" s="288">
        <v>803</v>
      </c>
      <c r="J302" s="288">
        <v>1</v>
      </c>
    </row>
    <row r="303" spans="1:10" ht="14" x14ac:dyDescent="0.3">
      <c r="A303" s="288" t="str">
        <f t="shared" si="10"/>
        <v>RS804</v>
      </c>
      <c r="B303" s="288">
        <v>804</v>
      </c>
      <c r="C303" s="288">
        <v>1</v>
      </c>
      <c r="D303" s="288">
        <f t="shared" si="9"/>
        <v>302</v>
      </c>
      <c r="E303" s="289" t="s">
        <v>52</v>
      </c>
      <c r="F303" s="290" t="s">
        <v>7305</v>
      </c>
      <c r="G303" s="291">
        <v>4000</v>
      </c>
      <c r="H303" s="292">
        <v>40</v>
      </c>
      <c r="I303" s="288">
        <v>804</v>
      </c>
      <c r="J303" s="288">
        <v>1</v>
      </c>
    </row>
    <row r="304" spans="1:10" ht="14" x14ac:dyDescent="0.3">
      <c r="A304" s="288" t="str">
        <f t="shared" si="10"/>
        <v>RS805</v>
      </c>
      <c r="B304" s="288">
        <v>805</v>
      </c>
      <c r="C304" s="288">
        <v>1</v>
      </c>
      <c r="D304" s="288">
        <f t="shared" si="9"/>
        <v>303</v>
      </c>
      <c r="E304" s="289" t="s">
        <v>52</v>
      </c>
      <c r="F304" s="290" t="s">
        <v>7306</v>
      </c>
      <c r="G304" s="291">
        <v>2000</v>
      </c>
      <c r="H304" s="292">
        <v>25</v>
      </c>
      <c r="I304" s="288">
        <v>805</v>
      </c>
      <c r="J304" s="288">
        <v>1</v>
      </c>
    </row>
    <row r="305" spans="1:10" ht="14" x14ac:dyDescent="0.3">
      <c r="A305" s="288" t="str">
        <f t="shared" si="10"/>
        <v>RS806</v>
      </c>
      <c r="B305" s="288">
        <v>806</v>
      </c>
      <c r="C305" s="288">
        <v>1</v>
      </c>
      <c r="D305" s="288">
        <f t="shared" si="9"/>
        <v>304</v>
      </c>
      <c r="E305" s="289" t="s">
        <v>52</v>
      </c>
      <c r="F305" s="290" t="s">
        <v>7307</v>
      </c>
      <c r="G305" s="291">
        <v>4000</v>
      </c>
      <c r="H305" s="292">
        <v>40</v>
      </c>
      <c r="I305" s="288">
        <v>806</v>
      </c>
      <c r="J305" s="288">
        <v>1</v>
      </c>
    </row>
    <row r="306" spans="1:10" ht="14" x14ac:dyDescent="0.3">
      <c r="A306" s="288" t="str">
        <f t="shared" si="10"/>
        <v>RS811</v>
      </c>
      <c r="B306" s="288">
        <v>811</v>
      </c>
      <c r="C306" s="288">
        <v>1</v>
      </c>
      <c r="D306" s="288">
        <f t="shared" si="9"/>
        <v>305</v>
      </c>
      <c r="E306" s="289" t="s">
        <v>52</v>
      </c>
      <c r="F306" s="290" t="s">
        <v>7308</v>
      </c>
      <c r="G306" s="291">
        <v>10000</v>
      </c>
      <c r="H306" s="292">
        <v>45</v>
      </c>
      <c r="I306" s="288">
        <v>811</v>
      </c>
      <c r="J306" s="288">
        <v>1</v>
      </c>
    </row>
    <row r="307" spans="1:10" ht="14" x14ac:dyDescent="0.3">
      <c r="A307" s="288" t="s">
        <v>7309</v>
      </c>
      <c r="B307" s="288">
        <v>813</v>
      </c>
      <c r="C307" s="288">
        <v>1</v>
      </c>
      <c r="D307" s="288">
        <f t="shared" si="9"/>
        <v>306</v>
      </c>
      <c r="E307" s="289" t="s">
        <v>52</v>
      </c>
      <c r="F307" s="290" t="s">
        <v>7310</v>
      </c>
      <c r="G307" s="291">
        <v>20000</v>
      </c>
      <c r="H307" s="292">
        <v>55</v>
      </c>
      <c r="I307" s="288">
        <v>813</v>
      </c>
      <c r="J307" s="288">
        <v>1</v>
      </c>
    </row>
    <row r="308" spans="1:10" ht="14" x14ac:dyDescent="0.3">
      <c r="A308" s="288" t="str">
        <f t="shared" si="10"/>
        <v>RS814</v>
      </c>
      <c r="B308" s="288">
        <v>814</v>
      </c>
      <c r="C308" s="288">
        <v>1</v>
      </c>
      <c r="D308" s="288">
        <f t="shared" si="9"/>
        <v>307</v>
      </c>
      <c r="E308" s="289" t="s">
        <v>52</v>
      </c>
      <c r="F308" s="290" t="s">
        <v>7311</v>
      </c>
      <c r="G308" s="291">
        <v>10000</v>
      </c>
      <c r="H308" s="292">
        <v>45</v>
      </c>
      <c r="I308" s="288">
        <v>814</v>
      </c>
      <c r="J308" s="288">
        <v>1</v>
      </c>
    </row>
    <row r="309" spans="1:10" ht="14" x14ac:dyDescent="0.3">
      <c r="A309" s="288" t="str">
        <f t="shared" si="10"/>
        <v>RS815</v>
      </c>
      <c r="B309" s="288">
        <v>815</v>
      </c>
      <c r="C309" s="288">
        <v>1</v>
      </c>
      <c r="D309" s="288">
        <f t="shared" si="9"/>
        <v>308</v>
      </c>
      <c r="E309" s="289" t="s">
        <v>52</v>
      </c>
      <c r="F309" s="290" t="s">
        <v>7312</v>
      </c>
      <c r="G309" s="291">
        <v>20000</v>
      </c>
      <c r="H309" s="292">
        <v>55</v>
      </c>
      <c r="I309" s="288">
        <v>815</v>
      </c>
      <c r="J309" s="288">
        <v>1</v>
      </c>
    </row>
    <row r="310" spans="1:10" ht="14" x14ac:dyDescent="0.3">
      <c r="A310" s="288" t="str">
        <f t="shared" si="10"/>
        <v>RS816</v>
      </c>
      <c r="B310" s="288">
        <v>816</v>
      </c>
      <c r="C310" s="288">
        <v>1</v>
      </c>
      <c r="D310" s="288">
        <f t="shared" si="9"/>
        <v>309</v>
      </c>
      <c r="E310" s="289" t="s">
        <v>52</v>
      </c>
      <c r="F310" s="290" t="s">
        <v>7313</v>
      </c>
      <c r="G310" s="291">
        <v>20000</v>
      </c>
      <c r="H310" s="292">
        <v>55</v>
      </c>
      <c r="I310" s="288">
        <v>816</v>
      </c>
      <c r="J310" s="288">
        <v>1</v>
      </c>
    </row>
    <row r="311" spans="1:10" ht="14" x14ac:dyDescent="0.3">
      <c r="A311" s="288" t="str">
        <f t="shared" si="10"/>
        <v>RS851</v>
      </c>
      <c r="B311" s="288">
        <v>851</v>
      </c>
      <c r="C311" s="288">
        <v>1</v>
      </c>
      <c r="D311" s="288">
        <f t="shared" si="9"/>
        <v>310</v>
      </c>
      <c r="E311" s="289" t="s">
        <v>52</v>
      </c>
      <c r="F311" s="290" t="s">
        <v>7314</v>
      </c>
      <c r="G311" s="291">
        <v>4000</v>
      </c>
      <c r="H311" s="292">
        <v>40</v>
      </c>
      <c r="I311" s="288">
        <v>851</v>
      </c>
      <c r="J311" s="288">
        <v>1</v>
      </c>
    </row>
    <row r="312" spans="1:10" ht="14" x14ac:dyDescent="0.3">
      <c r="A312" s="288" t="str">
        <f t="shared" si="10"/>
        <v>RS856</v>
      </c>
      <c r="B312" s="288">
        <v>856</v>
      </c>
      <c r="C312" s="288">
        <v>1</v>
      </c>
      <c r="D312" s="288">
        <f t="shared" si="9"/>
        <v>311</v>
      </c>
      <c r="E312" s="289" t="s">
        <v>52</v>
      </c>
      <c r="F312" s="290" t="s">
        <v>7315</v>
      </c>
      <c r="G312" s="291">
        <v>4000</v>
      </c>
      <c r="H312" s="292">
        <v>40</v>
      </c>
      <c r="I312" s="288">
        <v>856</v>
      </c>
      <c r="J312" s="288">
        <v>1</v>
      </c>
    </row>
    <row r="313" spans="1:10" ht="14" x14ac:dyDescent="0.3">
      <c r="A313" s="288" t="str">
        <f t="shared" si="10"/>
        <v>RS870</v>
      </c>
      <c r="B313" s="288">
        <v>870</v>
      </c>
      <c r="C313" s="288">
        <v>1</v>
      </c>
      <c r="D313" s="288">
        <f t="shared" si="9"/>
        <v>312</v>
      </c>
      <c r="E313" s="289" t="s">
        <v>52</v>
      </c>
      <c r="F313" s="290" t="s">
        <v>7316</v>
      </c>
      <c r="G313" s="291">
        <v>4000</v>
      </c>
      <c r="H313" s="292">
        <v>40</v>
      </c>
      <c r="I313" s="288">
        <v>870</v>
      </c>
      <c r="J313" s="288">
        <v>1</v>
      </c>
    </row>
    <row r="314" spans="1:10" ht="14" x14ac:dyDescent="0.3">
      <c r="A314" s="288" t="str">
        <f t="shared" si="10"/>
        <v>RS885</v>
      </c>
      <c r="B314" s="288">
        <v>885</v>
      </c>
      <c r="C314" s="288">
        <v>1</v>
      </c>
      <c r="D314" s="288">
        <f t="shared" si="9"/>
        <v>313</v>
      </c>
      <c r="E314" s="289" t="s">
        <v>52</v>
      </c>
      <c r="F314" s="290" t="s">
        <v>7317</v>
      </c>
      <c r="G314" s="291">
        <v>4000</v>
      </c>
      <c r="H314" s="292">
        <v>40</v>
      </c>
      <c r="I314" s="288">
        <v>880</v>
      </c>
      <c r="J314" s="288">
        <v>1</v>
      </c>
    </row>
    <row r="315" spans="1:10" ht="14" x14ac:dyDescent="0.3">
      <c r="A315" s="288" t="str">
        <f t="shared" si="10"/>
        <v>RS890</v>
      </c>
      <c r="B315" s="288">
        <v>890</v>
      </c>
      <c r="C315" s="288">
        <v>1</v>
      </c>
      <c r="D315" s="288">
        <f t="shared" si="9"/>
        <v>314</v>
      </c>
      <c r="E315" s="289" t="s">
        <v>52</v>
      </c>
      <c r="F315" s="290" t="s">
        <v>7318</v>
      </c>
      <c r="G315" s="291">
        <v>4000</v>
      </c>
      <c r="H315" s="292">
        <v>40</v>
      </c>
      <c r="I315" s="288">
        <v>890</v>
      </c>
      <c r="J315" s="288">
        <v>1</v>
      </c>
    </row>
    <row r="316" spans="1:10" ht="14" x14ac:dyDescent="0.3">
      <c r="A316" s="288" t="str">
        <f t="shared" si="10"/>
        <v>RS911</v>
      </c>
      <c r="B316" s="288">
        <v>911</v>
      </c>
      <c r="C316" s="288">
        <v>2</v>
      </c>
      <c r="D316" s="288">
        <f t="shared" si="9"/>
        <v>315</v>
      </c>
      <c r="E316" s="289" t="s">
        <v>52</v>
      </c>
      <c r="F316" s="290" t="s">
        <v>7319</v>
      </c>
      <c r="G316" s="291">
        <v>10000</v>
      </c>
      <c r="H316" s="292">
        <v>45</v>
      </c>
      <c r="I316" s="288">
        <v>911</v>
      </c>
      <c r="J316" s="288">
        <v>2</v>
      </c>
    </row>
    <row r="317" spans="1:10" ht="14" x14ac:dyDescent="0.3">
      <c r="A317" s="288" t="str">
        <f t="shared" si="10"/>
        <v>RS912</v>
      </c>
      <c r="B317" s="288">
        <v>912</v>
      </c>
      <c r="C317" s="288">
        <v>2</v>
      </c>
      <c r="D317" s="288">
        <f t="shared" si="9"/>
        <v>316</v>
      </c>
      <c r="E317" s="289" t="s">
        <v>52</v>
      </c>
      <c r="F317" s="290" t="s">
        <v>7320</v>
      </c>
      <c r="G317" s="291">
        <v>10000</v>
      </c>
      <c r="H317" s="292">
        <v>45</v>
      </c>
      <c r="I317" s="288">
        <v>912</v>
      </c>
      <c r="J317" s="288">
        <v>2</v>
      </c>
    </row>
    <row r="318" spans="1:10" ht="14" x14ac:dyDescent="0.3">
      <c r="A318" s="288" t="str">
        <f t="shared" si="10"/>
        <v>RS913</v>
      </c>
      <c r="B318" s="288">
        <v>913</v>
      </c>
      <c r="C318" s="288">
        <v>2</v>
      </c>
      <c r="D318" s="288">
        <f t="shared" si="9"/>
        <v>317</v>
      </c>
      <c r="E318" s="289" t="s">
        <v>52</v>
      </c>
      <c r="F318" s="290" t="s">
        <v>7321</v>
      </c>
      <c r="G318" s="291">
        <v>10000</v>
      </c>
      <c r="H318" s="292">
        <v>45</v>
      </c>
      <c r="I318" s="288">
        <v>913</v>
      </c>
      <c r="J318" s="288">
        <v>2</v>
      </c>
    </row>
    <row r="319" spans="1:10" ht="14" x14ac:dyDescent="0.3">
      <c r="A319" s="288" t="str">
        <f t="shared" si="10"/>
        <v>RS914</v>
      </c>
      <c r="B319" s="288">
        <v>914</v>
      </c>
      <c r="C319" s="288">
        <v>2</v>
      </c>
      <c r="D319" s="288">
        <f t="shared" si="9"/>
        <v>318</v>
      </c>
      <c r="E319" s="289" t="s">
        <v>52</v>
      </c>
      <c r="F319" s="290" t="s">
        <v>7322</v>
      </c>
      <c r="G319" s="291">
        <v>10000</v>
      </c>
      <c r="H319" s="292">
        <v>45</v>
      </c>
      <c r="I319" s="288">
        <v>914</v>
      </c>
      <c r="J319" s="288">
        <v>2</v>
      </c>
    </row>
    <row r="320" spans="1:10" ht="14" x14ac:dyDescent="0.3">
      <c r="A320" s="288" t="str">
        <f t="shared" si="10"/>
        <v>RS915</v>
      </c>
      <c r="B320" s="288">
        <v>915</v>
      </c>
      <c r="C320" s="288">
        <v>2</v>
      </c>
      <c r="D320" s="288">
        <f t="shared" si="9"/>
        <v>319</v>
      </c>
      <c r="E320" s="289" t="s">
        <v>52</v>
      </c>
      <c r="F320" s="290" t="s">
        <v>7323</v>
      </c>
      <c r="G320" s="291">
        <v>20000</v>
      </c>
      <c r="H320" s="292">
        <v>55</v>
      </c>
      <c r="I320" s="288">
        <v>915</v>
      </c>
      <c r="J320" s="288">
        <v>2</v>
      </c>
    </row>
    <row r="321" spans="1:10" ht="14" x14ac:dyDescent="0.3">
      <c r="A321" s="288" t="str">
        <f t="shared" si="10"/>
        <v>RS916</v>
      </c>
      <c r="B321" s="288">
        <v>916</v>
      </c>
      <c r="C321" s="288">
        <v>2</v>
      </c>
      <c r="D321" s="288">
        <f t="shared" si="9"/>
        <v>320</v>
      </c>
      <c r="E321" s="289" t="s">
        <v>52</v>
      </c>
      <c r="F321" s="290" t="s">
        <v>7324</v>
      </c>
      <c r="G321" s="291">
        <v>20000</v>
      </c>
      <c r="H321" s="292">
        <v>55</v>
      </c>
      <c r="I321" s="288">
        <v>916</v>
      </c>
      <c r="J321" s="288">
        <v>2</v>
      </c>
    </row>
    <row r="322" spans="1:10" ht="14" x14ac:dyDescent="0.3">
      <c r="A322" s="288" t="str">
        <f>E322&amp;B322</f>
        <v>RS920</v>
      </c>
      <c r="B322" s="288">
        <v>920</v>
      </c>
      <c r="C322" s="288">
        <v>2</v>
      </c>
      <c r="D322" s="288">
        <f t="shared" si="9"/>
        <v>321</v>
      </c>
      <c r="E322" s="289" t="s">
        <v>52</v>
      </c>
      <c r="F322" s="290" t="s">
        <v>7325</v>
      </c>
      <c r="G322" s="291">
        <v>4000</v>
      </c>
      <c r="H322" s="292">
        <v>40</v>
      </c>
      <c r="I322" s="288">
        <v>920</v>
      </c>
      <c r="J322" s="288">
        <v>2</v>
      </c>
    </row>
    <row r="323" spans="1:10" ht="14" x14ac:dyDescent="0.3">
      <c r="A323" s="288" t="str">
        <f t="shared" si="10"/>
        <v>RS911</v>
      </c>
      <c r="B323" s="288">
        <v>911</v>
      </c>
      <c r="C323" s="288">
        <v>3</v>
      </c>
      <c r="D323" s="288">
        <f t="shared" si="9"/>
        <v>322</v>
      </c>
      <c r="E323" s="289" t="s">
        <v>52</v>
      </c>
      <c r="F323" s="290" t="s">
        <v>7326</v>
      </c>
      <c r="G323" s="291">
        <v>10000</v>
      </c>
      <c r="H323" s="292">
        <v>45</v>
      </c>
      <c r="I323" s="288">
        <v>911</v>
      </c>
      <c r="J323" s="288">
        <v>3</v>
      </c>
    </row>
    <row r="324" spans="1:10" ht="14" x14ac:dyDescent="0.3">
      <c r="A324" s="288" t="str">
        <f t="shared" si="10"/>
        <v>RS913</v>
      </c>
      <c r="B324" s="288">
        <v>913</v>
      </c>
      <c r="C324" s="288">
        <v>3</v>
      </c>
      <c r="D324" s="288">
        <f t="shared" si="9"/>
        <v>323</v>
      </c>
      <c r="E324" s="289" t="s">
        <v>52</v>
      </c>
      <c r="F324" s="290" t="s">
        <v>7327</v>
      </c>
      <c r="G324" s="291">
        <v>10000</v>
      </c>
      <c r="H324" s="292">
        <v>45</v>
      </c>
      <c r="I324" s="288">
        <v>913</v>
      </c>
      <c r="J324" s="288">
        <v>3</v>
      </c>
    </row>
    <row r="325" spans="1:10" ht="14" x14ac:dyDescent="0.3">
      <c r="A325" s="288" t="str">
        <f t="shared" si="10"/>
        <v>RS914</v>
      </c>
      <c r="B325" s="288">
        <v>914</v>
      </c>
      <c r="C325" s="288">
        <v>3</v>
      </c>
      <c r="D325" s="288">
        <f t="shared" si="9"/>
        <v>324</v>
      </c>
      <c r="E325" s="289" t="s">
        <v>52</v>
      </c>
      <c r="F325" s="290" t="s">
        <v>7328</v>
      </c>
      <c r="G325" s="291">
        <v>10000</v>
      </c>
      <c r="H325" s="292">
        <v>45</v>
      </c>
      <c r="I325" s="288">
        <v>914</v>
      </c>
      <c r="J325" s="288">
        <v>3</v>
      </c>
    </row>
    <row r="326" spans="1:10" ht="14" x14ac:dyDescent="0.3">
      <c r="A326" s="288" t="str">
        <f t="shared" si="10"/>
        <v>RS915</v>
      </c>
      <c r="B326" s="288">
        <v>915</v>
      </c>
      <c r="C326" s="288">
        <v>3</v>
      </c>
      <c r="D326" s="288">
        <f t="shared" si="9"/>
        <v>325</v>
      </c>
      <c r="E326" s="289" t="s">
        <v>52</v>
      </c>
      <c r="F326" s="290" t="s">
        <v>7329</v>
      </c>
      <c r="G326" s="291">
        <v>20000</v>
      </c>
      <c r="H326" s="292">
        <v>55</v>
      </c>
      <c r="I326" s="288">
        <v>915</v>
      </c>
      <c r="J326" s="288">
        <v>3</v>
      </c>
    </row>
    <row r="327" spans="1:10" ht="14" x14ac:dyDescent="0.3">
      <c r="A327" s="288" t="str">
        <f t="shared" si="10"/>
        <v>RS916</v>
      </c>
      <c r="B327" s="288">
        <v>916</v>
      </c>
      <c r="C327" s="288">
        <v>3</v>
      </c>
      <c r="D327" s="288">
        <f t="shared" si="9"/>
        <v>326</v>
      </c>
      <c r="E327" s="289" t="s">
        <v>52</v>
      </c>
      <c r="F327" s="290" t="s">
        <v>7330</v>
      </c>
      <c r="G327" s="291">
        <v>20000</v>
      </c>
      <c r="H327" s="292">
        <v>55</v>
      </c>
      <c r="I327" s="288">
        <v>916</v>
      </c>
      <c r="J327" s="288">
        <v>3</v>
      </c>
    </row>
    <row r="328" spans="1:10" ht="14" x14ac:dyDescent="0.3">
      <c r="A328" s="288" t="str">
        <f t="shared" si="10"/>
        <v>RS931</v>
      </c>
      <c r="B328" s="288">
        <v>931</v>
      </c>
      <c r="C328" s="288">
        <v>1</v>
      </c>
      <c r="D328" s="288">
        <f t="shared" si="9"/>
        <v>327</v>
      </c>
      <c r="E328" s="289" t="s">
        <v>52</v>
      </c>
      <c r="F328" s="290" t="s">
        <v>7331</v>
      </c>
      <c r="G328" s="291">
        <v>15000</v>
      </c>
      <c r="H328" s="292">
        <v>65</v>
      </c>
      <c r="I328" s="288">
        <v>931</v>
      </c>
      <c r="J328" s="288">
        <v>1</v>
      </c>
    </row>
    <row r="329" spans="1:10" ht="14" x14ac:dyDescent="0.3">
      <c r="A329" s="288" t="str">
        <f t="shared" si="10"/>
        <v>RS933</v>
      </c>
      <c r="B329" s="288">
        <v>933</v>
      </c>
      <c r="C329" s="288">
        <v>1</v>
      </c>
      <c r="D329" s="288">
        <f t="shared" si="9"/>
        <v>328</v>
      </c>
      <c r="E329" s="289" t="s">
        <v>52</v>
      </c>
      <c r="F329" s="290" t="s">
        <v>7332</v>
      </c>
      <c r="G329" s="291">
        <v>15000</v>
      </c>
      <c r="H329" s="292">
        <v>65</v>
      </c>
      <c r="I329" s="288">
        <v>933</v>
      </c>
      <c r="J329" s="288">
        <v>1</v>
      </c>
    </row>
    <row r="330" spans="1:10" ht="14" x14ac:dyDescent="0.3">
      <c r="A330" s="288" t="str">
        <f t="shared" si="10"/>
        <v>RS934</v>
      </c>
      <c r="B330" s="288">
        <v>934</v>
      </c>
      <c r="C330" s="288">
        <v>1</v>
      </c>
      <c r="D330" s="288">
        <f t="shared" ref="D330:D393" si="11">D329+1</f>
        <v>329</v>
      </c>
      <c r="E330" s="289" t="s">
        <v>52</v>
      </c>
      <c r="F330" s="290" t="s">
        <v>7333</v>
      </c>
      <c r="G330" s="291">
        <v>30000</v>
      </c>
      <c r="H330" s="292">
        <v>65</v>
      </c>
      <c r="I330" s="288">
        <v>934</v>
      </c>
      <c r="J330" s="288">
        <v>1</v>
      </c>
    </row>
    <row r="331" spans="1:10" ht="14" x14ac:dyDescent="0.3">
      <c r="A331" s="288" t="str">
        <f t="shared" si="10"/>
        <v>RS935</v>
      </c>
      <c r="B331" s="288">
        <v>935</v>
      </c>
      <c r="C331" s="288">
        <v>1</v>
      </c>
      <c r="D331" s="288">
        <f t="shared" si="11"/>
        <v>330</v>
      </c>
      <c r="E331" s="289" t="s">
        <v>52</v>
      </c>
      <c r="F331" s="290" t="s">
        <v>7334</v>
      </c>
      <c r="G331" s="291">
        <v>10000</v>
      </c>
      <c r="H331" s="292">
        <v>65</v>
      </c>
      <c r="I331" s="288">
        <v>935</v>
      </c>
      <c r="J331" s="288">
        <v>1</v>
      </c>
    </row>
    <row r="332" spans="1:10" ht="14" x14ac:dyDescent="0.3">
      <c r="A332" s="288" t="str">
        <f t="shared" si="10"/>
        <v>RS936</v>
      </c>
      <c r="B332" s="288">
        <v>936</v>
      </c>
      <c r="C332" s="288">
        <v>1</v>
      </c>
      <c r="D332" s="288">
        <f t="shared" si="11"/>
        <v>331</v>
      </c>
      <c r="E332" s="289" t="s">
        <v>52</v>
      </c>
      <c r="F332" s="290" t="s">
        <v>7335</v>
      </c>
      <c r="G332" s="291">
        <v>10000</v>
      </c>
      <c r="H332" s="292">
        <v>65</v>
      </c>
      <c r="I332" s="288">
        <v>936</v>
      </c>
      <c r="J332" s="288">
        <v>1</v>
      </c>
    </row>
    <row r="333" spans="1:10" ht="14" x14ac:dyDescent="0.3">
      <c r="A333" s="288" t="str">
        <f t="shared" si="10"/>
        <v>RS939</v>
      </c>
      <c r="B333" s="288">
        <v>939</v>
      </c>
      <c r="C333" s="288">
        <v>1</v>
      </c>
      <c r="D333" s="288">
        <f t="shared" si="11"/>
        <v>332</v>
      </c>
      <c r="E333" s="289" t="s">
        <v>52</v>
      </c>
      <c r="F333" s="290" t="s">
        <v>7336</v>
      </c>
      <c r="G333" s="291">
        <v>5000</v>
      </c>
      <c r="H333" s="292">
        <v>50</v>
      </c>
      <c r="I333" s="288">
        <v>939</v>
      </c>
      <c r="J333" s="288">
        <v>1</v>
      </c>
    </row>
    <row r="334" spans="1:10" ht="14" x14ac:dyDescent="0.3">
      <c r="A334" s="288" t="str">
        <f t="shared" si="10"/>
        <v>RS941</v>
      </c>
      <c r="B334" s="288">
        <v>941</v>
      </c>
      <c r="C334" s="288">
        <v>1</v>
      </c>
      <c r="D334" s="288">
        <f t="shared" si="11"/>
        <v>333</v>
      </c>
      <c r="E334" s="289" t="s">
        <v>52</v>
      </c>
      <c r="F334" s="290" t="s">
        <v>7337</v>
      </c>
      <c r="G334" s="291">
        <v>20000</v>
      </c>
      <c r="H334" s="292">
        <v>65</v>
      </c>
      <c r="I334" s="288">
        <v>941</v>
      </c>
      <c r="J334" s="288">
        <v>1</v>
      </c>
    </row>
    <row r="335" spans="1:10" ht="14" x14ac:dyDescent="0.3">
      <c r="A335" s="288" t="str">
        <f t="shared" si="10"/>
        <v>RS942</v>
      </c>
      <c r="B335" s="288">
        <v>942</v>
      </c>
      <c r="C335" s="288">
        <v>1</v>
      </c>
      <c r="D335" s="288">
        <f t="shared" si="11"/>
        <v>334</v>
      </c>
      <c r="E335" s="289" t="s">
        <v>52</v>
      </c>
      <c r="F335" s="290" t="s">
        <v>7338</v>
      </c>
      <c r="G335" s="291">
        <v>20000</v>
      </c>
      <c r="H335" s="292">
        <v>65</v>
      </c>
      <c r="I335" s="288">
        <v>942</v>
      </c>
      <c r="J335" s="288">
        <v>1</v>
      </c>
    </row>
    <row r="336" spans="1:10" ht="14" x14ac:dyDescent="0.3">
      <c r="A336" s="288" t="str">
        <f t="shared" si="10"/>
        <v>RS951</v>
      </c>
      <c r="B336" s="288">
        <v>951</v>
      </c>
      <c r="C336" s="288">
        <v>1</v>
      </c>
      <c r="D336" s="288">
        <f t="shared" si="11"/>
        <v>335</v>
      </c>
      <c r="E336" s="289" t="s">
        <v>52</v>
      </c>
      <c r="F336" s="290" t="s">
        <v>7290</v>
      </c>
      <c r="G336" s="291">
        <v>10000</v>
      </c>
      <c r="H336" s="292">
        <v>50</v>
      </c>
      <c r="I336" s="288">
        <v>951</v>
      </c>
      <c r="J336" s="288">
        <v>1</v>
      </c>
    </row>
    <row r="337" spans="1:10" ht="14" x14ac:dyDescent="0.3">
      <c r="A337" s="288" t="str">
        <f t="shared" ref="A337:A400" si="12">E337&amp;B337</f>
        <v>RS952</v>
      </c>
      <c r="B337" s="288">
        <v>952</v>
      </c>
      <c r="C337" s="288">
        <v>1</v>
      </c>
      <c r="D337" s="288">
        <f t="shared" si="11"/>
        <v>336</v>
      </c>
      <c r="E337" s="289" t="s">
        <v>52</v>
      </c>
      <c r="F337" s="290" t="s">
        <v>7293</v>
      </c>
      <c r="G337" s="291">
        <v>10000</v>
      </c>
      <c r="H337" s="292">
        <v>50</v>
      </c>
      <c r="I337" s="288">
        <v>952</v>
      </c>
      <c r="J337" s="288">
        <v>1</v>
      </c>
    </row>
    <row r="338" spans="1:10" ht="14" x14ac:dyDescent="0.3">
      <c r="A338" s="288" t="str">
        <f t="shared" si="12"/>
        <v>RS979</v>
      </c>
      <c r="B338" s="288">
        <v>979</v>
      </c>
      <c r="C338" s="288">
        <v>1</v>
      </c>
      <c r="D338" s="288">
        <f t="shared" si="11"/>
        <v>337</v>
      </c>
      <c r="E338" s="289" t="s">
        <v>52</v>
      </c>
      <c r="F338" s="290" t="s">
        <v>7339</v>
      </c>
      <c r="G338" s="291">
        <v>10000</v>
      </c>
      <c r="H338" s="292">
        <v>50</v>
      </c>
      <c r="I338" s="288">
        <v>979</v>
      </c>
      <c r="J338" s="288">
        <v>1</v>
      </c>
    </row>
    <row r="339" spans="1:10" ht="14" x14ac:dyDescent="0.3">
      <c r="A339" s="288" t="str">
        <f t="shared" si="12"/>
        <v>RS980</v>
      </c>
      <c r="B339" s="288">
        <v>980</v>
      </c>
      <c r="C339" s="288">
        <v>5</v>
      </c>
      <c r="D339" s="288">
        <f t="shared" si="11"/>
        <v>338</v>
      </c>
      <c r="E339" s="289" t="s">
        <v>52</v>
      </c>
      <c r="F339" s="290" t="s">
        <v>7340</v>
      </c>
      <c r="G339" s="291">
        <v>8000</v>
      </c>
      <c r="H339" s="292">
        <v>55</v>
      </c>
      <c r="I339" s="288">
        <v>980</v>
      </c>
      <c r="J339" s="288">
        <v>5</v>
      </c>
    </row>
    <row r="340" spans="1:10" ht="14" x14ac:dyDescent="0.3">
      <c r="A340" s="288" t="str">
        <f t="shared" si="12"/>
        <v>RS981</v>
      </c>
      <c r="B340" s="288">
        <v>981</v>
      </c>
      <c r="C340" s="288">
        <v>5</v>
      </c>
      <c r="D340" s="288">
        <f t="shared" si="11"/>
        <v>339</v>
      </c>
      <c r="E340" s="289" t="s">
        <v>52</v>
      </c>
      <c r="F340" s="290" t="s">
        <v>7341</v>
      </c>
      <c r="G340" s="291">
        <v>8000</v>
      </c>
      <c r="H340" s="292">
        <v>55</v>
      </c>
      <c r="I340" s="288">
        <v>981</v>
      </c>
      <c r="J340" s="288">
        <v>5</v>
      </c>
    </row>
    <row r="341" spans="1:10" ht="14" x14ac:dyDescent="0.3">
      <c r="A341" s="288" t="str">
        <f t="shared" si="12"/>
        <v>RS982</v>
      </c>
      <c r="B341" s="288">
        <v>982</v>
      </c>
      <c r="C341" s="288">
        <v>5</v>
      </c>
      <c r="D341" s="288">
        <f t="shared" si="11"/>
        <v>340</v>
      </c>
      <c r="E341" s="289" t="s">
        <v>52</v>
      </c>
      <c r="F341" s="290" t="s">
        <v>7342</v>
      </c>
      <c r="G341" s="291">
        <v>8000</v>
      </c>
      <c r="H341" s="292">
        <v>40</v>
      </c>
      <c r="I341" s="288">
        <v>982</v>
      </c>
      <c r="J341" s="288">
        <v>5</v>
      </c>
    </row>
    <row r="342" spans="1:10" ht="14" x14ac:dyDescent="0.3">
      <c r="A342" s="288" t="str">
        <f t="shared" si="12"/>
        <v>RS983</v>
      </c>
      <c r="B342" s="288">
        <v>983</v>
      </c>
      <c r="C342" s="288">
        <v>6</v>
      </c>
      <c r="D342" s="288">
        <f t="shared" si="11"/>
        <v>341</v>
      </c>
      <c r="E342" s="289" t="s">
        <v>52</v>
      </c>
      <c r="F342" s="290" t="s">
        <v>7343</v>
      </c>
      <c r="G342" s="291">
        <v>10000</v>
      </c>
      <c r="H342" s="292">
        <v>55</v>
      </c>
      <c r="I342" s="288">
        <v>983</v>
      </c>
      <c r="J342" s="288">
        <v>6</v>
      </c>
    </row>
    <row r="343" spans="1:10" ht="14" x14ac:dyDescent="0.3">
      <c r="A343" s="288" t="str">
        <f t="shared" si="12"/>
        <v>RS983</v>
      </c>
      <c r="B343" s="288">
        <v>983</v>
      </c>
      <c r="C343" s="288">
        <v>7</v>
      </c>
      <c r="D343" s="288">
        <f t="shared" si="11"/>
        <v>342</v>
      </c>
      <c r="E343" s="289" t="s">
        <v>52</v>
      </c>
      <c r="F343" s="290" t="s">
        <v>7344</v>
      </c>
      <c r="G343" s="291">
        <v>10000</v>
      </c>
      <c r="H343" s="292">
        <v>55</v>
      </c>
      <c r="I343" s="288">
        <v>983</v>
      </c>
      <c r="J343" s="288">
        <v>7</v>
      </c>
    </row>
    <row r="344" spans="1:10" ht="14" x14ac:dyDescent="0.3">
      <c r="A344" s="288" t="str">
        <f t="shared" si="12"/>
        <v>RS994</v>
      </c>
      <c r="B344" s="288">
        <v>994</v>
      </c>
      <c r="C344" s="288">
        <v>8</v>
      </c>
      <c r="D344" s="288">
        <f t="shared" si="11"/>
        <v>343</v>
      </c>
      <c r="E344" s="289" t="s">
        <v>52</v>
      </c>
      <c r="F344" s="290" t="s">
        <v>7345</v>
      </c>
      <c r="G344" s="291">
        <v>500</v>
      </c>
      <c r="H344" s="292">
        <v>35</v>
      </c>
      <c r="I344" s="288">
        <v>994</v>
      </c>
      <c r="J344" s="288">
        <v>8</v>
      </c>
    </row>
    <row r="345" spans="1:10" ht="14" x14ac:dyDescent="0.3">
      <c r="A345" s="288" t="str">
        <f t="shared" si="12"/>
        <v>RS995</v>
      </c>
      <c r="B345" s="288">
        <v>995</v>
      </c>
      <c r="C345" s="288">
        <v>8</v>
      </c>
      <c r="D345" s="288">
        <f t="shared" si="11"/>
        <v>344</v>
      </c>
      <c r="E345" s="289" t="s">
        <v>52</v>
      </c>
      <c r="F345" s="290" t="s">
        <v>7346</v>
      </c>
      <c r="G345" s="291">
        <v>500</v>
      </c>
      <c r="H345" s="292">
        <v>35</v>
      </c>
      <c r="I345" s="288">
        <v>995</v>
      </c>
      <c r="J345" s="288">
        <v>8</v>
      </c>
    </row>
    <row r="346" spans="1:10" ht="14" x14ac:dyDescent="0.3">
      <c r="A346" s="288" t="str">
        <f t="shared" si="12"/>
        <v>RS996</v>
      </c>
      <c r="B346" s="288">
        <v>996</v>
      </c>
      <c r="C346" s="288">
        <v>8</v>
      </c>
      <c r="D346" s="288">
        <f t="shared" si="11"/>
        <v>345</v>
      </c>
      <c r="E346" s="289" t="s">
        <v>52</v>
      </c>
      <c r="F346" s="290" t="s">
        <v>7347</v>
      </c>
      <c r="G346" s="291">
        <v>500</v>
      </c>
      <c r="H346" s="292">
        <v>35</v>
      </c>
      <c r="I346" s="288">
        <v>996</v>
      </c>
      <c r="J346" s="288">
        <v>8</v>
      </c>
    </row>
    <row r="347" spans="1:10" ht="14" x14ac:dyDescent="0.3">
      <c r="A347" s="288" t="str">
        <f t="shared" si="12"/>
        <v>RS997</v>
      </c>
      <c r="B347" s="288">
        <v>997</v>
      </c>
      <c r="C347" s="288">
        <v>8</v>
      </c>
      <c r="D347" s="288">
        <f t="shared" si="11"/>
        <v>346</v>
      </c>
      <c r="E347" s="289" t="s">
        <v>52</v>
      </c>
      <c r="F347" s="290" t="s">
        <v>7348</v>
      </c>
      <c r="G347" s="291">
        <v>4000</v>
      </c>
      <c r="H347" s="292">
        <v>45</v>
      </c>
      <c r="I347" s="288">
        <v>997</v>
      </c>
      <c r="J347" s="288">
        <v>8</v>
      </c>
    </row>
    <row r="348" spans="1:10" ht="14" x14ac:dyDescent="0.3">
      <c r="A348" s="293" t="str">
        <f t="shared" si="12"/>
        <v>TSR260</v>
      </c>
      <c r="B348" s="293">
        <v>260</v>
      </c>
      <c r="C348" s="293">
        <v>1</v>
      </c>
      <c r="D348" s="288">
        <f t="shared" si="11"/>
        <v>347</v>
      </c>
      <c r="E348" s="294" t="s">
        <v>1381</v>
      </c>
      <c r="F348" s="295" t="s">
        <v>7349</v>
      </c>
      <c r="G348" s="296">
        <v>10000</v>
      </c>
      <c r="H348" s="297">
        <v>40</v>
      </c>
      <c r="I348" s="293">
        <v>260</v>
      </c>
      <c r="J348" s="293">
        <v>1</v>
      </c>
    </row>
    <row r="349" spans="1:10" ht="14" x14ac:dyDescent="0.3">
      <c r="A349" s="293" t="str">
        <f t="shared" si="12"/>
        <v>TSR281</v>
      </c>
      <c r="B349" s="293">
        <v>281</v>
      </c>
      <c r="C349" s="293">
        <v>1</v>
      </c>
      <c r="D349" s="288">
        <f t="shared" si="11"/>
        <v>348</v>
      </c>
      <c r="E349" s="294" t="s">
        <v>1381</v>
      </c>
      <c r="F349" s="295" t="s">
        <v>7350</v>
      </c>
      <c r="G349" s="296">
        <v>10000</v>
      </c>
      <c r="H349" s="297">
        <v>40</v>
      </c>
      <c r="I349" s="293">
        <v>281</v>
      </c>
      <c r="J349" s="293">
        <v>1</v>
      </c>
    </row>
    <row r="350" spans="1:10" ht="14" x14ac:dyDescent="0.3">
      <c r="A350" s="293" t="str">
        <f t="shared" si="12"/>
        <v>TSR282</v>
      </c>
      <c r="B350" s="293">
        <v>282</v>
      </c>
      <c r="C350" s="293">
        <v>1</v>
      </c>
      <c r="D350" s="288">
        <f t="shared" si="11"/>
        <v>349</v>
      </c>
      <c r="E350" s="294" t="s">
        <v>1381</v>
      </c>
      <c r="F350" s="295" t="s">
        <v>7351</v>
      </c>
      <c r="G350" s="296">
        <v>10000</v>
      </c>
      <c r="H350" s="297">
        <v>40</v>
      </c>
      <c r="I350" s="293">
        <v>282</v>
      </c>
      <c r="J350" s="293">
        <v>1</v>
      </c>
    </row>
    <row r="351" spans="1:10" ht="14" x14ac:dyDescent="0.3">
      <c r="A351" s="293" t="str">
        <f t="shared" si="12"/>
        <v>TSR283</v>
      </c>
      <c r="B351" s="293">
        <v>283</v>
      </c>
      <c r="C351" s="293">
        <v>1</v>
      </c>
      <c r="D351" s="288">
        <f t="shared" si="11"/>
        <v>350</v>
      </c>
      <c r="E351" s="294" t="s">
        <v>1381</v>
      </c>
      <c r="F351" s="295" t="s">
        <v>7352</v>
      </c>
      <c r="G351" s="296">
        <v>10000</v>
      </c>
      <c r="H351" s="297">
        <v>40</v>
      </c>
      <c r="I351" s="293">
        <v>283</v>
      </c>
      <c r="J351" s="293">
        <v>1</v>
      </c>
    </row>
    <row r="352" spans="1:10" ht="14" x14ac:dyDescent="0.3">
      <c r="A352" s="293" t="str">
        <f t="shared" si="12"/>
        <v>TSR284</v>
      </c>
      <c r="B352" s="293">
        <v>284</v>
      </c>
      <c r="C352" s="293">
        <v>1</v>
      </c>
      <c r="D352" s="288">
        <f t="shared" si="11"/>
        <v>351</v>
      </c>
      <c r="E352" s="294" t="s">
        <v>1381</v>
      </c>
      <c r="F352" s="295" t="s">
        <v>7353</v>
      </c>
      <c r="G352" s="296">
        <v>10000</v>
      </c>
      <c r="H352" s="297">
        <v>40</v>
      </c>
      <c r="I352" s="293">
        <v>284</v>
      </c>
      <c r="J352" s="293">
        <v>1</v>
      </c>
    </row>
    <row r="353" spans="1:10" ht="14" x14ac:dyDescent="0.3">
      <c r="A353" s="293" t="str">
        <f t="shared" si="12"/>
        <v>TSR514</v>
      </c>
      <c r="B353" s="293">
        <v>514</v>
      </c>
      <c r="C353" s="293">
        <v>1</v>
      </c>
      <c r="D353" s="288">
        <f t="shared" si="11"/>
        <v>352</v>
      </c>
      <c r="E353" s="294" t="s">
        <v>1381</v>
      </c>
      <c r="F353" s="295" t="s">
        <v>7354</v>
      </c>
      <c r="G353" s="296">
        <v>10000</v>
      </c>
      <c r="H353" s="297">
        <v>40</v>
      </c>
      <c r="I353" s="293">
        <v>514</v>
      </c>
      <c r="J353" s="293">
        <v>1</v>
      </c>
    </row>
    <row r="354" spans="1:10" ht="14" x14ac:dyDescent="0.3">
      <c r="A354" s="293" t="str">
        <f t="shared" si="12"/>
        <v>TSR515</v>
      </c>
      <c r="B354" s="293">
        <v>515</v>
      </c>
      <c r="C354" s="293">
        <v>1</v>
      </c>
      <c r="D354" s="288">
        <f t="shared" si="11"/>
        <v>353</v>
      </c>
      <c r="E354" s="294" t="s">
        <v>1381</v>
      </c>
      <c r="F354" s="295" t="s">
        <v>7355</v>
      </c>
      <c r="G354" s="296">
        <v>10000</v>
      </c>
      <c r="H354" s="297">
        <v>40</v>
      </c>
      <c r="I354" s="293">
        <v>515</v>
      </c>
      <c r="J354" s="293">
        <v>1</v>
      </c>
    </row>
    <row r="355" spans="1:10" ht="14" x14ac:dyDescent="0.3">
      <c r="A355" s="293" t="str">
        <f t="shared" si="12"/>
        <v>TSR521</v>
      </c>
      <c r="B355" s="293">
        <v>521</v>
      </c>
      <c r="C355" s="293">
        <v>1</v>
      </c>
      <c r="D355" s="288">
        <f t="shared" si="11"/>
        <v>354</v>
      </c>
      <c r="E355" s="294" t="s">
        <v>1381</v>
      </c>
      <c r="F355" s="295" t="s">
        <v>7356</v>
      </c>
      <c r="G355" s="296">
        <v>10000</v>
      </c>
      <c r="H355" s="297">
        <v>40</v>
      </c>
      <c r="I355" s="293">
        <v>521</v>
      </c>
      <c r="J355" s="293">
        <v>1</v>
      </c>
    </row>
    <row r="356" spans="1:10" ht="14" x14ac:dyDescent="0.3">
      <c r="A356" s="293" t="str">
        <f t="shared" si="12"/>
        <v>TSR525</v>
      </c>
      <c r="B356" s="293">
        <v>525</v>
      </c>
      <c r="C356" s="293">
        <v>1</v>
      </c>
      <c r="D356" s="288">
        <f t="shared" si="11"/>
        <v>355</v>
      </c>
      <c r="E356" s="294" t="s">
        <v>1381</v>
      </c>
      <c r="F356" s="295" t="s">
        <v>7357</v>
      </c>
      <c r="G356" s="296">
        <v>10000</v>
      </c>
      <c r="H356" s="297">
        <v>40</v>
      </c>
      <c r="I356" s="293">
        <v>525</v>
      </c>
      <c r="J356" s="293">
        <v>1</v>
      </c>
    </row>
    <row r="357" spans="1:10" ht="14" x14ac:dyDescent="0.3">
      <c r="A357" s="293" t="str">
        <f t="shared" si="12"/>
        <v>TSR528</v>
      </c>
      <c r="B357" s="293">
        <v>528</v>
      </c>
      <c r="C357" s="293">
        <v>1</v>
      </c>
      <c r="D357" s="288">
        <f t="shared" si="11"/>
        <v>356</v>
      </c>
      <c r="E357" s="294" t="s">
        <v>1381</v>
      </c>
      <c r="F357" s="295" t="s">
        <v>7358</v>
      </c>
      <c r="G357" s="296">
        <v>10000</v>
      </c>
      <c r="H357" s="297">
        <v>40</v>
      </c>
      <c r="I357" s="293">
        <v>528</v>
      </c>
      <c r="J357" s="293">
        <v>1</v>
      </c>
    </row>
    <row r="358" spans="1:10" ht="14" x14ac:dyDescent="0.3">
      <c r="A358" s="293" t="str">
        <f t="shared" si="12"/>
        <v>TSR535</v>
      </c>
      <c r="B358" s="293">
        <v>535</v>
      </c>
      <c r="C358" s="293">
        <v>1</v>
      </c>
      <c r="D358" s="288">
        <f t="shared" si="11"/>
        <v>357</v>
      </c>
      <c r="E358" s="294" t="s">
        <v>1381</v>
      </c>
      <c r="F358" s="295" t="s">
        <v>7359</v>
      </c>
      <c r="G358" s="296">
        <v>10000</v>
      </c>
      <c r="H358" s="297">
        <v>40</v>
      </c>
      <c r="I358" s="293">
        <v>535</v>
      </c>
      <c r="J358" s="293">
        <v>1</v>
      </c>
    </row>
    <row r="359" spans="1:10" ht="14" x14ac:dyDescent="0.3">
      <c r="A359" s="293" t="str">
        <f t="shared" si="12"/>
        <v>TSR550</v>
      </c>
      <c r="B359" s="293">
        <v>550</v>
      </c>
      <c r="C359" s="293">
        <v>1</v>
      </c>
      <c r="D359" s="288">
        <f t="shared" si="11"/>
        <v>358</v>
      </c>
      <c r="E359" s="294" t="s">
        <v>1381</v>
      </c>
      <c r="F359" s="295" t="s">
        <v>7360</v>
      </c>
      <c r="G359" s="296">
        <v>10000</v>
      </c>
      <c r="H359" s="297">
        <v>40</v>
      </c>
      <c r="I359" s="293">
        <v>550</v>
      </c>
      <c r="J359" s="293">
        <v>1</v>
      </c>
    </row>
    <row r="360" spans="1:10" ht="14" x14ac:dyDescent="0.3">
      <c r="A360" s="293" t="str">
        <f t="shared" si="12"/>
        <v>TSR580</v>
      </c>
      <c r="B360" s="293">
        <v>580</v>
      </c>
      <c r="C360" s="293">
        <v>1</v>
      </c>
      <c r="D360" s="288">
        <f t="shared" si="11"/>
        <v>359</v>
      </c>
      <c r="E360" s="294" t="s">
        <v>1381</v>
      </c>
      <c r="F360" s="295" t="s">
        <v>7361</v>
      </c>
      <c r="G360" s="296">
        <v>10000</v>
      </c>
      <c r="H360" s="297">
        <v>40</v>
      </c>
      <c r="I360" s="293">
        <v>580</v>
      </c>
      <c r="J360" s="293">
        <v>1</v>
      </c>
    </row>
    <row r="361" spans="1:10" ht="14" x14ac:dyDescent="0.3">
      <c r="A361" s="293" t="str">
        <f t="shared" si="12"/>
        <v>TSR591</v>
      </c>
      <c r="B361" s="293">
        <v>591</v>
      </c>
      <c r="C361" s="293">
        <v>1</v>
      </c>
      <c r="D361" s="288">
        <f t="shared" si="11"/>
        <v>360</v>
      </c>
      <c r="E361" s="294" t="s">
        <v>1381</v>
      </c>
      <c r="F361" s="295" t="s">
        <v>7362</v>
      </c>
      <c r="G361" s="296">
        <v>10000</v>
      </c>
      <c r="H361" s="297">
        <v>40</v>
      </c>
      <c r="I361" s="293">
        <v>591</v>
      </c>
      <c r="J361" s="293">
        <v>1</v>
      </c>
    </row>
    <row r="362" spans="1:10" ht="14" x14ac:dyDescent="0.3">
      <c r="A362" s="293" t="str">
        <f t="shared" si="12"/>
        <v>TSR594</v>
      </c>
      <c r="B362" s="293">
        <v>594</v>
      </c>
      <c r="C362" s="293">
        <v>1</v>
      </c>
      <c r="D362" s="288">
        <f t="shared" si="11"/>
        <v>361</v>
      </c>
      <c r="E362" s="294" t="s">
        <v>1381</v>
      </c>
      <c r="F362" s="295" t="s">
        <v>7363</v>
      </c>
      <c r="G362" s="296">
        <v>10000</v>
      </c>
      <c r="H362" s="297">
        <v>40</v>
      </c>
      <c r="I362" s="293">
        <v>594</v>
      </c>
      <c r="J362" s="293">
        <v>1</v>
      </c>
    </row>
    <row r="363" spans="1:10" ht="14" x14ac:dyDescent="0.3">
      <c r="A363" s="293" t="str">
        <f t="shared" si="12"/>
        <v>TSR595</v>
      </c>
      <c r="B363" s="293">
        <v>595</v>
      </c>
      <c r="C363" s="293">
        <v>1</v>
      </c>
      <c r="D363" s="288">
        <f t="shared" si="11"/>
        <v>362</v>
      </c>
      <c r="E363" s="294" t="s">
        <v>1381</v>
      </c>
      <c r="F363" s="295" t="s">
        <v>7364</v>
      </c>
      <c r="G363" s="296">
        <v>10000</v>
      </c>
      <c r="H363" s="297">
        <v>40</v>
      </c>
      <c r="I363" s="293">
        <v>595</v>
      </c>
      <c r="J363" s="293">
        <v>1</v>
      </c>
    </row>
    <row r="364" spans="1:10" ht="14" x14ac:dyDescent="0.3">
      <c r="A364" s="293" t="str">
        <f t="shared" si="12"/>
        <v>TSR596</v>
      </c>
      <c r="B364" s="293">
        <v>596</v>
      </c>
      <c r="C364" s="293">
        <v>1</v>
      </c>
      <c r="D364" s="288">
        <f t="shared" si="11"/>
        <v>363</v>
      </c>
      <c r="E364" s="294" t="s">
        <v>1381</v>
      </c>
      <c r="F364" s="295" t="s">
        <v>7365</v>
      </c>
      <c r="G364" s="296">
        <v>10000</v>
      </c>
      <c r="H364" s="297">
        <v>40</v>
      </c>
      <c r="I364" s="293">
        <v>596</v>
      </c>
      <c r="J364" s="293">
        <v>1</v>
      </c>
    </row>
    <row r="365" spans="1:10" ht="14" x14ac:dyDescent="0.3">
      <c r="A365" s="293" t="str">
        <f t="shared" si="12"/>
        <v>TSR597</v>
      </c>
      <c r="B365" s="293">
        <v>597</v>
      </c>
      <c r="C365" s="293">
        <v>1</v>
      </c>
      <c r="D365" s="288">
        <f t="shared" si="11"/>
        <v>364</v>
      </c>
      <c r="E365" s="294" t="s">
        <v>1381</v>
      </c>
      <c r="F365" s="295" t="s">
        <v>7366</v>
      </c>
      <c r="G365" s="296">
        <v>10000</v>
      </c>
      <c r="H365" s="297">
        <v>40</v>
      </c>
      <c r="I365" s="293">
        <v>597</v>
      </c>
      <c r="J365" s="293">
        <v>1</v>
      </c>
    </row>
    <row r="366" spans="1:10" ht="14" x14ac:dyDescent="0.3">
      <c r="A366" s="293" t="str">
        <f t="shared" si="12"/>
        <v>TSR696</v>
      </c>
      <c r="B366" s="293">
        <v>696</v>
      </c>
      <c r="C366" s="293">
        <v>1</v>
      </c>
      <c r="D366" s="288">
        <f t="shared" si="11"/>
        <v>365</v>
      </c>
      <c r="E366" s="294" t="s">
        <v>1381</v>
      </c>
      <c r="F366" s="295" t="s">
        <v>7367</v>
      </c>
      <c r="G366" s="296">
        <v>10000</v>
      </c>
      <c r="H366" s="297">
        <v>40</v>
      </c>
      <c r="I366" s="293">
        <v>696</v>
      </c>
      <c r="J366" s="293">
        <v>1</v>
      </c>
    </row>
    <row r="367" spans="1:10" ht="14" x14ac:dyDescent="0.3">
      <c r="A367" s="293" t="str">
        <f t="shared" si="12"/>
        <v>TSR697</v>
      </c>
      <c r="B367" s="293">
        <v>697</v>
      </c>
      <c r="C367" s="293">
        <v>1</v>
      </c>
      <c r="D367" s="288">
        <f t="shared" si="11"/>
        <v>366</v>
      </c>
      <c r="E367" s="294" t="s">
        <v>1381</v>
      </c>
      <c r="F367" s="295" t="s">
        <v>7368</v>
      </c>
      <c r="G367" s="296">
        <v>10000</v>
      </c>
      <c r="H367" s="297">
        <v>40</v>
      </c>
      <c r="I367" s="293">
        <v>697</v>
      </c>
      <c r="J367" s="293">
        <v>1</v>
      </c>
    </row>
    <row r="368" spans="1:10" ht="14" x14ac:dyDescent="0.3">
      <c r="A368" s="293" t="str">
        <f t="shared" si="12"/>
        <v>TSR698</v>
      </c>
      <c r="B368" s="293">
        <v>698</v>
      </c>
      <c r="C368" s="293">
        <v>1</v>
      </c>
      <c r="D368" s="288">
        <f t="shared" si="11"/>
        <v>367</v>
      </c>
      <c r="E368" s="294" t="s">
        <v>1381</v>
      </c>
      <c r="F368" s="295" t="s">
        <v>7369</v>
      </c>
      <c r="G368" s="296">
        <v>10000</v>
      </c>
      <c r="H368" s="297">
        <v>50</v>
      </c>
      <c r="I368" s="293">
        <v>698</v>
      </c>
      <c r="J368" s="293">
        <v>1</v>
      </c>
    </row>
    <row r="369" spans="1:10" ht="14" x14ac:dyDescent="0.3">
      <c r="A369" s="293" t="str">
        <f t="shared" si="12"/>
        <v>TSR716</v>
      </c>
      <c r="B369" s="293">
        <v>716</v>
      </c>
      <c r="C369" s="293">
        <v>1</v>
      </c>
      <c r="D369" s="288">
        <f t="shared" si="11"/>
        <v>368</v>
      </c>
      <c r="E369" s="294" t="s">
        <v>1381</v>
      </c>
      <c r="F369" s="295" t="s">
        <v>7370</v>
      </c>
      <c r="G369" s="296">
        <v>10000</v>
      </c>
      <c r="H369" s="297">
        <v>40</v>
      </c>
      <c r="I369" s="293">
        <v>716</v>
      </c>
      <c r="J369" s="293">
        <v>1</v>
      </c>
    </row>
    <row r="370" spans="1:10" ht="14" x14ac:dyDescent="0.3">
      <c r="A370" s="293" t="str">
        <f t="shared" si="12"/>
        <v>TSR717</v>
      </c>
      <c r="B370" s="293">
        <v>717</v>
      </c>
      <c r="C370" s="293">
        <v>1</v>
      </c>
      <c r="D370" s="288">
        <f t="shared" si="11"/>
        <v>369</v>
      </c>
      <c r="E370" s="294" t="s">
        <v>1381</v>
      </c>
      <c r="F370" s="295" t="s">
        <v>7371</v>
      </c>
      <c r="G370" s="296">
        <v>10000</v>
      </c>
      <c r="H370" s="297">
        <v>40</v>
      </c>
      <c r="I370" s="293">
        <v>717</v>
      </c>
      <c r="J370" s="293">
        <v>1</v>
      </c>
    </row>
    <row r="371" spans="1:10" ht="14" x14ac:dyDescent="0.3">
      <c r="A371" s="293" t="str">
        <f t="shared" si="12"/>
        <v>TSR723</v>
      </c>
      <c r="B371" s="293">
        <v>723</v>
      </c>
      <c r="C371" s="293">
        <v>1</v>
      </c>
      <c r="D371" s="288">
        <f t="shared" si="11"/>
        <v>370</v>
      </c>
      <c r="E371" s="294" t="s">
        <v>1381</v>
      </c>
      <c r="F371" s="295" t="s">
        <v>7372</v>
      </c>
      <c r="G371" s="296">
        <v>10000</v>
      </c>
      <c r="H371" s="297">
        <v>40</v>
      </c>
      <c r="I371" s="293">
        <v>723</v>
      </c>
      <c r="J371" s="293">
        <v>1</v>
      </c>
    </row>
    <row r="372" spans="1:10" ht="14" x14ac:dyDescent="0.3">
      <c r="A372" s="293" t="str">
        <f t="shared" si="12"/>
        <v>TSR726</v>
      </c>
      <c r="B372" s="293">
        <v>726</v>
      </c>
      <c r="C372" s="293">
        <v>1</v>
      </c>
      <c r="D372" s="288">
        <f t="shared" si="11"/>
        <v>371</v>
      </c>
      <c r="E372" s="294" t="s">
        <v>1381</v>
      </c>
      <c r="F372" s="295" t="s">
        <v>7373</v>
      </c>
      <c r="G372" s="296">
        <v>10000</v>
      </c>
      <c r="H372" s="297">
        <v>40</v>
      </c>
      <c r="I372" s="293">
        <v>726</v>
      </c>
      <c r="J372" s="293">
        <v>1</v>
      </c>
    </row>
    <row r="373" spans="1:10" ht="14" x14ac:dyDescent="0.3">
      <c r="A373" s="293" t="str">
        <f t="shared" si="12"/>
        <v>TSR733</v>
      </c>
      <c r="B373" s="293">
        <v>733</v>
      </c>
      <c r="C373" s="293">
        <v>1</v>
      </c>
      <c r="D373" s="288">
        <f t="shared" si="11"/>
        <v>372</v>
      </c>
      <c r="E373" s="294" t="s">
        <v>1381</v>
      </c>
      <c r="F373" s="295" t="s">
        <v>7374</v>
      </c>
      <c r="G373" s="296">
        <v>10000</v>
      </c>
      <c r="H373" s="297">
        <v>40</v>
      </c>
      <c r="I373" s="293">
        <v>733</v>
      </c>
      <c r="J373" s="293">
        <v>1</v>
      </c>
    </row>
    <row r="374" spans="1:10" ht="14" x14ac:dyDescent="0.3">
      <c r="A374" s="293" t="str">
        <f t="shared" si="12"/>
        <v>TSR734</v>
      </c>
      <c r="B374" s="293">
        <v>734</v>
      </c>
      <c r="C374" s="293">
        <v>1</v>
      </c>
      <c r="D374" s="288">
        <f t="shared" si="11"/>
        <v>373</v>
      </c>
      <c r="E374" s="294" t="s">
        <v>1381</v>
      </c>
      <c r="F374" s="295" t="s">
        <v>7375</v>
      </c>
      <c r="G374" s="296">
        <v>10000</v>
      </c>
      <c r="H374" s="297">
        <v>40</v>
      </c>
      <c r="I374" s="293">
        <v>734</v>
      </c>
      <c r="J374" s="293">
        <v>1</v>
      </c>
    </row>
    <row r="375" spans="1:10" ht="14" x14ac:dyDescent="0.3">
      <c r="A375" s="293" t="str">
        <f t="shared" si="12"/>
        <v>TSR741</v>
      </c>
      <c r="B375" s="293">
        <v>741</v>
      </c>
      <c r="C375" s="293">
        <v>1</v>
      </c>
      <c r="D375" s="288">
        <f t="shared" si="11"/>
        <v>374</v>
      </c>
      <c r="E375" s="294" t="s">
        <v>1381</v>
      </c>
      <c r="F375" s="295" t="s">
        <v>7376</v>
      </c>
      <c r="G375" s="296">
        <v>10000</v>
      </c>
      <c r="H375" s="297">
        <v>40</v>
      </c>
      <c r="I375" s="293">
        <v>741</v>
      </c>
      <c r="J375" s="293">
        <v>1</v>
      </c>
    </row>
    <row r="376" spans="1:10" ht="14" x14ac:dyDescent="0.3">
      <c r="A376" s="293" t="str">
        <f t="shared" si="12"/>
        <v>TSR752</v>
      </c>
      <c r="B376" s="293">
        <v>752</v>
      </c>
      <c r="C376" s="293">
        <v>1</v>
      </c>
      <c r="D376" s="288">
        <f t="shared" si="11"/>
        <v>375</v>
      </c>
      <c r="E376" s="294" t="s">
        <v>1381</v>
      </c>
      <c r="F376" s="295" t="s">
        <v>7377</v>
      </c>
      <c r="G376" s="296">
        <v>10000</v>
      </c>
      <c r="H376" s="297">
        <v>40</v>
      </c>
      <c r="I376" s="293">
        <v>752</v>
      </c>
      <c r="J376" s="293">
        <v>1</v>
      </c>
    </row>
    <row r="377" spans="1:10" ht="14" x14ac:dyDescent="0.3">
      <c r="A377" s="293" t="str">
        <f t="shared" si="12"/>
        <v>TSR757</v>
      </c>
      <c r="B377" s="293">
        <v>757</v>
      </c>
      <c r="C377" s="293">
        <v>1</v>
      </c>
      <c r="D377" s="288">
        <f t="shared" si="11"/>
        <v>376</v>
      </c>
      <c r="E377" s="294" t="s">
        <v>1381</v>
      </c>
      <c r="F377" s="295" t="s">
        <v>7378</v>
      </c>
      <c r="G377" s="296">
        <v>10000</v>
      </c>
      <c r="H377" s="297">
        <v>40</v>
      </c>
      <c r="I377" s="293">
        <v>757</v>
      </c>
      <c r="J377" s="293">
        <v>1</v>
      </c>
    </row>
    <row r="378" spans="1:10" ht="14" x14ac:dyDescent="0.3">
      <c r="A378" s="293" t="str">
        <f t="shared" si="12"/>
        <v>TSR810</v>
      </c>
      <c r="B378" s="293">
        <v>810</v>
      </c>
      <c r="C378" s="293">
        <v>1</v>
      </c>
      <c r="D378" s="288">
        <f t="shared" si="11"/>
        <v>377</v>
      </c>
      <c r="E378" s="294" t="s">
        <v>1381</v>
      </c>
      <c r="F378" s="295" t="s">
        <v>7379</v>
      </c>
      <c r="G378" s="296">
        <v>10000</v>
      </c>
      <c r="H378" s="297">
        <v>40</v>
      </c>
      <c r="I378" s="293">
        <v>810</v>
      </c>
      <c r="J378" s="293">
        <v>1</v>
      </c>
    </row>
    <row r="379" spans="1:10" ht="14" x14ac:dyDescent="0.3">
      <c r="A379" s="293" t="str">
        <f t="shared" si="12"/>
        <v>TSR821</v>
      </c>
      <c r="B379" s="293">
        <v>821</v>
      </c>
      <c r="C379" s="293">
        <v>1</v>
      </c>
      <c r="D379" s="288">
        <f t="shared" si="11"/>
        <v>378</v>
      </c>
      <c r="E379" s="294" t="s">
        <v>1381</v>
      </c>
      <c r="F379" s="295" t="s">
        <v>7380</v>
      </c>
      <c r="G379" s="296">
        <v>10000</v>
      </c>
      <c r="H379" s="297">
        <v>40</v>
      </c>
      <c r="I379" s="293">
        <v>821</v>
      </c>
      <c r="J379" s="293">
        <v>1</v>
      </c>
    </row>
    <row r="380" spans="1:10" ht="14" x14ac:dyDescent="0.3">
      <c r="A380" s="293" t="str">
        <f t="shared" si="12"/>
        <v>TSR825</v>
      </c>
      <c r="B380" s="293">
        <v>825</v>
      </c>
      <c r="C380" s="293">
        <v>1</v>
      </c>
      <c r="D380" s="288">
        <f t="shared" si="11"/>
        <v>379</v>
      </c>
      <c r="E380" s="294" t="s">
        <v>1381</v>
      </c>
      <c r="F380" s="295" t="s">
        <v>7381</v>
      </c>
      <c r="G380" s="296">
        <v>10000</v>
      </c>
      <c r="H380" s="297">
        <v>40</v>
      </c>
      <c r="I380" s="293">
        <v>825</v>
      </c>
      <c r="J380" s="293">
        <v>1</v>
      </c>
    </row>
    <row r="381" spans="1:10" ht="14" x14ac:dyDescent="0.3">
      <c r="A381" s="293" t="str">
        <f t="shared" si="12"/>
        <v>TSR830</v>
      </c>
      <c r="B381" s="293">
        <v>830</v>
      </c>
      <c r="C381" s="293">
        <v>1</v>
      </c>
      <c r="D381" s="288">
        <f t="shared" si="11"/>
        <v>380</v>
      </c>
      <c r="E381" s="294" t="s">
        <v>1381</v>
      </c>
      <c r="F381" s="295" t="s">
        <v>7382</v>
      </c>
      <c r="G381" s="296">
        <v>10000</v>
      </c>
      <c r="H381" s="297">
        <v>40</v>
      </c>
      <c r="I381" s="293">
        <v>830</v>
      </c>
      <c r="J381" s="293">
        <v>1</v>
      </c>
    </row>
    <row r="382" spans="1:10" ht="14" x14ac:dyDescent="0.3">
      <c r="A382" s="293" t="str">
        <f t="shared" si="12"/>
        <v>TSR841</v>
      </c>
      <c r="B382" s="293">
        <v>841</v>
      </c>
      <c r="C382" s="293">
        <v>1</v>
      </c>
      <c r="D382" s="288">
        <f t="shared" si="11"/>
        <v>381</v>
      </c>
      <c r="E382" s="294" t="s">
        <v>1381</v>
      </c>
      <c r="F382" s="295" t="s">
        <v>7383</v>
      </c>
      <c r="G382" s="296">
        <v>10000</v>
      </c>
      <c r="H382" s="297">
        <v>40</v>
      </c>
      <c r="I382" s="293">
        <v>841</v>
      </c>
      <c r="J382" s="293">
        <v>1</v>
      </c>
    </row>
    <row r="383" spans="1:10" ht="14" x14ac:dyDescent="0.3">
      <c r="A383" s="293" t="str">
        <f t="shared" si="12"/>
        <v>TSR845</v>
      </c>
      <c r="B383" s="293">
        <v>845</v>
      </c>
      <c r="C383" s="293">
        <v>1</v>
      </c>
      <c r="D383" s="288">
        <f t="shared" si="11"/>
        <v>382</v>
      </c>
      <c r="E383" s="294" t="s">
        <v>1381</v>
      </c>
      <c r="F383" s="295" t="s">
        <v>7384</v>
      </c>
      <c r="G383" s="296">
        <v>10000</v>
      </c>
      <c r="H383" s="297">
        <v>40</v>
      </c>
      <c r="I383" s="293">
        <v>845</v>
      </c>
      <c r="J383" s="293">
        <v>1</v>
      </c>
    </row>
    <row r="384" spans="1:10" ht="14" x14ac:dyDescent="0.3">
      <c r="A384" s="293" t="str">
        <f t="shared" si="12"/>
        <v>TSR850</v>
      </c>
      <c r="B384" s="293">
        <v>850</v>
      </c>
      <c r="C384" s="293">
        <v>1</v>
      </c>
      <c r="D384" s="288">
        <f t="shared" si="11"/>
        <v>383</v>
      </c>
      <c r="E384" s="294" t="s">
        <v>1381</v>
      </c>
      <c r="F384" s="295" t="s">
        <v>7385</v>
      </c>
      <c r="G384" s="296">
        <v>10000</v>
      </c>
      <c r="H384" s="297">
        <v>40</v>
      </c>
      <c r="I384" s="293">
        <v>850</v>
      </c>
      <c r="J384" s="293">
        <v>1</v>
      </c>
    </row>
    <row r="385" spans="1:10" ht="14" x14ac:dyDescent="0.3">
      <c r="A385" s="293" t="str">
        <f t="shared" si="12"/>
        <v>TSR860</v>
      </c>
      <c r="B385" s="293">
        <v>860</v>
      </c>
      <c r="C385" s="293">
        <v>1</v>
      </c>
      <c r="D385" s="288">
        <f t="shared" si="11"/>
        <v>384</v>
      </c>
      <c r="E385" s="294" t="s">
        <v>1381</v>
      </c>
      <c r="F385" s="295" t="s">
        <v>7386</v>
      </c>
      <c r="G385" s="296">
        <v>10000</v>
      </c>
      <c r="H385" s="297">
        <v>40</v>
      </c>
      <c r="I385" s="293">
        <v>860</v>
      </c>
      <c r="J385" s="293">
        <v>1</v>
      </c>
    </row>
    <row r="386" spans="1:10" ht="14" x14ac:dyDescent="0.3">
      <c r="A386" s="293" t="str">
        <f t="shared" si="12"/>
        <v>TSR871</v>
      </c>
      <c r="B386" s="293">
        <v>871</v>
      </c>
      <c r="C386" s="293">
        <v>1</v>
      </c>
      <c r="D386" s="288">
        <f t="shared" si="11"/>
        <v>385</v>
      </c>
      <c r="E386" s="294" t="s">
        <v>1381</v>
      </c>
      <c r="F386" s="295" t="s">
        <v>7387</v>
      </c>
      <c r="G386" s="296">
        <v>10000</v>
      </c>
      <c r="H386" s="297">
        <v>40</v>
      </c>
      <c r="I386" s="293">
        <v>871</v>
      </c>
      <c r="J386" s="293">
        <v>1</v>
      </c>
    </row>
    <row r="387" spans="1:10" ht="14" x14ac:dyDescent="0.3">
      <c r="A387" s="293" t="str">
        <f t="shared" si="12"/>
        <v>TSR872</v>
      </c>
      <c r="B387" s="293">
        <v>872</v>
      </c>
      <c r="C387" s="293">
        <v>1</v>
      </c>
      <c r="D387" s="288">
        <f t="shared" si="11"/>
        <v>386</v>
      </c>
      <c r="E387" s="294" t="s">
        <v>1381</v>
      </c>
      <c r="F387" s="295" t="s">
        <v>7388</v>
      </c>
      <c r="G387" s="296">
        <v>10000</v>
      </c>
      <c r="H387" s="297">
        <v>40</v>
      </c>
      <c r="I387" s="293">
        <v>872</v>
      </c>
      <c r="J387" s="293">
        <v>1</v>
      </c>
    </row>
    <row r="388" spans="1:10" ht="14" x14ac:dyDescent="0.3">
      <c r="A388" s="293" t="str">
        <f t="shared" si="12"/>
        <v>TSR873</v>
      </c>
      <c r="B388" s="293">
        <v>873</v>
      </c>
      <c r="C388" s="293">
        <v>1</v>
      </c>
      <c r="D388" s="288">
        <f t="shared" si="11"/>
        <v>387</v>
      </c>
      <c r="E388" s="294" t="s">
        <v>1381</v>
      </c>
      <c r="F388" s="295" t="s">
        <v>7389</v>
      </c>
      <c r="G388" s="296">
        <v>10000</v>
      </c>
      <c r="H388" s="297">
        <v>40</v>
      </c>
      <c r="I388" s="293">
        <v>873</v>
      </c>
      <c r="J388" s="293">
        <v>1</v>
      </c>
    </row>
    <row r="389" spans="1:10" ht="14" x14ac:dyDescent="0.3">
      <c r="A389" s="293" t="str">
        <f t="shared" si="12"/>
        <v>TSR874</v>
      </c>
      <c r="B389" s="293">
        <v>874</v>
      </c>
      <c r="C389" s="293">
        <v>1</v>
      </c>
      <c r="D389" s="288">
        <f t="shared" si="11"/>
        <v>388</v>
      </c>
      <c r="E389" s="294" t="s">
        <v>1381</v>
      </c>
      <c r="F389" s="295" t="s">
        <v>7390</v>
      </c>
      <c r="G389" s="296">
        <v>10000</v>
      </c>
      <c r="H389" s="297">
        <v>40</v>
      </c>
      <c r="I389" s="293">
        <v>874</v>
      </c>
      <c r="J389" s="293">
        <v>1</v>
      </c>
    </row>
    <row r="390" spans="1:10" ht="14" x14ac:dyDescent="0.3">
      <c r="A390" s="293" t="str">
        <f t="shared" si="12"/>
        <v>TSR875</v>
      </c>
      <c r="B390" s="293">
        <v>875</v>
      </c>
      <c r="C390" s="293">
        <v>1</v>
      </c>
      <c r="D390" s="288">
        <f t="shared" si="11"/>
        <v>389</v>
      </c>
      <c r="E390" s="294" t="s">
        <v>1381</v>
      </c>
      <c r="F390" s="295" t="s">
        <v>7391</v>
      </c>
      <c r="G390" s="296">
        <v>10000</v>
      </c>
      <c r="H390" s="297">
        <v>40</v>
      </c>
      <c r="I390" s="293">
        <v>875</v>
      </c>
      <c r="J390" s="293">
        <v>1</v>
      </c>
    </row>
    <row r="391" spans="1:10" ht="14" x14ac:dyDescent="0.3">
      <c r="A391" s="293" t="str">
        <f t="shared" si="12"/>
        <v>TSR896</v>
      </c>
      <c r="B391" s="293">
        <v>896</v>
      </c>
      <c r="C391" s="293">
        <v>1</v>
      </c>
      <c r="D391" s="288">
        <f t="shared" si="11"/>
        <v>390</v>
      </c>
      <c r="E391" s="294" t="s">
        <v>1381</v>
      </c>
      <c r="F391" s="295" t="s">
        <v>7392</v>
      </c>
      <c r="G391" s="296">
        <v>10000</v>
      </c>
      <c r="H391" s="297">
        <v>40</v>
      </c>
      <c r="I391" s="293">
        <v>896</v>
      </c>
      <c r="J391" s="293">
        <v>1</v>
      </c>
    </row>
    <row r="392" spans="1:10" ht="14" x14ac:dyDescent="0.3">
      <c r="A392" s="293" t="str">
        <f t="shared" si="12"/>
        <v>TSR897</v>
      </c>
      <c r="B392" s="293">
        <v>897</v>
      </c>
      <c r="C392" s="293">
        <v>1</v>
      </c>
      <c r="D392" s="288">
        <f t="shared" si="11"/>
        <v>391</v>
      </c>
      <c r="E392" s="294" t="s">
        <v>1381</v>
      </c>
      <c r="F392" s="295" t="s">
        <v>7393</v>
      </c>
      <c r="G392" s="296">
        <v>10000</v>
      </c>
      <c r="H392" s="297">
        <v>40</v>
      </c>
      <c r="I392" s="293">
        <v>897</v>
      </c>
      <c r="J392" s="293">
        <v>1</v>
      </c>
    </row>
    <row r="393" spans="1:10" ht="14" x14ac:dyDescent="0.3">
      <c r="A393" s="293" t="str">
        <f t="shared" si="12"/>
        <v>TSR898</v>
      </c>
      <c r="B393" s="293">
        <v>898</v>
      </c>
      <c r="C393" s="293">
        <v>1</v>
      </c>
      <c r="D393" s="288">
        <f t="shared" si="11"/>
        <v>392</v>
      </c>
      <c r="E393" s="294" t="s">
        <v>1381</v>
      </c>
      <c r="F393" s="295" t="s">
        <v>7394</v>
      </c>
      <c r="G393" s="296">
        <v>10000</v>
      </c>
      <c r="H393" s="297">
        <v>40</v>
      </c>
      <c r="I393" s="293">
        <v>898</v>
      </c>
      <c r="J393" s="293">
        <v>1</v>
      </c>
    </row>
    <row r="394" spans="1:10" ht="14" x14ac:dyDescent="0.3">
      <c r="A394" s="293" t="str">
        <f t="shared" si="12"/>
        <v>TSR931</v>
      </c>
      <c r="B394" s="293">
        <v>931</v>
      </c>
      <c r="C394" s="293">
        <v>2</v>
      </c>
      <c r="D394" s="288">
        <f t="shared" ref="D394:D405" si="13">D393+1</f>
        <v>393</v>
      </c>
      <c r="E394" s="294" t="s">
        <v>1381</v>
      </c>
      <c r="F394" s="295" t="s">
        <v>7395</v>
      </c>
      <c r="G394" s="296">
        <v>10000</v>
      </c>
      <c r="H394" s="297">
        <v>40</v>
      </c>
      <c r="I394" s="293">
        <v>931</v>
      </c>
      <c r="J394" s="293">
        <v>2</v>
      </c>
    </row>
    <row r="395" spans="1:10" ht="14" x14ac:dyDescent="0.3">
      <c r="A395" s="293" t="str">
        <f t="shared" si="12"/>
        <v>TSR933</v>
      </c>
      <c r="B395" s="293">
        <v>933</v>
      </c>
      <c r="C395" s="293">
        <v>2</v>
      </c>
      <c r="D395" s="288">
        <f t="shared" si="13"/>
        <v>394</v>
      </c>
      <c r="E395" s="294" t="s">
        <v>1381</v>
      </c>
      <c r="F395" s="295" t="s">
        <v>7396</v>
      </c>
      <c r="G395" s="296">
        <v>10000</v>
      </c>
      <c r="H395" s="297">
        <v>40</v>
      </c>
      <c r="I395" s="293">
        <v>933</v>
      </c>
      <c r="J395" s="293">
        <v>2</v>
      </c>
    </row>
    <row r="396" spans="1:10" ht="14" x14ac:dyDescent="0.3">
      <c r="A396" s="293" t="str">
        <f t="shared" si="12"/>
        <v>TSR934</v>
      </c>
      <c r="B396" s="293">
        <v>934</v>
      </c>
      <c r="C396" s="293">
        <v>2</v>
      </c>
      <c r="D396" s="288">
        <f t="shared" si="13"/>
        <v>395</v>
      </c>
      <c r="E396" s="294" t="s">
        <v>1381</v>
      </c>
      <c r="F396" s="295" t="s">
        <v>7397</v>
      </c>
      <c r="G396" s="296">
        <v>10000</v>
      </c>
      <c r="H396" s="297">
        <v>40</v>
      </c>
      <c r="I396" s="293">
        <v>934</v>
      </c>
      <c r="J396" s="293">
        <v>2</v>
      </c>
    </row>
    <row r="397" spans="1:10" ht="14" x14ac:dyDescent="0.3">
      <c r="A397" s="293" t="str">
        <f t="shared" si="12"/>
        <v>TSR935</v>
      </c>
      <c r="B397" s="293">
        <v>935</v>
      </c>
      <c r="C397" s="293">
        <v>2</v>
      </c>
      <c r="D397" s="288">
        <f t="shared" si="13"/>
        <v>396</v>
      </c>
      <c r="E397" s="294" t="s">
        <v>1381</v>
      </c>
      <c r="F397" s="295" t="s">
        <v>7398</v>
      </c>
      <c r="G397" s="296">
        <v>10000</v>
      </c>
      <c r="H397" s="297">
        <v>40</v>
      </c>
      <c r="I397" s="293">
        <v>935</v>
      </c>
      <c r="J397" s="293">
        <v>2</v>
      </c>
    </row>
    <row r="398" spans="1:10" ht="14" x14ac:dyDescent="0.3">
      <c r="A398" s="293" t="str">
        <f t="shared" si="12"/>
        <v>TSR936</v>
      </c>
      <c r="B398" s="293">
        <v>936</v>
      </c>
      <c r="C398" s="293">
        <v>2</v>
      </c>
      <c r="D398" s="288">
        <f t="shared" si="13"/>
        <v>397</v>
      </c>
      <c r="E398" s="294" t="s">
        <v>1381</v>
      </c>
      <c r="F398" s="295" t="s">
        <v>7399</v>
      </c>
      <c r="G398" s="296">
        <v>10000</v>
      </c>
      <c r="H398" s="297">
        <v>40</v>
      </c>
      <c r="I398" s="293">
        <v>936</v>
      </c>
      <c r="J398" s="293">
        <v>2</v>
      </c>
    </row>
    <row r="399" spans="1:10" ht="14" x14ac:dyDescent="0.3">
      <c r="A399" s="293" t="str">
        <f t="shared" si="12"/>
        <v>TSR939</v>
      </c>
      <c r="B399" s="293">
        <v>939</v>
      </c>
      <c r="C399" s="293">
        <v>2</v>
      </c>
      <c r="D399" s="288">
        <f t="shared" si="13"/>
        <v>398</v>
      </c>
      <c r="E399" s="294" t="s">
        <v>1381</v>
      </c>
      <c r="F399" s="295" t="s">
        <v>7400</v>
      </c>
      <c r="G399" s="296">
        <v>10000</v>
      </c>
      <c r="H399" s="297">
        <v>40</v>
      </c>
      <c r="I399" s="293">
        <v>939</v>
      </c>
      <c r="J399" s="293">
        <v>2</v>
      </c>
    </row>
    <row r="400" spans="1:10" ht="14" x14ac:dyDescent="0.3">
      <c r="A400" s="293" t="str">
        <f t="shared" si="12"/>
        <v>TSR931</v>
      </c>
      <c r="B400" s="293">
        <v>931</v>
      </c>
      <c r="C400" s="293">
        <v>3</v>
      </c>
      <c r="D400" s="288">
        <f t="shared" si="13"/>
        <v>399</v>
      </c>
      <c r="E400" s="294" t="s">
        <v>1381</v>
      </c>
      <c r="F400" s="295" t="s">
        <v>7401</v>
      </c>
      <c r="G400" s="296">
        <v>10000</v>
      </c>
      <c r="H400" s="297">
        <v>40</v>
      </c>
      <c r="I400" s="293">
        <v>931</v>
      </c>
      <c r="J400" s="293">
        <v>3</v>
      </c>
    </row>
    <row r="401" spans="1:10" ht="14" x14ac:dyDescent="0.3">
      <c r="A401" s="293" t="str">
        <f t="shared" ref="A401:A431" si="14">E401&amp;B401</f>
        <v>TSR933</v>
      </c>
      <c r="B401" s="293">
        <v>933</v>
      </c>
      <c r="C401" s="293">
        <v>3</v>
      </c>
      <c r="D401" s="288">
        <f t="shared" si="13"/>
        <v>400</v>
      </c>
      <c r="E401" s="294" t="s">
        <v>1381</v>
      </c>
      <c r="F401" s="295" t="s">
        <v>7402</v>
      </c>
      <c r="G401" s="296">
        <v>10000</v>
      </c>
      <c r="H401" s="297">
        <v>40</v>
      </c>
      <c r="I401" s="293">
        <v>933</v>
      </c>
      <c r="J401" s="293">
        <v>3</v>
      </c>
    </row>
    <row r="402" spans="1:10" ht="14" x14ac:dyDescent="0.3">
      <c r="A402" s="293" t="str">
        <f t="shared" si="14"/>
        <v>TSR934</v>
      </c>
      <c r="B402" s="293">
        <v>934</v>
      </c>
      <c r="C402" s="293">
        <v>3</v>
      </c>
      <c r="D402" s="288">
        <f t="shared" si="13"/>
        <v>401</v>
      </c>
      <c r="E402" s="294" t="s">
        <v>1381</v>
      </c>
      <c r="F402" s="295" t="s">
        <v>7403</v>
      </c>
      <c r="G402" s="296">
        <v>10000</v>
      </c>
      <c r="H402" s="297">
        <v>40</v>
      </c>
      <c r="I402" s="293">
        <v>934</v>
      </c>
      <c r="J402" s="293">
        <v>3</v>
      </c>
    </row>
    <row r="403" spans="1:10" ht="14" x14ac:dyDescent="0.3">
      <c r="A403" s="293" t="str">
        <f t="shared" si="14"/>
        <v>TSR935</v>
      </c>
      <c r="B403" s="293">
        <v>935</v>
      </c>
      <c r="C403" s="293">
        <v>3</v>
      </c>
      <c r="D403" s="288">
        <f t="shared" si="13"/>
        <v>402</v>
      </c>
      <c r="E403" s="294" t="s">
        <v>1381</v>
      </c>
      <c r="F403" s="295" t="s">
        <v>7404</v>
      </c>
      <c r="G403" s="296">
        <v>10000</v>
      </c>
      <c r="H403" s="297">
        <v>40</v>
      </c>
      <c r="I403" s="293">
        <v>935</v>
      </c>
      <c r="J403" s="293">
        <v>3</v>
      </c>
    </row>
    <row r="404" spans="1:10" ht="14" x14ac:dyDescent="0.3">
      <c r="A404" s="293" t="str">
        <f t="shared" si="14"/>
        <v>TSR936</v>
      </c>
      <c r="B404" s="293">
        <v>936</v>
      </c>
      <c r="C404" s="293">
        <v>3</v>
      </c>
      <c r="D404" s="288">
        <f t="shared" si="13"/>
        <v>403</v>
      </c>
      <c r="E404" s="294" t="s">
        <v>1381</v>
      </c>
      <c r="F404" s="295" t="s">
        <v>7405</v>
      </c>
      <c r="G404" s="296">
        <v>10000</v>
      </c>
      <c r="H404" s="297">
        <v>40</v>
      </c>
      <c r="I404" s="293">
        <v>936</v>
      </c>
      <c r="J404" s="293">
        <v>3</v>
      </c>
    </row>
    <row r="405" spans="1:10" ht="14" x14ac:dyDescent="0.3">
      <c r="A405" s="293" t="str">
        <f t="shared" si="14"/>
        <v>TSR939</v>
      </c>
      <c r="B405" s="293">
        <v>939</v>
      </c>
      <c r="C405" s="293">
        <v>3</v>
      </c>
      <c r="D405" s="288">
        <f t="shared" si="13"/>
        <v>404</v>
      </c>
      <c r="E405" s="294" t="s">
        <v>1381</v>
      </c>
      <c r="F405" s="295" t="s">
        <v>7406</v>
      </c>
      <c r="G405" s="296">
        <v>10000</v>
      </c>
      <c r="H405" s="297">
        <v>40</v>
      </c>
      <c r="I405" s="293">
        <v>939</v>
      </c>
      <c r="J405" s="293">
        <v>3</v>
      </c>
    </row>
    <row r="407" spans="1:10" ht="14" x14ac:dyDescent="0.3">
      <c r="A407" s="288" t="str">
        <f t="shared" si="14"/>
        <v>RG313</v>
      </c>
      <c r="B407" s="303">
        <v>313</v>
      </c>
      <c r="C407" s="303">
        <v>1</v>
      </c>
      <c r="D407" s="303">
        <v>418</v>
      </c>
      <c r="E407" s="304" t="s">
        <v>475</v>
      </c>
      <c r="F407" s="305" t="s">
        <v>7407</v>
      </c>
      <c r="G407" s="306"/>
      <c r="H407" s="306"/>
      <c r="I407" s="303">
        <v>1</v>
      </c>
      <c r="J407" s="303">
        <v>1</v>
      </c>
    </row>
    <row r="408" spans="1:10" ht="14" x14ac:dyDescent="0.3">
      <c r="A408" s="288" t="str">
        <f t="shared" si="14"/>
        <v>RS721</v>
      </c>
      <c r="B408" s="307">
        <v>721</v>
      </c>
      <c r="C408" s="307">
        <v>1</v>
      </c>
      <c r="D408" s="307">
        <v>419</v>
      </c>
      <c r="E408" s="308" t="s">
        <v>52</v>
      </c>
      <c r="F408" s="309" t="s">
        <v>7408</v>
      </c>
      <c r="G408" s="310">
        <v>1</v>
      </c>
      <c r="H408" s="310"/>
      <c r="I408" s="307">
        <v>1</v>
      </c>
      <c r="J408" s="307">
        <v>1</v>
      </c>
    </row>
    <row r="409" spans="1:10" ht="14" x14ac:dyDescent="0.3">
      <c r="A409" s="288" t="str">
        <f t="shared" si="14"/>
        <v>RS890</v>
      </c>
      <c r="B409" s="307">
        <v>890</v>
      </c>
      <c r="C409" s="307">
        <v>1</v>
      </c>
      <c r="D409" s="307">
        <v>420</v>
      </c>
      <c r="E409" s="308" t="s">
        <v>52</v>
      </c>
      <c r="F409" s="309" t="s">
        <v>7409</v>
      </c>
      <c r="G409" s="310">
        <v>1</v>
      </c>
      <c r="H409" s="310"/>
      <c r="I409" s="307">
        <v>1</v>
      </c>
      <c r="J409" s="307">
        <v>1</v>
      </c>
    </row>
    <row r="410" spans="1:10" ht="14" x14ac:dyDescent="0.3">
      <c r="A410" s="288" t="str">
        <f t="shared" si="14"/>
        <v>RS870</v>
      </c>
      <c r="B410" s="307">
        <v>870</v>
      </c>
      <c r="C410" s="307">
        <v>1</v>
      </c>
      <c r="D410" s="307">
        <v>421</v>
      </c>
      <c r="E410" s="308" t="s">
        <v>52</v>
      </c>
      <c r="F410" s="309" t="s">
        <v>7410</v>
      </c>
      <c r="G410" s="310">
        <v>1</v>
      </c>
      <c r="H410" s="310">
        <v>10</v>
      </c>
      <c r="I410" s="307">
        <v>1</v>
      </c>
      <c r="J410" s="307">
        <v>1</v>
      </c>
    </row>
    <row r="411" spans="1:10" ht="14" x14ac:dyDescent="0.3">
      <c r="A411" s="288" t="str">
        <f t="shared" si="14"/>
        <v>RS979</v>
      </c>
      <c r="B411" s="311">
        <v>979</v>
      </c>
      <c r="C411" s="311">
        <v>1</v>
      </c>
      <c r="D411" s="311">
        <v>422</v>
      </c>
      <c r="E411" s="312" t="s">
        <v>52</v>
      </c>
      <c r="F411" s="313" t="s">
        <v>7411</v>
      </c>
      <c r="G411" s="314"/>
      <c r="H411" s="314">
        <v>25</v>
      </c>
      <c r="I411" s="311">
        <v>699</v>
      </c>
      <c r="J411" s="311">
        <v>1</v>
      </c>
    </row>
    <row r="412" spans="1:10" ht="14" x14ac:dyDescent="0.3">
      <c r="A412" s="288" t="str">
        <f t="shared" si="14"/>
        <v>RS851</v>
      </c>
      <c r="B412" s="311">
        <v>851</v>
      </c>
      <c r="C412" s="311">
        <v>1</v>
      </c>
      <c r="D412" s="311">
        <v>423</v>
      </c>
      <c r="E412" s="312" t="s">
        <v>52</v>
      </c>
      <c r="F412" s="313" t="s">
        <v>7412</v>
      </c>
      <c r="G412" s="314">
        <v>2</v>
      </c>
      <c r="H412" s="314"/>
      <c r="I412" s="311">
        <v>1</v>
      </c>
      <c r="J412" s="311">
        <v>1</v>
      </c>
    </row>
    <row r="413" spans="1:10" ht="14" x14ac:dyDescent="0.3">
      <c r="A413" s="288" t="str">
        <f t="shared" si="14"/>
        <v>RS856</v>
      </c>
      <c r="B413" s="311">
        <v>856</v>
      </c>
      <c r="C413" s="311">
        <v>1</v>
      </c>
      <c r="D413" s="311">
        <v>424</v>
      </c>
      <c r="E413" s="312" t="s">
        <v>52</v>
      </c>
      <c r="F413" s="313" t="s">
        <v>7413</v>
      </c>
      <c r="G413" s="314">
        <v>2</v>
      </c>
      <c r="H413" s="314"/>
      <c r="I413" s="311">
        <v>1</v>
      </c>
      <c r="J413" s="311">
        <v>1</v>
      </c>
    </row>
    <row r="414" spans="1:10" ht="14" x14ac:dyDescent="0.25">
      <c r="A414" s="288" t="str">
        <f t="shared" si="14"/>
        <v>RS911</v>
      </c>
      <c r="B414" s="311">
        <v>911</v>
      </c>
      <c r="C414" s="311">
        <v>2</v>
      </c>
      <c r="D414" s="311">
        <v>425</v>
      </c>
      <c r="E414" s="312" t="s">
        <v>52</v>
      </c>
      <c r="F414" s="312" t="s">
        <v>7414</v>
      </c>
      <c r="G414" s="311"/>
      <c r="H414" s="311"/>
      <c r="I414" s="311">
        <v>1</v>
      </c>
      <c r="J414" s="311">
        <v>1</v>
      </c>
    </row>
    <row r="415" spans="1:10" ht="14" x14ac:dyDescent="0.25">
      <c r="A415" s="288" t="str">
        <f t="shared" si="14"/>
        <v>RS914</v>
      </c>
      <c r="B415" s="311">
        <v>914</v>
      </c>
      <c r="C415" s="311">
        <v>2</v>
      </c>
      <c r="D415" s="311">
        <v>426</v>
      </c>
      <c r="E415" s="312" t="s">
        <v>52</v>
      </c>
      <c r="F415" s="312" t="s">
        <v>7415</v>
      </c>
      <c r="G415" s="311"/>
      <c r="H415" s="311"/>
      <c r="I415" s="311">
        <v>1</v>
      </c>
      <c r="J415" s="311">
        <v>1</v>
      </c>
    </row>
    <row r="416" spans="1:10" ht="14" x14ac:dyDescent="0.25">
      <c r="A416" s="288" t="str">
        <f t="shared" si="14"/>
        <v>RS915</v>
      </c>
      <c r="B416" s="311">
        <v>915</v>
      </c>
      <c r="C416" s="311">
        <v>2</v>
      </c>
      <c r="D416" s="311">
        <v>427</v>
      </c>
      <c r="E416" s="312" t="s">
        <v>52</v>
      </c>
      <c r="F416" s="312" t="s">
        <v>7416</v>
      </c>
      <c r="G416" s="311"/>
      <c r="H416" s="311"/>
      <c r="I416" s="311">
        <v>1</v>
      </c>
      <c r="J416" s="311">
        <v>1</v>
      </c>
    </row>
    <row r="417" spans="1:10" ht="14" x14ac:dyDescent="0.25">
      <c r="A417" s="288" t="str">
        <f t="shared" si="14"/>
        <v>RS916</v>
      </c>
      <c r="B417" s="311">
        <v>916</v>
      </c>
      <c r="C417" s="311">
        <v>2</v>
      </c>
      <c r="D417" s="311">
        <v>428</v>
      </c>
      <c r="E417" s="312" t="s">
        <v>52</v>
      </c>
      <c r="F417" s="312" t="s">
        <v>7417</v>
      </c>
      <c r="G417" s="311"/>
      <c r="H417" s="311"/>
      <c r="I417" s="311">
        <v>1</v>
      </c>
      <c r="J417" s="311">
        <v>1</v>
      </c>
    </row>
    <row r="418" spans="1:10" ht="14" x14ac:dyDescent="0.25">
      <c r="A418" s="288" t="str">
        <f t="shared" si="14"/>
        <v>RS911</v>
      </c>
      <c r="B418" s="311">
        <v>911</v>
      </c>
      <c r="C418" s="311">
        <v>3</v>
      </c>
      <c r="D418" s="311">
        <v>429</v>
      </c>
      <c r="E418" s="312" t="s">
        <v>52</v>
      </c>
      <c r="F418" s="312" t="s">
        <v>7418</v>
      </c>
      <c r="G418" s="311"/>
      <c r="H418" s="311"/>
      <c r="I418" s="311">
        <v>1</v>
      </c>
      <c r="J418" s="311">
        <v>1</v>
      </c>
    </row>
    <row r="419" spans="1:10" ht="14" x14ac:dyDescent="0.25">
      <c r="A419" s="288" t="str">
        <f t="shared" si="14"/>
        <v>RS914</v>
      </c>
      <c r="B419" s="311">
        <v>914</v>
      </c>
      <c r="C419" s="311">
        <v>3</v>
      </c>
      <c r="D419" s="311">
        <v>430</v>
      </c>
      <c r="E419" s="312" t="s">
        <v>52</v>
      </c>
      <c r="F419" s="312" t="s">
        <v>7419</v>
      </c>
      <c r="G419" s="311"/>
      <c r="H419" s="311"/>
      <c r="I419" s="311">
        <v>1</v>
      </c>
      <c r="J419" s="311">
        <v>1</v>
      </c>
    </row>
    <row r="420" spans="1:10" ht="14" x14ac:dyDescent="0.25">
      <c r="A420" s="288" t="str">
        <f t="shared" si="14"/>
        <v>RS915</v>
      </c>
      <c r="B420" s="311">
        <v>915</v>
      </c>
      <c r="C420" s="311">
        <v>3</v>
      </c>
      <c r="D420" s="311">
        <v>431</v>
      </c>
      <c r="E420" s="312" t="s">
        <v>52</v>
      </c>
      <c r="F420" s="312" t="s">
        <v>7420</v>
      </c>
      <c r="G420" s="311"/>
      <c r="H420" s="311"/>
      <c r="I420" s="311">
        <v>1</v>
      </c>
      <c r="J420" s="311">
        <v>1</v>
      </c>
    </row>
    <row r="421" spans="1:10" ht="14" x14ac:dyDescent="0.25">
      <c r="A421" s="288" t="str">
        <f t="shared" si="14"/>
        <v>RS916</v>
      </c>
      <c r="B421" s="311">
        <v>916</v>
      </c>
      <c r="C421" s="311">
        <v>3</v>
      </c>
      <c r="D421" s="311">
        <v>432</v>
      </c>
      <c r="E421" s="312" t="s">
        <v>52</v>
      </c>
      <c r="F421" s="312" t="s">
        <v>7421</v>
      </c>
      <c r="G421" s="311"/>
      <c r="H421" s="311"/>
      <c r="I421" s="311">
        <v>1</v>
      </c>
      <c r="J421" s="311">
        <v>1</v>
      </c>
    </row>
    <row r="422" spans="1:10" ht="14" x14ac:dyDescent="0.3">
      <c r="A422" s="288" t="str">
        <f t="shared" si="14"/>
        <v>RS793</v>
      </c>
      <c r="B422" s="311">
        <v>793</v>
      </c>
      <c r="C422" s="311">
        <v>1</v>
      </c>
      <c r="D422" s="311">
        <v>433</v>
      </c>
      <c r="E422" s="312" t="s">
        <v>52</v>
      </c>
      <c r="F422" s="313" t="s">
        <v>7422</v>
      </c>
      <c r="G422" s="314"/>
      <c r="H422" s="314"/>
      <c r="I422" s="314">
        <v>1</v>
      </c>
      <c r="J422" s="314">
        <v>1</v>
      </c>
    </row>
    <row r="423" spans="1:10" ht="14" x14ac:dyDescent="0.3">
      <c r="A423" s="288" t="str">
        <f t="shared" si="14"/>
        <v>RS960</v>
      </c>
      <c r="B423" s="311">
        <v>960</v>
      </c>
      <c r="C423" s="311">
        <v>4</v>
      </c>
      <c r="D423" s="311">
        <v>434</v>
      </c>
      <c r="E423" s="312" t="s">
        <v>52</v>
      </c>
      <c r="F423" s="313" t="s">
        <v>7423</v>
      </c>
      <c r="G423" s="314"/>
      <c r="H423" s="314"/>
      <c r="I423" s="314">
        <v>1</v>
      </c>
      <c r="J423" s="314">
        <v>1</v>
      </c>
    </row>
    <row r="424" spans="1:10" ht="14" x14ac:dyDescent="0.3">
      <c r="A424" s="288" t="str">
        <f t="shared" si="14"/>
        <v>RS721</v>
      </c>
      <c r="B424" s="311">
        <v>721</v>
      </c>
      <c r="C424" s="311">
        <v>1</v>
      </c>
      <c r="D424" s="311">
        <v>435</v>
      </c>
      <c r="E424" s="312" t="s">
        <v>52</v>
      </c>
      <c r="F424" s="313" t="s">
        <v>7424</v>
      </c>
      <c r="G424" s="314"/>
      <c r="H424" s="314"/>
      <c r="I424" s="311">
        <v>1</v>
      </c>
      <c r="J424" s="311">
        <v>1</v>
      </c>
    </row>
    <row r="425" spans="1:10" ht="14" x14ac:dyDescent="0.3">
      <c r="A425" s="288" t="str">
        <f t="shared" si="14"/>
        <v>RS851</v>
      </c>
      <c r="B425" s="311">
        <v>851</v>
      </c>
      <c r="C425" s="311">
        <v>1</v>
      </c>
      <c r="D425" s="311">
        <v>436</v>
      </c>
      <c r="E425" s="312" t="s">
        <v>52</v>
      </c>
      <c r="F425" s="313" t="s">
        <v>7425</v>
      </c>
      <c r="G425" s="314"/>
      <c r="H425" s="314"/>
      <c r="I425" s="311">
        <v>1</v>
      </c>
      <c r="J425" s="311">
        <v>1</v>
      </c>
    </row>
    <row r="426" spans="1:10" ht="14" x14ac:dyDescent="0.3">
      <c r="A426" s="288" t="str">
        <f t="shared" si="14"/>
        <v>RS890</v>
      </c>
      <c r="B426" s="311">
        <v>890</v>
      </c>
      <c r="C426" s="311">
        <v>1</v>
      </c>
      <c r="D426" s="311">
        <v>437</v>
      </c>
      <c r="E426" s="312" t="s">
        <v>52</v>
      </c>
      <c r="F426" s="313" t="s">
        <v>7426</v>
      </c>
      <c r="G426" s="314"/>
      <c r="H426" s="314"/>
      <c r="I426" s="311">
        <v>1</v>
      </c>
      <c r="J426" s="311">
        <v>1</v>
      </c>
    </row>
    <row r="427" spans="1:10" ht="14" x14ac:dyDescent="0.3">
      <c r="A427" s="288" t="str">
        <f t="shared" si="14"/>
        <v>RS851</v>
      </c>
      <c r="B427" s="311">
        <v>851</v>
      </c>
      <c r="C427" s="312">
        <v>1</v>
      </c>
      <c r="D427" s="312">
        <v>438</v>
      </c>
      <c r="E427" s="312" t="s">
        <v>52</v>
      </c>
      <c r="F427" s="313" t="s">
        <v>7427</v>
      </c>
      <c r="G427" s="314"/>
      <c r="H427" s="314"/>
      <c r="I427" s="311">
        <v>1</v>
      </c>
      <c r="J427" s="311">
        <v>1</v>
      </c>
    </row>
    <row r="428" spans="1:10" ht="14" x14ac:dyDescent="0.3">
      <c r="A428" s="288" t="str">
        <f t="shared" si="14"/>
        <v>RS856</v>
      </c>
      <c r="B428" s="311">
        <v>856</v>
      </c>
      <c r="C428" s="312">
        <v>1</v>
      </c>
      <c r="D428" s="312">
        <v>439</v>
      </c>
      <c r="E428" s="312" t="s">
        <v>52</v>
      </c>
      <c r="F428" s="313" t="s">
        <v>7428</v>
      </c>
      <c r="G428" s="314"/>
      <c r="H428" s="314"/>
      <c r="I428" s="311">
        <v>1</v>
      </c>
      <c r="J428" s="311">
        <v>1</v>
      </c>
    </row>
    <row r="429" spans="1:10" ht="14" x14ac:dyDescent="0.3">
      <c r="A429" s="288" t="str">
        <f t="shared" si="14"/>
        <v>RS870</v>
      </c>
      <c r="B429" s="311">
        <v>870</v>
      </c>
      <c r="C429" s="312">
        <v>1</v>
      </c>
      <c r="D429" s="312">
        <v>440</v>
      </c>
      <c r="E429" s="312" t="s">
        <v>52</v>
      </c>
      <c r="F429" s="313" t="s">
        <v>7429</v>
      </c>
      <c r="G429" s="314"/>
      <c r="H429" s="314"/>
      <c r="I429" s="311">
        <v>1</v>
      </c>
      <c r="J429" s="311">
        <v>1</v>
      </c>
    </row>
    <row r="430" spans="1:10" ht="14" x14ac:dyDescent="0.3">
      <c r="A430" s="288" t="str">
        <f t="shared" si="14"/>
        <v>RS765</v>
      </c>
      <c r="B430" s="311">
        <v>765</v>
      </c>
      <c r="C430" s="312">
        <v>1</v>
      </c>
      <c r="D430" s="312">
        <v>441</v>
      </c>
      <c r="E430" s="312" t="s">
        <v>52</v>
      </c>
      <c r="F430" s="314" t="s">
        <v>7430</v>
      </c>
      <c r="G430" s="314"/>
      <c r="H430" s="314"/>
      <c r="I430" s="311">
        <v>1</v>
      </c>
      <c r="J430" s="311">
        <v>1</v>
      </c>
    </row>
    <row r="431" spans="1:10" ht="14" x14ac:dyDescent="0.3">
      <c r="A431" s="288" t="str">
        <f t="shared" si="14"/>
        <v>RS766</v>
      </c>
      <c r="B431" s="311">
        <v>766</v>
      </c>
      <c r="C431" s="312">
        <v>1</v>
      </c>
      <c r="D431" s="312">
        <v>442</v>
      </c>
      <c r="E431" s="312" t="s">
        <v>52</v>
      </c>
      <c r="F431" s="314" t="s">
        <v>7431</v>
      </c>
      <c r="G431" s="314"/>
      <c r="H431" s="314"/>
      <c r="I431" s="311">
        <v>1</v>
      </c>
      <c r="J431" s="311">
        <v>1</v>
      </c>
    </row>
  </sheetData>
  <sheetProtection sheet="1" objects="1" scenarios="1"/>
  <autoFilter ref="A1:L405" xr:uid="{00000000-0001-0000-1300-000000000000}"/>
  <phoneticPr fontId="22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A3" activePane="bottomLeft" state="frozen"/>
      <selection pane="bottomLeft" activeCell="B2" sqref="B2:N2"/>
    </sheetView>
  </sheetViews>
  <sheetFormatPr defaultColWidth="0" defaultRowHeight="0" customHeight="1" zeroHeight="1" x14ac:dyDescent="0.25"/>
  <cols>
    <col min="1" max="1" width="16.26953125" style="12" hidden="1" customWidth="1"/>
    <col min="2" max="2" width="57.453125" customWidth="1"/>
    <col min="3" max="3" width="6.7265625" customWidth="1"/>
    <col min="4" max="6" width="16.7265625" customWidth="1"/>
    <col min="7" max="7" width="13.26953125" customWidth="1"/>
    <col min="8" max="8" width="18.26953125" customWidth="1"/>
    <col min="9" max="9" width="23.26953125" customWidth="1"/>
    <col min="10" max="10" width="16.7265625" customWidth="1"/>
    <col min="11" max="11" width="2.7265625" customWidth="1"/>
    <col min="12" max="13" width="16.7265625" customWidth="1"/>
    <col min="14" max="14" width="2.7265625" customWidth="1"/>
    <col min="15" max="15" width="5.1796875" hidden="1" customWidth="1"/>
    <col min="16" max="16" width="16.26953125" hidden="1" customWidth="1"/>
    <col min="17" max="17" width="62.26953125" hidden="1" customWidth="1"/>
    <col min="18" max="19" width="12.54296875" hidden="1" customWidth="1"/>
    <col min="20" max="20" width="22.26953125" hidden="1" customWidth="1"/>
    <col min="21" max="21" width="15.7265625" hidden="1" customWidth="1"/>
    <col min="22" max="22" width="10.7265625" hidden="1" customWidth="1"/>
    <col min="23" max="25" width="12.54296875" hidden="1" customWidth="1"/>
    <col min="26" max="26" width="7.7265625" hidden="1" customWidth="1"/>
    <col min="27" max="27" width="37" style="109" hidden="1" customWidth="1"/>
    <col min="28" max="29" width="12.7265625" hidden="1" customWidth="1"/>
    <col min="30" max="30" width="12.54296875" hidden="1" customWidth="1"/>
    <col min="31" max="31" width="11.26953125" hidden="1" customWidth="1"/>
    <col min="32" max="32" width="12.54296875" hidden="1" customWidth="1"/>
    <col min="33" max="33" width="13.7265625" hidden="1" customWidth="1"/>
    <col min="34" max="34" width="12.54296875" hidden="1" customWidth="1"/>
    <col min="35" max="35" width="9.26953125" hidden="1" customWidth="1"/>
    <col min="36" max="36" width="11.7265625" hidden="1" customWidth="1"/>
    <col min="37" max="37" width="11.26953125" hidden="1" customWidth="1"/>
    <col min="38" max="38" width="12.54296875" hidden="1" customWidth="1"/>
    <col min="39" max="39" width="6.7265625" hidden="1" customWidth="1"/>
    <col min="40" max="40" width="8.26953125" hidden="1" customWidth="1"/>
    <col min="41" max="41" width="31.26953125" hidden="1" customWidth="1"/>
    <col min="42" max="42" width="5.7265625" hidden="1" customWidth="1"/>
    <col min="43" max="43" width="11" hidden="1" customWidth="1"/>
    <col min="44" max="44" width="11.26953125" hidden="1" customWidth="1"/>
    <col min="45" max="45" width="10.26953125" hidden="1" customWidth="1"/>
    <col min="46" max="46" width="15.26953125" hidden="1" customWidth="1"/>
    <col min="47" max="47" width="12.7265625" hidden="1" customWidth="1"/>
    <col min="48" max="48" width="12.26953125" hidden="1" customWidth="1"/>
    <col min="49" max="50" width="14.26953125" hidden="1" customWidth="1"/>
    <col min="51" max="51" width="5.54296875" hidden="1" customWidth="1"/>
    <col min="52" max="52" width="14.26953125" hidden="1" customWidth="1"/>
    <col min="53" max="53" width="23.54296875" hidden="1" customWidth="1"/>
    <col min="54" max="61" width="12.54296875" hidden="1" customWidth="1"/>
    <col min="62" max="62" width="17.54296875" hidden="1" customWidth="1"/>
    <col min="63" max="69" width="12.54296875" hidden="1" customWidth="1"/>
    <col min="70" max="71" width="17.54296875" hidden="1" customWidth="1"/>
    <col min="72" max="74" width="12.54296875" hidden="1" customWidth="1"/>
    <col min="75" max="75" width="12.7265625" hidden="1" customWidth="1"/>
    <col min="76" max="76" width="12.26953125" hidden="1" customWidth="1"/>
    <col min="77" max="16384" width="12.54296875" hidden="1"/>
  </cols>
  <sheetData>
    <row r="1" spans="1:27" ht="28.5" hidden="1" customHeight="1" x14ac:dyDescent="0.25">
      <c r="A1" s="432" t="s">
        <v>387</v>
      </c>
      <c r="B1" t="s">
        <v>388</v>
      </c>
      <c r="D1" t="s">
        <v>389</v>
      </c>
      <c r="E1" t="s">
        <v>45</v>
      </c>
      <c r="F1" t="s">
        <v>390</v>
      </c>
      <c r="G1" t="s">
        <v>391</v>
      </c>
      <c r="H1" t="s">
        <v>392</v>
      </c>
      <c r="I1" t="s">
        <v>393</v>
      </c>
    </row>
    <row r="2" spans="1:27" ht="60" customHeight="1" x14ac:dyDescent="0.25">
      <c r="A2" s="432"/>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5"/>
    </row>
    <row r="3" spans="1:27" ht="27.75" customHeight="1" x14ac:dyDescent="0.6">
      <c r="A3" s="131"/>
      <c r="B3" s="132"/>
      <c r="C3" s="132"/>
      <c r="D3" s="133"/>
      <c r="E3" s="2"/>
      <c r="F3" s="2"/>
      <c r="G3" s="87"/>
      <c r="H3" s="87"/>
      <c r="I3" s="87"/>
      <c r="J3" s="87"/>
      <c r="K3" s="87"/>
      <c r="M3" s="135" t="str">
        <f>"RSm "&amp;fyear</f>
        <v xml:space="preserve">RSm </v>
      </c>
      <c r="N3" s="87"/>
    </row>
    <row r="4" spans="1:27" ht="12.75" customHeight="1" x14ac:dyDescent="0.35">
      <c r="A4" s="131"/>
      <c r="B4" s="132"/>
      <c r="C4" s="132"/>
      <c r="D4" s="133"/>
      <c r="E4" s="2"/>
      <c r="F4" s="2"/>
      <c r="G4" s="87"/>
      <c r="H4" s="87"/>
      <c r="I4" s="87"/>
      <c r="J4" s="87"/>
      <c r="K4" s="87"/>
      <c r="L4" s="87"/>
      <c r="M4" s="87"/>
      <c r="N4" s="87"/>
    </row>
    <row r="5" spans="1:27" ht="12.75" customHeight="1" x14ac:dyDescent="0.35">
      <c r="A5" s="131"/>
      <c r="B5" s="132"/>
      <c r="C5" s="132"/>
      <c r="D5" s="133"/>
      <c r="E5" s="2"/>
      <c r="F5" s="2"/>
      <c r="G5" s="87"/>
      <c r="H5" s="87"/>
      <c r="I5" s="87"/>
      <c r="J5" s="87"/>
      <c r="K5" s="87"/>
      <c r="L5" s="87"/>
      <c r="M5" s="87"/>
      <c r="N5" s="87"/>
    </row>
    <row r="6" spans="1:27" ht="12.75" customHeight="1" x14ac:dyDescent="0.35">
      <c r="A6" s="131"/>
      <c r="B6" s="132"/>
      <c r="C6" s="132"/>
      <c r="D6" s="133"/>
      <c r="E6" s="2"/>
      <c r="F6" s="2"/>
      <c r="G6" s="87"/>
      <c r="H6" s="87"/>
      <c r="I6" s="87"/>
      <c r="J6" s="87"/>
      <c r="K6" s="87"/>
      <c r="L6" s="87"/>
      <c r="M6" s="87"/>
      <c r="N6" s="87"/>
    </row>
    <row r="7" spans="1:27" ht="12.75" customHeight="1" x14ac:dyDescent="0.35">
      <c r="A7" s="131"/>
      <c r="B7" s="132"/>
      <c r="C7" s="132"/>
      <c r="D7" s="133"/>
      <c r="E7" s="2"/>
      <c r="F7" s="2"/>
      <c r="G7" s="87"/>
      <c r="H7" s="87"/>
      <c r="I7" s="87"/>
      <c r="J7" s="87"/>
      <c r="K7" s="87"/>
      <c r="L7" s="87"/>
      <c r="M7" s="87"/>
      <c r="N7" s="87"/>
    </row>
    <row r="8" spans="1:27" ht="12.75" customHeight="1" x14ac:dyDescent="0.35">
      <c r="A8" s="131"/>
      <c r="B8" s="132"/>
      <c r="C8" s="132"/>
      <c r="D8" s="133"/>
      <c r="E8" s="2"/>
      <c r="F8" s="2"/>
      <c r="G8" s="87"/>
      <c r="H8" s="87"/>
      <c r="I8" s="87"/>
      <c r="J8" s="87"/>
      <c r="K8" s="87"/>
      <c r="L8" s="87"/>
      <c r="M8" s="87"/>
      <c r="N8" s="87"/>
    </row>
    <row r="9" spans="1:27" s="99" customFormat="1" ht="50.15" customHeight="1" x14ac:dyDescent="0.25">
      <c r="B9" s="1468" t="s">
        <v>54</v>
      </c>
      <c r="C9" s="1496"/>
      <c r="D9" s="1496"/>
      <c r="E9" s="1496"/>
      <c r="F9" s="1496"/>
      <c r="G9" s="1496"/>
      <c r="H9" s="1496"/>
      <c r="I9" s="1496"/>
      <c r="J9" s="1496"/>
      <c r="K9" s="691"/>
      <c r="L9" s="691"/>
      <c r="M9" s="692"/>
      <c r="N9" s="136"/>
      <c r="AA9" s="110"/>
    </row>
    <row r="10" spans="1:27" s="99" customFormat="1" ht="33" customHeight="1" x14ac:dyDescent="0.25">
      <c r="B10" s="1469" t="str">
        <f>"RSm - REVENUE OUTTURN SUMMARY MEMORANDUM SECTION "&amp;YearForm</f>
        <v>RSm - REVENUE OUTTURN SUMMARY MEMORANDUM SECTION 2025-26</v>
      </c>
      <c r="C10" s="1496"/>
      <c r="D10" s="1496"/>
      <c r="E10" s="1496"/>
      <c r="F10" s="1496"/>
      <c r="G10" s="1496"/>
      <c r="H10" s="1496"/>
      <c r="I10" s="1496"/>
      <c r="J10" s="691"/>
      <c r="K10" s="691"/>
      <c r="L10" s="691"/>
      <c r="M10" s="692"/>
      <c r="N10" s="136"/>
      <c r="AA10" s="110"/>
    </row>
    <row r="11" spans="1:27" ht="14.15" customHeight="1" x14ac:dyDescent="0.6">
      <c r="A11" s="137"/>
      <c r="B11" s="138"/>
      <c r="C11" s="138"/>
      <c r="D11" s="138"/>
      <c r="E11" s="138"/>
      <c r="F11" s="138"/>
      <c r="G11" s="138"/>
      <c r="H11" s="138"/>
      <c r="I11" s="87"/>
      <c r="J11" s="87"/>
      <c r="K11" s="87"/>
      <c r="L11" s="87"/>
      <c r="M11" s="87"/>
      <c r="N11" s="87"/>
    </row>
    <row r="12" spans="1:27" ht="18.75" customHeight="1" x14ac:dyDescent="0.4">
      <c r="A12" s="432"/>
      <c r="B12" s="1461" t="str">
        <f>"For return by: Provisional data: "&amp;deadline_provisional&amp;", Certified data: "&amp;deadline_certify&amp;""</f>
        <v>For return by: Provisional data: Friday 24 July 2026, Certified data: Friday 9 October 2026</v>
      </c>
      <c r="C12" s="1462"/>
      <c r="D12" s="1462"/>
      <c r="E12" s="1462"/>
      <c r="F12" s="1462"/>
      <c r="G12" s="1462"/>
      <c r="H12" s="1462"/>
      <c r="I12" s="1462"/>
      <c r="J12" s="1462"/>
      <c r="K12" s="693"/>
      <c r="L12" s="693"/>
      <c r="M12" s="694"/>
      <c r="N12" s="87"/>
    </row>
    <row r="13" spans="1:27" ht="12" customHeight="1" x14ac:dyDescent="0.3">
      <c r="A13" s="40"/>
      <c r="B13" s="40"/>
      <c r="C13" s="40"/>
      <c r="D13" s="40"/>
      <c r="E13" s="40"/>
      <c r="F13" s="40"/>
      <c r="G13" s="40"/>
      <c r="H13" s="40"/>
      <c r="I13" s="40"/>
      <c r="J13" s="90"/>
      <c r="K13" s="40"/>
      <c r="L13" s="40"/>
      <c r="M13" s="40"/>
      <c r="N13" s="40"/>
      <c r="O13" s="22"/>
    </row>
    <row r="14" spans="1:27" ht="21" customHeight="1" x14ac:dyDescent="0.25">
      <c r="A14" s="695"/>
      <c r="B14" s="1471" t="s">
        <v>394</v>
      </c>
      <c r="C14" s="1471"/>
      <c r="D14" s="1471"/>
      <c r="E14" s="1471"/>
      <c r="F14" s="1471"/>
      <c r="G14" s="1471"/>
      <c r="H14" s="1471"/>
      <c r="I14" s="1471"/>
      <c r="J14" s="1471"/>
      <c r="K14" s="695"/>
      <c r="L14" s="695"/>
      <c r="M14" s="692"/>
      <c r="N14" s="94"/>
      <c r="O14" s="345"/>
    </row>
    <row r="15" spans="1:27" ht="21" customHeight="1" x14ac:dyDescent="0.25">
      <c r="A15" s="432"/>
      <c r="B15" s="1497" t="s">
        <v>395</v>
      </c>
      <c r="C15" s="1496"/>
      <c r="D15" s="1496"/>
      <c r="E15" s="1496"/>
      <c r="F15" s="1496"/>
      <c r="G15" s="1496"/>
      <c r="H15" s="1496"/>
      <c r="I15" s="1496"/>
      <c r="J15" s="1496"/>
      <c r="K15" s="696"/>
      <c r="L15" s="696"/>
      <c r="M15" s="692"/>
      <c r="N15" s="40"/>
      <c r="O15" s="22"/>
    </row>
    <row r="16" spans="1:27" ht="20" x14ac:dyDescent="0.35">
      <c r="A16" s="139"/>
      <c r="B16" s="140"/>
      <c r="C16" s="140"/>
      <c r="D16" s="40"/>
      <c r="E16" s="141"/>
      <c r="F16" s="40"/>
      <c r="G16" s="40"/>
      <c r="H16" s="346"/>
      <c r="I16" s="202"/>
      <c r="J16" s="90"/>
      <c r="K16" s="40"/>
      <c r="L16" s="40"/>
      <c r="M16" s="40"/>
      <c r="N16" s="40"/>
      <c r="O16" s="22"/>
    </row>
    <row r="17" spans="1:48" ht="32.15" customHeight="1" x14ac:dyDescent="0.35">
      <c r="A17" s="550"/>
      <c r="B17" s="340"/>
      <c r="C17" s="340"/>
      <c r="D17" s="340"/>
      <c r="E17" s="340"/>
      <c r="F17" s="340"/>
      <c r="G17" s="340"/>
      <c r="H17" s="340"/>
      <c r="I17" s="340"/>
      <c r="J17" s="340"/>
      <c r="K17" s="40"/>
      <c r="L17" s="40"/>
      <c r="M17" s="40"/>
      <c r="N17" s="40"/>
      <c r="O17" s="22"/>
      <c r="Z17" s="407" t="s">
        <v>53</v>
      </c>
    </row>
    <row r="18" spans="1:48" ht="19.5" customHeight="1" x14ac:dyDescent="0.35">
      <c r="A18" s="432"/>
      <c r="B18" s="143" t="str">
        <f>"Please note, your authority is only required to complete and return the following forms: "&amp;VLOOKUP(LA_name,'LA List'!A2:H416,8,0)</f>
        <v>Please note, your authority is only required to complete and return the following forms: Forms to be completed will appear here !</v>
      </c>
      <c r="C18" s="144"/>
      <c r="D18" s="142"/>
      <c r="E18" s="142"/>
      <c r="F18" s="142"/>
      <c r="G18" s="142"/>
      <c r="H18" s="142"/>
      <c r="I18" s="142"/>
      <c r="J18" s="90"/>
      <c r="K18" s="40"/>
      <c r="L18" s="40"/>
      <c r="M18" s="40"/>
      <c r="N18" s="40"/>
      <c r="O18" s="22"/>
      <c r="AA18"/>
    </row>
    <row r="19" spans="1:48" ht="12" customHeight="1" x14ac:dyDescent="0.35">
      <c r="A19" s="411"/>
      <c r="B19" s="144"/>
      <c r="C19" s="144"/>
      <c r="D19" s="142"/>
      <c r="E19" s="142"/>
      <c r="F19" s="142"/>
      <c r="G19" s="142"/>
      <c r="H19" s="142"/>
      <c r="I19" s="142"/>
      <c r="J19" s="90"/>
      <c r="K19" s="40"/>
      <c r="L19" s="40"/>
      <c r="M19" s="40"/>
      <c r="N19" s="40"/>
      <c r="O19" s="22"/>
      <c r="AA19"/>
    </row>
    <row r="20" spans="1:48" ht="26.25" customHeight="1" x14ac:dyDescent="0.5">
      <c r="A20" s="432"/>
      <c r="B20" s="101" t="str">
        <f>VLOOKUP(LA_name,'LA List'!A2:C416,2,0)</f>
        <v>Please select your authority name on Title page</v>
      </c>
      <c r="C20" s="442"/>
      <c r="D20" s="442"/>
      <c r="E20" s="2"/>
      <c r="F20" s="153"/>
      <c r="G20" s="94"/>
      <c r="H20" s="87"/>
      <c r="I20" s="87"/>
      <c r="J20" s="87"/>
      <c r="K20" s="87"/>
      <c r="L20" s="87"/>
      <c r="M20" s="87"/>
      <c r="N20" s="87"/>
    </row>
    <row r="21" spans="1:48" ht="18" customHeight="1" x14ac:dyDescent="0.4">
      <c r="A21" s="432"/>
      <c r="B21" s="103" t="str">
        <f>ContactDetails!C25</f>
        <v>E-code</v>
      </c>
      <c r="C21" s="442"/>
      <c r="D21" s="442"/>
      <c r="E21" s="505"/>
      <c r="F21" s="1208"/>
      <c r="G21" s="1479"/>
      <c r="H21" s="68"/>
      <c r="I21" s="87"/>
      <c r="J21" s="87"/>
      <c r="K21" s="87"/>
      <c r="L21" s="87"/>
      <c r="M21" s="87"/>
      <c r="N21" s="87"/>
      <c r="AV21" t="s">
        <v>396</v>
      </c>
    </row>
    <row r="22" spans="1:48" ht="18" customHeight="1" x14ac:dyDescent="0.4">
      <c r="A22" s="432"/>
      <c r="B22" s="103"/>
      <c r="C22" s="442"/>
      <c r="D22" s="442"/>
      <c r="E22" s="505"/>
      <c r="F22" s="1208"/>
      <c r="G22" s="1479"/>
      <c r="H22" s="68"/>
      <c r="I22" s="87"/>
      <c r="J22" s="87"/>
      <c r="K22" s="87"/>
      <c r="L22" s="87"/>
      <c r="M22" s="87"/>
      <c r="N22" s="87"/>
    </row>
    <row r="23" spans="1:48" ht="18" customHeight="1" x14ac:dyDescent="0.35">
      <c r="A23" s="432"/>
      <c r="B23" s="445" t="s">
        <v>397</v>
      </c>
      <c r="C23" s="442"/>
      <c r="D23" s="317" t="s">
        <v>398</v>
      </c>
      <c r="E23" s="317" t="s">
        <v>399</v>
      </c>
      <c r="F23" s="317" t="s">
        <v>400</v>
      </c>
      <c r="G23" s="1479"/>
      <c r="H23" s="68"/>
      <c r="I23" s="87"/>
      <c r="J23" s="87"/>
      <c r="K23" s="87"/>
      <c r="L23" s="87"/>
      <c r="M23" s="87"/>
      <c r="N23" s="87"/>
    </row>
    <row r="24" spans="1:48" ht="18" customHeight="1" x14ac:dyDescent="0.35">
      <c r="A24" s="432"/>
      <c r="C24" s="442"/>
      <c r="F24" s="1110" t="s">
        <v>60</v>
      </c>
      <c r="G24" s="1479"/>
      <c r="H24" s="68"/>
      <c r="I24" s="87"/>
      <c r="J24" s="87"/>
      <c r="K24" s="87"/>
      <c r="L24" s="87"/>
      <c r="M24" s="87"/>
      <c r="N24" s="87"/>
    </row>
    <row r="25" spans="1:48" ht="18" customHeight="1" x14ac:dyDescent="0.35">
      <c r="A25" s="432"/>
      <c r="C25" s="442"/>
      <c r="D25" s="317"/>
      <c r="E25" s="317"/>
      <c r="F25" s="551" t="str">
        <f>YearForm</f>
        <v>2025-26</v>
      </c>
      <c r="G25" s="1479"/>
      <c r="H25" s="68"/>
      <c r="I25" s="87"/>
      <c r="J25" s="87"/>
      <c r="K25" s="87"/>
      <c r="L25" s="87"/>
      <c r="M25" s="87"/>
      <c r="N25" s="87"/>
    </row>
    <row r="26" spans="1:48" ht="52.5" x14ac:dyDescent="0.35">
      <c r="A26" s="432"/>
      <c r="C26" s="442"/>
      <c r="D26" s="1283" t="s">
        <v>401</v>
      </c>
      <c r="E26" s="1283" t="s">
        <v>402</v>
      </c>
      <c r="F26" s="1283" t="s">
        <v>403</v>
      </c>
      <c r="G26" s="1479"/>
      <c r="H26" s="68"/>
      <c r="I26" s="87"/>
      <c r="J26" s="87"/>
      <c r="K26" s="87"/>
      <c r="L26" s="87"/>
      <c r="M26" s="87"/>
      <c r="N26" s="87"/>
    </row>
    <row r="27" spans="1:48" ht="18" customHeight="1" x14ac:dyDescent="0.35">
      <c r="A27" s="1218" t="s">
        <v>404</v>
      </c>
      <c r="B27" s="553" t="s">
        <v>405</v>
      </c>
      <c r="C27" s="442"/>
      <c r="D27" s="1284"/>
      <c r="E27" s="1284"/>
      <c r="F27" s="1284"/>
      <c r="G27" s="1479"/>
      <c r="H27" s="68"/>
      <c r="I27" s="87"/>
      <c r="J27" s="87"/>
      <c r="K27" s="87"/>
      <c r="L27" s="87"/>
      <c r="M27" s="87"/>
      <c r="N27" s="87"/>
    </row>
    <row r="28" spans="1:48" ht="18" customHeight="1" x14ac:dyDescent="0.35">
      <c r="A28" s="1218" t="s">
        <v>406</v>
      </c>
      <c r="B28" s="553" t="s">
        <v>407</v>
      </c>
      <c r="C28" s="442"/>
      <c r="D28" s="1284"/>
      <c r="E28" s="1284"/>
      <c r="F28" s="1284"/>
      <c r="G28" s="1479"/>
      <c r="H28" s="68"/>
      <c r="I28" s="87"/>
      <c r="J28" s="87"/>
      <c r="K28" s="87"/>
      <c r="L28" s="87"/>
      <c r="M28" s="87"/>
      <c r="N28" s="87"/>
    </row>
    <row r="29" spans="1:48" ht="18" customHeight="1" x14ac:dyDescent="0.4">
      <c r="A29" s="432"/>
      <c r="B29" s="103"/>
      <c r="C29" s="442"/>
      <c r="D29" s="442"/>
      <c r="E29" s="505"/>
      <c r="F29" s="1208"/>
      <c r="G29" s="1479"/>
      <c r="H29" s="68"/>
      <c r="I29" s="87"/>
      <c r="J29" s="87"/>
      <c r="K29" s="87"/>
      <c r="L29" s="87"/>
      <c r="M29" s="87"/>
      <c r="N29" s="87"/>
    </row>
    <row r="30" spans="1:48" ht="18" customHeight="1" x14ac:dyDescent="0.35">
      <c r="A30" s="206"/>
      <c r="B30" s="347"/>
      <c r="C30" s="347"/>
      <c r="D30" s="46"/>
      <c r="E30" s="505"/>
      <c r="F30" s="1208"/>
      <c r="G30" s="1479"/>
      <c r="H30" s="68"/>
      <c r="I30" s="87"/>
      <c r="J30" s="87"/>
      <c r="K30" s="87"/>
      <c r="L30" s="87"/>
      <c r="M30" s="87"/>
      <c r="N30" s="87"/>
      <c r="AV30" t="s">
        <v>408</v>
      </c>
    </row>
    <row r="31" spans="1:48" ht="15.5" x14ac:dyDescent="0.35">
      <c r="A31" s="206"/>
      <c r="B31" s="1013" t="s">
        <v>409</v>
      </c>
      <c r="C31" s="2"/>
      <c r="D31" s="41"/>
      <c r="E31" s="505"/>
      <c r="F31" s="1208"/>
      <c r="G31" s="1479"/>
      <c r="H31" s="68"/>
      <c r="I31" s="87"/>
      <c r="J31" s="87"/>
      <c r="K31" s="87"/>
      <c r="L31" s="87"/>
      <c r="M31" s="87"/>
      <c r="N31" s="87"/>
      <c r="AV31" t="s">
        <v>410</v>
      </c>
    </row>
    <row r="32" spans="1:48" ht="15.5" x14ac:dyDescent="0.35">
      <c r="A32" s="145" t="s">
        <v>411</v>
      </c>
      <c r="B32" s="1486" t="s">
        <v>396</v>
      </c>
      <c r="C32" s="1487"/>
      <c r="D32" s="1487"/>
      <c r="E32" s="1487"/>
      <c r="F32" s="1488"/>
      <c r="G32" s="343"/>
      <c r="H32" s="68"/>
      <c r="I32" s="87"/>
      <c r="J32" s="87"/>
      <c r="K32" s="87"/>
      <c r="L32" s="87"/>
      <c r="M32" s="87"/>
      <c r="N32" s="87"/>
      <c r="AV32" t="s">
        <v>412</v>
      </c>
    </row>
    <row r="33" spans="1:27" s="1" customFormat="1" ht="15.5" x14ac:dyDescent="0.35">
      <c r="A33" s="84"/>
      <c r="B33" s="280"/>
      <c r="C33" s="6"/>
      <c r="D33" s="6"/>
      <c r="E33" s="50"/>
      <c r="F33" s="287"/>
      <c r="G33" s="161"/>
      <c r="H33" s="159"/>
      <c r="I33" s="2"/>
      <c r="J33" s="2"/>
      <c r="K33" s="2"/>
      <c r="L33" s="2"/>
      <c r="M33" s="2"/>
      <c r="N33" s="2"/>
      <c r="AA33" s="111"/>
    </row>
    <row r="34" spans="1:27" ht="15.5" x14ac:dyDescent="0.35">
      <c r="A34" s="182"/>
      <c r="B34" s="6"/>
      <c r="C34" s="6"/>
      <c r="D34" s="6"/>
      <c r="F34" s="76"/>
      <c r="G34" s="6"/>
      <c r="H34" s="87"/>
      <c r="I34" s="87"/>
      <c r="J34" s="87"/>
      <c r="K34" s="87"/>
      <c r="L34" s="87"/>
      <c r="M34" s="87"/>
      <c r="N34" s="87"/>
    </row>
    <row r="35" spans="1:27" ht="15.5" x14ac:dyDescent="0.35">
      <c r="A35" s="206"/>
      <c r="B35" s="87"/>
      <c r="C35" s="87"/>
      <c r="D35" s="437" t="s">
        <v>413</v>
      </c>
      <c r="F35" s="87"/>
      <c r="G35" s="87"/>
      <c r="H35" s="87"/>
      <c r="I35" s="552" t="s">
        <v>60</v>
      </c>
      <c r="J35" s="87"/>
      <c r="K35" s="87"/>
      <c r="L35" s="87"/>
      <c r="M35" s="87"/>
      <c r="N35" s="87"/>
    </row>
    <row r="36" spans="1:27" ht="15.5" x14ac:dyDescent="0.35">
      <c r="A36" s="432"/>
      <c r="B36" s="499" t="s">
        <v>414</v>
      </c>
      <c r="C36" s="450"/>
      <c r="D36" s="437" t="s">
        <v>415</v>
      </c>
      <c r="F36" s="280"/>
      <c r="G36" s="280"/>
      <c r="I36" s="551" t="str">
        <f>YearForm</f>
        <v>2025-26</v>
      </c>
      <c r="K36" s="1484"/>
      <c r="L36" s="1484"/>
      <c r="M36" s="280"/>
      <c r="N36" s="1485"/>
      <c r="O36" s="1485"/>
      <c r="P36" s="280"/>
      <c r="Q36" s="280"/>
      <c r="R36" s="280"/>
    </row>
    <row r="37" spans="1:27" ht="39.5" x14ac:dyDescent="0.35">
      <c r="A37" s="451"/>
      <c r="B37" s="469"/>
      <c r="C37" s="470"/>
      <c r="D37" s="1283" t="s">
        <v>416</v>
      </c>
      <c r="E37" s="1283" t="s">
        <v>417</v>
      </c>
      <c r="F37" s="1283" t="s">
        <v>418</v>
      </c>
      <c r="G37" s="1283" t="s">
        <v>419</v>
      </c>
      <c r="H37" s="1283" t="s">
        <v>420</v>
      </c>
      <c r="I37" s="1283" t="s">
        <v>421</v>
      </c>
      <c r="J37" s="455"/>
      <c r="K37" s="1484"/>
      <c r="L37" s="1484"/>
      <c r="M37" s="280"/>
      <c r="N37" s="1485"/>
      <c r="O37" s="1485"/>
      <c r="P37" s="280"/>
      <c r="Q37" s="280"/>
      <c r="R37" s="280"/>
    </row>
    <row r="38" spans="1:27" ht="15.5" x14ac:dyDescent="0.35">
      <c r="A38" s="705" t="s">
        <v>422</v>
      </c>
      <c r="B38" s="554" t="s">
        <v>423</v>
      </c>
      <c r="C38" s="470"/>
      <c r="D38" s="1285"/>
      <c r="E38" s="1285"/>
      <c r="F38" s="1285"/>
      <c r="G38" s="1285"/>
      <c r="H38" s="1286">
        <f>SUM(E38:G38)</f>
        <v>0</v>
      </c>
      <c r="I38" s="1287">
        <f>D38+H38</f>
        <v>0</v>
      </c>
      <c r="J38" s="455"/>
      <c r="M38" s="280"/>
      <c r="N38" s="1485"/>
      <c r="O38" s="1485"/>
      <c r="P38" s="280"/>
      <c r="Q38" s="280"/>
      <c r="R38" s="280"/>
    </row>
    <row r="39" spans="1:27" ht="15.5" x14ac:dyDescent="0.35">
      <c r="A39" s="705" t="s">
        <v>424</v>
      </c>
      <c r="B39" s="554" t="s">
        <v>425</v>
      </c>
      <c r="C39" s="470"/>
      <c r="D39" s="1285"/>
      <c r="E39" s="1285"/>
      <c r="F39" s="1285"/>
      <c r="G39" s="1285"/>
      <c r="H39" s="1286">
        <f>SUM(E39:G39)</f>
        <v>0</v>
      </c>
      <c r="I39" s="1287">
        <f>D39+H39</f>
        <v>0</v>
      </c>
      <c r="J39" s="455"/>
      <c r="K39" s="1484"/>
      <c r="L39" s="1484"/>
      <c r="M39" s="280"/>
      <c r="N39" s="1485"/>
      <c r="O39" s="1485"/>
      <c r="P39" s="280"/>
      <c r="Q39" s="280"/>
      <c r="R39" s="280"/>
    </row>
    <row r="40" spans="1:27" ht="15.5" x14ac:dyDescent="0.35">
      <c r="A40" s="705" t="s">
        <v>426</v>
      </c>
      <c r="B40" s="554" t="s">
        <v>427</v>
      </c>
      <c r="C40" s="470"/>
      <c r="D40" s="1285"/>
      <c r="E40" s="1285"/>
      <c r="F40" s="1285"/>
      <c r="G40" s="1285"/>
      <c r="H40" s="1286">
        <f>SUM(E40:G40)</f>
        <v>0</v>
      </c>
      <c r="I40" s="1288">
        <f>D40+H40</f>
        <v>0</v>
      </c>
      <c r="J40" s="455"/>
      <c r="K40" s="1484"/>
      <c r="L40" s="1484"/>
      <c r="M40" s="280"/>
      <c r="N40" s="1485"/>
      <c r="O40" s="1485"/>
      <c r="P40" s="280"/>
      <c r="Q40" s="280"/>
      <c r="R40" s="280"/>
    </row>
    <row r="41" spans="1:27" ht="15.5" x14ac:dyDescent="0.35">
      <c r="A41" s="451" t="s">
        <v>428</v>
      </c>
      <c r="B41" s="553" t="s">
        <v>429</v>
      </c>
      <c r="C41" s="470"/>
      <c r="D41" s="1286">
        <f>SUM(D38:D40)</f>
        <v>0</v>
      </c>
      <c r="E41" s="1286">
        <f>SUM(E38:E40)</f>
        <v>0</v>
      </c>
      <c r="F41" s="1286">
        <f>SUM(F38:F40)</f>
        <v>0</v>
      </c>
      <c r="G41" s="1286">
        <f>SUM(G38:G40)</f>
        <v>0</v>
      </c>
      <c r="H41" s="1289">
        <f>SUM(H38:H40)</f>
        <v>0</v>
      </c>
      <c r="I41" s="1288">
        <f>D41+H41</f>
        <v>0</v>
      </c>
      <c r="J41" s="455"/>
      <c r="K41" s="1484"/>
      <c r="L41" s="1484"/>
      <c r="M41" s="280"/>
      <c r="N41" s="1485"/>
      <c r="O41" s="1485"/>
      <c r="P41" s="280"/>
      <c r="Q41" s="280"/>
      <c r="R41" s="280"/>
    </row>
    <row r="42" spans="1:27" ht="48" customHeight="1" x14ac:dyDescent="0.35">
      <c r="A42" s="451"/>
      <c r="B42" s="555" t="s">
        <v>430</v>
      </c>
      <c r="C42" s="450"/>
      <c r="D42" s="709" t="str">
        <f>IF((MAX(D38:D41)&gt;0),"ERROR - this income column must not contain any +ve figure!","")</f>
        <v/>
      </c>
      <c r="E42" s="709" t="str">
        <f>IF((MIN(E38:H41)&lt;0),"ERROR - spend columns must not contain any -ve figures!","")</f>
        <v/>
      </c>
      <c r="F42" s="498" t="str">
        <f>IF(OR(MAX(D38:I41)&gt;10000,MIN(D38:I41)&lt;-10000),"CHECK UNITS - Have you completed any cells in £ rather than thousands of pounds?","")</f>
        <v/>
      </c>
      <c r="G42" s="496"/>
      <c r="H42" s="497"/>
      <c r="I42" s="448"/>
      <c r="J42" s="93"/>
      <c r="K42" s="1484"/>
      <c r="L42" s="1484"/>
      <c r="M42" s="280"/>
      <c r="N42" s="1485"/>
      <c r="O42" s="1485"/>
      <c r="P42" s="280"/>
      <c r="Q42" s="280"/>
      <c r="R42" s="280"/>
    </row>
    <row r="43" spans="1:27" ht="27.65" customHeight="1" x14ac:dyDescent="0.35">
      <c r="A43" s="451"/>
      <c r="B43" s="424" t="s">
        <v>431</v>
      </c>
      <c r="C43" s="556"/>
      <c r="D43" s="280"/>
      <c r="E43" s="280"/>
      <c r="F43" s="452"/>
      <c r="G43" s="453"/>
      <c r="H43" s="454"/>
      <c r="I43" s="93"/>
      <c r="J43" s="93"/>
      <c r="K43" s="1484"/>
      <c r="L43" s="1484"/>
      <c r="M43" s="280"/>
      <c r="N43" s="1485"/>
      <c r="O43" s="1485"/>
      <c r="P43" s="280"/>
      <c r="Q43" s="280"/>
      <c r="R43" s="280"/>
    </row>
    <row r="44" spans="1:27" ht="51.65" customHeight="1" x14ac:dyDescent="0.35">
      <c r="A44" s="451"/>
      <c r="B44" s="1490"/>
      <c r="C44" s="1491"/>
      <c r="D44" s="1491"/>
      <c r="E44" s="1491"/>
      <c r="F44" s="1491"/>
      <c r="G44" s="1491"/>
      <c r="H44" s="1491"/>
      <c r="I44" s="1491"/>
      <c r="J44" s="1492"/>
      <c r="K44" s="1484"/>
      <c r="L44" s="1484"/>
      <c r="M44" s="280"/>
      <c r="N44" s="1485"/>
      <c r="O44" s="1485"/>
      <c r="P44" s="280"/>
      <c r="Q44" s="280"/>
      <c r="R44" s="280"/>
    </row>
    <row r="45" spans="1:27" ht="30" customHeight="1" x14ac:dyDescent="0.25">
      <c r="A45"/>
      <c r="B45" s="280"/>
      <c r="C45" s="280"/>
      <c r="D45" s="280"/>
      <c r="E45" s="280"/>
      <c r="F45" s="280"/>
      <c r="G45" s="280"/>
      <c r="H45" s="280"/>
      <c r="I45" s="280"/>
      <c r="J45" s="280"/>
      <c r="AA45"/>
    </row>
    <row r="46" spans="1:27" ht="15.5" x14ac:dyDescent="0.35">
      <c r="A46" s="451"/>
      <c r="B46" s="445" t="s">
        <v>432</v>
      </c>
      <c r="C46" s="556"/>
      <c r="D46" s="1489"/>
      <c r="E46" s="1489"/>
      <c r="F46" s="280"/>
      <c r="G46" s="453"/>
      <c r="H46" s="454"/>
      <c r="I46" s="93"/>
      <c r="J46" s="93"/>
      <c r="K46" s="1484"/>
      <c r="L46" s="1484"/>
      <c r="M46" s="280"/>
      <c r="N46" s="1485"/>
      <c r="O46" s="1485"/>
      <c r="P46" s="280"/>
      <c r="Q46" s="280"/>
      <c r="R46" s="280"/>
    </row>
    <row r="47" spans="1:27" ht="15.5" x14ac:dyDescent="0.35">
      <c r="A47" s="451"/>
      <c r="B47" s="424" t="s">
        <v>433</v>
      </c>
      <c r="C47" s="556"/>
      <c r="D47" s="280"/>
      <c r="E47" s="280"/>
      <c r="F47" s="556"/>
      <c r="G47" s="453"/>
      <c r="H47" s="454"/>
      <c r="I47" s="93"/>
      <c r="J47" s="93"/>
      <c r="K47" s="1484"/>
      <c r="L47" s="1484"/>
      <c r="M47" s="280"/>
      <c r="N47" s="1485"/>
      <c r="O47" s="1485"/>
      <c r="P47" s="280"/>
      <c r="Q47" s="280"/>
      <c r="R47" s="280"/>
    </row>
    <row r="48" spans="1:27" ht="53.9" customHeight="1" x14ac:dyDescent="0.35">
      <c r="A48" s="451" t="s">
        <v>434</v>
      </c>
      <c r="B48" s="1481"/>
      <c r="C48" s="1482"/>
      <c r="D48" s="1482"/>
      <c r="E48" s="1482"/>
      <c r="F48" s="1482"/>
      <c r="G48" s="1482"/>
      <c r="H48" s="1482"/>
      <c r="I48" s="1482"/>
      <c r="J48" s="1483"/>
      <c r="K48" s="1484"/>
      <c r="L48" s="1484"/>
      <c r="M48" s="280"/>
      <c r="N48" s="1485"/>
      <c r="O48" s="1485"/>
      <c r="P48" s="280"/>
      <c r="Q48" s="280"/>
      <c r="R48" s="280"/>
    </row>
    <row r="49" spans="1:5" ht="12.5" x14ac:dyDescent="0.25">
      <c r="A49" s="432"/>
    </row>
    <row r="50" spans="1:5" ht="12.5" x14ac:dyDescent="0.25">
      <c r="A50" s="432"/>
    </row>
    <row r="51" spans="1:5" ht="12.5" x14ac:dyDescent="0.25">
      <c r="A51" s="432"/>
    </row>
    <row r="52" spans="1:5" ht="12.5" x14ac:dyDescent="0.25">
      <c r="A52" s="432"/>
      <c r="B52" s="1480"/>
      <c r="C52" s="1480"/>
      <c r="D52" s="1480"/>
      <c r="E52" s="1480"/>
    </row>
    <row r="53" spans="1:5" ht="12.5" x14ac:dyDescent="0.25">
      <c r="A53" s="432"/>
    </row>
    <row r="54" spans="1:5" ht="12.5" x14ac:dyDescent="0.25">
      <c r="A54" s="432"/>
    </row>
    <row r="55" spans="1:5" ht="12.5" x14ac:dyDescent="0.25">
      <c r="A55" s="432"/>
    </row>
    <row r="56" spans="1:5" ht="12.5" x14ac:dyDescent="0.25">
      <c r="A56" s="432"/>
    </row>
    <row r="57" spans="1:5" ht="12.5" x14ac:dyDescent="0.25">
      <c r="A57" s="432"/>
    </row>
    <row r="58" spans="1:5" ht="12.5" x14ac:dyDescent="0.25">
      <c r="A58" s="432"/>
    </row>
    <row r="59" spans="1:5" ht="12.5" x14ac:dyDescent="0.25">
      <c r="A59" s="432"/>
    </row>
    <row r="60" spans="1:5" ht="12.5" x14ac:dyDescent="0.25">
      <c r="A60" s="432"/>
    </row>
    <row r="61" spans="1:5" ht="12.5" x14ac:dyDescent="0.25">
      <c r="A61" s="432"/>
    </row>
    <row r="62" spans="1:5" ht="12.5" x14ac:dyDescent="0.25">
      <c r="A62" s="432"/>
    </row>
    <row r="63" spans="1:5" ht="12.5" x14ac:dyDescent="0.25">
      <c r="A63" s="432"/>
    </row>
    <row r="64" spans="1:5" ht="12.5" x14ac:dyDescent="0.25">
      <c r="A64" s="432"/>
    </row>
    <row r="65" spans="1:1" ht="12.5" x14ac:dyDescent="0.25">
      <c r="A65" s="432"/>
    </row>
    <row r="66" spans="1:1" ht="12.5" x14ac:dyDescent="0.25">
      <c r="A66" s="432"/>
    </row>
    <row r="67" spans="1:1" ht="12.5" x14ac:dyDescent="0.25">
      <c r="A67" s="432"/>
    </row>
    <row r="68" spans="1:1" ht="12.5" x14ac:dyDescent="0.25">
      <c r="A68" s="432"/>
    </row>
    <row r="69" spans="1:1" ht="12.5" x14ac:dyDescent="0.25">
      <c r="A69" s="432"/>
    </row>
    <row r="70" spans="1:1" ht="12.5" x14ac:dyDescent="0.25">
      <c r="A70" s="432"/>
    </row>
    <row r="71" spans="1:1" ht="12.5" x14ac:dyDescent="0.25">
      <c r="A71" s="432"/>
    </row>
    <row r="72" spans="1:1" ht="12.5" x14ac:dyDescent="0.25">
      <c r="A72" s="432"/>
    </row>
    <row r="73" spans="1:1" ht="12.5" x14ac:dyDescent="0.25">
      <c r="A73" s="432"/>
    </row>
    <row r="74" spans="1:1" ht="12.5" x14ac:dyDescent="0.25">
      <c r="A74" s="432"/>
    </row>
    <row r="75" spans="1:1" ht="12.5" x14ac:dyDescent="0.25">
      <c r="A75" s="432"/>
    </row>
    <row r="76" spans="1:1" ht="12.5" x14ac:dyDescent="0.25">
      <c r="A76" s="432"/>
    </row>
    <row r="77" spans="1:1" ht="12.5" x14ac:dyDescent="0.25">
      <c r="A77" s="432"/>
    </row>
    <row r="78" spans="1:1" ht="12.5" x14ac:dyDescent="0.25">
      <c r="A78" s="432"/>
    </row>
    <row r="79" spans="1:1" ht="12.5" x14ac:dyDescent="0.25">
      <c r="A79" s="432"/>
    </row>
    <row r="80" spans="1:1" ht="12.5" x14ac:dyDescent="0.25">
      <c r="A80" s="432"/>
    </row>
    <row r="81" spans="1:1" ht="12.5" x14ac:dyDescent="0.25">
      <c r="A81" s="432"/>
    </row>
    <row r="82" spans="1:1" ht="12.5" x14ac:dyDescent="0.25">
      <c r="A82" s="432"/>
    </row>
    <row r="83" spans="1:1" ht="12.5" x14ac:dyDescent="0.25">
      <c r="A83" s="432"/>
    </row>
    <row r="84" spans="1:1" ht="12.5" x14ac:dyDescent="0.25">
      <c r="A84" s="432"/>
    </row>
    <row r="85" spans="1:1" ht="12.5" x14ac:dyDescent="0.25">
      <c r="A85" s="432"/>
    </row>
    <row r="86" spans="1:1" ht="12.5" x14ac:dyDescent="0.25">
      <c r="A86" s="432"/>
    </row>
    <row r="87" spans="1:1" ht="12.5" x14ac:dyDescent="0.25">
      <c r="A87" s="432"/>
    </row>
    <row r="88" spans="1:1" ht="12.5" x14ac:dyDescent="0.25">
      <c r="A88" s="432"/>
    </row>
    <row r="89" spans="1:1" ht="12.5" x14ac:dyDescent="0.25">
      <c r="A89" s="432"/>
    </row>
    <row r="90" spans="1:1" ht="12.5" x14ac:dyDescent="0.25">
      <c r="A90" s="432"/>
    </row>
    <row r="91" spans="1:1" ht="12.5" x14ac:dyDescent="0.25">
      <c r="A91" s="432"/>
    </row>
    <row r="92" spans="1:1" ht="12.5" x14ac:dyDescent="0.25">
      <c r="A92" s="432"/>
    </row>
    <row r="93" spans="1:1" ht="12.5" x14ac:dyDescent="0.25">
      <c r="A93" s="432"/>
    </row>
    <row r="94" spans="1:1" ht="12.5" x14ac:dyDescent="0.25">
      <c r="A94" s="432"/>
    </row>
    <row r="95" spans="1:1" ht="12.5" x14ac:dyDescent="0.25">
      <c r="A95" s="432"/>
    </row>
    <row r="96" spans="1:1" ht="12.5" x14ac:dyDescent="0.25">
      <c r="A96" s="432"/>
    </row>
    <row r="97" spans="1:1" ht="12.5" x14ac:dyDescent="0.25">
      <c r="A97" s="432"/>
    </row>
    <row r="98" spans="1:1" ht="12.5" x14ac:dyDescent="0.25">
      <c r="A98" s="432"/>
    </row>
    <row r="99" spans="1:1" ht="12.5" x14ac:dyDescent="0.25">
      <c r="A99" s="432"/>
    </row>
    <row r="100" spans="1:1" ht="12.5" x14ac:dyDescent="0.25">
      <c r="A100" s="432"/>
    </row>
    <row r="101" spans="1:1" ht="12.5" x14ac:dyDescent="0.25">
      <c r="A101" s="432"/>
    </row>
    <row r="102" spans="1:1" ht="12.5" x14ac:dyDescent="0.25">
      <c r="A102" s="432"/>
    </row>
    <row r="103" spans="1:1" ht="12.5" x14ac:dyDescent="0.25">
      <c r="A103" s="432"/>
    </row>
    <row r="104" spans="1:1" ht="12.5" x14ac:dyDescent="0.25">
      <c r="A104" s="432"/>
    </row>
    <row r="105" spans="1:1" ht="12.5" x14ac:dyDescent="0.25">
      <c r="A105" s="432"/>
    </row>
    <row r="106" spans="1:1" ht="12.5" x14ac:dyDescent="0.25">
      <c r="A106" s="432"/>
    </row>
    <row r="107" spans="1:1" ht="12.5" x14ac:dyDescent="0.25">
      <c r="A107" s="432"/>
    </row>
    <row r="108" spans="1:1" ht="12.5" x14ac:dyDescent="0.25">
      <c r="A108" s="432"/>
    </row>
    <row r="109" spans="1:1" ht="12.5" x14ac:dyDescent="0.25">
      <c r="A109" s="432"/>
    </row>
    <row r="110" spans="1:1" ht="12.5" x14ac:dyDescent="0.25">
      <c r="A110" s="432"/>
    </row>
    <row r="111" spans="1:1" ht="12.5" x14ac:dyDescent="0.25">
      <c r="A111" s="432"/>
    </row>
    <row r="112" spans="1:1" ht="12.5" x14ac:dyDescent="0.25">
      <c r="A112" s="432"/>
    </row>
    <row r="113" spans="1:1" ht="12.5" x14ac:dyDescent="0.25">
      <c r="A113" s="432"/>
    </row>
    <row r="114" spans="1:1" ht="12.5" x14ac:dyDescent="0.25">
      <c r="A114" s="432"/>
    </row>
    <row r="115" spans="1:1" ht="12.5" x14ac:dyDescent="0.25">
      <c r="A115" s="432"/>
    </row>
    <row r="116" spans="1:1" ht="12.5" x14ac:dyDescent="0.25">
      <c r="A116" s="432"/>
    </row>
    <row r="117" spans="1:1" ht="12.5" x14ac:dyDescent="0.25">
      <c r="A117" s="432"/>
    </row>
    <row r="118" spans="1:1" ht="12.5" x14ac:dyDescent="0.25">
      <c r="A118" s="432"/>
    </row>
    <row r="119" spans="1:1" ht="12.5" x14ac:dyDescent="0.25">
      <c r="A119" s="432"/>
    </row>
    <row r="120" spans="1:1" ht="12.5" x14ac:dyDescent="0.25">
      <c r="A120" s="432"/>
    </row>
    <row r="121" spans="1:1" ht="12.5" x14ac:dyDescent="0.25">
      <c r="A121" s="432"/>
    </row>
    <row r="122" spans="1:1" ht="12.5" x14ac:dyDescent="0.25">
      <c r="A122" s="432"/>
    </row>
    <row r="123" spans="1:1" ht="12.5" x14ac:dyDescent="0.25">
      <c r="A123" s="432"/>
    </row>
    <row r="124" spans="1:1" ht="12.5" x14ac:dyDescent="0.25">
      <c r="A124" s="432"/>
    </row>
    <row r="125" spans="1:1" ht="12.5" x14ac:dyDescent="0.25">
      <c r="A125" s="432"/>
    </row>
    <row r="126" spans="1:1" ht="12.5" x14ac:dyDescent="0.25">
      <c r="A126" s="432"/>
    </row>
    <row r="127" spans="1:1" ht="12.5" x14ac:dyDescent="0.25">
      <c r="A127" s="432"/>
    </row>
    <row r="128" spans="1:1" ht="12.5" x14ac:dyDescent="0.25">
      <c r="A128" s="432"/>
    </row>
    <row r="129" spans="1:1" ht="12.5" x14ac:dyDescent="0.25">
      <c r="A129" s="432"/>
    </row>
    <row r="130" spans="1:1" ht="12.5" x14ac:dyDescent="0.25">
      <c r="A130" s="432"/>
    </row>
    <row r="131" spans="1:1" ht="12.5" x14ac:dyDescent="0.25">
      <c r="A131" s="432"/>
    </row>
    <row r="132" spans="1:1" ht="12.5" x14ac:dyDescent="0.25">
      <c r="A132" s="432"/>
    </row>
    <row r="133" spans="1:1" ht="12.5" x14ac:dyDescent="0.25">
      <c r="A133" s="432"/>
    </row>
    <row r="134" spans="1:1" ht="12.5" x14ac:dyDescent="0.25">
      <c r="A134" s="432"/>
    </row>
    <row r="135" spans="1:1" ht="12.5" x14ac:dyDescent="0.25">
      <c r="A135" s="432"/>
    </row>
    <row r="136" spans="1:1" ht="12.5" x14ac:dyDescent="0.25">
      <c r="A136" s="432"/>
    </row>
    <row r="137" spans="1:1" ht="12.5" x14ac:dyDescent="0.25">
      <c r="A137" s="432"/>
    </row>
    <row r="138" spans="1:1" ht="12.5" x14ac:dyDescent="0.25">
      <c r="A138" s="432"/>
    </row>
    <row r="139" spans="1:1" ht="12.5" x14ac:dyDescent="0.25">
      <c r="A139" s="432"/>
    </row>
    <row r="140" spans="1:1" ht="12.5" x14ac:dyDescent="0.25">
      <c r="A140" s="432"/>
    </row>
    <row r="141" spans="1:1" ht="12.5" x14ac:dyDescent="0.25">
      <c r="A141" s="432"/>
    </row>
    <row r="142" spans="1:1" ht="12.5" x14ac:dyDescent="0.25">
      <c r="A142" s="432"/>
    </row>
    <row r="143" spans="1:1" ht="12.5" x14ac:dyDescent="0.25">
      <c r="A143" s="432"/>
    </row>
    <row r="144" spans="1:1" ht="12.5" x14ac:dyDescent="0.25">
      <c r="A144" s="432"/>
    </row>
    <row r="145" spans="1:1" ht="12.5" x14ac:dyDescent="0.25">
      <c r="A145" s="432"/>
    </row>
    <row r="146" spans="1:1" ht="12.5" x14ac:dyDescent="0.25">
      <c r="A146" s="432"/>
    </row>
    <row r="147" spans="1:1" ht="12.5" x14ac:dyDescent="0.25">
      <c r="A147" s="432"/>
    </row>
    <row r="148" spans="1:1" ht="12.5" x14ac:dyDescent="0.25">
      <c r="A148" s="432"/>
    </row>
    <row r="149" spans="1:1" ht="12.5" x14ac:dyDescent="0.25">
      <c r="A149" s="432"/>
    </row>
    <row r="150" spans="1:1" ht="12.5" x14ac:dyDescent="0.25">
      <c r="A150" s="432"/>
    </row>
    <row r="151" spans="1:1" ht="12.5" x14ac:dyDescent="0.25">
      <c r="A151" s="432"/>
    </row>
    <row r="152" spans="1:1" ht="12.5" x14ac:dyDescent="0.25">
      <c r="A152" s="432"/>
    </row>
    <row r="153" spans="1:1" ht="12.5" x14ac:dyDescent="0.25">
      <c r="A153" s="432"/>
    </row>
    <row r="154" spans="1:1" ht="12.5" x14ac:dyDescent="0.25">
      <c r="A154" s="432"/>
    </row>
    <row r="155" spans="1:1" ht="12.5" x14ac:dyDescent="0.25">
      <c r="A155" s="432"/>
    </row>
    <row r="156" spans="1:1" ht="12.5" x14ac:dyDescent="0.25">
      <c r="A156" s="432"/>
    </row>
    <row r="157" spans="1:1" ht="12.5" x14ac:dyDescent="0.25">
      <c r="A157" s="432"/>
    </row>
    <row r="158" spans="1:1" ht="12.5" x14ac:dyDescent="0.25">
      <c r="A158" s="432"/>
    </row>
    <row r="159" spans="1:1" ht="12.5" x14ac:dyDescent="0.25">
      <c r="A159" s="432"/>
    </row>
    <row r="160" spans="1:1" ht="12.5" x14ac:dyDescent="0.25">
      <c r="A160" s="432"/>
    </row>
    <row r="161" spans="1:27" ht="12.5" x14ac:dyDescent="0.25">
      <c r="A161" s="432"/>
    </row>
    <row r="162" spans="1:27" ht="12.5" x14ac:dyDescent="0.25">
      <c r="A162" s="432"/>
    </row>
    <row r="163" spans="1:27" ht="12.5" x14ac:dyDescent="0.25">
      <c r="A163" s="432"/>
    </row>
    <row r="164" spans="1:27" ht="12.5" x14ac:dyDescent="0.25">
      <c r="A164" s="432"/>
    </row>
    <row r="165" spans="1:27" ht="12.5" x14ac:dyDescent="0.25">
      <c r="A165" s="432"/>
    </row>
    <row r="166" spans="1:27" ht="12.5" x14ac:dyDescent="0.25">
      <c r="A166" s="432"/>
    </row>
    <row r="167" spans="1:27" ht="12.5" x14ac:dyDescent="0.25">
      <c r="A167"/>
      <c r="AA167"/>
    </row>
    <row r="168" spans="1:27" ht="12.5" x14ac:dyDescent="0.25">
      <c r="A168"/>
      <c r="AA168"/>
    </row>
    <row r="169" spans="1:27" ht="12.5" x14ac:dyDescent="0.25">
      <c r="A169"/>
      <c r="AA169"/>
    </row>
    <row r="170" spans="1:27" ht="12.5" x14ac:dyDescent="0.25">
      <c r="A170"/>
      <c r="AA170"/>
    </row>
    <row r="171" spans="1:27" ht="12.5" x14ac:dyDescent="0.25">
      <c r="A171"/>
      <c r="AA171"/>
    </row>
    <row r="172" spans="1:27" ht="12.5" x14ac:dyDescent="0.25">
      <c r="A172"/>
      <c r="AA172"/>
    </row>
    <row r="173" spans="1:27" ht="12.5" x14ac:dyDescent="0.25">
      <c r="A173"/>
      <c r="AA173"/>
    </row>
    <row r="174" spans="1:27" ht="12.5" x14ac:dyDescent="0.25">
      <c r="A174"/>
      <c r="AA174"/>
    </row>
    <row r="175" spans="1:27" ht="12.5" x14ac:dyDescent="0.25">
      <c r="A175"/>
      <c r="AA175"/>
    </row>
    <row r="176" spans="1:27" ht="12.5" x14ac:dyDescent="0.25">
      <c r="A176"/>
      <c r="AA176"/>
    </row>
    <row r="177" spans="1:27" ht="12.5" x14ac:dyDescent="0.25">
      <c r="A177"/>
      <c r="AA177"/>
    </row>
    <row r="178" spans="1:27" ht="12.5" x14ac:dyDescent="0.25">
      <c r="A178"/>
      <c r="AA178"/>
    </row>
    <row r="179" spans="1:27" ht="12.5" x14ac:dyDescent="0.25">
      <c r="A179"/>
      <c r="AA179"/>
    </row>
    <row r="180" spans="1:27" ht="12.5" x14ac:dyDescent="0.25">
      <c r="A180"/>
      <c r="AA180"/>
    </row>
    <row r="181" spans="1:27" ht="12.5" x14ac:dyDescent="0.25">
      <c r="A181"/>
      <c r="AA181"/>
    </row>
    <row r="182" spans="1:27" ht="12.5" x14ac:dyDescent="0.25">
      <c r="A182"/>
      <c r="AA182"/>
    </row>
    <row r="183" spans="1:27" ht="12.5" x14ac:dyDescent="0.25">
      <c r="A183"/>
      <c r="AA183"/>
    </row>
    <row r="184" spans="1:27" ht="12.5" x14ac:dyDescent="0.25">
      <c r="A184"/>
      <c r="AA184"/>
    </row>
    <row r="185" spans="1:27" ht="12.5" x14ac:dyDescent="0.25">
      <c r="A185"/>
      <c r="AA185"/>
    </row>
    <row r="186" spans="1:27" ht="12.5" x14ac:dyDescent="0.25">
      <c r="A186"/>
      <c r="AA186"/>
    </row>
    <row r="187" spans="1:27" ht="12.5" x14ac:dyDescent="0.25">
      <c r="A187"/>
      <c r="AA187"/>
    </row>
    <row r="188" spans="1:27" ht="12.5" x14ac:dyDescent="0.25">
      <c r="A188"/>
      <c r="AA188"/>
    </row>
    <row r="189" spans="1:27" ht="12.5" x14ac:dyDescent="0.25">
      <c r="A189"/>
      <c r="AA189"/>
    </row>
    <row r="190" spans="1:27" ht="12.5" x14ac:dyDescent="0.25">
      <c r="A190"/>
      <c r="AA190"/>
    </row>
    <row r="191" spans="1:27" ht="12.5" x14ac:dyDescent="0.25">
      <c r="A191"/>
      <c r="AA191"/>
    </row>
    <row r="192" spans="1:27" ht="12.5" x14ac:dyDescent="0.25">
      <c r="A192"/>
      <c r="AA192"/>
    </row>
    <row r="193" spans="1:27" ht="12.5" x14ac:dyDescent="0.25">
      <c r="A193"/>
      <c r="AA193"/>
    </row>
    <row r="194" spans="1:27" ht="12.5" x14ac:dyDescent="0.25">
      <c r="A194"/>
      <c r="AA194"/>
    </row>
    <row r="195" spans="1:27" ht="12.5" x14ac:dyDescent="0.25">
      <c r="A195"/>
      <c r="AA195"/>
    </row>
    <row r="196" spans="1:27" ht="12.5" x14ac:dyDescent="0.25">
      <c r="A196"/>
      <c r="AA196"/>
    </row>
    <row r="197" spans="1:27" ht="12.5" x14ac:dyDescent="0.25">
      <c r="A197"/>
      <c r="AA197"/>
    </row>
    <row r="198" spans="1:27" ht="12.5" x14ac:dyDescent="0.25">
      <c r="A198"/>
      <c r="AA198"/>
    </row>
    <row r="199" spans="1:27" ht="12.5" x14ac:dyDescent="0.25">
      <c r="A199"/>
      <c r="AA199"/>
    </row>
    <row r="200" spans="1:27" ht="12.5" x14ac:dyDescent="0.25">
      <c r="A200"/>
      <c r="AA200"/>
    </row>
    <row r="201" spans="1:27" ht="12.5" x14ac:dyDescent="0.25">
      <c r="A201"/>
      <c r="AA201"/>
    </row>
    <row r="202" spans="1:27" ht="12.5" x14ac:dyDescent="0.25">
      <c r="A202"/>
      <c r="AA202"/>
    </row>
    <row r="203" spans="1:27" ht="12.5" x14ac:dyDescent="0.25">
      <c r="A203"/>
      <c r="AA203"/>
    </row>
    <row r="204" spans="1:27" ht="12.5" x14ac:dyDescent="0.25">
      <c r="A204"/>
      <c r="AA204"/>
    </row>
    <row r="205" spans="1:27" ht="12.5" x14ac:dyDescent="0.25">
      <c r="A205"/>
      <c r="AA205"/>
    </row>
    <row r="206" spans="1:27" ht="12.5" x14ac:dyDescent="0.25">
      <c r="A206"/>
      <c r="AA206"/>
    </row>
    <row r="207" spans="1:27" ht="12.5" x14ac:dyDescent="0.25">
      <c r="A207"/>
      <c r="AA207"/>
    </row>
    <row r="208" spans="1:27" ht="12.5" x14ac:dyDescent="0.25">
      <c r="A208"/>
      <c r="AA208"/>
    </row>
    <row r="209" spans="1:27" ht="12.5" x14ac:dyDescent="0.25">
      <c r="A209"/>
      <c r="AA209"/>
    </row>
    <row r="210" spans="1:27" ht="12.5" x14ac:dyDescent="0.25">
      <c r="A210"/>
      <c r="AA210"/>
    </row>
    <row r="211" spans="1:27" ht="12.5" x14ac:dyDescent="0.25">
      <c r="A211"/>
      <c r="AA211"/>
    </row>
    <row r="212" spans="1:27" ht="12.5" x14ac:dyDescent="0.25">
      <c r="A212"/>
      <c r="AA212"/>
    </row>
    <row r="213" spans="1:27" ht="12.5" x14ac:dyDescent="0.25">
      <c r="A213"/>
      <c r="AA213"/>
    </row>
    <row r="214" spans="1:27" ht="12.5" x14ac:dyDescent="0.25">
      <c r="A214"/>
      <c r="AA214"/>
    </row>
    <row r="215" spans="1:27" ht="12.5" x14ac:dyDescent="0.25">
      <c r="A215"/>
      <c r="AA215"/>
    </row>
    <row r="216" spans="1:27" ht="12.5" x14ac:dyDescent="0.25">
      <c r="A216"/>
      <c r="AA216"/>
    </row>
    <row r="217" spans="1:27" ht="12.5" x14ac:dyDescent="0.25">
      <c r="A217"/>
      <c r="AA217"/>
    </row>
    <row r="218" spans="1:27" ht="12.5" x14ac:dyDescent="0.25">
      <c r="A218"/>
      <c r="AA218"/>
    </row>
    <row r="219" spans="1:27" ht="12.5" x14ac:dyDescent="0.25">
      <c r="A219"/>
      <c r="AA219"/>
    </row>
    <row r="220" spans="1:27" ht="12.5" x14ac:dyDescent="0.25">
      <c r="A220"/>
      <c r="AA220"/>
    </row>
    <row r="221" spans="1:27" ht="12.5" x14ac:dyDescent="0.25">
      <c r="A221"/>
      <c r="AA221"/>
    </row>
    <row r="222" spans="1:27" ht="12.5" x14ac:dyDescent="0.25">
      <c r="A222"/>
      <c r="AA222"/>
    </row>
    <row r="223" spans="1:27" ht="12.5" x14ac:dyDescent="0.25">
      <c r="A223"/>
      <c r="AA223"/>
    </row>
    <row r="224" spans="1:27" ht="12.5" x14ac:dyDescent="0.25">
      <c r="A224"/>
      <c r="AA224"/>
    </row>
    <row r="225" spans="1:27" ht="12.5" x14ac:dyDescent="0.25">
      <c r="A225"/>
      <c r="AA225"/>
    </row>
    <row r="226" spans="1:27" ht="12.5" x14ac:dyDescent="0.25">
      <c r="A226"/>
      <c r="AA226"/>
    </row>
    <row r="227" spans="1:27" ht="12.5" x14ac:dyDescent="0.25">
      <c r="A227"/>
      <c r="AA227"/>
    </row>
    <row r="228" spans="1:27" ht="12.5" x14ac:dyDescent="0.25">
      <c r="A228"/>
      <c r="AA228"/>
    </row>
    <row r="229" spans="1:27" ht="12.5" x14ac:dyDescent="0.25">
      <c r="A229"/>
      <c r="AA229"/>
    </row>
    <row r="230" spans="1:27" ht="12.5" x14ac:dyDescent="0.25">
      <c r="A230"/>
      <c r="AA230"/>
    </row>
    <row r="231" spans="1:27" ht="12.5" x14ac:dyDescent="0.25">
      <c r="A231"/>
      <c r="AA231"/>
    </row>
    <row r="232" spans="1:27" ht="12.5" x14ac:dyDescent="0.25">
      <c r="A232"/>
      <c r="AA232"/>
    </row>
    <row r="233" spans="1:27" ht="12.5" x14ac:dyDescent="0.25">
      <c r="A233"/>
      <c r="AA233"/>
    </row>
    <row r="234" spans="1:27" ht="12.5" x14ac:dyDescent="0.25">
      <c r="A234"/>
      <c r="AA234"/>
    </row>
    <row r="235" spans="1:27" ht="12.5" x14ac:dyDescent="0.25">
      <c r="A235"/>
      <c r="AA235"/>
    </row>
    <row r="236" spans="1:27" ht="12.5" x14ac:dyDescent="0.25">
      <c r="A236"/>
      <c r="AA236"/>
    </row>
    <row r="237" spans="1:27" ht="12.5" x14ac:dyDescent="0.25">
      <c r="A237"/>
      <c r="AA237"/>
    </row>
    <row r="238" spans="1:27" ht="12.5" x14ac:dyDescent="0.25">
      <c r="A238"/>
      <c r="AA238"/>
    </row>
    <row r="239" spans="1:27" ht="12.5" x14ac:dyDescent="0.25">
      <c r="A239"/>
      <c r="AA239"/>
    </row>
    <row r="240" spans="1:27" ht="12.5" x14ac:dyDescent="0.25">
      <c r="A240"/>
      <c r="AA240"/>
    </row>
    <row r="241" spans="1:27" ht="12.5" x14ac:dyDescent="0.25">
      <c r="A241"/>
      <c r="AA241"/>
    </row>
    <row r="242" spans="1:27" ht="12.5" x14ac:dyDescent="0.25">
      <c r="A242"/>
      <c r="AA242"/>
    </row>
    <row r="243" spans="1:27" ht="12.5" x14ac:dyDescent="0.25">
      <c r="A243"/>
      <c r="AA243"/>
    </row>
    <row r="244" spans="1:27" ht="12.5" x14ac:dyDescent="0.25">
      <c r="A244"/>
      <c r="AA244"/>
    </row>
    <row r="245" spans="1:27" ht="12.5" x14ac:dyDescent="0.25">
      <c r="A245"/>
      <c r="AA245"/>
    </row>
    <row r="246" spans="1:27" ht="12.5" x14ac:dyDescent="0.25">
      <c r="A246"/>
      <c r="AA246"/>
    </row>
    <row r="247" spans="1:27" ht="12.5" x14ac:dyDescent="0.25">
      <c r="A247"/>
      <c r="AA247"/>
    </row>
    <row r="248" spans="1:27" ht="12.5" x14ac:dyDescent="0.25">
      <c r="A248"/>
      <c r="AA248"/>
    </row>
    <row r="249" spans="1:27" ht="12.5" x14ac:dyDescent="0.25">
      <c r="A249"/>
      <c r="AA249"/>
    </row>
    <row r="250" spans="1:27" ht="12.5" x14ac:dyDescent="0.25">
      <c r="A250"/>
      <c r="AA250"/>
    </row>
    <row r="251" spans="1:27" ht="12.5" x14ac:dyDescent="0.25">
      <c r="A251"/>
      <c r="AA251"/>
    </row>
    <row r="252" spans="1:27" ht="12.5" x14ac:dyDescent="0.25">
      <c r="A252"/>
      <c r="AA252"/>
    </row>
    <row r="253" spans="1:27" ht="12.5" x14ac:dyDescent="0.25">
      <c r="A253"/>
      <c r="AA253"/>
    </row>
    <row r="254" spans="1:27" ht="12.5" x14ac:dyDescent="0.25">
      <c r="A254"/>
      <c r="AA254"/>
    </row>
    <row r="255" spans="1:27" ht="12.5" x14ac:dyDescent="0.25">
      <c r="A255"/>
      <c r="AA255"/>
    </row>
    <row r="256" spans="1:27" ht="12.5" x14ac:dyDescent="0.25">
      <c r="A256"/>
      <c r="AA256"/>
    </row>
    <row r="257" spans="1:27" ht="12.5" x14ac:dyDescent="0.25">
      <c r="A257"/>
      <c r="AA257"/>
    </row>
    <row r="258" spans="1:27" ht="12.5" x14ac:dyDescent="0.25">
      <c r="A258"/>
      <c r="AA258"/>
    </row>
    <row r="259" spans="1:27" ht="12.5" x14ac:dyDescent="0.25">
      <c r="A259"/>
      <c r="AA259"/>
    </row>
    <row r="260" spans="1:27" ht="12.5" x14ac:dyDescent="0.25">
      <c r="A260"/>
      <c r="AA260"/>
    </row>
    <row r="261" spans="1:27" ht="12.5" x14ac:dyDescent="0.25">
      <c r="A261"/>
      <c r="AA261"/>
    </row>
    <row r="262" spans="1:27" ht="12.5" x14ac:dyDescent="0.25">
      <c r="A262"/>
      <c r="AA262"/>
    </row>
    <row r="263" spans="1:27" ht="12.5" x14ac:dyDescent="0.25">
      <c r="A263"/>
      <c r="AA263"/>
    </row>
    <row r="264" spans="1:27" ht="12.5" x14ac:dyDescent="0.25">
      <c r="A264"/>
      <c r="AA264"/>
    </row>
    <row r="265" spans="1:27" ht="12.5" x14ac:dyDescent="0.25">
      <c r="A265"/>
      <c r="AA265"/>
    </row>
    <row r="266" spans="1:27" ht="12.5" x14ac:dyDescent="0.25">
      <c r="A266"/>
      <c r="AA266"/>
    </row>
    <row r="267" spans="1:27" ht="12.5" x14ac:dyDescent="0.25">
      <c r="A267"/>
      <c r="AA267"/>
    </row>
    <row r="268" spans="1:27" ht="12.5" x14ac:dyDescent="0.25">
      <c r="A268"/>
      <c r="AA268"/>
    </row>
    <row r="269" spans="1:27" ht="12.5" x14ac:dyDescent="0.25">
      <c r="A269"/>
      <c r="AA269"/>
    </row>
    <row r="270" spans="1:27" ht="12.5" x14ac:dyDescent="0.25">
      <c r="A270"/>
      <c r="AA270"/>
    </row>
    <row r="271" spans="1:27" ht="12.5" x14ac:dyDescent="0.25">
      <c r="A271"/>
      <c r="AA271"/>
    </row>
    <row r="272" spans="1:27" ht="12.5" x14ac:dyDescent="0.25">
      <c r="A272"/>
      <c r="AA272"/>
    </row>
    <row r="273" spans="1:27" ht="12.5" x14ac:dyDescent="0.25">
      <c r="A273"/>
      <c r="AA273"/>
    </row>
    <row r="274" spans="1:27" ht="12.5" x14ac:dyDescent="0.25">
      <c r="A274"/>
      <c r="AA274"/>
    </row>
    <row r="275" spans="1:27" ht="12.5" x14ac:dyDescent="0.25">
      <c r="A275"/>
      <c r="AA275"/>
    </row>
    <row r="276" spans="1:27" ht="12.5" x14ac:dyDescent="0.25">
      <c r="A276"/>
      <c r="AA276"/>
    </row>
    <row r="277" spans="1:27" ht="12.5" x14ac:dyDescent="0.25">
      <c r="A277"/>
      <c r="AA277"/>
    </row>
    <row r="278" spans="1:27" ht="12.5" x14ac:dyDescent="0.25">
      <c r="A278"/>
      <c r="AA278"/>
    </row>
    <row r="279" spans="1:27" ht="12.5" x14ac:dyDescent="0.25">
      <c r="A279"/>
      <c r="AA279"/>
    </row>
    <row r="280" spans="1:27" ht="12.5" x14ac:dyDescent="0.25">
      <c r="A280"/>
      <c r="AA280"/>
    </row>
    <row r="281" spans="1:27" ht="12.5" x14ac:dyDescent="0.25">
      <c r="A281"/>
      <c r="AA281"/>
    </row>
    <row r="282" spans="1:27" ht="12.5" x14ac:dyDescent="0.25">
      <c r="A282"/>
      <c r="AA282"/>
    </row>
    <row r="283" spans="1:27" ht="12.5" x14ac:dyDescent="0.25">
      <c r="A283"/>
      <c r="AA283"/>
    </row>
    <row r="284" spans="1:27" ht="12.5" x14ac:dyDescent="0.25">
      <c r="A284"/>
      <c r="AA284"/>
    </row>
    <row r="285" spans="1:27" ht="12.5" x14ac:dyDescent="0.25">
      <c r="A285"/>
      <c r="AA285"/>
    </row>
    <row r="286" spans="1:27" ht="12.5" x14ac:dyDescent="0.25">
      <c r="A286"/>
      <c r="AA286"/>
    </row>
    <row r="287" spans="1:27" ht="12.5" x14ac:dyDescent="0.25">
      <c r="A287"/>
      <c r="AA287"/>
    </row>
    <row r="288" spans="1:27" ht="12.5" x14ac:dyDescent="0.25">
      <c r="A288"/>
      <c r="AA288"/>
    </row>
    <row r="289" spans="1:27" ht="12.5" x14ac:dyDescent="0.25">
      <c r="A289"/>
      <c r="AA289"/>
    </row>
    <row r="290" spans="1:27" ht="12.5" x14ac:dyDescent="0.25">
      <c r="A290"/>
      <c r="AA290"/>
    </row>
    <row r="291" spans="1:27" ht="12.5" x14ac:dyDescent="0.25">
      <c r="A291"/>
      <c r="AA291"/>
    </row>
    <row r="292" spans="1:27" ht="12.5" x14ac:dyDescent="0.25">
      <c r="A292"/>
      <c r="AA292"/>
    </row>
    <row r="293" spans="1:27" ht="12.5" x14ac:dyDescent="0.25">
      <c r="A293"/>
      <c r="AA293"/>
    </row>
    <row r="294" spans="1:27" ht="12.5" x14ac:dyDescent="0.25">
      <c r="A294"/>
      <c r="AA294"/>
    </row>
    <row r="295" spans="1:27" ht="12.5" x14ac:dyDescent="0.25">
      <c r="A295"/>
      <c r="AA295"/>
    </row>
    <row r="296" spans="1:27" ht="12.5" x14ac:dyDescent="0.25">
      <c r="A296"/>
      <c r="AA296"/>
    </row>
    <row r="297" spans="1:27" ht="12.5" x14ac:dyDescent="0.25">
      <c r="A297"/>
      <c r="AA297"/>
    </row>
    <row r="298" spans="1:27" ht="12.5" x14ac:dyDescent="0.25">
      <c r="A298"/>
      <c r="AA298"/>
    </row>
    <row r="299" spans="1:27" ht="12.5" x14ac:dyDescent="0.25">
      <c r="A299"/>
      <c r="AA299"/>
    </row>
    <row r="300" spans="1:27" ht="12.5" x14ac:dyDescent="0.25">
      <c r="A300"/>
      <c r="AA300"/>
    </row>
    <row r="301" spans="1:27" ht="12.5" x14ac:dyDescent="0.25">
      <c r="A301"/>
      <c r="AA301"/>
    </row>
    <row r="302" spans="1:27" ht="12.5" x14ac:dyDescent="0.25">
      <c r="A302"/>
      <c r="AA302"/>
    </row>
    <row r="303" spans="1:27" ht="12.5" x14ac:dyDescent="0.25">
      <c r="A303"/>
      <c r="AA303"/>
    </row>
    <row r="304" spans="1:27" ht="12.5" x14ac:dyDescent="0.25">
      <c r="A304"/>
      <c r="AA304"/>
    </row>
    <row r="305" spans="1:27" ht="12.5" x14ac:dyDescent="0.25">
      <c r="A305"/>
      <c r="AA305"/>
    </row>
    <row r="306" spans="1:27" ht="12.5" x14ac:dyDescent="0.25">
      <c r="A306"/>
      <c r="AA306"/>
    </row>
    <row r="307" spans="1:27" ht="12.5" x14ac:dyDescent="0.25">
      <c r="A307"/>
      <c r="AA307"/>
    </row>
    <row r="308" spans="1:27" ht="12.5" x14ac:dyDescent="0.25">
      <c r="A308"/>
      <c r="AA308"/>
    </row>
    <row r="309" spans="1:27" ht="12.5" x14ac:dyDescent="0.25">
      <c r="A309"/>
      <c r="AA309"/>
    </row>
    <row r="310" spans="1:27" ht="12.5" x14ac:dyDescent="0.25">
      <c r="A310"/>
      <c r="AA310"/>
    </row>
    <row r="311" spans="1:27" ht="12.5" x14ac:dyDescent="0.25">
      <c r="A311"/>
      <c r="AA311"/>
    </row>
    <row r="312" spans="1:27" ht="12.5" x14ac:dyDescent="0.25">
      <c r="A312"/>
      <c r="AA312"/>
    </row>
    <row r="313" spans="1:27" ht="12.5" x14ac:dyDescent="0.25">
      <c r="A313"/>
      <c r="AA313"/>
    </row>
    <row r="314" spans="1:27" ht="12.5" x14ac:dyDescent="0.25">
      <c r="A314"/>
      <c r="AA314"/>
    </row>
    <row r="315" spans="1:27" ht="12.5" x14ac:dyDescent="0.25">
      <c r="A315"/>
      <c r="AA315"/>
    </row>
    <row r="316" spans="1:27" ht="12.5" x14ac:dyDescent="0.25">
      <c r="A316"/>
      <c r="AA316"/>
    </row>
    <row r="317" spans="1:27" ht="12.5" x14ac:dyDescent="0.25">
      <c r="A317"/>
      <c r="AA317"/>
    </row>
    <row r="318" spans="1:27" ht="12.5" x14ac:dyDescent="0.25">
      <c r="A318"/>
      <c r="AA318"/>
    </row>
    <row r="319" spans="1:27" ht="12.5" x14ac:dyDescent="0.25">
      <c r="A319"/>
      <c r="AA319"/>
    </row>
    <row r="320" spans="1:27" ht="12.5" x14ac:dyDescent="0.25">
      <c r="A320"/>
      <c r="AA320"/>
    </row>
    <row r="321" spans="1:27" ht="12.5" x14ac:dyDescent="0.25">
      <c r="A321"/>
      <c r="AA321"/>
    </row>
    <row r="322" spans="1:27" ht="12.5" x14ac:dyDescent="0.25">
      <c r="A322"/>
      <c r="AA322"/>
    </row>
    <row r="323" spans="1:27" ht="12.5" x14ac:dyDescent="0.25">
      <c r="A323"/>
      <c r="AA323"/>
    </row>
    <row r="324" spans="1:27" ht="12.5" x14ac:dyDescent="0.25">
      <c r="A324"/>
      <c r="AA324"/>
    </row>
    <row r="325" spans="1:27" ht="12.5" x14ac:dyDescent="0.25">
      <c r="A325"/>
      <c r="AA325"/>
    </row>
    <row r="326" spans="1:27" ht="12.5" x14ac:dyDescent="0.25">
      <c r="A326"/>
      <c r="AA326"/>
    </row>
    <row r="327" spans="1:27" ht="12.5" x14ac:dyDescent="0.25">
      <c r="A327"/>
      <c r="AA327"/>
    </row>
    <row r="328" spans="1:27" ht="12.5" x14ac:dyDescent="0.25">
      <c r="A328"/>
      <c r="AA328"/>
    </row>
    <row r="329" spans="1:27" ht="12.5" x14ac:dyDescent="0.25">
      <c r="A329"/>
      <c r="AA329"/>
    </row>
    <row r="330" spans="1:27" ht="12.5" x14ac:dyDescent="0.25">
      <c r="A330"/>
      <c r="AA330"/>
    </row>
    <row r="331" spans="1:27" ht="12.5" x14ac:dyDescent="0.25">
      <c r="A331"/>
      <c r="AA331"/>
    </row>
    <row r="332" spans="1:27" ht="12.5" x14ac:dyDescent="0.25">
      <c r="A332"/>
      <c r="AA332"/>
    </row>
    <row r="333" spans="1:27" ht="12.5" x14ac:dyDescent="0.25">
      <c r="A333"/>
      <c r="AA333"/>
    </row>
    <row r="334" spans="1:27" ht="12.5" x14ac:dyDescent="0.25">
      <c r="A334"/>
      <c r="AA334"/>
    </row>
    <row r="335" spans="1:27" ht="12.5" x14ac:dyDescent="0.25">
      <c r="A335"/>
      <c r="AA335"/>
    </row>
    <row r="336" spans="1:27" ht="12.5" x14ac:dyDescent="0.25">
      <c r="A336"/>
      <c r="AA336"/>
    </row>
    <row r="337" spans="1:27" ht="12.5" x14ac:dyDescent="0.25">
      <c r="A337"/>
      <c r="AA337"/>
    </row>
    <row r="338" spans="1:27" ht="12.5" x14ac:dyDescent="0.25">
      <c r="A338"/>
      <c r="AA338"/>
    </row>
    <row r="339" spans="1:27" ht="12.5" x14ac:dyDescent="0.25">
      <c r="A339"/>
      <c r="AA339"/>
    </row>
    <row r="340" spans="1:27" ht="12.5" x14ac:dyDescent="0.25">
      <c r="A340"/>
      <c r="AA340"/>
    </row>
    <row r="341" spans="1:27" ht="12.5" x14ac:dyDescent="0.25">
      <c r="A341"/>
      <c r="AA341"/>
    </row>
    <row r="342" spans="1:27" ht="12.5" x14ac:dyDescent="0.25">
      <c r="A342"/>
      <c r="AA342"/>
    </row>
    <row r="343" spans="1:27" ht="12.5" x14ac:dyDescent="0.25">
      <c r="A343"/>
      <c r="AA343"/>
    </row>
    <row r="344" spans="1:27" ht="12.5" x14ac:dyDescent="0.25">
      <c r="A344"/>
      <c r="AA344"/>
    </row>
    <row r="345" spans="1:27" ht="12.5" x14ac:dyDescent="0.25">
      <c r="A345"/>
      <c r="AA345"/>
    </row>
    <row r="346" spans="1:27" ht="12.5" x14ac:dyDescent="0.25">
      <c r="A346"/>
      <c r="AA346"/>
    </row>
    <row r="347" spans="1:27" ht="12.5" x14ac:dyDescent="0.25">
      <c r="A347"/>
      <c r="AA347"/>
    </row>
    <row r="348" spans="1:27" ht="12.5" x14ac:dyDescent="0.25">
      <c r="A348"/>
      <c r="AA348"/>
    </row>
    <row r="349" spans="1:27" ht="12.5" x14ac:dyDescent="0.25">
      <c r="A349"/>
      <c r="AA349"/>
    </row>
    <row r="350" spans="1:27" ht="12.5" x14ac:dyDescent="0.25">
      <c r="A350"/>
      <c r="AA350"/>
    </row>
    <row r="351" spans="1:27" ht="12.5" x14ac:dyDescent="0.25">
      <c r="A351"/>
      <c r="AA351"/>
    </row>
    <row r="352" spans="1:27" ht="12.5" x14ac:dyDescent="0.25">
      <c r="A352"/>
      <c r="AA352"/>
    </row>
    <row r="353" spans="1:55" ht="12.5" x14ac:dyDescent="0.25">
      <c r="A353"/>
      <c r="AA353"/>
    </row>
    <row r="354" spans="1:55" ht="15.5" x14ac:dyDescent="0.35">
      <c r="A354"/>
      <c r="AA354"/>
      <c r="BA354" s="11"/>
      <c r="BC354" s="11"/>
    </row>
    <row r="355" spans="1:55" ht="12.5" x14ac:dyDescent="0.25">
      <c r="A355"/>
      <c r="AA355"/>
    </row>
    <row r="356" spans="1:55" ht="12.5" x14ac:dyDescent="0.25">
      <c r="A356"/>
      <c r="AA356"/>
    </row>
    <row r="357" spans="1:55" ht="12.5" x14ac:dyDescent="0.25">
      <c r="A357"/>
      <c r="AA357"/>
    </row>
    <row r="358" spans="1:55" ht="12.5" x14ac:dyDescent="0.25">
      <c r="A358"/>
      <c r="AA358"/>
    </row>
    <row r="359" spans="1:55" ht="12.5" x14ac:dyDescent="0.25">
      <c r="A359"/>
      <c r="AA359"/>
    </row>
    <row r="360" spans="1:55" ht="12.5" x14ac:dyDescent="0.25">
      <c r="A360"/>
      <c r="AA360"/>
    </row>
    <row r="361" spans="1:55" ht="12.5" x14ac:dyDescent="0.25">
      <c r="A361"/>
      <c r="AA361"/>
    </row>
    <row r="362" spans="1:55" ht="12.5" x14ac:dyDescent="0.25">
      <c r="A362"/>
      <c r="AA362"/>
    </row>
    <row r="363" spans="1:55" ht="12.5" x14ac:dyDescent="0.25">
      <c r="A363"/>
      <c r="AA363"/>
    </row>
    <row r="364" spans="1:55" ht="12.5" x14ac:dyDescent="0.25">
      <c r="A364"/>
      <c r="AA364"/>
    </row>
    <row r="365" spans="1:55" ht="12.5" x14ac:dyDescent="0.25">
      <c r="A365"/>
      <c r="AA365"/>
    </row>
    <row r="366" spans="1:55" ht="12.5" x14ac:dyDescent="0.25">
      <c r="A366"/>
      <c r="AA366"/>
    </row>
    <row r="367" spans="1:55" ht="12.5" x14ac:dyDescent="0.25">
      <c r="A367"/>
      <c r="AA367"/>
    </row>
    <row r="368" spans="1:55" ht="12.5" x14ac:dyDescent="0.25">
      <c r="A368"/>
      <c r="AA368"/>
    </row>
    <row r="369" spans="1:49" ht="12.5" x14ac:dyDescent="0.25">
      <c r="A369"/>
      <c r="AA369"/>
    </row>
    <row r="370" spans="1:49" ht="12.5" x14ac:dyDescent="0.25">
      <c r="A370"/>
      <c r="AA370"/>
    </row>
    <row r="371" spans="1:49" ht="12.5" x14ac:dyDescent="0.25">
      <c r="A371"/>
      <c r="AA371"/>
    </row>
    <row r="372" spans="1:49" ht="12.5" x14ac:dyDescent="0.25">
      <c r="A372"/>
      <c r="AA372"/>
    </row>
    <row r="373" spans="1:49" ht="12.5" x14ac:dyDescent="0.25">
      <c r="A373"/>
      <c r="AA373"/>
    </row>
    <row r="374" spans="1:49" ht="12.5" x14ac:dyDescent="0.25">
      <c r="A374"/>
      <c r="AA374"/>
    </row>
    <row r="375" spans="1:49" ht="12.5" x14ac:dyDescent="0.25">
      <c r="A375"/>
      <c r="AA375"/>
    </row>
    <row r="376" spans="1:49" ht="12.5" x14ac:dyDescent="0.25">
      <c r="A376"/>
      <c r="AA376"/>
    </row>
    <row r="377" spans="1:49" ht="12.5" x14ac:dyDescent="0.25">
      <c r="A377"/>
      <c r="AA377"/>
    </row>
    <row r="378" spans="1:49" ht="12.5" x14ac:dyDescent="0.25">
      <c r="A378"/>
      <c r="AA378"/>
    </row>
    <row r="379" spans="1:49" ht="12.5" x14ac:dyDescent="0.25">
      <c r="A379"/>
      <c r="AA379"/>
    </row>
    <row r="380" spans="1:49" ht="12.5" x14ac:dyDescent="0.25">
      <c r="A380"/>
      <c r="AA380"/>
    </row>
    <row r="381" spans="1:49" ht="12.5" x14ac:dyDescent="0.25">
      <c r="A381"/>
      <c r="AA381"/>
    </row>
    <row r="382" spans="1:49" ht="12.5" x14ac:dyDescent="0.25">
      <c r="A382"/>
      <c r="AA382"/>
    </row>
    <row r="383" spans="1:49" ht="12.5" x14ac:dyDescent="0.25">
      <c r="A383"/>
      <c r="AA383"/>
    </row>
    <row r="384" spans="1:49" ht="12.5" x14ac:dyDescent="0.25">
      <c r="A384"/>
      <c r="AA384"/>
      <c r="AW384" t="s">
        <v>31</v>
      </c>
    </row>
    <row r="385" spans="1:78" ht="12.5" x14ac:dyDescent="0.25">
      <c r="A385"/>
      <c r="AA385"/>
      <c r="AM385" s="48"/>
    </row>
    <row r="386" spans="1:78" ht="18" x14ac:dyDescent="0.4">
      <c r="A386"/>
      <c r="Z386" s="2"/>
      <c r="AA386" s="8"/>
      <c r="AB386" s="2"/>
      <c r="AC386" s="2"/>
      <c r="AD386" s="2"/>
      <c r="AE386" s="2"/>
      <c r="AF386" s="2"/>
      <c r="AG386" s="2"/>
      <c r="AH386" s="2"/>
      <c r="AI386" s="2"/>
      <c r="AJ386" s="2"/>
      <c r="AK386" s="2"/>
      <c r="AL386" s="2"/>
      <c r="BA386" s="18" t="s">
        <v>366</v>
      </c>
    </row>
    <row r="387" spans="1:78" ht="12.5" x14ac:dyDescent="0.25">
      <c r="A387"/>
      <c r="Z387" s="2"/>
      <c r="AA387" s="8"/>
      <c r="AB387" s="2"/>
      <c r="AC387" s="2"/>
      <c r="AD387" s="2"/>
      <c r="AE387" s="2"/>
      <c r="AF387" s="2"/>
      <c r="AG387" s="2"/>
      <c r="AH387" s="2"/>
      <c r="AI387" s="2"/>
      <c r="AJ387" s="2"/>
      <c r="AK387" s="2"/>
      <c r="AL387" s="2"/>
    </row>
    <row r="388" spans="1:78" ht="13" x14ac:dyDescent="0.3">
      <c r="A388"/>
      <c r="Z388" s="2"/>
      <c r="AA388" s="7"/>
      <c r="AB388" s="2"/>
      <c r="AC388" s="2"/>
      <c r="AD388" s="2"/>
      <c r="AE388" s="2"/>
      <c r="AF388" s="2"/>
      <c r="AG388" s="2"/>
      <c r="AH388" s="2"/>
      <c r="AI388" s="2"/>
      <c r="AJ388" s="2"/>
      <c r="AK388" s="2"/>
      <c r="AL388" s="2"/>
      <c r="AZ388" s="353">
        <v>1</v>
      </c>
      <c r="BA388" s="354">
        <v>2</v>
      </c>
      <c r="BB388" s="355">
        <v>3</v>
      </c>
      <c r="BC388" s="354">
        <v>4</v>
      </c>
      <c r="BD388" s="355">
        <v>5</v>
      </c>
      <c r="BE388" s="354">
        <v>6</v>
      </c>
      <c r="BF388" s="355">
        <v>7</v>
      </c>
      <c r="BG388" s="355">
        <v>8</v>
      </c>
      <c r="BH388" s="354">
        <v>9</v>
      </c>
      <c r="BI388" s="355">
        <v>10</v>
      </c>
      <c r="BJ388" s="356">
        <v>11</v>
      </c>
      <c r="BK388" s="357">
        <v>12</v>
      </c>
      <c r="BL388" s="358">
        <v>13</v>
      </c>
      <c r="BM388" s="354">
        <v>14</v>
      </c>
      <c r="BN388" s="356">
        <v>15</v>
      </c>
      <c r="BO388" s="357">
        <v>16</v>
      </c>
      <c r="BP388" s="358">
        <v>17</v>
      </c>
      <c r="BQ388" s="354">
        <v>18</v>
      </c>
      <c r="BR388" s="355">
        <v>19</v>
      </c>
      <c r="BS388" s="355">
        <v>20</v>
      </c>
      <c r="BT388" s="359">
        <v>21</v>
      </c>
      <c r="BU388" s="359">
        <v>22</v>
      </c>
      <c r="BV388" s="360">
        <v>23</v>
      </c>
      <c r="BW388" s="359">
        <v>24</v>
      </c>
      <c r="BX388" s="361">
        <v>25</v>
      </c>
      <c r="BY388" s="362">
        <v>26</v>
      </c>
    </row>
    <row r="389" spans="1:78" ht="124" x14ac:dyDescent="0.35">
      <c r="A389"/>
      <c r="Z389" s="2"/>
      <c r="AA389" s="7"/>
      <c r="AB389" s="2"/>
      <c r="AC389" s="2"/>
      <c r="AD389" s="2"/>
      <c r="AE389" s="2"/>
      <c r="AF389" s="2"/>
      <c r="AG389" s="2"/>
      <c r="AH389" s="2"/>
      <c r="AI389" s="2"/>
      <c r="AJ389" s="2"/>
      <c r="AK389" s="2"/>
      <c r="AL389" s="2"/>
      <c r="AZ389" s="10" t="s">
        <v>367</v>
      </c>
      <c r="BA389" s="363" t="e">
        <f>#REF!</f>
        <v>#REF!</v>
      </c>
      <c r="BB389" s="363" t="e">
        <f>#REF!</f>
        <v>#REF!</v>
      </c>
      <c r="BC389" s="363" t="e">
        <f>#REF!</f>
        <v>#REF!</v>
      </c>
      <c r="BD389" s="363" t="e">
        <f>#REF!</f>
        <v>#REF!</v>
      </c>
      <c r="BE389" s="363" t="e">
        <f>#REF!</f>
        <v>#REF!</v>
      </c>
      <c r="BF389" s="363" t="e">
        <f>#REF!</f>
        <v>#REF!</v>
      </c>
      <c r="BG389" s="364" t="s">
        <v>368</v>
      </c>
      <c r="BH389" s="363" t="e">
        <f>#REF!</f>
        <v>#REF!</v>
      </c>
      <c r="BI389" s="363" t="e">
        <f>#REF!</f>
        <v>#REF!</v>
      </c>
      <c r="BJ389" s="363" t="e">
        <f>#REF!</f>
        <v>#REF!</v>
      </c>
      <c r="BK389" s="19" t="s">
        <v>253</v>
      </c>
      <c r="BL389" s="365" t="e">
        <f>#REF!</f>
        <v>#REF!</v>
      </c>
      <c r="BM389" s="365" t="e">
        <f>#REF!</f>
        <v>#REF!</v>
      </c>
      <c r="BN389" s="365" t="e">
        <f>#REF!</f>
        <v>#REF!</v>
      </c>
      <c r="BO389" s="19" t="s">
        <v>253</v>
      </c>
      <c r="BP389" s="365" t="e">
        <f>#REF!</f>
        <v>#REF!</v>
      </c>
      <c r="BQ389" s="365" t="e">
        <f>#REF!</f>
        <v>#REF!</v>
      </c>
      <c r="BR389" s="365" t="e">
        <f>#REF!</f>
        <v>#REF!</v>
      </c>
      <c r="BS389" s="366" t="s">
        <v>369</v>
      </c>
      <c r="BT389" s="367" t="s">
        <v>370</v>
      </c>
      <c r="BU389" s="368" t="s">
        <v>371</v>
      </c>
      <c r="BV389" s="369" t="e">
        <f>#REF!</f>
        <v>#REF!</v>
      </c>
      <c r="BW389" s="367" t="e">
        <f>#REF!</f>
        <v>#REF!</v>
      </c>
      <c r="BX389" s="367" t="e">
        <f>#REF!</f>
        <v>#REF!</v>
      </c>
      <c r="BY389" s="367" t="e">
        <f>#REF!</f>
        <v>#REF!</v>
      </c>
    </row>
    <row r="390" spans="1:78" ht="18" x14ac:dyDescent="0.4">
      <c r="A390"/>
      <c r="Z390" s="2"/>
      <c r="AZ390" s="426" t="e">
        <f>VLOOKUP($B$20,LA_list,5,FALSE)</f>
        <v>#NAME?</v>
      </c>
      <c r="BA390" s="9" t="e">
        <f>VLOOKUP(VLOOKUP($B$20,LA_list,5,FALSE),CLASS_CHECK,2,FALSE)</f>
        <v>#NAME?</v>
      </c>
      <c r="BB390" s="9" t="e">
        <f>VLOOKUP(VLOOKUP($B$20,LA_list,5,FALSE),CLASS_CHECK,3,FALSE)</f>
        <v>#NAME?</v>
      </c>
      <c r="BC390" s="9" t="e">
        <f>VLOOKUP(VLOOKUP($B$20,LA_list,5,FALSE),CLASS_CHECK,4,FALSE)</f>
        <v>#NAME?</v>
      </c>
      <c r="BD390" s="9" t="e">
        <f>VLOOKUP(VLOOKUP($B$20,LA_list,5,FALSE),CLASS_CHECK,5,FALSE)</f>
        <v>#NAME?</v>
      </c>
      <c r="BE390" s="9" t="e">
        <f>VLOOKUP(VLOOKUP($B$20,LA_list,5,FALSE),CLASS_CHECK,6,FALSE)</f>
        <v>#NAME?</v>
      </c>
      <c r="BF390" s="9" t="e">
        <f>VLOOKUP(VLOOKUP($B$20,LA_list,5,FALSE),CLASS_CHECK,7,FALSE)</f>
        <v>#NAME?</v>
      </c>
      <c r="BG390" s="9" t="e">
        <f>VLOOKUP(VLOOKUP($B$20,LA_list,5,FALSE),CLASS_CHECK,8,FALSE)</f>
        <v>#NAME?</v>
      </c>
      <c r="BH390" s="9" t="e">
        <f>VLOOKUP(VLOOKUP($B$20,LA_list,5,FALSE),CLASS_CHECK,9,FALSE)</f>
        <v>#NAME?</v>
      </c>
      <c r="BI390" s="9" t="e">
        <f>VLOOKUP(VLOOKUP($B$20,LA_list,5,FALSE),CLASS_CHECK,10,FALSE)</f>
        <v>#NAME?</v>
      </c>
      <c r="BJ390" s="9" t="e">
        <f>VLOOKUP(VLOOKUP($B$20,LA_list,5,FALSE),CLASS_CHECK,11,FALSE)</f>
        <v>#NAME?</v>
      </c>
      <c r="BK390" s="20" t="s">
        <v>253</v>
      </c>
      <c r="BL390" s="9" t="e">
        <f>VLOOKUP(VLOOKUP($B$20,LA_list,5,FALSE),CLASS_CHECK,13,FALSE)</f>
        <v>#NAME?</v>
      </c>
      <c r="BM390" s="9" t="e">
        <f>VLOOKUP(VLOOKUP($B$20,LA_list,5,FALSE),CLASS_CHECK,14,FALSE)</f>
        <v>#NAME?</v>
      </c>
      <c r="BN390" s="9" t="e">
        <f>VLOOKUP(VLOOKUP($B$20,LA_list,5,FALSE),CLASS_CHECK,15,FALSE)</f>
        <v>#NAME?</v>
      </c>
      <c r="BO390" s="20" t="s">
        <v>253</v>
      </c>
      <c r="BP390" s="9" t="e">
        <f>VLOOKUP(VLOOKUP($B$20,LA_list,5,FALSE),CLASS_CHECK,17,FALSE)</f>
        <v>#NAME?</v>
      </c>
      <c r="BQ390" s="9" t="e">
        <f>VLOOKUP(VLOOKUP($B$20,LA_list,5,FALSE),CLASS_CHECK,18,FALSE)</f>
        <v>#NAME?</v>
      </c>
      <c r="BR390" s="9" t="e">
        <f>VLOOKUP(VLOOKUP($B$20,LA_list,5,FALSE),CLASS_CHECK,19,FALSE)</f>
        <v>#NAME?</v>
      </c>
      <c r="BS390" s="9" t="e">
        <f>VLOOKUP(VLOOKUP($B$20,LA_list,5,FALSE),CLASS_CHECK,20,FALSE)</f>
        <v>#NAME?</v>
      </c>
      <c r="BT390" s="261" t="e">
        <f>VLOOKUP(VLOOKUP($B$20,LA_list,5,FALSE),CLASS_CHECK,21,FALSE)</f>
        <v>#NAME?</v>
      </c>
      <c r="BU390" s="261" t="e">
        <f>VLOOKUP(VLOOKUP($B$20,LA_list,5,FALSE),CLASS_CHECK,22,FALSE)</f>
        <v>#NAME?</v>
      </c>
      <c r="BV390" s="265" t="e">
        <f>VLOOKUP(VLOOKUP($B$20,LA_list,5,FALSE),CLASS_CHECK,23,FALSE)</f>
        <v>#NAME?</v>
      </c>
      <c r="BW390" s="261" t="e">
        <f>VLOOKUP(VLOOKUP($B$20,LA_list,5,FALSE),CLASS_CHECK,24,FALSE)</f>
        <v>#NAME?</v>
      </c>
      <c r="BX390" s="261" t="e">
        <f>VLOOKUP(VLOOKUP($B$20,LA_list,5,FALSE),CLASS_CHECK,25,FALSE)</f>
        <v>#NAME?</v>
      </c>
      <c r="BY390" s="261" t="e">
        <f>VLOOKUP(VLOOKUP($B$20,LA_list,5,FALSE),CLASS_CHECK,26,FALSE)</f>
        <v>#NAME?</v>
      </c>
      <c r="BZ390" s="4" t="s">
        <v>253</v>
      </c>
    </row>
    <row r="391" spans="1:78" ht="15.5" x14ac:dyDescent="0.35">
      <c r="A391"/>
      <c r="AZ391" s="55"/>
      <c r="BA391" s="370" t="e">
        <f>"RS LINE " &amp;#REF!</f>
        <v>#REF!</v>
      </c>
      <c r="BB391" s="371" t="e">
        <f>"RS LINE " &amp;#REF!</f>
        <v>#REF!</v>
      </c>
      <c r="BC391" s="371" t="e">
        <f>"RS LINE " &amp;#REF!</f>
        <v>#REF!</v>
      </c>
      <c r="BD391" s="371" t="e">
        <f>"RS LINE " &amp;#REF!</f>
        <v>#REF!</v>
      </c>
      <c r="BE391" s="371" t="e">
        <f>"RS LINE " &amp;#REF!</f>
        <v>#REF!</v>
      </c>
      <c r="BF391" s="371" t="e">
        <f>"RS LINE " &amp;#REF!</f>
        <v>#REF!</v>
      </c>
      <c r="BG391" s="371" t="e">
        <f>"RS LINE " &amp;#REF!</f>
        <v>#REF!</v>
      </c>
      <c r="BH391" s="371" t="e">
        <f>"RS LINE " &amp;#REF!</f>
        <v>#REF!</v>
      </c>
      <c r="BI391" s="371" t="e">
        <f>"RS LINE " &amp;#REF!</f>
        <v>#REF!</v>
      </c>
      <c r="BJ391" s="371" t="e">
        <f>"RS LINE " &amp;#REF!</f>
        <v>#REF!</v>
      </c>
      <c r="BK391" s="42" t="s">
        <v>253</v>
      </c>
      <c r="BL391" s="372" t="e">
        <f>"RS LINE " &amp;#REF!</f>
        <v>#REF!</v>
      </c>
      <c r="BM391" s="371" t="e">
        <f>"RS LINE " &amp;#REF!</f>
        <v>#REF!</v>
      </c>
      <c r="BN391" s="373" t="e">
        <f>"RS LINE " &amp;#REF!</f>
        <v>#REF!</v>
      </c>
      <c r="BO391" s="42" t="s">
        <v>253</v>
      </c>
      <c r="BP391" s="372" t="e">
        <f>"RS LINE " &amp;#REF!</f>
        <v>#REF!</v>
      </c>
      <c r="BQ391" s="371" t="e">
        <f>"RS LINE " &amp;#REF!</f>
        <v>#REF!</v>
      </c>
      <c r="BR391" s="371" t="e">
        <f>"RS LINE " &amp;#REF!</f>
        <v>#REF!</v>
      </c>
      <c r="BS391" s="371" t="e">
        <f>"RS LINE " &amp;#REF!</f>
        <v>#REF!</v>
      </c>
      <c r="BT391" s="374" t="e">
        <f>"RG LINE " &amp;RG!#REF!</f>
        <v>#REF!</v>
      </c>
      <c r="BU391" s="374" t="e">
        <f>"RS LINE " &amp;#REF!</f>
        <v>#REF!</v>
      </c>
      <c r="BV391" s="375" t="e">
        <f>"RS LINE " &amp;#REF!</f>
        <v>#REF!</v>
      </c>
      <c r="BW391" s="374" t="e">
        <f>"RS LINE " &amp;#REF!</f>
        <v>#REF!</v>
      </c>
      <c r="BX391" s="374" t="e">
        <f>"RS LINE " &amp;#REF!</f>
        <v>#REF!</v>
      </c>
      <c r="BY391" s="376" t="e">
        <f>"RS LINE " &amp;#REF!</f>
        <v>#REF!</v>
      </c>
    </row>
    <row r="392" spans="1:78" ht="15.5" x14ac:dyDescent="0.35">
      <c r="A392"/>
      <c r="AZ392" s="56" t="s">
        <v>372</v>
      </c>
      <c r="BA392" s="57" t="e">
        <f>IF(#REF!&lt;&gt;0,"","Entry expected for your class")</f>
        <v>#REF!</v>
      </c>
      <c r="BB392" s="58" t="e">
        <f>IF(#REF!&lt;&gt;0,"","Entry expected for your class")</f>
        <v>#REF!</v>
      </c>
      <c r="BC392" s="58" t="e">
        <f>IF(#REF!&lt;&gt;0,"","Entry expected for your class")</f>
        <v>#REF!</v>
      </c>
      <c r="BD392" s="59" t="s">
        <v>253</v>
      </c>
      <c r="BE392" s="58" t="e">
        <f>IF(#REF!&lt;&gt;0,"","Entry expected for your class")</f>
        <v>#REF!</v>
      </c>
      <c r="BF392" s="60" t="e">
        <f>IF(#REF!&lt;&gt;0,"","Entry expected for your class")</f>
        <v>#REF!</v>
      </c>
      <c r="BG392" s="61" t="e">
        <f>IF(#REF!&lt;&gt;0,"","Entry expected for your class")</f>
        <v>#REF!</v>
      </c>
      <c r="BH392" s="62" t="s">
        <v>253</v>
      </c>
      <c r="BI392" s="59" t="s">
        <v>253</v>
      </c>
      <c r="BJ392" s="58" t="e">
        <f>IF(#REF!&lt;&gt;0,"","Entry expected for your class")</f>
        <v>#REF!</v>
      </c>
      <c r="BK392" s="59" t="s">
        <v>253</v>
      </c>
      <c r="BL392" s="63" t="e">
        <f>IF(#REF!=0,"","Zero entry expected for your class")</f>
        <v>#REF!</v>
      </c>
      <c r="BM392" s="63" t="e">
        <f>IF(#REF!=0,"","Zero entry expected for your class")</f>
        <v>#REF!</v>
      </c>
      <c r="BN392" s="63" t="e">
        <f>IF(#REF!=0,"","Zero entry expected for your class")</f>
        <v>#REF!</v>
      </c>
      <c r="BO392" s="59" t="s">
        <v>253</v>
      </c>
      <c r="BP392" s="63" t="e">
        <f>IF(#REF!=0,"","WARNING: Col 1 - Zero entry expected for your class")</f>
        <v>#REF!</v>
      </c>
      <c r="BQ392" s="63" t="e">
        <f>IF(#REF!=0,"","Zero entry expected for your class")</f>
        <v>#REF!</v>
      </c>
      <c r="BR392" s="64" t="e">
        <f>IF(#REF!=0,"","Zero entry expected for your class")</f>
        <v>#REF!</v>
      </c>
      <c r="BS392" s="61" t="e">
        <f>IF(#REF!=0,"","Zero entry expected for your class")</f>
        <v>#REF!</v>
      </c>
      <c r="BT392" s="262" t="e">
        <f>IF(RG!#REF!=0,"","WARNING: Col 1 - Zero entry expected for your class")</f>
        <v>#REF!</v>
      </c>
      <c r="BU392" s="1340" t="e">
        <f>IF(#REF!=0,"","WARNING: Col 1 - Zero entry expected for your class")</f>
        <v>#REF!</v>
      </c>
      <c r="BV392" s="266" t="e">
        <f>IF(#REF!&gt;0,"","Greater than zero expected for your class")</f>
        <v>#REF!</v>
      </c>
      <c r="BW392" s="263" t="e">
        <f>IF(#REF!&gt;0,"","WARNING: Col 1 - Greater than zero expected for your class")</f>
        <v>#REF!</v>
      </c>
      <c r="BX392" s="263" t="e">
        <f>IF(#REF!&gt;0,"","WARNING: Col 1 - Greater than zero expected for your class")</f>
        <v>#REF!</v>
      </c>
      <c r="BY392" s="264" t="e">
        <f>IF(#REF!&gt;0,"","WARNING: Col 1 - Greater than zero expected for your class")</f>
        <v>#REF!</v>
      </c>
      <c r="BZ392" s="377"/>
    </row>
    <row r="393" spans="1:78" ht="15.5" x14ac:dyDescent="0.35">
      <c r="A393"/>
      <c r="AA393"/>
      <c r="AO393" s="39"/>
      <c r="AP393" s="13"/>
      <c r="AQ393" s="13"/>
      <c r="AR393" s="13"/>
      <c r="AS393" s="13"/>
      <c r="AT393" s="13"/>
      <c r="AU393" s="13"/>
      <c r="AV393" s="13"/>
      <c r="AW393" s="13"/>
      <c r="AX393" s="13"/>
      <c r="AZ393" s="1341" t="s">
        <v>373</v>
      </c>
      <c r="BA393" s="1342" t="e">
        <f>IF(#REF!=0,"","Zero entry expected for your class")</f>
        <v>#REF!</v>
      </c>
      <c r="BB393" s="1343" t="e">
        <f>IF(#REF!=0,"","Zero entry expected for your class")</f>
        <v>#REF!</v>
      </c>
      <c r="BC393" s="1343" t="e">
        <f>IF(#REF!=0,"","Zero entry expected for your class")</f>
        <v>#REF!</v>
      </c>
      <c r="BD393" s="1343" t="e">
        <f>IF(#REF!=0,"","Zero entry expected for your class")</f>
        <v>#REF!</v>
      </c>
      <c r="BE393" s="1343" t="e">
        <f>IF(#REF!=0,"","Zero entry expected for your class")</f>
        <v>#REF!</v>
      </c>
      <c r="BF393" s="1344" t="s">
        <v>253</v>
      </c>
      <c r="BG393" s="1345" t="e">
        <f>IF(#REF!=0,"","Zero entry expected for your class")</f>
        <v>#REF!</v>
      </c>
      <c r="BH393" s="1346" t="e">
        <f>IF(#REF!=0,"","Zero entry expected for your class")</f>
        <v>#REF!</v>
      </c>
      <c r="BI393" s="1347" t="e">
        <f>IF(#REF!&lt;&gt;0,"","Entry expected for your class")</f>
        <v>#REF!</v>
      </c>
      <c r="BJ393" s="1343" t="e">
        <f>IF(#REF!=0,"","Zero entry expected for your class")</f>
        <v>#REF!</v>
      </c>
      <c r="BK393" s="1348" t="s">
        <v>253</v>
      </c>
      <c r="BL393" s="1343" t="e">
        <f>IF(#REF!=0,"","Zero entry expected for your class")</f>
        <v>#REF!</v>
      </c>
      <c r="BM393" s="1343" t="e">
        <f>IF(#REF!=0,"","Zero entry expected for your class")</f>
        <v>#REF!</v>
      </c>
      <c r="BN393" s="1343" t="e">
        <f>IF(#REF!=0,"","Zero entry expected for your class")</f>
        <v>#REF!</v>
      </c>
      <c r="BO393" s="1348" t="s">
        <v>253</v>
      </c>
      <c r="BP393" s="1343" t="e">
        <f>IF(#REF!=0,"","WARNING: Col 1 - Zero entry expected for your class")</f>
        <v>#REF!</v>
      </c>
      <c r="BQ393" s="1343" t="e">
        <f>IF(#REF!=0,"","Zero entry expected for your class")</f>
        <v>#REF!</v>
      </c>
      <c r="BR393" s="1349" t="e">
        <f>IF(#REF!=0,"","Zero entry expected for your class")</f>
        <v>#REF!</v>
      </c>
      <c r="BS393" s="1350" t="e">
        <f>IF(#REF!=0,"","Zero entry expected for your class")</f>
        <v>#REF!</v>
      </c>
      <c r="BT393" s="1351" t="e">
        <f>IF(RG!#REF!=0,"","WARNING: Col 1 - Zero entry expected for your class")</f>
        <v>#REF!</v>
      </c>
      <c r="BU393" s="1340" t="e">
        <f>IF(#REF!=0,"","WARNING: Col 1 - Zero entry expected for your class")</f>
        <v>#REF!</v>
      </c>
      <c r="BV393" s="1352" t="e">
        <f>IF(#REF!=0,"","Zero entry expected for your class")</f>
        <v>#REF!</v>
      </c>
      <c r="BW393" s="1340" t="e">
        <f>IF(#REF!=0,"","WARNING: Col 1 - Zero entry expected for your class")</f>
        <v>#REF!</v>
      </c>
      <c r="BX393" s="1353" t="e">
        <f>IF(#REF!&gt;=0,"","WARNING: Col 1 - Greater than or equal to zero expected for your class")</f>
        <v>#REF!</v>
      </c>
      <c r="BY393" s="1354" t="e">
        <f>IF(#REF!&gt;=0,"","WARNING: Col 1 - Greater than or equal to zero expected for your class")</f>
        <v>#REF!</v>
      </c>
      <c r="BZ393" s="377"/>
    </row>
    <row r="394" spans="1:78" ht="15.5" x14ac:dyDescent="0.35">
      <c r="A394"/>
      <c r="AA394"/>
      <c r="AZ394" s="1341" t="s">
        <v>374</v>
      </c>
      <c r="BA394" s="1355" t="e">
        <f>IF(#REF!&lt;&gt;0,"","Entry expected for your class")</f>
        <v>#REF!</v>
      </c>
      <c r="BB394" s="1347" t="e">
        <f>IF(#REF!&lt;&gt;0,"","Entry expected for your class")</f>
        <v>#REF!</v>
      </c>
      <c r="BC394" s="1347" t="e">
        <f>IF(#REF!&lt;&gt;0,"","Entry expected for your class")</f>
        <v>#REF!</v>
      </c>
      <c r="BD394" s="1348" t="s">
        <v>253</v>
      </c>
      <c r="BE394" s="1347" t="e">
        <f>IF(#REF!&lt;&gt;0,"","Entry expected for your class")</f>
        <v>#REF!</v>
      </c>
      <c r="BF394" s="1344" t="s">
        <v>253</v>
      </c>
      <c r="BG394" s="1350" t="e">
        <f>IF(#REF!&lt;&gt;0,"","Entry expected for your class")</f>
        <v>#REF!</v>
      </c>
      <c r="BH394" s="1356" t="e">
        <f>IF(#REF!&lt;&gt;0,"","Entry expected for your class")</f>
        <v>#REF!</v>
      </c>
      <c r="BI394" s="1343" t="e">
        <f>IF(#REF!=0,"","Zero entry expected for your class")</f>
        <v>#REF!</v>
      </c>
      <c r="BJ394" s="1347" t="e">
        <f>IF(#REF!&lt;&gt;0,"","Entry expected for your class")</f>
        <v>#REF!</v>
      </c>
      <c r="BK394" s="1348" t="s">
        <v>253</v>
      </c>
      <c r="BL394" s="1343" t="e">
        <f>IF(#REF!=0,"","Zero entry expected for your class")</f>
        <v>#REF!</v>
      </c>
      <c r="BM394" s="1343" t="e">
        <f>IF(#REF!=0,"","Zero entry expected for your class")</f>
        <v>#REF!</v>
      </c>
      <c r="BN394" s="1347" t="e">
        <f>IF(#REF!&gt;0,"","Greater than zero expected for your class")</f>
        <v>#REF!</v>
      </c>
      <c r="BO394" s="1348" t="s">
        <v>253</v>
      </c>
      <c r="BP394" s="1348" t="s">
        <v>253</v>
      </c>
      <c r="BQ394" s="1347" t="e">
        <f>IF(#REF!&gt;0,"","Greater than zero expected for your class")</f>
        <v>#REF!</v>
      </c>
      <c r="BR394" s="1344" t="s">
        <v>253</v>
      </c>
      <c r="BS394" s="1347" t="e">
        <f>IF(#REF!&gt;0,"","Greater than zero expected for your class")</f>
        <v>#REF!</v>
      </c>
      <c r="BT394" s="1357" t="e">
        <f>IF(RG!#REF!&gt;0,"","WARNING: Col 1 - Greater than zero expected for your class")</f>
        <v>#REF!</v>
      </c>
      <c r="BU394" s="1358" t="s">
        <v>253</v>
      </c>
      <c r="BV394" s="1359" t="e">
        <f>IF(#REF!&gt;0,"","Greater than zero expected for your class")</f>
        <v>#REF!</v>
      </c>
      <c r="BW394" s="1360" t="e">
        <f>IF(#REF!&gt;0,"","WARNING: Col 1 - Greater than zero expected for your class")</f>
        <v>#REF!</v>
      </c>
      <c r="BX394" s="1360" t="e">
        <f>IF(#REF!&gt;0,"","WARNING: Col 1 - Greater than zero expected for your class")</f>
        <v>#REF!</v>
      </c>
      <c r="BY394" s="1361" t="e">
        <f>IF(#REF!&gt;0,"","WARNING: Col 1 - Greater than zero expected for your class")</f>
        <v>#REF!</v>
      </c>
      <c r="BZ394" s="377"/>
    </row>
    <row r="395" spans="1:78" ht="15.5" x14ac:dyDescent="0.35">
      <c r="A395"/>
      <c r="AA395"/>
      <c r="AM395" s="1"/>
      <c r="AY395" s="1"/>
      <c r="AZ395" s="1362" t="s">
        <v>375</v>
      </c>
      <c r="BA395" s="1342" t="e">
        <f>IF(#REF!=0,"","Zero entry expected for your class")</f>
        <v>#REF!</v>
      </c>
      <c r="BB395" s="1343" t="e">
        <f>IF(#REF!=0,"","Zero entry expected for your class")</f>
        <v>#REF!</v>
      </c>
      <c r="BC395" s="1343" t="e">
        <f>IF(#REF!=0,"","Zero entry expected for your class")</f>
        <v>#REF!</v>
      </c>
      <c r="BD395" s="1343" t="e">
        <f>IF(#REF!=0,"","Zero entry expected for your class")</f>
        <v>#REF!</v>
      </c>
      <c r="BE395" s="1343" t="e">
        <f>IF(#REF!=0,"","Zero entry expected for your class")</f>
        <v>#REF!</v>
      </c>
      <c r="BF395" s="1344" t="s">
        <v>253</v>
      </c>
      <c r="BG395" s="1363" t="e">
        <f>IF(#REF!=0,"","Zero entry expected for your class")</f>
        <v>#REF!</v>
      </c>
      <c r="BH395" s="1356" t="e">
        <f>IF(#REF!&lt;&gt;0,"","Entry expected for your class")</f>
        <v>#REF!</v>
      </c>
      <c r="BI395" s="1343" t="e">
        <f>IF(#REF!=0,"","Zero entry expected for your class")</f>
        <v>#REF!</v>
      </c>
      <c r="BJ395" s="1343" t="e">
        <f>IF(#REF!=0,"","Zero entry expected for your class")</f>
        <v>#REF!</v>
      </c>
      <c r="BK395" s="1348" t="s">
        <v>253</v>
      </c>
      <c r="BL395" s="1343" t="e">
        <f>IF(#REF!=0,"","Zero entry expected for your class")</f>
        <v>#REF!</v>
      </c>
      <c r="BM395" s="1343" t="e">
        <f>IF(#REF!=0,"","Zero entry expected for your class")</f>
        <v>#REF!</v>
      </c>
      <c r="BN395" s="1343" t="e">
        <f>IF(#REF!=0,"","Zero entry expected for your class")</f>
        <v>#REF!</v>
      </c>
      <c r="BO395" s="1348" t="s">
        <v>253</v>
      </c>
      <c r="BP395" s="1343" t="e">
        <f>IF(#REF!=0,"","WARNING: Col 1 - Zero entry expected for your class")</f>
        <v>#REF!</v>
      </c>
      <c r="BQ395" s="1343" t="e">
        <f>IF(#REF!=0,"","Zero entry expected for your class")</f>
        <v>#REF!</v>
      </c>
      <c r="BR395" s="1349" t="e">
        <f>IF(#REF!=0,"","Zero entry expected for your class")</f>
        <v>#REF!</v>
      </c>
      <c r="BS395" s="1350" t="e">
        <f>IF(#REF!=0,"","Zero entry expected for your class")</f>
        <v>#REF!</v>
      </c>
      <c r="BT395" s="1351" t="e">
        <f>IF(RG!#REF!=0,"","WARNING: Col 1 - Zero entry expected for your class")</f>
        <v>#REF!</v>
      </c>
      <c r="BU395" s="1340" t="e">
        <f>IF(#REF!=0,"","WARNING: Col 1 - Zero entry expected for your class")</f>
        <v>#REF!</v>
      </c>
      <c r="BV395" s="1352" t="e">
        <f>IF(#REF!=0,"","Zero entry expected for your class")</f>
        <v>#REF!</v>
      </c>
      <c r="BW395" s="1340" t="e">
        <f>IF(#REF!=0,"","WARNING: Col 1 - Zero entry expected for your class")</f>
        <v>#REF!</v>
      </c>
      <c r="BX395" s="1353" t="e">
        <f>IF(#REF!&gt;=0,"","WARNING: Col 1 - Greater than or equal to zero expected for your class")</f>
        <v>#REF!</v>
      </c>
      <c r="BY395" s="1354" t="e">
        <f>IF(#REF!&gt;=0,"","WARNING: Col 1 - Greater than or equal to zero expected for your class")</f>
        <v>#REF!</v>
      </c>
      <c r="BZ395" s="377"/>
    </row>
    <row r="396" spans="1:78" ht="15.5" x14ac:dyDescent="0.35">
      <c r="A396"/>
      <c r="AA396"/>
      <c r="AM396" s="1"/>
      <c r="AY396" s="1"/>
      <c r="AZ396" s="1341" t="s">
        <v>376</v>
      </c>
      <c r="BA396" s="1342" t="e">
        <f>IF(#REF!=0,"","Zero entry expected for your class")</f>
        <v>#REF!</v>
      </c>
      <c r="BB396" s="1343" t="e">
        <f>IF(#REF!=0,"","Zero entry expected for your class")</f>
        <v>#REF!</v>
      </c>
      <c r="BC396" s="1343" t="e">
        <f>IF(#REF!=0,"","Zero entry expected for your class")</f>
        <v>#REF!</v>
      </c>
      <c r="BD396" s="1343" t="e">
        <f>IF(#REF!=0,"","Zero entry expected for your class")</f>
        <v>#REF!</v>
      </c>
      <c r="BE396" s="1343" t="e">
        <f>IF(#REF!=0,"","Zero entry expected for your class")</f>
        <v>#REF!</v>
      </c>
      <c r="BF396" s="1344" t="s">
        <v>253</v>
      </c>
      <c r="BG396" s="1345" t="e">
        <f>IF(#REF!=0,"","Zero entry expected for your class")</f>
        <v>#REF!</v>
      </c>
      <c r="BH396" s="1346" t="e">
        <f>IF(#REF!=0,"","Zero entry expected for your class")</f>
        <v>#REF!</v>
      </c>
      <c r="BI396" s="1347" t="e">
        <f>IF(#REF!&lt;&gt;0,"","Entry expected for your class")</f>
        <v>#REF!</v>
      </c>
      <c r="BJ396" s="1343" t="e">
        <f>IF(#REF!=0,"","Zero entry expected for your class")</f>
        <v>#REF!</v>
      </c>
      <c r="BK396" s="1348" t="s">
        <v>253</v>
      </c>
      <c r="BL396" s="1343" t="e">
        <f>IF(#REF!=0,"","Zero entry expected for your class")</f>
        <v>#REF!</v>
      </c>
      <c r="BM396" s="1343" t="e">
        <f>IF(#REF!=0,"","Zero entry expected for your class")</f>
        <v>#REF!</v>
      </c>
      <c r="BN396" s="1343" t="e">
        <f>IF(#REF!=0,"","Zero entry expected for your class")</f>
        <v>#REF!</v>
      </c>
      <c r="BO396" s="1348" t="s">
        <v>253</v>
      </c>
      <c r="BP396" s="1343" t="e">
        <f>IF(#REF!=0,"","WARNING: Col 1 - Zero entry expected for your class")</f>
        <v>#REF!</v>
      </c>
      <c r="BQ396" s="1343" t="e">
        <f>IF(#REF!=0,"","Zero entry expected for your class")</f>
        <v>#REF!</v>
      </c>
      <c r="BR396" s="1349" t="e">
        <f>IF(#REF!=0,"","Zero entry expected for your class")</f>
        <v>#REF!</v>
      </c>
      <c r="BS396" s="1350" t="e">
        <f>IF(#REF!=0,"","Zero entry expected for your class")</f>
        <v>#REF!</v>
      </c>
      <c r="BT396" s="1351" t="e">
        <f>IF(RG!#REF!=0,"","WARNING: Col 1 - Zero entry expected for your class")</f>
        <v>#REF!</v>
      </c>
      <c r="BU396" s="1340" t="e">
        <f>IF(#REF!=0,"","WARNING: Col 1 - Zero entry expected for your class")</f>
        <v>#REF!</v>
      </c>
      <c r="BV396" s="1352" t="e">
        <f>IF(#REF!=0,"","Zero entry expected for your class")</f>
        <v>#REF!</v>
      </c>
      <c r="BW396" s="1340" t="e">
        <f>IF(#REF!=0,"","WARNING: Col 1 - Zero entry expected for your class")</f>
        <v>#REF!</v>
      </c>
      <c r="BX396" s="1353" t="e">
        <f>IF(#REF!&gt;=0,"","WARNING: Col 1 - Greater than or equal to zero expected for your class")</f>
        <v>#REF!</v>
      </c>
      <c r="BY396" s="1354" t="e">
        <f>IF(#REF!&gt;=0,"","WARNING: Col 1 - Greater than or equal to zero expected for your class")</f>
        <v>#REF!</v>
      </c>
      <c r="BZ396" s="377"/>
    </row>
    <row r="397" spans="1:78" ht="15.5" x14ac:dyDescent="0.35">
      <c r="A397"/>
      <c r="AA397"/>
      <c r="AZ397" s="1341" t="s">
        <v>377</v>
      </c>
      <c r="BA397" s="1342" t="e">
        <f>IF(#REF!=0,"","Zero entry expected for your class")</f>
        <v>#REF!</v>
      </c>
      <c r="BB397" s="1347" t="e">
        <f>IF(#REF!&lt;&gt;0,"","Entry expected for your class")</f>
        <v>#REF!</v>
      </c>
      <c r="BC397" s="1343" t="e">
        <f>IF(#REF!=0,"","Zero entry expected for your class")</f>
        <v>#REF!</v>
      </c>
      <c r="BD397" s="1343" t="e">
        <f>IF(#REF!=0,"","Zero entry expected for your class")</f>
        <v>#REF!</v>
      </c>
      <c r="BE397" s="1347" t="e">
        <f>IF(#REF!&lt;&gt;0,"","Entry expected for your class")</f>
        <v>#REF!</v>
      </c>
      <c r="BF397" s="1364" t="e">
        <f>IF(#REF!&lt;&gt;0,"","Entry expected for your class")</f>
        <v>#REF!</v>
      </c>
      <c r="BG397" s="1350" t="e">
        <f>IF(#REF!&lt;&gt;0,"","Entry expected for your class")</f>
        <v>#REF!</v>
      </c>
      <c r="BH397" s="1356" t="e">
        <f>IF(#REF!&lt;&gt;0,"","Entry expected for your class")</f>
        <v>#REF!</v>
      </c>
      <c r="BI397" s="1347" t="e">
        <f>IF(#REF!&lt;&gt;0,"","Entry expected for your class")</f>
        <v>#REF!</v>
      </c>
      <c r="BJ397" s="1343" t="e">
        <f>IF(#REF!=0,"","Zero entry expected for your class")</f>
        <v>#REF!</v>
      </c>
      <c r="BK397" s="1348" t="s">
        <v>253</v>
      </c>
      <c r="BL397" s="1343" t="e">
        <f>IF(#REF!=0,"","Zero entry expected for your class")</f>
        <v>#REF!</v>
      </c>
      <c r="BM397" s="1343" t="e">
        <f>IF(#REF!=0,"","Zero entry expected for your class")</f>
        <v>#REF!</v>
      </c>
      <c r="BN397" s="1343" t="e">
        <f>IF(#REF!=0,"","Zero entry expected for your class")</f>
        <v>#REF!</v>
      </c>
      <c r="BO397" s="1348" t="s">
        <v>253</v>
      </c>
      <c r="BP397" s="1343" t="e">
        <f>IF(#REF!=0,"","WARNING: Col 1 - Zero entry expected for your class")</f>
        <v>#REF!</v>
      </c>
      <c r="BQ397" s="1343" t="e">
        <f>IF(#REF!=0,"","Zero entry expected for your class")</f>
        <v>#REF!</v>
      </c>
      <c r="BR397" s="1349" t="e">
        <f>IF(#REF!=0,"","Zero entry expected for your class")</f>
        <v>#REF!</v>
      </c>
      <c r="BS397" s="1350" t="e">
        <f>IF(#REF!=0,"","Zero entry expected for your class")</f>
        <v>#REF!</v>
      </c>
      <c r="BT397" s="1351" t="e">
        <f>IF(RG!#REF!=0,"","WARNING: Col 1 - Zero entry expected for your class")</f>
        <v>#REF!</v>
      </c>
      <c r="BU397" s="1340" t="e">
        <f>IF(#REF!=0,"","WARNING: Col 1 - Zero entry expected for your class")</f>
        <v>#REF!</v>
      </c>
      <c r="BV397" s="1352" t="e">
        <f>IF(#REF!=0,"","Zero entry expected for your class")</f>
        <v>#REF!</v>
      </c>
      <c r="BW397" s="1340" t="e">
        <f>IF(#REF!=0,"","WARNING: Col 1 - Zero entry expected for your class")</f>
        <v>#REF!</v>
      </c>
      <c r="BX397" s="1360" t="e">
        <f>IF(#REF!&gt;0,"","WARNING: Col 1 - Greater than zero expected for your class")</f>
        <v>#REF!</v>
      </c>
      <c r="BY397" s="1361" t="e">
        <f>IF(#REF!&gt;0,"","WARNING: Col 1 - Greater than zero expected for your class")</f>
        <v>#REF!</v>
      </c>
      <c r="BZ397" s="377"/>
    </row>
    <row r="398" spans="1:78" ht="15.5" x14ac:dyDescent="0.35">
      <c r="A398"/>
      <c r="AA398"/>
      <c r="AZ398" s="1365" t="s">
        <v>253</v>
      </c>
      <c r="BA398" s="1365" t="s">
        <v>253</v>
      </c>
      <c r="BB398" s="1348" t="s">
        <v>253</v>
      </c>
      <c r="BC398" s="1348" t="s">
        <v>253</v>
      </c>
      <c r="BD398" s="1348" t="s">
        <v>253</v>
      </c>
      <c r="BE398" s="1348" t="s">
        <v>253</v>
      </c>
      <c r="BF398" s="1344" t="s">
        <v>253</v>
      </c>
      <c r="BG398" s="1344" t="s">
        <v>253</v>
      </c>
      <c r="BH398" s="1366" t="s">
        <v>253</v>
      </c>
      <c r="BI398" s="1348" t="s">
        <v>253</v>
      </c>
      <c r="BJ398" s="1348" t="s">
        <v>253</v>
      </c>
      <c r="BK398" s="1348" t="s">
        <v>253</v>
      </c>
      <c r="BL398" s="1348" t="s">
        <v>253</v>
      </c>
      <c r="BM398" s="1348" t="s">
        <v>253</v>
      </c>
      <c r="BN398" s="1348" t="s">
        <v>253</v>
      </c>
      <c r="BO398" s="1348" t="s">
        <v>253</v>
      </c>
      <c r="BP398" s="1348" t="s">
        <v>253</v>
      </c>
      <c r="BQ398" s="1348" t="s">
        <v>253</v>
      </c>
      <c r="BR398" s="1344" t="s">
        <v>253</v>
      </c>
      <c r="BS398" s="1367" t="s">
        <v>253</v>
      </c>
      <c r="BT398" s="1368" t="s">
        <v>253</v>
      </c>
      <c r="BU398" s="1368"/>
      <c r="BV398" s="1369" t="s">
        <v>253</v>
      </c>
      <c r="BW398" s="1370" t="s">
        <v>253</v>
      </c>
      <c r="BX398" s="1370" t="s">
        <v>253</v>
      </c>
      <c r="BY398" s="1371" t="s">
        <v>253</v>
      </c>
      <c r="BZ398" s="377"/>
    </row>
    <row r="399" spans="1:78" ht="15.5" x14ac:dyDescent="0.35">
      <c r="A399"/>
      <c r="AA399"/>
      <c r="AZ399" s="1341" t="s">
        <v>378</v>
      </c>
      <c r="BA399" s="1355" t="e">
        <f>IF(#REF!&lt;&gt;0,"","Entry expected for your class")</f>
        <v>#REF!</v>
      </c>
      <c r="BB399" s="1347" t="e">
        <f>IF(#REF!&lt;&gt;0,"","Entry expected for your class")</f>
        <v>#REF!</v>
      </c>
      <c r="BC399" s="1347" t="e">
        <f>IF(#REF!&lt;&gt;0,"","Entry expected for your class")</f>
        <v>#REF!</v>
      </c>
      <c r="BD399" s="1347" t="e">
        <f>IF(#REF!&lt;&gt;0,"","Entry expected for your class")</f>
        <v>#REF!</v>
      </c>
      <c r="BE399" s="1347" t="e">
        <f>IF(#REF!&lt;&gt;0,"","Entry expected for your class")</f>
        <v>#REF!</v>
      </c>
      <c r="BF399" s="1364" t="e">
        <f>IF(#REF!&lt;&gt;0,"","Entry expected for your class")</f>
        <v>#REF!</v>
      </c>
      <c r="BG399" s="1350" t="e">
        <f>IF(#REF!&lt;&gt;0,"","Entry expected for your class")</f>
        <v>#REF!</v>
      </c>
      <c r="BH399" s="1346" t="e">
        <f>IF(#REF!=0,"","Zero entry expected for your class")</f>
        <v>#REF!</v>
      </c>
      <c r="BI399" s="1343" t="e">
        <f>IF(#REF!=0,"","Zero entry expected for your class")</f>
        <v>#REF!</v>
      </c>
      <c r="BJ399" s="1347" t="e">
        <f>IF(#REF!&lt;&gt;0,"","Entry expected for your class")</f>
        <v>#REF!</v>
      </c>
      <c r="BK399" s="1348" t="s">
        <v>253</v>
      </c>
      <c r="BL399" s="1343" t="e">
        <f>IF(#REF!=0,"","Zero entry expected for your class")</f>
        <v>#REF!</v>
      </c>
      <c r="BM399" s="1348" t="s">
        <v>253</v>
      </c>
      <c r="BN399" s="1347" t="e">
        <f>IF(#REF!&gt;0,"","Greater than zero expected for your class")</f>
        <v>#REF!</v>
      </c>
      <c r="BO399" s="1348" t="s">
        <v>253</v>
      </c>
      <c r="BP399" s="1348" t="s">
        <v>253</v>
      </c>
      <c r="BQ399" s="1347" t="e">
        <f>IF(#REF!&gt;0,"","Greater than zero expected for your class")</f>
        <v>#REF!</v>
      </c>
      <c r="BR399" s="1364" t="e">
        <f>IF(#REF!&gt;0,"","Greater than zero expected for your class")</f>
        <v>#REF!</v>
      </c>
      <c r="BS399" s="1347" t="e">
        <f>IF(#REF!&gt;0,"","Greater than zero expected for your class")</f>
        <v>#REF!</v>
      </c>
      <c r="BT399" s="1357" t="e">
        <f>IF(RG!#REF!&gt;0,"","WARNING: Col 1 - Greater than zero expected for your class")</f>
        <v>#REF!</v>
      </c>
      <c r="BU399" s="1358" t="s">
        <v>253</v>
      </c>
      <c r="BV399" s="1359" t="e">
        <f>IF(#REF!&gt;0,"","Greater than zero expected for your class")</f>
        <v>#REF!</v>
      </c>
      <c r="BW399" s="1360" t="e">
        <f>IF(#REF!&gt;0,"","WARNING: Col 1 - Greater than zero expected for your class")</f>
        <v>#REF!</v>
      </c>
      <c r="BX399" s="1360" t="e">
        <f>IF(#REF!&gt;0,"","WARNING: Col 1 - Greater than zero expected for your class")</f>
        <v>#REF!</v>
      </c>
      <c r="BY399" s="1361" t="e">
        <f>IF(#REF!&gt;0,"","WARNING: Col 1 - Greater than zero expected for your class")</f>
        <v>#REF!</v>
      </c>
      <c r="BZ399" s="377"/>
    </row>
    <row r="400" spans="1:78" ht="15.5" x14ac:dyDescent="0.35">
      <c r="A400"/>
      <c r="AA400"/>
      <c r="AZ400" s="1365" t="s">
        <v>253</v>
      </c>
      <c r="BA400" s="1365" t="s">
        <v>253</v>
      </c>
      <c r="BB400" s="1348" t="s">
        <v>253</v>
      </c>
      <c r="BC400" s="1348" t="s">
        <v>253</v>
      </c>
      <c r="BD400" s="1348" t="s">
        <v>253</v>
      </c>
      <c r="BE400" s="1348" t="s">
        <v>253</v>
      </c>
      <c r="BF400" s="1344" t="s">
        <v>253</v>
      </c>
      <c r="BG400" s="1344" t="s">
        <v>253</v>
      </c>
      <c r="BH400" s="1366" t="s">
        <v>253</v>
      </c>
      <c r="BI400" s="1348" t="s">
        <v>253</v>
      </c>
      <c r="BJ400" s="1348" t="s">
        <v>253</v>
      </c>
      <c r="BK400" s="1348" t="s">
        <v>253</v>
      </c>
      <c r="BL400" s="1348" t="s">
        <v>253</v>
      </c>
      <c r="BM400" s="1348" t="s">
        <v>253</v>
      </c>
      <c r="BN400" s="1348" t="s">
        <v>253</v>
      </c>
      <c r="BO400" s="1348" t="s">
        <v>253</v>
      </c>
      <c r="BP400" s="1348" t="s">
        <v>253</v>
      </c>
      <c r="BQ400" s="1348" t="s">
        <v>253</v>
      </c>
      <c r="BR400" s="1344" t="s">
        <v>253</v>
      </c>
      <c r="BS400" s="1367" t="s">
        <v>253</v>
      </c>
      <c r="BT400" s="1368" t="s">
        <v>253</v>
      </c>
      <c r="BU400" s="1368"/>
      <c r="BV400" s="1369" t="s">
        <v>253</v>
      </c>
      <c r="BW400" s="1370" t="s">
        <v>253</v>
      </c>
      <c r="BX400" s="1370" t="s">
        <v>253</v>
      </c>
      <c r="BY400" s="1371" t="s">
        <v>253</v>
      </c>
      <c r="BZ400" s="377"/>
    </row>
    <row r="401" spans="1:78" ht="15.5" x14ac:dyDescent="0.35">
      <c r="A401"/>
      <c r="AA401"/>
      <c r="AZ401" s="1341" t="s">
        <v>379</v>
      </c>
      <c r="BA401" s="1355" t="e">
        <f>IF(#REF!&lt;&gt;0,"","Entry expected for your class")</f>
        <v>#REF!</v>
      </c>
      <c r="BB401" s="1347" t="e">
        <f>IF(#REF!&lt;&gt;0,"","Entry expected for your class")</f>
        <v>#REF!</v>
      </c>
      <c r="BC401" s="1347" t="e">
        <f>IF(#REF!&lt;&gt;0,"","Entry expected for your class")</f>
        <v>#REF!</v>
      </c>
      <c r="BD401" s="1347" t="e">
        <f>IF(#REF!&lt;&gt;0,"","Entry expected for your class")</f>
        <v>#REF!</v>
      </c>
      <c r="BE401" s="1347" t="e">
        <f>IF(#REF!&lt;&gt;0,"","Entry expected for your class")</f>
        <v>#REF!</v>
      </c>
      <c r="BF401" s="1364" t="e">
        <f>IF(#REF!&lt;&gt;0,"","Entry expected for your class")</f>
        <v>#REF!</v>
      </c>
      <c r="BG401" s="1350" t="e">
        <f>IF(#REF!&lt;&gt;0,"","Entry expected for your class")</f>
        <v>#REF!</v>
      </c>
      <c r="BH401" s="1346" t="e">
        <f>IF(#REF!=0,"","Zero entry expected for your class")</f>
        <v>#REF!</v>
      </c>
      <c r="BI401" s="1343" t="e">
        <f>IF(#REF!=0,"","Zero entry expected for your class")</f>
        <v>#REF!</v>
      </c>
      <c r="BJ401" s="1347" t="e">
        <f>IF(#REF!&lt;&gt;0,"","Entry expected for your class")</f>
        <v>#REF!</v>
      </c>
      <c r="BK401" s="1348" t="s">
        <v>253</v>
      </c>
      <c r="BL401" s="1347" t="e">
        <f>IF(#REF!&gt;0,"","Greater than zero expected for your class")</f>
        <v>#REF!</v>
      </c>
      <c r="BM401" s="1348" t="s">
        <v>253</v>
      </c>
      <c r="BN401" s="1343" t="e">
        <f>IF(#REF!=0,"","Zero entry expected for your class")</f>
        <v>#REF!</v>
      </c>
      <c r="BO401" s="1348" t="s">
        <v>253</v>
      </c>
      <c r="BP401" s="1348" t="s">
        <v>253</v>
      </c>
      <c r="BQ401" s="1347" t="e">
        <f>IF(#REF!&gt;0,"","Greater than zero expected for your class")</f>
        <v>#REF!</v>
      </c>
      <c r="BR401" s="1372" t="e">
        <f>IF(#REF!&gt;=0,"","Greater than or equal to zero expected for your class")</f>
        <v>#REF!</v>
      </c>
      <c r="BS401" s="1367" t="s">
        <v>253</v>
      </c>
      <c r="BT401" s="1357" t="e">
        <f>IF(RG!#REF!&gt;0,"","WARNING: Col 1 - Greater than zero expected for your class")</f>
        <v>#REF!</v>
      </c>
      <c r="BU401" s="1358" t="s">
        <v>253</v>
      </c>
      <c r="BV401" s="1359" t="e">
        <f>IF(#REF!&gt;0,"","Greater than zero expected for your class")</f>
        <v>#REF!</v>
      </c>
      <c r="BW401" s="1360" t="e">
        <f>IF(#REF!&gt;0,"","WARNING: Col 1 - Greater than zero expected for your class")</f>
        <v>#REF!</v>
      </c>
      <c r="BX401" s="1360" t="e">
        <f>IF(#REF!&gt;0,"","WARNING: Col 1 - Greater than zero expected for your class")</f>
        <v>#REF!</v>
      </c>
      <c r="BY401" s="1361" t="e">
        <f>IF(#REF!&gt;0,"","WARNING: Col 1 - Greater than zero expected for your class")</f>
        <v>#REF!</v>
      </c>
      <c r="BZ401" s="377"/>
    </row>
    <row r="402" spans="1:78" ht="15.5" x14ac:dyDescent="0.35">
      <c r="A402"/>
      <c r="AA402"/>
      <c r="AZ402" s="1365" t="s">
        <v>253</v>
      </c>
      <c r="BA402" s="1365" t="s">
        <v>253</v>
      </c>
      <c r="BB402" s="1348" t="s">
        <v>253</v>
      </c>
      <c r="BC402" s="1348" t="s">
        <v>253</v>
      </c>
      <c r="BD402" s="1348" t="s">
        <v>253</v>
      </c>
      <c r="BE402" s="1348" t="s">
        <v>253</v>
      </c>
      <c r="BF402" s="1344" t="s">
        <v>253</v>
      </c>
      <c r="BG402" s="1344" t="s">
        <v>253</v>
      </c>
      <c r="BH402" s="1366" t="s">
        <v>253</v>
      </c>
      <c r="BI402" s="1348" t="s">
        <v>253</v>
      </c>
      <c r="BJ402" s="1348" t="s">
        <v>253</v>
      </c>
      <c r="BK402" s="1348" t="s">
        <v>253</v>
      </c>
      <c r="BL402" s="1348" t="s">
        <v>253</v>
      </c>
      <c r="BM402" s="1348" t="s">
        <v>253</v>
      </c>
      <c r="BN402" s="1348" t="s">
        <v>253</v>
      </c>
      <c r="BO402" s="1348" t="s">
        <v>253</v>
      </c>
      <c r="BP402" s="1348" t="s">
        <v>253</v>
      </c>
      <c r="BQ402" s="1348" t="s">
        <v>253</v>
      </c>
      <c r="BR402" s="1344" t="s">
        <v>253</v>
      </c>
      <c r="BS402" s="1367" t="s">
        <v>253</v>
      </c>
      <c r="BT402" s="1368" t="s">
        <v>253</v>
      </c>
      <c r="BU402" s="1368"/>
      <c r="BV402" s="1369" t="s">
        <v>253</v>
      </c>
      <c r="BW402" s="1370" t="s">
        <v>253</v>
      </c>
      <c r="BX402" s="1370" t="s">
        <v>253</v>
      </c>
      <c r="BY402" s="1371" t="s">
        <v>253</v>
      </c>
      <c r="BZ402" s="377"/>
    </row>
    <row r="403" spans="1:78" ht="15.5" x14ac:dyDescent="0.35">
      <c r="A403"/>
      <c r="AA403"/>
      <c r="AZ403" s="1341" t="s">
        <v>380</v>
      </c>
      <c r="BA403" s="1355" t="e">
        <f>IF(#REF!&lt;&gt;0,"","Entry expected for your class")</f>
        <v>#REF!</v>
      </c>
      <c r="BB403" s="1347" t="e">
        <f>IF(#REF!&lt;&gt;0,"","Entry expected for your class")</f>
        <v>#REF!</v>
      </c>
      <c r="BC403" s="1347" t="e">
        <f>IF(#REF!&lt;&gt;0,"","Entry expected for your class")</f>
        <v>#REF!</v>
      </c>
      <c r="BD403" s="1347" t="e">
        <f>IF(#REF!&lt;&gt;0,"","Entry expected for your class")</f>
        <v>#REF!</v>
      </c>
      <c r="BE403" s="1347" t="e">
        <f>IF(#REF!&lt;&gt;0,"","Entry expected for your class")</f>
        <v>#REF!</v>
      </c>
      <c r="BF403" s="1364" t="e">
        <f>IF(#REF!&lt;&gt;0,"","Entry expected for your class")</f>
        <v>#REF!</v>
      </c>
      <c r="BG403" s="1350" t="e">
        <f>IF(#REF!&lt;&gt;0,"","Entry expected for your class")</f>
        <v>#REF!</v>
      </c>
      <c r="BH403" s="1346" t="e">
        <f>IF(#REF!=0,"","Zero entry expected for your class")</f>
        <v>#REF!</v>
      </c>
      <c r="BI403" s="1343" t="e">
        <f>IF(#REF!=0,"","Zero entry expected for your class")</f>
        <v>#REF!</v>
      </c>
      <c r="BJ403" s="1347" t="e">
        <f>IF(#REF!&lt;&gt;0,"","Entry expected for your class")</f>
        <v>#REF!</v>
      </c>
      <c r="BK403" s="1348" t="s">
        <v>253</v>
      </c>
      <c r="BL403" s="1343" t="e">
        <f>IF(#REF!=0,"","Zero entry expected for your class")</f>
        <v>#REF!</v>
      </c>
      <c r="BM403" s="1348" t="s">
        <v>253</v>
      </c>
      <c r="BN403" s="1347" t="e">
        <f>IF(#REF!&gt;0,"","Greater than zero expected for your class")</f>
        <v>#REF!</v>
      </c>
      <c r="BO403" s="1348" t="s">
        <v>253</v>
      </c>
      <c r="BP403" s="1348" t="s">
        <v>253</v>
      </c>
      <c r="BQ403" s="1347" t="e">
        <f>IF(#REF!&gt;0,"","Greater than zero expected for your class")</f>
        <v>#REF!</v>
      </c>
      <c r="BR403" s="1364" t="e">
        <f>IF(#REF!&gt;0,"","Greater than zero expected for your class")</f>
        <v>#REF!</v>
      </c>
      <c r="BS403" s="1367" t="s">
        <v>253</v>
      </c>
      <c r="BT403" s="1357" t="e">
        <f>IF(RG!#REF!&gt;0,"","WARNING: Col 1 - Greater than zero expected for your class")</f>
        <v>#REF!</v>
      </c>
      <c r="BU403" s="1358" t="s">
        <v>253</v>
      </c>
      <c r="BV403" s="1359" t="e">
        <f>IF(#REF!&gt;0,"","Greater than zero expected for your class")</f>
        <v>#REF!</v>
      </c>
      <c r="BW403" s="1360" t="e">
        <f>IF(#REF!&gt;0,"","WARNING: Col 1 - Greater than zero expected for your class")</f>
        <v>#REF!</v>
      </c>
      <c r="BX403" s="1360" t="e">
        <f>IF(#REF!&gt;0,"","WARNING: Col 1 - Greater than zero expected for your class")</f>
        <v>#REF!</v>
      </c>
      <c r="BY403" s="1361" t="e">
        <f>IF(#REF!&gt;0,"","WARNING: Col 1 - Greater than zero expected for your class")</f>
        <v>#REF!</v>
      </c>
      <c r="BZ403" s="377"/>
    </row>
    <row r="404" spans="1:78" ht="15.5" x14ac:dyDescent="0.35">
      <c r="A404"/>
      <c r="AA404"/>
      <c r="AZ404" s="1341" t="s">
        <v>381</v>
      </c>
      <c r="BA404" s="1342" t="e">
        <f>IF(#REF!=0,"","Zero entry expected for your class")</f>
        <v>#REF!</v>
      </c>
      <c r="BB404" s="1348" t="s">
        <v>253</v>
      </c>
      <c r="BC404" s="1343" t="e">
        <f>IF(#REF!=0,"","Zero entry expected for your class")</f>
        <v>#REF!</v>
      </c>
      <c r="BD404" s="1343" t="e">
        <f>IF(#REF!=0,"","Zero entry expected for your class")</f>
        <v>#REF!</v>
      </c>
      <c r="BE404" s="1347" t="e">
        <f>IF(#REF!&lt;&gt;0,"","Entry expected for your class")</f>
        <v>#REF!</v>
      </c>
      <c r="BF404" s="1344" t="s">
        <v>253</v>
      </c>
      <c r="BG404" s="1350" t="e">
        <f>IF(#REF!&lt;&gt;0,"","Entry expected for your class")</f>
        <v>#REF!</v>
      </c>
      <c r="BH404" s="1346" t="e">
        <f>IF(#REF!=0,"","Zero entry expected for your class")</f>
        <v>#REF!</v>
      </c>
      <c r="BI404" s="1343" t="e">
        <f>IF(#REF!=0,"","Zero entry expected for your class")</f>
        <v>#REF!</v>
      </c>
      <c r="BJ404" s="1343" t="e">
        <f>IF(#REF!=0,"","Zero entry expected for your class")</f>
        <v>#REF!</v>
      </c>
      <c r="BK404" s="1348" t="s">
        <v>253</v>
      </c>
      <c r="BL404" s="1343" t="e">
        <f>IF(#REF!=0,"","Zero entry expected for your class")</f>
        <v>#REF!</v>
      </c>
      <c r="BM404" s="1343" t="e">
        <f>IF(#REF!=0,"","Zero entry expected for your class")</f>
        <v>#REF!</v>
      </c>
      <c r="BN404" s="1343" t="e">
        <f>IF(#REF!=0,"","Zero entry expected for your class")</f>
        <v>#REF!</v>
      </c>
      <c r="BO404" s="1348" t="s">
        <v>253</v>
      </c>
      <c r="BP404" s="1343" t="e">
        <f>IF(#REF!=0,"","WARNING: Col 1 - Zero entry expected for your class")</f>
        <v>#REF!</v>
      </c>
      <c r="BQ404" s="1343" t="e">
        <f>IF(#REF!=0,"","Zero entry expected for your class")</f>
        <v>#REF!</v>
      </c>
      <c r="BR404" s="1349" t="e">
        <f>IF(#REF!=0,"","Zero entry expected for your class")</f>
        <v>#REF!</v>
      </c>
      <c r="BS404" s="1350" t="e">
        <f>IF(#REF!=0,"","Zero entry expected for your class")</f>
        <v>#REF!</v>
      </c>
      <c r="BT404" s="1351" t="e">
        <f>IF(RG!#REF!=0,"","WARNING: Col 1 - Zero entry expected for your class")</f>
        <v>#REF!</v>
      </c>
      <c r="BU404" s="1340" t="e">
        <f>IF(#REF!=0,"","WARNING: Col 1 - Zero entry expected for your class")</f>
        <v>#REF!</v>
      </c>
      <c r="BV404" s="1352" t="e">
        <f>IF(#REF!=0,"","Zero entry expected for your class")</f>
        <v>#REF!</v>
      </c>
      <c r="BW404" s="1340" t="e">
        <f>IF(#REF!=0,"","WARNING: Col 1 - Zero entry expected for your class")</f>
        <v>#REF!</v>
      </c>
      <c r="BX404" s="1353" t="e">
        <f>IF(#REF!&gt;=0,"","WARNING: Col 1 - Greater than or equal to zero expected for your class")</f>
        <v>#REF!</v>
      </c>
      <c r="BY404" s="1354" t="e">
        <f>IF(#REF!&gt;=0,"","WARNING: Col 1 - Greater than or equal to zero expected for your class")</f>
        <v>#REF!</v>
      </c>
      <c r="BZ404" s="377"/>
    </row>
    <row r="405" spans="1:78" ht="15.5" x14ac:dyDescent="0.35">
      <c r="A405"/>
      <c r="AA405"/>
      <c r="AZ405" s="1341" t="s">
        <v>382</v>
      </c>
      <c r="BA405" s="1342" t="e">
        <f>IF(#REF!=0,"","Zero entry expected for your class")</f>
        <v>#REF!</v>
      </c>
      <c r="BB405" s="1347" t="e">
        <f>IF(#REF!&lt;&gt;0,"","Entry expected for your class")</f>
        <v>#REF!</v>
      </c>
      <c r="BC405" s="1343" t="e">
        <f>IF(#REF!=0,"","Zero entry expected for your class")</f>
        <v>#REF!</v>
      </c>
      <c r="BD405" s="1343" t="e">
        <f>IF(#REF!=0,"","Zero entry expected for your class")</f>
        <v>#REF!</v>
      </c>
      <c r="BE405" s="1343" t="e">
        <f>IF(#REF!=0,"","Zero entry expected for your class")</f>
        <v>#REF!</v>
      </c>
      <c r="BF405" s="1349" t="e">
        <f>IF(#REF!=0,"","Zero entry expected for your class")</f>
        <v>#REF!</v>
      </c>
      <c r="BG405" s="1348" t="s">
        <v>253</v>
      </c>
      <c r="BH405" s="1346" t="e">
        <f>IF(#REF!=0,"","Zero entry expected for your class")</f>
        <v>#REF!</v>
      </c>
      <c r="BI405" s="1343" t="e">
        <f>IF(#REF!=0,"","Zero entry expected for your class")</f>
        <v>#REF!</v>
      </c>
      <c r="BJ405" s="1343" t="e">
        <f>IF(#REF!=0,"","Zero entry expected for your class")</f>
        <v>#REF!</v>
      </c>
      <c r="BK405" s="1348" t="s">
        <v>253</v>
      </c>
      <c r="BL405" s="1373" t="e">
        <f>IF(#REF!&lt;0,"","Negative entry expected for your class - also give levy breakdown in the Levy tab")</f>
        <v>#REF!</v>
      </c>
      <c r="BM405" s="1343"/>
      <c r="BN405" s="1343" t="e">
        <f>IF(#REF!=0,"","Zero entry expected for your class")</f>
        <v>#REF!</v>
      </c>
      <c r="BO405" s="1348" t="s">
        <v>253</v>
      </c>
      <c r="BP405" s="1343" t="e">
        <f>IF(#REF!=0,"","WARNING: Col 1 - Zero entry expected for your class")</f>
        <v>#REF!</v>
      </c>
      <c r="BQ405" s="1343" t="e">
        <f>IF(#REF!=0,"","Zero entry expected for your class")</f>
        <v>#REF!</v>
      </c>
      <c r="BR405" s="1349" t="e">
        <f>IF(#REF!=0,"","Zero entry expected for your class")</f>
        <v>#REF!</v>
      </c>
      <c r="BS405" s="1367" t="s">
        <v>253</v>
      </c>
      <c r="BT405" s="1351" t="e">
        <f>IF(RG!#REF!=0,"","WARNING: Col 1 - Zero entry expected for your class")</f>
        <v>#REF!</v>
      </c>
      <c r="BU405" s="1340" t="e">
        <f>IF(#REF!=0,"","WARNING: Col 1 - Zero entry expected for your class")</f>
        <v>#REF!</v>
      </c>
      <c r="BV405" s="1352" t="e">
        <f>IF(#REF!=0,"","Zero entry expected for your class")</f>
        <v>#REF!</v>
      </c>
      <c r="BW405" s="1340" t="e">
        <f>IF(#REF!=0,"","WARNING: Col 1 - Zero entry expected for your class")</f>
        <v>#REF!</v>
      </c>
      <c r="BX405" s="1353" t="e">
        <f>IF(#REF!&gt;=0,"","WARNING: Col 1 - Greater than or equal to zero expected for your class")</f>
        <v>#REF!</v>
      </c>
      <c r="BY405" s="1354" t="e">
        <f>IF(#REF!&gt;=0,"","WARNING: Col 1 - Greater than or equal to zero expected for your class")</f>
        <v>#REF!</v>
      </c>
      <c r="BZ405" s="377"/>
    </row>
    <row r="406" spans="1:78" ht="15.5" x14ac:dyDescent="0.35">
      <c r="A406"/>
      <c r="AA406"/>
      <c r="AZ406" s="1341" t="s">
        <v>383</v>
      </c>
      <c r="BA406" s="1355" t="e">
        <f>IF(#REF!&lt;&gt;0,"","Entry expected for your class")</f>
        <v>#REF!</v>
      </c>
      <c r="BB406" s="1347" t="e">
        <f>IF(#REF!&lt;&gt;0,"","Entry expected for your class")</f>
        <v>#REF!</v>
      </c>
      <c r="BC406" s="1347" t="e">
        <f>IF(#REF!&lt;&gt;0,"","Entry expected for your class")</f>
        <v>#REF!</v>
      </c>
      <c r="BD406" s="1348" t="s">
        <v>253</v>
      </c>
      <c r="BE406" s="1347" t="e">
        <f>IF(#REF!&lt;&gt;0,"","Entry expected for your class")</f>
        <v>#REF!</v>
      </c>
      <c r="BF406" s="1364" t="e">
        <f>IF(#REF!&lt;&gt;0,"","Entry expected for your class")</f>
        <v>#REF!</v>
      </c>
      <c r="BG406" s="1350" t="e">
        <f>IF(#REF!&lt;&gt;0,"","Entry expected for your class")</f>
        <v>#REF!</v>
      </c>
      <c r="BH406" s="1346" t="e">
        <f>IF(#REF!=0,"","Zero entry expected for your class")</f>
        <v>#REF!</v>
      </c>
      <c r="BI406" s="1347" t="e">
        <f>IF(#REF!&lt;&gt;0,"","Entry expected for your class")</f>
        <v>#REF!</v>
      </c>
      <c r="BJ406" s="1347" t="e">
        <f>IF(#REF!&lt;&gt;0,"","Entry expected for your class")</f>
        <v>#REF!</v>
      </c>
      <c r="BK406" s="1348" t="s">
        <v>253</v>
      </c>
      <c r="BL406" s="1343" t="e">
        <f>IF(#REF!=0,"","Zero entry expected for your class")</f>
        <v>#REF!</v>
      </c>
      <c r="BM406" s="1343" t="e">
        <f>IF(#REF!=0,"","Zero entry expected for your class")</f>
        <v>#REF!</v>
      </c>
      <c r="BN406" s="1343" t="e">
        <f>IF(#REF!=0,"","Zero entry expected for your class")</f>
        <v>#REF!</v>
      </c>
      <c r="BO406" s="1348" t="s">
        <v>253</v>
      </c>
      <c r="BP406" s="1348" t="s">
        <v>253</v>
      </c>
      <c r="BQ406" s="1347" t="e">
        <f>IF(#REF!&gt;0,"","Greater than zero expected for your class")</f>
        <v>#REF!</v>
      </c>
      <c r="BR406" s="1364" t="e">
        <f>IF(#REF!&gt;0,"","Greater than zero expected for your class")</f>
        <v>#REF!</v>
      </c>
      <c r="BS406" s="1350" t="e">
        <f>IF(#REF!=0,"","Zero entry expected for your class")</f>
        <v>#REF!</v>
      </c>
      <c r="BT406" s="1357" t="e">
        <f>IF(RG!#REF!&gt;0,"","WARNING: Col 1 - Greater than zero expected for your class")</f>
        <v>#REF!</v>
      </c>
      <c r="BU406" s="1358" t="s">
        <v>253</v>
      </c>
      <c r="BV406" s="1352" t="e">
        <f>IF(#REF!=0,"","Zero entry expected for your class")</f>
        <v>#REF!</v>
      </c>
      <c r="BW406" s="1360" t="e">
        <f>IF(#REF!&gt;0,"","WARNING: Col 1 - Greater than zero expected for your class")</f>
        <v>#REF!</v>
      </c>
      <c r="BX406" s="1360" t="e">
        <f>IF(#REF!&gt;0,"","WARNING: Col 1 - Greater than zero expected for your class")</f>
        <v>#REF!</v>
      </c>
      <c r="BY406" s="1361" t="e">
        <f>IF(#REF!&gt;0,"","WARNING: Col 1 - Greater than zero expected for your class")</f>
        <v>#REF!</v>
      </c>
      <c r="BZ406" s="377"/>
    </row>
    <row r="407" spans="1:78" ht="15.5" x14ac:dyDescent="0.35">
      <c r="A407"/>
      <c r="AA407"/>
      <c r="AZ407" s="1341" t="s">
        <v>384</v>
      </c>
      <c r="BA407" s="1342" t="e">
        <f>IF(#REF!=0,"","Zero entry expected for your class")</f>
        <v>#REF!</v>
      </c>
      <c r="BB407" s="1348" t="s">
        <v>253</v>
      </c>
      <c r="BC407" s="1348" t="s">
        <v>253</v>
      </c>
      <c r="BD407" s="1347" t="e">
        <f>IF(#REF!&lt;&gt;0,"","Entry expected for your class")</f>
        <v>#REF!</v>
      </c>
      <c r="BE407" s="1347" t="e">
        <f>IF(#REF!&lt;&gt;0,"","Entry expected for your class")</f>
        <v>#REF!</v>
      </c>
      <c r="BF407" s="1364" t="e">
        <f>IF(#REF!&lt;&gt;0,"","Entry expected for your class")</f>
        <v>#REF!</v>
      </c>
      <c r="BG407" s="1350" t="e">
        <f>IF(#REF!&lt;&gt;0,"","Entry expected for your class")</f>
        <v>#REF!</v>
      </c>
      <c r="BH407" s="1346" t="e">
        <f>IF(#REF!=0,"","Zero entry expected for your class")</f>
        <v>#REF!</v>
      </c>
      <c r="BI407" s="1343" t="e">
        <f>IF(#REF!=0,"","Zero entry expected for your class")</f>
        <v>#REF!</v>
      </c>
      <c r="BJ407" s="1348" t="s">
        <v>253</v>
      </c>
      <c r="BK407" s="1348" t="s">
        <v>253</v>
      </c>
      <c r="BL407" s="1343" t="e">
        <f>IF(#REF!=0,"","Zero entry expected for your class")</f>
        <v>#REF!</v>
      </c>
      <c r="BM407" s="1343" t="e">
        <f>IF(#REF!=0,"","Zero entry expected for your class")</f>
        <v>#REF!</v>
      </c>
      <c r="BN407" s="1343" t="e">
        <f>IF(#REF!=0,"","Zero entry expected for your class")</f>
        <v>#REF!</v>
      </c>
      <c r="BO407" s="1348" t="s">
        <v>253</v>
      </c>
      <c r="BP407" s="1348" t="s">
        <v>253</v>
      </c>
      <c r="BQ407" s="1347" t="e">
        <f>IF(#REF!&gt;0,"","Greater than zero expected for your class")</f>
        <v>#REF!</v>
      </c>
      <c r="BR407" s="1372" t="e">
        <f>IF(#REF!&gt;=0,"","Greater than or equal to zero expected for your class")</f>
        <v>#REF!</v>
      </c>
      <c r="BS407" s="1367" t="s">
        <v>253</v>
      </c>
      <c r="BT407" s="1357" t="e">
        <f>IF(RG!#REF!&gt;0,"","WARNING: Col 1 - Greater than zero expected for your class")</f>
        <v>#REF!</v>
      </c>
      <c r="BU407" s="1358" t="s">
        <v>253</v>
      </c>
      <c r="BV407" s="1352" t="e">
        <f>IF(#REF!=0,"","Zero entry expected for your class")</f>
        <v>#REF!</v>
      </c>
      <c r="BW407" s="1340" t="e">
        <f>IF(#REF!=0,"","WARNING: Col 1 - Zero entry expected for your class")</f>
        <v>#REF!</v>
      </c>
      <c r="BX407" s="1360" t="e">
        <f>IF(#REF!&gt;0,"","WARNING: Col 1 - Greater than zero expected for your class")</f>
        <v>#REF!</v>
      </c>
      <c r="BY407" s="1361" t="e">
        <f>IF(#REF!&gt;0,"","WARNING: Col 1 - Greater than zero expected for your class")</f>
        <v>#REF!</v>
      </c>
      <c r="BZ407" s="377"/>
    </row>
    <row r="408" spans="1:78" ht="15.5" x14ac:dyDescent="0.35">
      <c r="A408"/>
      <c r="AA408"/>
      <c r="AZ408" s="1341" t="s">
        <v>385</v>
      </c>
      <c r="BA408" s="1355" t="e">
        <f>IF(#REF!&lt;&gt;0,"","Entry expected for your class")</f>
        <v>#REF!</v>
      </c>
      <c r="BB408" s="1347" t="e">
        <f>IF(#REF!&lt;&gt;0,"","Entry expected for your class")</f>
        <v>#REF!</v>
      </c>
      <c r="BC408" s="1347" t="e">
        <f>IF(#REF!&lt;&gt;0,"","Entry expected for your class")</f>
        <v>#REF!</v>
      </c>
      <c r="BD408" s="1347" t="e">
        <f>IF(#REF!&lt;&gt;0,"","Entry expected for your class")</f>
        <v>#REF!</v>
      </c>
      <c r="BE408" s="1347" t="e">
        <f>IF(#REF!&lt;&gt;0,"","Entry expected for your class")</f>
        <v>#REF!</v>
      </c>
      <c r="BF408" s="1364" t="e">
        <f>IF(#REF!&lt;&gt;0,"","Entry expected for your class")</f>
        <v>#REF!</v>
      </c>
      <c r="BG408" s="1350" t="e">
        <f>IF(#REF!&lt;&gt;0,"","Entry expected for your class")</f>
        <v>#REF!</v>
      </c>
      <c r="BH408" s="1346" t="e">
        <f>IF(#REF!=0,"","Zero entry expected for your class")</f>
        <v>#REF!</v>
      </c>
      <c r="BI408" s="1348" t="s">
        <v>253</v>
      </c>
      <c r="BJ408" s="1347" t="e">
        <f>IF(#REF!&lt;&gt;0,"","Entry expected for your class")</f>
        <v>#REF!</v>
      </c>
      <c r="BK408" s="1348" t="s">
        <v>253</v>
      </c>
      <c r="BL408" s="1343" t="e">
        <f>IF(#REF!=0,"","Zero entry expected for your class")</f>
        <v>#REF!</v>
      </c>
      <c r="BM408" s="1343" t="e">
        <f>IF(#REF!=0,"","Zero entry expected for your class")</f>
        <v>#REF!</v>
      </c>
      <c r="BN408" s="1343" t="e">
        <f>IF(#REF!=0,"","Zero entry expected for your class")</f>
        <v>#REF!</v>
      </c>
      <c r="BO408" s="1348" t="s">
        <v>253</v>
      </c>
      <c r="BP408" s="1348" t="s">
        <v>253</v>
      </c>
      <c r="BQ408" s="1347" t="e">
        <f>IF(#REF!&gt;0,"","Greater than zero expected for your class")</f>
        <v>#REF!</v>
      </c>
      <c r="BR408" s="1372" t="e">
        <f>IF(#REF!&gt;=0,"","Greater than or equal to zero expected for your class")</f>
        <v>#REF!</v>
      </c>
      <c r="BS408" s="1367" t="s">
        <v>253</v>
      </c>
      <c r="BT408" s="1357" t="e">
        <f>IF(RG!#REF!&gt;0,"","WARNING: Col 1 - Greater than zero expected for your class")</f>
        <v>#REF!</v>
      </c>
      <c r="BU408" s="1358" t="s">
        <v>253</v>
      </c>
      <c r="BV408" s="1359" t="e">
        <f>IF(#REF!&gt;0,"","Greater than zero expected for your class")</f>
        <v>#REF!</v>
      </c>
      <c r="BW408" s="1360" t="e">
        <f>IF(#REF!&gt;0,"","WARNING: Col 1 - Greater than zero expected for your class")</f>
        <v>#REF!</v>
      </c>
      <c r="BX408" s="1360" t="e">
        <f>IF(#REF!&gt;0,"","WARNING: Col 1 - Greater than zero expected for your class")</f>
        <v>#REF!</v>
      </c>
      <c r="BY408" s="1361" t="e">
        <f>IF(#REF!&gt;0,"","WARNING: Col 1 - Greater than zero expected for your class")</f>
        <v>#REF!</v>
      </c>
      <c r="BZ408" s="377"/>
    </row>
    <row r="409" spans="1:78" ht="15.5" x14ac:dyDescent="0.35">
      <c r="A409"/>
      <c r="AA409"/>
      <c r="AZ409" s="1374" t="s">
        <v>386</v>
      </c>
      <c r="BA409" s="1375" t="e">
        <f>IF(#REF!=0,"","Zero entry expected for your class")</f>
        <v>#REF!</v>
      </c>
      <c r="BB409" s="1376" t="e">
        <f>IF(#REF!=0,"","Zero entry expected for your class")</f>
        <v>#REF!</v>
      </c>
      <c r="BC409" s="1376" t="e">
        <f>IF(#REF!=0,"","Zero entry expected for your class")</f>
        <v>#REF!</v>
      </c>
      <c r="BD409" s="1376" t="e">
        <f>IF(#REF!=0,"","Zero entry expected for your class")</f>
        <v>#REF!</v>
      </c>
      <c r="BE409" s="1376" t="e">
        <f>IF(#REF!=0,"","Zero entry expected for your class")</f>
        <v>#REF!</v>
      </c>
      <c r="BF409" s="1377" t="e">
        <f>IF(#REF!&lt;&gt;0,"","Entry expected for your class")</f>
        <v>#REF!</v>
      </c>
      <c r="BG409" s="66" t="e">
        <f>IF(#REF!=0,"","Zero entry expected for your class")</f>
        <v>#REF!</v>
      </c>
      <c r="BH409" s="1378" t="e">
        <f>IF(#REF!=0,"","Zero entry expected for your class")</f>
        <v>#REF!</v>
      </c>
      <c r="BI409" s="1376" t="e">
        <f>IF(#REF!=0,"","Zero entry expected for your class")</f>
        <v>#REF!</v>
      </c>
      <c r="BJ409" s="1376" t="e">
        <f>IF(#REF!=0,"","Zero entry expected for your class")</f>
        <v>#REF!</v>
      </c>
      <c r="BK409" s="1379" t="s">
        <v>253</v>
      </c>
      <c r="BL409" s="1376" t="e">
        <f>IF(#REF!=0,"","Zero entry expected for your class")</f>
        <v>#REF!</v>
      </c>
      <c r="BM409" s="1380" t="e">
        <f>IF(#REF!&lt;0,"","Negative entry expected for your class - also give a levy breakdown in the Levy tab")</f>
        <v>#REF!</v>
      </c>
      <c r="BN409" s="1376" t="e">
        <f>IF(#REF!=0,"","Zero entry expected for your class")</f>
        <v>#REF!</v>
      </c>
      <c r="BO409" s="1379" t="s">
        <v>253</v>
      </c>
      <c r="BP409" s="1376" t="e">
        <f>IF(#REF!=0,"","WARNING: Col 1 - Zero entry expected for your class")</f>
        <v>#REF!</v>
      </c>
      <c r="BQ409" s="1376" t="e">
        <f>IF(#REF!=0,"","Zero entry expected for your class")</f>
        <v>#REF!</v>
      </c>
      <c r="BR409" s="1381" t="e">
        <f>IF(#REF!=0,"","Zero entry expected for your class")</f>
        <v>#REF!</v>
      </c>
      <c r="BS409" s="65" t="e">
        <f>IF(#REF!=0,"","Zero entry expected for your class")</f>
        <v>#REF!</v>
      </c>
      <c r="BT409" s="1382" t="e">
        <f>IF(RG!#REF!=0,"","WARNING: Col 1 - Zero entry expected for your class")</f>
        <v>#REF!</v>
      </c>
      <c r="BU409" s="1383" t="e">
        <f>IF(#REF!=0,"","WARNING: Col 1 - Zero entry expected for your class")</f>
        <v>#REF!</v>
      </c>
      <c r="BV409" s="1384" t="e">
        <f>IF(#REF!=0,"","Zero entry expected for your class")</f>
        <v>#REF!</v>
      </c>
      <c r="BW409" s="1383" t="e">
        <f>IF(#REF!=0,"","WARNING: Col 1 - Zero entry expected for your class")</f>
        <v>#REF!</v>
      </c>
      <c r="BX409" s="1385" t="e">
        <f>IF(#REF!&gt;=0,"","WARNING: Col 1 - Greater than or equal to zero expected for your class")</f>
        <v>#REF!</v>
      </c>
      <c r="BY409" s="1386" t="e">
        <f>IF(#REF!&gt;=0,"","WARNING: Col 1 - Greater than or equal to zero expected for your class")</f>
        <v>#REF!</v>
      </c>
      <c r="BZ409" s="377"/>
    </row>
    <row r="410" spans="1:78" ht="12.5" x14ac:dyDescent="0.25">
      <c r="A410" s="432"/>
    </row>
    <row r="411" spans="1:78" ht="12.5" x14ac:dyDescent="0.25">
      <c r="A411" s="432"/>
    </row>
    <row r="412" spans="1:78" ht="12.5" x14ac:dyDescent="0.25">
      <c r="A412" s="432"/>
    </row>
    <row r="413" spans="1:78" ht="12.5" x14ac:dyDescent="0.25">
      <c r="A413" s="432"/>
    </row>
    <row r="414" spans="1:78" ht="12.5" x14ac:dyDescent="0.25">
      <c r="A414" s="432"/>
    </row>
    <row r="415" spans="1:78" ht="12.5" x14ac:dyDescent="0.25">
      <c r="A415" s="432"/>
    </row>
    <row r="416" spans="1:78" ht="12.5" x14ac:dyDescent="0.25">
      <c r="A416" s="432"/>
    </row>
    <row r="417" spans="1:1" ht="12.5" x14ac:dyDescent="0.25">
      <c r="A417" s="432"/>
    </row>
    <row r="418" spans="1:1" ht="12.5" x14ac:dyDescent="0.25">
      <c r="A418" s="432"/>
    </row>
    <row r="419" spans="1:1" ht="12.5" x14ac:dyDescent="0.25">
      <c r="A419" s="432"/>
    </row>
    <row r="420" spans="1:1" ht="12.5" x14ac:dyDescent="0.25">
      <c r="A420" s="432"/>
    </row>
    <row r="421" spans="1:1" ht="12.5" x14ac:dyDescent="0.25">
      <c r="A421" s="432"/>
    </row>
    <row r="422" spans="1:1" ht="12.5" x14ac:dyDescent="0.25">
      <c r="A422" s="432"/>
    </row>
    <row r="423" spans="1:1" ht="12.5" x14ac:dyDescent="0.25">
      <c r="A423" s="432"/>
    </row>
    <row r="424" spans="1:1" ht="12.5" x14ac:dyDescent="0.25">
      <c r="A424" s="432"/>
    </row>
    <row r="425" spans="1:1" ht="12.5" x14ac:dyDescent="0.25">
      <c r="A425" s="432"/>
    </row>
    <row r="426" spans="1:1" ht="12.5" x14ac:dyDescent="0.25">
      <c r="A426" s="432"/>
    </row>
    <row r="427" spans="1:1" ht="12.5" x14ac:dyDescent="0.25">
      <c r="A427" s="432"/>
    </row>
    <row r="428" spans="1:1" ht="12.5" x14ac:dyDescent="0.25">
      <c r="A428" s="432"/>
    </row>
    <row r="429" spans="1:1" ht="12.5" x14ac:dyDescent="0.25">
      <c r="A429" s="432"/>
    </row>
    <row r="430" spans="1:1" ht="12.5" x14ac:dyDescent="0.25">
      <c r="A430" s="432"/>
    </row>
    <row r="431" spans="1:1" ht="12.5" x14ac:dyDescent="0.25">
      <c r="A431" s="432"/>
    </row>
    <row r="432" spans="1:1" ht="12.5" x14ac:dyDescent="0.25">
      <c r="A432" s="432"/>
    </row>
    <row r="433" spans="1:1" ht="12.5" x14ac:dyDescent="0.25">
      <c r="A433" s="432"/>
    </row>
    <row r="434" spans="1:1" ht="12.5" x14ac:dyDescent="0.25">
      <c r="A434" s="432"/>
    </row>
    <row r="435" spans="1:1" ht="12.5" x14ac:dyDescent="0.25">
      <c r="A435" s="432"/>
    </row>
    <row r="436" spans="1:1" ht="12.5" x14ac:dyDescent="0.25">
      <c r="A436" s="432"/>
    </row>
    <row r="437" spans="1:1" ht="12.5" x14ac:dyDescent="0.25">
      <c r="A437" s="432"/>
    </row>
    <row r="438" spans="1:1" ht="12.5" x14ac:dyDescent="0.25">
      <c r="A438" s="432"/>
    </row>
    <row r="439" spans="1:1" ht="12.5" x14ac:dyDescent="0.25">
      <c r="A439" s="432"/>
    </row>
    <row r="440" spans="1:1" ht="12.5" x14ac:dyDescent="0.25">
      <c r="A440" s="432"/>
    </row>
    <row r="441" spans="1:1" ht="12.5" x14ac:dyDescent="0.25">
      <c r="A441" s="432"/>
    </row>
    <row r="442" spans="1:1" ht="12.5" x14ac:dyDescent="0.25">
      <c r="A442" s="432"/>
    </row>
    <row r="443" spans="1:1" ht="12.5" x14ac:dyDescent="0.25">
      <c r="A443" s="432"/>
    </row>
    <row r="444" spans="1:1" ht="12.5" x14ac:dyDescent="0.25">
      <c r="A444" s="432"/>
    </row>
    <row r="445" spans="1:1" ht="12.5" x14ac:dyDescent="0.25">
      <c r="A445" s="432"/>
    </row>
    <row r="446" spans="1:1" ht="12.5" x14ac:dyDescent="0.25">
      <c r="A446" s="432"/>
    </row>
    <row r="447" spans="1:1" ht="12.5" x14ac:dyDescent="0.25">
      <c r="A447" s="432"/>
    </row>
    <row r="448" spans="1:1" ht="12.5" x14ac:dyDescent="0.25">
      <c r="A448" s="432"/>
    </row>
    <row r="449" spans="1:1" ht="12.5" x14ac:dyDescent="0.25">
      <c r="A449" s="432"/>
    </row>
    <row r="450" spans="1:1" ht="12.5" x14ac:dyDescent="0.25">
      <c r="A450" s="432"/>
    </row>
    <row r="451" spans="1:1" ht="12.5" x14ac:dyDescent="0.25">
      <c r="A451" s="432"/>
    </row>
    <row r="452" spans="1:1" ht="12.5" x14ac:dyDescent="0.25">
      <c r="A452" s="432"/>
    </row>
    <row r="453" spans="1:1" ht="12.5" x14ac:dyDescent="0.25">
      <c r="A453" s="432"/>
    </row>
    <row r="454" spans="1:1" ht="12.5" x14ac:dyDescent="0.25">
      <c r="A454" s="432"/>
    </row>
    <row r="455" spans="1:1" ht="12.5" x14ac:dyDescent="0.25">
      <c r="A455" s="432"/>
    </row>
    <row r="456" spans="1:1" ht="12.5" x14ac:dyDescent="0.25">
      <c r="A456" s="432"/>
    </row>
    <row r="457" spans="1:1" ht="12.5" x14ac:dyDescent="0.25">
      <c r="A457" s="432"/>
    </row>
    <row r="458" spans="1:1" ht="12.5" x14ac:dyDescent="0.25">
      <c r="A458" s="432"/>
    </row>
    <row r="459" spans="1:1" ht="12.5" x14ac:dyDescent="0.25">
      <c r="A459" s="432"/>
    </row>
    <row r="460" spans="1:1" ht="12.5" x14ac:dyDescent="0.25">
      <c r="A460" s="432"/>
    </row>
    <row r="461" spans="1:1" ht="12.5" x14ac:dyDescent="0.25">
      <c r="A461" s="432"/>
    </row>
    <row r="462" spans="1:1" ht="12.5" x14ac:dyDescent="0.25">
      <c r="A462" s="432"/>
    </row>
    <row r="463" spans="1:1" ht="12.5" x14ac:dyDescent="0.25">
      <c r="A463" s="432"/>
    </row>
    <row r="464" spans="1:1" ht="12.5" x14ac:dyDescent="0.25">
      <c r="A464" s="432"/>
    </row>
    <row r="465" spans="1:1" ht="12.5" x14ac:dyDescent="0.25">
      <c r="A465" s="432"/>
    </row>
    <row r="466" spans="1:1" ht="12.5" x14ac:dyDescent="0.25">
      <c r="A466" s="432"/>
    </row>
    <row r="467" spans="1:1" ht="12.5" x14ac:dyDescent="0.25">
      <c r="A467" s="432"/>
    </row>
    <row r="468" spans="1:1" ht="12.5" x14ac:dyDescent="0.25">
      <c r="A468" s="432"/>
    </row>
    <row r="469" spans="1:1" ht="12.5" x14ac:dyDescent="0.25">
      <c r="A469" s="432"/>
    </row>
    <row r="470" spans="1:1" ht="12.5" x14ac:dyDescent="0.25">
      <c r="A470" s="432"/>
    </row>
    <row r="471" spans="1:1" ht="12.5" x14ac:dyDescent="0.25">
      <c r="A471" s="432"/>
    </row>
    <row r="472" spans="1:1" ht="12.5" x14ac:dyDescent="0.25">
      <c r="A472" s="432"/>
    </row>
    <row r="473" spans="1:1" ht="12.5" x14ac:dyDescent="0.25">
      <c r="A473" s="432"/>
    </row>
    <row r="474" spans="1:1" ht="12.5" x14ac:dyDescent="0.25">
      <c r="A474" s="432"/>
    </row>
    <row r="475" spans="1:1" ht="12.5" x14ac:dyDescent="0.25">
      <c r="A475" s="432"/>
    </row>
    <row r="476" spans="1:1" ht="12.5" x14ac:dyDescent="0.25">
      <c r="A476" s="432"/>
    </row>
    <row r="477" spans="1:1" ht="12.5" x14ac:dyDescent="0.25">
      <c r="A477" s="432"/>
    </row>
    <row r="478" spans="1:1" ht="12.5" x14ac:dyDescent="0.25">
      <c r="A478" s="432"/>
    </row>
    <row r="479" spans="1:1" ht="12.5" x14ac:dyDescent="0.25">
      <c r="A479" s="432"/>
    </row>
    <row r="480" spans="1:1" ht="12.5" x14ac:dyDescent="0.25">
      <c r="A480" s="432"/>
    </row>
    <row r="481" spans="1:1" ht="12.5" x14ac:dyDescent="0.25">
      <c r="A481" s="432"/>
    </row>
    <row r="482" spans="1:1" ht="12.5" x14ac:dyDescent="0.25">
      <c r="A482" s="432"/>
    </row>
    <row r="483" spans="1:1" ht="12.5" x14ac:dyDescent="0.25">
      <c r="A483" s="432"/>
    </row>
    <row r="484" spans="1:1" ht="12.5" x14ac:dyDescent="0.25">
      <c r="A484" s="432"/>
    </row>
    <row r="485" spans="1:1" ht="12.5" x14ac:dyDescent="0.25">
      <c r="A485" s="432"/>
    </row>
    <row r="486" spans="1:1" ht="12.5" x14ac:dyDescent="0.25">
      <c r="A486" s="432"/>
    </row>
    <row r="487" spans="1:1" ht="12.5" x14ac:dyDescent="0.25">
      <c r="A487" s="432"/>
    </row>
    <row r="488" spans="1:1" ht="12.5" x14ac:dyDescent="0.25">
      <c r="A488" s="432"/>
    </row>
    <row r="489" spans="1:1" ht="12.5" x14ac:dyDescent="0.25">
      <c r="A489" s="432"/>
    </row>
    <row r="490" spans="1:1" ht="12.5" x14ac:dyDescent="0.25">
      <c r="A490" s="432"/>
    </row>
    <row r="491" spans="1:1" ht="12.5" x14ac:dyDescent="0.25">
      <c r="A491" s="432"/>
    </row>
    <row r="492" spans="1:1" ht="12.5" x14ac:dyDescent="0.25">
      <c r="A492" s="432"/>
    </row>
    <row r="493" spans="1:1" ht="12.5" x14ac:dyDescent="0.25">
      <c r="A493" s="432"/>
    </row>
    <row r="494" spans="1:1" ht="12.5" x14ac:dyDescent="0.25">
      <c r="A494" s="432"/>
    </row>
    <row r="495" spans="1:1" ht="12.5" x14ac:dyDescent="0.25">
      <c r="A495" s="432"/>
    </row>
    <row r="496" spans="1:1" ht="12.5" x14ac:dyDescent="0.25">
      <c r="A496" s="432"/>
    </row>
    <row r="497" ht="12.5" x14ac:dyDescent="0.25"/>
    <row r="498" ht="12.5" x14ac:dyDescent="0.25"/>
    <row r="499" ht="12.5" x14ac:dyDescent="0.25"/>
    <row r="500" ht="12.5" x14ac:dyDescent="0.25"/>
    <row r="501" ht="12.5" x14ac:dyDescent="0.25"/>
    <row r="502" ht="12.5" x14ac:dyDescent="0.25"/>
    <row r="503" ht="12.5" x14ac:dyDescent="0.25"/>
    <row r="504" ht="12.5" x14ac:dyDescent="0.25"/>
    <row r="505" ht="12.5" x14ac:dyDescent="0.25"/>
    <row r="506" ht="12.5" x14ac:dyDescent="0.25"/>
    <row r="507" ht="12.5" x14ac:dyDescent="0.25"/>
    <row r="508" ht="12.5" x14ac:dyDescent="0.25"/>
    <row r="509" ht="12.5" x14ac:dyDescent="0.25"/>
    <row r="510" ht="12.5" x14ac:dyDescent="0.25"/>
    <row r="511" ht="12.5" x14ac:dyDescent="0.25"/>
    <row r="512" ht="12.5" x14ac:dyDescent="0.25"/>
    <row r="513" ht="12.5" x14ac:dyDescent="0.25"/>
    <row r="514" ht="12.5" x14ac:dyDescent="0.25"/>
    <row r="515" ht="12.5" x14ac:dyDescent="0.25"/>
    <row r="516" ht="12.5" x14ac:dyDescent="0.25"/>
    <row r="517" ht="12.5" x14ac:dyDescent="0.25"/>
    <row r="518" ht="12.5" x14ac:dyDescent="0.25"/>
    <row r="519" ht="12.5" x14ac:dyDescent="0.25"/>
    <row r="520" ht="12.5" x14ac:dyDescent="0.25"/>
    <row r="521" ht="12.5" x14ac:dyDescent="0.25"/>
    <row r="522" ht="12.5" x14ac:dyDescent="0.25"/>
    <row r="523" ht="12.5" x14ac:dyDescent="0.25"/>
    <row r="524" ht="12.5" x14ac:dyDescent="0.25"/>
    <row r="525" ht="12.5" x14ac:dyDescent="0.25"/>
    <row r="526" ht="12.5" x14ac:dyDescent="0.25"/>
    <row r="527" ht="12.5" x14ac:dyDescent="0.25"/>
    <row r="528" ht="12.5" x14ac:dyDescent="0.25"/>
    <row r="529" ht="12.5" x14ac:dyDescent="0.25"/>
    <row r="530" ht="12.5" x14ac:dyDescent="0.25"/>
    <row r="531" ht="12.5" x14ac:dyDescent="0.25"/>
    <row r="532" ht="12.5" x14ac:dyDescent="0.25"/>
    <row r="533" ht="12.5" x14ac:dyDescent="0.25"/>
    <row r="534" ht="12.5" x14ac:dyDescent="0.25"/>
    <row r="535" ht="12.5" x14ac:dyDescent="0.25"/>
    <row r="536" ht="12.5" x14ac:dyDescent="0.25"/>
    <row r="537" ht="12.5" x14ac:dyDescent="0.25"/>
    <row r="538" ht="12.5" x14ac:dyDescent="0.25"/>
    <row r="539" ht="12.5" x14ac:dyDescent="0.25"/>
    <row r="540" ht="12.5" x14ac:dyDescent="0.25"/>
    <row r="541" ht="12.5" x14ac:dyDescent="0.25"/>
    <row r="542" ht="12.5" x14ac:dyDescent="0.25"/>
    <row r="543" ht="12.5" x14ac:dyDescent="0.25"/>
    <row r="544" ht="12.5" x14ac:dyDescent="0.25"/>
    <row r="545" ht="12.5" x14ac:dyDescent="0.25"/>
    <row r="546" ht="12.5" x14ac:dyDescent="0.25"/>
    <row r="547" ht="12.5" x14ac:dyDescent="0.25"/>
    <row r="548" ht="12.5" x14ac:dyDescent="0.25"/>
    <row r="549" ht="12.5" x14ac:dyDescent="0.25"/>
    <row r="550" ht="12.5" x14ac:dyDescent="0.25"/>
    <row r="551" ht="12.5" x14ac:dyDescent="0.25"/>
    <row r="552" ht="12.5" x14ac:dyDescent="0.25"/>
    <row r="553" ht="12.5" x14ac:dyDescent="0.25"/>
    <row r="554" ht="12.5" x14ac:dyDescent="0.25"/>
    <row r="555" ht="12.5" x14ac:dyDescent="0.25"/>
    <row r="556" ht="12.5" x14ac:dyDescent="0.25"/>
    <row r="557" ht="12.5" x14ac:dyDescent="0.25"/>
    <row r="558" ht="12.5" x14ac:dyDescent="0.25"/>
    <row r="559" ht="12.5" x14ac:dyDescent="0.25"/>
    <row r="560" ht="12.5" x14ac:dyDescent="0.25"/>
    <row r="561" ht="12.5" x14ac:dyDescent="0.25"/>
    <row r="562" ht="12.5" x14ac:dyDescent="0.25"/>
    <row r="563" ht="12.5" x14ac:dyDescent="0.25"/>
    <row r="564" ht="12.5" x14ac:dyDescent="0.25"/>
    <row r="565" ht="12.5" x14ac:dyDescent="0.25"/>
    <row r="566" ht="12.5" x14ac:dyDescent="0.25"/>
    <row r="567" ht="12.5" x14ac:dyDescent="0.25"/>
    <row r="568" ht="12.5" x14ac:dyDescent="0.25"/>
    <row r="569" ht="12.5" x14ac:dyDescent="0.25"/>
    <row r="570" ht="12.5" x14ac:dyDescent="0.25"/>
    <row r="571" ht="12.5" x14ac:dyDescent="0.25"/>
    <row r="572" ht="12.5" x14ac:dyDescent="0.25"/>
    <row r="573" ht="12.5" x14ac:dyDescent="0.25"/>
    <row r="574" ht="12.5" x14ac:dyDescent="0.25"/>
    <row r="575" ht="12.5" x14ac:dyDescent="0.25"/>
    <row r="576" ht="12.5" x14ac:dyDescent="0.25"/>
    <row r="577" ht="12.5" x14ac:dyDescent="0.25"/>
    <row r="578" ht="12.5" x14ac:dyDescent="0.25"/>
    <row r="579" ht="12.5" x14ac:dyDescent="0.25"/>
    <row r="580" ht="12.5" x14ac:dyDescent="0.25"/>
    <row r="581" ht="12.5" x14ac:dyDescent="0.25"/>
    <row r="582" ht="12.5" x14ac:dyDescent="0.25"/>
    <row r="583" ht="12.5" x14ac:dyDescent="0.25"/>
    <row r="584" ht="12.5" x14ac:dyDescent="0.25"/>
    <row r="585" ht="12.5" x14ac:dyDescent="0.25"/>
    <row r="586" ht="12.5" x14ac:dyDescent="0.25"/>
    <row r="587" ht="12.5" x14ac:dyDescent="0.25"/>
    <row r="588" ht="12.5" x14ac:dyDescent="0.25"/>
    <row r="589" ht="12.5" x14ac:dyDescent="0.25"/>
    <row r="590" ht="12.5" x14ac:dyDescent="0.25"/>
    <row r="591" ht="12.5" x14ac:dyDescent="0.25"/>
    <row r="592" ht="12.5" x14ac:dyDescent="0.25"/>
    <row r="593" ht="12.5" x14ac:dyDescent="0.25"/>
    <row r="594" ht="12.5" x14ac:dyDescent="0.25"/>
    <row r="595" ht="12.5" x14ac:dyDescent="0.25"/>
    <row r="596" ht="12.5" x14ac:dyDescent="0.25"/>
    <row r="597" ht="12.5" x14ac:dyDescent="0.25"/>
    <row r="598" ht="12.5" x14ac:dyDescent="0.25"/>
    <row r="599" ht="12.5" x14ac:dyDescent="0.25"/>
    <row r="600" ht="12.5" x14ac:dyDescent="0.25"/>
    <row r="601" ht="12.5" x14ac:dyDescent="0.25"/>
    <row r="602" ht="12.5" x14ac:dyDescent="0.25"/>
    <row r="603" ht="12.5" x14ac:dyDescent="0.25"/>
    <row r="604" ht="12.5" x14ac:dyDescent="0.25"/>
    <row r="605" ht="12.5" x14ac:dyDescent="0.25"/>
    <row r="606" ht="12.5" x14ac:dyDescent="0.25"/>
    <row r="607" ht="12.5" x14ac:dyDescent="0.25"/>
    <row r="608" ht="12.5" x14ac:dyDescent="0.25"/>
    <row r="609" ht="12.5" x14ac:dyDescent="0.25"/>
    <row r="610" ht="12.5" x14ac:dyDescent="0.25"/>
    <row r="611" ht="12.5" x14ac:dyDescent="0.25"/>
    <row r="612" ht="12.5" x14ac:dyDescent="0.25"/>
    <row r="613" ht="12.5" x14ac:dyDescent="0.25"/>
    <row r="614" ht="12.5" x14ac:dyDescent="0.25"/>
    <row r="615" ht="12.5" x14ac:dyDescent="0.25"/>
    <row r="616" ht="12.5" x14ac:dyDescent="0.25"/>
    <row r="617" ht="12.5" x14ac:dyDescent="0.25"/>
    <row r="618" ht="12.5" x14ac:dyDescent="0.25"/>
    <row r="619" ht="12.5" x14ac:dyDescent="0.25"/>
    <row r="620" ht="12.5" x14ac:dyDescent="0.25"/>
    <row r="621" ht="12.5" x14ac:dyDescent="0.25"/>
    <row r="622" ht="12.5" x14ac:dyDescent="0.25"/>
    <row r="623" ht="12.5" x14ac:dyDescent="0.25"/>
    <row r="624" ht="12.5" x14ac:dyDescent="0.25"/>
    <row r="625" ht="12.5" x14ac:dyDescent="0.25"/>
    <row r="626" ht="12.5" x14ac:dyDescent="0.25"/>
    <row r="627" ht="12.5" x14ac:dyDescent="0.25"/>
    <row r="628" ht="12.5" x14ac:dyDescent="0.25"/>
    <row r="629" ht="12.5" x14ac:dyDescent="0.25"/>
    <row r="630" ht="12.5" x14ac:dyDescent="0.25"/>
    <row r="631" ht="12.5" x14ac:dyDescent="0.25"/>
    <row r="632" ht="12.5" x14ac:dyDescent="0.25"/>
    <row r="633" ht="12.5" x14ac:dyDescent="0.25"/>
    <row r="634" ht="12.5" x14ac:dyDescent="0.25"/>
    <row r="635" ht="12.5" x14ac:dyDescent="0.25"/>
    <row r="636" ht="12.5" x14ac:dyDescent="0.25"/>
    <row r="637" ht="12.5" x14ac:dyDescent="0.25"/>
    <row r="638" ht="12.5" x14ac:dyDescent="0.25"/>
    <row r="639" ht="12.5" x14ac:dyDescent="0.25"/>
    <row r="640" ht="12.5" x14ac:dyDescent="0.25"/>
    <row r="641" ht="12.5" x14ac:dyDescent="0.25"/>
    <row r="642" ht="12.5" x14ac:dyDescent="0.25"/>
    <row r="643" ht="12.5" x14ac:dyDescent="0.25"/>
    <row r="644" ht="12.5" x14ac:dyDescent="0.25"/>
    <row r="645" ht="12.5" x14ac:dyDescent="0.25"/>
    <row r="646" ht="12.5" x14ac:dyDescent="0.25"/>
    <row r="647" ht="12.5" x14ac:dyDescent="0.25"/>
    <row r="648" ht="12.5" x14ac:dyDescent="0.25"/>
    <row r="649" ht="12.5" x14ac:dyDescent="0.25"/>
    <row r="650" ht="12.5" x14ac:dyDescent="0.25"/>
    <row r="651" ht="12.5" x14ac:dyDescent="0.25"/>
    <row r="652" ht="12.5" x14ac:dyDescent="0.25"/>
    <row r="653" ht="12.5" x14ac:dyDescent="0.25"/>
    <row r="654" ht="12.5" x14ac:dyDescent="0.25"/>
    <row r="655" ht="12.5" x14ac:dyDescent="0.25"/>
    <row r="656" ht="12.5" x14ac:dyDescent="0.25"/>
    <row r="657" ht="12.5" x14ac:dyDescent="0.25"/>
    <row r="658" ht="12.5" x14ac:dyDescent="0.25"/>
    <row r="659" ht="12.5" x14ac:dyDescent="0.25"/>
    <row r="660" ht="12.5" x14ac:dyDescent="0.25"/>
    <row r="661" ht="12.5" x14ac:dyDescent="0.25"/>
    <row r="662" ht="12.5" x14ac:dyDescent="0.25"/>
    <row r="663" ht="12.5" x14ac:dyDescent="0.25"/>
    <row r="664" ht="12.5" x14ac:dyDescent="0.25"/>
    <row r="665" ht="12.5" x14ac:dyDescent="0.25"/>
    <row r="666" ht="12.5" x14ac:dyDescent="0.25"/>
    <row r="667" ht="12.5" x14ac:dyDescent="0.25"/>
    <row r="668" ht="12.5" x14ac:dyDescent="0.25"/>
    <row r="669" ht="12.5" x14ac:dyDescent="0.25"/>
    <row r="670" ht="12.5" x14ac:dyDescent="0.25"/>
    <row r="671" ht="12.5" x14ac:dyDescent="0.25"/>
    <row r="672" ht="12.5" x14ac:dyDescent="0.25"/>
    <row r="673" ht="12.5" x14ac:dyDescent="0.25"/>
    <row r="674" ht="12.5" x14ac:dyDescent="0.25"/>
    <row r="675" ht="12.5" x14ac:dyDescent="0.25"/>
    <row r="676" ht="12.5" x14ac:dyDescent="0.25"/>
    <row r="677" ht="12.5" x14ac:dyDescent="0.25"/>
    <row r="678" ht="12.5" x14ac:dyDescent="0.25"/>
    <row r="679" ht="12.5" x14ac:dyDescent="0.25"/>
    <row r="680" ht="12.5" x14ac:dyDescent="0.25"/>
    <row r="681" ht="12.5" x14ac:dyDescent="0.25"/>
    <row r="682" ht="12.5" x14ac:dyDescent="0.25"/>
    <row r="683" ht="12.5" x14ac:dyDescent="0.25"/>
    <row r="684" ht="12.5" x14ac:dyDescent="0.25"/>
    <row r="685" ht="12.5" x14ac:dyDescent="0.25"/>
    <row r="686" ht="12.5" x14ac:dyDescent="0.25"/>
    <row r="687" ht="12.5" x14ac:dyDescent="0.25"/>
    <row r="688" ht="12.5" x14ac:dyDescent="0.25"/>
    <row r="689" ht="12.5" x14ac:dyDescent="0.25"/>
    <row r="690" ht="12.5" x14ac:dyDescent="0.25"/>
    <row r="691" ht="12.5" x14ac:dyDescent="0.25"/>
    <row r="692" ht="12.5" x14ac:dyDescent="0.25"/>
    <row r="693" ht="12.5" x14ac:dyDescent="0.25"/>
    <row r="694" ht="12.5" x14ac:dyDescent="0.25"/>
    <row r="695" ht="12.5" x14ac:dyDescent="0.25"/>
    <row r="696" ht="12.5" x14ac:dyDescent="0.25"/>
    <row r="697" ht="12.5" x14ac:dyDescent="0.25"/>
    <row r="698" ht="12.5" x14ac:dyDescent="0.25"/>
    <row r="699" ht="12.5" x14ac:dyDescent="0.25"/>
    <row r="700" ht="12.5" x14ac:dyDescent="0.25"/>
    <row r="701" ht="12.5" x14ac:dyDescent="0.25"/>
    <row r="702" ht="12.5" x14ac:dyDescent="0.25"/>
    <row r="703" ht="12.5" x14ac:dyDescent="0.25"/>
    <row r="704" ht="12.5" x14ac:dyDescent="0.25"/>
    <row r="705" ht="12.5" x14ac:dyDescent="0.25"/>
    <row r="706" ht="12.5" x14ac:dyDescent="0.25"/>
    <row r="707" ht="12.5" x14ac:dyDescent="0.25"/>
    <row r="708" ht="12.5" x14ac:dyDescent="0.25"/>
    <row r="709" ht="12.5" x14ac:dyDescent="0.25"/>
    <row r="710" ht="12.5" x14ac:dyDescent="0.25"/>
    <row r="711" ht="12.5" x14ac:dyDescent="0.25"/>
    <row r="712" ht="12.5" x14ac:dyDescent="0.25"/>
    <row r="713" ht="12.5" x14ac:dyDescent="0.25"/>
    <row r="714" ht="12.5" x14ac:dyDescent="0.25"/>
    <row r="715" ht="12.5" x14ac:dyDescent="0.25"/>
    <row r="716" ht="12.5" x14ac:dyDescent="0.25"/>
    <row r="717" ht="12.5" x14ac:dyDescent="0.25"/>
    <row r="718" ht="12.5" x14ac:dyDescent="0.25"/>
    <row r="719" ht="12.5" x14ac:dyDescent="0.25"/>
    <row r="720" ht="12.5" x14ac:dyDescent="0.25"/>
    <row r="721" ht="12.5" x14ac:dyDescent="0.25"/>
    <row r="722" ht="12.5" x14ac:dyDescent="0.25"/>
    <row r="723" ht="12.5" x14ac:dyDescent="0.25"/>
    <row r="724" ht="12.5" x14ac:dyDescent="0.25"/>
    <row r="725" ht="12.5" x14ac:dyDescent="0.25"/>
    <row r="726" ht="12.5" x14ac:dyDescent="0.25"/>
    <row r="727" ht="12.5" x14ac:dyDescent="0.25"/>
    <row r="728" ht="12.5" x14ac:dyDescent="0.25"/>
    <row r="729" ht="12.5" x14ac:dyDescent="0.25"/>
    <row r="730" ht="12.5" x14ac:dyDescent="0.25"/>
    <row r="731" ht="12.5" x14ac:dyDescent="0.25"/>
    <row r="732" ht="12.5" x14ac:dyDescent="0.25"/>
    <row r="733" ht="12.5" x14ac:dyDescent="0.25"/>
    <row r="734" ht="12.5" x14ac:dyDescent="0.25"/>
    <row r="735" ht="12.5" x14ac:dyDescent="0.25"/>
    <row r="736" ht="12.5" x14ac:dyDescent="0.25"/>
    <row r="737" ht="12.5" x14ac:dyDescent="0.25"/>
    <row r="738" ht="12.5" x14ac:dyDescent="0.25"/>
    <row r="739" ht="12.5" x14ac:dyDescent="0.25"/>
    <row r="740" ht="12.5" x14ac:dyDescent="0.25"/>
    <row r="741" ht="12.5" x14ac:dyDescent="0.25"/>
    <row r="742" ht="12.5" x14ac:dyDescent="0.25"/>
    <row r="743" ht="12.5" x14ac:dyDescent="0.25"/>
    <row r="744" ht="12.5" x14ac:dyDescent="0.25"/>
    <row r="745" ht="12.5" x14ac:dyDescent="0.25"/>
    <row r="746" ht="12.5" x14ac:dyDescent="0.25"/>
    <row r="747" ht="12.5" x14ac:dyDescent="0.25"/>
    <row r="748" ht="12.5" x14ac:dyDescent="0.25"/>
    <row r="749" ht="12.5" x14ac:dyDescent="0.25"/>
    <row r="750" ht="12.5" x14ac:dyDescent="0.25"/>
    <row r="751" ht="12.5" x14ac:dyDescent="0.25"/>
    <row r="752" ht="12.5" x14ac:dyDescent="0.25"/>
    <row r="753" ht="12.5" x14ac:dyDescent="0.25"/>
    <row r="754" ht="12.5" x14ac:dyDescent="0.25"/>
    <row r="755" ht="12.5" x14ac:dyDescent="0.25"/>
    <row r="756" ht="12.5" x14ac:dyDescent="0.25"/>
    <row r="757" ht="12.5" x14ac:dyDescent="0.25"/>
    <row r="758" ht="12.5" x14ac:dyDescent="0.25"/>
    <row r="759" ht="12.5" x14ac:dyDescent="0.25"/>
    <row r="760" ht="12.5" x14ac:dyDescent="0.25"/>
    <row r="761" ht="12.5" x14ac:dyDescent="0.25"/>
    <row r="762" ht="12.5" x14ac:dyDescent="0.25"/>
    <row r="763" ht="12.5" x14ac:dyDescent="0.25"/>
    <row r="764" ht="12.5" x14ac:dyDescent="0.25"/>
    <row r="765" ht="12.5" x14ac:dyDescent="0.25"/>
    <row r="766" ht="12.5" x14ac:dyDescent="0.25"/>
    <row r="767" ht="12.5" x14ac:dyDescent="0.25"/>
    <row r="768" ht="12.5" x14ac:dyDescent="0.25"/>
    <row r="769" spans="1:1" ht="12.5" x14ac:dyDescent="0.25">
      <c r="A769" s="432"/>
    </row>
    <row r="770" spans="1:1" ht="12.5" x14ac:dyDescent="0.25">
      <c r="A770" s="432"/>
    </row>
    <row r="771" spans="1:1" ht="12.5" x14ac:dyDescent="0.25">
      <c r="A771" s="432"/>
    </row>
    <row r="772" spans="1:1" ht="12.5" x14ac:dyDescent="0.25">
      <c r="A772" s="432"/>
    </row>
    <row r="773" spans="1:1" ht="12.5" x14ac:dyDescent="0.25">
      <c r="A773" s="432"/>
    </row>
    <row r="774" spans="1:1" ht="12.5" x14ac:dyDescent="0.25">
      <c r="A774" s="432"/>
    </row>
    <row r="775" spans="1:1" ht="12.5" x14ac:dyDescent="0.25">
      <c r="A775" s="432"/>
    </row>
    <row r="776" spans="1:1" ht="12.5" x14ac:dyDescent="0.25">
      <c r="A776" s="432"/>
    </row>
    <row r="777" spans="1:1" ht="12.5" x14ac:dyDescent="0.25">
      <c r="A777" s="432"/>
    </row>
    <row r="778" spans="1:1" ht="12.5" x14ac:dyDescent="0.25">
      <c r="A778" s="432"/>
    </row>
    <row r="779" spans="1:1" ht="12.5" x14ac:dyDescent="0.25">
      <c r="A779" s="432"/>
    </row>
    <row r="780" spans="1:1" ht="12.5" x14ac:dyDescent="0.25">
      <c r="A780" s="432"/>
    </row>
    <row r="781" spans="1:1" ht="12.5" x14ac:dyDescent="0.25">
      <c r="A781" s="432"/>
    </row>
    <row r="782" spans="1:1" ht="12.5" x14ac:dyDescent="0.25">
      <c r="A782" s="432"/>
    </row>
    <row r="783" spans="1:1" ht="12.5" x14ac:dyDescent="0.25">
      <c r="A783" s="432"/>
    </row>
    <row r="784" spans="1:1" ht="12.5" x14ac:dyDescent="0.25">
      <c r="A784" s="432"/>
    </row>
    <row r="785" spans="1:1" ht="12.5" x14ac:dyDescent="0.25">
      <c r="A785" s="432"/>
    </row>
    <row r="786" spans="1:1" ht="12.5" x14ac:dyDescent="0.25">
      <c r="A786" s="432"/>
    </row>
    <row r="787" spans="1:1" ht="12.5" x14ac:dyDescent="0.25">
      <c r="A787" s="432"/>
    </row>
    <row r="788" spans="1:1" ht="12.5" x14ac:dyDescent="0.25">
      <c r="A788" s="432"/>
    </row>
    <row r="789" spans="1:1" ht="12.5" x14ac:dyDescent="0.25">
      <c r="A789" s="432"/>
    </row>
    <row r="790" spans="1:1" ht="12.5" x14ac:dyDescent="0.25">
      <c r="A790" s="432"/>
    </row>
    <row r="791" spans="1:1" ht="12.5" x14ac:dyDescent="0.25">
      <c r="A791" s="432"/>
    </row>
    <row r="792" spans="1:1" ht="12.5" x14ac:dyDescent="0.25">
      <c r="A792" s="432"/>
    </row>
    <row r="793" spans="1:1" ht="12.5" x14ac:dyDescent="0.25">
      <c r="A793" s="432"/>
    </row>
    <row r="794" spans="1:1" ht="12.5" x14ac:dyDescent="0.25">
      <c r="A794" s="432"/>
    </row>
    <row r="795" spans="1:1" ht="12.5" x14ac:dyDescent="0.25">
      <c r="A795" s="432"/>
    </row>
    <row r="796" spans="1:1" ht="12.5" x14ac:dyDescent="0.25">
      <c r="A796" s="432"/>
    </row>
    <row r="797" spans="1:1" ht="12.5" x14ac:dyDescent="0.25">
      <c r="A797" s="432"/>
    </row>
    <row r="798" spans="1:1" ht="12.5" x14ac:dyDescent="0.25">
      <c r="A798" s="432"/>
    </row>
    <row r="799" spans="1:1" ht="12.5" x14ac:dyDescent="0.25">
      <c r="A799" s="432"/>
    </row>
    <row r="800" spans="1:1" ht="12.5" x14ac:dyDescent="0.25">
      <c r="A800" s="432"/>
    </row>
    <row r="801" spans="1:1" ht="12.5" x14ac:dyDescent="0.25">
      <c r="A801" s="432"/>
    </row>
    <row r="802" spans="1:1" ht="12.5" x14ac:dyDescent="0.25">
      <c r="A802" s="432"/>
    </row>
    <row r="803" spans="1:1" ht="12.5" x14ac:dyDescent="0.25">
      <c r="A803" s="432"/>
    </row>
    <row r="804" spans="1:1" ht="12.5" x14ac:dyDescent="0.25">
      <c r="A804" s="432"/>
    </row>
    <row r="805" spans="1:1" ht="12.5" x14ac:dyDescent="0.25">
      <c r="A805" s="432"/>
    </row>
    <row r="806" spans="1:1" ht="12.5" x14ac:dyDescent="0.25">
      <c r="A806" s="432"/>
    </row>
    <row r="807" spans="1:1" ht="12.5" x14ac:dyDescent="0.25">
      <c r="A807" s="432"/>
    </row>
    <row r="808" spans="1:1" ht="12.5" x14ac:dyDescent="0.25">
      <c r="A808" s="432"/>
    </row>
    <row r="809" spans="1:1" ht="12.5" x14ac:dyDescent="0.25">
      <c r="A809" s="432"/>
    </row>
    <row r="810" spans="1:1" ht="12.5" x14ac:dyDescent="0.25">
      <c r="A810" s="432"/>
    </row>
    <row r="811" spans="1:1" ht="12.5" x14ac:dyDescent="0.25">
      <c r="A811" s="432"/>
    </row>
    <row r="812" spans="1:1" ht="12.5" x14ac:dyDescent="0.25">
      <c r="A812" s="432"/>
    </row>
    <row r="813" spans="1:1" ht="12.5" x14ac:dyDescent="0.25">
      <c r="A813" s="432"/>
    </row>
    <row r="814" spans="1:1" ht="12.5" x14ac:dyDescent="0.25">
      <c r="A814" s="432"/>
    </row>
    <row r="815" spans="1:1" ht="12.5" x14ac:dyDescent="0.25">
      <c r="A815" s="432"/>
    </row>
    <row r="816" spans="1:1" ht="12.5" x14ac:dyDescent="0.25">
      <c r="A816" s="432"/>
    </row>
    <row r="817" spans="1:1" ht="12.5" x14ac:dyDescent="0.25">
      <c r="A817" s="432"/>
    </row>
    <row r="818" spans="1:1" ht="12.5" x14ac:dyDescent="0.25">
      <c r="A818" s="432"/>
    </row>
    <row r="819" spans="1:1" ht="12.5" x14ac:dyDescent="0.25">
      <c r="A819" s="432"/>
    </row>
    <row r="820" spans="1:1" ht="12.5" x14ac:dyDescent="0.25">
      <c r="A820" s="432"/>
    </row>
    <row r="821" spans="1:1" ht="12.5" x14ac:dyDescent="0.25">
      <c r="A821" s="432"/>
    </row>
    <row r="822" spans="1:1" ht="12.5" x14ac:dyDescent="0.25">
      <c r="A822" s="432"/>
    </row>
    <row r="823" spans="1:1" ht="12.5" x14ac:dyDescent="0.25">
      <c r="A823" s="432"/>
    </row>
    <row r="824" spans="1:1" ht="12.5" x14ac:dyDescent="0.25">
      <c r="A824" s="432"/>
    </row>
    <row r="825" spans="1:1" ht="12.5" x14ac:dyDescent="0.25">
      <c r="A825" s="432"/>
    </row>
    <row r="826" spans="1:1" ht="12.5" x14ac:dyDescent="0.25">
      <c r="A826" s="432"/>
    </row>
    <row r="827" spans="1:1" ht="12.5" x14ac:dyDescent="0.25">
      <c r="A827" s="432"/>
    </row>
    <row r="828" spans="1:1" ht="12.5" x14ac:dyDescent="0.25">
      <c r="A828" s="432"/>
    </row>
    <row r="829" spans="1:1" ht="12.5" x14ac:dyDescent="0.25">
      <c r="A829" s="432"/>
    </row>
    <row r="830" spans="1:1" ht="12.5" x14ac:dyDescent="0.25">
      <c r="A830" s="432"/>
    </row>
    <row r="831" spans="1:1" ht="12.5" x14ac:dyDescent="0.25">
      <c r="A831" s="432"/>
    </row>
    <row r="832" spans="1:1" ht="12.5" x14ac:dyDescent="0.25">
      <c r="A832" s="432"/>
    </row>
    <row r="833" spans="1:50" ht="12.5" x14ac:dyDescent="0.25">
      <c r="A833" s="432"/>
    </row>
    <row r="834" spans="1:50" ht="12.5" x14ac:dyDescent="0.25">
      <c r="A834" s="432"/>
    </row>
    <row r="835" spans="1:50" ht="12.5" x14ac:dyDescent="0.25">
      <c r="A835" s="432"/>
    </row>
    <row r="836" spans="1:50" ht="12.5" x14ac:dyDescent="0.25">
      <c r="A836" s="432"/>
    </row>
    <row r="837" spans="1:50" ht="12.5" x14ac:dyDescent="0.25">
      <c r="A837" s="432"/>
    </row>
    <row r="838" spans="1:50" ht="12.5" x14ac:dyDescent="0.25">
      <c r="A838" s="432"/>
    </row>
    <row r="839" spans="1:50" ht="12.5" x14ac:dyDescent="0.25">
      <c r="A839" s="432"/>
    </row>
    <row r="840" spans="1:50" ht="12.5" x14ac:dyDescent="0.25">
      <c r="A840" s="432"/>
    </row>
    <row r="841" spans="1:50" ht="12.5" x14ac:dyDescent="0.25">
      <c r="A841" s="432"/>
    </row>
    <row r="842" spans="1:50" ht="12.5" x14ac:dyDescent="0.25">
      <c r="A842" s="432"/>
    </row>
    <row r="843" spans="1:50" ht="12.5" x14ac:dyDescent="0.25">
      <c r="A843"/>
      <c r="AA843"/>
      <c r="AN843" s="72"/>
      <c r="AO843" s="73"/>
      <c r="AP843" s="74"/>
      <c r="AQ843" s="74"/>
      <c r="AR843" s="74"/>
      <c r="AS843" s="74"/>
      <c r="AT843" s="74"/>
      <c r="AU843" s="74"/>
      <c r="AV843" s="74"/>
      <c r="AW843" s="74"/>
      <c r="AX843" s="74"/>
    </row>
    <row r="844" spans="1:50" ht="12.5" x14ac:dyDescent="0.25">
      <c r="A844"/>
      <c r="AA844"/>
      <c r="AN844" s="345"/>
      <c r="AO844" s="345"/>
      <c r="AP844" s="345"/>
      <c r="AQ844" s="345"/>
      <c r="AR844" s="345"/>
      <c r="AS844" s="345"/>
      <c r="AT844" s="345"/>
      <c r="AU844" s="345"/>
      <c r="AV844" s="345"/>
      <c r="AW844" s="345"/>
      <c r="AX844" s="345"/>
    </row>
    <row r="845" spans="1:50" ht="12.5" x14ac:dyDescent="0.25">
      <c r="A845" s="432"/>
    </row>
    <row r="846" spans="1:50" ht="12.5" x14ac:dyDescent="0.25">
      <c r="A846" s="432"/>
    </row>
    <row r="847" spans="1:50" ht="12.5" x14ac:dyDescent="0.25">
      <c r="A847" s="432"/>
    </row>
    <row r="848" spans="1:50" ht="12.5" x14ac:dyDescent="0.25">
      <c r="A848" s="432"/>
    </row>
    <row r="849" spans="1:1" ht="12.5" x14ac:dyDescent="0.25">
      <c r="A849" s="432"/>
    </row>
    <row r="850" spans="1:1" ht="12.5" x14ac:dyDescent="0.25">
      <c r="A850" s="432"/>
    </row>
    <row r="851" spans="1:1" ht="12.5" x14ac:dyDescent="0.25">
      <c r="A851" s="432"/>
    </row>
    <row r="852" spans="1:1" ht="12.5" x14ac:dyDescent="0.25">
      <c r="A852" s="432"/>
    </row>
    <row r="853" spans="1:1" ht="12.5" x14ac:dyDescent="0.25">
      <c r="A853" s="432"/>
    </row>
    <row r="854" spans="1:1" ht="12.5" x14ac:dyDescent="0.25">
      <c r="A854" s="432"/>
    </row>
    <row r="855" spans="1:1" ht="12.5" x14ac:dyDescent="0.25">
      <c r="A855" s="432"/>
    </row>
    <row r="856" spans="1:1" ht="12.5" x14ac:dyDescent="0.25">
      <c r="A856" s="432"/>
    </row>
    <row r="857" spans="1:1" ht="12.5" x14ac:dyDescent="0.25">
      <c r="A857" s="432"/>
    </row>
    <row r="858" spans="1:1" ht="12.5" x14ac:dyDescent="0.25">
      <c r="A858" s="432"/>
    </row>
    <row r="859" spans="1:1" ht="12.5" x14ac:dyDescent="0.25">
      <c r="A859" s="432"/>
    </row>
    <row r="860" spans="1:1" ht="12.5" x14ac:dyDescent="0.25">
      <c r="A860" s="432"/>
    </row>
    <row r="861" spans="1:1" ht="12.5" x14ac:dyDescent="0.25">
      <c r="A861" s="432"/>
    </row>
    <row r="862" spans="1:1" ht="12.5" x14ac:dyDescent="0.25">
      <c r="A862" s="432"/>
    </row>
    <row r="863" spans="1:1" ht="12.5" x14ac:dyDescent="0.25">
      <c r="A863" s="432"/>
    </row>
    <row r="864" spans="1:1" ht="12.5" x14ac:dyDescent="0.25">
      <c r="A864" s="432"/>
    </row>
    <row r="865" spans="1:1" ht="12.5" x14ac:dyDescent="0.25">
      <c r="A865" s="432"/>
    </row>
    <row r="866" spans="1:1" ht="12.5" x14ac:dyDescent="0.25">
      <c r="A866" s="432"/>
    </row>
    <row r="867" spans="1:1" ht="12.5" x14ac:dyDescent="0.25">
      <c r="A867" s="432"/>
    </row>
    <row r="868" spans="1:1" ht="12.5" x14ac:dyDescent="0.25">
      <c r="A868" s="432"/>
    </row>
    <row r="869" spans="1:1" ht="12.5" x14ac:dyDescent="0.25">
      <c r="A869" s="432"/>
    </row>
    <row r="870" spans="1:1" ht="12.5" x14ac:dyDescent="0.25">
      <c r="A870" s="432"/>
    </row>
    <row r="871" spans="1:1" ht="12.5" x14ac:dyDescent="0.25">
      <c r="A871" s="432"/>
    </row>
    <row r="872" spans="1:1" ht="12.5" x14ac:dyDescent="0.25">
      <c r="A872" s="432"/>
    </row>
  </sheetData>
  <sheetProtection sheet="1" objects="1" scenarios="1"/>
  <mergeCells count="35">
    <mergeCell ref="B2:N2"/>
    <mergeCell ref="B9:J9"/>
    <mergeCell ref="B10:I10"/>
    <mergeCell ref="B12:J12"/>
    <mergeCell ref="B15:J15"/>
    <mergeCell ref="B14:J14"/>
    <mergeCell ref="N36:O36"/>
    <mergeCell ref="K37:L37"/>
    <mergeCell ref="N37:O37"/>
    <mergeCell ref="K41:L41"/>
    <mergeCell ref="N41:O41"/>
    <mergeCell ref="N38:O38"/>
    <mergeCell ref="K39:L39"/>
    <mergeCell ref="N39:O39"/>
    <mergeCell ref="K40:L40"/>
    <mergeCell ref="N40:O40"/>
    <mergeCell ref="B32:F32"/>
    <mergeCell ref="G21:G31"/>
    <mergeCell ref="D46:E46"/>
    <mergeCell ref="K46:L46"/>
    <mergeCell ref="B44:J44"/>
    <mergeCell ref="K36:L36"/>
    <mergeCell ref="K42:L42"/>
    <mergeCell ref="N42:O42"/>
    <mergeCell ref="K43:L43"/>
    <mergeCell ref="N43:O43"/>
    <mergeCell ref="K44:L44"/>
    <mergeCell ref="N44:O44"/>
    <mergeCell ref="B52:E52"/>
    <mergeCell ref="B48:J48"/>
    <mergeCell ref="K48:L48"/>
    <mergeCell ref="N48:O48"/>
    <mergeCell ref="N46:O46"/>
    <mergeCell ref="K47:L47"/>
    <mergeCell ref="N47:O47"/>
  </mergeCells>
  <conditionalFormatting sqref="A17">
    <cfRule type="containsText" dxfId="183" priority="38" operator="containsText" text="resolve">
      <formula>NOT(ISERROR(SEARCH("resolve",A17)))</formula>
    </cfRule>
  </conditionalFormatting>
  <conditionalFormatting sqref="B17">
    <cfRule type="expression" dxfId="182" priority="37">
      <formula>ISNUMBER(SEARCH(Z17,A17))</formula>
    </cfRule>
  </conditionalFormatting>
  <conditionalFormatting sqref="C17">
    <cfRule type="expression" dxfId="181" priority="36">
      <formula>ISNUMBER(SEARCH(Z17,A17))</formula>
    </cfRule>
  </conditionalFormatting>
  <conditionalFormatting sqref="D17">
    <cfRule type="expression" dxfId="180" priority="35">
      <formula>ISNUMBER(SEARCH(Z17,A17))</formula>
    </cfRule>
  </conditionalFormatting>
  <conditionalFormatting sqref="E17">
    <cfRule type="expression" dxfId="179" priority="34">
      <formula>ISNUMBER(SEARCH(Z17,A17))</formula>
    </cfRule>
  </conditionalFormatting>
  <conditionalFormatting sqref="F17">
    <cfRule type="expression" dxfId="178" priority="33">
      <formula>ISNUMBER(SEARCH(Z17,A17))</formula>
    </cfRule>
  </conditionalFormatting>
  <conditionalFormatting sqref="G17">
    <cfRule type="expression" dxfId="177" priority="32">
      <formula>ISNUMBER(SEARCH(Z17,A17))</formula>
    </cfRule>
  </conditionalFormatting>
  <conditionalFormatting sqref="H17">
    <cfRule type="expression" dxfId="176" priority="31">
      <formula>ISNUMBER(SEARCH(Z17,A17))</formula>
    </cfRule>
  </conditionalFormatting>
  <conditionalFormatting sqref="I17">
    <cfRule type="expression" dxfId="175" priority="30">
      <formula>ISNUMBER(SEARCH(Z17,A17))</formula>
    </cfRule>
  </conditionalFormatting>
  <conditionalFormatting sqref="J17">
    <cfRule type="expression" dxfId="174" priority="29">
      <formula>ISNUMBER(SEARCH(Z17,A17))</formula>
    </cfRule>
  </conditionalFormatting>
  <dataValidations count="1">
    <dataValidation type="list" allowBlank="1" showInputMessage="1" showErrorMessage="1" sqref="B32:F32" xr:uid="{10188509-FF37-4AF8-A467-FA18058148EA}">
      <formula1>$AV$21:$AV$32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I51"/>
  <sheetViews>
    <sheetView showGridLines="0" topLeftCell="B1" zoomScale="80" zoomScaleNormal="80" workbookViewId="0">
      <pane ySplit="2" topLeftCell="A3" activePane="bottomLeft" state="frozen"/>
      <selection pane="bottomLeft" activeCell="B2" sqref="B2"/>
    </sheetView>
  </sheetViews>
  <sheetFormatPr defaultColWidth="0" defaultRowHeight="12.5" zeroHeight="1" x14ac:dyDescent="0.25"/>
  <cols>
    <col min="1" max="1" width="12.1796875" hidden="1" customWidth="1"/>
    <col min="2" max="2" width="6.54296875" customWidth="1"/>
    <col min="3" max="3" width="85.7265625" customWidth="1"/>
    <col min="4" max="4" width="6.7265625" customWidth="1"/>
    <col min="5" max="7" width="16.7265625" customWidth="1"/>
    <col min="8" max="8" width="20.54296875" bestFit="1" customWidth="1"/>
    <col min="9" max="12" width="16.7265625" customWidth="1"/>
    <col min="13" max="13" width="2.7265625" customWidth="1"/>
    <col min="14" max="15" width="16.7265625" customWidth="1"/>
    <col min="16" max="16" width="2.7265625" hidden="1" customWidth="1"/>
    <col min="17" max="17" width="60.7265625" hidden="1" customWidth="1"/>
    <col min="18" max="27" width="8.7265625" hidden="1" customWidth="1"/>
    <col min="28" max="28" width="26.7265625" hidden="1" customWidth="1"/>
    <col min="29" max="30" width="8.7265625" hidden="1" customWidth="1"/>
    <col min="31" max="31" width="8.54296875" hidden="1" customWidth="1"/>
    <col min="32" max="32" width="8.7265625" hidden="1" customWidth="1"/>
    <col min="33" max="34" width="12.7265625" hidden="1" customWidth="1"/>
    <col min="35" max="35" width="5" hidden="1" customWidth="1"/>
    <col min="36" max="36" width="12.7265625" hidden="1" customWidth="1"/>
    <col min="37" max="37" width="2.7265625" hidden="1" customWidth="1"/>
    <col min="38" max="38" width="12.7265625" hidden="1" customWidth="1"/>
    <col min="39" max="39" width="2.7265625" hidden="1" customWidth="1"/>
    <col min="40" max="40" width="12.7265625" hidden="1" customWidth="1"/>
    <col min="41" max="41" width="2.7265625" hidden="1" customWidth="1"/>
    <col min="42" max="42" width="12.7265625" hidden="1" customWidth="1"/>
    <col min="43" max="43" width="2.7265625" hidden="1" customWidth="1"/>
    <col min="44" max="44" width="12.7265625" hidden="1" customWidth="1"/>
    <col min="45" max="45" width="2.7265625" hidden="1" customWidth="1"/>
    <col min="46" max="46" width="12.7265625" hidden="1" customWidth="1"/>
    <col min="47" max="47" width="2.7265625" hidden="1" customWidth="1"/>
    <col min="48" max="48" width="12.7265625" hidden="1" customWidth="1"/>
    <col min="49" max="49" width="2.7265625" hidden="1" customWidth="1"/>
    <col min="50" max="50" width="12.7265625" hidden="1" customWidth="1"/>
    <col min="51" max="51" width="2.7265625" hidden="1" customWidth="1"/>
    <col min="52" max="53" width="8.7265625" hidden="1" customWidth="1"/>
    <col min="54" max="54" width="9.26953125" hidden="1" customWidth="1"/>
    <col min="55" max="55" width="39.26953125" hidden="1" customWidth="1"/>
    <col min="56" max="57" width="9.26953125" hidden="1" customWidth="1"/>
    <col min="58" max="58" width="18" hidden="1" customWidth="1"/>
    <col min="59" max="60" width="14.26953125" hidden="1" customWidth="1"/>
    <col min="61" max="61" width="9.26953125" hidden="1" customWidth="1"/>
    <col min="62" max="16384" width="8.7265625" hidden="1"/>
  </cols>
  <sheetData>
    <row r="1" spans="1:55" ht="26.5" hidden="1" customHeight="1" x14ac:dyDescent="0.25">
      <c r="A1" t="s">
        <v>435</v>
      </c>
      <c r="B1" t="s">
        <v>43</v>
      </c>
      <c r="C1" s="93" t="s">
        <v>436</v>
      </c>
      <c r="E1" s="280" t="s">
        <v>437</v>
      </c>
      <c r="F1" t="s">
        <v>438</v>
      </c>
      <c r="G1" t="s">
        <v>439</v>
      </c>
      <c r="H1" s="280" t="s">
        <v>440</v>
      </c>
      <c r="I1" t="s">
        <v>441</v>
      </c>
      <c r="J1" t="s">
        <v>442</v>
      </c>
      <c r="K1" t="s">
        <v>443</v>
      </c>
      <c r="L1" t="s">
        <v>444</v>
      </c>
      <c r="O1" s="280" t="s">
        <v>47</v>
      </c>
      <c r="Q1" t="s">
        <v>445</v>
      </c>
      <c r="R1" s="686"/>
      <c r="S1" s="686" t="s">
        <v>49</v>
      </c>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row>
    <row r="2" spans="1:55" ht="69.75" customHeight="1" x14ac:dyDescent="0.25">
      <c r="A2" t="s">
        <v>446</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71"/>
      <c r="Q2" s="1"/>
    </row>
    <row r="3" spans="1:55" ht="12.75" customHeight="1" x14ac:dyDescent="0.3">
      <c r="B3" s="90"/>
      <c r="C3" s="40"/>
      <c r="D3" s="40"/>
      <c r="E3" s="40"/>
      <c r="F3" s="40"/>
      <c r="G3" s="40"/>
      <c r="H3" s="40"/>
      <c r="I3" s="40"/>
      <c r="J3" s="40"/>
      <c r="K3" s="40"/>
      <c r="L3" s="134"/>
      <c r="M3" s="40"/>
      <c r="N3" s="40"/>
      <c r="O3" s="40"/>
      <c r="P3" s="40"/>
      <c r="Q3" s="1"/>
    </row>
    <row r="4" spans="1:55" ht="28" x14ac:dyDescent="0.6">
      <c r="B4" s="40"/>
      <c r="C4" s="40"/>
      <c r="D4" s="40"/>
      <c r="E4" s="40"/>
      <c r="F4" s="40"/>
      <c r="G4" s="40"/>
      <c r="H4" s="40"/>
      <c r="I4" s="40"/>
      <c r="J4" s="40"/>
      <c r="K4" s="40"/>
      <c r="L4" s="40"/>
      <c r="M4" s="40"/>
      <c r="N4" s="40"/>
      <c r="O4" s="118" t="str">
        <f>"RSX "&amp;YearForm</f>
        <v>RSX 2025-26</v>
      </c>
      <c r="P4" s="40"/>
      <c r="Q4" s="1"/>
    </row>
    <row r="5" spans="1:55" ht="12.75" customHeight="1" x14ac:dyDescent="0.25">
      <c r="B5" s="40"/>
      <c r="C5" s="40"/>
      <c r="D5" s="40"/>
      <c r="E5" s="40"/>
      <c r="F5" s="40"/>
      <c r="G5" s="40"/>
      <c r="H5" s="40"/>
      <c r="I5" s="40"/>
      <c r="J5" s="40"/>
      <c r="K5" s="40"/>
      <c r="L5" s="40"/>
      <c r="M5" s="40"/>
      <c r="N5" s="40"/>
      <c r="O5" s="40"/>
      <c r="P5" s="40"/>
      <c r="Q5" s="1"/>
    </row>
    <row r="6" spans="1:55" ht="12.75" customHeight="1" x14ac:dyDescent="0.25">
      <c r="B6" s="40"/>
      <c r="C6" s="40"/>
      <c r="D6" s="40"/>
      <c r="E6" s="40"/>
      <c r="F6" s="40"/>
      <c r="G6" s="40"/>
      <c r="H6" s="40"/>
      <c r="I6" s="40"/>
      <c r="J6" s="40"/>
      <c r="K6" s="40"/>
      <c r="L6" s="40"/>
      <c r="M6" s="40"/>
      <c r="N6" s="40"/>
      <c r="O6" s="40"/>
      <c r="P6" s="40"/>
      <c r="Q6" s="1"/>
    </row>
    <row r="7" spans="1:55" ht="12.75" customHeight="1" x14ac:dyDescent="0.25">
      <c r="B7" s="40"/>
      <c r="C7" s="40"/>
      <c r="D7" s="40"/>
      <c r="E7" s="40"/>
      <c r="F7" s="40"/>
      <c r="G7" s="40"/>
      <c r="H7" s="40"/>
      <c r="I7" s="40"/>
      <c r="J7" s="40"/>
      <c r="K7" s="40"/>
      <c r="L7" s="40"/>
      <c r="M7" s="40"/>
      <c r="N7" s="40"/>
      <c r="O7" s="40"/>
      <c r="P7" s="40"/>
      <c r="Q7" s="1"/>
    </row>
    <row r="8" spans="1:55" ht="12.75" customHeight="1" x14ac:dyDescent="0.25">
      <c r="B8" s="40"/>
      <c r="C8" s="40"/>
      <c r="D8" s="40"/>
      <c r="E8" s="40"/>
      <c r="F8" s="40"/>
      <c r="G8" s="40"/>
      <c r="H8" s="40"/>
      <c r="I8" s="40"/>
      <c r="J8" s="40"/>
      <c r="K8" s="40"/>
      <c r="L8" s="40"/>
      <c r="M8" s="40"/>
      <c r="N8" s="40"/>
      <c r="O8" s="40"/>
      <c r="P8" s="40"/>
      <c r="Q8" s="1"/>
    </row>
    <row r="9" spans="1:55" ht="12.75" customHeight="1" x14ac:dyDescent="0.25">
      <c r="B9" s="40"/>
      <c r="C9" s="40"/>
      <c r="D9" s="40"/>
      <c r="E9" s="40"/>
      <c r="F9" s="40"/>
      <c r="G9" s="40"/>
      <c r="H9" s="40"/>
      <c r="I9" s="40"/>
      <c r="J9" s="40"/>
      <c r="K9" s="40"/>
      <c r="L9" s="40"/>
      <c r="M9" s="40"/>
      <c r="N9" s="40"/>
      <c r="O9" s="40"/>
      <c r="P9" s="40"/>
      <c r="Q9" s="1"/>
    </row>
    <row r="10" spans="1:55" ht="33" customHeight="1" x14ac:dyDescent="0.25">
      <c r="B10" s="1468" t="str">
        <f>RS!$B$11</f>
        <v>General Fund Revenue Account Outturn</v>
      </c>
      <c r="C10" s="1468"/>
      <c r="D10" s="1468"/>
      <c r="E10" s="1468"/>
      <c r="F10" s="1468"/>
      <c r="G10" s="1468"/>
      <c r="H10" s="1468"/>
      <c r="I10" s="1468"/>
      <c r="J10" s="1468"/>
      <c r="K10" s="1468"/>
      <c r="L10" s="1468"/>
      <c r="M10" s="1468"/>
      <c r="N10" s="1468"/>
      <c r="O10" s="1468"/>
      <c r="P10" s="183"/>
      <c r="Q10" s="687"/>
    </row>
    <row r="11" spans="1:55" ht="33" customHeight="1" x14ac:dyDescent="0.25">
      <c r="B11" s="1500" t="str">
        <f>"RSX – SERVICE EXPENDITURE SUMMARY "&amp;YearForm</f>
        <v>RSX – SERVICE EXPENDITURE SUMMARY 2025-26</v>
      </c>
      <c r="C11" s="1501"/>
      <c r="D11" s="1501"/>
      <c r="E11" s="1501"/>
      <c r="F11" s="1501"/>
      <c r="G11" s="1501"/>
      <c r="H11" s="1501"/>
      <c r="I11" s="1501"/>
      <c r="J11" s="1501"/>
      <c r="K11" s="1501"/>
      <c r="L11" s="1501"/>
      <c r="M11" s="1501"/>
      <c r="N11" s="1501"/>
      <c r="O11" s="1501"/>
      <c r="P11" s="183"/>
      <c r="Q11" s="687"/>
    </row>
    <row r="12" spans="1:55" ht="14.15" customHeight="1" x14ac:dyDescent="0.25">
      <c r="B12" s="40"/>
      <c r="C12" s="40"/>
      <c r="D12" s="40"/>
      <c r="E12" s="40"/>
      <c r="F12" s="40"/>
      <c r="G12" s="40"/>
      <c r="H12" s="40"/>
      <c r="I12" s="40"/>
      <c r="J12" s="40"/>
      <c r="K12" s="40"/>
      <c r="L12" s="40"/>
      <c r="M12" s="40"/>
      <c r="N12" s="40"/>
      <c r="O12" s="40"/>
      <c r="P12" s="40"/>
      <c r="Q12" s="1"/>
    </row>
    <row r="13" spans="1:55"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c r="P13" s="40"/>
      <c r="Q13" s="1"/>
    </row>
    <row r="14" spans="1:55" ht="12" customHeight="1" x14ac:dyDescent="0.3">
      <c r="B14" s="40"/>
      <c r="C14" s="40"/>
      <c r="D14" s="40"/>
      <c r="E14" s="40"/>
      <c r="F14" s="40"/>
      <c r="G14" s="40"/>
      <c r="H14" s="40"/>
      <c r="I14" s="40"/>
      <c r="J14" s="40"/>
      <c r="K14" s="40"/>
      <c r="L14" s="90"/>
      <c r="M14" s="40"/>
      <c r="N14" s="40"/>
      <c r="O14" s="40"/>
      <c r="P14" s="40"/>
      <c r="Q14" s="1"/>
    </row>
    <row r="15" spans="1:55" ht="21" customHeight="1" x14ac:dyDescent="0.25">
      <c r="B15" s="1502" t="s">
        <v>447</v>
      </c>
      <c r="C15" s="1502"/>
      <c r="D15" s="1502"/>
      <c r="E15" s="1502"/>
      <c r="F15" s="1502"/>
      <c r="G15" s="1502"/>
      <c r="H15" s="1502"/>
      <c r="I15" s="1502"/>
      <c r="J15" s="1502"/>
      <c r="K15" s="1502"/>
      <c r="L15" s="1502"/>
      <c r="M15" s="1502"/>
      <c r="N15" s="1502"/>
      <c r="O15" s="1502"/>
      <c r="P15" s="94"/>
      <c r="Q15" s="345"/>
    </row>
    <row r="16" spans="1:55" ht="21" customHeight="1" x14ac:dyDescent="0.25">
      <c r="B16" s="1499" t="s">
        <v>395</v>
      </c>
      <c r="C16" s="1499"/>
      <c r="D16" s="1499"/>
      <c r="E16" s="1499"/>
      <c r="F16" s="1499"/>
      <c r="G16" s="1499"/>
      <c r="H16" s="1499"/>
      <c r="I16" s="1499"/>
      <c r="J16" s="1499"/>
      <c r="K16" s="1499"/>
      <c r="L16" s="1499"/>
      <c r="M16" s="1499"/>
      <c r="N16" s="1499"/>
      <c r="O16" s="1499"/>
      <c r="P16" s="40"/>
      <c r="Q16" s="1"/>
    </row>
    <row r="17" spans="1:32" ht="20" x14ac:dyDescent="0.35">
      <c r="B17" s="139" t="str">
        <f>TRIM(LEFT(B$11,3))&amp;" error summary:"</f>
        <v>RSX error summary:</v>
      </c>
      <c r="C17" s="140"/>
      <c r="D17" s="140"/>
      <c r="E17" s="40"/>
      <c r="F17" s="141"/>
      <c r="G17" s="40"/>
      <c r="H17" s="40"/>
      <c r="I17" s="40"/>
      <c r="J17" s="346"/>
      <c r="K17" s="202"/>
      <c r="L17" s="90"/>
      <c r="M17" s="40"/>
      <c r="N17" s="40"/>
      <c r="O17" s="40"/>
      <c r="P17" s="40"/>
      <c r="Q17" s="1"/>
    </row>
    <row r="18" spans="1:32" ht="32.15" customHeight="1" x14ac:dyDescent="0.35">
      <c r="A18" t="s">
        <v>448</v>
      </c>
      <c r="B18" s="339" t="str">
        <f>IF(AND(COUNTIF($O$32:$O$45,"Error")=0,COUNTIF($O$32:$O$45,"Warning")=0),("There are no outstanding errors or warnings with the "&amp;TRIM(LEFT(B$11,3))&amp;" section of the form. Thank you."),("There are "&amp;COUNTIF($O$32:$O$45,"Error")&amp;" outstanding error(s) and "&amp;COUNTIF($O$32:$O$45,"Warning")&amp;" outstanding warning(s) with the "&amp;TRIM(LEFT(B$11,3))&amp;" section of the form. Please resolve and/or explain these before submitting."))</f>
        <v>There are no outstanding errors or warnings with the RSX section of the form. Thank you.</v>
      </c>
      <c r="C18" s="340"/>
      <c r="D18" s="340"/>
      <c r="E18" s="340"/>
      <c r="F18" s="340"/>
      <c r="G18" s="340"/>
      <c r="H18" s="340"/>
      <c r="I18" s="340"/>
      <c r="J18" s="340"/>
      <c r="K18" s="340"/>
      <c r="L18" s="340"/>
      <c r="M18" s="40"/>
      <c r="N18" s="40"/>
      <c r="O18" s="40"/>
      <c r="P18" s="40"/>
      <c r="Q18" s="1"/>
      <c r="AB18" s="317" t="s">
        <v>53</v>
      </c>
    </row>
    <row r="19" spans="1:32" ht="19.5" customHeight="1" x14ac:dyDescent="0.3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32" ht="12" customHeight="1" x14ac:dyDescent="0.35">
      <c r="B20" s="144"/>
      <c r="C20" s="144"/>
      <c r="D20" s="144"/>
      <c r="E20" s="142"/>
      <c r="F20" s="142"/>
      <c r="G20" s="142"/>
      <c r="H20" s="142"/>
      <c r="I20" s="142"/>
      <c r="J20" s="142"/>
      <c r="K20" s="142"/>
      <c r="L20" s="90"/>
      <c r="M20" s="40"/>
      <c r="N20" s="40"/>
      <c r="O20" s="40"/>
      <c r="P20" s="40"/>
      <c r="Q20" s="1"/>
    </row>
    <row r="21" spans="1:32" ht="25" x14ac:dyDescent="0.5">
      <c r="B21" s="100" t="str">
        <f>RS!$B$21</f>
        <v>Please select your authority name on Title page</v>
      </c>
      <c r="C21" s="44"/>
      <c r="D21" s="44"/>
      <c r="E21" s="184"/>
      <c r="F21" s="184"/>
      <c r="G21" s="184"/>
      <c r="H21" s="184"/>
      <c r="I21" s="184"/>
      <c r="J21" s="184"/>
      <c r="K21" s="184"/>
      <c r="L21" s="90"/>
      <c r="M21" s="40"/>
      <c r="N21" s="40"/>
      <c r="O21" s="40"/>
      <c r="P21" s="40"/>
      <c r="Q21" s="1"/>
    </row>
    <row r="22" spans="1:32" ht="18" x14ac:dyDescent="0.4">
      <c r="B22" s="102" t="str">
        <f>ContactDetails!C25</f>
        <v>E-code</v>
      </c>
      <c r="C22" s="45"/>
      <c r="D22" s="45"/>
      <c r="E22" s="184"/>
      <c r="F22" s="184"/>
      <c r="G22" s="184"/>
      <c r="H22" s="184"/>
      <c r="I22" s="184"/>
      <c r="J22" s="184"/>
      <c r="K22" s="184"/>
      <c r="L22" s="90"/>
      <c r="M22" s="40"/>
      <c r="N22" s="40"/>
      <c r="O22" s="40"/>
      <c r="P22" s="40"/>
      <c r="Q22" s="1"/>
    </row>
    <row r="23" spans="1:32" ht="18" customHeight="1" x14ac:dyDescent="0.3">
      <c r="B23" s="40"/>
      <c r="C23" s="40"/>
      <c r="D23" s="40"/>
      <c r="E23" s="184"/>
      <c r="F23" s="184"/>
      <c r="G23" s="184"/>
      <c r="H23" s="184"/>
      <c r="I23" s="184"/>
      <c r="J23" s="184"/>
      <c r="K23" s="184"/>
      <c r="L23" s="90"/>
      <c r="M23" s="40"/>
      <c r="N23" s="40"/>
      <c r="O23" s="40"/>
      <c r="P23" s="40"/>
      <c r="Q23" s="1"/>
    </row>
    <row r="24" spans="1:32" ht="15.5" x14ac:dyDescent="0.35">
      <c r="B24" s="145"/>
      <c r="C24" s="145"/>
      <c r="D24" s="145"/>
      <c r="E24" s="146"/>
      <c r="F24" s="146"/>
      <c r="G24" s="71"/>
      <c r="H24" s="185" t="s">
        <v>449</v>
      </c>
      <c r="I24" s="184"/>
      <c r="J24" s="184"/>
      <c r="K24" s="184"/>
      <c r="L24" s="90"/>
      <c r="M24" s="40"/>
      <c r="N24" s="40"/>
      <c r="O24" s="40"/>
      <c r="P24" s="40"/>
      <c r="Q24" s="1"/>
    </row>
    <row r="25" spans="1:32" ht="15.5" x14ac:dyDescent="0.35">
      <c r="B25" s="40"/>
      <c r="C25" s="40"/>
      <c r="D25" s="40"/>
      <c r="E25" s="378"/>
      <c r="F25" s="185" t="s">
        <v>450</v>
      </c>
      <c r="G25" s="185" t="s">
        <v>451</v>
      </c>
      <c r="H25" s="185" t="s">
        <v>452</v>
      </c>
      <c r="I25" s="185" t="s">
        <v>453</v>
      </c>
      <c r="J25" s="185" t="s">
        <v>454</v>
      </c>
      <c r="K25" s="185" t="s">
        <v>451</v>
      </c>
      <c r="L25" s="185" t="s">
        <v>455</v>
      </c>
      <c r="M25" s="40"/>
      <c r="N25" s="40"/>
      <c r="O25" s="40"/>
      <c r="P25" s="40"/>
      <c r="Q25" s="1"/>
    </row>
    <row r="26" spans="1:32" ht="15.5" x14ac:dyDescent="0.35">
      <c r="B26" s="379" t="s">
        <v>253</v>
      </c>
      <c r="C26" s="379"/>
      <c r="D26" s="379"/>
      <c r="E26" s="185" t="s">
        <v>456</v>
      </c>
      <c r="F26" s="185" t="s">
        <v>457</v>
      </c>
      <c r="G26" s="185" t="s">
        <v>458</v>
      </c>
      <c r="H26" s="185" t="s">
        <v>459</v>
      </c>
      <c r="I26" s="185" t="s">
        <v>460</v>
      </c>
      <c r="J26" s="185" t="s">
        <v>461</v>
      </c>
      <c r="K26" s="185" t="s">
        <v>461</v>
      </c>
      <c r="L26" s="185" t="s">
        <v>458</v>
      </c>
      <c r="M26" s="40"/>
      <c r="N26" s="40"/>
      <c r="O26" s="40"/>
      <c r="P26" s="40"/>
      <c r="Q26" s="1"/>
    </row>
    <row r="27" spans="1:32" ht="15.5" x14ac:dyDescent="0.35">
      <c r="B27" s="40"/>
      <c r="C27" s="40"/>
      <c r="D27" s="40"/>
      <c r="E27" s="258" t="s">
        <v>60</v>
      </c>
      <c r="F27" s="258" t="s">
        <v>60</v>
      </c>
      <c r="G27" s="258" t="s">
        <v>60</v>
      </c>
      <c r="H27" s="258" t="s">
        <v>60</v>
      </c>
      <c r="I27" s="258" t="s">
        <v>60</v>
      </c>
      <c r="J27" s="258" t="s">
        <v>60</v>
      </c>
      <c r="K27" s="258" t="s">
        <v>60</v>
      </c>
      <c r="L27" s="258" t="s">
        <v>60</v>
      </c>
      <c r="M27" s="40"/>
      <c r="N27" s="40"/>
      <c r="O27" s="40"/>
      <c r="P27" s="40"/>
      <c r="Q27" s="1"/>
    </row>
    <row r="28" spans="1:32" ht="15.5" x14ac:dyDescent="0.35">
      <c r="B28" s="40"/>
      <c r="C28" s="40"/>
      <c r="D28" s="40"/>
      <c r="E28" s="258"/>
      <c r="F28" s="258"/>
      <c r="G28" s="258"/>
      <c r="H28" s="258"/>
      <c r="I28" s="258"/>
      <c r="J28" s="258"/>
      <c r="K28" s="258"/>
      <c r="L28" s="258"/>
      <c r="M28" s="40"/>
      <c r="N28" s="40"/>
      <c r="O28" s="40"/>
      <c r="P28" s="40"/>
      <c r="Q28" s="1"/>
    </row>
    <row r="29" spans="1:32" ht="13" x14ac:dyDescent="0.3">
      <c r="B29" s="40"/>
      <c r="C29" s="186"/>
      <c r="D29" s="186"/>
      <c r="E29" s="187" t="s">
        <v>61</v>
      </c>
      <c r="F29" s="187" t="s">
        <v>462</v>
      </c>
      <c r="G29" s="187" t="s">
        <v>463</v>
      </c>
      <c r="H29" s="187" t="s">
        <v>464</v>
      </c>
      <c r="I29" s="187" t="s">
        <v>465</v>
      </c>
      <c r="J29" s="187" t="s">
        <v>466</v>
      </c>
      <c r="K29" s="187" t="s">
        <v>467</v>
      </c>
      <c r="L29" s="187" t="s">
        <v>468</v>
      </c>
      <c r="M29" s="40"/>
      <c r="N29" s="40"/>
      <c r="O29" s="40"/>
      <c r="P29" s="40"/>
      <c r="Q29" s="34"/>
    </row>
    <row r="30" spans="1:32" ht="13" x14ac:dyDescent="0.3">
      <c r="B30" s="188"/>
      <c r="C30" s="188"/>
      <c r="D30" s="188"/>
      <c r="E30" s="40"/>
      <c r="F30" s="40"/>
      <c r="G30" s="189"/>
      <c r="H30" s="1210" t="s">
        <v>469</v>
      </c>
      <c r="I30" s="189"/>
      <c r="J30" s="189"/>
      <c r="K30" s="189"/>
      <c r="L30" s="189"/>
      <c r="M30" s="40"/>
      <c r="N30" s="40"/>
      <c r="O30" s="40"/>
      <c r="P30" s="40"/>
      <c r="Q30" s="345"/>
      <c r="AD30" s="315"/>
    </row>
    <row r="31" spans="1:32" ht="13" x14ac:dyDescent="0.3">
      <c r="B31" s="379"/>
      <c r="C31" s="379"/>
      <c r="D31" s="379"/>
      <c r="E31" s="189"/>
      <c r="F31" s="189"/>
      <c r="G31" s="189"/>
      <c r="H31" s="189"/>
      <c r="I31" s="189"/>
      <c r="J31" s="189"/>
      <c r="K31" s="189"/>
      <c r="L31" s="189"/>
      <c r="M31" s="40"/>
      <c r="N31" s="40"/>
      <c r="O31" s="40"/>
      <c r="P31" s="40"/>
      <c r="Q31" s="1"/>
      <c r="AD31" s="315"/>
      <c r="AE31" s="315"/>
      <c r="AF31" s="315"/>
    </row>
    <row r="32" spans="1:32" ht="17.5" x14ac:dyDescent="0.35">
      <c r="A32" t="s">
        <v>74</v>
      </c>
      <c r="B32" s="190">
        <v>190</v>
      </c>
      <c r="C32" s="191" t="s">
        <v>75</v>
      </c>
      <c r="D32" s="186"/>
      <c r="E32" s="1387">
        <f>'RO1'!E41</f>
        <v>0</v>
      </c>
      <c r="F32" s="1387">
        <f>'RO1'!F41</f>
        <v>0</v>
      </c>
      <c r="G32" s="1387">
        <f>'RO1'!G41</f>
        <v>0</v>
      </c>
      <c r="H32" s="1387">
        <f>'RO1'!H41</f>
        <v>0</v>
      </c>
      <c r="I32" s="1387">
        <f>'RO1'!I41</f>
        <v>0</v>
      </c>
      <c r="J32" s="1387">
        <f>'RO1'!J41</f>
        <v>0</v>
      </c>
      <c r="K32" s="1387">
        <f>'RO1'!K41</f>
        <v>0</v>
      </c>
      <c r="L32" s="1387">
        <f>'RO1'!L41</f>
        <v>0</v>
      </c>
      <c r="M32" s="40"/>
      <c r="N32" s="40"/>
      <c r="O32" s="192" t="str">
        <f>IF($L32&lt;&gt;'RO1'!$L$41,"Error","")</f>
        <v/>
      </c>
      <c r="P32" s="193"/>
      <c r="Q32" s="688" t="str">
        <f>IF($L32&lt;&gt;'RO1'!$L$41,"RSX figure does not match the total given in RO"&amp;LEFT(B32,1)&amp;". Please resolve this.","")</f>
        <v/>
      </c>
    </row>
    <row r="33" spans="1:17" ht="17.5" x14ac:dyDescent="0.35">
      <c r="A33" t="s">
        <v>77</v>
      </c>
      <c r="B33" s="190">
        <v>290</v>
      </c>
      <c r="C33" s="191" t="s">
        <v>78</v>
      </c>
      <c r="D33" s="186"/>
      <c r="E33" s="1387">
        <f>'RO2'!E65</f>
        <v>0</v>
      </c>
      <c r="F33" s="1387">
        <f>'RO2'!F65</f>
        <v>0</v>
      </c>
      <c r="G33" s="1387">
        <f>'RO2'!G65</f>
        <v>0</v>
      </c>
      <c r="H33" s="1387">
        <f>'RO2'!H65</f>
        <v>0</v>
      </c>
      <c r="I33" s="1387">
        <f>'RO2'!I65</f>
        <v>0</v>
      </c>
      <c r="J33" s="1387">
        <f>'RO2'!J65</f>
        <v>0</v>
      </c>
      <c r="K33" s="1387">
        <f>'RO2'!K65</f>
        <v>0</v>
      </c>
      <c r="L33" s="1387">
        <f>'RO2'!L65</f>
        <v>0</v>
      </c>
      <c r="M33" s="40"/>
      <c r="N33" s="40"/>
      <c r="O33" s="192" t="str">
        <f>IF($L33&lt;&gt;'RO2'!$L$65,"Error","")</f>
        <v/>
      </c>
      <c r="P33" s="193"/>
      <c r="Q33" s="688" t="str">
        <f>IF($L33&lt;&gt;'RO2'!$L$65,"RSX figure does not match the total given in RO"&amp;LEFT(B33,1)&amp;". Please resolve this.","")</f>
        <v/>
      </c>
    </row>
    <row r="34" spans="1:17" ht="17.5" x14ac:dyDescent="0.35">
      <c r="A34" t="s">
        <v>80</v>
      </c>
      <c r="B34" s="190">
        <v>330</v>
      </c>
      <c r="C34" s="191" t="s">
        <v>81</v>
      </c>
      <c r="D34" s="186"/>
      <c r="E34" s="1387">
        <f>'RO3'!E45</f>
        <v>0</v>
      </c>
      <c r="F34" s="1387">
        <f>'RO3'!F45</f>
        <v>0</v>
      </c>
      <c r="G34" s="1387">
        <f>'RO3'!G45</f>
        <v>0</v>
      </c>
      <c r="H34" s="1387">
        <f>'RO3'!H45</f>
        <v>0</v>
      </c>
      <c r="I34" s="1387">
        <f>'RO3'!I45</f>
        <v>0</v>
      </c>
      <c r="J34" s="1387">
        <f>'RO3'!J45</f>
        <v>0</v>
      </c>
      <c r="K34" s="1387">
        <f>'RO3'!K45</f>
        <v>0</v>
      </c>
      <c r="L34" s="1387">
        <f>'RO3'!L45</f>
        <v>0</v>
      </c>
      <c r="M34" s="2"/>
      <c r="N34" s="2"/>
      <c r="O34" s="192" t="str">
        <f>IF($L34&lt;&gt;'RO3'!$L$45,"Error","")</f>
        <v/>
      </c>
      <c r="P34" s="193"/>
      <c r="Q34" s="688" t="str">
        <f>IF($L34&lt;&gt;'RO3'!$L$45,"RSX figure does not match the total given in RO"&amp;LEFT(B34,1)&amp;". Please resolve this.","")</f>
        <v/>
      </c>
    </row>
    <row r="35" spans="1:17" ht="17.5" x14ac:dyDescent="0.35">
      <c r="A35" t="s">
        <v>83</v>
      </c>
      <c r="B35" s="190">
        <v>360</v>
      </c>
      <c r="C35" s="191" t="s">
        <v>84</v>
      </c>
      <c r="D35" s="186"/>
      <c r="E35" s="1387">
        <f>'RO3'!E85</f>
        <v>0</v>
      </c>
      <c r="F35" s="1387">
        <f>'RO3'!F85</f>
        <v>0</v>
      </c>
      <c r="G35" s="1387">
        <f>'RO3'!G85</f>
        <v>0</v>
      </c>
      <c r="H35" s="1387">
        <f>'RO3'!H85</f>
        <v>0</v>
      </c>
      <c r="I35" s="1387">
        <f>'RO3'!I85</f>
        <v>0</v>
      </c>
      <c r="J35" s="1387">
        <f>'RO3'!J85</f>
        <v>0</v>
      </c>
      <c r="K35" s="1387">
        <f>'RO3'!K85</f>
        <v>0</v>
      </c>
      <c r="L35" s="1387">
        <f>'RO3'!L85</f>
        <v>0</v>
      </c>
      <c r="M35" s="2"/>
      <c r="N35" s="2"/>
      <c r="O35" s="192" t="str">
        <f>IF($L35&lt;&gt;'RO3'!$L$85,"Error","")</f>
        <v/>
      </c>
      <c r="P35" s="193"/>
      <c r="Q35" s="688" t="str">
        <f>IF($L35&lt;&gt;'RO3'!$L$85,"RSX figure does not match the total given in RO"&amp;LEFT(B35,1)&amp;". Please resolve this.","")</f>
        <v/>
      </c>
    </row>
    <row r="36" spans="1:17" ht="17.5" x14ac:dyDescent="0.35">
      <c r="A36" t="s">
        <v>86</v>
      </c>
      <c r="B36" s="190">
        <v>390</v>
      </c>
      <c r="C36" s="191" t="s">
        <v>87</v>
      </c>
      <c r="D36" s="186"/>
      <c r="E36" s="1387">
        <f>'RO3'!E121</f>
        <v>0</v>
      </c>
      <c r="F36" s="1387">
        <f>'RO3'!F121</f>
        <v>0</v>
      </c>
      <c r="G36" s="1387">
        <f>'RO3'!G121</f>
        <v>0</v>
      </c>
      <c r="H36" s="1387">
        <f>'RO3'!H121</f>
        <v>0</v>
      </c>
      <c r="I36" s="1387">
        <f>'RO3'!I121</f>
        <v>0</v>
      </c>
      <c r="J36" s="1387">
        <f>'RO3'!J121</f>
        <v>0</v>
      </c>
      <c r="K36" s="1387">
        <f>'RO3'!K121</f>
        <v>0</v>
      </c>
      <c r="L36" s="1387">
        <f>'RO3'!L121</f>
        <v>0</v>
      </c>
      <c r="M36" s="2"/>
      <c r="N36" s="2"/>
      <c r="O36" s="192" t="str">
        <f>IF($L36&lt;&gt;'RO3'!$L$121,"Error","")</f>
        <v/>
      </c>
      <c r="P36" s="193"/>
      <c r="Q36" s="688" t="str">
        <f>IF($L36&lt;&gt;'RO3'!$L$121,"RSX figure does not match the total given in RO"&amp;LEFT(B36,1)&amp;". Please resolve this.","")</f>
        <v/>
      </c>
    </row>
    <row r="37" spans="1:17" ht="17.5" x14ac:dyDescent="0.35">
      <c r="A37" t="s">
        <v>89</v>
      </c>
      <c r="B37" s="190">
        <v>490</v>
      </c>
      <c r="C37" s="191" t="s">
        <v>90</v>
      </c>
      <c r="D37" s="186"/>
      <c r="E37" s="1387">
        <f>'RO4'!E65</f>
        <v>0</v>
      </c>
      <c r="F37" s="1387">
        <f>'RO4'!F65</f>
        <v>0</v>
      </c>
      <c r="G37" s="1387">
        <f>'RO4'!G65</f>
        <v>0</v>
      </c>
      <c r="H37" s="1387">
        <f>'RO4'!H65</f>
        <v>0</v>
      </c>
      <c r="I37" s="1387">
        <f>'RO4'!I65</f>
        <v>0</v>
      </c>
      <c r="J37" s="1387">
        <f>'RO4'!J65</f>
        <v>0</v>
      </c>
      <c r="K37" s="1387">
        <f>'RO4'!K65</f>
        <v>0</v>
      </c>
      <c r="L37" s="1387">
        <f>'RO4'!L65</f>
        <v>0</v>
      </c>
      <c r="M37" s="40"/>
      <c r="N37" s="40"/>
      <c r="O37" s="192" t="str">
        <f>IF($L37&lt;&gt;'RO4'!$L$65,"Error","")</f>
        <v/>
      </c>
      <c r="P37" s="193"/>
      <c r="Q37" s="688" t="str">
        <f>IF($L37&lt;&gt;'RO4'!$L$65,"RSX figure does not match the total given in RO"&amp;LEFT(B37,1)&amp;". Please resolve this.","")</f>
        <v/>
      </c>
    </row>
    <row r="38" spans="1:17" ht="17.5" x14ac:dyDescent="0.35">
      <c r="A38" t="s">
        <v>92</v>
      </c>
      <c r="B38" s="190">
        <v>509</v>
      </c>
      <c r="C38" s="191" t="s">
        <v>93</v>
      </c>
      <c r="D38" s="186"/>
      <c r="E38" s="1387">
        <f>'RO5'!E53</f>
        <v>0</v>
      </c>
      <c r="F38" s="1387">
        <f>'RO5'!F53</f>
        <v>0</v>
      </c>
      <c r="G38" s="1387">
        <f>'RO5'!G53</f>
        <v>0</v>
      </c>
      <c r="H38" s="1387">
        <f>'RO5'!H53</f>
        <v>0</v>
      </c>
      <c r="I38" s="1387">
        <f>'RO5'!I53</f>
        <v>0</v>
      </c>
      <c r="J38" s="1387">
        <f>'RO5'!J53</f>
        <v>0</v>
      </c>
      <c r="K38" s="1387">
        <f>'RO5'!K53</f>
        <v>0</v>
      </c>
      <c r="L38" s="1387">
        <f>'RO5'!L53</f>
        <v>0</v>
      </c>
      <c r="M38" s="40"/>
      <c r="N38" s="40"/>
      <c r="O38" s="192" t="str">
        <f>IF($L38&lt;&gt;'RO5'!$L$53,"Error","")</f>
        <v/>
      </c>
      <c r="P38" s="193"/>
      <c r="Q38" s="688" t="str">
        <f>IF($L38&lt;&gt;'RO5'!$L$53,"RSX figure does not match the total given in RO"&amp;LEFT(B38,1)&amp;". Please resolve this.","")</f>
        <v/>
      </c>
    </row>
    <row r="39" spans="1:17" ht="17.5" x14ac:dyDescent="0.35">
      <c r="A39" t="s">
        <v>95</v>
      </c>
      <c r="B39" s="194">
        <v>590</v>
      </c>
      <c r="C39" s="191" t="s">
        <v>96</v>
      </c>
      <c r="D39" s="186"/>
      <c r="E39" s="1387">
        <f>'RO5'!E104</f>
        <v>0</v>
      </c>
      <c r="F39" s="1387">
        <f>'RO5'!F104</f>
        <v>0</v>
      </c>
      <c r="G39" s="1387">
        <f>'RO5'!G104</f>
        <v>0</v>
      </c>
      <c r="H39" s="1387">
        <f>'RO5'!H104</f>
        <v>0</v>
      </c>
      <c r="I39" s="1387">
        <f>'RO5'!I104</f>
        <v>0</v>
      </c>
      <c r="J39" s="1387">
        <f>'RO5'!J104</f>
        <v>0</v>
      </c>
      <c r="K39" s="1387">
        <f>'RO5'!K104</f>
        <v>0</v>
      </c>
      <c r="L39" s="1387">
        <f>'RO5'!L104</f>
        <v>0</v>
      </c>
      <c r="M39" s="40"/>
      <c r="N39" s="40"/>
      <c r="O39" s="192" t="str">
        <f>IF($L39&lt;&gt;'RO5'!$L$104,"Error","")</f>
        <v/>
      </c>
      <c r="P39" s="193"/>
      <c r="Q39" s="688" t="str">
        <f>IF($L39&lt;&gt;'RO5'!$L$104,"RSX figure does not match the total given in RO"&amp;LEFT(B39,1)&amp;". Please resolve this.","")</f>
        <v/>
      </c>
    </row>
    <row r="40" spans="1:17" ht="17.5" x14ac:dyDescent="0.35">
      <c r="A40" t="s">
        <v>98</v>
      </c>
      <c r="B40" s="190">
        <v>599</v>
      </c>
      <c r="C40" s="191" t="s">
        <v>99</v>
      </c>
      <c r="D40" s="186"/>
      <c r="E40" s="1387">
        <f>'RO5'!E131</f>
        <v>0</v>
      </c>
      <c r="F40" s="1387">
        <f>'RO5'!F131</f>
        <v>0</v>
      </c>
      <c r="G40" s="1387">
        <f>'RO5'!G131</f>
        <v>0</v>
      </c>
      <c r="H40" s="1387">
        <f>'RO5'!H131</f>
        <v>0</v>
      </c>
      <c r="I40" s="1387">
        <f>'RO5'!I131</f>
        <v>0</v>
      </c>
      <c r="J40" s="1387">
        <f>'RO5'!J131</f>
        <v>0</v>
      </c>
      <c r="K40" s="1387">
        <f>'RO5'!K131</f>
        <v>0</v>
      </c>
      <c r="L40" s="1387">
        <f>'RO5'!L131</f>
        <v>0</v>
      </c>
      <c r="M40" s="40"/>
      <c r="N40" s="40"/>
      <c r="O40" s="192" t="str">
        <f>IF($L40&lt;&gt;'RO5'!$L$131,"Error","")</f>
        <v/>
      </c>
      <c r="P40" s="193"/>
      <c r="Q40" s="688" t="str">
        <f>IF($L40&lt;&gt;'RO5'!$L$131,"RSX figure does not match the total given in RO"&amp;LEFT(B40,1)&amp;". Please resolve this.","")</f>
        <v/>
      </c>
    </row>
    <row r="41" spans="1:17" ht="17.5" x14ac:dyDescent="0.35">
      <c r="A41" t="s">
        <v>101</v>
      </c>
      <c r="B41" s="190">
        <v>601</v>
      </c>
      <c r="C41" s="191" t="s">
        <v>102</v>
      </c>
      <c r="D41" s="186"/>
      <c r="E41" s="1387">
        <f>'RO6'!E33</f>
        <v>0</v>
      </c>
      <c r="F41" s="1387">
        <f>'RO6'!F33</f>
        <v>0</v>
      </c>
      <c r="G41" s="1387">
        <f>'RO6'!G33</f>
        <v>0</v>
      </c>
      <c r="H41" s="1387">
        <f>'RO6'!H33</f>
        <v>0</v>
      </c>
      <c r="I41" s="1387">
        <f>'RO6'!I33</f>
        <v>0</v>
      </c>
      <c r="J41" s="1387">
        <f>'RO6'!J33</f>
        <v>0</v>
      </c>
      <c r="K41" s="1387">
        <f>'RO6'!K33</f>
        <v>0</v>
      </c>
      <c r="L41" s="1387">
        <f>'RO6'!L33</f>
        <v>0</v>
      </c>
      <c r="M41" s="40"/>
      <c r="N41" s="40"/>
      <c r="O41" s="192" t="str">
        <f>IF($L41&lt;&gt;'RO6'!$L$33,"Error","")</f>
        <v/>
      </c>
      <c r="P41" s="193"/>
      <c r="Q41" s="688" t="str">
        <f>IF($L41&lt;&gt;'RO6'!$L$33,"RSX figure does not match the total given in RO"&amp;LEFT(B41,1)&amp;". Please resolve this.","")</f>
        <v/>
      </c>
    </row>
    <row r="42" spans="1:17" ht="17.5" x14ac:dyDescent="0.35">
      <c r="A42" t="s">
        <v>104</v>
      </c>
      <c r="B42" s="190">
        <v>602</v>
      </c>
      <c r="C42" s="191" t="s">
        <v>105</v>
      </c>
      <c r="D42" s="186"/>
      <c r="E42" s="1387">
        <f>'RO6'!E46</f>
        <v>0</v>
      </c>
      <c r="F42" s="1387">
        <f>'RO6'!F46</f>
        <v>0</v>
      </c>
      <c r="G42" s="1387">
        <f>'RO6'!G46</f>
        <v>0</v>
      </c>
      <c r="H42" s="1387">
        <f>'RO6'!H46</f>
        <v>0</v>
      </c>
      <c r="I42" s="1387">
        <f>'RO6'!I46</f>
        <v>0</v>
      </c>
      <c r="J42" s="1387">
        <f>'RO6'!J46</f>
        <v>0</v>
      </c>
      <c r="K42" s="1387">
        <f>'RO6'!K46</f>
        <v>0</v>
      </c>
      <c r="L42" s="1387">
        <f>'RO6'!L46</f>
        <v>0</v>
      </c>
      <c r="M42" s="40"/>
      <c r="N42" s="40"/>
      <c r="O42" s="192" t="str">
        <f>IF($L42&lt;&gt;'RO6'!$L$46,"Error","")</f>
        <v/>
      </c>
      <c r="P42" s="193"/>
      <c r="Q42" s="688" t="str">
        <f>IF($L42&lt;&gt;'RO6'!$L$46,"RSX figure does not match the total given in RO"&amp;LEFT(B42,1)&amp;". Please resolve this.","")</f>
        <v/>
      </c>
    </row>
    <row r="43" spans="1:17" ht="17.5" x14ac:dyDescent="0.35">
      <c r="A43" t="s">
        <v>107</v>
      </c>
      <c r="B43" s="190">
        <v>690</v>
      </c>
      <c r="C43" s="191" t="s">
        <v>108</v>
      </c>
      <c r="D43" s="186"/>
      <c r="E43" s="1387">
        <f>'RO6'!E93</f>
        <v>0</v>
      </c>
      <c r="F43" s="1387">
        <f>'RO6'!F93</f>
        <v>0</v>
      </c>
      <c r="G43" s="1387">
        <f>'RO6'!G93</f>
        <v>0</v>
      </c>
      <c r="H43" s="1387">
        <f>'RO6'!H93</f>
        <v>0</v>
      </c>
      <c r="I43" s="1387">
        <f>'RO6'!I93</f>
        <v>0</v>
      </c>
      <c r="J43" s="1387">
        <f>'RO6'!J93</f>
        <v>0</v>
      </c>
      <c r="K43" s="1387">
        <f>'RO6'!K93</f>
        <v>0</v>
      </c>
      <c r="L43" s="1387">
        <f>'RO6'!L93</f>
        <v>0</v>
      </c>
      <c r="M43" s="40"/>
      <c r="N43" s="40"/>
      <c r="O43" s="192" t="str">
        <f>IF($L43&lt;&gt;'RO6'!$L$93,"Error","")</f>
        <v/>
      </c>
      <c r="P43" s="193"/>
      <c r="Q43" s="688" t="str">
        <f>IF($L43&lt;&gt;'RO6'!$L$93,"RSX figure does not match the total given in RO"&amp;LEFT(B43,1)&amp;". Please resolve this.","")</f>
        <v/>
      </c>
    </row>
    <row r="44" spans="1:17" ht="17.5" x14ac:dyDescent="0.35">
      <c r="A44" t="s">
        <v>110</v>
      </c>
      <c r="B44" s="190">
        <v>698</v>
      </c>
      <c r="C44" s="191" t="s">
        <v>111</v>
      </c>
      <c r="D44" s="186"/>
      <c r="E44" s="1387">
        <f>'RO6'!E121</f>
        <v>0</v>
      </c>
      <c r="F44" s="1387">
        <f>'RO6'!F121</f>
        <v>0</v>
      </c>
      <c r="G44" s="1387">
        <f>'RO6'!G121</f>
        <v>0</v>
      </c>
      <c r="H44" s="1387">
        <f>'RO6'!H121</f>
        <v>0</v>
      </c>
      <c r="I44" s="1387">
        <f>'RO6'!I121</f>
        <v>0</v>
      </c>
      <c r="J44" s="1387">
        <f>'RO6'!J121</f>
        <v>0</v>
      </c>
      <c r="K44" s="1387">
        <f>'RO6'!K121</f>
        <v>0</v>
      </c>
      <c r="L44" s="1387">
        <f>'RO6'!L121</f>
        <v>0</v>
      </c>
      <c r="M44" s="40"/>
      <c r="N44" s="40"/>
      <c r="O44" s="192" t="str">
        <f>IF($L44&lt;&gt;'RO6'!$L$121,"Error","")</f>
        <v/>
      </c>
      <c r="P44" s="193"/>
      <c r="Q44" s="688" t="str">
        <f>IF($L44&lt;&gt;'RO6'!$L$121,"RSX figure does not match the total given in RO"&amp;LEFT(B44,1)&amp;". Please resolve this.","")</f>
        <v/>
      </c>
    </row>
    <row r="45" spans="1:17" ht="18" x14ac:dyDescent="0.4">
      <c r="A45" t="s">
        <v>113</v>
      </c>
      <c r="B45" s="195">
        <v>699</v>
      </c>
      <c r="C45" s="196" t="s">
        <v>470</v>
      </c>
      <c r="D45" s="186"/>
      <c r="E45" s="1388">
        <f>SUM(E32:E44)</f>
        <v>0</v>
      </c>
      <c r="F45" s="1388">
        <f t="shared" ref="F45:L45" si="0">SUM(F32:F44)</f>
        <v>0</v>
      </c>
      <c r="G45" s="1388">
        <f t="shared" si="0"/>
        <v>0</v>
      </c>
      <c r="H45" s="1388">
        <f t="shared" si="0"/>
        <v>0</v>
      </c>
      <c r="I45" s="1388">
        <f t="shared" si="0"/>
        <v>0</v>
      </c>
      <c r="J45" s="1388">
        <f t="shared" si="0"/>
        <v>0</v>
      </c>
      <c r="K45" s="1388">
        <f t="shared" si="0"/>
        <v>0</v>
      </c>
      <c r="L45" s="1388">
        <f t="shared" si="0"/>
        <v>0</v>
      </c>
      <c r="M45" s="40"/>
      <c r="N45" s="40"/>
      <c r="O45" s="192" t="str">
        <f>IF($L45&lt;&gt;RS!$F$43,"Error","")</f>
        <v/>
      </c>
      <c r="P45" s="193"/>
      <c r="Q45" s="688" t="str">
        <f>IF($L45&lt;&gt;RS!$F$43,"RSX figure does not match the total given in RS. Please resolve this.","")</f>
        <v/>
      </c>
    </row>
    <row r="46" spans="1:17" ht="13" x14ac:dyDescent="0.3">
      <c r="B46" s="40"/>
      <c r="C46" s="172" t="s">
        <v>471</v>
      </c>
      <c r="D46" s="186"/>
      <c r="E46" s="40"/>
      <c r="F46" s="40"/>
      <c r="G46" s="40"/>
      <c r="H46" s="40"/>
      <c r="I46" s="40"/>
      <c r="J46" s="40"/>
      <c r="K46" s="40"/>
      <c r="L46" s="40"/>
      <c r="M46" s="40"/>
      <c r="N46" s="40"/>
      <c r="O46" s="40"/>
      <c r="P46" s="40"/>
      <c r="Q46" s="1"/>
    </row>
    <row r="47" spans="1:17" ht="13" x14ac:dyDescent="0.3">
      <c r="B47" s="40"/>
      <c r="C47" s="172"/>
      <c r="D47" s="186"/>
      <c r="E47" s="40"/>
      <c r="F47" s="40"/>
      <c r="G47" s="40"/>
      <c r="H47" s="40"/>
      <c r="I47" s="40"/>
      <c r="J47" s="40"/>
      <c r="K47" s="40"/>
      <c r="L47" s="40"/>
      <c r="M47" s="40"/>
      <c r="N47" s="40"/>
      <c r="O47" s="40"/>
      <c r="P47" s="40"/>
      <c r="Q47" s="1"/>
    </row>
    <row r="48" spans="1:17" x14ac:dyDescent="0.25">
      <c r="B48" s="87"/>
      <c r="C48" s="87"/>
      <c r="D48" s="87"/>
      <c r="E48" s="87"/>
      <c r="F48" s="87"/>
      <c r="G48" s="87"/>
      <c r="H48" s="87"/>
      <c r="I48" s="87"/>
      <c r="J48" s="87"/>
      <c r="K48" s="87"/>
      <c r="L48" s="87"/>
      <c r="M48" s="87"/>
      <c r="N48" s="87"/>
      <c r="O48" s="87"/>
      <c r="P48" s="87"/>
    </row>
    <row r="49" spans="2:16" x14ac:dyDescent="0.25">
      <c r="B49" s="87"/>
      <c r="C49" s="87"/>
      <c r="D49" s="87"/>
      <c r="E49" s="87"/>
      <c r="F49" s="87"/>
      <c r="G49" s="87"/>
      <c r="H49" s="87"/>
      <c r="I49" s="87"/>
      <c r="J49" s="87"/>
      <c r="K49" s="87"/>
      <c r="L49" s="87"/>
      <c r="M49" s="87"/>
      <c r="N49" s="87"/>
      <c r="O49" s="87"/>
      <c r="P49" s="87"/>
    </row>
    <row r="50" spans="2:16" x14ac:dyDescent="0.25"/>
    <row r="51" spans="2:16" x14ac:dyDescent="0.25"/>
  </sheetData>
  <sheetProtection sheet="1" objects="1" scenarios="1"/>
  <mergeCells count="6">
    <mergeCell ref="B2:O2"/>
    <mergeCell ref="B16:O16"/>
    <mergeCell ref="B11:O11"/>
    <mergeCell ref="B10:O10"/>
    <mergeCell ref="B13:O13"/>
    <mergeCell ref="B15:O15"/>
  </mergeCells>
  <phoneticPr fontId="0" type="noConversion"/>
  <conditionalFormatting sqref="B18">
    <cfRule type="containsText" dxfId="173" priority="19" operator="containsText" text="resolve">
      <formula>NOT(ISERROR(SEARCH("resolve",B18)))</formula>
    </cfRule>
  </conditionalFormatting>
  <conditionalFormatting sqref="C18">
    <cfRule type="expression" dxfId="172" priority="9">
      <formula>ISNUMBER(SEARCH(AB18,B18))</formula>
    </cfRule>
  </conditionalFormatting>
  <conditionalFormatting sqref="D18">
    <cfRule type="expression" dxfId="171" priority="8">
      <formula>ISNUMBER(SEARCH(AB18,B18))</formula>
    </cfRule>
  </conditionalFormatting>
  <conditionalFormatting sqref="E18">
    <cfRule type="expression" dxfId="170" priority="7">
      <formula>ISNUMBER(SEARCH(AB18,B18))</formula>
    </cfRule>
  </conditionalFormatting>
  <conditionalFormatting sqref="F18">
    <cfRule type="expression" dxfId="169" priority="6">
      <formula>ISNUMBER(SEARCH(AB18,B18))</formula>
    </cfRule>
  </conditionalFormatting>
  <conditionalFormatting sqref="G18:H18">
    <cfRule type="expression" dxfId="168" priority="5">
      <formula>ISNUMBER(SEARCH(AB18,B18))</formula>
    </cfRule>
  </conditionalFormatting>
  <conditionalFormatting sqref="I18">
    <cfRule type="expression" dxfId="167" priority="4">
      <formula>ISNUMBER(SEARCH(AB18,B18))</formula>
    </cfRule>
  </conditionalFormatting>
  <conditionalFormatting sqref="J18">
    <cfRule type="expression" dxfId="166" priority="3">
      <formula>ISNUMBER(SEARCH(AB18,B18))</formula>
    </cfRule>
  </conditionalFormatting>
  <conditionalFormatting sqref="K18">
    <cfRule type="expression" dxfId="165" priority="2">
      <formula>ISNUMBER(SEARCH(AB18,B18))</formula>
    </cfRule>
  </conditionalFormatting>
  <conditionalFormatting sqref="L18">
    <cfRule type="expression" dxfId="164" priority="1">
      <formula>ISNUMBER(SEARCH(AB18,B18))</formula>
    </cfRule>
  </conditionalFormatting>
  <conditionalFormatting sqref="O32:O45">
    <cfRule type="containsText" dxfId="163" priority="21" operator="containsText" text="Warning">
      <formula>NOT(ISERROR(SEARCH("Warning",O32)))</formula>
    </cfRule>
    <cfRule type="containsText" dxfId="162" priority="22" operator="containsText" text="Error">
      <formula>NOT(ISERROR(SEARCH("Error",O32)))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9:L29 I27:L27 E27:G27 E29:G29"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BH217"/>
  <sheetViews>
    <sheetView showGridLines="0" topLeftCell="B1" zoomScale="80" zoomScaleNormal="80" workbookViewId="0">
      <pane ySplit="2" topLeftCell="A3" activePane="bottomLeft" state="frozen"/>
      <selection pane="bottomLeft" activeCell="B2" sqref="B2:N2"/>
    </sheetView>
  </sheetViews>
  <sheetFormatPr defaultColWidth="12.54296875" defaultRowHeight="12.5" zeroHeight="1" x14ac:dyDescent="0.25"/>
  <cols>
    <col min="1" max="1" width="29.26953125" hidden="1" customWidth="1"/>
    <col min="2" max="2" width="8.7265625" customWidth="1"/>
    <col min="3" max="3" width="85.7265625" customWidth="1"/>
    <col min="4" max="4" width="6.7265625" customWidth="1"/>
    <col min="5" max="11" width="16.7265625" customWidth="1"/>
    <col min="12" max="12" width="12.26953125" customWidth="1"/>
    <col min="13" max="13" width="16.7265625" customWidth="1"/>
    <col min="14" max="14" width="23.81640625" bestFit="1" customWidth="1"/>
    <col min="15" max="15" width="2.7265625" hidden="1" customWidth="1"/>
    <col min="16" max="16" width="36.26953125" hidden="1" customWidth="1"/>
    <col min="17" max="17" width="46.453125" hidden="1" customWidth="1"/>
    <col min="18" max="23" width="12.54296875" hidden="1" customWidth="1"/>
    <col min="24" max="24" width="101.81640625" hidden="1" customWidth="1"/>
    <col min="25" max="26" width="12.54296875" customWidth="1"/>
    <col min="27" max="27" width="6.7265625" bestFit="1" customWidth="1"/>
    <col min="28" max="62" width="12.54296875" customWidth="1"/>
  </cols>
  <sheetData>
    <row r="1" spans="2:60" ht="32.5" hidden="1" customHeight="1" x14ac:dyDescent="0.25">
      <c r="B1" t="s">
        <v>43</v>
      </c>
      <c r="C1" s="93" t="s">
        <v>436</v>
      </c>
      <c r="H1" t="s">
        <v>472</v>
      </c>
      <c r="J1" s="280" t="s">
        <v>47</v>
      </c>
      <c r="K1" t="s">
        <v>48</v>
      </c>
      <c r="P1" s="686"/>
      <c r="Q1" s="686"/>
      <c r="R1" s="686"/>
      <c r="S1" s="686"/>
      <c r="T1" s="686"/>
      <c r="U1" s="686"/>
      <c r="V1" s="686"/>
      <c r="W1" s="686"/>
      <c r="X1" s="686" t="s">
        <v>49</v>
      </c>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row>
    <row r="2" spans="2:60" ht="60" customHeight="1" x14ac:dyDescent="0.25">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98"/>
      <c r="O2" s="971"/>
      <c r="P2" s="1"/>
      <c r="Q2" s="1"/>
      <c r="R2" s="1"/>
      <c r="X2" s="1010"/>
    </row>
    <row r="3" spans="2:60" ht="12.75" customHeight="1" x14ac:dyDescent="0.35">
      <c r="B3" s="197"/>
      <c r="C3" s="198"/>
      <c r="D3" s="199"/>
      <c r="E3" s="182"/>
      <c r="F3" s="94"/>
      <c r="G3" s="40"/>
      <c r="H3" s="134"/>
      <c r="I3" s="87"/>
      <c r="J3" s="87"/>
      <c r="K3" s="87"/>
      <c r="L3" s="87"/>
      <c r="M3" s="87"/>
      <c r="N3" s="87"/>
      <c r="O3" s="87"/>
    </row>
    <row r="4" spans="2:60" ht="27.75" customHeight="1" x14ac:dyDescent="0.6">
      <c r="B4" s="197"/>
      <c r="C4" s="198"/>
      <c r="D4" s="199"/>
      <c r="E4" s="182"/>
      <c r="F4" s="94"/>
      <c r="G4" s="200"/>
      <c r="H4" s="87"/>
      <c r="I4" s="87"/>
      <c r="J4" s="87"/>
      <c r="K4" s="87"/>
      <c r="L4" s="87"/>
      <c r="M4" s="87"/>
      <c r="N4" s="135" t="str">
        <f>"RG "&amp;YearForm</f>
        <v>RG 2025-26</v>
      </c>
      <c r="O4" s="87"/>
    </row>
    <row r="5" spans="2:60" ht="12.75" customHeight="1" x14ac:dyDescent="0.35">
      <c r="B5" s="197"/>
      <c r="C5" s="198"/>
      <c r="D5" s="199"/>
      <c r="E5" s="182"/>
      <c r="F5" s="94"/>
      <c r="G5" s="200"/>
      <c r="H5" s="94"/>
      <c r="I5" s="87"/>
      <c r="J5" s="87"/>
      <c r="K5" s="87"/>
      <c r="L5" s="87"/>
      <c r="M5" s="87"/>
      <c r="N5" s="87"/>
      <c r="O5" s="87"/>
    </row>
    <row r="6" spans="2:60" ht="12.75" customHeight="1" x14ac:dyDescent="0.35">
      <c r="B6" s="197"/>
      <c r="C6" s="198"/>
      <c r="D6" s="199"/>
      <c r="E6" s="182"/>
      <c r="F6" s="94"/>
      <c r="G6" s="200"/>
      <c r="H6" s="94"/>
      <c r="I6" s="87"/>
      <c r="J6" s="87"/>
      <c r="K6" s="87"/>
      <c r="L6" s="87"/>
      <c r="M6" s="87"/>
      <c r="N6" s="87"/>
      <c r="O6" s="87"/>
    </row>
    <row r="7" spans="2:60" ht="12.75" customHeight="1" x14ac:dyDescent="0.35">
      <c r="B7" s="197"/>
      <c r="C7" s="198"/>
      <c r="D7" s="199"/>
      <c r="E7" s="182"/>
      <c r="F7" s="94"/>
      <c r="G7" s="200"/>
      <c r="H7" s="94"/>
      <c r="I7" s="87"/>
      <c r="J7" s="87"/>
      <c r="K7" s="87"/>
      <c r="L7" s="87"/>
      <c r="M7" s="87"/>
      <c r="N7" s="87"/>
      <c r="O7" s="87"/>
    </row>
    <row r="8" spans="2:60" ht="12.75" customHeight="1" x14ac:dyDescent="0.35">
      <c r="B8" s="197"/>
      <c r="C8" s="198"/>
      <c r="D8" s="199"/>
      <c r="E8" s="182"/>
      <c r="F8" s="94"/>
      <c r="G8" s="200"/>
      <c r="H8" s="94"/>
      <c r="I8" s="87"/>
      <c r="J8" s="87"/>
      <c r="K8" s="87"/>
      <c r="L8" s="87"/>
      <c r="M8" s="87"/>
      <c r="N8" s="87"/>
      <c r="O8" s="87"/>
    </row>
    <row r="9" spans="2:60" ht="12.75" customHeight="1" x14ac:dyDescent="0.35">
      <c r="B9" s="197"/>
      <c r="C9" s="198"/>
      <c r="D9" s="199"/>
      <c r="E9" s="182"/>
      <c r="F9" s="94"/>
      <c r="G9" s="200"/>
      <c r="H9" s="94"/>
      <c r="I9" s="87"/>
      <c r="J9" s="87"/>
      <c r="K9" s="87"/>
      <c r="L9" s="87"/>
      <c r="M9" s="87"/>
      <c r="N9" s="87"/>
      <c r="O9" s="87"/>
    </row>
    <row r="10" spans="2:60" ht="33" customHeight="1" x14ac:dyDescent="0.25">
      <c r="B10" s="1468" t="str">
        <f>RS!$B$11</f>
        <v>General Fund Revenue Account Outturn</v>
      </c>
      <c r="C10" s="1468"/>
      <c r="D10" s="1468"/>
      <c r="E10" s="1468"/>
      <c r="F10" s="1468"/>
      <c r="G10" s="1468"/>
      <c r="H10" s="1468"/>
      <c r="I10" s="1468"/>
      <c r="J10" s="1468"/>
      <c r="K10" s="1468"/>
      <c r="L10" s="1468"/>
      <c r="M10" s="1468"/>
      <c r="N10" s="1468"/>
      <c r="O10" s="136"/>
      <c r="P10" s="99"/>
      <c r="Q10" s="99"/>
      <c r="R10" s="99"/>
    </row>
    <row r="11" spans="2:60" ht="33" customHeight="1" x14ac:dyDescent="0.25">
      <c r="B11" s="1469" t="str">
        <f>"RG – SPECIFIC AND SPECIAL REVENUE GRANTS "&amp;YearForm</f>
        <v>RG – SPECIFIC AND SPECIAL REVENUE GRANTS 2025-26</v>
      </c>
      <c r="C11" s="1469"/>
      <c r="D11" s="1469"/>
      <c r="E11" s="1469"/>
      <c r="F11" s="1469"/>
      <c r="G11" s="1469"/>
      <c r="H11" s="1469"/>
      <c r="I11" s="1469"/>
      <c r="J11" s="1469"/>
      <c r="K11" s="1469"/>
      <c r="L11" s="1469"/>
      <c r="M11" s="1469"/>
      <c r="N11" s="1469"/>
      <c r="O11" s="136"/>
      <c r="P11" s="99"/>
      <c r="Q11" s="99"/>
      <c r="R11" s="99"/>
    </row>
    <row r="12" spans="2:60" ht="26.15" customHeight="1" x14ac:dyDescent="0.25">
      <c r="B12" s="1470" t="str">
        <f>"For return by: Provisional data: "&amp;deadline_provisional&amp;", Certified data: "&amp;deadline_certify&amp;""</f>
        <v>For return by: Provisional data: Friday 24 July 2026, Certified data: Friday 9 October 2026</v>
      </c>
      <c r="C12" s="1503"/>
      <c r="D12" s="1503"/>
      <c r="E12" s="1503"/>
      <c r="F12" s="1503"/>
      <c r="G12" s="1503"/>
      <c r="H12" s="1503"/>
      <c r="I12" s="1503"/>
      <c r="J12" s="1503"/>
      <c r="K12" s="1503"/>
      <c r="L12" s="1503"/>
      <c r="M12" s="1503"/>
      <c r="N12" s="1503"/>
      <c r="O12" s="87"/>
    </row>
    <row r="13" spans="2:60" ht="18.75" customHeight="1" x14ac:dyDescent="0.25">
      <c r="B13" s="1471" t="s">
        <v>55</v>
      </c>
      <c r="C13" s="1471"/>
      <c r="D13" s="1471"/>
      <c r="E13" s="1471"/>
      <c r="F13" s="1471"/>
      <c r="G13" s="1471"/>
      <c r="H13" s="1471"/>
      <c r="I13" s="1471"/>
      <c r="J13" s="1471"/>
      <c r="K13" s="1471"/>
      <c r="L13" s="1471"/>
      <c r="M13" s="1471"/>
      <c r="N13" s="1471"/>
      <c r="O13" s="87"/>
    </row>
    <row r="14" spans="2:60" ht="16.5" customHeight="1" x14ac:dyDescent="0.25">
      <c r="B14" s="1506" t="s">
        <v>473</v>
      </c>
      <c r="C14" s="1506"/>
      <c r="D14" s="1506"/>
      <c r="E14" s="1506"/>
      <c r="F14" s="1506"/>
      <c r="G14" s="1506"/>
      <c r="H14" s="1506"/>
      <c r="I14" s="1506"/>
      <c r="J14" s="1506"/>
      <c r="K14" s="1506"/>
      <c r="L14" s="1506"/>
      <c r="M14" s="1506"/>
      <c r="N14" s="1506"/>
      <c r="O14" s="40"/>
      <c r="P14" s="1"/>
    </row>
    <row r="15" spans="2:60" ht="21" customHeight="1" x14ac:dyDescent="0.25">
      <c r="B15" s="1510" t="s">
        <v>474</v>
      </c>
      <c r="C15" s="1510"/>
      <c r="D15" s="1510"/>
      <c r="E15" s="1510"/>
      <c r="F15" s="1510"/>
      <c r="G15" s="1510"/>
      <c r="H15" s="1510"/>
      <c r="I15" s="1510"/>
      <c r="J15" s="1510"/>
      <c r="K15" s="1510"/>
      <c r="L15" s="1510"/>
      <c r="M15" s="1510"/>
      <c r="N15" s="1510"/>
      <c r="O15" s="94"/>
      <c r="P15" s="345"/>
    </row>
    <row r="16" spans="2:60" ht="21" customHeight="1" x14ac:dyDescent="0.25">
      <c r="B16" s="1499" t="s">
        <v>395</v>
      </c>
      <c r="C16" s="1499"/>
      <c r="D16" s="1499"/>
      <c r="E16" s="1499"/>
      <c r="F16" s="1499"/>
      <c r="G16" s="1499"/>
      <c r="H16" s="1499"/>
      <c r="I16" s="1499"/>
      <c r="J16" s="1499"/>
      <c r="K16" s="1499"/>
      <c r="L16" s="1499"/>
      <c r="M16" s="1499"/>
      <c r="N16" s="1499"/>
      <c r="O16" s="40"/>
      <c r="P16" s="1"/>
    </row>
    <row r="17" spans="1:27" ht="20" x14ac:dyDescent="0.35">
      <c r="B17" s="139" t="str">
        <f>TRIM(LEFT(B$11,3))&amp;" error summary:"</f>
        <v>RG error summary:</v>
      </c>
      <c r="C17" s="140"/>
      <c r="D17" s="140"/>
      <c r="E17" s="40"/>
      <c r="F17" s="141"/>
      <c r="G17" s="40"/>
      <c r="H17" s="40"/>
      <c r="I17" s="346"/>
      <c r="J17" s="202"/>
      <c r="K17" s="90"/>
      <c r="L17" s="40"/>
      <c r="M17" s="40"/>
      <c r="N17" s="40"/>
      <c r="O17" s="40"/>
      <c r="P17" s="1"/>
    </row>
    <row r="18" spans="1:27" ht="32.15" customHeight="1" x14ac:dyDescent="0.35">
      <c r="A18" t="s">
        <v>475</v>
      </c>
      <c r="B18" s="1099" t="str">
        <f>IF(AND(COUNTIF($J$29:$J$67,"Error")=0,COUNTIF($J$29:$J$67,"Warning")=0),("There are no outstanding errors or warnings with the "&amp;TRIM(LEFT(B$11,3))&amp;" section of the form. Thank you."),("There are "&amp;COUNTIF($J$29:$J$67,"Error")&amp;" outstanding error(s) and "&amp;COUNTIF($J$29:$J$67,"Warning")&amp;" outstanding warning(s) with the "&amp;TRIM(LEFT(B$11,3))&amp;" section of the form. Please resolve and/or explain these before submitting."))</f>
        <v>There are no outstanding errors or warnings with the RG section of the form. Thank you.</v>
      </c>
      <c r="C18" s="1100"/>
      <c r="D18" s="1100"/>
      <c r="E18" s="1100"/>
      <c r="F18" s="1100"/>
      <c r="G18" s="1100"/>
      <c r="H18" s="1100"/>
      <c r="I18" s="1100"/>
      <c r="J18" s="1100"/>
      <c r="K18" s="1100"/>
      <c r="L18" s="2"/>
      <c r="M18" s="40"/>
      <c r="N18" s="40"/>
      <c r="O18" s="40"/>
      <c r="P18" s="1"/>
      <c r="AA18" s="317" t="s">
        <v>53</v>
      </c>
    </row>
    <row r="19" spans="1:27" ht="19.5" customHeight="1" x14ac:dyDescent="0.3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90"/>
      <c r="L19" s="40"/>
      <c r="M19" s="40"/>
      <c r="N19" s="40"/>
      <c r="O19" s="40"/>
      <c r="P19" s="1"/>
    </row>
    <row r="20" spans="1:27" ht="12" customHeight="1" x14ac:dyDescent="0.35">
      <c r="B20" s="144"/>
      <c r="C20" s="144"/>
      <c r="D20" s="144"/>
      <c r="E20" s="142"/>
      <c r="F20" s="142"/>
      <c r="G20" s="142"/>
      <c r="H20" s="142"/>
      <c r="I20" s="142"/>
      <c r="J20" s="142"/>
      <c r="K20" s="90"/>
      <c r="L20" s="40"/>
      <c r="M20" s="40"/>
      <c r="N20" s="40"/>
      <c r="O20" s="40"/>
      <c r="P20" s="1"/>
    </row>
    <row r="21" spans="1:27" ht="25" x14ac:dyDescent="0.5">
      <c r="B21" s="100" t="str">
        <f>RS!$B$21</f>
        <v>Please select your authority name on Title page</v>
      </c>
      <c r="C21" s="53"/>
      <c r="D21" s="380"/>
      <c r="E21" s="380"/>
      <c r="F21" s="380"/>
      <c r="G21" s="200"/>
      <c r="H21" s="5"/>
      <c r="I21" s="201"/>
      <c r="J21" s="201"/>
      <c r="K21" s="202"/>
      <c r="L21" s="202"/>
      <c r="M21" s="202"/>
      <c r="N21" s="87"/>
      <c r="O21" s="87"/>
    </row>
    <row r="22" spans="1:27" ht="18" x14ac:dyDescent="0.4">
      <c r="B22" s="102" t="str">
        <f>ContactDetails!C25</f>
        <v>E-code</v>
      </c>
      <c r="C22" s="2"/>
      <c r="D22" s="2"/>
      <c r="E22" s="2"/>
      <c r="F22" s="380"/>
      <c r="G22" s="200"/>
      <c r="H22" s="1029"/>
      <c r="I22" s="203"/>
      <c r="J22" s="203"/>
      <c r="K22" s="203"/>
      <c r="L22" s="203"/>
      <c r="M22" s="203"/>
      <c r="N22" s="87"/>
      <c r="O22" s="87"/>
    </row>
    <row r="23" spans="1:27" ht="18" customHeight="1" x14ac:dyDescent="0.35">
      <c r="C23" s="2"/>
      <c r="D23" s="2"/>
      <c r="E23" s="2"/>
      <c r="F23" s="380"/>
      <c r="G23" s="200"/>
      <c r="H23" s="5"/>
      <c r="I23" s="203"/>
      <c r="J23" s="203"/>
      <c r="K23" s="203"/>
      <c r="L23" s="201"/>
      <c r="M23" s="201"/>
      <c r="N23" s="87"/>
      <c r="O23" s="87"/>
    </row>
    <row r="24" spans="1:27" ht="16.399999999999999" customHeight="1" x14ac:dyDescent="0.35">
      <c r="B24" s="338" t="s">
        <v>476</v>
      </c>
      <c r="D24" s="2"/>
      <c r="E24" s="2"/>
      <c r="F24" s="380"/>
      <c r="G24" s="200"/>
      <c r="H24" s="76" t="s">
        <v>477</v>
      </c>
      <c r="I24" s="201"/>
      <c r="J24" s="203"/>
      <c r="K24" s="204"/>
      <c r="L24" s="201"/>
      <c r="M24" s="201"/>
      <c r="N24" s="87"/>
      <c r="O24" s="87"/>
    </row>
    <row r="25" spans="1:27" ht="16.399999999999999" customHeight="1" x14ac:dyDescent="0.35">
      <c r="B25" s="337" t="s">
        <v>478</v>
      </c>
      <c r="D25" s="80"/>
      <c r="E25" s="380"/>
      <c r="F25" s="2"/>
      <c r="G25" s="380"/>
      <c r="H25" s="87"/>
      <c r="I25" s="202"/>
      <c r="J25" s="203"/>
      <c r="K25" s="80"/>
      <c r="L25" s="202"/>
      <c r="M25" s="202"/>
      <c r="N25" s="87"/>
      <c r="O25" s="87"/>
    </row>
    <row r="26" spans="1:27" ht="15.5" x14ac:dyDescent="0.35">
      <c r="B26" s="197"/>
      <c r="C26" s="205"/>
      <c r="D26" s="206"/>
      <c r="E26" s="380"/>
      <c r="F26" s="87"/>
      <c r="G26" s="83" t="s">
        <v>479</v>
      </c>
      <c r="H26" s="270" t="s">
        <v>60</v>
      </c>
      <c r="I26" s="203"/>
      <c r="J26" s="203"/>
      <c r="K26" s="203"/>
      <c r="L26" s="203"/>
      <c r="M26" s="203"/>
      <c r="N26" s="87"/>
      <c r="O26" s="87"/>
    </row>
    <row r="27" spans="1:27" ht="15.5" x14ac:dyDescent="0.35">
      <c r="B27" s="207"/>
      <c r="C27" s="53"/>
      <c r="D27" s="2"/>
      <c r="E27" s="380"/>
      <c r="F27" s="87"/>
      <c r="G27" s="200"/>
      <c r="H27" s="87"/>
      <c r="I27" s="203"/>
      <c r="J27" s="203"/>
      <c r="K27" s="203"/>
      <c r="L27" s="203"/>
      <c r="M27" s="203"/>
      <c r="N27" s="87"/>
      <c r="O27" s="87"/>
    </row>
    <row r="28" spans="1:27" ht="18" customHeight="1" x14ac:dyDescent="0.35">
      <c r="B28" s="228" t="s">
        <v>480</v>
      </c>
      <c r="C28" s="236"/>
      <c r="D28" s="136"/>
      <c r="E28" s="237"/>
      <c r="F28" s="237"/>
      <c r="G28" s="238"/>
      <c r="H28" s="239"/>
      <c r="I28" s="209"/>
      <c r="J28" s="208"/>
      <c r="K28" s="208"/>
      <c r="L28" s="5"/>
      <c r="M28" s="5"/>
      <c r="N28" s="87"/>
      <c r="O28" s="87"/>
    </row>
    <row r="29" spans="1:27" ht="18" customHeight="1" x14ac:dyDescent="0.35">
      <c r="A29" t="s">
        <v>481</v>
      </c>
      <c r="B29" s="220">
        <v>102</v>
      </c>
      <c r="C29" s="88" t="s">
        <v>482</v>
      </c>
      <c r="D29" s="381"/>
      <c r="E29" s="227"/>
      <c r="F29" s="226"/>
      <c r="G29" s="220" t="s">
        <v>483</v>
      </c>
      <c r="H29" s="1389" t="e">
        <f>INDEX('LA Data'!$A$3:$AL$417,MATCH($B$22,'LA Data'!$A$3:$A$417,0),MATCH(A29,'LA Data'!$A$3:$AL$3,0))</f>
        <v>#N/A</v>
      </c>
      <c r="I29" s="94"/>
      <c r="J29" s="342" t="e">
        <f>IF(ABS(H29-INDEX('LA Data'!$A$3:$AL$417,MATCH($B$22,'LA Data'!$A$3:$A$417,0),MATCH(A29,'LA Data'!$A$3:$AL$3,0)))&lt;2,"","Warning")</f>
        <v>#N/A</v>
      </c>
      <c r="K29" s="439" t="e">
        <f>IF(ABS(H29-INDEX('LA Data'!$A$3:$AL$417,MATCH($B$22,'LA Data'!$A$3:$A$417,0),MATCH(A29,'LA Data'!$A$3:$AL$3,0)))&lt;2,"","Allocation data shows "&amp;TEXT(INDEX('LA Data'!$A$3:$AL$417,MATCH($B$22,'LA Data'!$A$3:$A$417,0),MATCH(A29,'LA Data'!$A$3:$AL$3,0)),"#,##0")&amp;" on this line. Please add an explanation to the memo sheet")</f>
        <v>#N/A</v>
      </c>
      <c r="L29" s="68"/>
      <c r="M29" s="68"/>
      <c r="N29" s="2"/>
      <c r="O29" s="2"/>
      <c r="P29" s="1"/>
      <c r="Q29" s="1"/>
      <c r="R29" s="1"/>
    </row>
    <row r="30" spans="1:27" ht="18" customHeight="1" x14ac:dyDescent="0.35">
      <c r="A30" t="s">
        <v>484</v>
      </c>
      <c r="B30" s="220">
        <v>103</v>
      </c>
      <c r="C30" s="88" t="s">
        <v>485</v>
      </c>
      <c r="D30" s="381"/>
      <c r="E30" s="225"/>
      <c r="F30" s="226"/>
      <c r="G30" s="220" t="s">
        <v>483</v>
      </c>
      <c r="H30" s="1390"/>
      <c r="I30" s="94"/>
      <c r="J30" s="342"/>
      <c r="K30" s="439"/>
      <c r="L30" s="68"/>
      <c r="M30" s="68"/>
      <c r="N30" s="2"/>
      <c r="O30" s="2"/>
      <c r="P30" s="1"/>
      <c r="Q30" s="1"/>
      <c r="R30" s="1"/>
    </row>
    <row r="31" spans="1:27" ht="18" customHeight="1" x14ac:dyDescent="0.35">
      <c r="A31" t="s">
        <v>486</v>
      </c>
      <c r="B31" s="382">
        <v>107</v>
      </c>
      <c r="C31" s="382" t="s">
        <v>487</v>
      </c>
      <c r="D31" s="381"/>
      <c r="E31" s="225"/>
      <c r="F31" s="226"/>
      <c r="G31" s="220" t="s">
        <v>483</v>
      </c>
      <c r="H31" s="1390"/>
      <c r="I31" s="94"/>
      <c r="J31" s="342"/>
      <c r="K31" s="439"/>
      <c r="L31" s="68"/>
      <c r="M31" s="68"/>
      <c r="N31" s="2"/>
      <c r="O31" s="2"/>
      <c r="P31" s="1"/>
      <c r="Q31" s="1"/>
      <c r="R31" s="1"/>
    </row>
    <row r="32" spans="1:27" ht="18" customHeight="1" x14ac:dyDescent="0.35">
      <c r="A32" t="s">
        <v>488</v>
      </c>
      <c r="B32" s="382">
        <v>108</v>
      </c>
      <c r="C32" s="382" t="s">
        <v>489</v>
      </c>
      <c r="D32" s="381"/>
      <c r="E32" s="225"/>
      <c r="F32" s="226"/>
      <c r="G32" s="220" t="s">
        <v>483</v>
      </c>
      <c r="H32" s="1390"/>
      <c r="I32" s="94"/>
      <c r="J32" s="342"/>
      <c r="K32" s="439"/>
      <c r="L32" s="68"/>
      <c r="M32" s="68"/>
      <c r="N32" s="2"/>
      <c r="O32" s="2"/>
      <c r="P32" s="1"/>
      <c r="Q32" s="1"/>
      <c r="R32" s="1"/>
    </row>
    <row r="33" spans="1:18" ht="18" customHeight="1" x14ac:dyDescent="0.35">
      <c r="A33" t="s">
        <v>490</v>
      </c>
      <c r="B33" s="382">
        <v>109</v>
      </c>
      <c r="C33" s="382" t="s">
        <v>491</v>
      </c>
      <c r="D33" s="381"/>
      <c r="E33" s="225"/>
      <c r="F33" s="226"/>
      <c r="G33" s="220" t="s">
        <v>483</v>
      </c>
      <c r="H33" s="1390"/>
      <c r="I33" s="94"/>
      <c r="J33" s="342"/>
      <c r="K33" s="439"/>
      <c r="L33" s="68"/>
      <c r="M33" s="68"/>
      <c r="N33" s="2"/>
      <c r="O33" s="2"/>
      <c r="P33" s="1"/>
      <c r="Q33" s="1"/>
      <c r="R33" s="1"/>
    </row>
    <row r="34" spans="1:18" ht="18" customHeight="1" x14ac:dyDescent="0.35">
      <c r="A34" t="s">
        <v>492</v>
      </c>
      <c r="B34" s="382">
        <v>201</v>
      </c>
      <c r="C34" s="382" t="s">
        <v>493</v>
      </c>
      <c r="D34" s="381"/>
      <c r="E34" s="225"/>
      <c r="F34" s="226"/>
      <c r="G34" s="220" t="s">
        <v>494</v>
      </c>
      <c r="H34" s="1390"/>
      <c r="I34" s="94"/>
      <c r="J34" s="342"/>
      <c r="K34" s="439"/>
      <c r="L34" s="68"/>
      <c r="M34" s="68"/>
      <c r="N34" s="2"/>
      <c r="O34" s="2"/>
      <c r="P34" s="1"/>
      <c r="Q34" s="1"/>
      <c r="R34" s="1"/>
    </row>
    <row r="35" spans="1:18" ht="18" customHeight="1" x14ac:dyDescent="0.35">
      <c r="A35" t="s">
        <v>495</v>
      </c>
      <c r="B35" s="382">
        <v>313</v>
      </c>
      <c r="C35" s="383" t="s">
        <v>496</v>
      </c>
      <c r="D35" s="381"/>
      <c r="E35" s="225"/>
      <c r="F35" s="226"/>
      <c r="G35" s="220" t="s">
        <v>497</v>
      </c>
      <c r="H35" s="1389" t="e">
        <f>INDEX('LA Data'!$A$3:$AL$417,MATCH($B$22,'LA Data'!$A$3:$A$417,0),MATCH(A35,'LA Data'!$A$3:$AL$3,0))</f>
        <v>#N/A</v>
      </c>
      <c r="I35" s="25"/>
      <c r="J35" s="342" t="e">
        <f>IF(ABS(H35-INDEX('LA Data'!$A$3:$AL$417,MATCH($B$22,'LA Data'!$A$3:$A$417,0),MATCH(A35,'LA Data'!$A$3:$AL$3,0)))&lt;2,"","Error")</f>
        <v>#N/A</v>
      </c>
      <c r="K35" s="439" t="e">
        <f>IF(ABS(H35-INDEX('LA Data'!$A$3:$AL$417,MATCH($B$22,'LA Data'!$A$3:$A$417,0),MATCH(A35,'LA Data'!$A$3:$AL$3,0)))&lt;2,"","Allocation data shows "&amp;TEXT(INDEX('LA Data'!$A$3:$AL$417,MATCH($B$22,'LA Data'!$A$3:$A$417,0),MATCH(A35,'LA Data'!$A$3:$AL$3,0)),"#,##0")&amp;" on this line. Please add an explanation to the memo sheet")</f>
        <v>#N/A</v>
      </c>
      <c r="L35" s="68"/>
      <c r="M35" s="68"/>
      <c r="N35" s="2"/>
      <c r="O35" s="2"/>
      <c r="P35" s="1"/>
      <c r="Q35" s="1"/>
      <c r="R35" s="1"/>
    </row>
    <row r="36" spans="1:18" ht="18" customHeight="1" x14ac:dyDescent="0.35">
      <c r="A36" t="s">
        <v>498</v>
      </c>
      <c r="B36" s="382">
        <v>315</v>
      </c>
      <c r="C36" s="341" t="s">
        <v>499</v>
      </c>
      <c r="D36" s="381"/>
      <c r="E36" s="225"/>
      <c r="F36" s="226"/>
      <c r="G36" s="220" t="s">
        <v>500</v>
      </c>
      <c r="H36" s="1389" t="e">
        <f>INDEX('LA Data'!$A$3:$AL$417,MATCH($B$22,'LA Data'!$A$3:$A$417,0),MATCH(A36,'LA Data'!$A$3:$AL$3,0))</f>
        <v>#N/A</v>
      </c>
      <c r="I36" s="25"/>
      <c r="J36" s="342" t="e">
        <f>IF(ABS(H36-INDEX('LA Data'!$A$3:$AL$417,MATCH($B$22,'LA Data'!$A$3:$A$417,0),MATCH(A36,'LA Data'!$A$3:$AL$3,0)))&lt;2,"","Error")</f>
        <v>#N/A</v>
      </c>
      <c r="K36" s="439" t="e">
        <f>IF(ABS(H36-INDEX('LA Data'!$A$3:$AL$417,MATCH($B$22,'LA Data'!$A$3:$A$417,0),MATCH(A36,'LA Data'!$A$3:$AL$3,0)))&lt;2,"","Allocation data shows "&amp;TEXT(INDEX('LA Data'!$A$3:$AL$417,MATCH($B$22,'LA Data'!$A$3:$A$417,0),MATCH(A36,'LA Data'!$A$3:$AL$3,0)),"#,##0")&amp;" on this line. Please add an explanation to the memo sheet")</f>
        <v>#N/A</v>
      </c>
      <c r="L36" s="68"/>
      <c r="M36" s="68"/>
      <c r="N36" s="2"/>
      <c r="O36" s="2"/>
      <c r="P36" s="1"/>
      <c r="Q36" s="1"/>
      <c r="R36" s="1"/>
    </row>
    <row r="37" spans="1:18" ht="18" customHeight="1" x14ac:dyDescent="0.35">
      <c r="A37" t="s">
        <v>501</v>
      </c>
      <c r="B37" s="382">
        <v>322</v>
      </c>
      <c r="C37" s="341" t="s">
        <v>502</v>
      </c>
      <c r="D37" s="381"/>
      <c r="E37" s="225"/>
      <c r="F37" s="226"/>
      <c r="G37" s="220" t="s">
        <v>500</v>
      </c>
      <c r="H37" s="1389" t="e">
        <f>INDEX('LA Data'!$A$3:$AL$417,MATCH($B$22,'LA Data'!$A$3:$A$417,0),MATCH(A37,'LA Data'!$A$3:$AL$3,0))</f>
        <v>#N/A</v>
      </c>
      <c r="I37" s="25"/>
      <c r="J37" s="342" t="e">
        <f>IF(ABS(H37-INDEX('LA Data'!$A$3:$AL$417,MATCH($B$22,'LA Data'!$A$3:$A$417,0),MATCH(A37,'LA Data'!$A$3:$AL$3,0)))&lt;2,"","Error")</f>
        <v>#N/A</v>
      </c>
      <c r="K37" s="439" t="e">
        <f>IF(ABS(H37-INDEX('LA Data'!$A$3:$AL$417,MATCH($B$22,'LA Data'!$A$3:$A$417,0),MATCH(A37,'LA Data'!$A$3:$AL$3,0)))&lt;2,"","Allocation data shows "&amp;TEXT(INDEX('LA Data'!$A$3:$AL$417,MATCH($B$22,'LA Data'!$A$3:$A$417,0),MATCH(A37,'LA Data'!$A$3:$AL$3,0)),"#,##0")&amp;" on this line. Please add an explanation to the memo sheet")</f>
        <v>#N/A</v>
      </c>
      <c r="L37" s="68"/>
      <c r="M37" s="68"/>
      <c r="N37" s="2"/>
      <c r="O37" s="2"/>
      <c r="P37" s="1"/>
      <c r="Q37" s="1"/>
      <c r="R37" s="1"/>
    </row>
    <row r="38" spans="1:18" ht="18" customHeight="1" x14ac:dyDescent="0.35">
      <c r="A38" t="s">
        <v>503</v>
      </c>
      <c r="B38" s="382">
        <v>323</v>
      </c>
      <c r="C38" s="341" t="s">
        <v>504</v>
      </c>
      <c r="D38" s="381"/>
      <c r="E38" s="225"/>
      <c r="F38" s="226"/>
      <c r="G38" s="220" t="s">
        <v>500</v>
      </c>
      <c r="H38" s="1389" t="e">
        <f>INDEX('LA Data'!$A$3:$AL$417,MATCH($B$22,'LA Data'!$A$3:$A$417,0),MATCH(A38,'LA Data'!$A$3:$AL$3,0))</f>
        <v>#N/A</v>
      </c>
      <c r="I38" s="25"/>
      <c r="J38" s="342" t="e">
        <f>IF(ABS(H38-INDEX('LA Data'!$A$3:$AL$417,MATCH($B$22,'LA Data'!$A$3:$A$417,0),MATCH(A38,'LA Data'!$A$3:$AL$3,0)))&lt;2,"","Error")</f>
        <v>#N/A</v>
      </c>
      <c r="K38" s="439" t="e">
        <f>IF(ABS(H38-INDEX('LA Data'!$A$3:$AL$417,MATCH($B$22,'LA Data'!$A$3:$A$417,0),MATCH(A38,'LA Data'!$A$3:$AL$3,0)))&lt;2,"","Allocation data shows "&amp;TEXT(INDEX('LA Data'!$A$3:$AL$417,MATCH($B$22,'LA Data'!$A$3:$A$417,0),MATCH(A38,'LA Data'!$A$3:$AL$3,0)),"#,##0")&amp;" on this line. Please add an explanation to the memo sheet")</f>
        <v>#N/A</v>
      </c>
      <c r="L38" s="68"/>
      <c r="M38" s="68"/>
      <c r="N38" s="2"/>
      <c r="O38" s="2"/>
      <c r="P38" s="1"/>
      <c r="Q38" s="1"/>
      <c r="R38" s="1"/>
    </row>
    <row r="39" spans="1:18" ht="18" customHeight="1" x14ac:dyDescent="0.35">
      <c r="A39" t="s">
        <v>505</v>
      </c>
      <c r="B39" s="382">
        <v>324</v>
      </c>
      <c r="C39" s="341" t="s">
        <v>506</v>
      </c>
      <c r="D39" s="381"/>
      <c r="E39" s="225"/>
      <c r="F39" s="226"/>
      <c r="G39" s="220" t="s">
        <v>483</v>
      </c>
      <c r="H39" s="1389" t="e">
        <f>INDEX('LA Data'!$A$3:$AL$417,MATCH($B$22,'LA Data'!$A$3:$A$417,0),MATCH(A39,'LA Data'!$A$3:$AL$3,0))</f>
        <v>#N/A</v>
      </c>
      <c r="I39" s="25"/>
      <c r="J39" s="342" t="e">
        <f>IF(ABS(H39-INDEX('LA Data'!$A$3:$AL$417,MATCH($B$22,'LA Data'!$A$3:$A$417,0),MATCH(A39,'LA Data'!$A$3:$AL$3,0)))&lt;2,"","Error")</f>
        <v>#N/A</v>
      </c>
      <c r="K39" s="439" t="e">
        <f>IF(ABS(H39-INDEX('LA Data'!$A$3:$AL$417,MATCH($B$22,'LA Data'!$A$3:$A$417,0),MATCH(A39,'LA Data'!$A$3:$AL$3,0)))&lt;2,"","Allocation data shows "&amp;TEXT(INDEX('LA Data'!$A$3:$AL$417,MATCH($B$22,'LA Data'!$A$3:$A$417,0),MATCH(A39,'LA Data'!$A$3:$AL$3,0)),"#,##0")&amp;" on this line. Please add an explanation to the memo sheet")</f>
        <v>#N/A</v>
      </c>
      <c r="L39" s="68"/>
      <c r="M39" s="68"/>
      <c r="N39" s="2"/>
      <c r="O39" s="2"/>
      <c r="P39" s="1"/>
      <c r="Q39" s="1"/>
      <c r="R39" s="1"/>
    </row>
    <row r="40" spans="1:18" ht="18" customHeight="1" x14ac:dyDescent="0.35">
      <c r="A40" t="s">
        <v>507</v>
      </c>
      <c r="B40" s="382">
        <v>325</v>
      </c>
      <c r="C40" s="341" t="s">
        <v>508</v>
      </c>
      <c r="D40" s="381"/>
      <c r="E40" s="225"/>
      <c r="F40" s="226"/>
      <c r="G40" s="220" t="s">
        <v>500</v>
      </c>
      <c r="H40" s="1389" t="e">
        <f>INDEX('LA Data'!$A$3:$AL$417,MATCH($B$22,'LA Data'!$A$3:$A$417,0),MATCH(A40,'LA Data'!$A$3:$AL$3,0))</f>
        <v>#N/A</v>
      </c>
      <c r="I40" s="25"/>
      <c r="J40" s="342" t="e">
        <f>IF(ABS(H40-INDEX('LA Data'!$A$3:$AL$417,MATCH($B$22,'LA Data'!$A$3:$A$417,0),MATCH(A40,'LA Data'!$A$3:$AL$3,0)))&lt;2,"","Error")</f>
        <v>#N/A</v>
      </c>
      <c r="K40" s="439" t="e">
        <f>IF(ABS(H40-INDEX('LA Data'!$A$3:$AL$417,MATCH($B$22,'LA Data'!$A$3:$A$417,0),MATCH(A40,'LA Data'!$A$3:$AL$3,0)))&lt;2,"","Allocation data shows "&amp;TEXT(INDEX('LA Data'!$A$3:$AL$417,MATCH($B$22,'LA Data'!$A$3:$A$417,0),MATCH(A40,'LA Data'!$A$3:$AL$3,0)),"#,##0")&amp;" on this line. Please add an explanation to the memo sheet")</f>
        <v>#N/A</v>
      </c>
      <c r="L40" s="68"/>
      <c r="M40" s="68"/>
      <c r="N40" s="2"/>
      <c r="O40" s="2"/>
      <c r="P40" s="1"/>
      <c r="Q40" s="1"/>
      <c r="R40" s="1"/>
    </row>
    <row r="41" spans="1:18" ht="18" customHeight="1" x14ac:dyDescent="0.35">
      <c r="A41" t="s">
        <v>509</v>
      </c>
      <c r="B41" s="382">
        <v>326</v>
      </c>
      <c r="C41" s="341" t="s">
        <v>510</v>
      </c>
      <c r="D41" s="381"/>
      <c r="E41" s="225"/>
      <c r="F41" s="226"/>
      <c r="G41" s="220" t="s">
        <v>511</v>
      </c>
      <c r="H41" s="1390"/>
      <c r="I41" s="25"/>
      <c r="J41" s="342"/>
      <c r="K41" s="439"/>
      <c r="L41" s="68"/>
      <c r="M41" s="68"/>
      <c r="N41" s="2"/>
      <c r="O41" s="2"/>
      <c r="P41" s="1"/>
      <c r="Q41" s="1"/>
      <c r="R41" s="1"/>
    </row>
    <row r="42" spans="1:18" ht="18" customHeight="1" x14ac:dyDescent="0.35">
      <c r="A42" t="s">
        <v>512</v>
      </c>
      <c r="B42" s="220">
        <v>331</v>
      </c>
      <c r="C42" s="88" t="s">
        <v>513</v>
      </c>
      <c r="D42" s="273"/>
      <c r="E42" s="274"/>
      <c r="F42" s="391"/>
      <c r="G42" s="382" t="s">
        <v>497</v>
      </c>
      <c r="H42" s="1389" t="e">
        <f>INDEX('LA Data'!$A$3:$AL$417,MATCH($B$22,'LA Data'!$A$3:$A$417,0),MATCH(A42,'LA Data'!$A$3:$AL$3,0))</f>
        <v>#N/A</v>
      </c>
      <c r="I42" s="25"/>
      <c r="J42" s="342" t="e">
        <f>IF(ABS(H42-INDEX('LA Data'!$A$3:$AL$417,MATCH($B$22,'LA Data'!$A$3:$A$417,0),MATCH(A42,'LA Data'!$A$3:$AL$3,0)))&lt;2,"","Error")</f>
        <v>#N/A</v>
      </c>
      <c r="K42" s="439" t="e">
        <f>IF(ABS(H42-INDEX('LA Data'!$A$3:$AL$417,MATCH($B$22,'LA Data'!$A$3:$A$417,0),MATCH(A42,'LA Data'!$A$3:$AL$3,0)))&lt;2,"","Allocation data shows "&amp;TEXT(INDEX('LA Data'!$A$3:$AL$417,MATCH($B$22,'LA Data'!$A$3:$A$417,0),MATCH(A42,'LA Data'!$A$3:$AL$3,0)),"#,##0")&amp;" on this line. Please add an explanation to the memo sheet")</f>
        <v>#N/A</v>
      </c>
      <c r="L42" s="68"/>
      <c r="M42" s="68"/>
      <c r="N42" s="2"/>
      <c r="O42" s="2"/>
      <c r="P42" s="1"/>
      <c r="Q42" s="1"/>
      <c r="R42" s="1"/>
    </row>
    <row r="43" spans="1:18" ht="18" customHeight="1" x14ac:dyDescent="0.35">
      <c r="A43" t="s">
        <v>514</v>
      </c>
      <c r="B43" s="220">
        <v>332</v>
      </c>
      <c r="C43" s="88" t="s">
        <v>515</v>
      </c>
      <c r="D43" s="273"/>
      <c r="E43" s="274"/>
      <c r="F43" s="391"/>
      <c r="G43" s="382" t="s">
        <v>500</v>
      </c>
      <c r="H43" s="1390"/>
      <c r="I43" s="25"/>
      <c r="J43" s="342"/>
      <c r="K43" s="439"/>
      <c r="L43" s="68"/>
      <c r="M43" s="68"/>
      <c r="N43" s="2"/>
      <c r="O43" s="2"/>
      <c r="P43" s="1"/>
      <c r="Q43" s="1"/>
      <c r="R43" s="1"/>
    </row>
    <row r="44" spans="1:18" ht="18" customHeight="1" x14ac:dyDescent="0.35">
      <c r="A44" t="s">
        <v>516</v>
      </c>
      <c r="B44" s="220">
        <v>342</v>
      </c>
      <c r="C44" s="88" t="s">
        <v>517</v>
      </c>
      <c r="D44" s="273"/>
      <c r="E44" s="274"/>
      <c r="F44" s="391"/>
      <c r="G44" s="382" t="s">
        <v>500</v>
      </c>
      <c r="H44" s="1389" t="e">
        <f>INDEX('LA Data'!$A$3:$AL$417,MATCH($B$22,'LA Data'!$A$3:$A$417,0),MATCH(A44,'LA Data'!$A$3:$AL$3,0))</f>
        <v>#N/A</v>
      </c>
      <c r="I44" s="25"/>
      <c r="J44" s="342" t="e">
        <f>IF(ABS(H44-INDEX('LA Data'!$A$3:$AL$417,MATCH($B$22,'LA Data'!$A$3:$A$417,0),MATCH(A44,'LA Data'!$A$3:$AL$3,0)))&lt;2,"","Error")</f>
        <v>#N/A</v>
      </c>
      <c r="K44" s="439" t="e">
        <f>IF(ABS(H44-INDEX('LA Data'!$A$3:$AL$417,MATCH($B$22,'LA Data'!$A$3:$A$417,0),MATCH(A44,'LA Data'!$A$3:$AL$3,0)))&lt;2,"","Allocation data shows "&amp;TEXT(INDEX('LA Data'!$A$3:$AL$417,MATCH($B$22,'LA Data'!$A$3:$A$417,0),MATCH(A44,'LA Data'!$A$3:$AL$3,0)),"#,##0")&amp;" on this line. Please add an explanation to the memo sheet")</f>
        <v>#N/A</v>
      </c>
      <c r="L44" s="68"/>
      <c r="M44" s="68"/>
      <c r="N44" s="2"/>
      <c r="O44" s="2"/>
      <c r="P44" s="1"/>
      <c r="Q44" s="1"/>
      <c r="R44" s="1"/>
    </row>
    <row r="45" spans="1:18" ht="18" customHeight="1" x14ac:dyDescent="0.35">
      <c r="A45" t="s">
        <v>518</v>
      </c>
      <c r="B45" s="220">
        <v>343</v>
      </c>
      <c r="C45" s="88" t="s">
        <v>519</v>
      </c>
      <c r="D45" s="273"/>
      <c r="E45" s="274"/>
      <c r="F45" s="391"/>
      <c r="G45" s="382" t="s">
        <v>483</v>
      </c>
      <c r="H45" s="1389" t="e">
        <f>INDEX('LA Data'!$A$3:$AL$417,MATCH($B$22,'LA Data'!$A$3:$A$417,0),MATCH(A45,'LA Data'!$A$3:$AL$3,0))</f>
        <v>#N/A</v>
      </c>
      <c r="I45" s="25"/>
      <c r="J45" s="342" t="e">
        <f>IF(ABS(H45-INDEX('LA Data'!$A$3:$AL$417,MATCH($B$22,'LA Data'!$A$3:$A$417,0),MATCH(A45,'LA Data'!$A$3:$AL$3,0)))&lt;2,"","Error")</f>
        <v>#N/A</v>
      </c>
      <c r="K45" s="439" t="e">
        <f>IF(ABS(H45-INDEX('LA Data'!$A$3:$AL$417,MATCH($B$22,'LA Data'!$A$3:$A$417,0),MATCH(A45,'LA Data'!$A$3:$AL$3,0)))&lt;2,"","Allocation data shows "&amp;TEXT(INDEX('LA Data'!$A$3:$AL$417,MATCH($B$22,'LA Data'!$A$3:$A$417,0),MATCH(A45,'LA Data'!$A$3:$AL$3,0)),"#,##0")&amp;" on this line. Please add an explanation to the memo sheet")</f>
        <v>#N/A</v>
      </c>
      <c r="L45" s="68"/>
      <c r="M45" s="68"/>
      <c r="N45" s="2"/>
      <c r="O45" s="2"/>
      <c r="P45" s="1"/>
      <c r="Q45" s="1"/>
      <c r="R45" s="1"/>
    </row>
    <row r="46" spans="1:18" ht="18" customHeight="1" x14ac:dyDescent="0.35">
      <c r="A46" t="s">
        <v>520</v>
      </c>
      <c r="B46" s="382">
        <v>401</v>
      </c>
      <c r="C46" s="341" t="s">
        <v>521</v>
      </c>
      <c r="D46" s="273"/>
      <c r="E46" s="274"/>
      <c r="F46" s="391"/>
      <c r="G46" s="382" t="s">
        <v>500</v>
      </c>
      <c r="H46" s="1389" t="e">
        <f>INDEX('LA Data'!$A$3:$AL$417,MATCH($B$22,'LA Data'!$A$3:$A$417,0),MATCH(A46,'LA Data'!$A$3:$AL$3,0))</f>
        <v>#N/A</v>
      </c>
      <c r="I46" s="25"/>
      <c r="J46" s="342" t="e">
        <f>IF(ABS(H46-INDEX('LA Data'!$A$3:$AL$417,MATCH($B$22,'LA Data'!$A$3:$A$417,0),MATCH(A46,'LA Data'!$A$3:$AL$3,0)))&lt;2,"","Error")</f>
        <v>#N/A</v>
      </c>
      <c r="K46" s="439" t="e">
        <f>IF(ABS(H46-INDEX('LA Data'!$A$3:$AL$417,MATCH($B$22,'LA Data'!$A$3:$A$417,0),MATCH(A46,'LA Data'!$A$3:$AL$3,0)))&lt;2,"","Allocation data shows "&amp;TEXT(INDEX('LA Data'!$A$3:$AL$417,MATCH($B$22,'LA Data'!$A$3:$A$417,0),MATCH(A46,'LA Data'!$A$3:$AL$3,0)),"#,##0")&amp;" on this line. Please add an explanation to the memo sheet")</f>
        <v>#N/A</v>
      </c>
      <c r="L46" s="68"/>
      <c r="M46" s="68"/>
      <c r="N46" s="2"/>
      <c r="O46" s="2"/>
      <c r="P46" s="1"/>
      <c r="Q46" s="1"/>
      <c r="R46" s="1"/>
    </row>
    <row r="47" spans="1:18" ht="18" customHeight="1" x14ac:dyDescent="0.35">
      <c r="A47" t="s">
        <v>522</v>
      </c>
      <c r="B47" s="382">
        <v>406</v>
      </c>
      <c r="C47" s="341" t="s">
        <v>523</v>
      </c>
      <c r="D47" s="273"/>
      <c r="E47" s="392"/>
      <c r="F47" s="391"/>
      <c r="G47" s="382" t="s">
        <v>511</v>
      </c>
      <c r="H47" s="1389" t="e">
        <f>INDEX('LA Data'!$A$3:$AL$417,MATCH($B$22,'LA Data'!$A$3:$A$417,0),MATCH(A47,'LA Data'!$A$3:$AL$3,0))</f>
        <v>#N/A</v>
      </c>
      <c r="I47" s="94"/>
      <c r="J47" s="342" t="e">
        <f>IF(ABS(H47-INDEX('LA Data'!$A$3:$AL$417,MATCH($B$22,'LA Data'!$A$3:$A$417,0),MATCH(A47,'LA Data'!$A$3:$AL$3,0)))&lt;2,"","Error")</f>
        <v>#N/A</v>
      </c>
      <c r="K47" s="439" t="e">
        <f>IF(ABS(H47-INDEX('LA Data'!$A$3:$AL$417,MATCH($B$22,'LA Data'!$A$3:$A$417,0),MATCH(A47,'LA Data'!$A$3:$AL$3,0)))&lt;2,"","Allocation data shows "&amp;TEXT(INDEX('LA Data'!$A$3:$AL$417,MATCH($B$22,'LA Data'!$A$3:$A$417,0),MATCH(A47,'LA Data'!$A$3:$AL$3,0)),"#,##0")&amp;" on this line. Please add an explanation to the memo sheet")</f>
        <v>#N/A</v>
      </c>
      <c r="L47" s="68"/>
      <c r="M47" s="68"/>
      <c r="N47" s="2"/>
      <c r="O47" s="2"/>
      <c r="P47" s="1"/>
      <c r="Q47" s="1"/>
      <c r="R47" s="1"/>
    </row>
    <row r="48" spans="1:18" ht="18" customHeight="1" x14ac:dyDescent="0.35">
      <c r="A48" t="s">
        <v>524</v>
      </c>
      <c r="B48" s="382">
        <v>540</v>
      </c>
      <c r="C48" s="341" t="s">
        <v>525</v>
      </c>
      <c r="D48" s="273"/>
      <c r="E48" s="392"/>
      <c r="F48" s="391"/>
      <c r="G48" s="382" t="s">
        <v>500</v>
      </c>
      <c r="H48" s="1389" t="e">
        <f>INDEX('LA Data'!$A$3:$AL$417,MATCH($B$22,'LA Data'!$A$3:$A$417,0),MATCH(A48,'LA Data'!$A$3:$AL$3,0))</f>
        <v>#N/A</v>
      </c>
      <c r="I48" s="94"/>
      <c r="J48" s="342" t="e">
        <f>IF(ABS(H48-INDEX('LA Data'!$A$3:$AL$417,MATCH($B$22,'LA Data'!$A$3:$A$417,0),MATCH(A48,'LA Data'!$A$3:$AL$3,0)))&lt;2,"","Error")</f>
        <v>#N/A</v>
      </c>
      <c r="K48" s="439" t="e">
        <f>IF(ABS(H48-INDEX('LA Data'!$A$3:$AL$417,MATCH($B$22,'LA Data'!$A$3:$A$417,0),MATCH(A48,'LA Data'!$A$3:$AL$3,0)))&lt;2,"","Allocation data shows "&amp;TEXT(INDEX('LA Data'!$A$3:$AL$417,MATCH($B$22,'LA Data'!$A$3:$A$417,0),MATCH(A48,'LA Data'!$A$3:$AL$3,0)),"#,##0")&amp;" on this line. Please add an explanation to the memo sheet")</f>
        <v>#N/A</v>
      </c>
      <c r="L48" s="68"/>
      <c r="M48" s="68"/>
      <c r="N48" s="94"/>
      <c r="O48" s="94"/>
      <c r="P48" s="345"/>
      <c r="Q48" s="345"/>
      <c r="R48" s="345"/>
    </row>
    <row r="49" spans="1:18" ht="18" customHeight="1" x14ac:dyDescent="0.35">
      <c r="A49" t="s">
        <v>526</v>
      </c>
      <c r="B49" s="382">
        <v>541</v>
      </c>
      <c r="C49" s="341" t="s">
        <v>527</v>
      </c>
      <c r="D49" s="273"/>
      <c r="E49" s="392"/>
      <c r="F49" s="391"/>
      <c r="G49" s="382" t="s">
        <v>500</v>
      </c>
      <c r="H49" s="1390"/>
      <c r="I49" s="94"/>
      <c r="J49" s="342"/>
      <c r="K49" s="439"/>
      <c r="L49" s="68"/>
      <c r="M49" s="68"/>
      <c r="N49" s="94"/>
      <c r="O49" s="94"/>
      <c r="P49" s="345"/>
      <c r="Q49" s="345"/>
      <c r="R49" s="345"/>
    </row>
    <row r="50" spans="1:18" ht="18" customHeight="1" x14ac:dyDescent="0.35">
      <c r="A50" t="s">
        <v>528</v>
      </c>
      <c r="B50" s="382">
        <v>545</v>
      </c>
      <c r="C50" s="384" t="s">
        <v>529</v>
      </c>
      <c r="D50" s="273"/>
      <c r="E50" s="392"/>
      <c r="F50" s="391"/>
      <c r="G50" s="382" t="s">
        <v>500</v>
      </c>
      <c r="H50" s="1390"/>
      <c r="I50" s="94"/>
      <c r="J50" s="342"/>
      <c r="K50" s="439"/>
      <c r="L50" s="68"/>
      <c r="M50" s="68"/>
      <c r="N50" s="94"/>
      <c r="O50" s="94"/>
      <c r="P50" s="345"/>
      <c r="Q50" s="345"/>
      <c r="R50" s="345"/>
    </row>
    <row r="51" spans="1:18" s="93" customFormat="1" ht="18" customHeight="1" x14ac:dyDescent="0.35">
      <c r="A51" s="93" t="s">
        <v>530</v>
      </c>
      <c r="B51" s="382">
        <v>576</v>
      </c>
      <c r="C51" s="384" t="s">
        <v>531</v>
      </c>
      <c r="D51" s="604"/>
      <c r="E51" s="605"/>
      <c r="F51" s="606"/>
      <c r="G51" s="382" t="s">
        <v>500</v>
      </c>
      <c r="H51" s="1389" t="e">
        <f>INDEX('LA Data'!$A$3:$AL$417,MATCH($B$22,'LA Data'!$A$3:$A$417,0),MATCH(A51,'LA Data'!$A$3:$AL$3,0))</f>
        <v>#N/A</v>
      </c>
      <c r="I51" s="80"/>
      <c r="J51" s="342" t="e">
        <f>IF(ABS(H51-INDEX('LA Data'!$A$3:$AL$417,MATCH($B$22,'LA Data'!$A$3:$A$417,0),MATCH(A51,'LA Data'!$A$3:$AL$3,0)))&lt;2,"","Error")</f>
        <v>#N/A</v>
      </c>
      <c r="K51" s="439" t="e">
        <f>IF(ABS(H51-INDEX('LA Data'!$A$3:$AL$417,MATCH($B$22,'LA Data'!$A$3:$A$417,0),MATCH(A51,'LA Data'!$A$3:$AL$3,0)))&lt;2,"","Allocation data shows "&amp;TEXT(INDEX('LA Data'!$A$3:$AL$417,MATCH($B$22,'LA Data'!$A$3:$A$417,0),MATCH(A51,'LA Data'!$A$3:$AL$3,0)),"#,##0")&amp;" on this line. Please add an explanation to the memo sheet")</f>
        <v>#N/A</v>
      </c>
      <c r="L51" s="78"/>
      <c r="M51" s="78"/>
      <c r="N51" s="80"/>
      <c r="O51" s="80"/>
      <c r="P51" s="689"/>
      <c r="Q51" s="689"/>
      <c r="R51" s="689"/>
    </row>
    <row r="52" spans="1:18" ht="18" customHeight="1" x14ac:dyDescent="0.35">
      <c r="A52" t="s">
        <v>532</v>
      </c>
      <c r="B52" s="220">
        <v>656</v>
      </c>
      <c r="C52" s="220" t="s">
        <v>533</v>
      </c>
      <c r="D52" s="597"/>
      <c r="E52" s="392"/>
      <c r="F52" s="391"/>
      <c r="G52" s="382" t="s">
        <v>534</v>
      </c>
      <c r="H52" s="1389" t="e">
        <f>INDEX('LA Data'!$A$3:$AL$417,MATCH($B$22,'LA Data'!$A$3:$A$417,0),MATCH(A52,'LA Data'!$A$3:$AL$3,0))</f>
        <v>#N/A</v>
      </c>
      <c r="I52" s="280"/>
      <c r="J52" s="342" t="e">
        <f>IF(ABS(H52-INDEX('LA Data'!$A$3:$AL$417,MATCH($B$22,'LA Data'!$A$3:$A$417,0),MATCH(A52,'LA Data'!$A$3:$AL$3,0)))&lt;2,"","Error")</f>
        <v>#N/A</v>
      </c>
      <c r="K52" s="439" t="e">
        <f>IF(ABS(H52-INDEX('LA Data'!$A$3:$AL$417,MATCH($B$22,'LA Data'!$A$3:$A$417,0),MATCH(A52,'LA Data'!$A$3:$AL$3,0)))&lt;2,"","Allocation data shows "&amp;TEXT(INDEX('LA Data'!$A$3:$AL$417,MATCH($B$22,'LA Data'!$A$3:$A$417,0),MATCH(A52,'LA Data'!$A$3:$AL$3,0)),"#,##0")&amp;" on this line. Please add an explanation to the memo sheet")</f>
        <v>#N/A</v>
      </c>
      <c r="L52" s="68"/>
      <c r="M52" s="68"/>
      <c r="N52" s="94"/>
      <c r="O52" s="94"/>
      <c r="P52" s="345"/>
      <c r="Q52" s="345"/>
      <c r="R52" s="345"/>
    </row>
    <row r="53" spans="1:18" ht="18" customHeight="1" x14ac:dyDescent="0.35">
      <c r="A53" t="s">
        <v>535</v>
      </c>
      <c r="B53" s="220">
        <v>657</v>
      </c>
      <c r="C53" s="220" t="s">
        <v>536</v>
      </c>
      <c r="D53" s="597"/>
      <c r="E53" s="392"/>
      <c r="F53" s="391"/>
      <c r="G53" s="382" t="s">
        <v>534</v>
      </c>
      <c r="H53" s="1389" t="e">
        <f>INDEX('LA Data'!$A$3:$AL$417,MATCH($B$22,'LA Data'!$A$3:$A$417,0),MATCH(A53,'LA Data'!$A$3:$AL$3,0))</f>
        <v>#N/A</v>
      </c>
      <c r="I53" s="280"/>
      <c r="J53" s="342" t="e">
        <f>IF(ABS(H53-INDEX('LA Data'!$A$3:$AL$417,MATCH($B$22,'LA Data'!$A$3:$A$417,0),MATCH(A53,'LA Data'!$A$3:$AL$3,0)))&lt;2,"","Error")</f>
        <v>#N/A</v>
      </c>
      <c r="K53" s="439" t="e">
        <f>IF(ABS(H53-INDEX('LA Data'!$A$3:$AL$417,MATCH($B$22,'LA Data'!$A$3:$A$417,0),MATCH(A53,'LA Data'!$A$3:$AL$3,0)))&lt;2,"","Allocation data shows "&amp;TEXT(INDEX('LA Data'!$A$3:$AL$417,MATCH($B$22,'LA Data'!$A$3:$A$417,0),MATCH(A53,'LA Data'!$A$3:$AL$3,0)),"#,##0")&amp;" on this line. Please add an explanation to the memo sheet")</f>
        <v>#N/A</v>
      </c>
      <c r="L53" s="68"/>
      <c r="M53" s="68"/>
      <c r="N53" s="94"/>
      <c r="O53" s="94"/>
      <c r="P53" s="345"/>
      <c r="Q53" s="345"/>
      <c r="R53" s="345"/>
    </row>
    <row r="54" spans="1:18" ht="18" customHeight="1" x14ac:dyDescent="0.35">
      <c r="A54" t="s">
        <v>537</v>
      </c>
      <c r="B54" s="220">
        <v>658</v>
      </c>
      <c r="C54" s="220" t="s">
        <v>538</v>
      </c>
      <c r="D54" s="597"/>
      <c r="E54" s="392"/>
      <c r="F54" s="391"/>
      <c r="G54" s="382" t="s">
        <v>534</v>
      </c>
      <c r="H54" s="1389" t="e">
        <f>INDEX('LA Data'!$A$3:$AL$417,MATCH($B$22,'LA Data'!$A$3:$A$417,0),MATCH(A54,'LA Data'!$A$3:$AL$3,0))</f>
        <v>#N/A</v>
      </c>
      <c r="I54" s="280"/>
      <c r="J54" s="342" t="e">
        <f>IF(ABS(H54-INDEX('LA Data'!$A$3:$AL$417,MATCH($B$22,'LA Data'!$A$3:$A$417,0),MATCH(A54,'LA Data'!$A$3:$AL$3,0)))&lt;2,"","Error")</f>
        <v>#N/A</v>
      </c>
      <c r="K54" s="439" t="e">
        <f>IF(ABS(H54-INDEX('LA Data'!$A$3:$AL$417,MATCH($B$22,'LA Data'!$A$3:$A$417,0),MATCH(A54,'LA Data'!$A$3:$AL$3,0)))&lt;2,"","Allocation data shows "&amp;TEXT(INDEX('LA Data'!$A$3:$AL$417,MATCH($B$22,'LA Data'!$A$3:$A$417,0),MATCH(A54,'LA Data'!$A$3:$AL$3,0)),"#,##0")&amp;" on this line. Please add an explanation to the memo sheet")</f>
        <v>#N/A</v>
      </c>
      <c r="L54" s="68"/>
      <c r="M54" s="68"/>
      <c r="N54" s="94"/>
      <c r="O54" s="94"/>
      <c r="P54" s="345"/>
      <c r="Q54" s="345"/>
      <c r="R54" s="345"/>
    </row>
    <row r="55" spans="1:18" ht="18" customHeight="1" x14ac:dyDescent="0.35">
      <c r="A55" t="s">
        <v>539</v>
      </c>
      <c r="B55" s="341">
        <v>698</v>
      </c>
      <c r="C55" s="493" t="s">
        <v>540</v>
      </c>
      <c r="D55" s="273"/>
      <c r="E55" s="392"/>
      <c r="F55" s="391"/>
      <c r="G55" s="382"/>
      <c r="H55" s="1391">
        <f>H146</f>
        <v>0</v>
      </c>
      <c r="I55" s="94"/>
      <c r="J55" s="113"/>
      <c r="K55" s="114"/>
      <c r="L55" s="68"/>
      <c r="M55" s="68"/>
      <c r="N55" s="2"/>
      <c r="O55" s="2"/>
      <c r="P55" s="1"/>
      <c r="Q55" s="1"/>
      <c r="R55" s="1"/>
    </row>
    <row r="56" spans="1:18" ht="18" customHeight="1" x14ac:dyDescent="0.35">
      <c r="A56" t="s">
        <v>541</v>
      </c>
      <c r="B56" s="332">
        <v>699</v>
      </c>
      <c r="C56" s="333" t="s">
        <v>542</v>
      </c>
      <c r="D56" s="221"/>
      <c r="E56" s="221"/>
      <c r="F56" s="240"/>
      <c r="G56" s="385"/>
      <c r="H56" s="1392" t="e">
        <f>SUM(H29:H55)</f>
        <v>#N/A</v>
      </c>
      <c r="I56" s="94"/>
      <c r="J56" s="113"/>
      <c r="K56" s="114"/>
      <c r="L56" s="68"/>
      <c r="M56" s="68"/>
      <c r="N56" s="2"/>
      <c r="O56" s="2"/>
      <c r="P56" s="1"/>
      <c r="Q56" s="1"/>
      <c r="R56" s="1"/>
    </row>
    <row r="57" spans="1:18" ht="18" customHeight="1" x14ac:dyDescent="0.35">
      <c r="B57" s="417" t="s">
        <v>543</v>
      </c>
      <c r="C57" s="334"/>
      <c r="D57" s="6"/>
      <c r="E57" s="6"/>
      <c r="F57" s="81"/>
      <c r="G57" s="386"/>
      <c r="H57" s="67"/>
      <c r="I57" s="6"/>
      <c r="J57" s="113"/>
      <c r="K57" s="114"/>
      <c r="L57" s="68"/>
      <c r="M57" s="68"/>
      <c r="N57" s="2"/>
      <c r="O57" s="2"/>
      <c r="P57" s="1"/>
      <c r="Q57" s="1"/>
      <c r="R57" s="1"/>
    </row>
    <row r="58" spans="1:18" ht="18" customHeight="1" x14ac:dyDescent="0.35">
      <c r="B58" s="335"/>
      <c r="C58" s="336"/>
      <c r="D58" s="6"/>
      <c r="E58" s="6"/>
      <c r="F58" s="6"/>
      <c r="G58" s="386"/>
      <c r="H58" s="94"/>
      <c r="I58" s="68"/>
      <c r="J58" s="113"/>
      <c r="K58" s="114"/>
      <c r="L58" s="68"/>
      <c r="M58" s="68"/>
      <c r="N58" s="2"/>
      <c r="O58" s="2"/>
      <c r="P58" s="1"/>
      <c r="Q58" s="1"/>
      <c r="R58" s="1"/>
    </row>
    <row r="59" spans="1:18" ht="18" customHeight="1" x14ac:dyDescent="0.35">
      <c r="B59" s="228" t="s">
        <v>544</v>
      </c>
      <c r="C59" s="229"/>
      <c r="D59" s="381"/>
      <c r="E59" s="221"/>
      <c r="F59" s="221"/>
      <c r="G59" s="385"/>
      <c r="H59" s="230"/>
      <c r="I59" s="68"/>
      <c r="J59" s="113"/>
      <c r="K59" s="114"/>
      <c r="L59" s="68"/>
      <c r="M59" s="68"/>
      <c r="N59" s="2"/>
      <c r="O59" s="2"/>
      <c r="P59" s="1"/>
      <c r="Q59" s="1"/>
      <c r="R59" s="1"/>
    </row>
    <row r="60" spans="1:18" ht="18" customHeight="1" x14ac:dyDescent="0.25">
      <c r="A60" t="s">
        <v>545</v>
      </c>
      <c r="B60" s="220">
        <v>715</v>
      </c>
      <c r="C60" s="88" t="s">
        <v>546</v>
      </c>
      <c r="D60" s="381"/>
      <c r="E60" s="381"/>
      <c r="F60" s="221"/>
      <c r="G60" s="220" t="s">
        <v>483</v>
      </c>
      <c r="H60" s="1393"/>
      <c r="I60" s="94"/>
      <c r="J60" s="113"/>
      <c r="K60" s="114"/>
      <c r="L60" s="94"/>
      <c r="M60" s="94"/>
      <c r="N60" s="2"/>
      <c r="O60" s="2"/>
      <c r="P60" s="1"/>
      <c r="Q60" s="1"/>
      <c r="R60" s="1"/>
    </row>
    <row r="61" spans="1:18" ht="18" customHeight="1" x14ac:dyDescent="0.35">
      <c r="A61" t="s">
        <v>547</v>
      </c>
      <c r="B61" s="220">
        <v>716</v>
      </c>
      <c r="C61" s="88" t="s">
        <v>548</v>
      </c>
      <c r="D61" s="381"/>
      <c r="E61" s="381"/>
      <c r="F61" s="221"/>
      <c r="G61" s="220" t="s">
        <v>483</v>
      </c>
      <c r="H61" s="1393"/>
      <c r="I61" s="46"/>
      <c r="J61" s="113"/>
      <c r="K61" s="114"/>
      <c r="L61" s="210"/>
      <c r="M61" s="210"/>
      <c r="N61" s="2"/>
      <c r="O61" s="2"/>
      <c r="P61" s="1"/>
      <c r="Q61" s="1"/>
      <c r="R61" s="1"/>
    </row>
    <row r="62" spans="1:18" ht="18" customHeight="1" x14ac:dyDescent="0.3">
      <c r="A62" t="s">
        <v>549</v>
      </c>
      <c r="B62" s="220">
        <v>745</v>
      </c>
      <c r="C62" s="88" t="s">
        <v>550</v>
      </c>
      <c r="D62" s="381"/>
      <c r="E62" s="381"/>
      <c r="F62" s="221"/>
      <c r="G62" s="220" t="s">
        <v>511</v>
      </c>
      <c r="H62" s="1393"/>
      <c r="I62" s="95"/>
      <c r="J62" s="342" t="str">
        <f>IF(OR(AND(RS!F45&lt;&gt;0,H62=0),AND(RS!F45=0,H62&lt;&gt;0)),"Error",IF(AND(RS!F45=0,H62=0),"",IF(SUM(ABS(H62-RS!F45)/RS!F45)&gt;0.1,"Error","")))</f>
        <v/>
      </c>
      <c r="K62" s="942" t="str">
        <f>IF(OR(AND(RS!F45&lt;&gt;0,H62=0),AND(RS!F45=0,H62&lt;&gt;0)),"Large difference between RG line "&amp;B62&amp;" vs RS line "&amp;RS!B45&amp;" - please correct entries or give reasons in the Memo",IF(AND(RS!F45=0,H62=0),"",IF(SUM(ABS(H62-RS!F45)/RS!F45)&gt;0.1,"Large difference between RG line "&amp;B62&amp;" vs RS line "&amp;RS!B45&amp;" - please correct entries or give reasons in the Memo","")))</f>
        <v/>
      </c>
      <c r="L62" s="94"/>
      <c r="M62" s="94"/>
      <c r="N62" s="2"/>
      <c r="O62" s="2"/>
      <c r="P62" s="1"/>
      <c r="Q62" s="1"/>
      <c r="R62" s="1"/>
    </row>
    <row r="63" spans="1:18" ht="18" customHeight="1" x14ac:dyDescent="0.3">
      <c r="A63" t="s">
        <v>551</v>
      </c>
      <c r="B63" s="220">
        <v>746</v>
      </c>
      <c r="C63" s="88" t="s">
        <v>552</v>
      </c>
      <c r="D63" s="381"/>
      <c r="E63" s="381"/>
      <c r="F63" s="221"/>
      <c r="G63" s="220" t="s">
        <v>511</v>
      </c>
      <c r="H63" s="1393"/>
      <c r="I63" s="95"/>
      <c r="J63" s="342" t="str">
        <f>IF(OR(AND(RS!F46&lt;&gt;0,H63=0),AND(RS!F46=0,H63&lt;&gt;0)),"Error",IF(AND(RS!F46=0,H63=0),"",IF(SUM(ABS(H63-RS!F46)/RS!F46)&gt;0.1,"Error","")))</f>
        <v/>
      </c>
      <c r="K63" s="942" t="str">
        <f>IF(OR(AND(RS!F46&lt;&gt;0,H63=0),AND(RS!F46=0,H63&lt;&gt;0)),"Large difference between RG line "&amp;B63&amp;" vs RS line "&amp;RS!B46&amp;" - please correct entries or give reasons in the Memo",IF(AND(RS!F46=0,H63=0),"",IF(SUM(ABS(H63-RS!F46)/RS!F46)&gt;0.1,"Large difference between RG line "&amp;B63&amp;" vs RS line "&amp;RS!B46&amp;" - please correct entries or give reasons in the Memo","")))</f>
        <v/>
      </c>
      <c r="L63" s="94"/>
      <c r="M63" s="94"/>
      <c r="N63" s="2"/>
      <c r="O63" s="2"/>
      <c r="P63" s="1"/>
      <c r="Q63" s="1"/>
      <c r="R63" s="1"/>
    </row>
    <row r="64" spans="1:18" ht="18" customHeight="1" x14ac:dyDescent="0.3">
      <c r="A64" t="s">
        <v>553</v>
      </c>
      <c r="B64" s="220">
        <v>747</v>
      </c>
      <c r="C64" s="88" t="s">
        <v>554</v>
      </c>
      <c r="D64" s="381"/>
      <c r="E64" s="381"/>
      <c r="F64" s="221"/>
      <c r="G64" s="220" t="s">
        <v>511</v>
      </c>
      <c r="H64" s="1393"/>
      <c r="I64" s="95"/>
      <c r="J64" s="342" t="str">
        <f>IF(OR(AND(RS!F47&lt;&gt;0,H64=0),AND(RS!F47=0,H64&lt;&gt;0)),"Error",IF(AND(RS!F47=0,H64=0),"",IF(SUM(ABS(H64-RS!F47)/RS!F47)&gt;0.1,"Error","")))</f>
        <v/>
      </c>
      <c r="K64" s="942" t="str">
        <f>IF(OR(AND(RS!F47&lt;&gt;0,H64=0),AND(RS!F47=0,H64&lt;&gt;0)),"Large difference between RG line "&amp;B64&amp;" vs RS line "&amp;RS!B47&amp;" - please correct entries or give reasons in the Memo",IF(AND(RS!F47=0,H64=0),"",IF(SUM(ABS(H64-RS!F47)/RS!F47)&gt;0.1,"Large difference between RG line "&amp;B64&amp;" vs RS line "&amp;RS!B47&amp;" - please correct entries or give reasons in the Memo","")))</f>
        <v/>
      </c>
      <c r="L64" s="94"/>
      <c r="M64" s="94"/>
      <c r="N64" s="2"/>
      <c r="O64" s="2"/>
      <c r="P64" s="1"/>
      <c r="Q64" s="1"/>
      <c r="R64" s="1"/>
    </row>
    <row r="65" spans="1:18" ht="18" customHeight="1" x14ac:dyDescent="0.35">
      <c r="A65" t="s">
        <v>555</v>
      </c>
      <c r="B65" s="88">
        <v>798</v>
      </c>
      <c r="C65" s="88" t="s">
        <v>556</v>
      </c>
      <c r="D65" s="381"/>
      <c r="E65" s="221"/>
      <c r="F65" s="221"/>
      <c r="G65" s="221"/>
      <c r="H65" s="1391">
        <f>H207</f>
        <v>0</v>
      </c>
      <c r="I65" s="68"/>
      <c r="J65" s="113"/>
      <c r="K65" s="114"/>
      <c r="L65" s="94"/>
      <c r="M65" s="94"/>
      <c r="N65" s="2"/>
      <c r="O65" s="2"/>
      <c r="P65" s="1"/>
      <c r="Q65" s="1"/>
      <c r="R65" s="1"/>
    </row>
    <row r="66" spans="1:18" ht="15.5" x14ac:dyDescent="0.35">
      <c r="A66" t="s">
        <v>557</v>
      </c>
      <c r="B66" s="231">
        <v>799</v>
      </c>
      <c r="C66" s="231" t="s">
        <v>558</v>
      </c>
      <c r="D66" s="381"/>
      <c r="E66" s="221"/>
      <c r="F66" s="221"/>
      <c r="G66" s="221"/>
      <c r="H66" s="1392">
        <f>SUM(H60:H65)</f>
        <v>0</v>
      </c>
      <c r="I66" s="96"/>
      <c r="J66" s="113"/>
      <c r="K66" s="114"/>
      <c r="L66" s="94"/>
      <c r="M66" s="94"/>
      <c r="N66" s="2"/>
      <c r="O66" s="2"/>
      <c r="P66" s="1"/>
      <c r="Q66" s="1"/>
      <c r="R66" s="1"/>
    </row>
    <row r="67" spans="1:18" ht="15.5" x14ac:dyDescent="0.35">
      <c r="A67" t="s">
        <v>559</v>
      </c>
      <c r="B67" s="231">
        <v>800</v>
      </c>
      <c r="C67" s="232" t="s">
        <v>560</v>
      </c>
      <c r="D67" s="381"/>
      <c r="E67" s="221"/>
      <c r="F67" s="232"/>
      <c r="G67" s="221"/>
      <c r="H67" s="710" t="e">
        <f>SUM(H56,H66)</f>
        <v>#N/A</v>
      </c>
      <c r="I67" s="96"/>
      <c r="J67" s="113"/>
      <c r="K67" s="114"/>
      <c r="L67" s="94"/>
      <c r="M67" s="94"/>
      <c r="N67" s="2"/>
      <c r="O67" s="2"/>
      <c r="P67" s="1"/>
      <c r="Q67" s="1"/>
      <c r="R67" s="1"/>
    </row>
    <row r="68" spans="1:18" ht="15.5" x14ac:dyDescent="0.35">
      <c r="B68" s="233"/>
      <c r="C68" s="234"/>
      <c r="D68" s="183"/>
      <c r="E68" s="235"/>
      <c r="F68" s="232"/>
      <c r="G68" s="387"/>
      <c r="H68" s="104" t="s">
        <v>561</v>
      </c>
      <c r="I68" s="211"/>
      <c r="J68" s="211"/>
      <c r="K68" s="211"/>
      <c r="L68" s="202"/>
      <c r="M68" s="202"/>
      <c r="N68" s="87"/>
      <c r="O68" s="87"/>
    </row>
    <row r="69" spans="1:18" ht="15.5" x14ac:dyDescent="0.35">
      <c r="B69" s="212"/>
      <c r="C69" s="213"/>
      <c r="D69" s="6"/>
      <c r="E69" s="6"/>
      <c r="F69" s="6"/>
      <c r="G69" s="200"/>
      <c r="H69" s="211"/>
      <c r="I69" s="211"/>
      <c r="J69" s="211"/>
      <c r="K69" s="211"/>
      <c r="L69" s="202"/>
      <c r="M69" s="202"/>
      <c r="N69" s="87"/>
      <c r="O69" s="87"/>
    </row>
    <row r="70" spans="1:18" ht="15.5" x14ac:dyDescent="0.35">
      <c r="B70" s="212"/>
      <c r="C70" s="213"/>
      <c r="D70" s="6"/>
      <c r="E70" s="6"/>
      <c r="F70" s="343"/>
      <c r="G70" s="200"/>
      <c r="H70" s="211"/>
      <c r="I70" s="211"/>
      <c r="J70" s="211"/>
      <c r="K70" s="211"/>
      <c r="L70" s="202"/>
      <c r="M70" s="202"/>
      <c r="N70" s="87"/>
      <c r="O70" s="87"/>
    </row>
    <row r="71" spans="1:18" ht="20" x14ac:dyDescent="0.4">
      <c r="B71" s="214" t="s">
        <v>562</v>
      </c>
      <c r="C71" s="146"/>
      <c r="D71" s="87"/>
      <c r="E71" s="6"/>
      <c r="F71" s="343"/>
      <c r="G71" s="200"/>
      <c r="H71" s="211"/>
      <c r="I71" s="211"/>
      <c r="J71" s="211"/>
      <c r="K71" s="211"/>
      <c r="L71" s="202"/>
      <c r="M71" s="202"/>
      <c r="N71" s="87"/>
      <c r="O71" s="87"/>
    </row>
    <row r="72" spans="1:18" ht="20" x14ac:dyDescent="0.4">
      <c r="B72" s="1054" t="s">
        <v>563</v>
      </c>
      <c r="C72" s="146"/>
      <c r="D72" s="343"/>
      <c r="E72" s="6"/>
      <c r="F72" s="343"/>
      <c r="G72" s="200"/>
      <c r="H72" s="87"/>
      <c r="I72" s="211"/>
      <c r="J72" s="211"/>
      <c r="K72" s="211"/>
      <c r="L72" s="202"/>
      <c r="M72" s="202"/>
      <c r="N72" s="87"/>
      <c r="O72" s="87"/>
    </row>
    <row r="73" spans="1:18" ht="17.5" x14ac:dyDescent="0.25">
      <c r="B73" s="215" t="s">
        <v>564</v>
      </c>
      <c r="C73" s="223"/>
      <c r="D73" s="388"/>
      <c r="E73" s="389"/>
      <c r="F73" s="224"/>
      <c r="G73" s="225" t="s">
        <v>479</v>
      </c>
      <c r="H73" s="390" t="s">
        <v>60</v>
      </c>
      <c r="I73" s="216"/>
      <c r="J73" s="216"/>
      <c r="K73" s="216"/>
      <c r="L73" s="202"/>
      <c r="M73" s="202"/>
      <c r="N73" s="87"/>
      <c r="O73" s="87"/>
    </row>
    <row r="74" spans="1:18" ht="18" customHeight="1" x14ac:dyDescent="0.35">
      <c r="A74" t="s">
        <v>565</v>
      </c>
      <c r="B74" s="220">
        <v>801</v>
      </c>
      <c r="C74" s="220" t="s">
        <v>566</v>
      </c>
      <c r="D74" s="381"/>
      <c r="E74" s="225"/>
      <c r="F74" s="226"/>
      <c r="G74" s="220" t="s">
        <v>483</v>
      </c>
      <c r="H74" s="1393"/>
      <c r="I74" s="94"/>
      <c r="J74" s="94"/>
      <c r="K74" s="94"/>
      <c r="L74" s="68"/>
      <c r="M74" s="68"/>
      <c r="N74" s="2"/>
      <c r="O74" s="2"/>
      <c r="P74" s="1"/>
      <c r="Q74" s="1"/>
      <c r="R74" s="1"/>
    </row>
    <row r="75" spans="1:18" ht="18" customHeight="1" x14ac:dyDescent="0.35">
      <c r="A75" t="s">
        <v>567</v>
      </c>
      <c r="B75" s="220">
        <v>802</v>
      </c>
      <c r="C75" s="220" t="s">
        <v>568</v>
      </c>
      <c r="D75" s="381"/>
      <c r="E75" s="227"/>
      <c r="F75" s="226"/>
      <c r="G75" s="220" t="s">
        <v>483</v>
      </c>
      <c r="H75" s="1393"/>
      <c r="I75" s="94"/>
      <c r="J75" s="96"/>
      <c r="K75" s="94"/>
      <c r="L75" s="68"/>
      <c r="M75" s="68"/>
      <c r="N75" s="2"/>
      <c r="O75" s="2"/>
      <c r="P75" s="1"/>
      <c r="Q75" s="1"/>
      <c r="R75" s="1"/>
    </row>
    <row r="76" spans="1:18" ht="18" customHeight="1" x14ac:dyDescent="0.35">
      <c r="A76" t="s">
        <v>569</v>
      </c>
      <c r="B76" s="220">
        <v>803</v>
      </c>
      <c r="C76" s="220" t="s">
        <v>570</v>
      </c>
      <c r="D76" s="381"/>
      <c r="E76" s="227"/>
      <c r="F76" s="226"/>
      <c r="G76" s="220" t="s">
        <v>483</v>
      </c>
      <c r="H76" s="1393"/>
      <c r="I76" s="94"/>
      <c r="J76" s="96"/>
      <c r="K76" s="94"/>
      <c r="L76" s="68"/>
      <c r="M76" s="68"/>
      <c r="N76" s="94"/>
      <c r="O76" s="94"/>
      <c r="P76" s="345"/>
      <c r="Q76" s="345"/>
      <c r="R76" s="345"/>
    </row>
    <row r="77" spans="1:18" ht="18" customHeight="1" x14ac:dyDescent="0.35">
      <c r="A77" t="s">
        <v>571</v>
      </c>
      <c r="B77" s="220">
        <v>806</v>
      </c>
      <c r="C77" s="220" t="s">
        <v>572</v>
      </c>
      <c r="D77" s="221"/>
      <c r="E77" s="221"/>
      <c r="F77" s="221"/>
      <c r="G77" s="220" t="s">
        <v>483</v>
      </c>
      <c r="H77" s="1393"/>
      <c r="I77" s="211"/>
      <c r="J77" s="211"/>
      <c r="K77" s="211"/>
      <c r="L77" s="202"/>
      <c r="M77" s="202"/>
      <c r="N77" s="87"/>
      <c r="O77" s="87"/>
    </row>
    <row r="78" spans="1:18" ht="18" customHeight="1" x14ac:dyDescent="0.35">
      <c r="A78" t="s">
        <v>573</v>
      </c>
      <c r="B78" s="220">
        <v>807</v>
      </c>
      <c r="C78" s="221" t="s">
        <v>574</v>
      </c>
      <c r="D78" s="221"/>
      <c r="E78" s="221"/>
      <c r="F78" s="221"/>
      <c r="G78" s="220" t="s">
        <v>494</v>
      </c>
      <c r="H78" s="1393"/>
      <c r="I78" s="598"/>
      <c r="J78" s="211"/>
      <c r="K78" s="211"/>
      <c r="L78" s="202"/>
      <c r="M78" s="202"/>
      <c r="N78" s="87"/>
      <c r="O78" s="87"/>
    </row>
    <row r="79" spans="1:18" ht="18" customHeight="1" x14ac:dyDescent="0.35">
      <c r="A79" t="s">
        <v>575</v>
      </c>
      <c r="B79" s="220">
        <v>808</v>
      </c>
      <c r="C79" s="221" t="s">
        <v>576</v>
      </c>
      <c r="D79" s="221"/>
      <c r="E79" s="221"/>
      <c r="F79" s="221"/>
      <c r="G79" s="220" t="s">
        <v>494</v>
      </c>
      <c r="H79" s="1393"/>
      <c r="I79" s="598"/>
      <c r="J79" s="211"/>
      <c r="K79" s="211"/>
      <c r="L79" s="202"/>
      <c r="M79" s="202"/>
      <c r="N79" s="87"/>
      <c r="O79" s="87"/>
    </row>
    <row r="80" spans="1:18" ht="18" customHeight="1" x14ac:dyDescent="0.35">
      <c r="A80" t="s">
        <v>577</v>
      </c>
      <c r="B80" s="382">
        <v>809</v>
      </c>
      <c r="C80" s="382" t="s">
        <v>578</v>
      </c>
      <c r="D80" s="273"/>
      <c r="E80" s="274"/>
      <c r="F80" s="391"/>
      <c r="G80" s="382" t="s">
        <v>494</v>
      </c>
      <c r="H80" s="1393"/>
      <c r="I80" s="94"/>
      <c r="J80" s="94"/>
      <c r="K80" s="94"/>
      <c r="L80" s="68"/>
      <c r="M80" s="68"/>
      <c r="N80" s="2"/>
      <c r="O80" s="2"/>
      <c r="P80" s="1"/>
      <c r="Q80" s="1"/>
      <c r="R80" s="1"/>
    </row>
    <row r="81" spans="1:18" ht="18" customHeight="1" x14ac:dyDescent="0.35">
      <c r="A81" t="s">
        <v>579</v>
      </c>
      <c r="B81" s="382">
        <v>810</v>
      </c>
      <c r="C81" s="382" t="s">
        <v>580</v>
      </c>
      <c r="D81" s="273"/>
      <c r="E81" s="274"/>
      <c r="F81" s="391"/>
      <c r="G81" s="382" t="s">
        <v>494</v>
      </c>
      <c r="H81" s="1393"/>
      <c r="I81" s="94"/>
      <c r="J81" s="94"/>
      <c r="K81" s="94"/>
      <c r="L81" s="68"/>
      <c r="M81" s="68"/>
      <c r="N81" s="2"/>
      <c r="O81" s="2"/>
      <c r="P81" s="1"/>
      <c r="Q81" s="1"/>
      <c r="R81" s="1"/>
    </row>
    <row r="82" spans="1:18" ht="18" customHeight="1" x14ac:dyDescent="0.35">
      <c r="A82" t="s">
        <v>581</v>
      </c>
      <c r="B82" s="382">
        <v>812</v>
      </c>
      <c r="C82" s="382" t="s">
        <v>582</v>
      </c>
      <c r="D82" s="273"/>
      <c r="E82" s="274"/>
      <c r="F82" s="391"/>
      <c r="G82" s="382" t="s">
        <v>583</v>
      </c>
      <c r="H82" s="1393"/>
      <c r="I82" s="94"/>
      <c r="J82" s="96"/>
      <c r="K82" s="94"/>
      <c r="L82" s="68"/>
      <c r="M82" s="68"/>
      <c r="N82" s="2"/>
      <c r="O82" s="2"/>
      <c r="P82" s="1"/>
      <c r="Q82" s="1"/>
      <c r="R82" s="1"/>
    </row>
    <row r="83" spans="1:18" ht="18" customHeight="1" x14ac:dyDescent="0.35">
      <c r="A83" t="s">
        <v>584</v>
      </c>
      <c r="B83" s="382">
        <v>813</v>
      </c>
      <c r="C83" s="382" t="s">
        <v>585</v>
      </c>
      <c r="D83" s="273"/>
      <c r="E83" s="392"/>
      <c r="F83" s="391"/>
      <c r="G83" s="382" t="s">
        <v>511</v>
      </c>
      <c r="H83" s="1393"/>
      <c r="I83" s="94"/>
      <c r="J83" s="96"/>
      <c r="K83" s="94"/>
      <c r="L83" s="68"/>
      <c r="M83" s="68"/>
      <c r="N83" s="2"/>
      <c r="O83" s="2"/>
      <c r="P83" s="1"/>
      <c r="Q83" s="1"/>
      <c r="R83" s="1"/>
    </row>
    <row r="84" spans="1:18" ht="18" customHeight="1" x14ac:dyDescent="0.35">
      <c r="A84" t="s">
        <v>586</v>
      </c>
      <c r="B84" s="382">
        <v>814</v>
      </c>
      <c r="C84" s="382" t="s">
        <v>587</v>
      </c>
      <c r="D84" s="273"/>
      <c r="E84" s="392"/>
      <c r="F84" s="391"/>
      <c r="G84" s="382" t="s">
        <v>511</v>
      </c>
      <c r="H84" s="1393"/>
      <c r="J84" s="96"/>
      <c r="K84" s="94"/>
      <c r="L84" s="68"/>
      <c r="M84" s="68"/>
      <c r="N84" s="2"/>
      <c r="O84" s="2"/>
      <c r="P84" s="1"/>
      <c r="Q84" s="1"/>
      <c r="R84" s="1"/>
    </row>
    <row r="85" spans="1:18" ht="18" customHeight="1" x14ac:dyDescent="0.35">
      <c r="A85" t="s">
        <v>588</v>
      </c>
      <c r="B85" s="382">
        <v>817</v>
      </c>
      <c r="C85" s="393" t="s">
        <v>589</v>
      </c>
      <c r="D85" s="273"/>
      <c r="E85" s="392"/>
      <c r="F85" s="391"/>
      <c r="G85" s="382" t="s">
        <v>500</v>
      </c>
      <c r="H85" s="1393"/>
      <c r="I85" s="94"/>
      <c r="J85" s="94"/>
      <c r="K85" s="94"/>
      <c r="L85" s="68"/>
      <c r="M85" s="68"/>
      <c r="N85" s="2"/>
      <c r="O85" s="2"/>
      <c r="P85" s="1"/>
      <c r="Q85" s="1"/>
      <c r="R85" s="1"/>
    </row>
    <row r="86" spans="1:18" ht="18" customHeight="1" x14ac:dyDescent="0.35">
      <c r="A86" t="s">
        <v>590</v>
      </c>
      <c r="B86" s="382">
        <v>823</v>
      </c>
      <c r="C86" s="393" t="s">
        <v>591</v>
      </c>
      <c r="D86" s="273"/>
      <c r="E86" s="392"/>
      <c r="F86" s="391"/>
      <c r="G86" s="382" t="s">
        <v>500</v>
      </c>
      <c r="H86" s="1393"/>
      <c r="I86" s="206"/>
      <c r="J86" s="96"/>
      <c r="K86" s="94"/>
      <c r="L86" s="68"/>
      <c r="M86" s="68"/>
      <c r="N86" s="2"/>
      <c r="O86" s="2"/>
      <c r="P86" s="1"/>
      <c r="Q86" s="1"/>
      <c r="R86" s="1"/>
    </row>
    <row r="87" spans="1:18" ht="18" customHeight="1" x14ac:dyDescent="0.35">
      <c r="A87" t="s">
        <v>592</v>
      </c>
      <c r="B87" s="382">
        <v>836</v>
      </c>
      <c r="C87" s="393" t="s">
        <v>593</v>
      </c>
      <c r="D87" s="273"/>
      <c r="E87" s="392"/>
      <c r="F87" s="391"/>
      <c r="G87" s="382" t="s">
        <v>594</v>
      </c>
      <c r="H87" s="1393"/>
      <c r="I87" s="94"/>
      <c r="J87" s="96"/>
      <c r="K87" s="94"/>
      <c r="L87" s="68"/>
      <c r="M87" s="68"/>
      <c r="N87" s="94"/>
      <c r="O87" s="94"/>
      <c r="P87" s="345"/>
      <c r="Q87" s="345"/>
      <c r="R87" s="345"/>
    </row>
    <row r="88" spans="1:18" ht="18" customHeight="1" x14ac:dyDescent="0.35">
      <c r="A88" t="s">
        <v>595</v>
      </c>
      <c r="B88" s="382">
        <v>839</v>
      </c>
      <c r="C88" s="393" t="s">
        <v>596</v>
      </c>
      <c r="D88" s="393"/>
      <c r="E88" s="393"/>
      <c r="F88" s="393"/>
      <c r="G88" s="382" t="s">
        <v>534</v>
      </c>
      <c r="H88" s="1393"/>
      <c r="I88" s="211"/>
      <c r="J88" s="211"/>
      <c r="K88" s="211"/>
      <c r="L88" s="202"/>
      <c r="M88" s="202"/>
      <c r="N88" s="87"/>
      <c r="O88" s="87"/>
    </row>
    <row r="89" spans="1:18" ht="18" customHeight="1" x14ac:dyDescent="0.35">
      <c r="A89" t="s">
        <v>597</v>
      </c>
      <c r="B89" s="382">
        <v>840</v>
      </c>
      <c r="C89" s="393" t="s">
        <v>598</v>
      </c>
      <c r="D89" s="331"/>
      <c r="E89" s="394"/>
      <c r="F89" s="395"/>
      <c r="G89" s="396" t="s">
        <v>534</v>
      </c>
      <c r="H89" s="1393"/>
      <c r="I89" s="94"/>
      <c r="J89" s="96"/>
      <c r="K89" s="94"/>
      <c r="L89" s="68"/>
      <c r="M89" s="68"/>
      <c r="N89" s="94"/>
      <c r="O89" s="94"/>
      <c r="P89" s="345"/>
      <c r="Q89" s="345"/>
      <c r="R89" s="345"/>
    </row>
    <row r="90" spans="1:18" ht="18" customHeight="1" x14ac:dyDescent="0.35">
      <c r="A90" t="s">
        <v>599</v>
      </c>
      <c r="B90" s="220">
        <v>843</v>
      </c>
      <c r="C90" s="1394"/>
      <c r="D90" s="972"/>
      <c r="E90" s="973"/>
      <c r="F90" s="974"/>
      <c r="G90" s="975"/>
      <c r="H90" s="1393"/>
      <c r="I90" s="94"/>
      <c r="J90" s="96"/>
      <c r="K90" s="94"/>
      <c r="L90" s="68"/>
      <c r="M90" s="68"/>
      <c r="N90" s="94"/>
      <c r="O90" s="94"/>
      <c r="P90" s="345"/>
      <c r="Q90" s="345"/>
      <c r="R90" s="345"/>
    </row>
    <row r="91" spans="1:18" ht="18" customHeight="1" x14ac:dyDescent="0.35">
      <c r="A91" t="s">
        <v>600</v>
      </c>
      <c r="B91" s="220">
        <v>844</v>
      </c>
      <c r="C91" s="1395"/>
      <c r="D91" s="972"/>
      <c r="E91" s="972"/>
      <c r="F91" s="972"/>
      <c r="G91" s="976"/>
      <c r="H91" s="1393"/>
      <c r="I91" s="211"/>
      <c r="J91" s="211"/>
      <c r="K91" s="211"/>
      <c r="L91" s="202"/>
      <c r="M91" s="202"/>
      <c r="N91" s="87"/>
      <c r="O91" s="87"/>
    </row>
    <row r="92" spans="1:18" ht="18" customHeight="1" x14ac:dyDescent="0.35">
      <c r="A92" t="s">
        <v>601</v>
      </c>
      <c r="B92" s="220">
        <v>845</v>
      </c>
      <c r="C92" s="1395"/>
      <c r="D92" s="972"/>
      <c r="E92" s="972"/>
      <c r="F92" s="972"/>
      <c r="G92" s="976"/>
      <c r="H92" s="1393"/>
      <c r="I92" s="211"/>
      <c r="J92" s="211"/>
      <c r="K92" s="211"/>
      <c r="L92" s="202"/>
      <c r="M92" s="202"/>
      <c r="N92" s="87"/>
      <c r="O92" s="87"/>
    </row>
    <row r="93" spans="1:18" ht="18" customHeight="1" x14ac:dyDescent="0.35">
      <c r="A93" t="s">
        <v>602</v>
      </c>
      <c r="B93" s="220">
        <v>846</v>
      </c>
      <c r="C93" s="1395"/>
      <c r="D93" s="972"/>
      <c r="E93" s="972"/>
      <c r="F93" s="972"/>
      <c r="G93" s="976"/>
      <c r="H93" s="1393"/>
      <c r="I93" s="211"/>
      <c r="J93" s="211"/>
      <c r="K93" s="211"/>
      <c r="L93" s="202"/>
      <c r="M93" s="202"/>
      <c r="N93" s="87"/>
      <c r="O93" s="87"/>
    </row>
    <row r="94" spans="1:18" ht="18" customHeight="1" x14ac:dyDescent="0.35">
      <c r="A94" t="s">
        <v>603</v>
      </c>
      <c r="B94" s="220">
        <v>847</v>
      </c>
      <c r="C94" s="1395"/>
      <c r="D94" s="972"/>
      <c r="E94" s="972"/>
      <c r="F94" s="972"/>
      <c r="G94" s="976"/>
      <c r="H94" s="1393"/>
      <c r="I94" s="211"/>
      <c r="J94" s="211"/>
      <c r="K94" s="211"/>
      <c r="L94" s="202"/>
      <c r="M94" s="202"/>
      <c r="N94" s="87"/>
      <c r="O94" s="87"/>
    </row>
    <row r="95" spans="1:18" ht="18" customHeight="1" x14ac:dyDescent="0.35">
      <c r="A95" t="s">
        <v>604</v>
      </c>
      <c r="B95" s="220">
        <v>848</v>
      </c>
      <c r="C95" s="1395"/>
      <c r="D95" s="972"/>
      <c r="E95" s="972"/>
      <c r="F95" s="972"/>
      <c r="G95" s="976"/>
      <c r="H95" s="1393"/>
      <c r="I95" s="211"/>
      <c r="J95" s="211"/>
      <c r="K95" s="211"/>
      <c r="L95" s="202"/>
      <c r="M95" s="202"/>
      <c r="N95" s="87"/>
      <c r="O95" s="87"/>
    </row>
    <row r="96" spans="1:18" ht="18" customHeight="1" x14ac:dyDescent="0.35">
      <c r="A96" t="s">
        <v>605</v>
      </c>
      <c r="B96" s="220">
        <v>849</v>
      </c>
      <c r="C96" s="1395"/>
      <c r="D96" s="972"/>
      <c r="E96" s="972"/>
      <c r="F96" s="972"/>
      <c r="G96" s="976"/>
      <c r="H96" s="1393"/>
      <c r="I96" s="211"/>
      <c r="J96" s="211"/>
      <c r="K96" s="211"/>
      <c r="L96" s="202"/>
      <c r="M96" s="202"/>
      <c r="N96" s="87"/>
      <c r="O96" s="87"/>
    </row>
    <row r="97" spans="1:15" ht="18" customHeight="1" x14ac:dyDescent="0.35">
      <c r="A97" t="s">
        <v>606</v>
      </c>
      <c r="B97" s="220">
        <v>850</v>
      </c>
      <c r="C97" s="1395"/>
      <c r="D97" s="972"/>
      <c r="E97" s="972"/>
      <c r="F97" s="972"/>
      <c r="G97" s="976"/>
      <c r="H97" s="1393"/>
      <c r="I97" s="211"/>
      <c r="J97" s="211"/>
      <c r="K97" s="211"/>
      <c r="L97" s="202"/>
      <c r="M97" s="202"/>
      <c r="N97" s="87"/>
      <c r="O97" s="87"/>
    </row>
    <row r="98" spans="1:15" ht="18" customHeight="1" x14ac:dyDescent="0.35">
      <c r="A98" t="s">
        <v>607</v>
      </c>
      <c r="B98" s="220">
        <v>851</v>
      </c>
      <c r="C98" s="1395"/>
      <c r="D98" s="972"/>
      <c r="E98" s="972"/>
      <c r="F98" s="972"/>
      <c r="G98" s="976"/>
      <c r="H98" s="1393"/>
      <c r="I98" s="211"/>
      <c r="J98" s="211"/>
      <c r="K98" s="211"/>
      <c r="L98" s="202"/>
      <c r="M98" s="202"/>
      <c r="N98" s="87"/>
      <c r="O98" s="87"/>
    </row>
    <row r="99" spans="1:15" ht="18" customHeight="1" x14ac:dyDescent="0.35">
      <c r="A99" t="s">
        <v>608</v>
      </c>
      <c r="B99" s="220">
        <v>852</v>
      </c>
      <c r="C99" s="1395"/>
      <c r="D99" s="972"/>
      <c r="E99" s="972"/>
      <c r="F99" s="972"/>
      <c r="G99" s="976"/>
      <c r="H99" s="1393"/>
      <c r="I99" s="211"/>
      <c r="J99" s="211"/>
      <c r="K99" s="211"/>
      <c r="L99" s="202"/>
      <c r="M99" s="202"/>
      <c r="N99" s="87"/>
      <c r="O99" s="87"/>
    </row>
    <row r="100" spans="1:15" ht="18" customHeight="1" x14ac:dyDescent="0.35">
      <c r="A100" t="s">
        <v>609</v>
      </c>
      <c r="B100" s="220">
        <v>853</v>
      </c>
      <c r="C100" s="1395"/>
      <c r="D100" s="972"/>
      <c r="E100" s="972"/>
      <c r="F100" s="972"/>
      <c r="G100" s="976"/>
      <c r="H100" s="1393"/>
      <c r="I100" s="211"/>
      <c r="J100" s="211"/>
      <c r="K100" s="211"/>
      <c r="L100" s="202"/>
      <c r="M100" s="202"/>
      <c r="N100" s="87"/>
      <c r="O100" s="87"/>
    </row>
    <row r="101" spans="1:15" ht="18" customHeight="1" x14ac:dyDescent="0.35">
      <c r="A101" t="s">
        <v>610</v>
      </c>
      <c r="B101" s="220">
        <v>854</v>
      </c>
      <c r="C101" s="1395"/>
      <c r="D101" s="972"/>
      <c r="E101" s="972"/>
      <c r="F101" s="972"/>
      <c r="G101" s="976"/>
      <c r="H101" s="1393"/>
      <c r="I101" s="211"/>
      <c r="J101" s="211"/>
      <c r="K101" s="211"/>
      <c r="L101" s="202"/>
      <c r="M101" s="202"/>
      <c r="N101" s="87"/>
      <c r="O101" s="87"/>
    </row>
    <row r="102" spans="1:15" ht="18" customHeight="1" x14ac:dyDescent="0.35">
      <c r="A102" t="s">
        <v>611</v>
      </c>
      <c r="B102" s="220">
        <v>855</v>
      </c>
      <c r="C102" s="1395"/>
      <c r="D102" s="972"/>
      <c r="E102" s="972"/>
      <c r="F102" s="972"/>
      <c r="G102" s="976"/>
      <c r="H102" s="1393"/>
      <c r="I102" s="211"/>
      <c r="J102" s="211"/>
      <c r="K102" s="211"/>
      <c r="L102" s="202"/>
      <c r="M102" s="202"/>
      <c r="N102" s="87"/>
      <c r="O102" s="87"/>
    </row>
    <row r="103" spans="1:15" ht="18" customHeight="1" x14ac:dyDescent="0.35">
      <c r="A103" t="s">
        <v>612</v>
      </c>
      <c r="B103" s="220">
        <v>856</v>
      </c>
      <c r="C103" s="1395"/>
      <c r="D103" s="972"/>
      <c r="E103" s="972"/>
      <c r="F103" s="972"/>
      <c r="G103" s="976"/>
      <c r="H103" s="1393"/>
      <c r="I103" s="211"/>
      <c r="J103" s="211"/>
      <c r="K103" s="211"/>
      <c r="L103" s="202"/>
      <c r="M103" s="202"/>
      <c r="N103" s="87"/>
      <c r="O103" s="87"/>
    </row>
    <row r="104" spans="1:15" ht="18" customHeight="1" x14ac:dyDescent="0.35">
      <c r="A104" t="s">
        <v>613</v>
      </c>
      <c r="B104" s="220">
        <v>857</v>
      </c>
      <c r="C104" s="1395"/>
      <c r="D104" s="972"/>
      <c r="E104" s="972"/>
      <c r="F104" s="972"/>
      <c r="G104" s="976"/>
      <c r="H104" s="1393"/>
      <c r="I104" s="211"/>
      <c r="J104" s="211"/>
      <c r="K104" s="211"/>
      <c r="L104" s="202"/>
      <c r="M104" s="202"/>
      <c r="N104" s="87"/>
      <c r="O104" s="87"/>
    </row>
    <row r="105" spans="1:15" ht="18" customHeight="1" x14ac:dyDescent="0.35">
      <c r="A105" t="s">
        <v>614</v>
      </c>
      <c r="B105" s="220">
        <v>858</v>
      </c>
      <c r="C105" s="1395"/>
      <c r="D105" s="972"/>
      <c r="E105" s="972"/>
      <c r="F105" s="972"/>
      <c r="G105" s="976"/>
      <c r="H105" s="1393"/>
      <c r="I105" s="211"/>
      <c r="J105" s="211"/>
      <c r="K105" s="211"/>
      <c r="L105" s="202"/>
      <c r="M105" s="202"/>
      <c r="N105" s="87"/>
      <c r="O105" s="87"/>
    </row>
    <row r="106" spans="1:15" ht="18" customHeight="1" x14ac:dyDescent="0.35">
      <c r="A106" t="s">
        <v>615</v>
      </c>
      <c r="B106" s="220">
        <v>859</v>
      </c>
      <c r="C106" s="1395"/>
      <c r="D106" s="972"/>
      <c r="E106" s="972"/>
      <c r="F106" s="972"/>
      <c r="G106" s="976"/>
      <c r="H106" s="1393"/>
      <c r="I106" s="211"/>
      <c r="J106" s="211"/>
      <c r="K106" s="211"/>
      <c r="L106" s="202"/>
      <c r="M106" s="202"/>
      <c r="N106" s="87"/>
      <c r="O106" s="87"/>
    </row>
    <row r="107" spans="1:15" ht="18" customHeight="1" x14ac:dyDescent="0.35">
      <c r="A107" t="s">
        <v>616</v>
      </c>
      <c r="B107" s="220">
        <v>860</v>
      </c>
      <c r="C107" s="1395"/>
      <c r="D107" s="972"/>
      <c r="E107" s="972"/>
      <c r="F107" s="972"/>
      <c r="G107" s="976"/>
      <c r="H107" s="1393"/>
      <c r="I107" s="211"/>
      <c r="J107" s="211"/>
      <c r="K107" s="211"/>
      <c r="L107" s="202"/>
      <c r="M107" s="202"/>
      <c r="N107" s="87"/>
      <c r="O107" s="87"/>
    </row>
    <row r="108" spans="1:15" ht="18" customHeight="1" x14ac:dyDescent="0.35">
      <c r="A108" t="s">
        <v>617</v>
      </c>
      <c r="B108" s="220">
        <v>861</v>
      </c>
      <c r="C108" s="1395"/>
      <c r="D108" s="972"/>
      <c r="E108" s="972"/>
      <c r="F108" s="972"/>
      <c r="G108" s="976"/>
      <c r="H108" s="1393"/>
      <c r="I108" s="211"/>
      <c r="J108" s="211"/>
      <c r="K108" s="211"/>
      <c r="L108" s="202"/>
      <c r="M108" s="202"/>
      <c r="N108" s="87"/>
      <c r="O108" s="87"/>
    </row>
    <row r="109" spans="1:15" ht="18" customHeight="1" x14ac:dyDescent="0.35">
      <c r="A109" t="s">
        <v>618</v>
      </c>
      <c r="B109" s="220">
        <v>862</v>
      </c>
      <c r="C109" s="1395"/>
      <c r="D109" s="972"/>
      <c r="E109" s="972"/>
      <c r="F109" s="972"/>
      <c r="G109" s="976"/>
      <c r="H109" s="1393"/>
      <c r="I109" s="211"/>
      <c r="J109" s="211"/>
      <c r="K109" s="211"/>
      <c r="L109" s="202"/>
      <c r="M109" s="202"/>
      <c r="N109" s="87"/>
      <c r="O109" s="87"/>
    </row>
    <row r="110" spans="1:15" ht="18" customHeight="1" x14ac:dyDescent="0.35">
      <c r="A110" t="s">
        <v>619</v>
      </c>
      <c r="B110" s="220">
        <v>863</v>
      </c>
      <c r="C110" s="1395"/>
      <c r="D110" s="972"/>
      <c r="E110" s="972"/>
      <c r="F110" s="972"/>
      <c r="G110" s="976"/>
      <c r="H110" s="1393"/>
      <c r="I110" s="211"/>
      <c r="J110" s="211"/>
      <c r="K110" s="211"/>
      <c r="L110" s="202"/>
      <c r="M110" s="202"/>
      <c r="N110" s="87"/>
      <c r="O110" s="87"/>
    </row>
    <row r="111" spans="1:15" ht="18" customHeight="1" x14ac:dyDescent="0.35">
      <c r="A111" t="s">
        <v>620</v>
      </c>
      <c r="B111" s="220">
        <v>864</v>
      </c>
      <c r="C111" s="1395"/>
      <c r="D111" s="972"/>
      <c r="E111" s="972"/>
      <c r="F111" s="972"/>
      <c r="G111" s="976"/>
      <c r="H111" s="1393"/>
      <c r="I111" s="211"/>
      <c r="J111" s="211"/>
      <c r="K111" s="211"/>
      <c r="L111" s="202"/>
      <c r="M111" s="202"/>
      <c r="N111" s="87"/>
      <c r="O111" s="87"/>
    </row>
    <row r="112" spans="1:15" ht="18" customHeight="1" x14ac:dyDescent="0.35">
      <c r="A112" t="s">
        <v>621</v>
      </c>
      <c r="B112" s="220">
        <v>865</v>
      </c>
      <c r="C112" s="1395"/>
      <c r="D112" s="972"/>
      <c r="E112" s="972"/>
      <c r="F112" s="972"/>
      <c r="G112" s="976"/>
      <c r="H112" s="1393"/>
      <c r="I112" s="211"/>
      <c r="J112" s="211"/>
      <c r="K112" s="211"/>
      <c r="L112" s="202"/>
      <c r="M112" s="202"/>
      <c r="N112" s="87"/>
      <c r="O112" s="87"/>
    </row>
    <row r="113" spans="1:15" ht="18" customHeight="1" x14ac:dyDescent="0.35">
      <c r="A113" t="s">
        <v>622</v>
      </c>
      <c r="B113" s="220">
        <v>866</v>
      </c>
      <c r="C113" s="1395"/>
      <c r="D113" s="972"/>
      <c r="E113" s="972"/>
      <c r="F113" s="972"/>
      <c r="G113" s="976"/>
      <c r="H113" s="1393"/>
      <c r="I113" s="211"/>
      <c r="J113" s="211"/>
      <c r="K113" s="211"/>
      <c r="L113" s="202"/>
      <c r="M113" s="202"/>
      <c r="N113" s="87"/>
      <c r="O113" s="87"/>
    </row>
    <row r="114" spans="1:15" ht="18" customHeight="1" x14ac:dyDescent="0.35">
      <c r="A114" t="s">
        <v>623</v>
      </c>
      <c r="B114" s="220">
        <v>867</v>
      </c>
      <c r="C114" s="1395"/>
      <c r="D114" s="972"/>
      <c r="E114" s="972"/>
      <c r="F114" s="972"/>
      <c r="G114" s="976"/>
      <c r="H114" s="1393"/>
      <c r="I114" s="211"/>
      <c r="J114" s="211"/>
      <c r="K114" s="211"/>
      <c r="L114" s="202"/>
      <c r="M114" s="202"/>
      <c r="N114" s="87"/>
      <c r="O114" s="87"/>
    </row>
    <row r="115" spans="1:15" ht="18" customHeight="1" x14ac:dyDescent="0.35">
      <c r="A115" t="s">
        <v>624</v>
      </c>
      <c r="B115" s="220">
        <v>868</v>
      </c>
      <c r="C115" s="1395"/>
      <c r="D115" s="972"/>
      <c r="E115" s="972"/>
      <c r="F115" s="972"/>
      <c r="G115" s="976"/>
      <c r="H115" s="1393"/>
      <c r="I115" s="211"/>
      <c r="J115" s="211"/>
      <c r="K115" s="211"/>
      <c r="L115" s="202"/>
      <c r="M115" s="202"/>
      <c r="N115" s="87"/>
      <c r="O115" s="87"/>
    </row>
    <row r="116" spans="1:15" ht="18" customHeight="1" x14ac:dyDescent="0.35">
      <c r="A116" t="s">
        <v>625</v>
      </c>
      <c r="B116" s="220">
        <v>869</v>
      </c>
      <c r="C116" s="1395"/>
      <c r="D116" s="972"/>
      <c r="E116" s="972"/>
      <c r="F116" s="972"/>
      <c r="G116" s="976"/>
      <c r="H116" s="1393"/>
      <c r="I116" s="211"/>
      <c r="J116" s="211"/>
      <c r="K116" s="211"/>
      <c r="L116" s="202"/>
      <c r="M116" s="202"/>
      <c r="N116" s="87"/>
      <c r="O116" s="87"/>
    </row>
    <row r="117" spans="1:15" ht="18" customHeight="1" x14ac:dyDescent="0.35">
      <c r="A117" s="938" t="s">
        <v>626</v>
      </c>
      <c r="B117" s="220">
        <v>870</v>
      </c>
      <c r="C117" s="1395"/>
      <c r="D117" s="972"/>
      <c r="E117" s="972"/>
      <c r="F117" s="972"/>
      <c r="G117" s="976"/>
      <c r="H117" s="1393"/>
      <c r="I117" s="211"/>
      <c r="J117" s="211"/>
      <c r="K117" s="211"/>
      <c r="L117" s="202"/>
      <c r="M117" s="202"/>
      <c r="N117" s="87"/>
      <c r="O117" s="87"/>
    </row>
    <row r="118" spans="1:15" ht="18" customHeight="1" x14ac:dyDescent="0.35">
      <c r="A118" s="700" t="s">
        <v>627</v>
      </c>
      <c r="B118" s="220">
        <v>871</v>
      </c>
      <c r="C118" s="1395"/>
      <c r="D118" s="972"/>
      <c r="E118" s="972"/>
      <c r="F118" s="972"/>
      <c r="G118" s="976"/>
      <c r="H118" s="1393"/>
      <c r="I118" s="211"/>
      <c r="J118" s="211"/>
      <c r="K118" s="211"/>
      <c r="L118" s="202"/>
      <c r="M118" s="202"/>
      <c r="N118" s="87"/>
      <c r="O118" s="87"/>
    </row>
    <row r="119" spans="1:15" ht="18" customHeight="1" x14ac:dyDescent="0.35">
      <c r="A119" s="700" t="s">
        <v>628</v>
      </c>
      <c r="B119" s="220">
        <v>872</v>
      </c>
      <c r="C119" s="1395"/>
      <c r="D119" s="972"/>
      <c r="E119" s="972"/>
      <c r="F119" s="972"/>
      <c r="G119" s="976"/>
      <c r="H119" s="1393"/>
      <c r="I119" s="211"/>
      <c r="J119" s="211"/>
      <c r="K119" s="211"/>
      <c r="L119" s="202"/>
      <c r="M119" s="202"/>
      <c r="N119" s="87"/>
      <c r="O119" s="87"/>
    </row>
    <row r="120" spans="1:15" ht="18" customHeight="1" x14ac:dyDescent="0.35">
      <c r="A120" s="700" t="s">
        <v>629</v>
      </c>
      <c r="B120" s="220">
        <v>873</v>
      </c>
      <c r="C120" s="1395"/>
      <c r="D120" s="972"/>
      <c r="E120" s="972"/>
      <c r="F120" s="972"/>
      <c r="G120" s="976"/>
      <c r="H120" s="1393"/>
      <c r="I120" s="211"/>
      <c r="J120" s="211"/>
      <c r="K120" s="211"/>
      <c r="L120" s="202"/>
      <c r="M120" s="202"/>
      <c r="N120" s="87"/>
      <c r="O120" s="87"/>
    </row>
    <row r="121" spans="1:15" ht="18" customHeight="1" x14ac:dyDescent="0.35">
      <c r="A121" s="700" t="s">
        <v>630</v>
      </c>
      <c r="B121" s="220">
        <v>874</v>
      </c>
      <c r="C121" s="1395"/>
      <c r="D121" s="972"/>
      <c r="E121" s="972"/>
      <c r="F121" s="972"/>
      <c r="G121" s="976"/>
      <c r="H121" s="1393"/>
      <c r="I121" s="211"/>
      <c r="J121" s="211"/>
      <c r="K121" s="211"/>
      <c r="L121" s="202"/>
      <c r="M121" s="202"/>
      <c r="N121" s="87"/>
      <c r="O121" s="87"/>
    </row>
    <row r="122" spans="1:15" ht="18" customHeight="1" x14ac:dyDescent="0.35">
      <c r="A122" s="700" t="s">
        <v>631</v>
      </c>
      <c r="B122" s="220">
        <v>875</v>
      </c>
      <c r="C122" s="1395"/>
      <c r="D122" s="972"/>
      <c r="E122" s="972"/>
      <c r="F122" s="972"/>
      <c r="G122" s="976"/>
      <c r="H122" s="1393"/>
      <c r="I122" s="211"/>
      <c r="J122" s="211"/>
      <c r="K122" s="211"/>
      <c r="L122" s="202"/>
      <c r="M122" s="202"/>
      <c r="N122" s="87"/>
      <c r="O122" s="87"/>
    </row>
    <row r="123" spans="1:15" ht="18" customHeight="1" x14ac:dyDescent="0.35">
      <c r="A123" s="700" t="s">
        <v>632</v>
      </c>
      <c r="B123" s="220">
        <v>876</v>
      </c>
      <c r="C123" s="1395"/>
      <c r="D123" s="972"/>
      <c r="E123" s="972"/>
      <c r="F123" s="972"/>
      <c r="G123" s="976"/>
      <c r="H123" s="1393"/>
      <c r="I123" s="211"/>
      <c r="J123" s="211"/>
      <c r="K123" s="211"/>
      <c r="L123" s="202"/>
      <c r="M123" s="202"/>
      <c r="N123" s="87"/>
      <c r="O123" s="87"/>
    </row>
    <row r="124" spans="1:15" ht="18" customHeight="1" x14ac:dyDescent="0.35">
      <c r="A124" s="700" t="s">
        <v>633</v>
      </c>
      <c r="B124" s="220">
        <v>877</v>
      </c>
      <c r="C124" s="1395"/>
      <c r="D124" s="972"/>
      <c r="E124" s="972"/>
      <c r="F124" s="972"/>
      <c r="G124" s="976"/>
      <c r="H124" s="1393"/>
      <c r="I124" s="211"/>
      <c r="J124" s="211"/>
      <c r="K124" s="211"/>
      <c r="L124" s="202"/>
      <c r="M124" s="202"/>
      <c r="N124" s="87"/>
      <c r="O124" s="87"/>
    </row>
    <row r="125" spans="1:15" ht="18" customHeight="1" x14ac:dyDescent="0.35">
      <c r="A125" s="700" t="s">
        <v>634</v>
      </c>
      <c r="B125" s="220">
        <v>878</v>
      </c>
      <c r="C125" s="1395"/>
      <c r="D125" s="972"/>
      <c r="E125" s="972"/>
      <c r="F125" s="972"/>
      <c r="G125" s="976"/>
      <c r="H125" s="1393"/>
      <c r="I125" s="211"/>
      <c r="J125" s="211"/>
      <c r="K125" s="211"/>
      <c r="L125" s="202"/>
      <c r="M125" s="202"/>
      <c r="N125" s="87"/>
      <c r="O125" s="87"/>
    </row>
    <row r="126" spans="1:15" ht="18" customHeight="1" x14ac:dyDescent="0.35">
      <c r="A126" s="700" t="s">
        <v>635</v>
      </c>
      <c r="B126" s="220">
        <v>879</v>
      </c>
      <c r="C126" s="1395"/>
      <c r="D126" s="972"/>
      <c r="E126" s="972"/>
      <c r="F126" s="972"/>
      <c r="G126" s="976"/>
      <c r="H126" s="1393"/>
      <c r="I126" s="211"/>
      <c r="J126" s="211"/>
      <c r="K126" s="211"/>
      <c r="L126" s="202"/>
      <c r="M126" s="202"/>
      <c r="N126" s="87"/>
      <c r="O126" s="87"/>
    </row>
    <row r="127" spans="1:15" ht="18" customHeight="1" x14ac:dyDescent="0.35">
      <c r="A127" s="700" t="s">
        <v>636</v>
      </c>
      <c r="B127" s="220">
        <v>880</v>
      </c>
      <c r="C127" s="1395"/>
      <c r="D127" s="972"/>
      <c r="E127" s="972"/>
      <c r="F127" s="972"/>
      <c r="G127" s="976"/>
      <c r="H127" s="1393"/>
      <c r="I127" s="211"/>
      <c r="J127" s="211"/>
      <c r="K127" s="211"/>
      <c r="L127" s="202"/>
      <c r="M127" s="202"/>
      <c r="N127" s="87"/>
      <c r="O127" s="87"/>
    </row>
    <row r="128" spans="1:15" ht="18" customHeight="1" x14ac:dyDescent="0.35">
      <c r="A128" s="700" t="s">
        <v>637</v>
      </c>
      <c r="B128" s="220">
        <v>881</v>
      </c>
      <c r="C128" s="1395"/>
      <c r="D128" s="972"/>
      <c r="E128" s="972"/>
      <c r="F128" s="972"/>
      <c r="G128" s="976"/>
      <c r="H128" s="1393"/>
      <c r="I128" s="211"/>
      <c r="J128" s="211"/>
      <c r="K128" s="211"/>
      <c r="L128" s="202"/>
      <c r="M128" s="202"/>
      <c r="N128" s="87"/>
      <c r="O128" s="87"/>
    </row>
    <row r="129" spans="1:15" ht="18" customHeight="1" x14ac:dyDescent="0.35">
      <c r="A129" s="700" t="s">
        <v>638</v>
      </c>
      <c r="B129" s="220">
        <v>882</v>
      </c>
      <c r="C129" s="1395"/>
      <c r="D129" s="972"/>
      <c r="E129" s="972"/>
      <c r="F129" s="972"/>
      <c r="G129" s="976"/>
      <c r="H129" s="1393"/>
      <c r="I129" s="211"/>
      <c r="J129" s="211"/>
      <c r="K129" s="211"/>
      <c r="L129" s="202"/>
      <c r="M129" s="202"/>
      <c r="N129" s="87"/>
      <c r="O129" s="87"/>
    </row>
    <row r="130" spans="1:15" ht="18" customHeight="1" x14ac:dyDescent="0.35">
      <c r="A130" s="700" t="s">
        <v>639</v>
      </c>
      <c r="B130" s="220">
        <v>883</v>
      </c>
      <c r="C130" s="1395"/>
      <c r="D130" s="972"/>
      <c r="E130" s="972"/>
      <c r="F130" s="972"/>
      <c r="G130" s="976"/>
      <c r="H130" s="1393"/>
      <c r="I130" s="211"/>
      <c r="J130" s="211"/>
      <c r="K130" s="211"/>
      <c r="L130" s="202"/>
      <c r="M130" s="202"/>
      <c r="N130" s="87"/>
      <c r="O130" s="87"/>
    </row>
    <row r="131" spans="1:15" ht="18" customHeight="1" x14ac:dyDescent="0.35">
      <c r="A131" s="700" t="s">
        <v>640</v>
      </c>
      <c r="B131" s="220">
        <v>884</v>
      </c>
      <c r="C131" s="1395"/>
      <c r="D131" s="972"/>
      <c r="E131" s="972"/>
      <c r="F131" s="972"/>
      <c r="G131" s="976"/>
      <c r="H131" s="1393"/>
      <c r="I131" s="211"/>
      <c r="J131" s="211"/>
      <c r="K131" s="211"/>
      <c r="L131" s="202"/>
      <c r="M131" s="202"/>
      <c r="N131" s="87"/>
      <c r="O131" s="87"/>
    </row>
    <row r="132" spans="1:15" ht="18" customHeight="1" x14ac:dyDescent="0.35">
      <c r="A132" s="700" t="s">
        <v>641</v>
      </c>
      <c r="B132" s="220">
        <v>885</v>
      </c>
      <c r="C132" s="1395"/>
      <c r="D132" s="972"/>
      <c r="E132" s="972"/>
      <c r="F132" s="972"/>
      <c r="G132" s="976"/>
      <c r="H132" s="1393"/>
      <c r="I132" s="211"/>
      <c r="J132" s="211"/>
      <c r="K132" s="211"/>
      <c r="L132" s="202"/>
      <c r="M132" s="202"/>
      <c r="N132" s="87"/>
      <c r="O132" s="87"/>
    </row>
    <row r="133" spans="1:15" ht="18" customHeight="1" x14ac:dyDescent="0.35">
      <c r="A133" s="700" t="s">
        <v>642</v>
      </c>
      <c r="B133" s="220">
        <v>886</v>
      </c>
      <c r="C133" s="1395"/>
      <c r="D133" s="972"/>
      <c r="E133" s="972"/>
      <c r="F133" s="972"/>
      <c r="G133" s="976"/>
      <c r="H133" s="1393"/>
      <c r="I133" s="211"/>
      <c r="J133" s="211"/>
      <c r="K133" s="211"/>
      <c r="L133" s="202"/>
      <c r="M133" s="202"/>
      <c r="N133" s="87"/>
      <c r="O133" s="87"/>
    </row>
    <row r="134" spans="1:15" ht="18" customHeight="1" x14ac:dyDescent="0.35">
      <c r="A134" s="700" t="s">
        <v>643</v>
      </c>
      <c r="B134" s="220">
        <v>887</v>
      </c>
      <c r="C134" s="1395"/>
      <c r="D134" s="972"/>
      <c r="E134" s="972"/>
      <c r="F134" s="972"/>
      <c r="G134" s="976"/>
      <c r="H134" s="1393"/>
      <c r="I134" s="211"/>
      <c r="J134" s="211"/>
      <c r="K134" s="211"/>
      <c r="L134" s="202"/>
      <c r="M134" s="202"/>
      <c r="N134" s="87"/>
      <c r="O134" s="87"/>
    </row>
    <row r="135" spans="1:15" ht="18" customHeight="1" x14ac:dyDescent="0.35">
      <c r="A135" s="700" t="s">
        <v>644</v>
      </c>
      <c r="B135" s="220">
        <v>888</v>
      </c>
      <c r="C135" s="1395"/>
      <c r="D135" s="972"/>
      <c r="E135" s="972"/>
      <c r="F135" s="972"/>
      <c r="G135" s="976"/>
      <c r="H135" s="1393"/>
      <c r="I135" s="211"/>
      <c r="J135" s="211"/>
      <c r="K135" s="211"/>
      <c r="L135" s="202"/>
      <c r="M135" s="202"/>
      <c r="N135" s="87"/>
      <c r="O135" s="87"/>
    </row>
    <row r="136" spans="1:15" ht="18" customHeight="1" x14ac:dyDescent="0.35">
      <c r="A136" s="700" t="s">
        <v>645</v>
      </c>
      <c r="B136" s="220">
        <v>889</v>
      </c>
      <c r="C136" s="1395"/>
      <c r="D136" s="972"/>
      <c r="E136" s="972"/>
      <c r="F136" s="972"/>
      <c r="G136" s="976"/>
      <c r="H136" s="1393"/>
      <c r="I136" s="211"/>
      <c r="J136" s="211"/>
      <c r="K136" s="211"/>
      <c r="L136" s="202"/>
      <c r="M136" s="202"/>
      <c r="N136" s="87"/>
      <c r="O136" s="87"/>
    </row>
    <row r="137" spans="1:15" ht="18" customHeight="1" x14ac:dyDescent="0.35">
      <c r="A137" s="700" t="s">
        <v>646</v>
      </c>
      <c r="B137" s="220">
        <v>890</v>
      </c>
      <c r="C137" s="1395"/>
      <c r="D137" s="972"/>
      <c r="E137" s="972"/>
      <c r="F137" s="972"/>
      <c r="G137" s="976"/>
      <c r="H137" s="1393"/>
      <c r="I137" s="211"/>
      <c r="J137" s="211"/>
      <c r="K137" s="211"/>
      <c r="L137" s="202"/>
      <c r="M137" s="202"/>
      <c r="N137" s="87"/>
      <c r="O137" s="87"/>
    </row>
    <row r="138" spans="1:15" ht="18" customHeight="1" x14ac:dyDescent="0.35">
      <c r="A138" s="700" t="s">
        <v>647</v>
      </c>
      <c r="B138" s="220">
        <v>891</v>
      </c>
      <c r="C138" s="1395"/>
      <c r="D138" s="972"/>
      <c r="E138" s="972"/>
      <c r="F138" s="972"/>
      <c r="G138" s="976"/>
      <c r="H138" s="1393"/>
      <c r="I138" s="211"/>
      <c r="J138" s="211"/>
      <c r="K138" s="211"/>
      <c r="L138" s="202"/>
      <c r="M138" s="202"/>
      <c r="N138" s="87"/>
      <c r="O138" s="87"/>
    </row>
    <row r="139" spans="1:15" ht="18" customHeight="1" x14ac:dyDescent="0.35">
      <c r="A139" s="700" t="s">
        <v>648</v>
      </c>
      <c r="B139" s="220">
        <v>892</v>
      </c>
      <c r="C139" s="1395"/>
      <c r="D139" s="972"/>
      <c r="E139" s="972"/>
      <c r="F139" s="972"/>
      <c r="G139" s="976"/>
      <c r="H139" s="1393"/>
      <c r="I139" s="211"/>
      <c r="J139" s="211"/>
      <c r="K139" s="211"/>
      <c r="L139" s="202"/>
      <c r="M139" s="202"/>
      <c r="N139" s="87"/>
      <c r="O139" s="87"/>
    </row>
    <row r="140" spans="1:15" ht="18" customHeight="1" x14ac:dyDescent="0.35">
      <c r="A140" s="700" t="s">
        <v>649</v>
      </c>
      <c r="B140" s="220">
        <v>893</v>
      </c>
      <c r="C140" s="1395"/>
      <c r="D140" s="972"/>
      <c r="E140" s="972"/>
      <c r="F140" s="972"/>
      <c r="G140" s="976"/>
      <c r="H140" s="1393"/>
      <c r="I140" s="211"/>
      <c r="J140" s="211"/>
      <c r="K140" s="211"/>
      <c r="L140" s="202"/>
      <c r="M140" s="202"/>
      <c r="N140" s="87"/>
      <c r="O140" s="87"/>
    </row>
    <row r="141" spans="1:15" ht="18" customHeight="1" x14ac:dyDescent="0.35">
      <c r="A141" s="700" t="s">
        <v>650</v>
      </c>
      <c r="B141" s="220">
        <v>894</v>
      </c>
      <c r="C141" s="1395"/>
      <c r="D141" s="972"/>
      <c r="E141" s="972"/>
      <c r="F141" s="972"/>
      <c r="G141" s="976"/>
      <c r="H141" s="1393"/>
      <c r="I141" s="211"/>
      <c r="J141" s="211"/>
      <c r="K141" s="211"/>
      <c r="L141" s="202"/>
      <c r="M141" s="202"/>
      <c r="N141" s="87"/>
      <c r="O141" s="87"/>
    </row>
    <row r="142" spans="1:15" ht="18" customHeight="1" x14ac:dyDescent="0.35">
      <c r="A142" s="700" t="s">
        <v>651</v>
      </c>
      <c r="B142" s="220">
        <v>895</v>
      </c>
      <c r="C142" s="1395"/>
      <c r="D142" s="972"/>
      <c r="E142" s="972"/>
      <c r="F142" s="972"/>
      <c r="G142" s="976"/>
      <c r="H142" s="1393"/>
      <c r="I142" s="211"/>
      <c r="J142" s="211"/>
      <c r="K142" s="211"/>
      <c r="L142" s="202"/>
      <c r="M142" s="202"/>
      <c r="N142" s="87"/>
      <c r="O142" s="87"/>
    </row>
    <row r="143" spans="1:15" ht="18" customHeight="1" x14ac:dyDescent="0.35">
      <c r="A143" s="700" t="s">
        <v>652</v>
      </c>
      <c r="B143" s="220">
        <v>896</v>
      </c>
      <c r="C143" s="1395"/>
      <c r="D143" s="972"/>
      <c r="E143" s="972"/>
      <c r="F143" s="972"/>
      <c r="G143" s="976"/>
      <c r="H143" s="1393"/>
      <c r="I143" s="211"/>
      <c r="J143" s="211"/>
      <c r="K143" s="211"/>
      <c r="L143" s="202"/>
      <c r="M143" s="202"/>
      <c r="N143" s="87"/>
      <c r="O143" s="87"/>
    </row>
    <row r="144" spans="1:15" ht="18" customHeight="1" x14ac:dyDescent="0.35">
      <c r="A144" s="700" t="s">
        <v>653</v>
      </c>
      <c r="B144" s="220">
        <v>897</v>
      </c>
      <c r="C144" s="1395"/>
      <c r="D144" s="972"/>
      <c r="E144" s="972"/>
      <c r="F144" s="972"/>
      <c r="G144" s="976"/>
      <c r="H144" s="1393"/>
      <c r="I144" s="211"/>
      <c r="J144" s="211"/>
      <c r="K144" s="211"/>
      <c r="L144" s="202"/>
      <c r="M144" s="202"/>
      <c r="N144" s="87"/>
      <c r="O144" s="87"/>
    </row>
    <row r="145" spans="1:15" ht="18" customHeight="1" x14ac:dyDescent="0.35">
      <c r="A145" t="s">
        <v>654</v>
      </c>
      <c r="B145" s="220">
        <v>898</v>
      </c>
      <c r="C145" s="1504" t="s">
        <v>655</v>
      </c>
      <c r="D145" s="1505"/>
      <c r="E145" s="1505"/>
      <c r="F145" s="1505"/>
      <c r="G145" s="385"/>
      <c r="H145" s="1393"/>
      <c r="I145" s="211"/>
      <c r="J145" s="211"/>
      <c r="K145" s="211"/>
      <c r="L145" s="202"/>
      <c r="M145" s="202"/>
      <c r="N145" s="87"/>
      <c r="O145" s="87"/>
    </row>
    <row r="146" spans="1:15" ht="18" customHeight="1" x14ac:dyDescent="0.35">
      <c r="A146" t="s">
        <v>656</v>
      </c>
      <c r="B146" s="225">
        <v>899</v>
      </c>
      <c r="C146" s="1507" t="s">
        <v>657</v>
      </c>
      <c r="D146" s="1508"/>
      <c r="E146" s="1508"/>
      <c r="F146" s="1508"/>
      <c r="G146" s="397"/>
      <c r="H146" s="1396">
        <f>SUM(H74:H145)</f>
        <v>0</v>
      </c>
      <c r="I146" s="211"/>
      <c r="J146" s="211"/>
      <c r="K146" s="211"/>
      <c r="L146" s="202"/>
      <c r="M146" s="202"/>
      <c r="N146" s="87"/>
      <c r="O146" s="87"/>
    </row>
    <row r="147" spans="1:15" ht="18" customHeight="1" x14ac:dyDescent="0.35">
      <c r="B147" s="212"/>
      <c r="C147" s="380"/>
      <c r="D147" s="147"/>
      <c r="E147" s="87"/>
      <c r="F147" s="87"/>
      <c r="G147" s="398"/>
      <c r="H147" s="211"/>
      <c r="I147" s="211"/>
      <c r="J147" s="211"/>
      <c r="K147" s="211"/>
      <c r="L147" s="202"/>
      <c r="M147" s="202"/>
      <c r="N147" s="87"/>
      <c r="O147" s="87"/>
    </row>
    <row r="148" spans="1:15" ht="18" customHeight="1" x14ac:dyDescent="0.35">
      <c r="B148" s="212"/>
      <c r="C148" s="380"/>
      <c r="D148" s="147"/>
      <c r="E148" s="87"/>
      <c r="F148" s="87"/>
      <c r="G148" s="398"/>
      <c r="H148" s="211"/>
      <c r="I148" s="211"/>
      <c r="J148" s="211"/>
      <c r="K148" s="211"/>
      <c r="L148" s="202"/>
      <c r="M148" s="202"/>
      <c r="N148" s="87"/>
      <c r="O148" s="87"/>
    </row>
    <row r="149" spans="1:15" ht="18" customHeight="1" x14ac:dyDescent="0.4">
      <c r="B149" s="217" t="s">
        <v>658</v>
      </c>
      <c r="C149" s="6"/>
      <c r="D149" s="147"/>
      <c r="E149" s="87"/>
      <c r="F149" s="87"/>
      <c r="G149" s="398"/>
      <c r="H149" s="211"/>
      <c r="I149" s="211"/>
      <c r="J149" s="211"/>
      <c r="K149" s="211"/>
      <c r="L149" s="202"/>
      <c r="M149" s="202"/>
      <c r="N149" s="87"/>
      <c r="O149" s="87"/>
    </row>
    <row r="150" spans="1:15" ht="18" customHeight="1" x14ac:dyDescent="0.4">
      <c r="B150" s="1054" t="s">
        <v>659</v>
      </c>
      <c r="C150" s="6"/>
      <c r="D150" s="147"/>
      <c r="E150" s="87"/>
      <c r="F150" s="87"/>
      <c r="G150" s="398"/>
      <c r="H150" s="211"/>
      <c r="I150" s="211"/>
      <c r="J150" s="211"/>
      <c r="K150" s="211"/>
      <c r="L150" s="202"/>
      <c r="M150" s="202"/>
      <c r="N150" s="87"/>
      <c r="O150" s="87"/>
    </row>
    <row r="151" spans="1:15" ht="18" customHeight="1" x14ac:dyDescent="0.35">
      <c r="B151" s="215" t="s">
        <v>660</v>
      </c>
      <c r="C151" s="444"/>
      <c r="D151" s="444"/>
      <c r="E151" s="136"/>
      <c r="F151" s="136"/>
      <c r="G151" s="225" t="s">
        <v>479</v>
      </c>
      <c r="H151" s="390" t="s">
        <v>60</v>
      </c>
      <c r="I151" s="211"/>
      <c r="J151" s="211"/>
      <c r="K151" s="211"/>
      <c r="L151" s="202"/>
      <c r="M151" s="202"/>
      <c r="N151" s="87"/>
      <c r="O151" s="87"/>
    </row>
    <row r="152" spans="1:15" ht="18" customHeight="1" x14ac:dyDescent="0.35">
      <c r="A152" t="s">
        <v>661</v>
      </c>
      <c r="B152" s="220">
        <v>901</v>
      </c>
      <c r="C152" s="88" t="s">
        <v>662</v>
      </c>
      <c r="D152" s="381"/>
      <c r="E152" s="381"/>
      <c r="F152" s="221"/>
      <c r="G152" s="220" t="s">
        <v>483</v>
      </c>
      <c r="H152" s="1393"/>
      <c r="I152" s="46"/>
      <c r="J152" s="218"/>
      <c r="K152" s="94"/>
      <c r="L152" s="210"/>
      <c r="M152" s="210"/>
      <c r="N152" s="87"/>
      <c r="O152" s="87"/>
    </row>
    <row r="153" spans="1:15" ht="18" customHeight="1" x14ac:dyDescent="0.35">
      <c r="A153" t="s">
        <v>663</v>
      </c>
      <c r="B153" s="220">
        <v>902</v>
      </c>
      <c r="C153" s="220" t="s">
        <v>664</v>
      </c>
      <c r="D153" s="381"/>
      <c r="E153" s="381"/>
      <c r="F153" s="221"/>
      <c r="G153" s="220" t="s">
        <v>511</v>
      </c>
      <c r="H153" s="1393"/>
      <c r="I153" s="95"/>
      <c r="J153" s="219"/>
      <c r="K153" s="94"/>
      <c r="L153" s="68"/>
      <c r="M153" s="68"/>
      <c r="N153" s="87"/>
      <c r="O153" s="87"/>
    </row>
    <row r="154" spans="1:15" ht="18" customHeight="1" x14ac:dyDescent="0.35">
      <c r="A154" t="s">
        <v>665</v>
      </c>
      <c r="B154" s="220">
        <v>906</v>
      </c>
      <c r="C154" s="220" t="s">
        <v>666</v>
      </c>
      <c r="D154" s="220"/>
      <c r="E154" s="221"/>
      <c r="F154" s="220"/>
      <c r="G154" s="220" t="s">
        <v>483</v>
      </c>
      <c r="H154" s="1393"/>
      <c r="I154" s="5"/>
      <c r="J154" s="5"/>
      <c r="K154" s="5"/>
      <c r="L154" s="202"/>
      <c r="M154" s="202"/>
      <c r="N154" s="87"/>
      <c r="O154" s="87"/>
    </row>
    <row r="155" spans="1:15" ht="18" customHeight="1" x14ac:dyDescent="0.3">
      <c r="A155" t="s">
        <v>667</v>
      </c>
      <c r="B155" s="220">
        <v>910</v>
      </c>
      <c r="C155" s="1397"/>
      <c r="D155" s="972"/>
      <c r="E155" s="972"/>
      <c r="F155" s="972"/>
      <c r="G155" s="976"/>
      <c r="H155" s="1393"/>
      <c r="I155" s="94"/>
      <c r="J155" s="52"/>
      <c r="K155" s="94"/>
      <c r="L155" s="94"/>
      <c r="M155" s="94"/>
      <c r="N155" s="87"/>
      <c r="O155" s="87"/>
    </row>
    <row r="156" spans="1:15" ht="18" customHeight="1" x14ac:dyDescent="0.25">
      <c r="A156" t="s">
        <v>668</v>
      </c>
      <c r="B156" s="220">
        <v>911</v>
      </c>
      <c r="C156" s="1395"/>
      <c r="D156" s="972"/>
      <c r="E156" s="972"/>
      <c r="F156" s="972"/>
      <c r="G156" s="976"/>
      <c r="H156" s="1393"/>
      <c r="I156" s="87"/>
      <c r="J156" s="87"/>
      <c r="K156" s="87"/>
      <c r="L156" s="87"/>
      <c r="M156" s="87"/>
      <c r="N156" s="87"/>
      <c r="O156" s="87"/>
    </row>
    <row r="157" spans="1:15" ht="18" customHeight="1" x14ac:dyDescent="0.25">
      <c r="A157" t="s">
        <v>669</v>
      </c>
      <c r="B157" s="220">
        <v>912</v>
      </c>
      <c r="C157" s="1395"/>
      <c r="D157" s="972"/>
      <c r="E157" s="972"/>
      <c r="F157" s="972"/>
      <c r="G157" s="976"/>
      <c r="H157" s="1393"/>
      <c r="I157" s="87"/>
      <c r="J157" s="87"/>
      <c r="K157" s="87"/>
      <c r="L157" s="87"/>
      <c r="M157" s="87"/>
      <c r="N157" s="87"/>
      <c r="O157" s="87"/>
    </row>
    <row r="158" spans="1:15" ht="18" customHeight="1" x14ac:dyDescent="0.25">
      <c r="A158" t="s">
        <v>670</v>
      </c>
      <c r="B158" s="220">
        <v>913</v>
      </c>
      <c r="C158" s="1395"/>
      <c r="D158" s="972"/>
      <c r="E158" s="972"/>
      <c r="F158" s="972"/>
      <c r="G158" s="976"/>
      <c r="H158" s="1393"/>
      <c r="I158" s="87"/>
      <c r="J158" s="87"/>
      <c r="K158" s="87"/>
      <c r="L158" s="87"/>
      <c r="M158" s="87"/>
      <c r="N158" s="87"/>
      <c r="O158" s="87"/>
    </row>
    <row r="159" spans="1:15" ht="18" customHeight="1" x14ac:dyDescent="0.25">
      <c r="A159" t="s">
        <v>671</v>
      </c>
      <c r="B159" s="220">
        <v>914</v>
      </c>
      <c r="C159" s="1395"/>
      <c r="D159" s="972"/>
      <c r="E159" s="972"/>
      <c r="F159" s="972"/>
      <c r="G159" s="976"/>
      <c r="H159" s="1393"/>
      <c r="I159" s="87"/>
      <c r="J159" s="87"/>
      <c r="K159" s="87"/>
      <c r="L159" s="87"/>
      <c r="M159" s="87"/>
      <c r="N159" s="87"/>
      <c r="O159" s="87"/>
    </row>
    <row r="160" spans="1:15" ht="18" customHeight="1" x14ac:dyDescent="0.25">
      <c r="A160" t="s">
        <v>672</v>
      </c>
      <c r="B160" s="220">
        <v>915</v>
      </c>
      <c r="C160" s="1395"/>
      <c r="D160" s="972"/>
      <c r="E160" s="972"/>
      <c r="F160" s="972"/>
      <c r="G160" s="976"/>
      <c r="H160" s="1393"/>
      <c r="I160" s="87"/>
      <c r="J160" s="87"/>
      <c r="K160" s="87"/>
      <c r="L160" s="87"/>
      <c r="M160" s="87"/>
      <c r="N160" s="87"/>
      <c r="O160" s="87"/>
    </row>
    <row r="161" spans="1:15" ht="18" customHeight="1" x14ac:dyDescent="0.25">
      <c r="A161" t="s">
        <v>673</v>
      </c>
      <c r="B161" s="220">
        <v>916</v>
      </c>
      <c r="C161" s="1395"/>
      <c r="D161" s="972"/>
      <c r="E161" s="972"/>
      <c r="F161" s="972"/>
      <c r="G161" s="976"/>
      <c r="H161" s="1393"/>
      <c r="I161" s="87"/>
      <c r="J161" s="87"/>
      <c r="K161" s="87"/>
      <c r="L161" s="87"/>
      <c r="M161" s="87"/>
      <c r="N161" s="87"/>
      <c r="O161" s="87"/>
    </row>
    <row r="162" spans="1:15" ht="18" customHeight="1" x14ac:dyDescent="0.25">
      <c r="A162" t="s">
        <v>674</v>
      </c>
      <c r="B162" s="220">
        <v>917</v>
      </c>
      <c r="C162" s="1395"/>
      <c r="D162" s="972"/>
      <c r="E162" s="972"/>
      <c r="F162" s="972"/>
      <c r="G162" s="976"/>
      <c r="H162" s="1393"/>
      <c r="I162" s="87"/>
      <c r="J162" s="87"/>
      <c r="K162" s="87"/>
      <c r="L162" s="87"/>
      <c r="M162" s="87"/>
      <c r="N162" s="87"/>
      <c r="O162" s="87"/>
    </row>
    <row r="163" spans="1:15" ht="18" customHeight="1" x14ac:dyDescent="0.25">
      <c r="A163" t="s">
        <v>675</v>
      </c>
      <c r="B163" s="220">
        <v>918</v>
      </c>
      <c r="C163" s="1395"/>
      <c r="D163" s="972"/>
      <c r="E163" s="972"/>
      <c r="F163" s="972"/>
      <c r="G163" s="976"/>
      <c r="H163" s="1393"/>
      <c r="I163" s="87"/>
      <c r="J163" s="87"/>
      <c r="K163" s="87"/>
      <c r="L163" s="87"/>
      <c r="M163" s="87"/>
      <c r="N163" s="87"/>
      <c r="O163" s="87"/>
    </row>
    <row r="164" spans="1:15" ht="18" customHeight="1" x14ac:dyDescent="0.25">
      <c r="A164" t="s">
        <v>676</v>
      </c>
      <c r="B164" s="220">
        <v>919</v>
      </c>
      <c r="C164" s="1395"/>
      <c r="D164" s="972"/>
      <c r="E164" s="972"/>
      <c r="F164" s="972"/>
      <c r="G164" s="976"/>
      <c r="H164" s="1393"/>
      <c r="I164" s="87"/>
      <c r="J164" s="87"/>
      <c r="K164" s="87"/>
      <c r="L164" s="87"/>
      <c r="M164" s="87"/>
      <c r="N164" s="87"/>
      <c r="O164" s="87"/>
    </row>
    <row r="165" spans="1:15" ht="18" customHeight="1" x14ac:dyDescent="0.25">
      <c r="A165" t="s">
        <v>677</v>
      </c>
      <c r="B165" s="220">
        <v>920</v>
      </c>
      <c r="C165" s="1395"/>
      <c r="D165" s="972"/>
      <c r="E165" s="972"/>
      <c r="F165" s="972"/>
      <c r="G165" s="976"/>
      <c r="H165" s="1393"/>
      <c r="I165" s="87"/>
      <c r="J165" s="87"/>
      <c r="K165" s="87"/>
      <c r="L165" s="87"/>
      <c r="M165" s="87"/>
      <c r="N165" s="87"/>
      <c r="O165" s="87"/>
    </row>
    <row r="166" spans="1:15" ht="18" customHeight="1" x14ac:dyDescent="0.25">
      <c r="A166" t="s">
        <v>678</v>
      </c>
      <c r="B166" s="220">
        <v>921</v>
      </c>
      <c r="C166" s="1395"/>
      <c r="D166" s="972"/>
      <c r="E166" s="972"/>
      <c r="F166" s="972"/>
      <c r="G166" s="976"/>
      <c r="H166" s="1393"/>
      <c r="I166" s="87"/>
      <c r="J166" s="87"/>
      <c r="K166" s="87"/>
      <c r="L166" s="87"/>
      <c r="M166" s="87"/>
      <c r="N166" s="87"/>
      <c r="O166" s="87"/>
    </row>
    <row r="167" spans="1:15" ht="18" customHeight="1" x14ac:dyDescent="0.25">
      <c r="A167" t="s">
        <v>679</v>
      </c>
      <c r="B167" s="220">
        <v>922</v>
      </c>
      <c r="C167" s="1395"/>
      <c r="D167" s="972"/>
      <c r="E167" s="972"/>
      <c r="F167" s="972"/>
      <c r="G167" s="976"/>
      <c r="H167" s="1393"/>
      <c r="I167" s="87"/>
      <c r="J167" s="87"/>
      <c r="K167" s="87"/>
      <c r="L167" s="87"/>
      <c r="M167" s="87"/>
      <c r="N167" s="87"/>
      <c r="O167" s="87"/>
    </row>
    <row r="168" spans="1:15" ht="18" customHeight="1" x14ac:dyDescent="0.25">
      <c r="A168" t="s">
        <v>680</v>
      </c>
      <c r="B168" s="220">
        <v>923</v>
      </c>
      <c r="C168" s="1395"/>
      <c r="D168" s="972"/>
      <c r="E168" s="972"/>
      <c r="F168" s="972"/>
      <c r="G168" s="976"/>
      <c r="H168" s="1393"/>
      <c r="I168" s="87"/>
      <c r="J168" s="87"/>
      <c r="K168" s="87"/>
      <c r="L168" s="87"/>
      <c r="M168" s="87"/>
      <c r="N168" s="87"/>
      <c r="O168" s="87"/>
    </row>
    <row r="169" spans="1:15" ht="18" customHeight="1" x14ac:dyDescent="0.25">
      <c r="A169" t="s">
        <v>681</v>
      </c>
      <c r="B169" s="220">
        <v>924</v>
      </c>
      <c r="C169" s="1395"/>
      <c r="D169" s="972"/>
      <c r="E169" s="972"/>
      <c r="F169" s="972"/>
      <c r="G169" s="976"/>
      <c r="H169" s="1393"/>
      <c r="I169" s="87"/>
      <c r="J169" s="87"/>
      <c r="K169" s="87"/>
      <c r="L169" s="87"/>
      <c r="M169" s="87"/>
      <c r="N169" s="87"/>
      <c r="O169" s="87"/>
    </row>
    <row r="170" spans="1:15" ht="18" customHeight="1" x14ac:dyDescent="0.25">
      <c r="A170" t="s">
        <v>682</v>
      </c>
      <c r="B170" s="220">
        <v>925</v>
      </c>
      <c r="C170" s="1395"/>
      <c r="D170" s="972"/>
      <c r="E170" s="972"/>
      <c r="F170" s="972"/>
      <c r="G170" s="976"/>
      <c r="H170" s="1393"/>
      <c r="I170" s="87"/>
      <c r="J170" s="87"/>
      <c r="K170" s="87"/>
      <c r="L170" s="87"/>
      <c r="M170" s="87"/>
      <c r="N170" s="87"/>
      <c r="O170" s="87"/>
    </row>
    <row r="171" spans="1:15" ht="18" customHeight="1" x14ac:dyDescent="0.25">
      <c r="A171" s="603" t="s">
        <v>683</v>
      </c>
      <c r="B171" s="220">
        <v>926</v>
      </c>
      <c r="C171" s="1395"/>
      <c r="D171" s="972"/>
      <c r="E171" s="972"/>
      <c r="F171" s="972"/>
      <c r="G171" s="976"/>
      <c r="H171" s="1393"/>
      <c r="I171" s="87"/>
      <c r="J171" s="87"/>
      <c r="K171" s="87"/>
      <c r="L171" s="87"/>
      <c r="M171" s="87"/>
      <c r="N171" s="87"/>
      <c r="O171" s="87"/>
    </row>
    <row r="172" spans="1:15" ht="18" customHeight="1" x14ac:dyDescent="0.25">
      <c r="A172" s="603" t="s">
        <v>684</v>
      </c>
      <c r="B172" s="220">
        <v>927</v>
      </c>
      <c r="C172" s="1395"/>
      <c r="D172" s="972"/>
      <c r="E172" s="972"/>
      <c r="F172" s="972"/>
      <c r="G172" s="976"/>
      <c r="H172" s="1393"/>
      <c r="I172" s="87"/>
      <c r="J172" s="87"/>
      <c r="K172" s="87"/>
      <c r="L172" s="87"/>
      <c r="M172" s="87"/>
      <c r="N172" s="87"/>
      <c r="O172" s="87"/>
    </row>
    <row r="173" spans="1:15" ht="18" customHeight="1" x14ac:dyDescent="0.25">
      <c r="A173" s="603" t="s">
        <v>685</v>
      </c>
      <c r="B173" s="220">
        <v>928</v>
      </c>
      <c r="C173" s="1395"/>
      <c r="D173" s="972"/>
      <c r="E173" s="972"/>
      <c r="F173" s="972"/>
      <c r="G173" s="976"/>
      <c r="H173" s="1393"/>
      <c r="I173" s="87"/>
      <c r="J173" s="87"/>
      <c r="K173" s="87"/>
      <c r="L173" s="87"/>
      <c r="M173" s="87"/>
      <c r="N173" s="87"/>
      <c r="O173" s="87"/>
    </row>
    <row r="174" spans="1:15" ht="18" customHeight="1" x14ac:dyDescent="0.25">
      <c r="A174" s="603" t="s">
        <v>686</v>
      </c>
      <c r="B174" s="220">
        <v>929</v>
      </c>
      <c r="C174" s="1395"/>
      <c r="D174" s="972"/>
      <c r="E174" s="972"/>
      <c r="F174" s="972"/>
      <c r="G174" s="976"/>
      <c r="H174" s="1393"/>
      <c r="I174" s="87"/>
      <c r="J174" s="87"/>
      <c r="K174" s="87"/>
      <c r="L174" s="87"/>
      <c r="M174" s="87"/>
      <c r="N174" s="87"/>
      <c r="O174" s="87"/>
    </row>
    <row r="175" spans="1:15" ht="18" customHeight="1" x14ac:dyDescent="0.25">
      <c r="A175" s="603" t="s">
        <v>687</v>
      </c>
      <c r="B175" s="220">
        <v>930</v>
      </c>
      <c r="C175" s="1395"/>
      <c r="D175" s="972"/>
      <c r="E175" s="972"/>
      <c r="F175" s="972"/>
      <c r="G175" s="976"/>
      <c r="H175" s="1393"/>
      <c r="I175" s="87"/>
      <c r="J175" s="87"/>
      <c r="K175" s="87"/>
      <c r="L175" s="87"/>
      <c r="M175" s="87"/>
      <c r="N175" s="87"/>
      <c r="O175" s="87"/>
    </row>
    <row r="176" spans="1:15" ht="18" customHeight="1" x14ac:dyDescent="0.25">
      <c r="A176" s="603" t="s">
        <v>688</v>
      </c>
      <c r="B176" s="220">
        <v>931</v>
      </c>
      <c r="C176" s="1395"/>
      <c r="D176" s="972"/>
      <c r="E176" s="972"/>
      <c r="F176" s="972"/>
      <c r="G176" s="976"/>
      <c r="H176" s="1393"/>
      <c r="I176" s="87"/>
      <c r="J176" s="87"/>
      <c r="K176" s="87"/>
      <c r="L176" s="87"/>
      <c r="M176" s="87"/>
      <c r="N176" s="87"/>
      <c r="O176" s="87"/>
    </row>
    <row r="177" spans="1:15" ht="18" customHeight="1" x14ac:dyDescent="0.25">
      <c r="A177" s="603" t="s">
        <v>689</v>
      </c>
      <c r="B177" s="220">
        <v>932</v>
      </c>
      <c r="C177" s="1395"/>
      <c r="D177" s="972"/>
      <c r="E177" s="972"/>
      <c r="F177" s="972"/>
      <c r="G177" s="976"/>
      <c r="H177" s="1393"/>
      <c r="I177" s="87"/>
      <c r="J177" s="87"/>
      <c r="K177" s="87"/>
      <c r="L177" s="87"/>
      <c r="M177" s="87"/>
      <c r="N177" s="87"/>
      <c r="O177" s="87"/>
    </row>
    <row r="178" spans="1:15" ht="18" customHeight="1" x14ac:dyDescent="0.25">
      <c r="A178" s="603" t="s">
        <v>690</v>
      </c>
      <c r="B178" s="220">
        <v>933</v>
      </c>
      <c r="C178" s="1395"/>
      <c r="D178" s="972"/>
      <c r="E178" s="972"/>
      <c r="F178" s="972"/>
      <c r="G178" s="976"/>
      <c r="H178" s="1393"/>
      <c r="I178" s="87"/>
      <c r="J178" s="87"/>
      <c r="K178" s="87"/>
      <c r="L178" s="87"/>
      <c r="M178" s="87"/>
      <c r="N178" s="87"/>
      <c r="O178" s="87"/>
    </row>
    <row r="179" spans="1:15" ht="18" customHeight="1" x14ac:dyDescent="0.25">
      <c r="A179" s="603" t="s">
        <v>691</v>
      </c>
      <c r="B179" s="220">
        <v>934</v>
      </c>
      <c r="C179" s="1395"/>
      <c r="D179" s="972"/>
      <c r="E179" s="972"/>
      <c r="F179" s="972"/>
      <c r="G179" s="976"/>
      <c r="H179" s="1393"/>
      <c r="I179" s="87"/>
      <c r="J179" s="87"/>
      <c r="K179" s="87"/>
      <c r="L179" s="87"/>
      <c r="M179" s="87"/>
      <c r="N179" s="87"/>
      <c r="O179" s="87"/>
    </row>
    <row r="180" spans="1:15" ht="18" customHeight="1" x14ac:dyDescent="0.25">
      <c r="A180" s="603" t="s">
        <v>692</v>
      </c>
      <c r="B180" s="220">
        <v>935</v>
      </c>
      <c r="C180" s="1395"/>
      <c r="D180" s="972"/>
      <c r="E180" s="972"/>
      <c r="F180" s="972"/>
      <c r="G180" s="976"/>
      <c r="H180" s="1393"/>
      <c r="I180" s="87"/>
      <c r="J180" s="87"/>
      <c r="K180" s="87"/>
      <c r="L180" s="87"/>
      <c r="M180" s="87"/>
      <c r="N180" s="87"/>
      <c r="O180" s="87"/>
    </row>
    <row r="181" spans="1:15" ht="18" customHeight="1" x14ac:dyDescent="0.25">
      <c r="A181" s="603" t="s">
        <v>693</v>
      </c>
      <c r="B181" s="220">
        <v>936</v>
      </c>
      <c r="C181" s="1395"/>
      <c r="D181" s="972"/>
      <c r="E181" s="972"/>
      <c r="F181" s="972"/>
      <c r="G181" s="976"/>
      <c r="H181" s="1393"/>
      <c r="I181" s="87"/>
      <c r="J181" s="87"/>
      <c r="K181" s="87"/>
      <c r="L181" s="87"/>
      <c r="M181" s="87"/>
      <c r="N181" s="87"/>
      <c r="O181" s="87"/>
    </row>
    <row r="182" spans="1:15" ht="18" customHeight="1" x14ac:dyDescent="0.25">
      <c r="A182" s="938" t="s">
        <v>694</v>
      </c>
      <c r="B182" s="220">
        <v>937</v>
      </c>
      <c r="C182" s="1395"/>
      <c r="D182" s="972"/>
      <c r="E182" s="972"/>
      <c r="F182" s="972"/>
      <c r="G182" s="976"/>
      <c r="H182" s="1393"/>
      <c r="I182" s="87"/>
      <c r="J182" s="87"/>
      <c r="K182" s="87"/>
      <c r="L182" s="87"/>
      <c r="M182" s="87"/>
      <c r="N182" s="87"/>
      <c r="O182" s="87"/>
    </row>
    <row r="183" spans="1:15" ht="18" customHeight="1" x14ac:dyDescent="0.25">
      <c r="A183" s="700" t="s">
        <v>695</v>
      </c>
      <c r="B183" s="220">
        <v>938</v>
      </c>
      <c r="C183" s="1395"/>
      <c r="D183" s="972"/>
      <c r="E183" s="972"/>
      <c r="F183" s="972"/>
      <c r="G183" s="976"/>
      <c r="H183" s="1393"/>
      <c r="I183" s="87"/>
      <c r="J183" s="87"/>
      <c r="K183" s="87"/>
      <c r="L183" s="87"/>
      <c r="M183" s="87"/>
      <c r="N183" s="87"/>
      <c r="O183" s="87"/>
    </row>
    <row r="184" spans="1:15" ht="18" customHeight="1" x14ac:dyDescent="0.25">
      <c r="A184" s="700" t="s">
        <v>696</v>
      </c>
      <c r="B184" s="220">
        <v>939</v>
      </c>
      <c r="C184" s="1395"/>
      <c r="D184" s="972"/>
      <c r="E184" s="972"/>
      <c r="F184" s="972"/>
      <c r="G184" s="976"/>
      <c r="H184" s="1393"/>
      <c r="I184" s="87"/>
      <c r="J184" s="87"/>
      <c r="K184" s="87"/>
      <c r="L184" s="87"/>
      <c r="M184" s="87"/>
      <c r="N184" s="87"/>
      <c r="O184" s="87"/>
    </row>
    <row r="185" spans="1:15" ht="18" customHeight="1" x14ac:dyDescent="0.25">
      <c r="A185" s="700" t="s">
        <v>697</v>
      </c>
      <c r="B185" s="220">
        <v>940</v>
      </c>
      <c r="C185" s="1395"/>
      <c r="D185" s="972"/>
      <c r="E185" s="972"/>
      <c r="F185" s="972"/>
      <c r="G185" s="976"/>
      <c r="H185" s="1393"/>
      <c r="I185" s="87"/>
      <c r="J185" s="87"/>
      <c r="K185" s="87"/>
      <c r="L185" s="87"/>
      <c r="M185" s="87"/>
      <c r="N185" s="87"/>
      <c r="O185" s="87"/>
    </row>
    <row r="186" spans="1:15" ht="18" customHeight="1" x14ac:dyDescent="0.25">
      <c r="A186" s="700" t="s">
        <v>698</v>
      </c>
      <c r="B186" s="220">
        <v>941</v>
      </c>
      <c r="C186" s="1395"/>
      <c r="D186" s="972"/>
      <c r="E186" s="972"/>
      <c r="F186" s="972"/>
      <c r="G186" s="976"/>
      <c r="H186" s="1393"/>
      <c r="I186" s="87"/>
      <c r="J186" s="87"/>
      <c r="K186" s="87"/>
      <c r="L186" s="87"/>
      <c r="M186" s="87"/>
      <c r="N186" s="87"/>
      <c r="O186" s="87"/>
    </row>
    <row r="187" spans="1:15" ht="18" customHeight="1" x14ac:dyDescent="0.25">
      <c r="A187" s="700" t="s">
        <v>699</v>
      </c>
      <c r="B187" s="220">
        <v>942</v>
      </c>
      <c r="C187" s="1395"/>
      <c r="D187" s="972"/>
      <c r="E187" s="972"/>
      <c r="F187" s="972"/>
      <c r="G187" s="976"/>
      <c r="H187" s="1393"/>
      <c r="I187" s="87"/>
      <c r="J187" s="87"/>
      <c r="K187" s="87"/>
      <c r="L187" s="87"/>
      <c r="M187" s="87"/>
      <c r="N187" s="87"/>
      <c r="O187" s="87"/>
    </row>
    <row r="188" spans="1:15" ht="18" customHeight="1" x14ac:dyDescent="0.25">
      <c r="A188" s="700" t="s">
        <v>700</v>
      </c>
      <c r="B188" s="220">
        <v>943</v>
      </c>
      <c r="C188" s="1395"/>
      <c r="D188" s="972"/>
      <c r="E188" s="972"/>
      <c r="F188" s="972"/>
      <c r="G188" s="976"/>
      <c r="H188" s="1393"/>
      <c r="I188" s="87"/>
      <c r="J188" s="87"/>
      <c r="K188" s="87"/>
      <c r="L188" s="87"/>
      <c r="M188" s="87"/>
      <c r="N188" s="87"/>
      <c r="O188" s="87"/>
    </row>
    <row r="189" spans="1:15" ht="18" customHeight="1" x14ac:dyDescent="0.25">
      <c r="A189" s="700" t="s">
        <v>701</v>
      </c>
      <c r="B189" s="220">
        <v>944</v>
      </c>
      <c r="C189" s="1395"/>
      <c r="D189" s="972"/>
      <c r="E189" s="972"/>
      <c r="F189" s="972"/>
      <c r="G189" s="976"/>
      <c r="H189" s="1393"/>
      <c r="I189" s="87"/>
      <c r="J189" s="87"/>
      <c r="K189" s="87"/>
      <c r="L189" s="87"/>
      <c r="M189" s="87"/>
      <c r="N189" s="87"/>
      <c r="O189" s="87"/>
    </row>
    <row r="190" spans="1:15" ht="18" customHeight="1" x14ac:dyDescent="0.25">
      <c r="A190" s="700" t="s">
        <v>702</v>
      </c>
      <c r="B190" s="220">
        <v>945</v>
      </c>
      <c r="C190" s="1395"/>
      <c r="D190" s="972"/>
      <c r="E190" s="972"/>
      <c r="F190" s="972"/>
      <c r="G190" s="976"/>
      <c r="H190" s="1393"/>
      <c r="I190" s="87"/>
      <c r="J190" s="87"/>
      <c r="K190" s="87"/>
      <c r="L190" s="87"/>
      <c r="M190" s="87"/>
      <c r="N190" s="87"/>
      <c r="O190" s="87"/>
    </row>
    <row r="191" spans="1:15" ht="18" customHeight="1" x14ac:dyDescent="0.25">
      <c r="A191" s="700" t="s">
        <v>703</v>
      </c>
      <c r="B191" s="220">
        <v>946</v>
      </c>
      <c r="C191" s="1395"/>
      <c r="D191" s="972"/>
      <c r="E191" s="972"/>
      <c r="F191" s="972"/>
      <c r="G191" s="976"/>
      <c r="H191" s="1393"/>
      <c r="I191" s="87"/>
      <c r="J191" s="87"/>
      <c r="K191" s="87"/>
      <c r="L191" s="87"/>
      <c r="M191" s="87"/>
      <c r="N191" s="87"/>
      <c r="O191" s="87"/>
    </row>
    <row r="192" spans="1:15" ht="18" customHeight="1" x14ac:dyDescent="0.25">
      <c r="A192" s="700" t="s">
        <v>704</v>
      </c>
      <c r="B192" s="220">
        <v>947</v>
      </c>
      <c r="C192" s="1395"/>
      <c r="D192" s="972"/>
      <c r="E192" s="972"/>
      <c r="F192" s="972"/>
      <c r="G192" s="976"/>
      <c r="H192" s="1393"/>
      <c r="I192" s="87"/>
      <c r="J192" s="87"/>
      <c r="K192" s="87"/>
      <c r="L192" s="87"/>
      <c r="M192" s="87"/>
      <c r="N192" s="87"/>
      <c r="O192" s="87"/>
    </row>
    <row r="193" spans="1:15" ht="18" customHeight="1" x14ac:dyDescent="0.25">
      <c r="A193" s="700" t="s">
        <v>705</v>
      </c>
      <c r="B193" s="220">
        <v>948</v>
      </c>
      <c r="C193" s="1395"/>
      <c r="D193" s="972"/>
      <c r="E193" s="972"/>
      <c r="F193" s="972"/>
      <c r="G193" s="976"/>
      <c r="H193" s="1393"/>
      <c r="I193" s="87"/>
      <c r="J193" s="87"/>
      <c r="K193" s="87"/>
      <c r="L193" s="87"/>
      <c r="M193" s="87"/>
      <c r="N193" s="87"/>
      <c r="O193" s="87"/>
    </row>
    <row r="194" spans="1:15" ht="18" customHeight="1" x14ac:dyDescent="0.25">
      <c r="A194" s="700" t="s">
        <v>706</v>
      </c>
      <c r="B194" s="220">
        <v>949</v>
      </c>
      <c r="C194" s="1395"/>
      <c r="D194" s="972"/>
      <c r="E194" s="972"/>
      <c r="F194" s="972"/>
      <c r="G194" s="976"/>
      <c r="H194" s="1393"/>
      <c r="I194" s="87"/>
      <c r="J194" s="87"/>
      <c r="K194" s="87"/>
      <c r="L194" s="87"/>
      <c r="M194" s="87"/>
      <c r="N194" s="87"/>
      <c r="O194" s="87"/>
    </row>
    <row r="195" spans="1:15" ht="18" customHeight="1" x14ac:dyDescent="0.25">
      <c r="A195" s="700" t="s">
        <v>707</v>
      </c>
      <c r="B195" s="220">
        <v>950</v>
      </c>
      <c r="C195" s="1395"/>
      <c r="D195" s="972"/>
      <c r="E195" s="972"/>
      <c r="F195" s="972"/>
      <c r="G195" s="976"/>
      <c r="H195" s="1393"/>
      <c r="I195" s="87"/>
      <c r="J195" s="87"/>
      <c r="K195" s="87"/>
      <c r="L195" s="87"/>
      <c r="M195" s="87"/>
      <c r="N195" s="87"/>
      <c r="O195" s="87"/>
    </row>
    <row r="196" spans="1:15" ht="18" customHeight="1" x14ac:dyDescent="0.25">
      <c r="A196" s="700" t="s">
        <v>708</v>
      </c>
      <c r="B196" s="220">
        <v>951</v>
      </c>
      <c r="C196" s="1395"/>
      <c r="D196" s="972"/>
      <c r="E196" s="972"/>
      <c r="F196" s="972"/>
      <c r="G196" s="976"/>
      <c r="H196" s="1393"/>
      <c r="I196" s="87"/>
      <c r="J196" s="87"/>
      <c r="K196" s="87"/>
      <c r="L196" s="87"/>
      <c r="M196" s="87"/>
      <c r="N196" s="87"/>
      <c r="O196" s="87"/>
    </row>
    <row r="197" spans="1:15" ht="18" customHeight="1" x14ac:dyDescent="0.25">
      <c r="A197" s="700" t="s">
        <v>709</v>
      </c>
      <c r="B197" s="220">
        <v>952</v>
      </c>
      <c r="C197" s="1395"/>
      <c r="D197" s="972"/>
      <c r="E197" s="972"/>
      <c r="F197" s="972"/>
      <c r="G197" s="976"/>
      <c r="H197" s="1393"/>
      <c r="I197" s="87"/>
      <c r="J197" s="87"/>
      <c r="K197" s="87"/>
      <c r="L197" s="87"/>
      <c r="M197" s="87"/>
      <c r="N197" s="87"/>
      <c r="O197" s="87"/>
    </row>
    <row r="198" spans="1:15" ht="18" customHeight="1" x14ac:dyDescent="0.25">
      <c r="A198" s="700" t="s">
        <v>710</v>
      </c>
      <c r="B198" s="220">
        <v>953</v>
      </c>
      <c r="C198" s="1395"/>
      <c r="D198" s="972"/>
      <c r="E198" s="972"/>
      <c r="F198" s="972"/>
      <c r="G198" s="976"/>
      <c r="H198" s="1393"/>
      <c r="I198" s="87"/>
      <c r="J198" s="87"/>
      <c r="K198" s="87"/>
      <c r="L198" s="87"/>
      <c r="M198" s="87"/>
      <c r="N198" s="87"/>
      <c r="O198" s="87"/>
    </row>
    <row r="199" spans="1:15" ht="18" customHeight="1" x14ac:dyDescent="0.25">
      <c r="A199" s="700" t="s">
        <v>711</v>
      </c>
      <c r="B199" s="220">
        <v>954</v>
      </c>
      <c r="C199" s="1395"/>
      <c r="D199" s="972"/>
      <c r="E199" s="972"/>
      <c r="F199" s="972"/>
      <c r="G199" s="976"/>
      <c r="H199" s="1393"/>
      <c r="I199" s="87"/>
      <c r="J199" s="87"/>
      <c r="K199" s="87"/>
      <c r="L199" s="87"/>
      <c r="M199" s="87"/>
      <c r="N199" s="87"/>
      <c r="O199" s="87"/>
    </row>
    <row r="200" spans="1:15" ht="18" customHeight="1" x14ac:dyDescent="0.25">
      <c r="A200" s="700" t="s">
        <v>712</v>
      </c>
      <c r="B200" s="220">
        <v>955</v>
      </c>
      <c r="C200" s="1395"/>
      <c r="D200" s="972"/>
      <c r="E200" s="972"/>
      <c r="F200" s="972"/>
      <c r="G200" s="976"/>
      <c r="H200" s="1393"/>
      <c r="I200" s="87"/>
      <c r="J200" s="87"/>
      <c r="K200" s="87"/>
      <c r="L200" s="87"/>
      <c r="M200" s="87"/>
      <c r="N200" s="87"/>
      <c r="O200" s="87"/>
    </row>
    <row r="201" spans="1:15" ht="18" customHeight="1" x14ac:dyDescent="0.25">
      <c r="A201" s="700" t="s">
        <v>713</v>
      </c>
      <c r="B201" s="220">
        <v>956</v>
      </c>
      <c r="C201" s="1395"/>
      <c r="D201" s="972"/>
      <c r="E201" s="972"/>
      <c r="F201" s="972"/>
      <c r="G201" s="976"/>
      <c r="H201" s="1393"/>
      <c r="I201" s="87"/>
      <c r="J201" s="87"/>
      <c r="K201" s="87"/>
      <c r="L201" s="87"/>
      <c r="M201" s="87"/>
      <c r="N201" s="87"/>
      <c r="O201" s="87"/>
    </row>
    <row r="202" spans="1:15" ht="18" customHeight="1" x14ac:dyDescent="0.25">
      <c r="A202" s="700" t="s">
        <v>714</v>
      </c>
      <c r="B202" s="220">
        <v>957</v>
      </c>
      <c r="C202" s="1395"/>
      <c r="D202" s="972"/>
      <c r="E202" s="972"/>
      <c r="F202" s="972"/>
      <c r="G202" s="976"/>
      <c r="H202" s="1393"/>
      <c r="I202" s="87"/>
      <c r="J202" s="87"/>
      <c r="K202" s="87"/>
      <c r="L202" s="87"/>
      <c r="M202" s="87"/>
      <c r="N202" s="87"/>
      <c r="O202" s="87"/>
    </row>
    <row r="203" spans="1:15" ht="18" customHeight="1" x14ac:dyDescent="0.25">
      <c r="A203" s="700" t="s">
        <v>715</v>
      </c>
      <c r="B203" s="220">
        <v>958</v>
      </c>
      <c r="C203" s="1395"/>
      <c r="D203" s="972"/>
      <c r="E203" s="972"/>
      <c r="F203" s="972"/>
      <c r="G203" s="976"/>
      <c r="H203" s="1393"/>
      <c r="I203" s="87"/>
      <c r="J203" s="87"/>
      <c r="K203" s="87"/>
      <c r="L203" s="87"/>
      <c r="M203" s="87"/>
      <c r="N203" s="87"/>
      <c r="O203" s="87"/>
    </row>
    <row r="204" spans="1:15" ht="18" customHeight="1" x14ac:dyDescent="0.25">
      <c r="A204" s="700" t="s">
        <v>716</v>
      </c>
      <c r="B204" s="220">
        <v>959</v>
      </c>
      <c r="C204" s="1395"/>
      <c r="D204" s="972"/>
      <c r="E204" s="972"/>
      <c r="F204" s="972"/>
      <c r="G204" s="976"/>
      <c r="H204" s="1393"/>
      <c r="I204" s="87"/>
      <c r="J204" s="87"/>
      <c r="K204" s="87"/>
      <c r="L204" s="87"/>
      <c r="M204" s="87"/>
      <c r="N204" s="87"/>
      <c r="O204" s="87"/>
    </row>
    <row r="205" spans="1:15" ht="18" customHeight="1" x14ac:dyDescent="0.25">
      <c r="A205" s="700" t="s">
        <v>717</v>
      </c>
      <c r="B205" s="220">
        <v>960</v>
      </c>
      <c r="C205" s="1395"/>
      <c r="D205" s="972"/>
      <c r="E205" s="972"/>
      <c r="F205" s="972"/>
      <c r="G205" s="976"/>
      <c r="H205" s="1393"/>
      <c r="I205" s="87"/>
      <c r="J205" s="87"/>
      <c r="K205" s="87"/>
      <c r="L205" s="87"/>
      <c r="M205" s="87"/>
      <c r="N205" s="87"/>
      <c r="O205" s="87"/>
    </row>
    <row r="206" spans="1:15" ht="18" customHeight="1" x14ac:dyDescent="0.25">
      <c r="A206" t="s">
        <v>718</v>
      </c>
      <c r="B206" s="220">
        <v>998</v>
      </c>
      <c r="C206" s="1504" t="s">
        <v>719</v>
      </c>
      <c r="D206" s="1509"/>
      <c r="E206" s="1509"/>
      <c r="F206" s="1509"/>
      <c r="G206" s="222"/>
      <c r="H206" s="1393"/>
      <c r="I206" s="87"/>
      <c r="J206" s="87"/>
      <c r="K206" s="87"/>
      <c r="L206" s="87"/>
      <c r="M206" s="87"/>
      <c r="N206" s="87"/>
      <c r="O206" s="87"/>
    </row>
    <row r="207" spans="1:15" ht="18" customHeight="1" x14ac:dyDescent="0.25">
      <c r="A207" t="s">
        <v>720</v>
      </c>
      <c r="B207" s="225">
        <v>999</v>
      </c>
      <c r="C207" s="1507" t="s">
        <v>721</v>
      </c>
      <c r="D207" s="1508"/>
      <c r="E207" s="1508"/>
      <c r="F207" s="1508"/>
      <c r="G207" s="222"/>
      <c r="H207" s="1396">
        <f>SUM(H152:H206)</f>
        <v>0</v>
      </c>
      <c r="I207" s="87"/>
      <c r="J207" s="87"/>
      <c r="K207" s="87"/>
      <c r="L207" s="87"/>
      <c r="M207" s="87"/>
      <c r="N207" s="87"/>
      <c r="O207" s="87"/>
    </row>
    <row r="208" spans="1:15" ht="15.5" x14ac:dyDescent="0.35">
      <c r="B208" s="212"/>
      <c r="C208" s="213"/>
      <c r="D208" s="6"/>
      <c r="E208" s="6"/>
      <c r="F208" s="6"/>
      <c r="G208" s="200"/>
      <c r="H208" s="87"/>
      <c r="I208" s="87"/>
      <c r="J208" s="87"/>
      <c r="K208" s="87"/>
      <c r="L208" s="87"/>
      <c r="M208" s="87"/>
      <c r="N208" s="87"/>
      <c r="O208" s="87"/>
    </row>
    <row r="209" spans="2:15" ht="15.5" x14ac:dyDescent="0.35">
      <c r="B209" s="197"/>
      <c r="C209" s="53"/>
      <c r="D209" s="87"/>
      <c r="E209" s="87"/>
      <c r="F209" s="87"/>
      <c r="G209" s="380"/>
      <c r="H209" s="87"/>
      <c r="I209" s="87"/>
      <c r="J209" s="87"/>
      <c r="K209" s="87"/>
      <c r="L209" s="87"/>
      <c r="M209" s="87"/>
      <c r="N209" s="87"/>
      <c r="O209" s="87"/>
    </row>
    <row r="210" spans="2:15" x14ac:dyDescent="0.25"/>
    <row r="211" spans="2:15" x14ac:dyDescent="0.25"/>
    <row r="212" spans="2:15" x14ac:dyDescent="0.25"/>
    <row r="213" spans="2:15" x14ac:dyDescent="0.25"/>
    <row r="214" spans="2:15" x14ac:dyDescent="0.25"/>
    <row r="215" spans="2:15" x14ac:dyDescent="0.25"/>
    <row r="216" spans="2:15" x14ac:dyDescent="0.25"/>
    <row r="217" spans="2:15" x14ac:dyDescent="0.25"/>
  </sheetData>
  <sheetProtection sheet="1" objects="1" scenarios="1"/>
  <protectedRanges>
    <protectedRange sqref="C77:F79 C88:F88" name="Range1_3"/>
    <protectedRange sqref="C154 E154" name="Range1_5"/>
  </protectedRanges>
  <mergeCells count="12">
    <mergeCell ref="C146:F146"/>
    <mergeCell ref="C207:F207"/>
    <mergeCell ref="C206:F206"/>
    <mergeCell ref="B15:N15"/>
    <mergeCell ref="B16:N16"/>
    <mergeCell ref="B10:N10"/>
    <mergeCell ref="B11:N11"/>
    <mergeCell ref="B12:N12"/>
    <mergeCell ref="C145:F145"/>
    <mergeCell ref="B2:N2"/>
    <mergeCell ref="B14:N14"/>
    <mergeCell ref="B13:N13"/>
  </mergeCells>
  <phoneticPr fontId="0" type="noConversion"/>
  <conditionalFormatting sqref="B18">
    <cfRule type="containsText" dxfId="161" priority="38" operator="containsText" text="resolve">
      <formula>NOT(ISERROR(SEARCH("resolve",B18)))</formula>
    </cfRule>
  </conditionalFormatting>
  <conditionalFormatting sqref="C18">
    <cfRule type="expression" dxfId="160" priority="11">
      <formula>ISNUMBER(SEARCH(AA18,B18))</formula>
    </cfRule>
  </conditionalFormatting>
  <conditionalFormatting sqref="D18">
    <cfRule type="expression" dxfId="159" priority="10">
      <formula>ISNUMBER(SEARCH(AA18,B18))</formula>
    </cfRule>
  </conditionalFormatting>
  <conditionalFormatting sqref="E18">
    <cfRule type="expression" dxfId="158" priority="9">
      <formula>ISNUMBER(SEARCH(AA18,B18))</formula>
    </cfRule>
  </conditionalFormatting>
  <conditionalFormatting sqref="F18">
    <cfRule type="expression" dxfId="157" priority="8">
      <formula>ISNUMBER(SEARCH(AA18,B18))</formula>
    </cfRule>
  </conditionalFormatting>
  <conditionalFormatting sqref="G18">
    <cfRule type="expression" dxfId="156" priority="7">
      <formula>ISNUMBER(SEARCH(AA18,B18))</formula>
    </cfRule>
  </conditionalFormatting>
  <conditionalFormatting sqref="H18">
    <cfRule type="expression" dxfId="155" priority="6">
      <formula>ISNUMBER(SEARCH(AA18,B18))</formula>
    </cfRule>
  </conditionalFormatting>
  <conditionalFormatting sqref="I18">
    <cfRule type="expression" dxfId="154" priority="5">
      <formula>ISNUMBER(SEARCH(AA18,B18))</formula>
    </cfRule>
  </conditionalFormatting>
  <conditionalFormatting sqref="J18">
    <cfRule type="expression" dxfId="153" priority="2">
      <formula>ISNUMBER(SEARCH(AA18,B18))</formula>
    </cfRule>
  </conditionalFormatting>
  <conditionalFormatting sqref="J29:J68">
    <cfRule type="containsText" dxfId="152" priority="40" operator="containsText" text="Information">
      <formula>NOT(ISERROR(SEARCH("Information",J29)))</formula>
    </cfRule>
    <cfRule type="containsText" dxfId="151" priority="41" operator="containsText" text="Warning">
      <formula>NOT(ISERROR(SEARCH("Warning",J29)))</formula>
    </cfRule>
    <cfRule type="containsText" dxfId="150" priority="42" operator="containsText" text="Error">
      <formula>NOT(ISERROR(SEARCH("Error",J29)))</formula>
    </cfRule>
  </conditionalFormatting>
  <conditionalFormatting sqref="K18">
    <cfRule type="expression" dxfId="149" priority="1">
      <formula>ISNUMBER(SEARCH(AA18,B18))</formula>
    </cfRule>
  </conditionalFormatting>
  <conditionalFormatting sqref="K29:K68">
    <cfRule type="containsText" dxfId="148" priority="39"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6"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73 H151" numberStoredAsText="1"/>
    <ignoredError sqref="H5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D51"/>
  <sheetViews>
    <sheetView showGridLines="0" topLeftCell="B1" zoomScale="80" zoomScaleNormal="80" workbookViewId="0">
      <pane ySplit="2" topLeftCell="A3" activePane="bottomLeft" state="frozen"/>
      <selection pane="bottomLeft" activeCell="B2" sqref="B2"/>
    </sheetView>
  </sheetViews>
  <sheetFormatPr defaultColWidth="0" defaultRowHeight="12.5" zeroHeight="1" x14ac:dyDescent="0.25"/>
  <cols>
    <col min="1" max="1" width="12.81640625" hidden="1" customWidth="1"/>
    <col min="2" max="2" width="8.7265625" customWidth="1"/>
    <col min="3" max="3" width="85.7265625" customWidth="1"/>
    <col min="4" max="4" width="6.7265625" customWidth="1"/>
    <col min="5" max="7" width="16.7265625" customWidth="1"/>
    <col min="8" max="8" width="20.54296875" bestFit="1" customWidth="1"/>
    <col min="9" max="12" width="16.7265625" customWidth="1"/>
    <col min="13" max="13" width="2.7265625" customWidth="1"/>
    <col min="14" max="15" width="16.7265625" customWidth="1"/>
    <col min="16" max="16" width="2.7265625" customWidth="1"/>
    <col min="17" max="17" width="93" customWidth="1"/>
    <col min="18" max="18" width="9.26953125" hidden="1" customWidth="1"/>
    <col min="19" max="19" width="66.81640625" style="609" hidden="1" customWidth="1"/>
    <col min="20" max="40" width="8.7265625" style="609" hidden="1" customWidth="1"/>
    <col min="41" max="41" width="12.453125" hidden="1" customWidth="1"/>
    <col min="42" max="16384" width="12.54296875" hidden="1"/>
  </cols>
  <sheetData>
    <row r="1" spans="1:55" ht="36" hidden="1" customHeight="1" x14ac:dyDescent="0.3">
      <c r="A1" s="585" t="s">
        <v>722</v>
      </c>
      <c r="B1" s="585" t="s">
        <v>43</v>
      </c>
      <c r="C1" s="508" t="s">
        <v>723</v>
      </c>
      <c r="D1" s="585"/>
      <c r="E1" s="586" t="s">
        <v>437</v>
      </c>
      <c r="F1" s="586" t="s">
        <v>438</v>
      </c>
      <c r="G1" s="586" t="s">
        <v>439</v>
      </c>
      <c r="H1" s="586" t="s">
        <v>440</v>
      </c>
      <c r="I1" s="586" t="s">
        <v>441</v>
      </c>
      <c r="J1" s="586" t="s">
        <v>442</v>
      </c>
      <c r="K1" s="586" t="s">
        <v>443</v>
      </c>
      <c r="L1" s="586" t="s">
        <v>444</v>
      </c>
      <c r="M1" s="585"/>
      <c r="N1" s="585" t="s">
        <v>46</v>
      </c>
      <c r="O1" s="585" t="s">
        <v>47</v>
      </c>
      <c r="P1" s="585"/>
      <c r="Q1" s="585" t="s">
        <v>48</v>
      </c>
      <c r="R1" s="686"/>
    </row>
    <row r="2" spans="1:55" ht="68.25" customHeight="1" x14ac:dyDescent="0.3">
      <c r="A2" s="585" t="s">
        <v>724</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71"/>
      <c r="S2" s="1009" t="s">
        <v>51</v>
      </c>
      <c r="T2" s="639"/>
      <c r="U2" s="639"/>
      <c r="V2" s="639"/>
      <c r="W2" s="639"/>
      <c r="X2" s="639"/>
      <c r="Y2" s="639"/>
      <c r="Z2" s="639"/>
      <c r="AA2" s="639"/>
      <c r="AB2" s="639"/>
      <c r="AC2" s="639"/>
      <c r="AD2" s="639"/>
      <c r="AE2" s="639"/>
      <c r="AF2" s="639"/>
      <c r="AG2" s="639"/>
      <c r="AH2" s="639"/>
      <c r="AI2" s="639"/>
      <c r="AJ2" s="639"/>
      <c r="AK2" s="639"/>
      <c r="AL2" s="639"/>
      <c r="AM2" s="639"/>
      <c r="AN2" s="639"/>
      <c r="AO2" s="639"/>
      <c r="AP2" s="686"/>
      <c r="AQ2" s="686"/>
      <c r="AR2" s="686"/>
      <c r="AS2" s="686"/>
      <c r="AT2" s="686"/>
      <c r="AU2" s="686"/>
      <c r="AV2" s="686"/>
      <c r="AW2" s="686"/>
      <c r="AX2" s="686"/>
      <c r="AY2" s="686"/>
      <c r="AZ2" s="686"/>
      <c r="BA2" s="686"/>
      <c r="BB2" s="686"/>
      <c r="BC2" s="686"/>
    </row>
    <row r="3" spans="1:55" ht="12.75" customHeight="1" x14ac:dyDescent="0.35">
      <c r="B3" s="131"/>
      <c r="C3" s="131"/>
      <c r="D3" s="132"/>
      <c r="E3" s="133"/>
      <c r="F3" s="2"/>
      <c r="G3" s="2"/>
      <c r="H3" s="2"/>
      <c r="I3" s="40"/>
      <c r="J3" s="134"/>
      <c r="K3" s="87"/>
      <c r="L3" s="87"/>
      <c r="M3" s="87"/>
      <c r="N3" s="87"/>
      <c r="O3" s="87"/>
      <c r="P3" s="87"/>
      <c r="AO3" s="609"/>
    </row>
    <row r="4" spans="1:55" ht="27.75" customHeight="1" x14ac:dyDescent="0.6">
      <c r="B4" s="131"/>
      <c r="C4" s="131"/>
      <c r="D4" s="132"/>
      <c r="E4" s="133"/>
      <c r="F4" s="2"/>
      <c r="G4" s="2"/>
      <c r="H4" s="2"/>
      <c r="I4" s="87"/>
      <c r="J4" s="87"/>
      <c r="K4" s="87"/>
      <c r="L4" s="87"/>
      <c r="M4" s="87"/>
      <c r="N4" s="87"/>
      <c r="O4" s="118" t="str">
        <f>"RO1 "&amp;YearForm</f>
        <v>RO1 2025-26</v>
      </c>
      <c r="P4" s="87"/>
      <c r="AO4" s="609"/>
    </row>
    <row r="5" spans="1:55" ht="12.75" customHeight="1" x14ac:dyDescent="0.35">
      <c r="B5" s="131"/>
      <c r="C5" s="131"/>
      <c r="D5" s="132"/>
      <c r="E5" s="133"/>
      <c r="F5" s="2"/>
      <c r="G5" s="2"/>
      <c r="H5" s="2"/>
      <c r="I5" s="87"/>
      <c r="J5" s="87"/>
      <c r="K5" s="87"/>
      <c r="L5" s="87"/>
      <c r="M5" s="87"/>
      <c r="N5" s="87"/>
      <c r="O5" s="87"/>
      <c r="P5" s="87"/>
      <c r="AO5" s="609"/>
    </row>
    <row r="6" spans="1:55" ht="12.75" customHeight="1" x14ac:dyDescent="0.35">
      <c r="B6" s="131"/>
      <c r="C6" s="131"/>
      <c r="D6" s="132"/>
      <c r="E6" s="133"/>
      <c r="F6" s="2"/>
      <c r="G6" s="2"/>
      <c r="H6" s="2"/>
      <c r="I6" s="87"/>
      <c r="J6" s="87"/>
      <c r="K6" s="87"/>
      <c r="L6" s="87"/>
      <c r="M6" s="87"/>
      <c r="N6" s="87"/>
      <c r="O6" s="87"/>
      <c r="P6" s="87"/>
      <c r="AO6" s="609"/>
    </row>
    <row r="7" spans="1:55" ht="12.75" customHeight="1" x14ac:dyDescent="0.35">
      <c r="B7" s="131"/>
      <c r="C7" s="131"/>
      <c r="D7" s="132"/>
      <c r="E7" s="133"/>
      <c r="F7" s="2"/>
      <c r="G7" s="2"/>
      <c r="H7" s="2"/>
      <c r="I7" s="87"/>
      <c r="J7" s="87"/>
      <c r="K7" s="87"/>
      <c r="L7" s="87"/>
      <c r="M7" s="87"/>
      <c r="N7" s="87"/>
      <c r="O7" s="87"/>
      <c r="P7" s="87"/>
      <c r="AO7" s="609"/>
    </row>
    <row r="8" spans="1:55" ht="12.75" customHeight="1" x14ac:dyDescent="0.35">
      <c r="B8" s="131"/>
      <c r="C8" s="131"/>
      <c r="D8" s="132"/>
      <c r="E8" s="133"/>
      <c r="F8" s="2"/>
      <c r="G8" s="2"/>
      <c r="H8" s="2"/>
      <c r="I8" s="87"/>
      <c r="J8" s="87"/>
      <c r="K8" s="87"/>
      <c r="L8" s="87"/>
      <c r="M8" s="87"/>
      <c r="N8" s="87"/>
      <c r="O8" s="87"/>
      <c r="P8" s="87"/>
      <c r="AO8" s="609"/>
    </row>
    <row r="9" spans="1:55" ht="12.75" customHeight="1" x14ac:dyDescent="0.35">
      <c r="B9" s="131"/>
      <c r="C9" s="131"/>
      <c r="D9" s="132"/>
      <c r="E9" s="133"/>
      <c r="F9" s="2"/>
      <c r="G9" s="2"/>
      <c r="H9" s="2"/>
      <c r="I9" s="87"/>
      <c r="J9" s="87"/>
      <c r="K9" s="87"/>
      <c r="L9" s="87"/>
      <c r="M9" s="87"/>
      <c r="N9" s="87"/>
      <c r="O9" s="87"/>
      <c r="P9" s="87"/>
      <c r="AO9" s="609"/>
    </row>
    <row r="10" spans="1:55" s="99" customFormat="1" ht="33" customHeight="1" x14ac:dyDescent="0.25">
      <c r="B10" s="1468" t="str">
        <f>RS!$B$11</f>
        <v>General Fund Revenue Account Outturn</v>
      </c>
      <c r="C10" s="1468"/>
      <c r="D10" s="1468"/>
      <c r="E10" s="1468"/>
      <c r="F10" s="1468"/>
      <c r="G10" s="1468"/>
      <c r="H10" s="1468"/>
      <c r="I10" s="1468"/>
      <c r="J10" s="1468"/>
      <c r="K10" s="1468"/>
      <c r="L10" s="1468"/>
      <c r="M10" s="1468"/>
      <c r="N10" s="1468"/>
      <c r="O10" s="1468"/>
      <c r="P10" s="136"/>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row>
    <row r="11" spans="1:55" s="99" customFormat="1" ht="33" customHeight="1" x14ac:dyDescent="0.25">
      <c r="B11" s="1500" t="str">
        <f>"RO1 – EDUCATION SERVICES "&amp;YearForm</f>
        <v>RO1 – EDUCATION SERVICES 2025-26</v>
      </c>
      <c r="C11" s="1501"/>
      <c r="D11" s="1501"/>
      <c r="E11" s="1501"/>
      <c r="F11" s="1501"/>
      <c r="G11" s="1501"/>
      <c r="H11" s="1501"/>
      <c r="I11" s="1501"/>
      <c r="J11" s="1501"/>
      <c r="K11" s="1501"/>
      <c r="L11" s="1501"/>
      <c r="M11" s="1501"/>
      <c r="N11" s="1501"/>
      <c r="O11" s="1501"/>
      <c r="P11" s="136"/>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row>
    <row r="12" spans="1:55" ht="14.15" customHeight="1" x14ac:dyDescent="0.35">
      <c r="B12" s="131"/>
      <c r="C12" s="131"/>
      <c r="D12" s="132"/>
      <c r="E12" s="133"/>
      <c r="F12" s="2"/>
      <c r="G12" s="2"/>
      <c r="H12" s="2"/>
      <c r="I12" s="87"/>
      <c r="J12" s="87"/>
      <c r="K12" s="87"/>
      <c r="L12" s="87"/>
      <c r="M12" s="87"/>
      <c r="N12" s="87"/>
      <c r="O12" s="87"/>
      <c r="P12" s="87"/>
      <c r="AO12" s="609"/>
    </row>
    <row r="13" spans="1:55"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c r="P13" s="87"/>
      <c r="AO13" s="609"/>
    </row>
    <row r="14" spans="1:55" ht="12" customHeight="1" x14ac:dyDescent="0.3">
      <c r="B14" s="40"/>
      <c r="C14" s="40"/>
      <c r="D14" s="40"/>
      <c r="E14" s="40"/>
      <c r="F14" s="40"/>
      <c r="G14" s="40"/>
      <c r="H14" s="40"/>
      <c r="I14" s="40"/>
      <c r="J14" s="40"/>
      <c r="K14" s="40"/>
      <c r="L14" s="90"/>
      <c r="M14" s="40"/>
      <c r="N14" s="40"/>
      <c r="O14" s="40"/>
      <c r="P14" s="40"/>
      <c r="Q14" s="22"/>
      <c r="AO14" s="609"/>
    </row>
    <row r="15" spans="1:55" ht="21" customHeight="1" x14ac:dyDescent="0.25">
      <c r="B15" s="1502" t="s">
        <v>725</v>
      </c>
      <c r="C15" s="1502"/>
      <c r="D15" s="1502"/>
      <c r="E15" s="1502"/>
      <c r="F15" s="1502"/>
      <c r="G15" s="1502"/>
      <c r="H15" s="1502"/>
      <c r="I15" s="1502"/>
      <c r="J15" s="1502"/>
      <c r="K15" s="1502"/>
      <c r="L15" s="1502"/>
      <c r="M15" s="1502"/>
      <c r="N15" s="1502"/>
      <c r="O15" s="1502"/>
      <c r="P15" s="94"/>
      <c r="Q15" s="345"/>
      <c r="AO15" s="609"/>
    </row>
    <row r="16" spans="1:55" ht="21" customHeight="1" x14ac:dyDescent="0.25">
      <c r="B16" s="1499" t="s">
        <v>57</v>
      </c>
      <c r="C16" s="1499"/>
      <c r="D16" s="1499"/>
      <c r="E16" s="1499"/>
      <c r="F16" s="1499"/>
      <c r="G16" s="1499"/>
      <c r="H16" s="1499"/>
      <c r="I16" s="1499"/>
      <c r="J16" s="1499"/>
      <c r="K16" s="1499"/>
      <c r="L16" s="1499"/>
      <c r="M16" s="1499"/>
      <c r="N16" s="1499"/>
      <c r="O16" s="1499"/>
      <c r="P16" s="40"/>
      <c r="Q16" s="22"/>
      <c r="AO16" s="609"/>
    </row>
    <row r="17" spans="1:41" ht="20" x14ac:dyDescent="0.35">
      <c r="B17" s="139" t="str">
        <f>TRIM(LEFT(B$11,3))&amp;" error summary:"</f>
        <v>RO1 error summary:</v>
      </c>
      <c r="C17" s="140"/>
      <c r="D17" s="140"/>
      <c r="E17" s="40"/>
      <c r="F17" s="141"/>
      <c r="G17" s="40"/>
      <c r="H17" s="40"/>
      <c r="I17" s="40"/>
      <c r="J17" s="346"/>
      <c r="K17" s="202"/>
      <c r="L17" s="90"/>
      <c r="M17" s="40"/>
      <c r="N17" s="40"/>
      <c r="O17" s="40"/>
      <c r="P17" s="40"/>
      <c r="Q17" s="22"/>
      <c r="AO17" s="609"/>
    </row>
    <row r="18" spans="1:41" ht="32.15" customHeight="1" x14ac:dyDescent="0.35">
      <c r="A18" s="584" t="s">
        <v>74</v>
      </c>
      <c r="B18" s="339" t="str">
        <f>IF(AND(COUNTIF($O$32:$O$41,"Error")=0,COUNTIF($O$32:$O$41,"Warning")=0),("There are no outstanding errors or warnings with the "&amp;TRIM(LEFT(B$11,3))&amp;" section of the form. Thank you."),("There are "&amp;COUNTIF($O$32:$O$41,"Error")&amp;" outstanding error(s) and "&amp;COUNTIF($O$32:$O$41,"Warning")&amp;" outstanding warning(s) with the "&amp;TRIM(LEFT(B$11,3))&amp;" section of the form. Please resolve and/or explain these before submitting."))</f>
        <v>There are no outstanding errors or warnings with the RO1 section of the form. Thank you.</v>
      </c>
      <c r="C18" s="340"/>
      <c r="D18" s="340"/>
      <c r="E18" s="340"/>
      <c r="F18" s="340"/>
      <c r="G18" s="340"/>
      <c r="H18" s="340"/>
      <c r="I18" s="340"/>
      <c r="J18" s="340"/>
      <c r="K18" s="340"/>
      <c r="L18" s="340"/>
      <c r="M18" s="40"/>
      <c r="N18" s="40"/>
      <c r="O18" s="40"/>
      <c r="P18" s="40"/>
      <c r="Q18" s="22"/>
      <c r="AB18" s="611" t="s">
        <v>53</v>
      </c>
      <c r="AO18" s="609"/>
    </row>
    <row r="19" spans="1:41" ht="19.5" customHeight="1" x14ac:dyDescent="0.3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22"/>
      <c r="AO19" s="609"/>
    </row>
    <row r="20" spans="1:41" ht="12" customHeight="1" x14ac:dyDescent="0.35">
      <c r="B20" s="144"/>
      <c r="C20" s="144"/>
      <c r="D20" s="144"/>
      <c r="E20" s="142"/>
      <c r="F20" s="142"/>
      <c r="G20" s="142"/>
      <c r="H20" s="142"/>
      <c r="I20" s="142"/>
      <c r="J20" s="142"/>
      <c r="K20" s="142"/>
      <c r="L20" s="90"/>
      <c r="M20" s="40"/>
      <c r="N20" s="40"/>
      <c r="O20" s="40"/>
      <c r="P20" s="40"/>
      <c r="Q20" s="22"/>
      <c r="AO20" s="609"/>
    </row>
    <row r="21" spans="1:41" ht="25" x14ac:dyDescent="0.5">
      <c r="B21" s="100" t="str">
        <f>RS!$B$21</f>
        <v>Please select your authority name on Title page</v>
      </c>
      <c r="C21" s="44"/>
      <c r="D21" s="51"/>
      <c r="E21" s="51"/>
      <c r="F21" s="51"/>
      <c r="G21" s="51"/>
      <c r="H21" s="51"/>
      <c r="I21" s="51"/>
      <c r="J21" s="51"/>
      <c r="K21" s="51"/>
      <c r="L21" s="51"/>
      <c r="M21" s="87"/>
      <c r="N21" s="87"/>
      <c r="O21" s="87"/>
      <c r="P21" s="87"/>
      <c r="AO21" s="609"/>
    </row>
    <row r="22" spans="1:41" ht="18" x14ac:dyDescent="0.4">
      <c r="B22" s="102" t="str">
        <f>ContactDetails!C25</f>
        <v>E-code</v>
      </c>
      <c r="C22" s="45"/>
      <c r="D22" s="52"/>
      <c r="E22" s="378"/>
      <c r="F22" s="378"/>
      <c r="G22" s="185"/>
      <c r="H22" s="185"/>
      <c r="I22" s="378"/>
      <c r="J22" s="378"/>
      <c r="K22" s="185"/>
      <c r="L22" s="185"/>
      <c r="M22" s="87"/>
      <c r="N22" s="87"/>
      <c r="O22" s="87"/>
      <c r="P22" s="87"/>
      <c r="AO22" s="609"/>
    </row>
    <row r="23" spans="1:41" ht="18" x14ac:dyDescent="0.4">
      <c r="B23" s="45"/>
      <c r="C23" s="45"/>
      <c r="D23" s="52"/>
      <c r="E23" s="378"/>
      <c r="F23" s="378"/>
      <c r="G23" s="185"/>
      <c r="H23" s="185"/>
      <c r="I23" s="378"/>
      <c r="J23" s="378"/>
      <c r="K23" s="185"/>
      <c r="L23" s="185"/>
      <c r="M23" s="87"/>
      <c r="N23" s="87"/>
      <c r="O23" s="87"/>
      <c r="P23" s="87"/>
      <c r="AO23" s="609"/>
    </row>
    <row r="24" spans="1:41" ht="15.5" x14ac:dyDescent="0.35">
      <c r="B24" s="145"/>
      <c r="C24" s="145"/>
      <c r="D24" s="146"/>
      <c r="E24" s="146"/>
      <c r="F24" s="41"/>
      <c r="G24" s="185"/>
      <c r="H24" s="185" t="s">
        <v>449</v>
      </c>
      <c r="I24" s="378"/>
      <c r="J24" s="378"/>
      <c r="K24" s="185"/>
      <c r="L24" s="185"/>
      <c r="M24" s="87"/>
      <c r="N24" s="87"/>
      <c r="O24" s="87"/>
      <c r="P24" s="87"/>
      <c r="AO24" s="609"/>
    </row>
    <row r="25" spans="1:41" ht="15.5" x14ac:dyDescent="0.35">
      <c r="B25" s="87"/>
      <c r="C25" s="87"/>
      <c r="D25" s="87"/>
      <c r="E25" s="378"/>
      <c r="F25" s="185" t="s">
        <v>450</v>
      </c>
      <c r="G25" s="185" t="s">
        <v>451</v>
      </c>
      <c r="H25" s="185" t="s">
        <v>452</v>
      </c>
      <c r="I25" s="185" t="s">
        <v>453</v>
      </c>
      <c r="J25" s="185" t="s">
        <v>454</v>
      </c>
      <c r="K25" s="185" t="s">
        <v>451</v>
      </c>
      <c r="L25" s="185" t="s">
        <v>455</v>
      </c>
      <c r="M25" s="87"/>
      <c r="N25" s="87"/>
      <c r="O25" s="87"/>
      <c r="P25" s="87"/>
      <c r="AO25" s="609"/>
    </row>
    <row r="26" spans="1:41" ht="15.5" x14ac:dyDescent="0.35">
      <c r="B26" s="87"/>
      <c r="C26" s="87"/>
      <c r="D26" s="87"/>
      <c r="E26" s="185" t="s">
        <v>456</v>
      </c>
      <c r="F26" s="185" t="s">
        <v>457</v>
      </c>
      <c r="G26" s="185" t="s">
        <v>458</v>
      </c>
      <c r="H26" s="185" t="s">
        <v>459</v>
      </c>
      <c r="I26" s="185" t="s">
        <v>460</v>
      </c>
      <c r="J26" s="185" t="s">
        <v>461</v>
      </c>
      <c r="K26" s="185" t="s">
        <v>461</v>
      </c>
      <c r="L26" s="185" t="s">
        <v>458</v>
      </c>
      <c r="M26" s="87"/>
      <c r="N26" s="87"/>
      <c r="O26" s="87"/>
      <c r="P26" s="87"/>
      <c r="AO26" s="609"/>
    </row>
    <row r="27" spans="1:41" ht="15.5" x14ac:dyDescent="0.35">
      <c r="B27" s="207"/>
      <c r="C27" s="207"/>
      <c r="D27" s="87"/>
      <c r="E27" s="258" t="s">
        <v>60</v>
      </c>
      <c r="F27" s="258" t="s">
        <v>60</v>
      </c>
      <c r="G27" s="258" t="s">
        <v>60</v>
      </c>
      <c r="H27" s="258" t="s">
        <v>60</v>
      </c>
      <c r="I27" s="258" t="s">
        <v>60</v>
      </c>
      <c r="J27" s="258" t="s">
        <v>60</v>
      </c>
      <c r="K27" s="258" t="s">
        <v>60</v>
      </c>
      <c r="L27" s="258" t="s">
        <v>60</v>
      </c>
      <c r="M27" s="87"/>
      <c r="N27" s="87"/>
      <c r="O27" s="87"/>
      <c r="P27" s="87"/>
      <c r="AO27" s="609"/>
    </row>
    <row r="28" spans="1:41" ht="15.5" x14ac:dyDescent="0.35">
      <c r="B28" s="87"/>
      <c r="C28" s="87"/>
      <c r="D28" s="87"/>
      <c r="E28" s="258"/>
      <c r="F28" s="258"/>
      <c r="G28" s="258"/>
      <c r="H28" s="258"/>
      <c r="I28" s="258"/>
      <c r="J28" s="258"/>
      <c r="K28" s="258"/>
      <c r="L28" s="258"/>
      <c r="M28" s="87"/>
      <c r="N28" s="87"/>
      <c r="O28" s="87"/>
      <c r="P28" s="87"/>
      <c r="AO28" s="609"/>
    </row>
    <row r="29" spans="1:41" ht="13" x14ac:dyDescent="0.3">
      <c r="B29" s="87"/>
      <c r="C29" s="87"/>
      <c r="D29" s="87"/>
      <c r="E29" s="187" t="s">
        <v>61</v>
      </c>
      <c r="F29" s="187" t="s">
        <v>462</v>
      </c>
      <c r="G29" s="187" t="s">
        <v>463</v>
      </c>
      <c r="H29" s="187" t="s">
        <v>464</v>
      </c>
      <c r="I29" s="187" t="s">
        <v>465</v>
      </c>
      <c r="J29" s="187" t="s">
        <v>466</v>
      </c>
      <c r="K29" s="187" t="s">
        <v>467</v>
      </c>
      <c r="L29" s="187" t="s">
        <v>468</v>
      </c>
      <c r="M29" s="87"/>
      <c r="N29" s="87"/>
      <c r="O29" s="87"/>
      <c r="P29" s="87"/>
      <c r="AO29" s="609"/>
    </row>
    <row r="30" spans="1:41" ht="13" x14ac:dyDescent="0.3">
      <c r="B30" s="87"/>
      <c r="C30" s="87"/>
      <c r="D30" s="87"/>
      <c r="E30" s="52"/>
      <c r="F30" s="52"/>
      <c r="G30" s="52"/>
      <c r="H30" s="1210" t="s">
        <v>469</v>
      </c>
      <c r="I30" s="52"/>
      <c r="J30" s="52"/>
      <c r="K30" s="52"/>
      <c r="L30" s="52"/>
      <c r="M30" s="87"/>
      <c r="N30" s="87"/>
      <c r="O30" s="87"/>
      <c r="P30" s="87"/>
      <c r="AD30" s="614" t="s">
        <v>62</v>
      </c>
      <c r="AO30" s="609"/>
    </row>
    <row r="31" spans="1:41" ht="18" x14ac:dyDescent="0.4">
      <c r="B31" s="21" t="s">
        <v>726</v>
      </c>
      <c r="C31" s="21"/>
      <c r="D31" s="52"/>
      <c r="E31" s="52"/>
      <c r="F31" s="52"/>
      <c r="G31" s="52"/>
      <c r="H31" s="52"/>
      <c r="I31" s="52"/>
      <c r="J31" s="52"/>
      <c r="K31" s="52"/>
      <c r="L31" s="52"/>
      <c r="M31" s="87"/>
      <c r="N31" s="87"/>
      <c r="O31" s="87"/>
      <c r="P31" s="87"/>
      <c r="AD31" s="614" t="s">
        <v>64</v>
      </c>
      <c r="AE31" s="614" t="s">
        <v>65</v>
      </c>
      <c r="AF31" s="614" t="s">
        <v>66</v>
      </c>
      <c r="AG31" s="614" t="s">
        <v>67</v>
      </c>
      <c r="AH31" s="614" t="s">
        <v>68</v>
      </c>
      <c r="AI31" s="614" t="s">
        <v>69</v>
      </c>
      <c r="AJ31" s="614" t="s">
        <v>70</v>
      </c>
      <c r="AK31" s="614" t="s">
        <v>71</v>
      </c>
      <c r="AL31" s="614" t="s">
        <v>72</v>
      </c>
      <c r="AM31" s="614" t="s">
        <v>73</v>
      </c>
      <c r="AN31" s="614" t="s">
        <v>727</v>
      </c>
      <c r="AO31" s="609"/>
    </row>
    <row r="32" spans="1:41" ht="15.5" x14ac:dyDescent="0.35">
      <c r="A32" s="584" t="s">
        <v>728</v>
      </c>
      <c r="B32" s="84">
        <v>10</v>
      </c>
      <c r="C32" s="241" t="s">
        <v>729</v>
      </c>
      <c r="D32" s="186"/>
      <c r="E32" s="1398"/>
      <c r="F32" s="1398"/>
      <c r="G32" s="1399">
        <f>SUM(E32:F32)</f>
        <v>0</v>
      </c>
      <c r="H32" s="1400"/>
      <c r="I32" s="1398"/>
      <c r="J32" s="1398"/>
      <c r="K32" s="1399">
        <f>SUM(I32:J32)</f>
        <v>0</v>
      </c>
      <c r="L32" s="1399">
        <f>G32-K32</f>
        <v>0</v>
      </c>
      <c r="M32" s="87"/>
      <c r="N32" s="1179" t="str">
        <f>IF(ISERROR(O32),"",IF((O32="Error"),"add explanation",IF((O32="Warning"),"add explanation","")))</f>
        <v/>
      </c>
      <c r="O32" s="256" t="str">
        <f t="shared" ref="O32:O38" si="0">IF(OR((K32&lt;&gt;(I32+J32)),(G32&lt;&gt;(E32+F32)),(L32&lt;&gt;(G32-K32)),AN32="Error"),"Error",IF(AM32="Warning","Warning",""))</f>
        <v/>
      </c>
      <c r="P32" s="87"/>
      <c r="Q32" s="98" t="str">
        <f t="shared" ref="Q32:Q38" si="1">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VLOOKUP("RO1"&amp;$B32,data_val_parameters,8,0)/100</f>
        <v>0.6</v>
      </c>
      <c r="AE32" s="609">
        <f>VLOOKUP("RO1"&amp;$B32,data_val_parameters,7,0)</f>
        <v>4000</v>
      </c>
      <c r="AF32" s="609" t="e">
        <f>VLOOKUP(LA_code,data_prev_year,MATCH("RO1"&amp;$B32&amp;"7",data_prev_year_headers,0),0)</f>
        <v>#N/A</v>
      </c>
      <c r="AG32" s="609" t="e">
        <f>AF32+AE32</f>
        <v>#N/A</v>
      </c>
      <c r="AH32" s="609" t="e">
        <f>AF32-AE32</f>
        <v>#N/A</v>
      </c>
      <c r="AI32" s="609" t="e">
        <f>AF32+(AF32*AD32)</f>
        <v>#N/A</v>
      </c>
      <c r="AJ32" s="609" t="e">
        <f>AF32-(AF32*AD32)</f>
        <v>#N/A</v>
      </c>
      <c r="AK32" s="609" t="e">
        <f t="shared" ref="AK32:AK34" si="2">IF(OR(L32&lt;AH32,L32&gt;AG32),"Warning","")</f>
        <v>#N/A</v>
      </c>
      <c r="AL32" s="609" t="e">
        <f t="shared" ref="AL32:AL34" si="3">IF(OR(L32&gt;(AI32),L32&lt;(AJ32)),"Warning","")</f>
        <v>#N/A</v>
      </c>
      <c r="AM32" s="609" t="str">
        <f t="shared" ref="AM32:AM34" si="4">IF(OR(L32=0),"",IF(AND(AK32="Warning",AL32="Warning"),"Warning",""))</f>
        <v/>
      </c>
      <c r="AN32" s="609" t="str">
        <f>IF(OR(I32&lt;0,J32&lt;0),"Error","")</f>
        <v/>
      </c>
      <c r="AO32" s="609"/>
    </row>
    <row r="33" spans="1:108" ht="15.5" x14ac:dyDescent="0.35">
      <c r="A33" s="584" t="s">
        <v>730</v>
      </c>
      <c r="B33" s="84">
        <v>20</v>
      </c>
      <c r="C33" s="241" t="s">
        <v>731</v>
      </c>
      <c r="D33" s="186"/>
      <c r="E33" s="1398"/>
      <c r="F33" s="1398"/>
      <c r="G33" s="1399">
        <f>SUM(E33:F33)</f>
        <v>0</v>
      </c>
      <c r="H33" s="1400"/>
      <c r="I33" s="1398"/>
      <c r="J33" s="1398"/>
      <c r="K33" s="1399">
        <f>SUM(I33:J33)</f>
        <v>0</v>
      </c>
      <c r="L33" s="1399">
        <f>G33-K33</f>
        <v>0</v>
      </c>
      <c r="M33" s="87"/>
      <c r="N33" s="1179" t="str">
        <f>IF(ISERROR(O33),"",IF((O33="Error"),"add explanation",IF((O33="Warning"),"add explanation","")))</f>
        <v/>
      </c>
      <c r="O33" s="256" t="str">
        <f t="shared" si="0"/>
        <v/>
      </c>
      <c r="P33" s="87"/>
      <c r="Q33" s="98" t="str">
        <f t="shared" si="1"/>
        <v/>
      </c>
      <c r="AD33" s="609">
        <f>VLOOKUP("RO1"&amp;$B33,data_val_parameters,8,0)/100</f>
        <v>0.45</v>
      </c>
      <c r="AE33" s="609">
        <f>VLOOKUP("RO1"&amp;$B33,data_val_parameters,7,0)</f>
        <v>4000</v>
      </c>
      <c r="AF33" s="636" t="e">
        <f>VLOOKUP(LA_code,data_prev_year,MATCH("RO1"&amp;$B33&amp;"7",data_prev_year_headers,0),0)</f>
        <v>#N/A</v>
      </c>
      <c r="AG33" s="636" t="e">
        <f>AF33+AE33</f>
        <v>#N/A</v>
      </c>
      <c r="AH33" s="636" t="e">
        <f>AF33-AE33</f>
        <v>#N/A</v>
      </c>
      <c r="AI33" s="636" t="e">
        <f>AF33+(AF33*AD33)</f>
        <v>#N/A</v>
      </c>
      <c r="AJ33" s="636" t="e">
        <f>AF33-(AF33*AD33)</f>
        <v>#N/A</v>
      </c>
      <c r="AK33" s="609" t="e">
        <f t="shared" si="2"/>
        <v>#N/A</v>
      </c>
      <c r="AL33" s="609" t="e">
        <f t="shared" si="3"/>
        <v>#N/A</v>
      </c>
      <c r="AM33" s="609" t="str">
        <f t="shared" si="4"/>
        <v/>
      </c>
      <c r="AN33" s="609" t="str">
        <f t="shared" ref="AN33:AN38" si="5">IF(OR(I33&lt;0,J33&lt;0),"Error","")</f>
        <v/>
      </c>
      <c r="AO33" s="609"/>
    </row>
    <row r="34" spans="1:108" ht="15.5" x14ac:dyDescent="0.35">
      <c r="A34" s="584" t="s">
        <v>732</v>
      </c>
      <c r="B34" s="84">
        <v>30</v>
      </c>
      <c r="C34" s="241" t="s">
        <v>733</v>
      </c>
      <c r="D34" s="186"/>
      <c r="E34" s="1398"/>
      <c r="F34" s="1398"/>
      <c r="G34" s="1399">
        <f>SUM(E34:F34)</f>
        <v>0</v>
      </c>
      <c r="H34" s="1400"/>
      <c r="I34" s="1398"/>
      <c r="J34" s="1398"/>
      <c r="K34" s="1399">
        <f>SUM(I34:J34)</f>
        <v>0</v>
      </c>
      <c r="L34" s="1399">
        <f>G34-K34</f>
        <v>0</v>
      </c>
      <c r="M34" s="87"/>
      <c r="N34" s="1179" t="str">
        <f>IF(ISERROR(O34),"",IF((O34="Error"),"add explanation",IF((O34="Warning"),"add explanation","")))</f>
        <v/>
      </c>
      <c r="O34" s="256" t="str">
        <f t="shared" si="0"/>
        <v/>
      </c>
      <c r="P34" s="87"/>
      <c r="Q34" s="98" t="str">
        <f t="shared" si="1"/>
        <v/>
      </c>
      <c r="AD34" s="609">
        <f>VLOOKUP("RO1"&amp;$B34,data_val_parameters,8,0)/100</f>
        <v>0.6</v>
      </c>
      <c r="AE34" s="609">
        <f>VLOOKUP("RO1"&amp;$B34,data_val_parameters,7,0)</f>
        <v>10000</v>
      </c>
      <c r="AF34" s="636" t="e">
        <f>VLOOKUP(LA_code,data_prev_year,MATCH("RO1"&amp;$B34&amp;"7",data_prev_year_headers,0),0)</f>
        <v>#N/A</v>
      </c>
      <c r="AG34" s="636" t="e">
        <f>AF34+AE34</f>
        <v>#N/A</v>
      </c>
      <c r="AH34" s="636" t="e">
        <f>AF34-AE34</f>
        <v>#N/A</v>
      </c>
      <c r="AI34" s="636" t="e">
        <f>AF34+(AF34*AD34)</f>
        <v>#N/A</v>
      </c>
      <c r="AJ34" s="636" t="e">
        <f>AF34-(AF34*AD34)</f>
        <v>#N/A</v>
      </c>
      <c r="AK34" s="609" t="e">
        <f t="shared" si="2"/>
        <v>#N/A</v>
      </c>
      <c r="AL34" s="609" t="e">
        <f t="shared" si="3"/>
        <v>#N/A</v>
      </c>
      <c r="AM34" s="609" t="str">
        <f t="shared" si="4"/>
        <v/>
      </c>
      <c r="AN34" s="609" t="str">
        <f t="shared" si="5"/>
        <v/>
      </c>
      <c r="AO34" s="609"/>
    </row>
    <row r="35" spans="1:108" ht="15.5" x14ac:dyDescent="0.35">
      <c r="A35" s="584" t="s">
        <v>734</v>
      </c>
      <c r="B35" s="84">
        <v>40</v>
      </c>
      <c r="C35" s="241" t="s">
        <v>735</v>
      </c>
      <c r="D35" s="186"/>
      <c r="E35" s="1398"/>
      <c r="F35" s="1398"/>
      <c r="G35" s="1399">
        <f>SUM(E35:F35)</f>
        <v>0</v>
      </c>
      <c r="H35" s="1400"/>
      <c r="I35" s="1398"/>
      <c r="J35" s="1398"/>
      <c r="K35" s="1399">
        <f>SUM(I35:J35)</f>
        <v>0</v>
      </c>
      <c r="L35" s="1399">
        <f>G35-K35</f>
        <v>0</v>
      </c>
      <c r="M35" s="87"/>
      <c r="N35" s="1179" t="str">
        <f>IF(ISERROR(O35),"",IF((O35="Error"),"add explanation",IF((O35="Warning"),"add explanation","")))</f>
        <v/>
      </c>
      <c r="O35" s="256" t="str">
        <f t="shared" si="0"/>
        <v/>
      </c>
      <c r="P35" s="87"/>
      <c r="Q35" s="98" t="str">
        <f t="shared" si="1"/>
        <v/>
      </c>
      <c r="AD35" s="609">
        <f>VLOOKUP("RO1"&amp;$B35,data_val_parameters,8,0)/100</f>
        <v>0.6</v>
      </c>
      <c r="AE35" s="609">
        <f>VLOOKUP("RO1"&amp;$B35,data_val_parameters,7,0)</f>
        <v>4000</v>
      </c>
      <c r="AF35" s="609" t="e">
        <f>VLOOKUP(LA_code,data_prev_year,MATCH("RO1"&amp;$B35&amp;"7",data_prev_year_headers,0),0)</f>
        <v>#N/A</v>
      </c>
      <c r="AG35" s="609" t="e">
        <f>AF35+AE35</f>
        <v>#N/A</v>
      </c>
      <c r="AH35" s="609" t="e">
        <f>AF35-AE35</f>
        <v>#N/A</v>
      </c>
      <c r="AI35" s="636" t="e">
        <f>AF35+(AF35*AD35)</f>
        <v>#N/A</v>
      </c>
      <c r="AJ35" s="636" t="e">
        <f>AF35-(AF35*AD35)</f>
        <v>#N/A</v>
      </c>
      <c r="AK35" s="609" t="e">
        <f>IF(OR(L35&lt;AH35,L35&gt;AG35),"Warning","")</f>
        <v>#N/A</v>
      </c>
      <c r="AL35" s="609" t="e">
        <f>IF(OR(L35&gt;(AI35),L35&lt;(AJ35)),"Warning","")</f>
        <v>#N/A</v>
      </c>
      <c r="AM35" s="609" t="str">
        <f>IF(OR(L35=0),"",IF(AND(AK35="Warning",AL35="Warning"),"Warning",""))</f>
        <v/>
      </c>
      <c r="AN35" s="609" t="str">
        <f t="shared" si="5"/>
        <v/>
      </c>
      <c r="AO35" s="609"/>
    </row>
    <row r="36" spans="1:108" ht="15.5" x14ac:dyDescent="0.35">
      <c r="A36" s="584"/>
      <c r="B36" s="84"/>
      <c r="C36" s="84"/>
      <c r="D36" s="41"/>
      <c r="E36" s="24"/>
      <c r="F36" s="24"/>
      <c r="G36" s="36"/>
      <c r="H36" s="24"/>
      <c r="I36" s="24"/>
      <c r="J36" s="24"/>
      <c r="K36" s="36"/>
      <c r="L36" s="36"/>
      <c r="M36" s="87"/>
      <c r="N36" s="1181"/>
      <c r="O36" s="256"/>
      <c r="P36" s="87"/>
      <c r="Q36" s="98"/>
      <c r="AO36" s="609"/>
    </row>
    <row r="37" spans="1:108" ht="15.5" x14ac:dyDescent="0.35">
      <c r="A37" s="584" t="s">
        <v>736</v>
      </c>
      <c r="B37" s="84">
        <v>45</v>
      </c>
      <c r="C37" s="241" t="s">
        <v>737</v>
      </c>
      <c r="D37" s="186"/>
      <c r="E37" s="1398"/>
      <c r="F37" s="1398"/>
      <c r="G37" s="1401">
        <f>SUM(E37:F37)</f>
        <v>0</v>
      </c>
      <c r="H37" s="1400"/>
      <c r="I37" s="1398"/>
      <c r="J37" s="1398"/>
      <c r="K37" s="1399">
        <f>SUM(I37:J37)</f>
        <v>0</v>
      </c>
      <c r="L37" s="1399">
        <f>G37-K37</f>
        <v>0</v>
      </c>
      <c r="M37" s="87"/>
      <c r="N37" s="1179" t="str">
        <f>IF(ISERROR(O37),"",IF((O37="Error"),"add explanation",IF((O37="Warning"),"add explanation","")))</f>
        <v/>
      </c>
      <c r="O37" s="256" t="str">
        <f t="shared" si="0"/>
        <v/>
      </c>
      <c r="P37" s="87"/>
      <c r="Q37" s="98" t="str">
        <f t="shared" si="1"/>
        <v/>
      </c>
      <c r="AD37" s="609">
        <f>VLOOKUP("RO1"&amp;$B37,data_val_parameters,8,0)/100</f>
        <v>0.6</v>
      </c>
      <c r="AE37" s="609">
        <f>VLOOKUP("RO1"&amp;$B37,data_val_parameters,7,0)</f>
        <v>8000</v>
      </c>
      <c r="AF37" s="609" t="e">
        <f>VLOOKUP(LA_code,data_prev_year,MATCH("RO1"&amp;$B37&amp;"7",data_prev_year_headers,0),0)</f>
        <v>#N/A</v>
      </c>
      <c r="AG37" s="609" t="e">
        <f>AF37+AE37</f>
        <v>#N/A</v>
      </c>
      <c r="AH37" s="609" t="e">
        <f>AF37-AE37</f>
        <v>#N/A</v>
      </c>
      <c r="AI37" s="636" t="e">
        <f>AF37+(AF37*AD37)</f>
        <v>#N/A</v>
      </c>
      <c r="AJ37" s="636" t="e">
        <f>AF37-(AF37*AD37)</f>
        <v>#N/A</v>
      </c>
      <c r="AK37" s="609" t="e">
        <f>IF(OR(L37&lt;AH37,L37&gt;AG37),"Warning","")</f>
        <v>#N/A</v>
      </c>
      <c r="AL37" s="609" t="e">
        <f>IF(OR(L37&gt;(AI37),L37&lt;(AJ37)),"Warning","")</f>
        <v>#N/A</v>
      </c>
      <c r="AM37" s="609" t="str">
        <f>IF(OR(L37=0),"",IF(AND(AK37="Warning",AL37="Warning"),"Warning",""))</f>
        <v/>
      </c>
      <c r="AN37" s="609" t="str">
        <f t="shared" si="5"/>
        <v/>
      </c>
      <c r="AO37" s="609"/>
    </row>
    <row r="38" spans="1:108" ht="15.5" x14ac:dyDescent="0.35">
      <c r="A38" s="584" t="s">
        <v>738</v>
      </c>
      <c r="B38" s="84">
        <v>65</v>
      </c>
      <c r="C38" s="241" t="s">
        <v>739</v>
      </c>
      <c r="D38" s="186"/>
      <c r="E38" s="1398"/>
      <c r="F38" s="1398"/>
      <c r="G38" s="1401">
        <f>SUM(E38:F38)</f>
        <v>0</v>
      </c>
      <c r="H38" s="1400"/>
      <c r="I38" s="1398"/>
      <c r="J38" s="1398"/>
      <c r="K38" s="1399">
        <f>SUM(I38:J38)</f>
        <v>0</v>
      </c>
      <c r="L38" s="1399">
        <f>G38-K38</f>
        <v>0</v>
      </c>
      <c r="M38" s="87"/>
      <c r="N38" s="1179" t="str">
        <f>IF(ISERROR(O38),"",IF((O38="Error"),"add explanation",IF((O38="Warning"),"add explanation","")))</f>
        <v/>
      </c>
      <c r="O38" s="256" t="str">
        <f t="shared" si="0"/>
        <v/>
      </c>
      <c r="P38" s="87"/>
      <c r="Q38" s="98" t="str">
        <f t="shared" si="1"/>
        <v/>
      </c>
      <c r="AD38" s="609">
        <f>VLOOKUP("RO1"&amp;$B38,data_val_parameters,8,0)/100</f>
        <v>0.6</v>
      </c>
      <c r="AE38" s="609">
        <f>VLOOKUP("RO1"&amp;$B38,data_val_parameters,7,0)</f>
        <v>4000</v>
      </c>
      <c r="AF38" s="609" t="e">
        <f>VLOOKUP(LA_code,data_prev_year,MATCH("RO1"&amp;$B38&amp;"7",data_prev_year_headers,0),0)</f>
        <v>#N/A</v>
      </c>
      <c r="AG38" s="609" t="e">
        <f>AF38+AE38</f>
        <v>#N/A</v>
      </c>
      <c r="AH38" s="609" t="e">
        <f>AF38-AE38</f>
        <v>#N/A</v>
      </c>
      <c r="AI38" s="636" t="e">
        <f>AF38+(AF38*AD38)</f>
        <v>#N/A</v>
      </c>
      <c r="AJ38" s="636" t="e">
        <f>AF38-(AF38*AD38)</f>
        <v>#N/A</v>
      </c>
      <c r="AK38" s="609" t="e">
        <f>IF(OR(L38&lt;AH38,L38&gt;AG38),"Warning","")</f>
        <v>#N/A</v>
      </c>
      <c r="AL38" s="609" t="e">
        <f>IF(OR(L38&gt;(AI38),L38&lt;(AJ38)),"Warning","")</f>
        <v>#N/A</v>
      </c>
      <c r="AM38" s="609" t="str">
        <f>IF(OR(L38=0),"",IF(AND(AK38="Warning",AL38="Warning"),"Warning",""))</f>
        <v/>
      </c>
      <c r="AN38" s="609" t="str">
        <f t="shared" si="5"/>
        <v/>
      </c>
      <c r="AO38" s="609"/>
    </row>
    <row r="39" spans="1:108" ht="15.5" x14ac:dyDescent="0.35">
      <c r="A39" s="584"/>
      <c r="B39" s="160"/>
      <c r="C39" s="160"/>
      <c r="D39" s="46"/>
      <c r="E39" s="24"/>
      <c r="F39" s="24"/>
      <c r="G39" s="36"/>
      <c r="H39" s="24"/>
      <c r="I39" s="24"/>
      <c r="J39" s="24"/>
      <c r="K39" s="36"/>
      <c r="L39" s="36"/>
      <c r="M39" s="87"/>
      <c r="N39" s="1181"/>
      <c r="O39" s="256"/>
      <c r="P39" s="87"/>
      <c r="Q39" s="98"/>
      <c r="AO39" s="609"/>
    </row>
    <row r="40" spans="1:108" ht="15.5" x14ac:dyDescent="0.35">
      <c r="A40" s="584"/>
      <c r="B40" s="242"/>
      <c r="C40" s="242"/>
      <c r="D40" s="41"/>
      <c r="E40" s="24"/>
      <c r="F40" s="24"/>
      <c r="G40" s="82"/>
      <c r="H40" s="24"/>
      <c r="I40" s="24"/>
      <c r="J40" s="24"/>
      <c r="K40" s="82"/>
      <c r="L40" s="82"/>
      <c r="M40" s="87"/>
      <c r="N40" s="1181"/>
      <c r="O40" s="256"/>
      <c r="P40" s="87"/>
      <c r="Q40" s="98"/>
      <c r="AO40" s="609"/>
    </row>
    <row r="41" spans="1:108" s="1008" customFormat="1" ht="15.5" x14ac:dyDescent="0.35">
      <c r="A41" s="588" t="s">
        <v>740</v>
      </c>
      <c r="B41" s="89">
        <v>90</v>
      </c>
      <c r="C41" s="243" t="s">
        <v>741</v>
      </c>
      <c r="D41" s="186"/>
      <c r="E41" s="1399">
        <f t="shared" ref="E41:L41" si="6">SUM(E32:E35,E37:E38)</f>
        <v>0</v>
      </c>
      <c r="F41" s="1402">
        <f t="shared" si="6"/>
        <v>0</v>
      </c>
      <c r="G41" s="1399">
        <f t="shared" si="6"/>
        <v>0</v>
      </c>
      <c r="H41" s="1295">
        <f t="shared" si="6"/>
        <v>0</v>
      </c>
      <c r="I41" s="1399">
        <f>SUM(I32:I35,I37:I38)</f>
        <v>0</v>
      </c>
      <c r="J41" s="1399">
        <f t="shared" si="6"/>
        <v>0</v>
      </c>
      <c r="K41" s="1290">
        <f t="shared" si="6"/>
        <v>0</v>
      </c>
      <c r="L41" s="1295">
        <f t="shared" si="6"/>
        <v>0</v>
      </c>
      <c r="M41" s="68"/>
      <c r="N41" s="1179" t="str">
        <f>IF(ISERROR(O41),"",IF((O41="Error"),"add explanation",IF((O41="Warning"),"add explanation","")))</f>
        <v/>
      </c>
      <c r="O41" s="256" t="str">
        <f>IF(OR((K41&lt;&gt;(I41+J41)),(G41&lt;&gt;(E41+F41)),(L41&lt;&gt;(G41-K41))),"Error",IF(AM41="Warning","Warning",""))</f>
        <v/>
      </c>
      <c r="P41" s="87"/>
      <c r="Q41" s="98" t="str">
        <f>IF($O41="Error","A total column for "&amp;($C41)&amp;" does not match the sum of the components, please correct",IF($O41="Warning","This year's figure is over "&amp;AE41/1000&amp;" million and "&amp;(AD41*100)&amp;"% different to "&amp;TEXT(AF41,"#,###")&amp;" last year, please explain",""))</f>
        <v/>
      </c>
      <c r="R41" s="690"/>
      <c r="S41" s="609"/>
      <c r="T41" s="680"/>
      <c r="U41" s="680"/>
      <c r="V41" s="680"/>
      <c r="W41" s="680"/>
      <c r="X41" s="680"/>
      <c r="Y41" s="680"/>
      <c r="Z41" s="680"/>
      <c r="AA41" s="680"/>
      <c r="AB41" s="680"/>
      <c r="AC41" s="680"/>
      <c r="AD41" s="680"/>
      <c r="AE41" s="680"/>
      <c r="AF41" s="680"/>
      <c r="AG41" s="680"/>
      <c r="AH41" s="680"/>
      <c r="AI41" s="680"/>
      <c r="AJ41" s="680"/>
      <c r="AK41" s="680"/>
      <c r="AL41" s="680"/>
      <c r="AM41" s="680"/>
      <c r="AN41" s="680"/>
      <c r="AO41" s="609"/>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row>
    <row r="42" spans="1:108" ht="63.75" customHeight="1" x14ac:dyDescent="0.35">
      <c r="A42" s="584"/>
      <c r="B42" s="87"/>
      <c r="C42" s="186"/>
      <c r="D42" s="186"/>
      <c r="E42" s="24"/>
      <c r="F42" s="1403"/>
      <c r="G42" s="1211"/>
      <c r="H42" s="1212" t="s">
        <v>742</v>
      </c>
      <c r="I42" s="24"/>
      <c r="J42" s="24"/>
      <c r="K42" s="82"/>
      <c r="L42" s="1212" t="s">
        <v>743</v>
      </c>
      <c r="M42" s="87"/>
      <c r="N42" s="462"/>
      <c r="O42" s="97"/>
      <c r="P42" s="87"/>
      <c r="Q42" s="98"/>
      <c r="AO42" s="609"/>
    </row>
    <row r="43" spans="1:108" ht="46.5" x14ac:dyDescent="0.35">
      <c r="A43" s="584"/>
      <c r="B43" s="87"/>
      <c r="C43" s="186"/>
      <c r="D43" s="186"/>
      <c r="E43" s="24"/>
      <c r="F43" s="443" t="s">
        <v>744</v>
      </c>
      <c r="G43" s="82"/>
      <c r="H43" s="1199" t="str" cm="1">
        <f t="array" ref="H43">IF(SUMPRODUCT(--(H32:H41 &gt; G32:G41)),"Error","")</f>
        <v/>
      </c>
      <c r="I43" s="24" t="str">
        <f>IF(H43="Error","A figure in the central MSS column is greater than total expenditure for that line","")</f>
        <v/>
      </c>
      <c r="J43" s="24"/>
      <c r="K43" s="82"/>
      <c r="L43" s="494"/>
      <c r="M43" s="87"/>
      <c r="N43" s="462"/>
      <c r="O43" s="97"/>
      <c r="P43" s="87"/>
      <c r="Q43" s="98"/>
      <c r="AO43" s="609"/>
    </row>
    <row r="44" spans="1:108" ht="15.5" x14ac:dyDescent="0.35">
      <c r="A44" s="584"/>
      <c r="B44" s="87"/>
      <c r="C44" s="87"/>
      <c r="D44" s="87"/>
      <c r="E44" s="24"/>
      <c r="F44" s="271" t="s">
        <v>745</v>
      </c>
      <c r="G44" s="82"/>
      <c r="H44" s="271"/>
      <c r="J44" s="24"/>
      <c r="K44" s="82"/>
      <c r="L44" s="82"/>
      <c r="M44" s="87"/>
      <c r="N44" s="87"/>
      <c r="O44" s="97"/>
      <c r="P44" s="87"/>
      <c r="Q44" s="98"/>
      <c r="AO44" s="609"/>
    </row>
    <row r="45" spans="1:108" ht="15.5" x14ac:dyDescent="0.35">
      <c r="A45" s="584" t="s">
        <v>746</v>
      </c>
      <c r="B45" s="1023">
        <v>1901</v>
      </c>
      <c r="C45" s="1023" t="s">
        <v>747</v>
      </c>
      <c r="D45" s="87"/>
      <c r="E45" s="87"/>
      <c r="F45" s="1270"/>
      <c r="G45" s="87"/>
      <c r="J45" s="87"/>
      <c r="K45" s="87"/>
      <c r="L45" s="87"/>
      <c r="M45" s="87"/>
      <c r="N45" s="87"/>
      <c r="O45" s="87"/>
      <c r="P45" s="87"/>
      <c r="AO45" s="609"/>
    </row>
    <row r="46" spans="1:108" ht="15.5" x14ac:dyDescent="0.35">
      <c r="J46" s="443"/>
      <c r="AO46" s="609"/>
    </row>
    <row r="47" spans="1:108" ht="15.5" x14ac:dyDescent="0.35">
      <c r="J47" s="271"/>
      <c r="AO47" s="609"/>
    </row>
    <row r="48" spans="1:108" ht="15.5" x14ac:dyDescent="0.35">
      <c r="A48" t="s">
        <v>748</v>
      </c>
      <c r="B48" s="1023">
        <v>1902</v>
      </c>
      <c r="C48" s="1023" t="s">
        <v>749</v>
      </c>
      <c r="J48" s="1270"/>
      <c r="K48" s="1213" t="s">
        <v>750</v>
      </c>
      <c r="AO48" s="609"/>
    </row>
    <row r="49" spans="10:41" ht="13" x14ac:dyDescent="0.3">
      <c r="J49" s="1210"/>
      <c r="AO49" s="609"/>
    </row>
    <row r="50" spans="10:41" x14ac:dyDescent="0.25"/>
    <row r="51" spans="10:41" x14ac:dyDescent="0.25"/>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47" priority="20" operator="containsText" text="resolve">
      <formula>NOT(ISERROR(SEARCH("resolve",B18)))</formula>
    </cfRule>
  </conditionalFormatting>
  <conditionalFormatting sqref="C18">
    <cfRule type="expression" dxfId="146" priority="10">
      <formula>ISNUMBER(SEARCH(AB18,B18))</formula>
    </cfRule>
  </conditionalFormatting>
  <conditionalFormatting sqref="D18">
    <cfRule type="expression" dxfId="145" priority="9">
      <formula>ISNUMBER(SEARCH(AB18,B18))</formula>
    </cfRule>
  </conditionalFormatting>
  <conditionalFormatting sqref="E18">
    <cfRule type="expression" dxfId="144" priority="8">
      <formula>ISNUMBER(SEARCH(AB18,B18))</formula>
    </cfRule>
  </conditionalFormatting>
  <conditionalFormatting sqref="F18">
    <cfRule type="expression" dxfId="143" priority="7">
      <formula>ISNUMBER(SEARCH(AB18,B18))</formula>
    </cfRule>
  </conditionalFormatting>
  <conditionalFormatting sqref="G18:H18">
    <cfRule type="expression" dxfId="142" priority="6">
      <formula>ISNUMBER(SEARCH(AB18,B18))</formula>
    </cfRule>
  </conditionalFormatting>
  <conditionalFormatting sqref="H43">
    <cfRule type="containsText" dxfId="141" priority="1" operator="containsText" text="Error">
      <formula>NOT(ISERROR(SEARCH("Error",H43)))</formula>
    </cfRule>
  </conditionalFormatting>
  <conditionalFormatting sqref="I18">
    <cfRule type="expression" dxfId="140" priority="5">
      <formula>ISNUMBER(SEARCH(AB18,B18))</formula>
    </cfRule>
  </conditionalFormatting>
  <conditionalFormatting sqref="J18">
    <cfRule type="expression" dxfId="139" priority="4">
      <formula>ISNUMBER(SEARCH(AB18,B18))</formula>
    </cfRule>
  </conditionalFormatting>
  <conditionalFormatting sqref="K18">
    <cfRule type="expression" dxfId="138" priority="3">
      <formula>ISNUMBER(SEARCH(AB18,B18))</formula>
    </cfRule>
  </conditionalFormatting>
  <conditionalFormatting sqref="L18">
    <cfRule type="expression" dxfId="137" priority="2">
      <formula>ISNUMBER(SEARCH(AB18,B18))</formula>
    </cfRule>
  </conditionalFormatting>
  <conditionalFormatting sqref="O32:O44">
    <cfRule type="containsText" dxfId="136" priority="21" operator="containsText" text="Information">
      <formula>NOT(ISERROR(SEARCH("Information",O32)))</formula>
    </cfRule>
    <cfRule type="containsText" dxfId="135" priority="22" operator="containsText" text="Warning">
      <formula>NOT(ISERROR(SEARCH("Warning",O32)))</formula>
    </cfRule>
    <cfRule type="containsText" dxfId="134" priority="23" operator="containsText" text="Error">
      <formula>NOT(ISERROR(SEARCH("Error",O32)))</formula>
    </cfRule>
  </conditionalFormatting>
  <hyperlinks>
    <hyperlink ref="N32" location="Memo!C324" display="Memo!C324" xr:uid="{00000000-0004-0000-0400-000000000000}"/>
    <hyperlink ref="N33" location="Memo!C325" display="Memo!C325" xr:uid="{00000000-0004-0000-0400-000001000000}"/>
    <hyperlink ref="N34" location="Memo!C300" display="Memo!C300" xr:uid="{00000000-0004-0000-0400-000002000000}"/>
    <hyperlink ref="N35" location="Memo!C301" display="Memo!C301" xr:uid="{00000000-0004-0000-0400-000003000000}"/>
    <hyperlink ref="N37" location="Memo!C302" display="Memo!C302" xr:uid="{00000000-0004-0000-0400-000004000000}"/>
    <hyperlink ref="N38" location="Memo!C303" display="Memo!C303" xr:uid="{00000000-0004-0000-0400-000005000000}"/>
    <hyperlink ref="N41" location="Memo!B1" display="Memo!B1" xr:uid="{00000000-0004-0000-0400-000006000000}"/>
    <hyperlink ref="N32:N38" location="Memo!B1" display="Memo!B1" xr:uid="{E38089BA-F9E9-4943-B1F8-6D6AF7010B2E}"/>
    <hyperlink ref="N32:N41" location="Memo!C322" display="Memo!C322" xr:uid="{E2A44EA5-E3B3-4F29-B109-7D272E73A57E}"/>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DB106"/>
  <sheetViews>
    <sheetView showGridLines="0" topLeftCell="B1" zoomScale="80" zoomScaleNormal="80" workbookViewId="0">
      <pane ySplit="2" topLeftCell="A3" activePane="bottomLeft" state="frozen"/>
      <selection pane="bottomLeft" activeCell="B2" sqref="B2"/>
    </sheetView>
  </sheetViews>
  <sheetFormatPr defaultColWidth="0" defaultRowHeight="12.5" zeroHeight="1" x14ac:dyDescent="0.25"/>
  <cols>
    <col min="1" max="1" width="27.453125" style="587" hidden="1" customWidth="1"/>
    <col min="2" max="2" width="12.54296875" customWidth="1"/>
    <col min="3" max="3" width="85.7265625" customWidth="1"/>
    <col min="4" max="4" width="6.7265625" customWidth="1"/>
    <col min="5" max="7" width="16.7265625" customWidth="1"/>
    <col min="8" max="8" width="20.54296875" bestFit="1" customWidth="1"/>
    <col min="9" max="12" width="16.7265625" customWidth="1"/>
    <col min="13" max="13" width="5.81640625" customWidth="1"/>
    <col min="14" max="15" width="16.7265625" customWidth="1"/>
    <col min="16" max="16" width="2.7265625" customWidth="1"/>
    <col min="17" max="17" width="102.7265625" hidden="1" customWidth="1"/>
    <col min="18" max="18" width="9.26953125" style="609" hidden="1" customWidth="1"/>
    <col min="19" max="40" width="12.81640625" style="609" hidden="1" customWidth="1"/>
    <col min="41" max="41" width="70.54296875" style="609" hidden="1" customWidth="1"/>
    <col min="42" max="42" width="6.54296875" style="609" hidden="1" customWidth="1"/>
    <col min="43" max="16384" width="8.7265625" hidden="1"/>
  </cols>
  <sheetData>
    <row r="1" spans="1:54" ht="42" hidden="1" customHeight="1" x14ac:dyDescent="0.3">
      <c r="A1" s="585" t="s">
        <v>751</v>
      </c>
      <c r="B1" s="585" t="s">
        <v>43</v>
      </c>
      <c r="C1" s="508" t="s">
        <v>752</v>
      </c>
      <c r="D1" s="585"/>
      <c r="E1" s="585" t="s">
        <v>437</v>
      </c>
      <c r="F1" s="585" t="s">
        <v>438</v>
      </c>
      <c r="G1" s="585" t="s">
        <v>439</v>
      </c>
      <c r="H1" s="585" t="s">
        <v>440</v>
      </c>
      <c r="I1" s="585" t="s">
        <v>441</v>
      </c>
      <c r="J1" s="585" t="s">
        <v>442</v>
      </c>
      <c r="K1" s="585" t="s">
        <v>443</v>
      </c>
      <c r="L1" s="585" t="s">
        <v>444</v>
      </c>
      <c r="M1" s="584" t="s">
        <v>46</v>
      </c>
      <c r="N1" s="584" t="s">
        <v>47</v>
      </c>
      <c r="O1" s="585" t="s">
        <v>48</v>
      </c>
      <c r="Q1" s="686"/>
      <c r="R1" s="639" t="s">
        <v>49</v>
      </c>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row>
    <row r="2" spans="1:54" ht="60" customHeight="1" x14ac:dyDescent="0.3">
      <c r="A2" s="585" t="s">
        <v>753</v>
      </c>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48"/>
      <c r="R2" s="1009" t="s">
        <v>51</v>
      </c>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row>
    <row r="3" spans="1:54" ht="12.75" customHeight="1" x14ac:dyDescent="0.35">
      <c r="A3" s="585"/>
      <c r="B3" s="131"/>
      <c r="C3" s="131"/>
      <c r="D3" s="132"/>
      <c r="E3" s="133"/>
      <c r="F3" s="2"/>
      <c r="G3" s="2"/>
      <c r="H3" s="2"/>
      <c r="I3" s="40"/>
      <c r="J3" s="134"/>
      <c r="K3" s="87"/>
      <c r="L3" s="87"/>
      <c r="M3" s="87"/>
      <c r="N3" s="87"/>
      <c r="O3" s="87"/>
      <c r="P3" s="87"/>
    </row>
    <row r="4" spans="1:54" ht="27.75" customHeight="1" x14ac:dyDescent="0.6">
      <c r="A4" s="585"/>
      <c r="B4" s="131"/>
      <c r="C4" s="131"/>
      <c r="D4" s="132"/>
      <c r="E4" s="133"/>
      <c r="F4" s="2"/>
      <c r="G4" s="2"/>
      <c r="H4" s="2"/>
      <c r="I4" s="87"/>
      <c r="J4" s="87"/>
      <c r="K4" s="87"/>
      <c r="L4" s="87"/>
      <c r="M4" s="87"/>
      <c r="N4" s="87"/>
      <c r="O4" s="118" t="str">
        <f>"RO2 "&amp;YearForm</f>
        <v>RO2 2025-26</v>
      </c>
      <c r="P4" s="87"/>
    </row>
    <row r="5" spans="1:54" ht="12.75" customHeight="1" x14ac:dyDescent="0.35">
      <c r="A5" s="585"/>
      <c r="B5" s="131"/>
      <c r="C5" s="131"/>
      <c r="D5" s="132"/>
      <c r="E5" s="133"/>
      <c r="F5" s="2"/>
      <c r="G5" s="2"/>
      <c r="H5" s="2"/>
      <c r="I5" s="87"/>
      <c r="J5" s="87"/>
      <c r="K5" s="87"/>
      <c r="L5" s="87"/>
      <c r="M5" s="87"/>
      <c r="N5" s="87"/>
      <c r="O5" s="87"/>
      <c r="P5" s="87"/>
    </row>
    <row r="6" spans="1:54" ht="12.75" customHeight="1" x14ac:dyDescent="0.35">
      <c r="A6" s="585"/>
      <c r="B6" s="131"/>
      <c r="C6" s="131"/>
      <c r="D6" s="132"/>
      <c r="E6" s="133"/>
      <c r="F6" s="2"/>
      <c r="G6" s="2"/>
      <c r="H6" s="2"/>
      <c r="I6" s="87"/>
      <c r="J6" s="87"/>
      <c r="K6" s="87"/>
      <c r="L6" s="87"/>
      <c r="M6" s="87"/>
      <c r="N6" s="87"/>
      <c r="O6" s="87"/>
      <c r="P6" s="87"/>
    </row>
    <row r="7" spans="1:54" ht="12.75" customHeight="1" x14ac:dyDescent="0.35">
      <c r="A7" s="585"/>
      <c r="B7" s="131"/>
      <c r="C7" s="131"/>
      <c r="D7" s="132"/>
      <c r="E7" s="133"/>
      <c r="F7" s="2"/>
      <c r="G7" s="2"/>
      <c r="H7" s="2"/>
      <c r="I7" s="87"/>
      <c r="J7" s="87"/>
      <c r="K7" s="87"/>
      <c r="L7" s="87"/>
      <c r="M7" s="87"/>
      <c r="N7" s="87"/>
      <c r="O7" s="87"/>
      <c r="P7" s="87"/>
      <c r="R7" s="631"/>
      <c r="T7" s="631"/>
      <c r="U7" s="625"/>
    </row>
    <row r="8" spans="1:54" ht="12.75" customHeight="1" x14ac:dyDescent="0.35">
      <c r="A8" s="585"/>
      <c r="B8" s="131"/>
      <c r="C8" s="131"/>
      <c r="D8" s="132"/>
      <c r="E8" s="133"/>
      <c r="F8" s="2"/>
      <c r="G8" s="2"/>
      <c r="H8" s="2"/>
      <c r="I8" s="87"/>
      <c r="J8" s="87"/>
      <c r="K8" s="87"/>
      <c r="L8" s="87"/>
      <c r="M8" s="87"/>
      <c r="N8" s="87"/>
      <c r="O8" s="87"/>
      <c r="P8" s="87"/>
      <c r="R8" s="631"/>
      <c r="S8" s="681"/>
      <c r="T8" s="631"/>
      <c r="U8" s="625"/>
    </row>
    <row r="9" spans="1:54" ht="12.75" customHeight="1" x14ac:dyDescent="0.35">
      <c r="A9" s="585"/>
      <c r="B9" s="131"/>
      <c r="C9" s="131"/>
      <c r="D9" s="132"/>
      <c r="E9" s="133"/>
      <c r="F9" s="2"/>
      <c r="G9" s="2"/>
      <c r="H9" s="2"/>
      <c r="I9" s="87"/>
      <c r="J9" s="87"/>
      <c r="K9" s="87"/>
      <c r="L9" s="87"/>
      <c r="M9" s="87"/>
      <c r="N9" s="87"/>
      <c r="O9" s="87"/>
      <c r="P9" s="87"/>
      <c r="R9" s="631"/>
      <c r="S9" s="681"/>
      <c r="T9" s="631"/>
      <c r="U9" s="625"/>
    </row>
    <row r="10" spans="1:54" s="99" customFormat="1" ht="33" customHeight="1" x14ac:dyDescent="0.25">
      <c r="A10" s="590"/>
      <c r="B10" s="1468" t="str">
        <f>RS!$B$11</f>
        <v>General Fund Revenue Account Outturn</v>
      </c>
      <c r="C10" s="1468"/>
      <c r="D10" s="1468"/>
      <c r="E10" s="1468"/>
      <c r="F10" s="1468"/>
      <c r="G10" s="1468"/>
      <c r="H10" s="1468"/>
      <c r="I10" s="1468"/>
      <c r="J10" s="1468"/>
      <c r="K10" s="1468"/>
      <c r="L10" s="1468"/>
      <c r="M10" s="1468"/>
      <c r="N10" s="1468"/>
      <c r="O10" s="1468"/>
      <c r="P10" s="136"/>
      <c r="R10" s="682"/>
      <c r="S10" s="683"/>
      <c r="T10" s="682"/>
      <c r="U10" s="684"/>
      <c r="V10" s="613"/>
      <c r="W10" s="613"/>
      <c r="X10" s="613"/>
      <c r="Y10" s="613"/>
      <c r="Z10" s="613"/>
      <c r="AA10" s="613"/>
      <c r="AB10" s="613"/>
      <c r="AC10" s="613"/>
      <c r="AD10" s="613"/>
      <c r="AE10" s="613"/>
      <c r="AF10" s="613"/>
      <c r="AG10" s="613"/>
      <c r="AH10" s="613"/>
      <c r="AI10" s="613"/>
      <c r="AJ10" s="613"/>
      <c r="AK10" s="613"/>
      <c r="AL10" s="613"/>
      <c r="AM10" s="613"/>
      <c r="AN10" s="613"/>
      <c r="AO10" s="613"/>
      <c r="AP10" s="613"/>
    </row>
    <row r="11" spans="1:54" s="99" customFormat="1" ht="33" customHeight="1" x14ac:dyDescent="0.25">
      <c r="A11" s="590"/>
      <c r="B11" s="1459" t="str">
        <f>"RO2 – HIGHWAYS AND TRANSPORT SERVICES "&amp;YearForm</f>
        <v>RO2 – HIGHWAYS AND TRANSPORT SERVICES 2025-26</v>
      </c>
      <c r="C11" s="1460"/>
      <c r="D11" s="1460"/>
      <c r="E11" s="1460"/>
      <c r="F11" s="1460"/>
      <c r="G11" s="1460"/>
      <c r="H11" s="1460"/>
      <c r="I11" s="1460"/>
      <c r="J11" s="1460"/>
      <c r="K11" s="1460"/>
      <c r="L11" s="1460"/>
      <c r="M11" s="1460"/>
      <c r="N11" s="1460"/>
      <c r="O11" s="1460"/>
      <c r="P11" s="136"/>
      <c r="R11" s="682"/>
      <c r="S11" s="683"/>
      <c r="T11" s="682"/>
      <c r="U11" s="684"/>
      <c r="V11" s="613"/>
      <c r="W11" s="613"/>
      <c r="X11" s="613"/>
      <c r="Y11" s="613"/>
      <c r="Z11" s="613"/>
      <c r="AA11" s="613"/>
      <c r="AB11" s="613"/>
      <c r="AC11" s="613"/>
      <c r="AD11" s="613"/>
      <c r="AE11" s="613"/>
      <c r="AF11" s="613"/>
      <c r="AG11" s="613"/>
      <c r="AH11" s="613"/>
      <c r="AI11" s="613"/>
      <c r="AJ11" s="613"/>
      <c r="AK11" s="613"/>
      <c r="AL11" s="613"/>
      <c r="AM11" s="613"/>
      <c r="AN11" s="613"/>
      <c r="AO11" s="613"/>
      <c r="AP11" s="613"/>
    </row>
    <row r="12" spans="1:54" ht="14.15" customHeight="1" x14ac:dyDescent="0.35">
      <c r="A12" s="585"/>
      <c r="B12" s="131"/>
      <c r="C12" s="131"/>
      <c r="D12" s="132"/>
      <c r="E12" s="133"/>
      <c r="F12" s="2"/>
      <c r="G12" s="2"/>
      <c r="H12" s="2"/>
      <c r="I12" s="87"/>
      <c r="J12" s="87"/>
      <c r="K12" s="87"/>
      <c r="L12" s="87"/>
      <c r="M12" s="87"/>
      <c r="N12" s="87"/>
      <c r="O12" s="87"/>
      <c r="P12" s="87"/>
      <c r="R12" s="631"/>
      <c r="S12" s="681"/>
      <c r="T12" s="631"/>
      <c r="U12" s="625"/>
    </row>
    <row r="13" spans="1:54" ht="18.75" customHeight="1" x14ac:dyDescent="0.4">
      <c r="A13" s="585"/>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c r="P13" s="87"/>
      <c r="R13" s="631"/>
      <c r="S13" s="681"/>
      <c r="T13" s="631"/>
      <c r="U13" s="625"/>
    </row>
    <row r="14" spans="1:54" ht="12" customHeight="1" x14ac:dyDescent="0.3">
      <c r="A14" s="585"/>
      <c r="B14" s="40"/>
      <c r="C14" s="40"/>
      <c r="D14" s="40"/>
      <c r="E14" s="40"/>
      <c r="F14" s="40"/>
      <c r="G14" s="40"/>
      <c r="H14" s="40"/>
      <c r="I14" s="40"/>
      <c r="J14" s="40"/>
      <c r="K14" s="40"/>
      <c r="L14" s="90"/>
      <c r="M14" s="40"/>
      <c r="N14" s="40"/>
      <c r="O14" s="40"/>
      <c r="P14" s="40"/>
      <c r="Q14" s="1"/>
    </row>
    <row r="15" spans="1:54" ht="21" customHeight="1" x14ac:dyDescent="0.3">
      <c r="A15" s="585"/>
      <c r="B15" s="1502" t="s">
        <v>725</v>
      </c>
      <c r="C15" s="1502"/>
      <c r="D15" s="1502"/>
      <c r="E15" s="1502"/>
      <c r="F15" s="1502"/>
      <c r="G15" s="1502"/>
      <c r="H15" s="1502"/>
      <c r="I15" s="1502"/>
      <c r="J15" s="1502"/>
      <c r="K15" s="1502"/>
      <c r="L15" s="1502"/>
      <c r="M15" s="1502"/>
      <c r="N15" s="1502"/>
      <c r="O15" s="1502"/>
      <c r="P15" s="94"/>
      <c r="Q15" s="345"/>
    </row>
    <row r="16" spans="1:54" ht="21" customHeight="1" x14ac:dyDescent="0.3">
      <c r="A16" s="585"/>
      <c r="B16" s="1499" t="s">
        <v>57</v>
      </c>
      <c r="C16" s="1499"/>
      <c r="D16" s="1499"/>
      <c r="E16" s="1499"/>
      <c r="F16" s="1499"/>
      <c r="G16" s="1499"/>
      <c r="H16" s="1499"/>
      <c r="I16" s="1499"/>
      <c r="J16" s="1499"/>
      <c r="K16" s="1499"/>
      <c r="L16" s="1499"/>
      <c r="M16" s="1499"/>
      <c r="N16" s="1499"/>
      <c r="O16" s="1499"/>
      <c r="P16" s="40"/>
      <c r="Q16" s="1"/>
    </row>
    <row r="17" spans="1:40" ht="20" x14ac:dyDescent="0.35">
      <c r="A17" s="585"/>
      <c r="B17" s="139" t="str">
        <f>TRIM(LEFT(B$11,3))&amp;" error summary:"</f>
        <v>RO2 error summary:</v>
      </c>
      <c r="C17" s="140"/>
      <c r="D17" s="140"/>
      <c r="E17" s="40"/>
      <c r="F17" s="141"/>
      <c r="G17" s="40"/>
      <c r="H17" s="40"/>
      <c r="I17" s="40"/>
      <c r="J17" s="346"/>
      <c r="K17" s="202"/>
      <c r="L17" s="90"/>
      <c r="M17" s="40"/>
      <c r="N17" s="40"/>
      <c r="O17" s="40"/>
      <c r="P17" s="40"/>
      <c r="Q17" s="1"/>
    </row>
    <row r="18" spans="1:40" ht="32.15" customHeight="1" x14ac:dyDescent="0.35">
      <c r="A18" s="585" t="s">
        <v>77</v>
      </c>
      <c r="B18" s="339" t="str">
        <f>IF(AND(COUNTIF($O$32:$O$98,"Error")=0,COUNTIF($O$32:$O$98,"Warning")=0),("There are no outstanding errors or warnings with the "&amp;TRIM(LEFT(B$11,3))&amp;" section of the form. Thank you."),("There are "&amp;COUNTIF($O$32:$O$98,"Error")&amp;" outstanding error(s) and "&amp;COUNTIF($O$32:$O$98,"Warning")&amp;" outstanding warning(s) with the "&amp;TRIM(LEFT(B$11,3))&amp;" section of the form. Please resolve and/or explain these before submitting."))</f>
        <v>There are no outstanding errors or warnings with the RO2 section of the form. Thank you.</v>
      </c>
      <c r="C18" s="1137"/>
      <c r="D18" s="1137"/>
      <c r="E18" s="1137"/>
      <c r="F18" s="1137"/>
      <c r="G18" s="1137"/>
      <c r="H18" s="1137"/>
      <c r="I18" s="1137"/>
      <c r="J18" s="1137"/>
      <c r="K18" s="1137"/>
      <c r="L18" s="1137"/>
      <c r="M18" s="40"/>
      <c r="N18" s="40"/>
      <c r="O18" s="40"/>
      <c r="P18" s="40"/>
      <c r="Q18" s="1"/>
      <c r="AB18" s="611" t="s">
        <v>53</v>
      </c>
    </row>
    <row r="19" spans="1:40" ht="20.149999999999999" customHeight="1" x14ac:dyDescent="0.35">
      <c r="A19" s="58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40" ht="12" customHeight="1" x14ac:dyDescent="0.35">
      <c r="A20" s="585"/>
      <c r="B20" s="144"/>
      <c r="C20" s="144"/>
      <c r="D20" s="144"/>
      <c r="E20" s="142"/>
      <c r="F20" s="142"/>
      <c r="G20" s="142"/>
      <c r="H20" s="142"/>
      <c r="I20" s="142"/>
      <c r="J20" s="142"/>
      <c r="K20" s="142"/>
      <c r="L20" s="90"/>
      <c r="M20" s="40"/>
      <c r="N20" s="40"/>
      <c r="O20" s="40"/>
      <c r="P20" s="40"/>
      <c r="Q20" s="1"/>
    </row>
    <row r="21" spans="1:40" ht="25" x14ac:dyDescent="0.5">
      <c r="A21" s="585"/>
      <c r="B21" s="100" t="str">
        <f>RS!$B$21</f>
        <v>Please select your authority name on Title page</v>
      </c>
      <c r="C21" s="44"/>
      <c r="D21" s="51"/>
      <c r="E21" s="51"/>
      <c r="F21" s="51"/>
      <c r="G21" s="51"/>
      <c r="H21" s="51"/>
      <c r="I21" s="51"/>
      <c r="J21" s="51"/>
      <c r="K21" s="51"/>
      <c r="L21" s="51"/>
      <c r="M21" s="87"/>
      <c r="N21" s="87"/>
      <c r="O21" s="87"/>
      <c r="P21" s="87"/>
      <c r="R21" s="631"/>
      <c r="S21" s="681"/>
      <c r="T21" s="631"/>
      <c r="U21" s="625"/>
    </row>
    <row r="22" spans="1:40" ht="18" x14ac:dyDescent="0.4">
      <c r="A22" s="585"/>
      <c r="B22" s="102" t="str">
        <f>ContactDetails!C25</f>
        <v>E-code</v>
      </c>
      <c r="C22" s="45"/>
      <c r="D22" s="52"/>
      <c r="E22" s="378"/>
      <c r="F22" s="378"/>
      <c r="G22" s="185"/>
      <c r="H22" s="185"/>
      <c r="I22" s="378"/>
      <c r="J22" s="378"/>
      <c r="K22" s="185"/>
      <c r="L22" s="185"/>
      <c r="M22" s="87"/>
      <c r="N22" s="87"/>
      <c r="O22" s="87"/>
      <c r="P22" s="87"/>
      <c r="R22" s="631"/>
      <c r="S22" s="681"/>
      <c r="T22" s="631"/>
      <c r="U22" s="625"/>
    </row>
    <row r="23" spans="1:40" ht="18" x14ac:dyDescent="0.4">
      <c r="A23" s="585"/>
      <c r="B23" s="45"/>
      <c r="C23" s="45"/>
      <c r="D23" s="52"/>
      <c r="E23" s="378"/>
      <c r="F23" s="378"/>
      <c r="G23" s="185"/>
      <c r="H23" s="185"/>
      <c r="I23" s="378"/>
      <c r="J23" s="378"/>
      <c r="K23" s="185"/>
      <c r="L23" s="185"/>
      <c r="M23" s="87"/>
      <c r="N23" s="87"/>
      <c r="O23" s="87"/>
      <c r="P23" s="87"/>
      <c r="R23" s="631"/>
      <c r="T23" s="631"/>
      <c r="U23" s="625"/>
    </row>
    <row r="24" spans="1:40" ht="15.5" x14ac:dyDescent="0.35">
      <c r="A24" s="585"/>
      <c r="B24" s="145"/>
      <c r="C24" s="145"/>
      <c r="D24" s="146"/>
      <c r="E24" s="146"/>
      <c r="F24" s="71"/>
      <c r="G24" s="185"/>
      <c r="H24" s="185" t="s">
        <v>449</v>
      </c>
      <c r="I24" s="378"/>
      <c r="J24" s="378"/>
      <c r="K24" s="185"/>
      <c r="L24" s="185"/>
      <c r="M24" s="87"/>
      <c r="N24" s="87"/>
      <c r="O24" s="87"/>
      <c r="P24" s="87"/>
      <c r="R24" s="631"/>
      <c r="S24" s="681"/>
      <c r="T24" s="631"/>
      <c r="U24" s="625"/>
    </row>
    <row r="25" spans="1:40" ht="15.5" x14ac:dyDescent="0.35">
      <c r="A25" s="585"/>
      <c r="B25" s="87"/>
      <c r="C25" s="87"/>
      <c r="D25" s="87"/>
      <c r="E25" s="378"/>
      <c r="F25" s="185" t="s">
        <v>450</v>
      </c>
      <c r="G25" s="185" t="s">
        <v>451</v>
      </c>
      <c r="H25" s="185" t="s">
        <v>452</v>
      </c>
      <c r="I25" s="185" t="s">
        <v>453</v>
      </c>
      <c r="J25" s="185" t="s">
        <v>454</v>
      </c>
      <c r="K25" s="185" t="s">
        <v>451</v>
      </c>
      <c r="L25" s="185" t="s">
        <v>455</v>
      </c>
      <c r="M25" s="87"/>
      <c r="N25" s="87"/>
      <c r="O25" s="87"/>
      <c r="P25" s="87"/>
      <c r="R25" s="631"/>
      <c r="S25" s="681"/>
      <c r="T25" s="631"/>
      <c r="U25" s="625"/>
    </row>
    <row r="26" spans="1:40" ht="15.5" x14ac:dyDescent="0.35">
      <c r="A26" s="585"/>
      <c r="B26" s="87"/>
      <c r="C26" s="87"/>
      <c r="D26" s="87"/>
      <c r="E26" s="185" t="s">
        <v>456</v>
      </c>
      <c r="F26" s="185" t="s">
        <v>457</v>
      </c>
      <c r="G26" s="185" t="s">
        <v>458</v>
      </c>
      <c r="H26" s="185" t="s">
        <v>459</v>
      </c>
      <c r="I26" s="185" t="s">
        <v>460</v>
      </c>
      <c r="J26" s="185" t="s">
        <v>461</v>
      </c>
      <c r="K26" s="185" t="s">
        <v>461</v>
      </c>
      <c r="L26" s="185" t="s">
        <v>458</v>
      </c>
      <c r="M26" s="87"/>
      <c r="N26" s="87"/>
      <c r="O26" s="87"/>
      <c r="P26" s="87"/>
      <c r="R26" s="631"/>
      <c r="S26" s="681"/>
      <c r="T26" s="631"/>
      <c r="U26" s="625"/>
    </row>
    <row r="27" spans="1:40" ht="15.5" x14ac:dyDescent="0.35">
      <c r="A27" s="585"/>
      <c r="B27" s="207"/>
      <c r="C27" s="207"/>
      <c r="D27" s="87"/>
      <c r="E27" s="258" t="s">
        <v>60</v>
      </c>
      <c r="F27" s="258" t="s">
        <v>60</v>
      </c>
      <c r="G27" s="258" t="s">
        <v>60</v>
      </c>
      <c r="H27" s="258" t="s">
        <v>60</v>
      </c>
      <c r="I27" s="258" t="s">
        <v>60</v>
      </c>
      <c r="J27" s="258" t="s">
        <v>60</v>
      </c>
      <c r="K27" s="258" t="s">
        <v>60</v>
      </c>
      <c r="L27" s="258" t="s">
        <v>60</v>
      </c>
      <c r="M27" s="87"/>
      <c r="N27" s="87"/>
      <c r="O27" s="87"/>
      <c r="P27" s="87"/>
      <c r="R27" s="631"/>
      <c r="S27" s="681"/>
      <c r="T27" s="631"/>
      <c r="U27" s="625"/>
    </row>
    <row r="28" spans="1:40" ht="15.5" x14ac:dyDescent="0.35">
      <c r="A28" s="585"/>
      <c r="B28" s="87"/>
      <c r="C28" s="87"/>
      <c r="D28" s="87"/>
      <c r="E28" s="258"/>
      <c r="F28" s="258"/>
      <c r="G28" s="258"/>
      <c r="H28" s="258"/>
      <c r="I28" s="258"/>
      <c r="J28" s="258"/>
      <c r="K28" s="258"/>
      <c r="L28" s="258"/>
      <c r="M28" s="87"/>
      <c r="N28" s="87"/>
      <c r="O28" s="87"/>
      <c r="P28" s="87"/>
      <c r="R28" s="631"/>
      <c r="S28" s="681"/>
      <c r="T28" s="631"/>
      <c r="U28" s="625"/>
    </row>
    <row r="29" spans="1:40" ht="13" x14ac:dyDescent="0.3">
      <c r="A29" s="585"/>
      <c r="B29" s="87"/>
      <c r="C29" s="87"/>
      <c r="D29" s="87"/>
      <c r="E29" s="187" t="s">
        <v>61</v>
      </c>
      <c r="F29" s="187" t="s">
        <v>462</v>
      </c>
      <c r="G29" s="187" t="s">
        <v>463</v>
      </c>
      <c r="H29" s="187" t="s">
        <v>464</v>
      </c>
      <c r="I29" s="187" t="s">
        <v>465</v>
      </c>
      <c r="J29" s="187" t="s">
        <v>466</v>
      </c>
      <c r="K29" s="187" t="s">
        <v>467</v>
      </c>
      <c r="L29" s="187" t="s">
        <v>468</v>
      </c>
      <c r="M29" s="87"/>
      <c r="N29" s="87"/>
      <c r="O29" s="87"/>
      <c r="P29" s="87"/>
      <c r="Q29" s="461"/>
      <c r="R29" s="631"/>
      <c r="T29" s="631"/>
      <c r="U29" s="625"/>
    </row>
    <row r="30" spans="1:40" ht="13" x14ac:dyDescent="0.3">
      <c r="A30" s="585"/>
      <c r="B30" s="87"/>
      <c r="C30" s="87"/>
      <c r="D30" s="87"/>
      <c r="E30" s="52"/>
      <c r="F30" s="52"/>
      <c r="G30" s="52"/>
      <c r="H30" s="1210" t="s">
        <v>469</v>
      </c>
      <c r="I30" s="52"/>
      <c r="J30" s="52"/>
      <c r="K30" s="52"/>
      <c r="L30" s="52"/>
      <c r="M30" s="87"/>
      <c r="N30" s="87"/>
      <c r="O30" s="87"/>
      <c r="P30" s="87"/>
      <c r="AD30" s="614" t="s">
        <v>62</v>
      </c>
    </row>
    <row r="31" spans="1:40" ht="18" x14ac:dyDescent="0.4">
      <c r="A31" s="585"/>
      <c r="B31" s="21" t="s">
        <v>754</v>
      </c>
      <c r="C31" s="186"/>
      <c r="D31" s="186"/>
      <c r="E31" s="24"/>
      <c r="F31" s="24"/>
      <c r="G31" s="82"/>
      <c r="H31" s="82"/>
      <c r="I31" s="24"/>
      <c r="J31" s="24"/>
      <c r="K31" s="82"/>
      <c r="L31" s="82"/>
      <c r="M31" s="87"/>
      <c r="N31" s="87"/>
      <c r="O31" s="87"/>
      <c r="P31" s="87"/>
      <c r="AD31" s="614" t="s">
        <v>64</v>
      </c>
      <c r="AE31" s="614" t="s">
        <v>65</v>
      </c>
      <c r="AF31" s="614" t="s">
        <v>66</v>
      </c>
      <c r="AG31" s="614" t="s">
        <v>67</v>
      </c>
      <c r="AH31" s="614" t="s">
        <v>68</v>
      </c>
      <c r="AI31" s="614" t="s">
        <v>69</v>
      </c>
      <c r="AJ31" s="614" t="s">
        <v>70</v>
      </c>
      <c r="AK31" s="614" t="s">
        <v>71</v>
      </c>
      <c r="AL31" s="614" t="s">
        <v>72</v>
      </c>
      <c r="AM31" s="614" t="s">
        <v>73</v>
      </c>
      <c r="AN31" s="614" t="s">
        <v>727</v>
      </c>
    </row>
    <row r="32" spans="1:40" ht="15.5" x14ac:dyDescent="0.35">
      <c r="A32" s="585" t="s">
        <v>755</v>
      </c>
      <c r="B32" s="84">
        <v>11</v>
      </c>
      <c r="C32" s="84" t="s">
        <v>756</v>
      </c>
      <c r="D32" s="87"/>
      <c r="E32" s="1222"/>
      <c r="F32" s="1222"/>
      <c r="G32" s="1223">
        <f>SUM(E32:F32)</f>
        <v>0</v>
      </c>
      <c r="H32" s="1271"/>
      <c r="I32" s="1222"/>
      <c r="J32" s="1222"/>
      <c r="K32" s="1223">
        <f>SUM(I32:J32)</f>
        <v>0</v>
      </c>
      <c r="L32" s="1223">
        <f>G32-K32</f>
        <v>0</v>
      </c>
      <c r="M32" s="87"/>
      <c r="N32" s="1179" t="str">
        <f>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VLOOKUP("RO2"&amp;$B32,data_val_parameters,8,0)/100</f>
        <v>0.4</v>
      </c>
      <c r="AE32" s="609">
        <f>VLOOKUP("RO2"&amp;$B32,data_val_parameters,7,0)</f>
        <v>4000</v>
      </c>
      <c r="AF32" s="609" t="e">
        <f>VLOOKUP(LA_code,data_prev_year,MATCH("RO2"&amp;$B32&amp;"7",data_prev_year_headers,0),0)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2" ht="15.5" x14ac:dyDescent="0.35">
      <c r="A33" s="585" t="s">
        <v>757</v>
      </c>
      <c r="B33" s="84">
        <v>12</v>
      </c>
      <c r="C33" s="84" t="s">
        <v>758</v>
      </c>
      <c r="D33" s="87"/>
      <c r="E33" s="1222"/>
      <c r="F33" s="1222"/>
      <c r="G33" s="1223">
        <f>SUM(E33:F33)</f>
        <v>0</v>
      </c>
      <c r="H33" s="1271"/>
      <c r="I33" s="1222"/>
      <c r="J33" s="1222"/>
      <c r="K33" s="1223">
        <f>SUM(I33:J33)</f>
        <v>0</v>
      </c>
      <c r="L33" s="1223">
        <f>G33-K33</f>
        <v>0</v>
      </c>
      <c r="M33" s="87"/>
      <c r="N33" s="1179" t="str">
        <f>IF(ISERROR(O33),"",IF((O33="Error"),"add explanation",IF((O33="Warning"),"add explanation","")))</f>
        <v/>
      </c>
      <c r="O33" s="256" t="str">
        <f>IF(OR((K33&lt;&gt;(I33+J33)),(G33&lt;&gt;(E33+F33)),(L33&lt;&gt;(G33-K33)),AN33="Error"),"Error",IF(AM33="Warning","Warning",""))</f>
        <v/>
      </c>
      <c r="P33" s="87"/>
      <c r="Q33" s="98"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VLOOKUP("RO2"&amp;$B33,data_val_parameters,8,0)/100</f>
        <v>0.4</v>
      </c>
      <c r="AE33" s="609">
        <f>VLOOKUP("RO2"&amp;$B33,data_val_parameters,7,0)</f>
        <v>4000</v>
      </c>
      <c r="AF33" s="609" t="e">
        <f>VLOOKUP(LA_code,data_prev_year,MATCH("RO2"&amp;$B33&amp;"7",data_prev_year_headers,0),0)</f>
        <v>#N/A</v>
      </c>
      <c r="AG33" s="609" t="e">
        <f t="shared" ref="AG33:AG63" si="0">AF33+AE33</f>
        <v>#N/A</v>
      </c>
      <c r="AH33" s="609" t="e">
        <f t="shared" ref="AH33:AH63" si="1">AF33-AE33</f>
        <v>#N/A</v>
      </c>
      <c r="AI33" s="609" t="e">
        <f t="shared" ref="AI33:AI63" si="2">AF33+(AF33*AD33)</f>
        <v>#N/A</v>
      </c>
      <c r="AJ33" s="609" t="e">
        <f t="shared" ref="AJ33:AJ63" si="3">AF33-(AF33*AD33)</f>
        <v>#N/A</v>
      </c>
      <c r="AK33" s="609" t="e">
        <f t="shared" ref="AK33:AK63" si="4">IF(OR(L33&lt;AH33,L33&gt;AG33),"Warning","")</f>
        <v>#N/A</v>
      </c>
      <c r="AL33" s="609" t="e">
        <f t="shared" ref="AL33:AL63" si="5">IF(OR(L33&gt;(AI33),L33&lt;(AJ33)),"Warning","")</f>
        <v>#N/A</v>
      </c>
      <c r="AM33" s="609" t="str">
        <f>IF(OR(L33=0),"",IF(AND(AK33="Warning",AL33="Warning"),"Warning",""))</f>
        <v/>
      </c>
      <c r="AN33" s="609" t="str">
        <f t="shared" ref="AN33:AN63" si="6">IF(OR(I33&lt;0,J33&lt;0),"Error","")</f>
        <v/>
      </c>
    </row>
    <row r="34" spans="1:42" ht="15.5" x14ac:dyDescent="0.35">
      <c r="A34" s="585"/>
      <c r="B34" s="6" t="s">
        <v>253</v>
      </c>
      <c r="C34" s="6"/>
      <c r="D34" s="87"/>
      <c r="E34" s="24"/>
      <c r="F34" s="24"/>
      <c r="G34" s="36"/>
      <c r="H34" s="24"/>
      <c r="I34" s="24"/>
      <c r="J34" s="24"/>
      <c r="K34" s="36"/>
      <c r="L34" s="36"/>
      <c r="M34" s="87"/>
      <c r="N34" s="1182"/>
      <c r="O34" s="256"/>
      <c r="P34" s="87"/>
      <c r="Q34" s="98"/>
    </row>
    <row r="35" spans="1:42" ht="18" x14ac:dyDescent="0.4">
      <c r="A35" s="585"/>
      <c r="B35" s="21" t="s">
        <v>759</v>
      </c>
      <c r="C35" s="21"/>
      <c r="D35" s="87"/>
      <c r="E35" s="24"/>
      <c r="F35" s="24"/>
      <c r="G35" s="36"/>
      <c r="H35" s="24"/>
      <c r="I35" s="24"/>
      <c r="J35" s="24"/>
      <c r="K35" s="36"/>
      <c r="L35" s="36"/>
      <c r="M35" s="87"/>
      <c r="N35" s="1182"/>
      <c r="O35" s="256"/>
      <c r="P35" s="87"/>
      <c r="Q35" s="98"/>
    </row>
    <row r="36" spans="1:42" ht="15.5" x14ac:dyDescent="0.35">
      <c r="A36" s="585" t="s">
        <v>760</v>
      </c>
      <c r="B36" s="84">
        <v>31</v>
      </c>
      <c r="C36" s="84" t="s">
        <v>761</v>
      </c>
      <c r="D36" s="87"/>
      <c r="E36" s="1222"/>
      <c r="F36" s="1222"/>
      <c r="G36" s="1223">
        <f t="shared" ref="G36:G42" si="7">SUM(E36:F36)</f>
        <v>0</v>
      </c>
      <c r="H36" s="1271"/>
      <c r="I36" s="1222"/>
      <c r="J36" s="1222"/>
      <c r="K36" s="1223">
        <f t="shared" ref="K36:K42" si="8">SUM(I36:J36)</f>
        <v>0</v>
      </c>
      <c r="L36" s="1223">
        <f t="shared" ref="L36:L42" si="9">G36-K36</f>
        <v>0</v>
      </c>
      <c r="M36" s="87"/>
      <c r="N36" s="1179" t="str">
        <f t="shared" ref="N36:N42" si="10">IF(ISERROR(O36),"",IF((O36="Error"),"add explanation",IF((O36="Warning"),"add explanation","")))</f>
        <v/>
      </c>
      <c r="O36" s="256" t="str">
        <f t="shared" ref="O36:O42" si="11">IF(OR((K36&lt;&gt;(I36+J36)),(G36&lt;&gt;(E36+F36)),(L36&lt;&gt;(G36-K36)),AN36="Error"),"Error",IF(AM36="Warning","Warning",""))</f>
        <v/>
      </c>
      <c r="P36" s="87"/>
      <c r="Q36" s="98" t="str">
        <f t="shared" ref="Q36:Q42" si="12">IF(AND($O36="Error",$AN36="Error"),"Sales, Fees &amp; Charges or Other Income figure is negative",IF($O36="Error","A total column for "&amp;($C36)&amp;" does not match the sum of the components, please correct",IF($O36="Warning","This year's figure is over "&amp;AE36/1000&amp;" million and "&amp;(AD36*100)&amp;"% different to "&amp;TEXT(AF36,"#,###")&amp;" last year, please explain","")))</f>
        <v/>
      </c>
      <c r="AD36" s="609">
        <f t="shared" ref="AD36:AD42" si="13">VLOOKUP("RO2"&amp;$B36,data_val_parameters,8,0)/100</f>
        <v>0.4</v>
      </c>
      <c r="AE36" s="609">
        <f t="shared" ref="AE36:AE42" si="14">VLOOKUP("RO2"&amp;$B36,data_val_parameters,7,0)</f>
        <v>4000</v>
      </c>
      <c r="AF36" s="609" t="e">
        <f t="shared" ref="AF36:AF42" si="15">VLOOKUP(LA_code,data_prev_year,MATCH("RO2"&amp;$B36&amp;"7",data_prev_year_headers,0),0)</f>
        <v>#N/A</v>
      </c>
      <c r="AG36" s="609" t="e">
        <f t="shared" si="0"/>
        <v>#N/A</v>
      </c>
      <c r="AH36" s="609" t="e">
        <f t="shared" si="1"/>
        <v>#N/A</v>
      </c>
      <c r="AI36" s="609" t="e">
        <f t="shared" si="2"/>
        <v>#N/A</v>
      </c>
      <c r="AJ36" s="609" t="e">
        <f t="shared" si="3"/>
        <v>#N/A</v>
      </c>
      <c r="AK36" s="609" t="e">
        <f t="shared" si="4"/>
        <v>#N/A</v>
      </c>
      <c r="AL36" s="609" t="e">
        <f t="shared" si="5"/>
        <v>#N/A</v>
      </c>
      <c r="AM36" s="609" t="str">
        <f t="shared" ref="AM36:AM42" si="16">IF(OR(L36=0),"",IF(AND(AK36="Warning",AL36="Warning"),"Warning",""))</f>
        <v/>
      </c>
      <c r="AN36" s="609" t="str">
        <f t="shared" si="6"/>
        <v/>
      </c>
    </row>
    <row r="37" spans="1:42" ht="15.5" x14ac:dyDescent="0.35">
      <c r="A37" s="585" t="s">
        <v>762</v>
      </c>
      <c r="B37" s="86">
        <v>32</v>
      </c>
      <c r="C37" s="86" t="s">
        <v>763</v>
      </c>
      <c r="D37" s="87"/>
      <c r="E37" s="1222"/>
      <c r="F37" s="1222"/>
      <c r="G37" s="1223">
        <f t="shared" si="7"/>
        <v>0</v>
      </c>
      <c r="H37" s="1271"/>
      <c r="I37" s="1222"/>
      <c r="J37" s="1222"/>
      <c r="K37" s="1223">
        <f t="shared" si="8"/>
        <v>0</v>
      </c>
      <c r="L37" s="1223">
        <f t="shared" si="9"/>
        <v>0</v>
      </c>
      <c r="M37" s="87"/>
      <c r="N37" s="1179" t="str">
        <f t="shared" si="10"/>
        <v/>
      </c>
      <c r="O37" s="256" t="str">
        <f t="shared" si="11"/>
        <v/>
      </c>
      <c r="P37" s="87"/>
      <c r="Q37" s="98" t="str">
        <f t="shared" si="12"/>
        <v/>
      </c>
      <c r="AD37" s="609">
        <f t="shared" si="13"/>
        <v>0.4</v>
      </c>
      <c r="AE37" s="609">
        <f t="shared" si="14"/>
        <v>4000</v>
      </c>
      <c r="AF37" s="609" t="e">
        <f t="shared" si="15"/>
        <v>#N/A</v>
      </c>
      <c r="AG37" s="609" t="e">
        <f t="shared" si="0"/>
        <v>#N/A</v>
      </c>
      <c r="AH37" s="609" t="e">
        <f t="shared" si="1"/>
        <v>#N/A</v>
      </c>
      <c r="AI37" s="636" t="e">
        <f t="shared" si="2"/>
        <v>#N/A</v>
      </c>
      <c r="AJ37" s="636" t="e">
        <f t="shared" si="3"/>
        <v>#N/A</v>
      </c>
      <c r="AK37" s="609" t="e">
        <f t="shared" si="4"/>
        <v>#N/A</v>
      </c>
      <c r="AL37" s="609" t="e">
        <f t="shared" si="5"/>
        <v>#N/A</v>
      </c>
      <c r="AM37" s="609" t="str">
        <f t="shared" si="16"/>
        <v/>
      </c>
      <c r="AN37" s="609" t="str">
        <f t="shared" si="6"/>
        <v/>
      </c>
    </row>
    <row r="38" spans="1:42" ht="15.5" x14ac:dyDescent="0.35">
      <c r="A38" s="585" t="s">
        <v>764</v>
      </c>
      <c r="B38" s="86">
        <v>33</v>
      </c>
      <c r="C38" s="86" t="s">
        <v>765</v>
      </c>
      <c r="D38" s="87"/>
      <c r="E38" s="1222"/>
      <c r="F38" s="1222"/>
      <c r="G38" s="1223">
        <f t="shared" si="7"/>
        <v>0</v>
      </c>
      <c r="H38" s="1271"/>
      <c r="I38" s="1222"/>
      <c r="J38" s="1222"/>
      <c r="K38" s="1223">
        <f t="shared" si="8"/>
        <v>0</v>
      </c>
      <c r="L38" s="1223">
        <f t="shared" si="9"/>
        <v>0</v>
      </c>
      <c r="M38" s="87"/>
      <c r="N38" s="1179" t="str">
        <f t="shared" si="10"/>
        <v/>
      </c>
      <c r="O38" s="256" t="str">
        <f t="shared" si="11"/>
        <v/>
      </c>
      <c r="P38" s="87"/>
      <c r="Q38" s="98" t="str">
        <f t="shared" si="12"/>
        <v/>
      </c>
      <c r="AD38" s="609">
        <f t="shared" si="13"/>
        <v>0.4</v>
      </c>
      <c r="AE38" s="609">
        <f t="shared" si="14"/>
        <v>4000</v>
      </c>
      <c r="AF38" s="609" t="e">
        <f t="shared" si="15"/>
        <v>#N/A</v>
      </c>
      <c r="AG38" s="609" t="e">
        <f t="shared" si="0"/>
        <v>#N/A</v>
      </c>
      <c r="AH38" s="609" t="e">
        <f t="shared" si="1"/>
        <v>#N/A</v>
      </c>
      <c r="AI38" s="636" t="e">
        <f t="shared" si="2"/>
        <v>#N/A</v>
      </c>
      <c r="AJ38" s="636" t="e">
        <f t="shared" si="3"/>
        <v>#N/A</v>
      </c>
      <c r="AK38" s="609" t="e">
        <f t="shared" si="4"/>
        <v>#N/A</v>
      </c>
      <c r="AL38" s="609" t="e">
        <f t="shared" si="5"/>
        <v>#N/A</v>
      </c>
      <c r="AM38" s="609" t="str">
        <f t="shared" si="16"/>
        <v/>
      </c>
      <c r="AN38" s="609" t="str">
        <f t="shared" si="6"/>
        <v/>
      </c>
    </row>
    <row r="39" spans="1:42" ht="15.5" x14ac:dyDescent="0.35">
      <c r="A39" s="585" t="s">
        <v>766</v>
      </c>
      <c r="B39" s="86">
        <v>41</v>
      </c>
      <c r="C39" s="86" t="s">
        <v>767</v>
      </c>
      <c r="D39" s="87"/>
      <c r="E39" s="1222"/>
      <c r="F39" s="1222"/>
      <c r="G39" s="1223">
        <f t="shared" si="7"/>
        <v>0</v>
      </c>
      <c r="H39" s="1271"/>
      <c r="I39" s="1222"/>
      <c r="J39" s="1222"/>
      <c r="K39" s="1223">
        <f t="shared" si="8"/>
        <v>0</v>
      </c>
      <c r="L39" s="1223">
        <f t="shared" si="9"/>
        <v>0</v>
      </c>
      <c r="M39" s="87"/>
      <c r="N39" s="1179" t="str">
        <f t="shared" si="10"/>
        <v/>
      </c>
      <c r="O39" s="256" t="str">
        <f t="shared" si="11"/>
        <v/>
      </c>
      <c r="P39" s="87"/>
      <c r="Q39" s="98" t="str">
        <f t="shared" si="12"/>
        <v/>
      </c>
      <c r="AD39" s="609">
        <f t="shared" si="13"/>
        <v>0.4</v>
      </c>
      <c r="AE39" s="609">
        <f t="shared" si="14"/>
        <v>4000</v>
      </c>
      <c r="AF39" s="609" t="e">
        <f t="shared" si="15"/>
        <v>#N/A</v>
      </c>
      <c r="AG39" s="609" t="e">
        <f t="shared" si="0"/>
        <v>#N/A</v>
      </c>
      <c r="AH39" s="609" t="e">
        <f t="shared" si="1"/>
        <v>#N/A</v>
      </c>
      <c r="AI39" s="609" t="e">
        <f t="shared" si="2"/>
        <v>#N/A</v>
      </c>
      <c r="AJ39" s="636" t="e">
        <f t="shared" si="3"/>
        <v>#N/A</v>
      </c>
      <c r="AK39" s="609" t="e">
        <f t="shared" si="4"/>
        <v>#N/A</v>
      </c>
      <c r="AL39" s="609" t="e">
        <f t="shared" si="5"/>
        <v>#N/A</v>
      </c>
      <c r="AM39" s="609" t="str">
        <f t="shared" si="16"/>
        <v/>
      </c>
      <c r="AN39" s="609" t="str">
        <f t="shared" si="6"/>
        <v/>
      </c>
    </row>
    <row r="40" spans="1:42" ht="15.5" x14ac:dyDescent="0.35">
      <c r="A40" s="585" t="s">
        <v>768</v>
      </c>
      <c r="B40" s="86">
        <v>44</v>
      </c>
      <c r="C40" s="86" t="s">
        <v>769</v>
      </c>
      <c r="D40" s="87"/>
      <c r="E40" s="1222"/>
      <c r="F40" s="1222"/>
      <c r="G40" s="1223">
        <f t="shared" si="7"/>
        <v>0</v>
      </c>
      <c r="H40" s="1271"/>
      <c r="I40" s="1222"/>
      <c r="J40" s="1222"/>
      <c r="K40" s="1223">
        <f t="shared" si="8"/>
        <v>0</v>
      </c>
      <c r="L40" s="1223">
        <f t="shared" si="9"/>
        <v>0</v>
      </c>
      <c r="M40" s="87"/>
      <c r="N40" s="1179" t="str">
        <f t="shared" si="10"/>
        <v/>
      </c>
      <c r="O40" s="256" t="str">
        <f t="shared" si="11"/>
        <v/>
      </c>
      <c r="P40" s="87"/>
      <c r="Q40" s="98" t="str">
        <f t="shared" si="12"/>
        <v/>
      </c>
      <c r="AD40" s="609">
        <f t="shared" si="13"/>
        <v>0.4</v>
      </c>
      <c r="AE40" s="609">
        <f t="shared" si="14"/>
        <v>8000</v>
      </c>
      <c r="AF40" s="609" t="e">
        <f t="shared" si="15"/>
        <v>#N/A</v>
      </c>
      <c r="AG40" s="609" t="e">
        <f t="shared" si="0"/>
        <v>#N/A</v>
      </c>
      <c r="AH40" s="609" t="e">
        <f t="shared" si="1"/>
        <v>#N/A</v>
      </c>
      <c r="AI40" s="609" t="e">
        <f t="shared" si="2"/>
        <v>#N/A</v>
      </c>
      <c r="AJ40" s="609" t="e">
        <f t="shared" si="3"/>
        <v>#N/A</v>
      </c>
      <c r="AK40" s="609" t="e">
        <f t="shared" si="4"/>
        <v>#N/A</v>
      </c>
      <c r="AL40" s="609" t="e">
        <f t="shared" si="5"/>
        <v>#N/A</v>
      </c>
      <c r="AM40" s="609" t="str">
        <f t="shared" si="16"/>
        <v/>
      </c>
      <c r="AN40" s="609" t="str">
        <f t="shared" si="6"/>
        <v/>
      </c>
    </row>
    <row r="41" spans="1:42" ht="15.5" x14ac:dyDescent="0.35">
      <c r="A41" s="585" t="s">
        <v>770</v>
      </c>
      <c r="B41" s="84">
        <v>48</v>
      </c>
      <c r="C41" s="84" t="s">
        <v>771</v>
      </c>
      <c r="D41" s="87"/>
      <c r="E41" s="1222"/>
      <c r="F41" s="1222"/>
      <c r="G41" s="1223">
        <f t="shared" si="7"/>
        <v>0</v>
      </c>
      <c r="H41" s="1271"/>
      <c r="I41" s="1222"/>
      <c r="J41" s="1222"/>
      <c r="K41" s="1223">
        <f t="shared" si="8"/>
        <v>0</v>
      </c>
      <c r="L41" s="1223">
        <f t="shared" si="9"/>
        <v>0</v>
      </c>
      <c r="M41" s="87"/>
      <c r="N41" s="1179" t="str">
        <f t="shared" si="10"/>
        <v/>
      </c>
      <c r="O41" s="256" t="str">
        <f t="shared" si="11"/>
        <v/>
      </c>
      <c r="P41" s="87"/>
      <c r="Q41" s="98" t="str">
        <f t="shared" si="12"/>
        <v/>
      </c>
      <c r="AD41" s="609">
        <f t="shared" si="13"/>
        <v>0.4</v>
      </c>
      <c r="AE41" s="609">
        <f t="shared" si="14"/>
        <v>4000</v>
      </c>
      <c r="AF41" s="609" t="e">
        <f t="shared" si="15"/>
        <v>#N/A</v>
      </c>
      <c r="AG41" s="609" t="e">
        <f t="shared" si="0"/>
        <v>#N/A</v>
      </c>
      <c r="AH41" s="609" t="e">
        <f t="shared" si="1"/>
        <v>#N/A</v>
      </c>
      <c r="AI41" s="636" t="e">
        <f t="shared" si="2"/>
        <v>#N/A</v>
      </c>
      <c r="AJ41" s="636" t="e">
        <f t="shared" si="3"/>
        <v>#N/A</v>
      </c>
      <c r="AK41" s="609" t="e">
        <f t="shared" si="4"/>
        <v>#N/A</v>
      </c>
      <c r="AL41" s="609" t="e">
        <f t="shared" si="5"/>
        <v>#N/A</v>
      </c>
      <c r="AM41" s="609" t="str">
        <f t="shared" si="16"/>
        <v/>
      </c>
      <c r="AN41" s="609" t="str">
        <f t="shared" si="6"/>
        <v/>
      </c>
    </row>
    <row r="42" spans="1:42" s="35" customFormat="1" ht="18" x14ac:dyDescent="0.4">
      <c r="A42" s="591" t="s">
        <v>772</v>
      </c>
      <c r="B42" s="84">
        <v>49</v>
      </c>
      <c r="C42" s="84" t="s">
        <v>773</v>
      </c>
      <c r="D42" s="87"/>
      <c r="E42" s="1222"/>
      <c r="F42" s="1222"/>
      <c r="G42" s="1223">
        <f t="shared" si="7"/>
        <v>0</v>
      </c>
      <c r="H42" s="1271"/>
      <c r="I42" s="1222"/>
      <c r="J42" s="1222"/>
      <c r="K42" s="1223">
        <f t="shared" si="8"/>
        <v>0</v>
      </c>
      <c r="L42" s="1223">
        <f t="shared" si="9"/>
        <v>0</v>
      </c>
      <c r="M42" s="32"/>
      <c r="N42" s="1179" t="str">
        <f t="shared" si="10"/>
        <v/>
      </c>
      <c r="O42" s="256" t="str">
        <f t="shared" si="11"/>
        <v/>
      </c>
      <c r="P42" s="87"/>
      <c r="Q42" s="98" t="str">
        <f t="shared" si="12"/>
        <v/>
      </c>
      <c r="R42" s="609"/>
      <c r="S42" s="609"/>
      <c r="T42" s="609"/>
      <c r="U42" s="609"/>
      <c r="V42" s="609"/>
      <c r="W42" s="609"/>
      <c r="X42" s="609"/>
      <c r="Y42" s="609"/>
      <c r="Z42" s="609"/>
      <c r="AA42" s="609"/>
      <c r="AB42" s="609"/>
      <c r="AC42" s="609"/>
      <c r="AD42" s="609">
        <f t="shared" si="13"/>
        <v>0.4</v>
      </c>
      <c r="AE42" s="609">
        <f t="shared" si="14"/>
        <v>4000</v>
      </c>
      <c r="AF42" s="609" t="e">
        <f t="shared" si="15"/>
        <v>#N/A</v>
      </c>
      <c r="AG42" s="609" t="e">
        <f t="shared" si="0"/>
        <v>#N/A</v>
      </c>
      <c r="AH42" s="609" t="e">
        <f t="shared" si="1"/>
        <v>#N/A</v>
      </c>
      <c r="AI42" s="636" t="e">
        <f t="shared" si="2"/>
        <v>#N/A</v>
      </c>
      <c r="AJ42" s="636" t="e">
        <f t="shared" si="3"/>
        <v>#N/A</v>
      </c>
      <c r="AK42" s="609" t="e">
        <f t="shared" si="4"/>
        <v>#N/A</v>
      </c>
      <c r="AL42" s="609" t="e">
        <f t="shared" si="5"/>
        <v>#N/A</v>
      </c>
      <c r="AM42" s="609" t="str">
        <f t="shared" si="16"/>
        <v/>
      </c>
      <c r="AN42" s="609" t="str">
        <f t="shared" si="6"/>
        <v/>
      </c>
      <c r="AO42" s="628"/>
      <c r="AP42" s="628"/>
    </row>
    <row r="43" spans="1:42" ht="15.5" x14ac:dyDescent="0.35">
      <c r="A43" s="585"/>
      <c r="B43" s="165" t="s">
        <v>774</v>
      </c>
      <c r="C43" s="245"/>
      <c r="D43" s="87"/>
      <c r="E43" s="24"/>
      <c r="F43" s="24"/>
      <c r="G43" s="36"/>
      <c r="H43" s="24"/>
      <c r="I43" s="24"/>
      <c r="J43" s="24"/>
      <c r="K43" s="36"/>
      <c r="L43" s="36"/>
      <c r="M43" s="87"/>
      <c r="N43" s="1182"/>
      <c r="O43" s="256"/>
      <c r="P43" s="87"/>
      <c r="Q43" s="98"/>
    </row>
    <row r="44" spans="1:42" ht="15.5" x14ac:dyDescent="0.35">
      <c r="A44" s="585"/>
      <c r="B44" s="6" t="s">
        <v>253</v>
      </c>
      <c r="C44" s="6"/>
      <c r="D44" s="87"/>
      <c r="E44" s="24"/>
      <c r="F44" s="24"/>
      <c r="G44" s="36"/>
      <c r="H44" s="24"/>
      <c r="I44" s="24"/>
      <c r="J44" s="24"/>
      <c r="K44" s="36"/>
      <c r="L44" s="36"/>
      <c r="M44" s="87"/>
      <c r="N44" s="1182"/>
      <c r="O44" s="256"/>
      <c r="P44" s="87"/>
      <c r="Q44" s="98"/>
    </row>
    <row r="45" spans="1:42" ht="18" x14ac:dyDescent="0.4">
      <c r="A45" s="585"/>
      <c r="B45" s="21" t="s">
        <v>775</v>
      </c>
      <c r="C45" s="21"/>
      <c r="D45" s="87"/>
      <c r="E45" s="24"/>
      <c r="F45" s="24"/>
      <c r="G45" s="36"/>
      <c r="H45" s="24"/>
      <c r="I45" s="24"/>
      <c r="J45" s="24"/>
      <c r="K45" s="36"/>
      <c r="L45" s="36"/>
      <c r="M45" s="87"/>
      <c r="N45" s="1182"/>
      <c r="O45" s="256" t="str">
        <f>IF(OR((K45&lt;&gt;(I45+J45)),(G45&lt;&gt;(E45+F45)),(L45&lt;&gt;(G45-K45)),AN45="Error"),"Error",IF(AM45="Warning","Warning",""))</f>
        <v/>
      </c>
      <c r="P45" s="87"/>
      <c r="Q45" s="98"/>
    </row>
    <row r="46" spans="1:42" ht="15.5" x14ac:dyDescent="0.35">
      <c r="A46" s="585" t="s">
        <v>776</v>
      </c>
      <c r="B46" s="84">
        <v>51</v>
      </c>
      <c r="C46" s="84" t="s">
        <v>777</v>
      </c>
      <c r="D46" s="87"/>
      <c r="E46" s="1222"/>
      <c r="F46" s="1222"/>
      <c r="G46" s="1223">
        <f>SUM(E46:F46)</f>
        <v>0</v>
      </c>
      <c r="H46" s="1271"/>
      <c r="I46" s="1222"/>
      <c r="J46" s="1222"/>
      <c r="K46" s="1223">
        <f>SUM(I46:J46)</f>
        <v>0</v>
      </c>
      <c r="L46" s="1223">
        <f>G46-K46</f>
        <v>0</v>
      </c>
      <c r="M46" s="87"/>
      <c r="N46" s="1179" t="str">
        <f>IF(ISERROR(O46),"",IF((O46="Error"),"add explanation",IF((O46="Warning"),"add explanation","")))</f>
        <v/>
      </c>
      <c r="O46" s="256" t="str">
        <f>IF(OR((K46&lt;&gt;(I46+J46)),(G46&lt;&gt;(E46+F46)),(L46&lt;&gt;(G46-K46)),AN46="Error"),"Error",IF(AM46="Warning","Warning",""))</f>
        <v/>
      </c>
      <c r="P46" s="87"/>
      <c r="Q46" s="98" t="str">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f>
        <v/>
      </c>
      <c r="AD46" s="609">
        <f>VLOOKUP("RO2"&amp;$B46,data_val_parameters,8,0)/100</f>
        <v>0.3</v>
      </c>
      <c r="AE46" s="609">
        <f>VLOOKUP("RO2"&amp;$B46,data_val_parameters,7,0)</f>
        <v>3000</v>
      </c>
      <c r="AF46" s="609" t="e">
        <f>VLOOKUP(LA_code,data_prev_year,MATCH("RO2"&amp;$B46&amp;"7",data_prev_year_headers,0),0)</f>
        <v>#N/A</v>
      </c>
      <c r="AG46" s="609" t="e">
        <f t="shared" si="0"/>
        <v>#N/A</v>
      </c>
      <c r="AH46" s="609" t="e">
        <f t="shared" si="1"/>
        <v>#N/A</v>
      </c>
      <c r="AI46" s="609" t="e">
        <f t="shared" si="2"/>
        <v>#N/A</v>
      </c>
      <c r="AJ46" s="609" t="e">
        <f t="shared" si="3"/>
        <v>#N/A</v>
      </c>
      <c r="AK46" s="609" t="e">
        <f t="shared" si="4"/>
        <v>#N/A</v>
      </c>
      <c r="AL46" s="609" t="e">
        <f t="shared" si="5"/>
        <v>#N/A</v>
      </c>
      <c r="AM46" s="609" t="str">
        <f>IF(OR(L46=0),"",IF(AND(AK46="Warning",AL46="Warning"),"Warning",""))</f>
        <v/>
      </c>
      <c r="AN46" s="609" t="str">
        <f t="shared" si="6"/>
        <v/>
      </c>
    </row>
    <row r="47" spans="1:42" ht="15.5" x14ac:dyDescent="0.35">
      <c r="A47" s="585" t="s">
        <v>778</v>
      </c>
      <c r="B47" s="399">
        <v>52</v>
      </c>
      <c r="C47" s="400" t="s">
        <v>779</v>
      </c>
      <c r="D47" s="87"/>
      <c r="E47" s="1222"/>
      <c r="F47" s="1222"/>
      <c r="G47" s="1223">
        <f>SUM(E47:F47)</f>
        <v>0</v>
      </c>
      <c r="H47" s="1271"/>
      <c r="I47" s="1222"/>
      <c r="J47" s="1222"/>
      <c r="K47" s="1223">
        <f>SUM(I47:J47)</f>
        <v>0</v>
      </c>
      <c r="L47" s="1223">
        <f>G47-K47</f>
        <v>0</v>
      </c>
      <c r="M47" s="87"/>
      <c r="N47" s="1179" t="str">
        <f>IF(ISERROR(O47),"",IF((O47="Error"),"add explanation",IF((O47="Warning"),"add explanation","")))</f>
        <v/>
      </c>
      <c r="O47" s="256" t="str">
        <f>IF(OR((K47&lt;&gt;(I47+J47)),(G47&lt;&gt;(E47+F47)),(L47&lt;&gt;(G47-K47)),AN47="Error"),"Error",IF(AM47="Warning","Warning",""))</f>
        <v/>
      </c>
      <c r="P47" s="87"/>
      <c r="Q47" s="98"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AD47" s="609">
        <f>VLOOKUP("RO2"&amp;$B47,data_val_parameters,8,0)/100</f>
        <v>0.3</v>
      </c>
      <c r="AE47" s="609">
        <f>VLOOKUP("RO2"&amp;$B47,data_val_parameters,7,0)</f>
        <v>3000</v>
      </c>
      <c r="AF47" s="609" t="e">
        <f>VLOOKUP(LA_code,data_prev_year,MATCH("RO2"&amp;$B47&amp;"7",data_prev_year_headers,0),0)</f>
        <v>#N/A</v>
      </c>
      <c r="AG47" s="609" t="e">
        <f>AF47+AE47</f>
        <v>#N/A</v>
      </c>
      <c r="AH47" s="609" t="e">
        <f>AF47-AE47</f>
        <v>#N/A</v>
      </c>
      <c r="AI47" s="636" t="e">
        <f>AF47+(AF47*AD47)</f>
        <v>#N/A</v>
      </c>
      <c r="AJ47" s="636" t="e">
        <f>AF47-(AF47*AD47)</f>
        <v>#N/A</v>
      </c>
      <c r="AK47" s="609" t="e">
        <f>IF(OR(L47&lt;AH47,L47&gt;AG47),"Warning","")</f>
        <v>#N/A</v>
      </c>
      <c r="AL47" s="609" t="e">
        <f>IF(OR(L47&gt;(AI47),L47&lt;(AJ47)),"Warning","")</f>
        <v>#N/A</v>
      </c>
      <c r="AM47" s="609" t="str">
        <f>IF(OR(L47=0),"",IF(AND(AK47="Warning",AL47="Warning"),"Warning",""))</f>
        <v/>
      </c>
      <c r="AN47" s="609" t="str">
        <f t="shared" si="6"/>
        <v/>
      </c>
    </row>
    <row r="48" spans="1:42" ht="15.5" x14ac:dyDescent="0.35">
      <c r="A48" s="585" t="s">
        <v>780</v>
      </c>
      <c r="B48" s="84">
        <v>54</v>
      </c>
      <c r="C48" s="84" t="s">
        <v>781</v>
      </c>
      <c r="D48" s="87"/>
      <c r="E48" s="1222"/>
      <c r="F48" s="1222"/>
      <c r="G48" s="1223">
        <f>SUM(E48:F48)</f>
        <v>0</v>
      </c>
      <c r="H48" s="1271"/>
      <c r="I48" s="1222"/>
      <c r="J48" s="1222"/>
      <c r="K48" s="1223">
        <f>SUM(I48:J48)</f>
        <v>0</v>
      </c>
      <c r="L48" s="1223">
        <f>G48-K48</f>
        <v>0</v>
      </c>
      <c r="M48" s="87"/>
      <c r="N48" s="1179" t="str">
        <f>IF(ISERROR(O48),"",IF((O48="Error"),"add explanation",IF((O48="Warning"),"add explanation","")))</f>
        <v/>
      </c>
      <c r="O48" s="256" t="str">
        <f>IF(OR((K48&lt;&gt;(I48+J48)),(G48&lt;&gt;(E48+F48)),(L48&lt;&gt;(G48-K48)),AN48="Error"),"Error",IF(AM48="Warning","Warning",""))</f>
        <v/>
      </c>
      <c r="P48" s="87"/>
      <c r="Q48" s="98" t="str">
        <f>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AD48" s="609">
        <f>VLOOKUP("RO2"&amp;$B48,data_val_parameters,8,0)/100</f>
        <v>0.3</v>
      </c>
      <c r="AE48" s="609">
        <f>VLOOKUP("RO2"&amp;$B48,data_val_parameters,7,0)</f>
        <v>3000</v>
      </c>
      <c r="AF48" s="609" t="e">
        <f>VLOOKUP(LA_code,data_prev_year,MATCH("RO2"&amp;$B48&amp;"7",data_prev_year_headers,0),0)</f>
        <v>#N/A</v>
      </c>
      <c r="AG48" s="609" t="e">
        <f t="shared" si="0"/>
        <v>#N/A</v>
      </c>
      <c r="AH48" s="609" t="e">
        <f t="shared" si="1"/>
        <v>#N/A</v>
      </c>
      <c r="AI48" s="636" t="e">
        <f t="shared" si="2"/>
        <v>#N/A</v>
      </c>
      <c r="AJ48" s="636" t="e">
        <f t="shared" si="3"/>
        <v>#N/A</v>
      </c>
      <c r="AK48" s="609" t="e">
        <f t="shared" si="4"/>
        <v>#N/A</v>
      </c>
      <c r="AL48" s="609" t="e">
        <f t="shared" si="5"/>
        <v>#N/A</v>
      </c>
      <c r="AM48" s="609" t="str">
        <f>IF(OR(L48=0),"",IF(AND(AK48="Warning",AL48="Warning"),"Warning",""))</f>
        <v/>
      </c>
      <c r="AN48" s="609" t="str">
        <f t="shared" si="6"/>
        <v/>
      </c>
    </row>
    <row r="49" spans="1:40" ht="15.5" x14ac:dyDescent="0.35">
      <c r="A49" s="585" t="s">
        <v>782</v>
      </c>
      <c r="B49" s="84">
        <v>58</v>
      </c>
      <c r="C49" s="84" t="s">
        <v>783</v>
      </c>
      <c r="D49" s="87"/>
      <c r="E49" s="1222"/>
      <c r="F49" s="1222"/>
      <c r="G49" s="1223">
        <f>SUM(E49:F49)</f>
        <v>0</v>
      </c>
      <c r="H49" s="1271"/>
      <c r="I49" s="1222"/>
      <c r="J49" s="1222"/>
      <c r="K49" s="1223">
        <f>SUM(I49:J49)</f>
        <v>0</v>
      </c>
      <c r="L49" s="1223">
        <f>G49-K49</f>
        <v>0</v>
      </c>
      <c r="M49" s="87"/>
      <c r="N49" s="1179" t="str">
        <f>IF(ISERROR(O49),"",IF((O49="Error"),"add explanation",IF((O49="Warning"),"add explanation","")))</f>
        <v/>
      </c>
      <c r="O49" s="256" t="str">
        <f>IF(OR((K49&lt;&gt;(I49+J49)),(G49&lt;&gt;(E49+F49)),(L49&lt;&gt;(G49-K49)),AN49="Error"),"Error",IF(AM49="Warning","Warning",""))</f>
        <v/>
      </c>
      <c r="P49" s="87"/>
      <c r="Q49" s="98" t="str">
        <f>IF(AND($O49="Error",$AN49="Error"),"Sales, Fees &amp; Charges or Other Income figure is negative",IF($O49="Error","A total column for "&amp;($C49)&amp;" does not match the sum of the components, please correct",IF($O49="Warning","This year's figure is over "&amp;AE49/1000&amp;" million and "&amp;(AD49*100)&amp;"% different to "&amp;TEXT(AF49,"#,###")&amp;" last year, please explain","")))</f>
        <v/>
      </c>
      <c r="AD49" s="609">
        <f>VLOOKUP("RO2"&amp;$B49,data_val_parameters,8,0)/100</f>
        <v>0.3</v>
      </c>
      <c r="AE49" s="609">
        <f>VLOOKUP("RO2"&amp;$B49,data_val_parameters,7,0)</f>
        <v>3000</v>
      </c>
      <c r="AF49" s="609" t="e">
        <f>VLOOKUP(LA_code,data_prev_year,MATCH("RO2"&amp;$B49&amp;"7",data_prev_year_headers,0),0)</f>
        <v>#N/A</v>
      </c>
      <c r="AG49" s="609" t="e">
        <f t="shared" si="0"/>
        <v>#N/A</v>
      </c>
      <c r="AH49" s="609" t="e">
        <f t="shared" si="1"/>
        <v>#N/A</v>
      </c>
      <c r="AI49" s="609" t="e">
        <f t="shared" si="2"/>
        <v>#N/A</v>
      </c>
      <c r="AJ49" s="636" t="e">
        <f t="shared" si="3"/>
        <v>#N/A</v>
      </c>
      <c r="AK49" s="609" t="e">
        <f t="shared" si="4"/>
        <v>#N/A</v>
      </c>
      <c r="AL49" s="609" t="e">
        <f t="shared" si="5"/>
        <v>#N/A</v>
      </c>
      <c r="AM49" s="609" t="str">
        <f>IF(OR(L49=0),"",IF(AND(AK49="Warning",AL49="Warning"),"Warning",""))</f>
        <v/>
      </c>
      <c r="AN49" s="609" t="str">
        <f t="shared" si="6"/>
        <v/>
      </c>
    </row>
    <row r="50" spans="1:40" ht="15.5" x14ac:dyDescent="0.35">
      <c r="A50" s="585"/>
      <c r="B50" s="7" t="s">
        <v>253</v>
      </c>
      <c r="C50" s="7"/>
      <c r="D50" s="87"/>
      <c r="E50" s="24"/>
      <c r="F50" s="24"/>
      <c r="G50" s="36"/>
      <c r="H50" s="36"/>
      <c r="I50" s="24"/>
      <c r="J50" s="24"/>
      <c r="K50" s="36"/>
      <c r="L50" s="36"/>
      <c r="M50" s="87"/>
      <c r="N50" s="1182"/>
      <c r="O50" s="256"/>
      <c r="P50" s="87"/>
      <c r="Q50" s="98"/>
    </row>
    <row r="51" spans="1:40" ht="18" x14ac:dyDescent="0.4">
      <c r="A51" s="585"/>
      <c r="B51" s="148" t="s">
        <v>784</v>
      </c>
      <c r="C51" s="148"/>
      <c r="D51" s="87"/>
      <c r="E51" s="24"/>
      <c r="F51" s="24"/>
      <c r="G51" s="36"/>
      <c r="H51" s="36"/>
      <c r="I51" s="24"/>
      <c r="J51" s="24"/>
      <c r="K51" s="36"/>
      <c r="L51" s="36"/>
      <c r="M51" s="87"/>
      <c r="N51" s="1182"/>
      <c r="O51" s="256"/>
      <c r="P51" s="87"/>
      <c r="Q51" s="98"/>
    </row>
    <row r="52" spans="1:40" ht="15.5" x14ac:dyDescent="0.35">
      <c r="A52" s="585" t="s">
        <v>785</v>
      </c>
      <c r="B52" s="84">
        <v>61</v>
      </c>
      <c r="C52" s="84" t="s">
        <v>786</v>
      </c>
      <c r="D52" s="87"/>
      <c r="E52" s="1222"/>
      <c r="F52" s="1222"/>
      <c r="G52" s="1290">
        <f>SUM(E52:F52)</f>
        <v>0</v>
      </c>
      <c r="H52" s="1271"/>
      <c r="I52" s="1297">
        <f>SUM(I91:I92)</f>
        <v>0</v>
      </c>
      <c r="J52" s="1291"/>
      <c r="K52" s="1223">
        <f>SUM(I52:J52)</f>
        <v>0</v>
      </c>
      <c r="L52" s="1223">
        <f>G52-K52</f>
        <v>0</v>
      </c>
      <c r="M52" s="87"/>
      <c r="N52" s="1179" t="str">
        <f>IF(ISERROR(O52),"",IF((O52="Error"),"add explanation",IF((O52="Warning"),"add explanation","")))</f>
        <v/>
      </c>
      <c r="O52" s="256" t="str">
        <f>IF(OR((K52&lt;&gt;(I52+J52)),(G52&lt;&gt;(E52+F52)),(L52&lt;&gt;(G52-K52)),AN52="Error"),"Error",IF(AM52="Warning","Warning",""))</f>
        <v/>
      </c>
      <c r="P52" s="87"/>
      <c r="Q52" s="98" t="str">
        <f>IF(AND($O52="Error",$AN52="Error"),"Sales, Fees &amp; Charges or Other Income figure is negative",IF($O52="Error","A total column for "&amp;($C52)&amp;" does not match the sum of the components, please correct",IF($O52="Warning","This year's figure is over "&amp;AE52/1000&amp;" million and "&amp;(AD52*100)&amp;"% different to "&amp;TEXT(AF52,"#,###")&amp;" last year, please explain","")))</f>
        <v/>
      </c>
      <c r="AD52" s="609">
        <f>VLOOKUP("RO2"&amp;$B52,data_val_parameters,8,0)/100</f>
        <v>0.4</v>
      </c>
      <c r="AE52" s="609">
        <f>VLOOKUP("RO2"&amp;$B52,data_val_parameters,7,0)</f>
        <v>4000</v>
      </c>
      <c r="AF52" s="636" t="e">
        <f>VLOOKUP(LA_code,data_prev_year,MATCH("RO2"&amp;$B52&amp;"7",data_prev_year_headers,0),0)</f>
        <v>#N/A</v>
      </c>
      <c r="AG52" s="636" t="e">
        <f t="shared" si="0"/>
        <v>#N/A</v>
      </c>
      <c r="AH52" s="636" t="e">
        <f t="shared" si="1"/>
        <v>#N/A</v>
      </c>
      <c r="AI52" s="636" t="e">
        <f t="shared" si="2"/>
        <v>#N/A</v>
      </c>
      <c r="AJ52" s="636" t="e">
        <f t="shared" si="3"/>
        <v>#N/A</v>
      </c>
      <c r="AK52" s="609" t="e">
        <f t="shared" si="4"/>
        <v>#N/A</v>
      </c>
      <c r="AL52" s="609" t="e">
        <f t="shared" si="5"/>
        <v>#N/A</v>
      </c>
      <c r="AM52" s="609" t="str">
        <f>IF(OR(L52=0),"",IF(AND(AK52="Warning",AL52="Warning"),"Warning",""))</f>
        <v/>
      </c>
      <c r="AN52" s="609" t="str">
        <f t="shared" si="6"/>
        <v/>
      </c>
    </row>
    <row r="53" spans="1:40" ht="15.5" x14ac:dyDescent="0.35">
      <c r="A53" s="585" t="s">
        <v>787</v>
      </c>
      <c r="B53" s="84">
        <v>62</v>
      </c>
      <c r="C53" s="84" t="s">
        <v>788</v>
      </c>
      <c r="D53" s="87"/>
      <c r="E53" s="1222"/>
      <c r="F53" s="1222"/>
      <c r="G53" s="1223">
        <f>SUM(E53:F53)</f>
        <v>0</v>
      </c>
      <c r="H53" s="1271"/>
      <c r="I53" s="47"/>
      <c r="J53" s="1222"/>
      <c r="K53" s="1223">
        <f>SUM(I53:J53)</f>
        <v>0</v>
      </c>
      <c r="L53" s="1223">
        <f>G53-K53</f>
        <v>0</v>
      </c>
      <c r="M53" s="87"/>
      <c r="N53" s="1179" t="str">
        <f>IF(ISERROR(O53),"",IF((O53="Error"),"add explanation",IF((O53="Warning"),"add explanation","")))</f>
        <v/>
      </c>
      <c r="O53" s="256" t="str">
        <f>IF(OR((K53&lt;&gt;(I53+J53)),(G53&lt;&gt;(E53+F53)),(L53&lt;&gt;(G53-K53)),AN53="Error"),"Error",IF(AM53="Warning","Warning",""))</f>
        <v/>
      </c>
      <c r="P53" s="87"/>
      <c r="Q53" s="98" t="str">
        <f>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VLOOKUP("RO2"&amp;$B53,data_val_parameters,8,0)/100</f>
        <v>0.4</v>
      </c>
      <c r="AE53" s="609">
        <f>VLOOKUP("RO2"&amp;$B53,data_val_parameters,7,0)</f>
        <v>4000</v>
      </c>
      <c r="AF53" s="609" t="e">
        <f>VLOOKUP(LA_code,data_prev_year,MATCH("RO2"&amp;$B53&amp;"7",data_prev_year_headers,0),0)</f>
        <v>#N/A</v>
      </c>
      <c r="AG53" s="609" t="e">
        <f t="shared" si="0"/>
        <v>#N/A</v>
      </c>
      <c r="AH53" s="609" t="e">
        <f t="shared" si="1"/>
        <v>#N/A</v>
      </c>
      <c r="AI53" s="636" t="e">
        <f t="shared" si="2"/>
        <v>#N/A</v>
      </c>
      <c r="AJ53" s="636" t="e">
        <f t="shared" si="3"/>
        <v>#N/A</v>
      </c>
      <c r="AK53" s="609" t="e">
        <f t="shared" si="4"/>
        <v>#N/A</v>
      </c>
      <c r="AL53" s="609" t="e">
        <f t="shared" si="5"/>
        <v>#N/A</v>
      </c>
      <c r="AM53" s="609" t="str">
        <f>IF(OR(L53=0),"",IF(AND(AK53="Warning",AL53="Warning"),"Warning",""))</f>
        <v/>
      </c>
      <c r="AN53" s="609" t="str">
        <f t="shared" si="6"/>
        <v/>
      </c>
    </row>
    <row r="54" spans="1:40" ht="15.5" x14ac:dyDescent="0.35">
      <c r="A54" s="585"/>
      <c r="B54" s="6" t="s">
        <v>253</v>
      </c>
      <c r="C54" s="6"/>
      <c r="D54" s="87"/>
      <c r="E54" s="24"/>
      <c r="F54" s="24"/>
      <c r="G54" s="36"/>
      <c r="H54" s="36"/>
      <c r="I54" s="24"/>
      <c r="J54" s="24"/>
      <c r="K54" s="36"/>
      <c r="L54" s="36"/>
      <c r="M54" s="87"/>
      <c r="N54" s="1182"/>
      <c r="O54" s="256"/>
      <c r="P54" s="87"/>
      <c r="Q54" s="98"/>
    </row>
    <row r="55" spans="1:40" ht="18" x14ac:dyDescent="0.4">
      <c r="A55" s="585"/>
      <c r="B55" s="21" t="s">
        <v>789</v>
      </c>
      <c r="C55" s="21"/>
      <c r="D55" s="87"/>
      <c r="E55" s="24"/>
      <c r="F55" s="24"/>
      <c r="G55" s="36"/>
      <c r="H55" s="36"/>
      <c r="I55" s="24"/>
      <c r="J55" s="24"/>
      <c r="K55" s="36"/>
      <c r="L55" s="36"/>
      <c r="M55" s="87"/>
      <c r="N55" s="1182"/>
      <c r="O55" s="256"/>
      <c r="P55" s="87"/>
      <c r="Q55" s="98"/>
    </row>
    <row r="56" spans="1:40" ht="15.5" x14ac:dyDescent="0.35">
      <c r="A56" s="585" t="s">
        <v>790</v>
      </c>
      <c r="B56" s="84">
        <v>71</v>
      </c>
      <c r="C56" s="84" t="s">
        <v>791</v>
      </c>
      <c r="D56" s="87"/>
      <c r="E56" s="1222"/>
      <c r="F56" s="1222"/>
      <c r="G56" s="1223">
        <f t="shared" ref="G56:G61" si="17">SUM(E56:F56)</f>
        <v>0</v>
      </c>
      <c r="H56" s="1271"/>
      <c r="I56" s="1222"/>
      <c r="J56" s="1222"/>
      <c r="K56" s="1223">
        <f t="shared" ref="K56:K61" si="18">SUM(I56:J56)</f>
        <v>0</v>
      </c>
      <c r="L56" s="1223">
        <f t="shared" ref="L56:L61" si="19">G56-K56</f>
        <v>0</v>
      </c>
      <c r="M56" s="87"/>
      <c r="N56" s="1179" t="str">
        <f t="shared" ref="N56:N61" si="20">IF(ISERROR(O56),"",IF((O56="Error"),"add explanation",IF((O56="Warning"),"add explanation","")))</f>
        <v/>
      </c>
      <c r="O56" s="256" t="str">
        <f t="shared" ref="O56:O61" si="21">IF(OR((K56&lt;&gt;(I56+J56)),(G56&lt;&gt;(E56+F56)),(L56&lt;&gt;(G56-K56)),AN56="Error"),"Error",IF(AM56="Warning","Warning",""))</f>
        <v/>
      </c>
      <c r="P56" s="87"/>
      <c r="Q56" s="98" t="str">
        <f t="shared" ref="Q56:Q61" si="22">IF(AND($O56="Error",$AN56="Error"),"Sales, Fees &amp; Charges or Other Income figure is negative",IF($O56="Error","A total column for "&amp;($C56)&amp;" does not match the sum of the components, please correct",IF($O56="Warning","This year's figure is over "&amp;AE56/1000&amp;" million and "&amp;(AD56*100)&amp;"% different to "&amp;TEXT(AF56,"#,###")&amp;" last year, please explain","")))</f>
        <v/>
      </c>
      <c r="AD56" s="609">
        <f t="shared" ref="AD56:AD61" si="23">VLOOKUP("RO2"&amp;$B56,data_val_parameters,8,0)/100</f>
        <v>0.4</v>
      </c>
      <c r="AE56" s="609">
        <f t="shared" ref="AE56:AE61" si="24">VLOOKUP("RO2"&amp;$B56,data_val_parameters,7,0)</f>
        <v>4000</v>
      </c>
      <c r="AF56" s="609" t="e">
        <f t="shared" ref="AF56:AF61" si="25">VLOOKUP(LA_code,data_prev_year,MATCH("RO2"&amp;$B56&amp;"7",data_prev_year_headers,0),0)</f>
        <v>#N/A</v>
      </c>
      <c r="AG56" s="609" t="e">
        <f t="shared" si="0"/>
        <v>#N/A</v>
      </c>
      <c r="AH56" s="609" t="e">
        <f t="shared" si="1"/>
        <v>#N/A</v>
      </c>
      <c r="AI56" s="609" t="e">
        <f t="shared" si="2"/>
        <v>#N/A</v>
      </c>
      <c r="AJ56" s="609" t="e">
        <f t="shared" si="3"/>
        <v>#N/A</v>
      </c>
      <c r="AK56" s="609" t="e">
        <f t="shared" si="4"/>
        <v>#N/A</v>
      </c>
      <c r="AL56" s="609" t="e">
        <f t="shared" si="5"/>
        <v>#N/A</v>
      </c>
      <c r="AM56" s="609" t="str">
        <f t="shared" ref="AM56:AM61" si="26">IF(OR(L56=0),"",IF(AND(AK56="Warning",AL56="Warning"),"Warning",""))</f>
        <v/>
      </c>
      <c r="AN56" s="609" t="str">
        <f t="shared" si="6"/>
        <v/>
      </c>
    </row>
    <row r="57" spans="1:40" ht="15.5" x14ac:dyDescent="0.35">
      <c r="A57" s="585" t="s">
        <v>792</v>
      </c>
      <c r="B57" s="84">
        <v>72</v>
      </c>
      <c r="C57" s="84" t="s">
        <v>793</v>
      </c>
      <c r="D57" s="87"/>
      <c r="E57" s="1222"/>
      <c r="F57" s="1222"/>
      <c r="G57" s="1223">
        <f t="shared" si="17"/>
        <v>0</v>
      </c>
      <c r="H57" s="1271"/>
      <c r="I57" s="1222"/>
      <c r="J57" s="1222"/>
      <c r="K57" s="1223">
        <f t="shared" si="18"/>
        <v>0</v>
      </c>
      <c r="L57" s="1223">
        <f t="shared" si="19"/>
        <v>0</v>
      </c>
      <c r="M57" s="87"/>
      <c r="N57" s="1179" t="str">
        <f t="shared" si="20"/>
        <v/>
      </c>
      <c r="O57" s="256" t="str">
        <f t="shared" si="21"/>
        <v/>
      </c>
      <c r="P57" s="87"/>
      <c r="Q57" s="98" t="str">
        <f t="shared" si="22"/>
        <v/>
      </c>
      <c r="AD57" s="609">
        <f t="shared" si="23"/>
        <v>0.4</v>
      </c>
      <c r="AE57" s="609">
        <f t="shared" si="24"/>
        <v>4000</v>
      </c>
      <c r="AF57" s="609" t="e">
        <f t="shared" si="25"/>
        <v>#N/A</v>
      </c>
      <c r="AG57" s="609" t="e">
        <f t="shared" si="0"/>
        <v>#N/A</v>
      </c>
      <c r="AH57" s="609" t="e">
        <f t="shared" si="1"/>
        <v>#N/A</v>
      </c>
      <c r="AI57" s="609" t="e">
        <f t="shared" si="2"/>
        <v>#N/A</v>
      </c>
      <c r="AJ57" s="609" t="e">
        <f t="shared" si="3"/>
        <v>#N/A</v>
      </c>
      <c r="AK57" s="609" t="e">
        <f t="shared" si="4"/>
        <v>#N/A</v>
      </c>
      <c r="AL57" s="609" t="e">
        <f t="shared" si="5"/>
        <v>#N/A</v>
      </c>
      <c r="AM57" s="609" t="str">
        <f t="shared" si="26"/>
        <v/>
      </c>
      <c r="AN57" s="609" t="str">
        <f t="shared" si="6"/>
        <v/>
      </c>
    </row>
    <row r="58" spans="1:40" ht="15.5" x14ac:dyDescent="0.35">
      <c r="A58" s="585" t="s">
        <v>794</v>
      </c>
      <c r="B58" s="84">
        <v>73</v>
      </c>
      <c r="C58" s="84" t="s">
        <v>795</v>
      </c>
      <c r="D58" s="87"/>
      <c r="E58" s="1222"/>
      <c r="F58" s="1222"/>
      <c r="G58" s="1223">
        <f t="shared" si="17"/>
        <v>0</v>
      </c>
      <c r="H58" s="1271"/>
      <c r="I58" s="1222"/>
      <c r="J58" s="1222"/>
      <c r="K58" s="1223">
        <f t="shared" si="18"/>
        <v>0</v>
      </c>
      <c r="L58" s="1223">
        <f t="shared" si="19"/>
        <v>0</v>
      </c>
      <c r="M58" s="87"/>
      <c r="N58" s="1179" t="str">
        <f t="shared" si="20"/>
        <v/>
      </c>
      <c r="O58" s="256" t="str">
        <f t="shared" si="21"/>
        <v/>
      </c>
      <c r="P58" s="87"/>
      <c r="Q58" s="98" t="str">
        <f t="shared" si="22"/>
        <v/>
      </c>
      <c r="AD58" s="609">
        <f t="shared" si="23"/>
        <v>0.4</v>
      </c>
      <c r="AE58" s="609">
        <f t="shared" si="24"/>
        <v>4000</v>
      </c>
      <c r="AF58" s="609" t="e">
        <f t="shared" si="25"/>
        <v>#N/A</v>
      </c>
      <c r="AG58" s="609" t="e">
        <f t="shared" si="0"/>
        <v>#N/A</v>
      </c>
      <c r="AH58" s="609" t="e">
        <f t="shared" si="1"/>
        <v>#N/A</v>
      </c>
      <c r="AI58" s="636" t="e">
        <f t="shared" si="2"/>
        <v>#N/A</v>
      </c>
      <c r="AJ58" s="636" t="e">
        <f t="shared" si="3"/>
        <v>#N/A</v>
      </c>
      <c r="AK58" s="609" t="e">
        <f t="shared" si="4"/>
        <v>#N/A</v>
      </c>
      <c r="AL58" s="609" t="e">
        <f t="shared" si="5"/>
        <v>#N/A</v>
      </c>
      <c r="AM58" s="609" t="str">
        <f t="shared" si="26"/>
        <v/>
      </c>
      <c r="AN58" s="609" t="str">
        <f t="shared" si="6"/>
        <v/>
      </c>
    </row>
    <row r="59" spans="1:40" ht="15.5" x14ac:dyDescent="0.35">
      <c r="A59" s="585" t="s">
        <v>796</v>
      </c>
      <c r="B59" s="84">
        <v>74</v>
      </c>
      <c r="C59" s="84" t="s">
        <v>797</v>
      </c>
      <c r="D59" s="87"/>
      <c r="E59" s="1222"/>
      <c r="F59" s="1222"/>
      <c r="G59" s="1223">
        <f t="shared" si="17"/>
        <v>0</v>
      </c>
      <c r="H59" s="1271"/>
      <c r="I59" s="1222"/>
      <c r="J59" s="1222"/>
      <c r="K59" s="1223">
        <f t="shared" si="18"/>
        <v>0</v>
      </c>
      <c r="L59" s="1223">
        <f t="shared" si="19"/>
        <v>0</v>
      </c>
      <c r="M59" s="87"/>
      <c r="N59" s="1179" t="str">
        <f t="shared" si="20"/>
        <v/>
      </c>
      <c r="O59" s="256" t="str">
        <f t="shared" si="21"/>
        <v/>
      </c>
      <c r="P59" s="87"/>
      <c r="Q59" s="98" t="str">
        <f t="shared" si="22"/>
        <v/>
      </c>
      <c r="AD59" s="609">
        <f t="shared" si="23"/>
        <v>0.4</v>
      </c>
      <c r="AE59" s="609">
        <f t="shared" si="24"/>
        <v>4000</v>
      </c>
      <c r="AF59" s="609" t="e">
        <f t="shared" si="25"/>
        <v>#N/A</v>
      </c>
      <c r="AG59" s="609" t="e">
        <f t="shared" si="0"/>
        <v>#N/A</v>
      </c>
      <c r="AH59" s="609" t="e">
        <f t="shared" si="1"/>
        <v>#N/A</v>
      </c>
      <c r="AI59" s="609" t="e">
        <f t="shared" si="2"/>
        <v>#N/A</v>
      </c>
      <c r="AJ59" s="609" t="e">
        <f t="shared" si="3"/>
        <v>#N/A</v>
      </c>
      <c r="AK59" s="609" t="e">
        <f t="shared" si="4"/>
        <v>#N/A</v>
      </c>
      <c r="AL59" s="609" t="e">
        <f t="shared" si="5"/>
        <v>#N/A</v>
      </c>
      <c r="AM59" s="609" t="str">
        <f t="shared" si="26"/>
        <v/>
      </c>
      <c r="AN59" s="609" t="str">
        <f t="shared" si="6"/>
        <v/>
      </c>
    </row>
    <row r="60" spans="1:40" ht="15.5" x14ac:dyDescent="0.35">
      <c r="A60" s="585" t="s">
        <v>798</v>
      </c>
      <c r="B60" s="84">
        <v>75</v>
      </c>
      <c r="C60" s="84" t="s">
        <v>799</v>
      </c>
      <c r="D60" s="87"/>
      <c r="E60" s="1222"/>
      <c r="F60" s="1222"/>
      <c r="G60" s="1223">
        <f t="shared" si="17"/>
        <v>0</v>
      </c>
      <c r="H60" s="1271"/>
      <c r="I60" s="1222"/>
      <c r="J60" s="1222"/>
      <c r="K60" s="1223">
        <f t="shared" si="18"/>
        <v>0</v>
      </c>
      <c r="L60" s="1223">
        <f t="shared" si="19"/>
        <v>0</v>
      </c>
      <c r="M60" s="87"/>
      <c r="N60" s="1179" t="str">
        <f t="shared" si="20"/>
        <v/>
      </c>
      <c r="O60" s="256" t="str">
        <f t="shared" si="21"/>
        <v/>
      </c>
      <c r="P60" s="87"/>
      <c r="Q60" s="98" t="str">
        <f t="shared" si="22"/>
        <v/>
      </c>
      <c r="AD60" s="609">
        <f t="shared" si="23"/>
        <v>0.4</v>
      </c>
      <c r="AE60" s="609">
        <f t="shared" si="24"/>
        <v>4000</v>
      </c>
      <c r="AF60" s="609" t="e">
        <f t="shared" si="25"/>
        <v>#N/A</v>
      </c>
      <c r="AG60" s="609" t="e">
        <f t="shared" si="0"/>
        <v>#N/A</v>
      </c>
      <c r="AH60" s="609" t="e">
        <f t="shared" si="1"/>
        <v>#N/A</v>
      </c>
      <c r="AI60" s="609" t="e">
        <f t="shared" si="2"/>
        <v>#N/A</v>
      </c>
      <c r="AJ60" s="609" t="e">
        <f t="shared" si="3"/>
        <v>#N/A</v>
      </c>
      <c r="AK60" s="609" t="e">
        <f t="shared" si="4"/>
        <v>#N/A</v>
      </c>
      <c r="AL60" s="609" t="e">
        <f t="shared" si="5"/>
        <v>#N/A</v>
      </c>
      <c r="AM60" s="609" t="str">
        <f t="shared" si="26"/>
        <v/>
      </c>
      <c r="AN60" s="609" t="str">
        <f t="shared" si="6"/>
        <v/>
      </c>
    </row>
    <row r="61" spans="1:40" ht="15.5" x14ac:dyDescent="0.35">
      <c r="A61" s="585" t="s">
        <v>800</v>
      </c>
      <c r="B61" s="84">
        <v>76</v>
      </c>
      <c r="C61" s="84" t="s">
        <v>801</v>
      </c>
      <c r="D61" s="87"/>
      <c r="E61" s="1222"/>
      <c r="F61" s="1222"/>
      <c r="G61" s="1223">
        <f t="shared" si="17"/>
        <v>0</v>
      </c>
      <c r="H61" s="1271"/>
      <c r="I61" s="1222"/>
      <c r="J61" s="1222"/>
      <c r="K61" s="1223">
        <f t="shared" si="18"/>
        <v>0</v>
      </c>
      <c r="L61" s="1223">
        <f t="shared" si="19"/>
        <v>0</v>
      </c>
      <c r="M61" s="87"/>
      <c r="N61" s="1179" t="str">
        <f t="shared" si="20"/>
        <v/>
      </c>
      <c r="O61" s="256" t="str">
        <f t="shared" si="21"/>
        <v/>
      </c>
      <c r="P61" s="87"/>
      <c r="Q61" s="98" t="str">
        <f t="shared" si="22"/>
        <v/>
      </c>
      <c r="AD61" s="609">
        <f t="shared" si="23"/>
        <v>0.4</v>
      </c>
      <c r="AE61" s="609">
        <f t="shared" si="24"/>
        <v>4000</v>
      </c>
      <c r="AF61" s="609" t="e">
        <f t="shared" si="25"/>
        <v>#N/A</v>
      </c>
      <c r="AG61" s="609" t="e">
        <f t="shared" si="0"/>
        <v>#N/A</v>
      </c>
      <c r="AH61" s="609" t="e">
        <f t="shared" si="1"/>
        <v>#N/A</v>
      </c>
      <c r="AI61" s="636" t="e">
        <f t="shared" si="2"/>
        <v>#N/A</v>
      </c>
      <c r="AJ61" s="636" t="e">
        <f t="shared" si="3"/>
        <v>#N/A</v>
      </c>
      <c r="AK61" s="609" t="e">
        <f t="shared" si="4"/>
        <v>#N/A</v>
      </c>
      <c r="AL61" s="609" t="e">
        <f t="shared" si="5"/>
        <v>#N/A</v>
      </c>
      <c r="AM61" s="609" t="str">
        <f t="shared" si="26"/>
        <v/>
      </c>
      <c r="AN61" s="609" t="str">
        <f t="shared" si="6"/>
        <v/>
      </c>
    </row>
    <row r="62" spans="1:40" ht="15.5" x14ac:dyDescent="0.35">
      <c r="A62" s="585"/>
      <c r="B62" s="6" t="s">
        <v>253</v>
      </c>
      <c r="C62" s="6"/>
      <c r="D62" s="87"/>
      <c r="E62" s="24"/>
      <c r="F62" s="24"/>
      <c r="G62" s="36"/>
      <c r="H62" s="24"/>
      <c r="I62" s="24"/>
      <c r="J62" s="24"/>
      <c r="K62" s="36"/>
      <c r="L62" s="36"/>
      <c r="M62" s="87"/>
      <c r="N62" s="1182"/>
      <c r="O62" s="256"/>
      <c r="P62" s="87"/>
      <c r="Q62" s="98"/>
    </row>
    <row r="63" spans="1:40" ht="15.5" x14ac:dyDescent="0.35">
      <c r="A63" s="585" t="s">
        <v>802</v>
      </c>
      <c r="B63" s="84">
        <v>80</v>
      </c>
      <c r="C63" s="84" t="s">
        <v>803</v>
      </c>
      <c r="D63" s="87"/>
      <c r="E63" s="1222"/>
      <c r="F63" s="1222"/>
      <c r="G63" s="1223">
        <f>SUM(E63:F63)</f>
        <v>0</v>
      </c>
      <c r="H63" s="1271"/>
      <c r="I63" s="1222"/>
      <c r="J63" s="1222"/>
      <c r="K63" s="1223">
        <f>SUM(I63:J63)</f>
        <v>0</v>
      </c>
      <c r="L63" s="1223">
        <f>G63-K63</f>
        <v>0</v>
      </c>
      <c r="M63" s="87"/>
      <c r="N63" s="1179" t="str">
        <f>IF(ISERROR(O63),"",IF((O63="Error"),"add explanation",IF((O63="Warning"),"add explanation","")))</f>
        <v/>
      </c>
      <c r="O63" s="256" t="str">
        <f>IF(OR((K63&lt;&gt;(I63+J63)),(G63&lt;&gt;(E63+F63)),(L63&lt;&gt;(G63-K63)),AN63="Error"),"Error",IF(AM63="Warning","Warning",""))</f>
        <v/>
      </c>
      <c r="P63" s="87"/>
      <c r="Q63" s="98"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VLOOKUP("RO2"&amp;$B63,data_val_parameters,8,0)/100</f>
        <v>0.3</v>
      </c>
      <c r="AE63" s="609">
        <f>VLOOKUP("RO2"&amp;$B63,data_val_parameters,7,0)</f>
        <v>3000</v>
      </c>
      <c r="AF63" s="609" t="e">
        <f>VLOOKUP(LA_code,data_prev_year,MATCH("RO2"&amp;$B63&amp;"7",data_prev_year_headers,0),0)</f>
        <v>#N/A</v>
      </c>
      <c r="AG63" s="609" t="e">
        <f t="shared" si="0"/>
        <v>#N/A</v>
      </c>
      <c r="AH63" s="609" t="e">
        <f t="shared" si="1"/>
        <v>#N/A</v>
      </c>
      <c r="AI63" s="609" t="e">
        <f t="shared" si="2"/>
        <v>#N/A</v>
      </c>
      <c r="AJ63" s="609" t="e">
        <f t="shared" si="3"/>
        <v>#N/A</v>
      </c>
      <c r="AK63" s="609" t="e">
        <f t="shared" si="4"/>
        <v>#N/A</v>
      </c>
      <c r="AL63" s="609" t="e">
        <f t="shared" si="5"/>
        <v>#N/A</v>
      </c>
      <c r="AM63" s="609" t="str">
        <f>IF(OR(L63=0),"",IF(AND(AK63="Warning",AL63="Warning"),"Warning",""))</f>
        <v/>
      </c>
      <c r="AN63" s="609" t="str">
        <f t="shared" si="6"/>
        <v/>
      </c>
    </row>
    <row r="64" spans="1:40" ht="15.5" x14ac:dyDescent="0.35">
      <c r="A64" s="585"/>
      <c r="B64" s="6" t="s">
        <v>253</v>
      </c>
      <c r="C64" s="6"/>
      <c r="D64" s="87"/>
      <c r="E64" s="24"/>
      <c r="F64" s="24"/>
      <c r="G64" s="36"/>
      <c r="H64" s="36"/>
      <c r="I64" s="24"/>
      <c r="J64" s="24"/>
      <c r="K64" s="36"/>
      <c r="L64" s="36"/>
      <c r="M64" s="87"/>
      <c r="N64" s="1182"/>
      <c r="O64" s="256"/>
      <c r="P64" s="87"/>
      <c r="Q64" s="98"/>
    </row>
    <row r="65" spans="1:106" s="1008" customFormat="1" ht="15.5" x14ac:dyDescent="0.35">
      <c r="A65" s="591" t="s">
        <v>804</v>
      </c>
      <c r="B65" s="89">
        <v>90</v>
      </c>
      <c r="C65" s="89" t="s">
        <v>805</v>
      </c>
      <c r="D65" s="87"/>
      <c r="E65" s="1223">
        <f t="shared" ref="E65:H65" si="27">SUM(E32:E33,E36:E42,E46:E49,E52:E53,E56:E61,E63)</f>
        <v>0</v>
      </c>
      <c r="F65" s="1402">
        <f t="shared" si="27"/>
        <v>0</v>
      </c>
      <c r="G65" s="1223">
        <f t="shared" si="27"/>
        <v>0</v>
      </c>
      <c r="H65" s="1295">
        <f t="shared" si="27"/>
        <v>0</v>
      </c>
      <c r="I65" s="1223">
        <f>SUM(I32:I33,I36:I42,I46:I49,I52:I53,I56:I61,I63)</f>
        <v>0</v>
      </c>
      <c r="J65" s="1223">
        <f>SUM(J32:J33,J36:J42,J46:J49,J52:J53,J56:J61,J63)</f>
        <v>0</v>
      </c>
      <c r="K65" s="1290">
        <f>SUM(K32:K33,K36:K42,K46:K49,K52:K53,K56:K61,K63)</f>
        <v>0</v>
      </c>
      <c r="L65" s="1295">
        <f>SUM(L32:L33,L36:L42,L46:L49,L52:L53,L56:L61,L63)</f>
        <v>0</v>
      </c>
      <c r="M65" s="68"/>
      <c r="N65" s="1179" t="str">
        <f>IF(ISERROR(O65),"",IF((O65="Error"),"add explanation",IF((O65="Warning"),"add explanation","")))</f>
        <v/>
      </c>
      <c r="O65" s="256" t="str">
        <f>IF(OR((K65&lt;&gt;(I65+J65)),(G65&lt;&gt;(E65+F65)),(L65&lt;&gt;(G65-K65))),"Error",IF(AM65="Warning","Warning",""))</f>
        <v/>
      </c>
      <c r="P65" s="87"/>
      <c r="Q65" s="98" t="str">
        <f>IF($O65="Error","A total column for "&amp;($C65)&amp;" does not match the sum of the components, please correct",IF($O65="Warning","This year's figure is over "&amp;AE65/1000&amp;" million and "&amp;(AD65*100)&amp;"% different to "&amp;TEXT(AF65,"#,###")&amp;" last year, please explain",""))</f>
        <v/>
      </c>
      <c r="R65" s="609"/>
      <c r="S65" s="609"/>
      <c r="T65" s="609"/>
      <c r="U65" s="609"/>
      <c r="V65" s="609"/>
      <c r="W65" s="609"/>
      <c r="X65" s="609"/>
      <c r="Y65" s="609"/>
      <c r="Z65" s="609"/>
      <c r="AA65" s="609"/>
      <c r="AB65" s="609"/>
      <c r="AC65" s="609"/>
      <c r="AD65" s="609">
        <f>VLOOKUP("RO2"&amp;$B65,data_val_parameters,8,0)/100</f>
        <v>0.4</v>
      </c>
      <c r="AE65" s="609"/>
      <c r="AF65" s="609"/>
      <c r="AG65" s="609"/>
      <c r="AH65" s="609"/>
      <c r="AI65" s="609"/>
      <c r="AJ65" s="609"/>
      <c r="AK65" s="609"/>
      <c r="AL65" s="609"/>
      <c r="AM65" s="609"/>
      <c r="AN65" s="680"/>
      <c r="AO65" s="680"/>
      <c r="AP65" s="68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row>
    <row r="66" spans="1:106" ht="54" customHeight="1" x14ac:dyDescent="0.35">
      <c r="A66" s="585"/>
      <c r="B66" s="507"/>
      <c r="C66" s="507"/>
      <c r="D66" s="87"/>
      <c r="E66" s="24"/>
      <c r="F66" s="1403"/>
      <c r="G66" s="82"/>
      <c r="H66" s="1212" t="s">
        <v>742</v>
      </c>
      <c r="I66" s="24"/>
      <c r="J66" s="24"/>
      <c r="K66" s="82"/>
      <c r="L66" s="1212" t="s">
        <v>743</v>
      </c>
      <c r="M66" s="87"/>
      <c r="N66" s="320"/>
      <c r="O66" s="256"/>
      <c r="P66" s="87"/>
      <c r="Q66" s="98"/>
      <c r="R66" s="631"/>
      <c r="T66" s="631"/>
      <c r="U66" s="625"/>
    </row>
    <row r="67" spans="1:106" ht="46.5" x14ac:dyDescent="0.35">
      <c r="A67" s="585"/>
      <c r="B67" s="507"/>
      <c r="C67" s="507"/>
      <c r="D67" s="87"/>
      <c r="E67" s="24"/>
      <c r="F67" s="443" t="s">
        <v>744</v>
      </c>
      <c r="G67" s="82"/>
      <c r="H67" s="1199" t="str" cm="1">
        <f t="array" ref="H67">IF(SUMPRODUCT(--(H32:H65 &gt; G32:G65)),"Error","")</f>
        <v/>
      </c>
      <c r="I67" s="24" t="str">
        <f>IF(H67="Error","A figure in the central MSS column is greater than total expenditure for that line","")</f>
        <v/>
      </c>
      <c r="J67" s="24"/>
      <c r="K67" s="82"/>
      <c r="L67" s="494"/>
      <c r="M67" s="87"/>
      <c r="N67" s="320"/>
      <c r="O67" s="256"/>
      <c r="P67" s="87"/>
      <c r="Q67" s="98"/>
      <c r="R67" s="631"/>
      <c r="T67" s="631"/>
      <c r="U67" s="625"/>
    </row>
    <row r="68" spans="1:106" ht="15.5" x14ac:dyDescent="0.35">
      <c r="A68" s="585"/>
      <c r="B68" s="507"/>
      <c r="C68" s="507"/>
      <c r="D68" s="87"/>
      <c r="E68" s="24"/>
      <c r="F68" s="271" t="s">
        <v>745</v>
      </c>
      <c r="G68" s="82"/>
      <c r="H68" s="271"/>
      <c r="I68" s="24"/>
      <c r="J68" s="24"/>
      <c r="K68" s="82"/>
      <c r="L68" s="244"/>
      <c r="M68" s="87"/>
      <c r="N68" s="320"/>
      <c r="O68" s="256"/>
      <c r="P68" s="87"/>
      <c r="Q68" s="98"/>
      <c r="R68" s="631"/>
      <c r="T68" s="631"/>
      <c r="U68" s="625"/>
    </row>
    <row r="69" spans="1:106" ht="15.5" x14ac:dyDescent="0.35">
      <c r="A69" s="585" t="s">
        <v>806</v>
      </c>
      <c r="B69" s="1023">
        <v>1901</v>
      </c>
      <c r="C69" s="705" t="s">
        <v>807</v>
      </c>
      <c r="D69" s="87"/>
      <c r="E69" s="87"/>
      <c r="F69" s="1270"/>
      <c r="G69" s="82"/>
      <c r="H69" s="24"/>
      <c r="I69" s="24"/>
      <c r="J69" s="24"/>
      <c r="K69" s="82"/>
      <c r="L69" s="244"/>
      <c r="M69" s="87"/>
      <c r="N69" s="320"/>
      <c r="O69" s="256"/>
      <c r="P69" s="87"/>
      <c r="Q69" s="98"/>
      <c r="R69" s="631"/>
      <c r="T69" s="631"/>
      <c r="U69" s="625"/>
    </row>
    <row r="70" spans="1:106" ht="15.5" x14ac:dyDescent="0.35">
      <c r="A70" s="585"/>
      <c r="B70" s="87"/>
      <c r="C70" s="87"/>
      <c r="D70" s="87"/>
      <c r="E70" s="24"/>
      <c r="G70" s="82"/>
      <c r="H70" s="1199"/>
      <c r="I70" s="24"/>
      <c r="J70" s="443"/>
      <c r="K70" s="82"/>
      <c r="L70" s="82"/>
      <c r="M70" s="87"/>
      <c r="N70" s="320"/>
      <c r="O70" s="256"/>
      <c r="P70" s="87"/>
      <c r="Q70" s="98"/>
      <c r="R70" s="631"/>
      <c r="T70" s="631"/>
      <c r="U70" s="625"/>
    </row>
    <row r="71" spans="1:106" ht="15.5" x14ac:dyDescent="0.35">
      <c r="A71" s="585"/>
      <c r="B71" s="87"/>
      <c r="C71" s="87"/>
      <c r="D71" s="87"/>
      <c r="E71" s="24"/>
      <c r="G71" s="82"/>
      <c r="H71" s="1199"/>
      <c r="I71" s="24"/>
      <c r="J71" s="271"/>
      <c r="K71" s="82"/>
      <c r="L71" s="82"/>
      <c r="M71" s="87"/>
      <c r="N71" s="320"/>
      <c r="O71" s="256"/>
      <c r="P71" s="87"/>
      <c r="Q71" s="98"/>
      <c r="R71" s="631"/>
      <c r="T71" s="631"/>
      <c r="U71" s="625"/>
    </row>
    <row r="72" spans="1:106" ht="15.5" x14ac:dyDescent="0.35">
      <c r="A72" s="585" t="s">
        <v>808</v>
      </c>
      <c r="B72" s="1023">
        <v>1902</v>
      </c>
      <c r="C72" s="705" t="s">
        <v>809</v>
      </c>
      <c r="D72" s="87"/>
      <c r="E72" s="24"/>
      <c r="G72" s="82"/>
      <c r="H72" s="1199"/>
      <c r="I72" s="24"/>
      <c r="J72" s="1270"/>
      <c r="K72" s="1213" t="s">
        <v>750</v>
      </c>
      <c r="L72" s="82"/>
      <c r="M72" s="87"/>
      <c r="N72" s="320"/>
      <c r="O72" s="256"/>
      <c r="P72" s="87"/>
      <c r="Q72" s="98"/>
      <c r="R72" s="631"/>
      <c r="T72" s="631"/>
      <c r="U72" s="625"/>
    </row>
    <row r="73" spans="1:106" ht="15.5" x14ac:dyDescent="0.35">
      <c r="A73" s="585"/>
      <c r="B73" s="7" t="s">
        <v>253</v>
      </c>
      <c r="C73" s="7"/>
      <c r="D73" s="87"/>
      <c r="E73" s="24"/>
      <c r="F73" s="24"/>
      <c r="G73" s="82"/>
      <c r="H73" s="82"/>
      <c r="I73" s="24"/>
      <c r="J73" s="43"/>
      <c r="K73" s="82"/>
      <c r="L73" s="82"/>
      <c r="M73" s="87"/>
      <c r="N73" s="320"/>
      <c r="O73" s="256"/>
      <c r="P73" s="87"/>
      <c r="Q73" s="98"/>
      <c r="R73" s="631"/>
      <c r="T73" s="631"/>
      <c r="U73" s="625"/>
    </row>
    <row r="74" spans="1:106" ht="20" x14ac:dyDescent="0.4">
      <c r="A74" s="585"/>
      <c r="B74" s="246" t="s">
        <v>810</v>
      </c>
      <c r="C74" s="246"/>
      <c r="D74" s="87"/>
      <c r="E74" s="24"/>
      <c r="F74" s="24"/>
      <c r="G74" s="82"/>
      <c r="H74" s="82"/>
      <c r="I74" s="24"/>
      <c r="J74" s="43"/>
      <c r="K74" s="82"/>
      <c r="L74" s="82"/>
      <c r="M74" s="87"/>
      <c r="N74" s="320"/>
      <c r="O74" s="256"/>
      <c r="P74" s="87"/>
      <c r="Q74" s="98"/>
      <c r="R74" s="631"/>
      <c r="T74" s="631"/>
      <c r="U74" s="625"/>
    </row>
    <row r="75" spans="1:106" ht="15.5" x14ac:dyDescent="0.35">
      <c r="A75" s="585"/>
      <c r="B75" s="247" t="s">
        <v>253</v>
      </c>
      <c r="C75" s="247"/>
      <c r="D75" s="87"/>
      <c r="E75" s="24"/>
      <c r="F75" s="24"/>
      <c r="G75" s="82"/>
      <c r="H75" s="82"/>
      <c r="I75" s="24"/>
      <c r="J75" s="43"/>
      <c r="K75" s="82"/>
      <c r="L75" s="82"/>
      <c r="M75" s="87"/>
      <c r="N75" s="320"/>
      <c r="O75" s="256"/>
      <c r="P75" s="87"/>
      <c r="Q75" s="98"/>
      <c r="R75" s="631"/>
      <c r="T75" s="631"/>
      <c r="U75" s="625"/>
    </row>
    <row r="76" spans="1:106" ht="17.5" x14ac:dyDescent="0.35">
      <c r="A76" s="585"/>
      <c r="B76" s="248" t="s">
        <v>811</v>
      </c>
      <c r="C76" s="248"/>
      <c r="D76" s="87"/>
      <c r="E76" s="24"/>
      <c r="F76" s="24"/>
      <c r="G76" s="82"/>
      <c r="H76" s="82"/>
      <c r="I76" s="24"/>
      <c r="J76" s="43"/>
      <c r="K76" s="82"/>
      <c r="L76" s="82"/>
      <c r="M76" s="87"/>
      <c r="N76" s="435" t="str">
        <f>IF(ISERROR(O76),"",IF((O76="Error"),"add explanation",IF((O76="Warning"),"add explanation","")))</f>
        <v/>
      </c>
      <c r="O76" s="256" t="str">
        <f>IF(SUM($J77:$J80)&gt;SUM(J36,J37,J39,J40),"Error","")</f>
        <v/>
      </c>
      <c r="P76" s="87"/>
      <c r="Q76" s="98" t="str">
        <f>IF($O76="Error","Lines 101-104 are, in total, greater than lines 31, 32, 41 and 44 other income. Please check the figures are in 000's and correct this.","")</f>
        <v/>
      </c>
      <c r="R76" s="631"/>
      <c r="T76" s="631"/>
      <c r="U76" s="625"/>
    </row>
    <row r="77" spans="1:106" ht="15.5" x14ac:dyDescent="0.35">
      <c r="A77" s="585" t="s">
        <v>812</v>
      </c>
      <c r="B77" s="86">
        <v>101</v>
      </c>
      <c r="C77" s="86" t="s">
        <v>813</v>
      </c>
      <c r="D77" s="87"/>
      <c r="E77" s="24"/>
      <c r="F77" s="24"/>
      <c r="G77" s="82"/>
      <c r="H77" s="82"/>
      <c r="I77" s="24"/>
      <c r="J77" s="1222"/>
      <c r="K77" s="82"/>
      <c r="L77" s="82"/>
      <c r="M77" s="87"/>
      <c r="N77" s="1179" t="str">
        <f>IF(ISERROR(O77),"",IF((O77="Error"),"add explanation",IF((O77="Warning"),"add explanation","")))</f>
        <v/>
      </c>
      <c r="O77" s="256" t="str">
        <f>IF(J77&gt;J36,"Error",IF(AM77="Warning","Warning",""))</f>
        <v/>
      </c>
      <c r="P77" s="87"/>
      <c r="Q77" s="98" t="str">
        <f>IF(J77&gt;J36,"Line 101 col 5 should not exceed line 31 col 5. Please check the figures are in 000's and correct this",IF($O77="Warning","This year's figure is over "&amp;AE77/1000&amp;" million and "&amp;(AD77*100)&amp;"% different to "&amp;TEXT(AF77,"#,###")&amp;" last year, please explain",""))</f>
        <v/>
      </c>
      <c r="AD77" s="609">
        <f>VLOOKUP("RO2"&amp;$B77,data_val_parameters,8,0)/100</f>
        <v>0.4</v>
      </c>
      <c r="AE77" s="609">
        <f>VLOOKUP("RO2"&amp;$B77,data_val_parameters,7,0)</f>
        <v>4000</v>
      </c>
      <c r="AF77" s="609" t="e">
        <f>VLOOKUP(LA_code,data_prev_year,MATCH("RO2"&amp;$B77&amp;"5",data_prev_year_headers,0),0)</f>
        <v>#N/A</v>
      </c>
      <c r="AG77" s="609" t="e">
        <f t="shared" ref="AG77" si="28">AF77+AE77</f>
        <v>#N/A</v>
      </c>
      <c r="AH77" s="609" t="e">
        <f t="shared" ref="AH77" si="29">AF77-AE77</f>
        <v>#N/A</v>
      </c>
      <c r="AI77" s="609" t="e">
        <f t="shared" ref="AI77" si="30">AF77+(AF77*AD77)</f>
        <v>#N/A</v>
      </c>
      <c r="AJ77" s="609" t="e">
        <f t="shared" ref="AJ77" si="31">AF77-(AF77*AD77)</f>
        <v>#N/A</v>
      </c>
      <c r="AK77" s="609" t="e">
        <f>IF(OR(J77&lt;AH77,J77&gt;AG77),"Warning","")</f>
        <v>#N/A</v>
      </c>
      <c r="AL77" s="609" t="e">
        <f>IF(OR(J77&gt;(AI77),J77&lt;(AJ77)),"Warning","")</f>
        <v>#N/A</v>
      </c>
      <c r="AM77" s="609" t="str">
        <f>IF(OR(J77=0),"",IF(AND(AK77="Warning",AL77="Warning"),"Warning",""))</f>
        <v/>
      </c>
    </row>
    <row r="78" spans="1:106" ht="15.5" x14ac:dyDescent="0.35">
      <c r="A78" s="585" t="s">
        <v>814</v>
      </c>
      <c r="B78" s="86">
        <v>102</v>
      </c>
      <c r="C78" s="86" t="s">
        <v>815</v>
      </c>
      <c r="D78" s="87"/>
      <c r="E78" s="24"/>
      <c r="F78" s="24"/>
      <c r="G78" s="82"/>
      <c r="H78" s="82"/>
      <c r="I78" s="24"/>
      <c r="J78" s="1222"/>
      <c r="K78" s="82"/>
      <c r="L78" s="82"/>
      <c r="M78" s="87"/>
      <c r="N78" s="1179" t="str">
        <f>IF(ISERROR(O78),"",IF((O78="Error"),"add explanation",IF((O78="Warning"),"add explanation","")))</f>
        <v/>
      </c>
      <c r="O78" s="256" t="str">
        <f>IF(J78&gt;J37,"Error",IF(AM78="Warning","Warning",""))</f>
        <v/>
      </c>
      <c r="P78" s="87"/>
      <c r="Q78" s="98" t="str">
        <f>IF(J78&gt;J37,"Line 102 col 5 should not exceed line 32 col 5. Please check the figures are in 000's and correct this",IF($O78="Warning","This year's figure is over "&amp;AE78/1000&amp;" million and "&amp;(AD78*100)&amp;"% different to "&amp;TEXT(AF78,"#,###")&amp;" last year, please explain",""))</f>
        <v/>
      </c>
      <c r="AD78" s="609">
        <f>VLOOKUP("RO2"&amp;$B78,data_val_parameters,8,0)/100</f>
        <v>0.4</v>
      </c>
      <c r="AE78" s="609">
        <f>VLOOKUP("RO2"&amp;$B78,data_val_parameters,7,0)</f>
        <v>4000</v>
      </c>
      <c r="AF78" s="609" t="e">
        <f>VLOOKUP(LA_code,data_prev_year,MATCH("RO2"&amp;$B78&amp;"5",data_prev_year_headers,0),0)</f>
        <v>#N/A</v>
      </c>
      <c r="AG78" s="609" t="e">
        <f t="shared" ref="AG78:AG80" si="32">AF78+AE78</f>
        <v>#N/A</v>
      </c>
      <c r="AH78" s="609" t="e">
        <f t="shared" ref="AH78:AH80" si="33">AF78-AE78</f>
        <v>#N/A</v>
      </c>
      <c r="AI78" s="609" t="e">
        <f t="shared" ref="AI78:AI80" si="34">AF78+(AF78*AD78)</f>
        <v>#N/A</v>
      </c>
      <c r="AJ78" s="609" t="e">
        <f t="shared" ref="AJ78:AJ80" si="35">AF78-(AF78*AD78)</f>
        <v>#N/A</v>
      </c>
      <c r="AK78" s="609" t="e">
        <f t="shared" ref="AK78:AK80" si="36">IF(OR(J78&lt;AH78,J78&gt;AG78),"Warning","")</f>
        <v>#N/A</v>
      </c>
      <c r="AL78" s="609" t="e">
        <f t="shared" ref="AL78:AL80" si="37">IF(OR(J78&gt;(AI78),J78&lt;(AJ78)),"Warning","")</f>
        <v>#N/A</v>
      </c>
      <c r="AM78" s="609" t="str">
        <f t="shared" ref="AM78:AM80" si="38">IF(OR(J78=0),"",IF(AND(AK78="Warning",AL78="Warning"),"Warning",""))</f>
        <v/>
      </c>
    </row>
    <row r="79" spans="1:106" ht="15.5" x14ac:dyDescent="0.35">
      <c r="A79" s="585" t="s">
        <v>816</v>
      </c>
      <c r="B79" s="86">
        <v>103</v>
      </c>
      <c r="C79" s="86" t="s">
        <v>817</v>
      </c>
      <c r="D79" s="87"/>
      <c r="E79" s="24"/>
      <c r="F79" s="24"/>
      <c r="G79" s="82"/>
      <c r="H79" s="82"/>
      <c r="I79" s="24"/>
      <c r="J79" s="1222"/>
      <c r="K79" s="82"/>
      <c r="L79" s="82"/>
      <c r="M79" s="87"/>
      <c r="N79" s="1179" t="str">
        <f>IF(ISERROR(O79),"",IF((O79="Error"),"add explanation",IF((O79="Warning"),"add explanation","")))</f>
        <v/>
      </c>
      <c r="O79" s="256" t="str">
        <f>IF(J79&gt;J39,"Error",IF(AM79="Warning","Warning",""))</f>
        <v/>
      </c>
      <c r="P79" s="87"/>
      <c r="Q79" s="98" t="str">
        <f>IF(J79&gt;J39,"Line 103 col 5 should not exceed line 41 col 5. Please check the figures are in 000's and correct this",IF($O79="Warning","This year's figure is over "&amp;AE79/1000&amp;" million and "&amp;(AD79*100)&amp;"% different to "&amp;TEXT(AF79,"#,###")&amp;" last year, please explain",""))</f>
        <v/>
      </c>
      <c r="AD79" s="609">
        <f>VLOOKUP("RO2"&amp;$B79,data_val_parameters,8,0)/100</f>
        <v>0.4</v>
      </c>
      <c r="AE79" s="609">
        <f>VLOOKUP("RO2"&amp;$B79,data_val_parameters,7,0)</f>
        <v>4000</v>
      </c>
      <c r="AF79" s="609" t="e">
        <f>VLOOKUP(LA_code,data_prev_year,MATCH("RO2"&amp;$B79&amp;"5",data_prev_year_headers,0),0)</f>
        <v>#N/A</v>
      </c>
      <c r="AG79" s="609" t="e">
        <f t="shared" si="32"/>
        <v>#N/A</v>
      </c>
      <c r="AH79" s="609" t="e">
        <f t="shared" si="33"/>
        <v>#N/A</v>
      </c>
      <c r="AI79" s="609" t="e">
        <f t="shared" si="34"/>
        <v>#N/A</v>
      </c>
      <c r="AJ79" s="609" t="e">
        <f t="shared" si="35"/>
        <v>#N/A</v>
      </c>
      <c r="AK79" s="609" t="e">
        <f t="shared" si="36"/>
        <v>#N/A</v>
      </c>
      <c r="AL79" s="609" t="e">
        <f t="shared" si="37"/>
        <v>#N/A</v>
      </c>
      <c r="AM79" s="609" t="str">
        <f t="shared" si="38"/>
        <v/>
      </c>
    </row>
    <row r="80" spans="1:106" ht="15.5" x14ac:dyDescent="0.35">
      <c r="A80" s="585" t="s">
        <v>818</v>
      </c>
      <c r="B80" s="86">
        <v>104</v>
      </c>
      <c r="C80" s="86" t="s">
        <v>819</v>
      </c>
      <c r="D80" s="87"/>
      <c r="E80" s="24"/>
      <c r="F80" s="24"/>
      <c r="G80" s="82"/>
      <c r="H80" s="82"/>
      <c r="I80" s="24"/>
      <c r="J80" s="1222"/>
      <c r="K80" s="82"/>
      <c r="L80" s="82"/>
      <c r="M80" s="87"/>
      <c r="N80" s="1179" t="str">
        <f>IF(ISERROR(O80),"",IF((O80="Error"),"add explanation",IF((O80="Warning"),"add explanation","")))</f>
        <v/>
      </c>
      <c r="O80" s="256" t="str">
        <f>IF(J80&gt;J40,"Error",IF(AM80="Warning","Warning",""))</f>
        <v/>
      </c>
      <c r="P80" s="87"/>
      <c r="Q80" s="98" t="str">
        <f>IF(J80&gt;J40,"Line 104 col 5 should not exceed line 44 col 5. Please check the figures are in 000's and correct this",IF($O80="Warning","This year's figure is over "&amp;AE79/1000&amp;" million and "&amp;(AD79*100)&amp;"% different to "&amp;TEXT(AF79,"#,###")&amp;" last year, please explain",""))</f>
        <v/>
      </c>
      <c r="AD80" s="609">
        <f>VLOOKUP("RO2"&amp;$B80,data_val_parameters,8,0)/100</f>
        <v>0.4</v>
      </c>
      <c r="AE80" s="609">
        <f>VLOOKUP("RO2"&amp;$B80,data_val_parameters,7,0)</f>
        <v>4000</v>
      </c>
      <c r="AF80" s="609" t="e">
        <f>VLOOKUP(LA_code,data_prev_year,MATCH("RO2"&amp;$B80&amp;"5",data_prev_year_headers,0),0)</f>
        <v>#N/A</v>
      </c>
      <c r="AG80" s="609" t="e">
        <f t="shared" si="32"/>
        <v>#N/A</v>
      </c>
      <c r="AH80" s="609" t="e">
        <f t="shared" si="33"/>
        <v>#N/A</v>
      </c>
      <c r="AI80" s="609" t="e">
        <f t="shared" si="34"/>
        <v>#N/A</v>
      </c>
      <c r="AJ80" s="609" t="e">
        <f t="shared" si="35"/>
        <v>#N/A</v>
      </c>
      <c r="AK80" s="609" t="e">
        <f t="shared" si="36"/>
        <v>#N/A</v>
      </c>
      <c r="AL80" s="609" t="e">
        <f t="shared" si="37"/>
        <v>#N/A</v>
      </c>
      <c r="AM80" s="609" t="str">
        <f t="shared" si="38"/>
        <v/>
      </c>
    </row>
    <row r="81" spans="1:42" ht="15.5" x14ac:dyDescent="0.35">
      <c r="A81" s="585"/>
      <c r="B81" s="249" t="s">
        <v>253</v>
      </c>
      <c r="C81" s="249"/>
      <c r="D81" s="87"/>
      <c r="E81" s="24"/>
      <c r="F81" s="24"/>
      <c r="G81" s="82"/>
      <c r="H81" s="82"/>
      <c r="I81" s="24"/>
      <c r="J81" s="24"/>
      <c r="K81" s="82"/>
      <c r="L81" s="82"/>
      <c r="M81" s="87"/>
      <c r="N81" s="320"/>
      <c r="O81" s="256"/>
      <c r="P81" s="87"/>
      <c r="Q81" s="98"/>
    </row>
    <row r="82" spans="1:42" ht="17.5" x14ac:dyDescent="0.35">
      <c r="A82" s="585"/>
      <c r="B82" s="248" t="s">
        <v>820</v>
      </c>
      <c r="C82" s="248"/>
      <c r="D82" s="87"/>
      <c r="E82" s="24"/>
      <c r="F82" s="24"/>
      <c r="G82" s="82"/>
      <c r="H82" s="82"/>
      <c r="I82" s="24"/>
      <c r="J82" s="24"/>
      <c r="K82" s="82"/>
      <c r="L82" s="82"/>
      <c r="M82" s="87"/>
      <c r="N82" s="320"/>
      <c r="O82" s="256"/>
      <c r="P82" s="87"/>
      <c r="Q82" s="98"/>
    </row>
    <row r="83" spans="1:42" ht="15.5" x14ac:dyDescent="0.35">
      <c r="A83" s="584"/>
      <c r="B83" s="86">
        <v>130</v>
      </c>
      <c r="C83" s="86" t="s">
        <v>821</v>
      </c>
      <c r="D83" s="87"/>
      <c r="E83" s="87"/>
      <c r="F83" s="87"/>
      <c r="G83" s="87"/>
      <c r="H83" s="87"/>
      <c r="I83" s="87"/>
      <c r="J83" s="87"/>
      <c r="K83" s="87"/>
      <c r="L83" s="87"/>
      <c r="M83" s="87"/>
      <c r="N83" s="320"/>
      <c r="O83" s="256"/>
      <c r="P83" s="87"/>
      <c r="Q83" s="98"/>
      <c r="AD83" s="609">
        <f>VLOOKUP("RO2"&amp;$B83,data_val_parameters,8,0)/100</f>
        <v>0.4</v>
      </c>
    </row>
    <row r="84" spans="1:42" ht="15.5" x14ac:dyDescent="0.35">
      <c r="A84" s="585" t="s">
        <v>822</v>
      </c>
      <c r="B84" s="249"/>
      <c r="C84" s="249" t="s">
        <v>823</v>
      </c>
      <c r="D84" s="87"/>
      <c r="E84" s="1222"/>
      <c r="F84" s="1222"/>
      <c r="G84" s="1282">
        <f>SUM(E84:F84)</f>
        <v>0</v>
      </c>
      <c r="H84" s="1271"/>
      <c r="I84" s="1222"/>
      <c r="J84" s="1222"/>
      <c r="K84" s="1282">
        <f>SUM(I84:J84)</f>
        <v>0</v>
      </c>
      <c r="L84" s="1282">
        <f>G84-K84</f>
        <v>0</v>
      </c>
      <c r="M84" s="87"/>
      <c r="N84" s="1179" t="str">
        <f>IF(ISERROR(O84),"",IF((O84="Error"),"add explanation",IF((O84="Warning"),"add explanation","")))</f>
        <v/>
      </c>
      <c r="O84" s="256" t="str">
        <f>IF(L84&lt;&gt;(G84-K84),"Error",IF(AM84="Warning","Warning",""))</f>
        <v/>
      </c>
      <c r="P84" s="87"/>
      <c r="Q84" s="98" t="str">
        <f>IF($O84="Error","Net Current Expenditure does not match Total Income - Total Expenditure, please correct",IF($O84="Warning","This year's figure is over "&amp;AE84/1000&amp;" million and "&amp;(AD84*100)&amp;"% different to "&amp;TEXT(AF84,"#,###")&amp;"last year, please explain",""))</f>
        <v/>
      </c>
      <c r="AE84" s="609">
        <f>VLOOKUP("RO2"&amp;$B83,data_val_parameters,7,0)</f>
        <v>4000</v>
      </c>
      <c r="AF84" s="609" t="e">
        <f>VLOOKUP(LA_code,data_prev_year,MATCH("RO2"&amp;$B83&amp;"7",data_prev_year_headers,0),0)</f>
        <v>#N/A</v>
      </c>
      <c r="AG84" s="609" t="e">
        <f t="shared" ref="AG84" si="39">AF84+AE84</f>
        <v>#N/A</v>
      </c>
      <c r="AH84" s="609" t="e">
        <f t="shared" ref="AH84" si="40">AF84-AE84</f>
        <v>#N/A</v>
      </c>
      <c r="AI84" s="609" t="e">
        <f t="shared" ref="AI84" si="41">AF84+(AF84*AD84)</f>
        <v>#N/A</v>
      </c>
      <c r="AJ84" s="609" t="e">
        <f t="shared" ref="AJ84" si="42">AF84-(AF84*AD84)</f>
        <v>#N/A</v>
      </c>
      <c r="AK84" s="609" t="e">
        <f>IF(OR(L84&lt;AH84,L84&gt;AG84),"Warning","")</f>
        <v>#N/A</v>
      </c>
      <c r="AL84" s="609" t="e">
        <f>IF(OR(L84&gt;(AI84),L84&lt;(AJ84)),"Warning","")</f>
        <v>#N/A</v>
      </c>
      <c r="AM84" s="609" t="str">
        <f t="shared" ref="AM84" si="43">IF(OR(L84=0),"",IF(AND(AK84="Warning",AL84="Warning"),"Warning",""))</f>
        <v/>
      </c>
    </row>
    <row r="85" spans="1:42" ht="15.5" x14ac:dyDescent="0.35">
      <c r="A85" s="585"/>
      <c r="B85" s="249" t="s">
        <v>253</v>
      </c>
      <c r="C85" s="249"/>
      <c r="D85" s="87"/>
      <c r="E85" s="24"/>
      <c r="F85" s="24"/>
      <c r="G85" s="82"/>
      <c r="H85" s="82"/>
      <c r="I85" s="24"/>
      <c r="J85" s="24"/>
      <c r="K85" s="82"/>
      <c r="L85" s="82"/>
      <c r="M85" s="87"/>
      <c r="N85" s="436"/>
      <c r="O85" s="256"/>
      <c r="P85" s="87"/>
      <c r="Q85" s="98"/>
    </row>
    <row r="86" spans="1:42" ht="17.5" x14ac:dyDescent="0.35">
      <c r="A86" s="585"/>
      <c r="B86" s="248" t="s">
        <v>824</v>
      </c>
      <c r="C86" s="248"/>
      <c r="D86" s="87"/>
      <c r="E86" s="24"/>
      <c r="F86" s="43"/>
      <c r="G86" s="82"/>
      <c r="H86" s="82"/>
      <c r="I86" s="24"/>
      <c r="J86" s="24"/>
      <c r="K86" s="82"/>
      <c r="L86" s="82"/>
      <c r="M86" s="87"/>
      <c r="N86" s="436"/>
      <c r="O86" s="256"/>
      <c r="P86" s="87"/>
      <c r="Q86" s="98"/>
    </row>
    <row r="87" spans="1:42" ht="15.5" x14ac:dyDescent="0.35">
      <c r="A87" s="585" t="s">
        <v>825</v>
      </c>
      <c r="B87" s="84">
        <v>141</v>
      </c>
      <c r="C87" s="84" t="s">
        <v>826</v>
      </c>
      <c r="D87" s="87"/>
      <c r="E87" s="24"/>
      <c r="F87" s="1222"/>
      <c r="G87" s="82"/>
      <c r="H87" s="82"/>
      <c r="I87" s="24"/>
      <c r="J87" s="24"/>
      <c r="K87" s="82"/>
      <c r="L87" s="82"/>
      <c r="M87" s="87"/>
      <c r="N87" s="1179" t="str">
        <f>IF(ISERROR(O87),"",IF((O87="Error"),"add explanation",IF((O87="Warning"),"add explanation","")))</f>
        <v/>
      </c>
      <c r="O87" s="256" t="str">
        <f>IF(AM87="Warning","Warning","")</f>
        <v/>
      </c>
      <c r="P87" s="87"/>
      <c r="Q87" s="98" t="str">
        <f>IF($O87="Warning","This year's figure is over "&amp;AE87/1000&amp;" million and "&amp;(AD87*100)&amp;"% different to "&amp;TEXT(AF87,"#,###")&amp;" last year, please explain","")</f>
        <v/>
      </c>
      <c r="AD87" s="609">
        <f>VLOOKUP("RO2"&amp;$B87,data_val_parameters,8,0)/100</f>
        <v>0.4</v>
      </c>
      <c r="AE87" s="609">
        <f>VLOOKUP("RO2"&amp;$B87,data_val_parameters,7,0)</f>
        <v>4000</v>
      </c>
      <c r="AF87" s="609" t="e">
        <f>VLOOKUP(LA_code,data_prev_year,MATCH("RO2"&amp;$B87&amp;"2",data_prev_year_headers,0),0)</f>
        <v>#N/A</v>
      </c>
      <c r="AG87" s="609" t="e">
        <f t="shared" ref="AG87:AG88" si="44">AF87+AE87</f>
        <v>#N/A</v>
      </c>
      <c r="AH87" s="609" t="e">
        <f t="shared" ref="AH87:AH88" si="45">AF87-AE87</f>
        <v>#N/A</v>
      </c>
      <c r="AI87" s="609" t="e">
        <f t="shared" ref="AI87:AI88" si="46">AF87+(AF87*AD87)</f>
        <v>#N/A</v>
      </c>
      <c r="AJ87" s="609" t="e">
        <f t="shared" ref="AJ87:AJ88" si="47">AF87-(AF87*AD87)</f>
        <v>#N/A</v>
      </c>
      <c r="AK87" s="609" t="e">
        <f>IF(OR(F87&lt;AH87,F87&gt;AG87),"Warning","")</f>
        <v>#N/A</v>
      </c>
      <c r="AL87" s="609" t="e">
        <f>IF(OR(F87&gt;(AI87),F87&lt;(AJ87)),"Warning","")</f>
        <v>#N/A</v>
      </c>
      <c r="AM87" s="609" t="str">
        <f>IF(OR(F87=0),"",IF(AND(AK87="Warning",AL87="Warning"),"Warning",""))</f>
        <v/>
      </c>
    </row>
    <row r="88" spans="1:42" ht="15.5" x14ac:dyDescent="0.35">
      <c r="A88" s="585" t="s">
        <v>827</v>
      </c>
      <c r="B88" s="84">
        <v>144</v>
      </c>
      <c r="C88" s="84" t="s">
        <v>828</v>
      </c>
      <c r="D88" s="87"/>
      <c r="E88" s="24"/>
      <c r="F88" s="1222"/>
      <c r="G88" s="82"/>
      <c r="H88" s="82"/>
      <c r="I88" s="24"/>
      <c r="J88" s="24"/>
      <c r="K88" s="82"/>
      <c r="L88" s="82"/>
      <c r="M88" s="87"/>
      <c r="N88" s="1179" t="str">
        <f>IF(ISERROR(O88),"",IF((O88="Error"),"add explanation",IF((O88="Warning"),"add explanation","")))</f>
        <v/>
      </c>
      <c r="O88" s="256" t="str">
        <f>IF(AM88="Warning","Warning","")</f>
        <v/>
      </c>
      <c r="P88" s="87"/>
      <c r="Q88" s="98" t="str">
        <f>IF($O88="Warning","This year's figure is over "&amp;AE88/1000&amp;" million and "&amp;(AD88*100)&amp;"% different to "&amp;TEXT(AF88,"#,###")&amp;" last year, please explain","")</f>
        <v/>
      </c>
      <c r="AD88" s="609">
        <f>VLOOKUP("RO2"&amp;$B88,data_val_parameters,8,0)/100</f>
        <v>0.4</v>
      </c>
      <c r="AE88" s="609">
        <f>VLOOKUP("RO2"&amp;$B88,data_val_parameters,7,0)</f>
        <v>4000</v>
      </c>
      <c r="AF88" s="609" t="e">
        <f>VLOOKUP(LA_code,data_prev_year,MATCH("RO2"&amp;$B88&amp;"2",data_prev_year_headers,0),0)</f>
        <v>#N/A</v>
      </c>
      <c r="AG88" s="609" t="e">
        <f t="shared" si="44"/>
        <v>#N/A</v>
      </c>
      <c r="AH88" s="609" t="e">
        <f t="shared" si="45"/>
        <v>#N/A</v>
      </c>
      <c r="AI88" s="609" t="e">
        <f t="shared" si="46"/>
        <v>#N/A</v>
      </c>
      <c r="AJ88" s="609" t="e">
        <f t="shared" si="47"/>
        <v>#N/A</v>
      </c>
      <c r="AK88" s="609" t="e">
        <f>IF(OR(F88&lt;AH88,F88&gt;AG88),"Warning","")</f>
        <v>#N/A</v>
      </c>
      <c r="AL88" s="609" t="e">
        <f>IF(OR(F88&gt;(AI88),F88&lt;(AJ88)),"Warning","")</f>
        <v>#N/A</v>
      </c>
      <c r="AM88" s="609" t="str">
        <f>IF(OR(F88=0),"",IF(AND(AK88="Warning",AL88="Warning"),"Warning",""))</f>
        <v/>
      </c>
    </row>
    <row r="89" spans="1:42" ht="15.5" x14ac:dyDescent="0.35">
      <c r="A89" s="585"/>
      <c r="B89" s="6" t="s">
        <v>253</v>
      </c>
      <c r="C89" s="6"/>
      <c r="D89" s="87"/>
      <c r="E89" s="24"/>
      <c r="F89" s="43"/>
      <c r="G89" s="82"/>
      <c r="H89" s="82"/>
      <c r="I89" s="24"/>
      <c r="J89" s="24"/>
      <c r="K89" s="82"/>
      <c r="L89" s="82"/>
      <c r="M89" s="87"/>
      <c r="N89" s="1182"/>
      <c r="O89" s="256"/>
      <c r="P89" s="87"/>
      <c r="Q89" s="98"/>
    </row>
    <row r="90" spans="1:42" s="1" customFormat="1" ht="17.5" x14ac:dyDescent="0.35">
      <c r="A90" s="592"/>
      <c r="B90" s="215" t="s">
        <v>829</v>
      </c>
      <c r="C90" s="87"/>
      <c r="D90" s="87"/>
      <c r="E90" s="249"/>
      <c r="F90" s="249"/>
      <c r="G90" s="401"/>
      <c r="H90" s="401"/>
      <c r="I90" s="249"/>
      <c r="J90" s="249"/>
      <c r="K90" s="401"/>
      <c r="L90" s="401"/>
      <c r="M90" s="40"/>
      <c r="N90" s="1182"/>
      <c r="O90" s="256"/>
      <c r="P90" s="87"/>
      <c r="Q90" s="98"/>
      <c r="R90" s="619"/>
      <c r="S90" s="609"/>
      <c r="T90" s="619"/>
      <c r="U90" s="619"/>
      <c r="V90" s="619"/>
      <c r="W90" s="619"/>
      <c r="X90" s="619"/>
      <c r="Y90" s="619"/>
      <c r="Z90" s="619"/>
      <c r="AA90" s="619"/>
      <c r="AB90" s="619"/>
      <c r="AC90" s="619"/>
      <c r="AD90" s="609"/>
      <c r="AE90" s="619"/>
      <c r="AF90" s="619"/>
      <c r="AG90" s="619"/>
      <c r="AH90" s="619"/>
      <c r="AI90" s="619"/>
      <c r="AJ90" s="619"/>
      <c r="AK90" s="619"/>
      <c r="AL90" s="619"/>
      <c r="AM90" s="619"/>
      <c r="AN90" s="619"/>
      <c r="AO90" s="619"/>
      <c r="AP90" s="619"/>
    </row>
    <row r="91" spans="1:42" s="1" customFormat="1" ht="15.5" x14ac:dyDescent="0.35">
      <c r="A91" s="593" t="s">
        <v>830</v>
      </c>
      <c r="B91" s="86">
        <v>161</v>
      </c>
      <c r="C91" s="86" t="s">
        <v>831</v>
      </c>
      <c r="D91" s="87"/>
      <c r="E91" s="249"/>
      <c r="F91" s="249"/>
      <c r="G91" s="401"/>
      <c r="H91" s="401"/>
      <c r="I91" s="1298"/>
      <c r="J91" s="249"/>
      <c r="K91" s="401"/>
      <c r="L91" s="401"/>
      <c r="M91" s="40"/>
      <c r="N91" s="1179" t="str">
        <f>IF(ISERROR(O91),"",IF((O91="Error"),"add explanation",IF((O91="Warning"),"add explanation","")))</f>
        <v/>
      </c>
      <c r="O91" s="256" t="str">
        <f>IF(AM91="Warning","Warning","")</f>
        <v/>
      </c>
      <c r="P91" s="87"/>
      <c r="Q91" s="98" t="str">
        <f>IF($O91="Warning","This year's figure is over "&amp;AE91/1000&amp;" million and "&amp;(AD91*100)&amp;"% different to "&amp;TEXT(AF91,"#,###")&amp;" last year, please explain","")</f>
        <v/>
      </c>
      <c r="R91" s="619"/>
      <c r="S91" s="609"/>
      <c r="T91" s="619"/>
      <c r="U91" s="619"/>
      <c r="V91" s="619"/>
      <c r="W91" s="619"/>
      <c r="X91" s="619"/>
      <c r="Y91" s="619"/>
      <c r="Z91" s="619"/>
      <c r="AA91" s="619"/>
      <c r="AB91" s="619"/>
      <c r="AC91" s="619"/>
      <c r="AD91" s="609">
        <f>VLOOKUP("RO2"&amp;$B91,data_val_parameters,8,0)/100</f>
        <v>0.4</v>
      </c>
      <c r="AE91" s="609">
        <f>VLOOKUP("RO2"&amp;$B91,data_val_parameters,7,0)</f>
        <v>4000</v>
      </c>
      <c r="AF91" s="609" t="e">
        <f>VLOOKUP(LA_code,data_prev_year,MATCH("RO2"&amp;$B91&amp;"4",data_prev_year_headers,0),0)</f>
        <v>#N/A</v>
      </c>
      <c r="AG91" s="609" t="e">
        <f t="shared" ref="AG91" si="48">AF91+AE91</f>
        <v>#N/A</v>
      </c>
      <c r="AH91" s="609" t="e">
        <f t="shared" ref="AH91" si="49">AF91-AE91</f>
        <v>#N/A</v>
      </c>
      <c r="AI91" s="609" t="e">
        <f t="shared" ref="AI91" si="50">AF91+(AF91*AD91)</f>
        <v>#N/A</v>
      </c>
      <c r="AJ91" s="609" t="e">
        <f t="shared" ref="AJ91" si="51">AF91-(AF91*AD91)</f>
        <v>#N/A</v>
      </c>
      <c r="AK91" s="609" t="e">
        <f>IF(OR(I91&lt;AH91,I91&gt;AG91),"Warning","")</f>
        <v>#N/A</v>
      </c>
      <c r="AL91" s="609" t="e">
        <f>IF(OR(I91&gt;(AI91),I91&lt;(AJ91)),"Warning","")</f>
        <v>#N/A</v>
      </c>
      <c r="AM91" s="609" t="str">
        <f>IF(OR(I91=0),"",IF(AND(AK91="Warning",AL91="Warning"),"Warning",""))</f>
        <v/>
      </c>
      <c r="AN91" s="619"/>
      <c r="AO91" s="619"/>
      <c r="AP91" s="619"/>
    </row>
    <row r="92" spans="1:42" s="1" customFormat="1" ht="15.5" x14ac:dyDescent="0.35">
      <c r="A92" s="593" t="s">
        <v>832</v>
      </c>
      <c r="B92" s="402">
        <v>162</v>
      </c>
      <c r="C92" s="402" t="s">
        <v>833</v>
      </c>
      <c r="D92" s="87"/>
      <c r="E92" s="49"/>
      <c r="F92" s="49"/>
      <c r="G92" s="40"/>
      <c r="H92" s="40"/>
      <c r="I92" s="1298"/>
      <c r="J92" s="40"/>
      <c r="K92" s="40"/>
      <c r="L92" s="40"/>
      <c r="M92" s="40"/>
      <c r="N92" s="1179" t="str">
        <f>IF(ISERROR(O92),"",IF((O92="Error"),"add explanation",IF((O92="Warning"),"add explanation","")))</f>
        <v/>
      </c>
      <c r="O92" s="256" t="str">
        <f>IF(AM92="Warning","Warning","")</f>
        <v/>
      </c>
      <c r="P92" s="87"/>
      <c r="Q92" s="98" t="str">
        <f>IF($O92="Warning","This year's figure is over "&amp;AE92/1000&amp;" million and "&amp;(AD92*100)&amp;"% different to "&amp;TEXT(AF92,"#,###")&amp;" last year, please explain","")</f>
        <v/>
      </c>
      <c r="R92" s="619"/>
      <c r="S92" s="609"/>
      <c r="T92" s="619"/>
      <c r="U92" s="619"/>
      <c r="V92" s="619"/>
      <c r="W92" s="619"/>
      <c r="X92" s="619"/>
      <c r="Y92" s="619"/>
      <c r="Z92" s="619"/>
      <c r="AA92" s="619"/>
      <c r="AB92" s="619"/>
      <c r="AC92" s="619"/>
      <c r="AD92" s="609">
        <f>VLOOKUP("RO2"&amp;$B92,data_val_parameters,8,0)/100</f>
        <v>0.4</v>
      </c>
      <c r="AE92" s="609">
        <f>VLOOKUP("RO2"&amp;$B92,data_val_parameters,7,0)</f>
        <v>4000</v>
      </c>
      <c r="AF92" s="609" t="e">
        <f>VLOOKUP(LA_code,data_prev_year,MATCH("RO2"&amp;$B92&amp;"4",data_prev_year_headers,0),0)</f>
        <v>#N/A</v>
      </c>
      <c r="AG92" s="609" t="e">
        <f t="shared" ref="AG92" si="52">AF92+AE92</f>
        <v>#N/A</v>
      </c>
      <c r="AH92" s="609" t="e">
        <f t="shared" ref="AH92" si="53">AF92-AE92</f>
        <v>#N/A</v>
      </c>
      <c r="AI92" s="609" t="e">
        <f t="shared" ref="AI92" si="54">AF92+(AF92*AD92)</f>
        <v>#N/A</v>
      </c>
      <c r="AJ92" s="609" t="e">
        <f t="shared" ref="AJ92" si="55">AF92-(AF92*AD92)</f>
        <v>#N/A</v>
      </c>
      <c r="AK92" s="609" t="e">
        <f>IF(OR(I92&lt;AH92,I92&gt;AG92),"Warning","")</f>
        <v>#N/A</v>
      </c>
      <c r="AL92" s="609" t="e">
        <f>IF(OR(I92&gt;(AI92),I92&lt;(AJ92)),"Warning","")</f>
        <v>#N/A</v>
      </c>
      <c r="AM92" s="609" t="str">
        <f>IF(OR(I92=0),"",IF(AND(AK92="Warning",AL92="Warning"),"Warning",""))</f>
        <v/>
      </c>
      <c r="AN92" s="619"/>
      <c r="AO92" s="619"/>
      <c r="AP92" s="619"/>
    </row>
    <row r="93" spans="1:42" s="1" customFormat="1" ht="15.5" x14ac:dyDescent="0.35">
      <c r="A93" s="592"/>
      <c r="B93" s="402" t="s">
        <v>253</v>
      </c>
      <c r="C93" s="402"/>
      <c r="D93" s="87"/>
      <c r="E93" s="49"/>
      <c r="F93" s="49"/>
      <c r="G93" s="40"/>
      <c r="H93" s="40"/>
      <c r="I93" s="24"/>
      <c r="J93" s="40"/>
      <c r="K93" s="40"/>
      <c r="L93" s="40"/>
      <c r="M93" s="40"/>
      <c r="N93" s="1182"/>
      <c r="O93" s="256"/>
      <c r="P93" s="87"/>
      <c r="Q93" s="98"/>
      <c r="R93" s="619"/>
      <c r="S93" s="609"/>
      <c r="T93" s="619"/>
      <c r="U93" s="619"/>
      <c r="V93" s="619"/>
      <c r="W93" s="619"/>
      <c r="X93" s="619"/>
      <c r="Y93" s="619"/>
      <c r="Z93" s="619"/>
      <c r="AA93" s="619"/>
      <c r="AB93" s="619"/>
      <c r="AC93" s="619"/>
      <c r="AD93" s="609"/>
      <c r="AE93" s="619"/>
      <c r="AF93" s="619"/>
      <c r="AG93" s="619"/>
      <c r="AH93" s="619"/>
      <c r="AI93" s="619"/>
      <c r="AJ93" s="619"/>
      <c r="AK93" s="619"/>
      <c r="AL93" s="619"/>
      <c r="AM93" s="619"/>
      <c r="AN93" s="619"/>
      <c r="AO93" s="619"/>
      <c r="AP93" s="619"/>
    </row>
    <row r="94" spans="1:42" s="1" customFormat="1" ht="18" x14ac:dyDescent="0.4">
      <c r="A94" s="592"/>
      <c r="B94" s="21" t="s">
        <v>834</v>
      </c>
      <c r="C94" s="21"/>
      <c r="D94" s="87"/>
      <c r="E94" s="49"/>
      <c r="F94" s="49"/>
      <c r="G94" s="40"/>
      <c r="H94" s="40"/>
      <c r="I94" s="24"/>
      <c r="J94" s="40"/>
      <c r="K94" s="40"/>
      <c r="L94" s="40"/>
      <c r="M94" s="40"/>
      <c r="N94" s="1182"/>
      <c r="O94" s="256"/>
      <c r="P94" s="87"/>
      <c r="Q94" s="98"/>
      <c r="R94" s="619"/>
      <c r="S94" s="609"/>
      <c r="T94" s="619"/>
      <c r="U94" s="619"/>
      <c r="V94" s="619"/>
      <c r="W94" s="619"/>
      <c r="X94" s="619"/>
      <c r="Y94" s="619"/>
      <c r="Z94" s="619"/>
      <c r="AA94" s="619"/>
      <c r="AB94" s="619"/>
      <c r="AC94" s="619"/>
      <c r="AD94" s="609"/>
      <c r="AE94" s="619"/>
      <c r="AF94" s="619"/>
      <c r="AG94" s="619"/>
      <c r="AH94" s="619"/>
      <c r="AI94" s="619"/>
      <c r="AJ94" s="619"/>
      <c r="AK94" s="619"/>
      <c r="AL94" s="619"/>
      <c r="AM94" s="619"/>
      <c r="AN94" s="619"/>
      <c r="AO94" s="619"/>
      <c r="AP94" s="619"/>
    </row>
    <row r="95" spans="1:42" s="1" customFormat="1" ht="15.5" x14ac:dyDescent="0.35">
      <c r="A95" s="592"/>
      <c r="B95" s="6" t="s">
        <v>253</v>
      </c>
      <c r="C95" s="6"/>
      <c r="D95" s="87"/>
      <c r="E95" s="49"/>
      <c r="F95" s="49"/>
      <c r="G95" s="40"/>
      <c r="H95" s="40"/>
      <c r="I95" s="24"/>
      <c r="J95" s="40"/>
      <c r="K95" s="40"/>
      <c r="L95" s="40"/>
      <c r="M95" s="40"/>
      <c r="N95" s="1182"/>
      <c r="O95" s="256"/>
      <c r="P95" s="87"/>
      <c r="Q95" s="98"/>
      <c r="R95" s="619"/>
      <c r="S95" s="609"/>
      <c r="T95" s="619"/>
      <c r="U95" s="619"/>
      <c r="V95" s="619"/>
      <c r="W95" s="619"/>
      <c r="X95" s="619"/>
      <c r="Y95" s="619"/>
      <c r="Z95" s="619"/>
      <c r="AA95" s="619"/>
      <c r="AB95" s="619"/>
      <c r="AC95" s="619"/>
      <c r="AD95" s="609"/>
      <c r="AE95" s="619"/>
      <c r="AF95" s="619"/>
      <c r="AG95" s="619"/>
      <c r="AH95" s="619"/>
      <c r="AI95" s="619"/>
      <c r="AJ95" s="619"/>
      <c r="AK95" s="619"/>
      <c r="AL95" s="619"/>
      <c r="AM95" s="619"/>
      <c r="AN95" s="619"/>
      <c r="AO95" s="619"/>
      <c r="AP95" s="619"/>
    </row>
    <row r="96" spans="1:42" s="1" customFormat="1" ht="15.5" x14ac:dyDescent="0.35">
      <c r="A96" s="592" t="s">
        <v>835</v>
      </c>
      <c r="B96" s="92">
        <v>172</v>
      </c>
      <c r="C96" s="321" t="s">
        <v>836</v>
      </c>
      <c r="D96" s="87"/>
      <c r="E96" s="1222"/>
      <c r="F96" s="1222"/>
      <c r="G96" s="1282">
        <f>SUM(E96:F96)</f>
        <v>0</v>
      </c>
      <c r="H96" s="1271"/>
      <c r="I96" s="1222"/>
      <c r="J96" s="1222"/>
      <c r="K96" s="1282">
        <f>SUM(I96:J96)</f>
        <v>0</v>
      </c>
      <c r="L96" s="1282">
        <f>G96-K96</f>
        <v>0</v>
      </c>
      <c r="M96" s="40"/>
      <c r="N96" s="1183" t="str">
        <f>IF(ISERROR(O96),"",IF((O96="Error"),"add explanation",IF((O96="Warning"),"add explanation","")))</f>
        <v/>
      </c>
      <c r="O96" s="256" t="str">
        <f>IF(L96&lt;&gt;(G96-K96),"Error",IF(AM96="Warning","Warning",""))</f>
        <v/>
      </c>
      <c r="P96" s="87"/>
      <c r="Q96" s="98" t="str">
        <f>IF($O96="Error","Net Current Expenditure for '"&amp;($C96)&amp;"' here does not match Total Income - Total Expenditure, please correct",IF($O96="Warning","This year's figure is over "&amp;AE96/1000&amp;" million and "&amp;(AD96*100)&amp;"% different to "&amp;TEXT(AF96,"#,###")&amp;" last year, please explain",""))</f>
        <v/>
      </c>
      <c r="R96" s="619"/>
      <c r="S96" s="609"/>
      <c r="T96" s="619"/>
      <c r="U96" s="619"/>
      <c r="V96" s="619"/>
      <c r="W96" s="619"/>
      <c r="X96" s="619"/>
      <c r="Y96" s="619"/>
      <c r="Z96" s="619"/>
      <c r="AA96" s="619"/>
      <c r="AB96" s="619"/>
      <c r="AC96" s="619"/>
      <c r="AD96" s="609">
        <f>VLOOKUP("RO2"&amp;$B96,data_val_parameters,8,0)/100</f>
        <v>0.4</v>
      </c>
      <c r="AE96" s="609">
        <f>VLOOKUP("RO2"&amp;$B96,data_val_parameters,7,0)</f>
        <v>4000</v>
      </c>
      <c r="AF96" s="609" t="e">
        <f>VLOOKUP(LA_code,data_prev_year,MATCH("RO2"&amp;$B96&amp;"7",data_prev_year_headers,0),0)</f>
        <v>#N/A</v>
      </c>
      <c r="AG96" s="609" t="e">
        <f t="shared" ref="AG96" si="56">AF96+AE96</f>
        <v>#N/A</v>
      </c>
      <c r="AH96" s="609" t="e">
        <f t="shared" ref="AH96" si="57">AF96-AE96</f>
        <v>#N/A</v>
      </c>
      <c r="AI96" s="609" t="e">
        <f t="shared" ref="AI96" si="58">AF96+(AF96*AD96)</f>
        <v>#N/A</v>
      </c>
      <c r="AJ96" s="609" t="e">
        <f t="shared" ref="AJ96" si="59">AF96-(AF96*AD96)</f>
        <v>#N/A</v>
      </c>
      <c r="AK96" s="609" t="e">
        <f>IF(OR(L96&lt;AH96,L96&gt;AG96),"Warning","")</f>
        <v>#N/A</v>
      </c>
      <c r="AL96" s="609" t="e">
        <f>IF(OR(L96&gt;(AI96),L96&lt;(AJ96)),"Warning","")</f>
        <v>#N/A</v>
      </c>
      <c r="AM96" s="609" t="str">
        <f>IF(OR(L96=0),"",IF(AND(AK96="Warning",AL96="Warning"),"Warning",""))</f>
        <v/>
      </c>
      <c r="AN96" s="619"/>
      <c r="AO96" s="619"/>
      <c r="AP96" s="619"/>
    </row>
    <row r="97" spans="1:42" s="1" customFormat="1" ht="15.5" x14ac:dyDescent="0.35">
      <c r="A97" s="592" t="s">
        <v>837</v>
      </c>
      <c r="B97" s="92">
        <v>173</v>
      </c>
      <c r="C97" s="321" t="s">
        <v>838</v>
      </c>
      <c r="D97" s="87"/>
      <c r="E97" s="1222"/>
      <c r="F97" s="1222"/>
      <c r="G97" s="1282">
        <f>SUM(E97:F97)</f>
        <v>0</v>
      </c>
      <c r="H97" s="1271"/>
      <c r="I97" s="1222"/>
      <c r="J97" s="1222"/>
      <c r="K97" s="1282">
        <f>SUM(I97:J97)</f>
        <v>0</v>
      </c>
      <c r="L97" s="1282">
        <f>G97-K97</f>
        <v>0</v>
      </c>
      <c r="M97" s="40"/>
      <c r="N97" s="1183" t="str">
        <f>IF(ISERROR(O97),"",IF((O97="Error"),"add explanation",IF((O97="Warning"),"add explanation","")))</f>
        <v/>
      </c>
      <c r="O97" s="256" t="str">
        <f>IF(L97&lt;&gt;(G97-K97),"Error",IF(AM97="Warning","Warning",""))</f>
        <v/>
      </c>
      <c r="P97" s="87"/>
      <c r="Q97" s="98" t="str">
        <f>IF($O97="Error","Net Current Expenditure for '"&amp;($C97)&amp;"' here does not match Total Income - Total Expenditure, please correct",IF($O97="Warning","This year's figure is over "&amp;AE97/1000&amp;" million and "&amp;(AD97*100)&amp;"% different to "&amp;TEXT(AF97,"#,###")&amp;" last year, please explain",""))</f>
        <v/>
      </c>
      <c r="R97" s="619"/>
      <c r="S97" s="609"/>
      <c r="T97" s="619"/>
      <c r="U97" s="619"/>
      <c r="V97" s="619"/>
      <c r="W97" s="619"/>
      <c r="X97" s="619"/>
      <c r="Y97" s="619"/>
      <c r="Z97" s="619"/>
      <c r="AA97" s="619"/>
      <c r="AB97" s="619"/>
      <c r="AC97" s="619"/>
      <c r="AD97" s="609">
        <f>VLOOKUP("RO2"&amp;$B97,data_val_parameters,8,0)/100</f>
        <v>0.4</v>
      </c>
      <c r="AE97" s="609">
        <f>VLOOKUP("RO2"&amp;$B97,data_val_parameters,7,0)</f>
        <v>4000</v>
      </c>
      <c r="AF97" s="609" t="e">
        <f>VLOOKUP(LA_code,data_prev_year,MATCH("RO2"&amp;$B97&amp;"7",data_prev_year_headers,0),0)</f>
        <v>#N/A</v>
      </c>
      <c r="AG97" s="609" t="e">
        <f t="shared" ref="AG97:AG98" si="60">AF97+AE97</f>
        <v>#N/A</v>
      </c>
      <c r="AH97" s="609" t="e">
        <f t="shared" ref="AH97:AH98" si="61">AF97-AE97</f>
        <v>#N/A</v>
      </c>
      <c r="AI97" s="609" t="e">
        <f t="shared" ref="AI97:AI98" si="62">AF97+(AF97*AD97)</f>
        <v>#N/A</v>
      </c>
      <c r="AJ97" s="609" t="e">
        <f t="shared" ref="AJ97:AJ98" si="63">AF97-(AF97*AD97)</f>
        <v>#N/A</v>
      </c>
      <c r="AK97" s="609" t="e">
        <f t="shared" ref="AK97:AK98" si="64">IF(OR(L97&lt;AH97,L97&gt;AG97),"Warning","")</f>
        <v>#N/A</v>
      </c>
      <c r="AL97" s="609" t="e">
        <f t="shared" ref="AL97:AL98" si="65">IF(OR(L97&gt;(AI97),L97&lt;(AJ97)),"Warning","")</f>
        <v>#N/A</v>
      </c>
      <c r="AM97" s="609" t="str">
        <f t="shared" ref="AM97:AM98" si="66">IF(OR(L97=0),"",IF(AND(AK97="Warning",AL97="Warning"),"Warning",""))</f>
        <v/>
      </c>
      <c r="AN97" s="619"/>
      <c r="AO97" s="619"/>
      <c r="AP97" s="619"/>
    </row>
    <row r="98" spans="1:42" s="1" customFormat="1" ht="15.5" x14ac:dyDescent="0.35">
      <c r="A98" s="592" t="s">
        <v>839</v>
      </c>
      <c r="B98" s="92">
        <v>174</v>
      </c>
      <c r="C98" s="321" t="s">
        <v>840</v>
      </c>
      <c r="D98" s="87"/>
      <c r="E98" s="1222"/>
      <c r="F98" s="1222"/>
      <c r="G98" s="1282">
        <f>SUM(E98:F98)</f>
        <v>0</v>
      </c>
      <c r="H98" s="1271"/>
      <c r="I98" s="1222"/>
      <c r="J98" s="1222"/>
      <c r="K98" s="1282">
        <f>SUM(I98:J98)</f>
        <v>0</v>
      </c>
      <c r="L98" s="1282">
        <f>G98-K98</f>
        <v>0</v>
      </c>
      <c r="M98" s="40"/>
      <c r="N98" s="1183" t="str">
        <f>IF(ISERROR(O98),"",IF((O98="Error"),"add explanation",IF((O98="Warning"),"add explanation","")))</f>
        <v/>
      </c>
      <c r="O98" s="256" t="str">
        <f>IF(L98&lt;&gt;(G98-K98),"Error",IF(AM98="Warning","Warning",""))</f>
        <v/>
      </c>
      <c r="P98" s="87"/>
      <c r="Q98" s="98" t="str">
        <f>IF($O98="Error","Net Current Expenditure for '"&amp;($C98)&amp;"' here does not match Total Income - Total Expenditure, please correct",IF($O98="Warning","This year's figure is over "&amp;AE98/1000&amp;" million and "&amp;(AD98*100)&amp;"% different to "&amp;TEXT(AF98,"#,###")&amp;" last year, please explain",""))</f>
        <v/>
      </c>
      <c r="R98" s="619"/>
      <c r="S98" s="609"/>
      <c r="T98" s="619"/>
      <c r="U98" s="619"/>
      <c r="V98" s="619"/>
      <c r="W98" s="619"/>
      <c r="X98" s="619"/>
      <c r="Y98" s="619"/>
      <c r="Z98" s="619"/>
      <c r="AA98" s="619"/>
      <c r="AB98" s="619"/>
      <c r="AC98" s="619"/>
      <c r="AD98" s="609">
        <f>VLOOKUP("RO2"&amp;$B98,data_val_parameters,8,0)/100</f>
        <v>0.4</v>
      </c>
      <c r="AE98" s="609">
        <f>VLOOKUP("RO2"&amp;$B98,data_val_parameters,7,0)</f>
        <v>4000</v>
      </c>
      <c r="AF98" s="609" t="e">
        <f>VLOOKUP(LA_code,data_prev_year,MATCH("RO2"&amp;$B98&amp;"7",data_prev_year_headers,0),0)</f>
        <v>#N/A</v>
      </c>
      <c r="AG98" s="609" t="e">
        <f t="shared" si="60"/>
        <v>#N/A</v>
      </c>
      <c r="AH98" s="609" t="e">
        <f t="shared" si="61"/>
        <v>#N/A</v>
      </c>
      <c r="AI98" s="609" t="e">
        <f t="shared" si="62"/>
        <v>#N/A</v>
      </c>
      <c r="AJ98" s="609" t="e">
        <f t="shared" si="63"/>
        <v>#N/A</v>
      </c>
      <c r="AK98" s="609" t="e">
        <f t="shared" si="64"/>
        <v>#N/A</v>
      </c>
      <c r="AL98" s="609" t="e">
        <f t="shared" si="65"/>
        <v>#N/A</v>
      </c>
      <c r="AM98" s="609" t="str">
        <f t="shared" si="66"/>
        <v/>
      </c>
      <c r="AN98" s="619"/>
      <c r="AO98" s="619"/>
      <c r="AP98" s="619"/>
    </row>
    <row r="99" spans="1:42" s="1" customFormat="1" ht="15.5" x14ac:dyDescent="0.35">
      <c r="A99" s="592"/>
      <c r="B99" s="402"/>
      <c r="C99" s="402"/>
      <c r="D99" s="40"/>
      <c r="E99" s="49"/>
      <c r="F99" s="49"/>
      <c r="G99" s="40"/>
      <c r="H99" s="40"/>
      <c r="I99" s="24"/>
      <c r="J99" s="40"/>
      <c r="K99" s="40"/>
      <c r="L99" s="40"/>
      <c r="M99" s="40"/>
      <c r="N99" s="40"/>
      <c r="O99" s="40"/>
      <c r="P99" s="40"/>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row>
    <row r="100" spans="1:42" ht="15.5" x14ac:dyDescent="0.35">
      <c r="A100" s="585"/>
      <c r="L100" s="77"/>
    </row>
    <row r="101" spans="1:42" ht="13" x14ac:dyDescent="0.3">
      <c r="A101" s="585"/>
    </row>
    <row r="102" spans="1:42" ht="13" x14ac:dyDescent="0.3">
      <c r="A102" s="585"/>
    </row>
    <row r="103" spans="1:42" ht="13" x14ac:dyDescent="0.3">
      <c r="A103" s="585"/>
    </row>
    <row r="104" spans="1:42" ht="13" x14ac:dyDescent="0.3">
      <c r="A104" s="585"/>
    </row>
    <row r="105" spans="1:42" x14ac:dyDescent="0.25">
      <c r="A105" s="584"/>
    </row>
    <row r="106" spans="1:42" x14ac:dyDescent="0.25">
      <c r="A106" s="584"/>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33" priority="28" operator="containsText" text="resolve">
      <formula>NOT(ISERROR(SEARCH("resolve",B18)))</formula>
    </cfRule>
  </conditionalFormatting>
  <conditionalFormatting sqref="C18">
    <cfRule type="expression" dxfId="132" priority="2">
      <formula>ISNUMBER(SEARCH(AB18,B18))</formula>
    </cfRule>
  </conditionalFormatting>
  <conditionalFormatting sqref="D18">
    <cfRule type="expression" dxfId="131" priority="17">
      <formula>ISNUMBER(SEARCH(AB18,B18))</formula>
    </cfRule>
  </conditionalFormatting>
  <conditionalFormatting sqref="E18">
    <cfRule type="expression" dxfId="130" priority="16">
      <formula>ISNUMBER(SEARCH(AB18,B18))</formula>
    </cfRule>
  </conditionalFormatting>
  <conditionalFormatting sqref="F18">
    <cfRule type="expression" dxfId="129" priority="15">
      <formula>ISNUMBER(SEARCH(AB18,B18))</formula>
    </cfRule>
  </conditionalFormatting>
  <conditionalFormatting sqref="G18:H18">
    <cfRule type="expression" dxfId="128" priority="14">
      <formula>ISNUMBER(SEARCH(AB18,B18))</formula>
    </cfRule>
  </conditionalFormatting>
  <conditionalFormatting sqref="H67 H70:H72">
    <cfRule type="containsText" dxfId="127" priority="1" operator="containsText" text="Error">
      <formula>NOT(ISERROR(SEARCH("Error",H67)))</formula>
    </cfRule>
  </conditionalFormatting>
  <conditionalFormatting sqref="I18">
    <cfRule type="expression" dxfId="126" priority="13">
      <formula>ISNUMBER(SEARCH(AB18,B18))</formula>
    </cfRule>
  </conditionalFormatting>
  <conditionalFormatting sqref="J18">
    <cfRule type="expression" dxfId="125" priority="12">
      <formula>ISNUMBER(SEARCH(AB18,B18))</formula>
    </cfRule>
  </conditionalFormatting>
  <conditionalFormatting sqref="K18">
    <cfRule type="expression" dxfId="124" priority="11">
      <formula>ISNUMBER(SEARCH(AB18,B18))</formula>
    </cfRule>
  </conditionalFormatting>
  <conditionalFormatting sqref="L18">
    <cfRule type="expression" dxfId="123" priority="10">
      <formula>ISNUMBER(SEARCH(AB18,B18))</formula>
    </cfRule>
  </conditionalFormatting>
  <conditionalFormatting sqref="O32:O98">
    <cfRule type="containsText" dxfId="122" priority="4" operator="containsText" text="Information">
      <formula>NOT(ISERROR(SEARCH("Information",O32)))</formula>
    </cfRule>
    <cfRule type="containsText" dxfId="121" priority="5" operator="containsText" text="Warning">
      <formula>NOT(ISERROR(SEARCH("Warning",O32)))</formula>
    </cfRule>
    <cfRule type="containsText" dxfId="120" priority="6" operator="containsText" text="Error">
      <formula>NOT(ISERROR(SEARCH("Error",O32)))</formula>
    </cfRule>
  </conditionalFormatting>
  <dataValidations count="1">
    <dataValidation allowBlank="1" showInputMessage="1" showErrorMessage="1" promptTitle="Parking Services" prompt="Please fill out lines 161 and 162 to populate this cell" sqref="I52" xr:uid="{00000000-0002-0000-0500-000000000000}"/>
  </dataValidations>
  <hyperlinks>
    <hyperlink ref="N32" location="Memo!C305" display="Memo!C305" xr:uid="{00000000-0004-0000-0500-000000000000}"/>
    <hyperlink ref="N33" location="Memo!C306" display="Memo!C306" xr:uid="{00000000-0004-0000-0500-000001000000}"/>
    <hyperlink ref="N36" location="Memo!C307" display="Memo!C307" xr:uid="{00000000-0004-0000-0500-000002000000}"/>
    <hyperlink ref="N37" location="Memo!C308" display="Memo!C308" xr:uid="{00000000-0004-0000-0500-000003000000}"/>
    <hyperlink ref="N38" location="Memo!C309" display="Memo!C309" xr:uid="{00000000-0004-0000-0500-000004000000}"/>
    <hyperlink ref="N39" location="Memo!C310" display="Memo!C310" xr:uid="{00000000-0004-0000-0500-000005000000}"/>
    <hyperlink ref="N40" location="Memo!C311" display="Memo!C311" xr:uid="{00000000-0004-0000-0500-000006000000}"/>
    <hyperlink ref="N41" location="Memo!C312" display="Memo!C312" xr:uid="{00000000-0004-0000-0500-000007000000}"/>
    <hyperlink ref="N42" location="Memo!C313" display="Memo!C313" xr:uid="{00000000-0004-0000-0500-000008000000}"/>
    <hyperlink ref="N46" location="Memo!C314" display="Memo!C314" xr:uid="{00000000-0004-0000-0500-000009000000}"/>
    <hyperlink ref="N47" location="Memo!C315" display="Memo!C315" xr:uid="{00000000-0004-0000-0500-00000A000000}"/>
    <hyperlink ref="N48" location="Memo!C316" display="Memo!C316" xr:uid="{00000000-0004-0000-0500-00000B000000}"/>
    <hyperlink ref="N49" location="Memo!C317" display="Memo!C317" xr:uid="{00000000-0004-0000-0500-00000C000000}"/>
    <hyperlink ref="N52" location="Memo!C318" display="Memo!C318" xr:uid="{00000000-0004-0000-0500-00000D000000}"/>
    <hyperlink ref="N53" location="Memo!C319" display="Memo!C319" xr:uid="{00000000-0004-0000-0500-00000E000000}"/>
    <hyperlink ref="N56" location="Memo!C320" display="Memo!C320" xr:uid="{00000000-0004-0000-0500-00000F000000}"/>
    <hyperlink ref="N57" location="Memo!C321" display="Memo!C321" xr:uid="{00000000-0004-0000-0500-000010000000}"/>
    <hyperlink ref="N58" location="Memo!C322" display="Memo!C322" xr:uid="{00000000-0004-0000-0500-000011000000}"/>
    <hyperlink ref="N59" location="Memo!C323" display="Memo!C323" xr:uid="{00000000-0004-0000-0500-000012000000}"/>
    <hyperlink ref="N60" location="Memo!C324" display="Memo!C324" xr:uid="{00000000-0004-0000-0500-000013000000}"/>
    <hyperlink ref="N61" location="Memo!C325" display="Memo!C325" xr:uid="{00000000-0004-0000-0500-000014000000}"/>
    <hyperlink ref="N63" location="Memo!C326" display="Memo!C326" xr:uid="{00000000-0004-0000-0500-000015000000}"/>
    <hyperlink ref="N65" location="Memo!C327" display="Memo!C327" xr:uid="{00000000-0004-0000-0500-000016000000}"/>
    <hyperlink ref="N77" location="Memo!C336" display="Memo!C336" xr:uid="{00000000-0004-0000-0500-000017000000}"/>
    <hyperlink ref="N78" location="Memo!C337" display="Memo!C337" xr:uid="{00000000-0004-0000-0500-000018000000}"/>
    <hyperlink ref="N79" location="Memo!C338" display="Memo!C338" xr:uid="{00000000-0004-0000-0500-000019000000}"/>
    <hyperlink ref="N80" location="Memo!C339" display="Memo!C339" xr:uid="{00000000-0004-0000-0500-00001A000000}"/>
    <hyperlink ref="N84" location="Memo!C330" display="Memo!C330" xr:uid="{00000000-0004-0000-0500-00001B000000}"/>
    <hyperlink ref="N96" location="Memo!C329" display="Memo!C329" xr:uid="{00000000-0004-0000-0500-00001E000000}"/>
    <hyperlink ref="N97" location="Memo!C330" display="Memo!C330" xr:uid="{00000000-0004-0000-0500-00001F000000}"/>
    <hyperlink ref="N98" location="Memo!C331" display="Memo!C331" xr:uid="{00000000-0004-0000-0500-000020000000}"/>
    <hyperlink ref="N76" location="Memo!C294" display="Memo!C294" xr:uid="{00000000-0004-0000-0500-000021000000}"/>
    <hyperlink ref="N87" location="Memo!C332" display="Memo!C332" xr:uid="{2C35B67B-1EDA-447F-ABF1-20A4079148B5}"/>
    <hyperlink ref="N88" location="Memo!C333" display="Memo!C333" xr:uid="{F13A755B-2BBB-4DAE-BD85-0F5CA112DC37}"/>
    <hyperlink ref="N91" location="Memo!C334" display="Memo!C334" xr:uid="{0FAE7587-E345-4B8E-9A9E-2291786D0687}"/>
    <hyperlink ref="N92" location="Memo!C335" display="Memo!C335" xr:uid="{0449614A-D09B-4F78-A461-9A3D5DA83511}"/>
    <hyperlink ref="N32:N65" location="Memo!C330" display="Memo!C330" xr:uid="{94093276-53F8-403C-A1FA-A8CC37284AF1}"/>
    <hyperlink ref="N77:N80" location="Memo!C330" display="Memo!C330" xr:uid="{71D289E7-B66B-42B0-A692-623B5DF53BF6}"/>
    <hyperlink ref="N87:N98" location="Memo!C330" display="Memo!C330" xr:uid="{00AECF4F-429B-4937-91E6-C26A4C5DDC3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BH1013"/>
  <sheetViews>
    <sheetView showGridLines="0" topLeftCell="B1" zoomScale="80" zoomScaleNormal="80" workbookViewId="0">
      <pane ySplit="2" topLeftCell="A3" activePane="bottomLeft" state="frozen"/>
      <selection activeCell="B2" sqref="B2"/>
      <selection pane="bottomLeft" activeCell="B2" sqref="B2:O2"/>
    </sheetView>
  </sheetViews>
  <sheetFormatPr defaultColWidth="0" defaultRowHeight="12.5" zeroHeight="1" x14ac:dyDescent="0.25"/>
  <cols>
    <col min="1" max="1" width="15.54296875" hidden="1" customWidth="1"/>
    <col min="2" max="2" width="8.7265625" customWidth="1"/>
    <col min="3" max="3" width="85.7265625" customWidth="1"/>
    <col min="4" max="4" width="6.7265625" customWidth="1"/>
    <col min="5" max="7" width="16.7265625" customWidth="1"/>
    <col min="8" max="8" width="20.54296875" bestFit="1" customWidth="1"/>
    <col min="9" max="12" width="16.7265625" customWidth="1"/>
    <col min="13" max="13" width="2.7265625" customWidth="1"/>
    <col min="14" max="14" width="16.7265625" customWidth="1"/>
    <col min="15" max="15" width="18.26953125" customWidth="1"/>
    <col min="16" max="16" width="2.7265625" customWidth="1"/>
    <col min="17" max="17" width="95.1796875" customWidth="1"/>
    <col min="18" max="18" width="21.7265625" customWidth="1"/>
    <col min="19" max="21" width="12.54296875" customWidth="1"/>
    <col min="22" max="22" width="47.1796875" customWidth="1"/>
    <col min="23" max="23" width="12.54296875" hidden="1" customWidth="1"/>
    <col min="24" max="40" width="12.54296875" style="609" hidden="1" customWidth="1"/>
    <col min="41" max="41" width="69.26953125" style="609" hidden="1" customWidth="1"/>
    <col min="42" max="16384" width="8.7265625" hidden="1"/>
  </cols>
  <sheetData>
    <row r="1" spans="2:60" ht="42" hidden="1" customHeight="1" x14ac:dyDescent="0.25">
      <c r="B1" t="s">
        <v>43</v>
      </c>
      <c r="C1" s="93" t="s">
        <v>752</v>
      </c>
      <c r="E1" t="s">
        <v>437</v>
      </c>
      <c r="F1" t="s">
        <v>438</v>
      </c>
      <c r="G1" s="280" t="s">
        <v>439</v>
      </c>
      <c r="H1" s="280" t="s">
        <v>440</v>
      </c>
      <c r="I1" s="280" t="s">
        <v>441</v>
      </c>
      <c r="J1" s="280" t="s">
        <v>442</v>
      </c>
      <c r="K1" s="280" t="s">
        <v>443</v>
      </c>
      <c r="L1" s="280" t="s">
        <v>444</v>
      </c>
      <c r="N1" t="s">
        <v>841</v>
      </c>
      <c r="O1" s="280" t="s">
        <v>842</v>
      </c>
      <c r="Q1" t="s">
        <v>445</v>
      </c>
      <c r="V1" s="686"/>
      <c r="W1" s="686"/>
      <c r="X1" s="639" t="s">
        <v>49</v>
      </c>
      <c r="Y1" s="639"/>
      <c r="Z1" s="639"/>
      <c r="AA1" s="639"/>
      <c r="AB1" s="639"/>
      <c r="AC1" s="639"/>
      <c r="AD1" s="639"/>
      <c r="AE1" s="639"/>
      <c r="AF1" s="639"/>
      <c r="AG1" s="639"/>
      <c r="AH1" s="639"/>
      <c r="AI1" s="639"/>
      <c r="AJ1" s="639"/>
      <c r="AK1" s="639"/>
      <c r="AL1" s="639"/>
      <c r="AM1" s="639"/>
      <c r="AN1" s="639"/>
      <c r="AO1" s="639"/>
      <c r="AP1" s="686"/>
      <c r="AQ1" s="686"/>
      <c r="AR1" s="686"/>
      <c r="AS1" s="686"/>
      <c r="AT1" s="686"/>
      <c r="AU1" s="686"/>
      <c r="AV1" s="686"/>
      <c r="AW1" s="686"/>
      <c r="AX1" s="686"/>
      <c r="AY1" s="686"/>
      <c r="AZ1" s="686"/>
      <c r="BA1" s="686"/>
      <c r="BB1" s="686"/>
      <c r="BC1" s="686"/>
      <c r="BD1" s="686"/>
      <c r="BE1" s="686"/>
      <c r="BF1" s="686"/>
      <c r="BG1" s="686"/>
      <c r="BH1" s="686"/>
    </row>
    <row r="2" spans="2:60" ht="60" customHeight="1" x14ac:dyDescent="0.25">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48"/>
      <c r="Q2" s="87"/>
      <c r="X2" s="1009" t="s">
        <v>51</v>
      </c>
      <c r="Y2" s="639"/>
      <c r="Z2" s="639"/>
      <c r="AA2" s="639"/>
      <c r="AB2" s="639"/>
      <c r="AC2" s="639"/>
      <c r="AD2" s="639"/>
      <c r="AE2" s="639"/>
      <c r="AF2" s="639"/>
      <c r="AG2" s="639"/>
      <c r="AH2" s="639"/>
      <c r="AI2" s="639"/>
      <c r="AJ2" s="639"/>
      <c r="AK2" s="639"/>
      <c r="AL2" s="639"/>
      <c r="AM2" s="639"/>
      <c r="AN2" s="639"/>
      <c r="AO2" s="639"/>
    </row>
    <row r="3" spans="2:60" ht="12.75" customHeight="1" x14ac:dyDescent="0.35">
      <c r="B3" s="131"/>
      <c r="C3" s="131"/>
      <c r="D3" s="132"/>
      <c r="E3" s="133"/>
      <c r="F3" s="2"/>
      <c r="G3" s="2"/>
      <c r="H3" s="2"/>
      <c r="I3" s="40"/>
      <c r="J3" s="134"/>
      <c r="K3" s="87"/>
      <c r="L3" s="87"/>
      <c r="M3" s="87"/>
      <c r="N3" s="87"/>
      <c r="O3" s="87"/>
      <c r="P3" s="87"/>
      <c r="Q3" s="87"/>
    </row>
    <row r="4" spans="2:60" ht="27.75" customHeight="1" x14ac:dyDescent="0.6">
      <c r="B4" s="131"/>
      <c r="C4" s="131"/>
      <c r="D4" s="132"/>
      <c r="E4" s="133"/>
      <c r="F4" s="2"/>
      <c r="G4" s="2"/>
      <c r="H4" s="2"/>
      <c r="I4" s="87"/>
      <c r="J4" s="87"/>
      <c r="K4" s="87"/>
      <c r="L4" s="87"/>
      <c r="M4" s="87"/>
      <c r="N4" s="87"/>
      <c r="O4" s="118" t="str">
        <f>"RO3 "&amp;YearForm</f>
        <v>RO3 2025-26</v>
      </c>
      <c r="P4" s="87"/>
      <c r="Q4" s="87"/>
    </row>
    <row r="5" spans="2:60" ht="12.75" customHeight="1" x14ac:dyDescent="0.35">
      <c r="B5" s="131"/>
      <c r="C5" s="131"/>
      <c r="D5" s="132"/>
      <c r="E5" s="133"/>
      <c r="F5" s="2"/>
      <c r="G5" s="2"/>
      <c r="H5" s="2"/>
      <c r="I5" s="87"/>
      <c r="J5" s="87"/>
      <c r="K5" s="87"/>
      <c r="L5" s="87"/>
      <c r="M5" s="87"/>
      <c r="N5" s="87"/>
      <c r="O5" s="87"/>
      <c r="P5" s="87"/>
      <c r="Q5" s="87"/>
    </row>
    <row r="6" spans="2:60" ht="12.75" customHeight="1" x14ac:dyDescent="0.35">
      <c r="B6" s="131"/>
      <c r="C6" s="131"/>
      <c r="D6" s="132"/>
      <c r="E6" s="133"/>
      <c r="F6" s="2"/>
      <c r="G6" s="2"/>
      <c r="H6" s="2"/>
      <c r="I6" s="87"/>
      <c r="J6" s="87"/>
      <c r="K6" s="87"/>
      <c r="L6" s="87"/>
      <c r="M6" s="87"/>
      <c r="N6" s="87"/>
      <c r="O6" s="87"/>
      <c r="P6" s="87"/>
      <c r="Q6" s="87"/>
    </row>
    <row r="7" spans="2:60" ht="12.75" customHeight="1" x14ac:dyDescent="0.35">
      <c r="B7" s="131"/>
      <c r="C7" s="131"/>
      <c r="D7" s="132"/>
      <c r="E7" s="133"/>
      <c r="F7" s="2"/>
      <c r="G7" s="2"/>
      <c r="H7" s="2"/>
      <c r="I7" s="87"/>
      <c r="J7" s="87"/>
      <c r="K7" s="87"/>
      <c r="L7" s="87"/>
      <c r="M7" s="87"/>
      <c r="N7" s="87"/>
      <c r="O7" s="87"/>
      <c r="P7" s="87"/>
      <c r="Q7" s="87"/>
    </row>
    <row r="8" spans="2:60" ht="12.75" customHeight="1" x14ac:dyDescent="0.35">
      <c r="B8" s="131"/>
      <c r="C8" s="131"/>
      <c r="D8" s="132"/>
      <c r="E8" s="133"/>
      <c r="F8" s="2"/>
      <c r="G8" s="2"/>
      <c r="H8" s="2"/>
      <c r="I8" s="87"/>
      <c r="J8" s="87"/>
      <c r="K8" s="87"/>
      <c r="L8" s="87"/>
      <c r="M8" s="87"/>
      <c r="N8" s="87"/>
      <c r="O8" s="87"/>
      <c r="P8" s="87"/>
      <c r="Q8" s="87"/>
    </row>
    <row r="9" spans="2:60" ht="12.75" customHeight="1" x14ac:dyDescent="0.35">
      <c r="B9" s="131"/>
      <c r="C9" s="131"/>
      <c r="D9" s="132"/>
      <c r="E9" s="133"/>
      <c r="F9" s="2"/>
      <c r="G9" s="2"/>
      <c r="H9" s="2"/>
      <c r="I9" s="87"/>
      <c r="J9" s="87"/>
      <c r="K9" s="87"/>
      <c r="L9" s="87"/>
      <c r="M9" s="87"/>
      <c r="N9" s="87"/>
      <c r="O9" s="87"/>
      <c r="P9" s="87"/>
      <c r="Q9" s="87"/>
    </row>
    <row r="10" spans="2:60" ht="33" customHeight="1" x14ac:dyDescent="0.25">
      <c r="B10" s="1468" t="str">
        <f>RS!$B$11</f>
        <v>General Fund Revenue Account Outturn</v>
      </c>
      <c r="C10" s="1468"/>
      <c r="D10" s="1468"/>
      <c r="E10" s="1468"/>
      <c r="F10" s="1468"/>
      <c r="G10" s="1468"/>
      <c r="H10" s="1468"/>
      <c r="I10" s="1468"/>
      <c r="J10" s="1468"/>
      <c r="K10" s="1468"/>
      <c r="L10" s="1468"/>
      <c r="M10" s="1468"/>
      <c r="N10" s="1468"/>
      <c r="O10" s="1468"/>
      <c r="P10" s="136"/>
      <c r="Q10" s="87"/>
    </row>
    <row r="11" spans="2:60" ht="33" customHeight="1" x14ac:dyDescent="0.25">
      <c r="B11" s="1459" t="str">
        <f>"RO3 – SOCIAL CARE AND PUBLIC HEALTH "&amp;YearForm</f>
        <v>RO3 – SOCIAL CARE AND PUBLIC HEALTH 2025-26</v>
      </c>
      <c r="C11" s="1460"/>
      <c r="D11" s="1460"/>
      <c r="E11" s="1460"/>
      <c r="F11" s="1460"/>
      <c r="G11" s="1460"/>
      <c r="H11" s="1460"/>
      <c r="I11" s="1460"/>
      <c r="J11" s="1460"/>
      <c r="K11" s="1460"/>
      <c r="L11" s="1460"/>
      <c r="M11" s="1460"/>
      <c r="N11" s="1460"/>
      <c r="O11" s="1460"/>
      <c r="P11" s="136"/>
      <c r="Q11" s="87"/>
    </row>
    <row r="12" spans="2:60" ht="14.15" customHeight="1" x14ac:dyDescent="0.35">
      <c r="B12" s="131"/>
      <c r="C12" s="131"/>
      <c r="D12" s="132"/>
      <c r="E12" s="133"/>
      <c r="F12" s="2"/>
      <c r="G12" s="2"/>
      <c r="H12" s="2"/>
      <c r="I12" s="87"/>
      <c r="J12" s="87"/>
      <c r="K12" s="87"/>
      <c r="L12" s="87"/>
      <c r="M12" s="87"/>
      <c r="N12" s="87"/>
      <c r="O12" s="87"/>
      <c r="P12" s="87"/>
      <c r="Q12" s="87"/>
    </row>
    <row r="13" spans="2:60"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c r="P13" s="87"/>
      <c r="Q13" s="87"/>
    </row>
    <row r="14" spans="2:60" ht="12" customHeight="1" x14ac:dyDescent="0.3">
      <c r="B14" s="40"/>
      <c r="C14" s="40"/>
      <c r="D14" s="40"/>
      <c r="E14" s="40"/>
      <c r="F14" s="40"/>
      <c r="G14" s="40"/>
      <c r="H14" s="40"/>
      <c r="I14" s="40"/>
      <c r="J14" s="40"/>
      <c r="K14" s="40"/>
      <c r="L14" s="90"/>
      <c r="M14" s="40"/>
      <c r="N14" s="40"/>
      <c r="O14" s="40"/>
      <c r="P14" s="40"/>
      <c r="Q14" s="87"/>
    </row>
    <row r="15" spans="2:60" ht="21" customHeight="1" x14ac:dyDescent="0.25">
      <c r="B15" s="1502" t="s">
        <v>725</v>
      </c>
      <c r="C15" s="1502"/>
      <c r="D15" s="1502"/>
      <c r="E15" s="1502"/>
      <c r="F15" s="1502"/>
      <c r="G15" s="1502"/>
      <c r="H15" s="1502"/>
      <c r="I15" s="1502"/>
      <c r="J15" s="1502"/>
      <c r="K15" s="1502"/>
      <c r="L15" s="1502"/>
      <c r="M15" s="1502"/>
      <c r="N15" s="1502"/>
      <c r="O15" s="1502"/>
      <c r="P15" s="94"/>
      <c r="Q15" s="87"/>
    </row>
    <row r="16" spans="2:60" ht="21" customHeight="1" x14ac:dyDescent="0.25">
      <c r="B16" s="1499" t="s">
        <v>57</v>
      </c>
      <c r="C16" s="1499"/>
      <c r="D16" s="1499"/>
      <c r="E16" s="1499"/>
      <c r="F16" s="1499"/>
      <c r="G16" s="1499"/>
      <c r="H16" s="1499"/>
      <c r="I16" s="1499"/>
      <c r="J16" s="1499"/>
      <c r="K16" s="1499"/>
      <c r="L16" s="1499"/>
      <c r="M16" s="1499"/>
      <c r="N16" s="1499"/>
      <c r="O16" s="1499"/>
      <c r="P16" s="40"/>
      <c r="Q16" s="87"/>
    </row>
    <row r="17" spans="1:40" ht="20" x14ac:dyDescent="0.35">
      <c r="B17" s="139" t="str">
        <f>TRIM(LEFT(B$11,3))&amp;" error summary:"</f>
        <v>RO3 error summary:</v>
      </c>
      <c r="C17" s="140"/>
      <c r="D17" s="140"/>
      <c r="E17" s="40"/>
      <c r="F17" s="141"/>
      <c r="G17" s="40"/>
      <c r="H17" s="40"/>
      <c r="I17" s="40"/>
      <c r="J17" s="346"/>
      <c r="K17" s="202"/>
      <c r="L17" s="90"/>
      <c r="M17" s="40"/>
      <c r="N17" s="40"/>
      <c r="O17" s="40"/>
      <c r="P17" s="40"/>
      <c r="Q17" s="87"/>
    </row>
    <row r="18" spans="1:40" ht="32.15" customHeight="1" x14ac:dyDescent="0.35">
      <c r="A18" t="s">
        <v>843</v>
      </c>
      <c r="B18" s="339" t="str">
        <f>IF(AND(COUNTIF($O$32:$O$141,"Error")=0,COUNTIF($O$32:$O$141,"Warning")=0),("There are no outstanding errors or warnings with the "&amp;TRIM(LEFT(B$11,3))&amp;" section of the form. Thank you."),("There are "&amp;COUNTIF($O$32:$O$141,"Error")&amp;" outstanding error(s) and "&amp;COUNTIF($O$32:$O$141,"Warning")&amp;" outstanding warning(s) with the "&amp;TRIM(LEFT(B$11,3))&amp;" section of the form. Please resolve and/or explain these before submitting."))</f>
        <v>There are no outstanding errors or warnings with the RO3 section of the form. Thank you.</v>
      </c>
      <c r="C18" s="340"/>
      <c r="D18" s="340"/>
      <c r="E18" s="340"/>
      <c r="F18" s="340"/>
      <c r="G18" s="340"/>
      <c r="H18" s="340"/>
      <c r="I18" s="340"/>
      <c r="J18" s="340"/>
      <c r="K18" s="340"/>
      <c r="L18" s="340"/>
      <c r="M18" s="40"/>
      <c r="N18" s="40"/>
      <c r="O18" s="40"/>
      <c r="P18" s="40"/>
      <c r="Q18" s="87"/>
      <c r="AB18" s="611" t="s">
        <v>53</v>
      </c>
    </row>
    <row r="19" spans="1:40" ht="20.149999999999999" customHeight="1" x14ac:dyDescent="0.3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40"/>
    </row>
    <row r="20" spans="1:40" ht="12" customHeight="1" x14ac:dyDescent="0.35">
      <c r="B20" s="144"/>
      <c r="C20" s="144"/>
      <c r="D20" s="144"/>
      <c r="E20" s="142"/>
      <c r="F20" s="142"/>
      <c r="G20" s="142"/>
      <c r="H20" s="142"/>
      <c r="I20" s="142"/>
      <c r="J20" s="142"/>
      <c r="K20" s="142"/>
      <c r="L20" s="90"/>
      <c r="M20" s="40"/>
      <c r="N20" s="40"/>
      <c r="O20" s="40"/>
      <c r="P20" s="40"/>
      <c r="Q20" s="40"/>
    </row>
    <row r="21" spans="1:40" ht="25" x14ac:dyDescent="0.5">
      <c r="B21" s="100" t="str">
        <f>RS!$B$21</f>
        <v>Please select your authority name on Title page</v>
      </c>
      <c r="C21" s="44"/>
      <c r="D21" s="51"/>
      <c r="E21" s="51"/>
      <c r="F21" s="51"/>
      <c r="G21" s="51"/>
      <c r="H21" s="51"/>
      <c r="I21" s="51"/>
      <c r="J21" s="51"/>
      <c r="K21" s="51"/>
      <c r="L21" s="51"/>
      <c r="M21" s="87"/>
      <c r="N21" s="87"/>
      <c r="O21" s="87"/>
      <c r="P21" s="87"/>
      <c r="Q21" s="87"/>
    </row>
    <row r="22" spans="1:40" ht="18" x14ac:dyDescent="0.4">
      <c r="B22" s="102" t="str">
        <f>ContactDetails!C25</f>
        <v>E-code</v>
      </c>
      <c r="C22" s="45"/>
      <c r="D22" s="52"/>
      <c r="E22" s="378"/>
      <c r="F22" s="378"/>
      <c r="G22" s="185"/>
      <c r="H22" s="185"/>
      <c r="I22" s="378"/>
      <c r="J22" s="378"/>
      <c r="K22" s="185"/>
      <c r="L22" s="185"/>
      <c r="M22" s="87"/>
      <c r="N22" s="87"/>
      <c r="O22" s="87"/>
      <c r="P22" s="87"/>
      <c r="Q22" s="87"/>
    </row>
    <row r="23" spans="1:40" ht="18" x14ac:dyDescent="0.4">
      <c r="B23" s="45"/>
      <c r="C23" s="45"/>
      <c r="D23" s="52"/>
      <c r="E23" s="378"/>
      <c r="F23" s="378"/>
      <c r="G23" s="185"/>
      <c r="H23" s="185"/>
      <c r="I23" s="378"/>
      <c r="J23" s="378"/>
      <c r="K23" s="185"/>
      <c r="L23" s="185"/>
      <c r="M23" s="87"/>
      <c r="N23" s="87"/>
      <c r="O23" s="87"/>
      <c r="P23" s="87"/>
      <c r="Q23" s="87"/>
    </row>
    <row r="24" spans="1:40" ht="15.5" x14ac:dyDescent="0.35">
      <c r="B24" s="1166" t="s">
        <v>844</v>
      </c>
      <c r="C24" s="145"/>
      <c r="D24" s="146"/>
      <c r="E24" s="146"/>
      <c r="F24" s="71"/>
      <c r="G24" s="185"/>
      <c r="H24" s="185" t="s">
        <v>449</v>
      </c>
      <c r="I24" s="378"/>
      <c r="J24" s="378"/>
      <c r="K24" s="185"/>
      <c r="L24" s="185"/>
      <c r="M24" s="87"/>
      <c r="N24" s="87"/>
      <c r="O24" s="87"/>
      <c r="P24" s="87"/>
      <c r="Q24" s="87"/>
    </row>
    <row r="25" spans="1:40" ht="15.5" x14ac:dyDescent="0.35">
      <c r="B25" s="1167" t="s">
        <v>845</v>
      </c>
      <c r="C25" s="87"/>
      <c r="D25" s="87"/>
      <c r="E25" s="378"/>
      <c r="F25" s="185" t="s">
        <v>450</v>
      </c>
      <c r="G25" s="185" t="s">
        <v>451</v>
      </c>
      <c r="H25" s="185" t="s">
        <v>452</v>
      </c>
      <c r="I25" s="185" t="s">
        <v>453</v>
      </c>
      <c r="J25" s="185" t="s">
        <v>454</v>
      </c>
      <c r="K25" s="185" t="s">
        <v>451</v>
      </c>
      <c r="L25" s="185" t="s">
        <v>455</v>
      </c>
      <c r="M25" s="87"/>
      <c r="N25" s="87"/>
      <c r="O25" s="87"/>
      <c r="P25" s="87"/>
      <c r="Q25" s="87"/>
    </row>
    <row r="26" spans="1:40" ht="15.5" x14ac:dyDescent="0.35">
      <c r="B26" s="1052" t="s">
        <v>846</v>
      </c>
      <c r="C26" s="87"/>
      <c r="D26" s="87"/>
      <c r="E26" s="185" t="s">
        <v>456</v>
      </c>
      <c r="F26" s="185" t="s">
        <v>847</v>
      </c>
      <c r="G26" s="185" t="s">
        <v>458</v>
      </c>
      <c r="H26" s="185" t="s">
        <v>459</v>
      </c>
      <c r="I26" s="185" t="s">
        <v>460</v>
      </c>
      <c r="J26" s="185" t="s">
        <v>461</v>
      </c>
      <c r="K26" s="185" t="s">
        <v>461</v>
      </c>
      <c r="L26" s="185" t="s">
        <v>458</v>
      </c>
      <c r="M26" s="87"/>
      <c r="N26" s="87"/>
      <c r="O26" s="87"/>
      <c r="P26" s="87"/>
      <c r="Q26" s="87"/>
    </row>
    <row r="27" spans="1:40" ht="15.5" x14ac:dyDescent="0.35">
      <c r="B27" s="1052" t="s">
        <v>848</v>
      </c>
      <c r="C27" s="145"/>
      <c r="D27" s="87"/>
      <c r="E27" s="258" t="s">
        <v>60</v>
      </c>
      <c r="F27" s="258" t="s">
        <v>60</v>
      </c>
      <c r="G27" s="258" t="s">
        <v>60</v>
      </c>
      <c r="H27" s="258" t="s">
        <v>60</v>
      </c>
      <c r="I27" s="258" t="s">
        <v>60</v>
      </c>
      <c r="J27" s="258" t="s">
        <v>60</v>
      </c>
      <c r="K27" s="258" t="s">
        <v>60</v>
      </c>
      <c r="L27" s="258" t="s">
        <v>60</v>
      </c>
      <c r="M27" s="87"/>
      <c r="N27" s="87"/>
      <c r="O27" s="87"/>
      <c r="P27" s="87"/>
      <c r="Q27" s="87"/>
    </row>
    <row r="28" spans="1:40" ht="15.5" x14ac:dyDescent="0.35">
      <c r="B28" s="87"/>
      <c r="C28" s="87"/>
      <c r="D28" s="87"/>
      <c r="E28" s="258"/>
      <c r="F28" s="258"/>
      <c r="G28" s="258"/>
      <c r="H28" s="258"/>
      <c r="I28" s="258"/>
      <c r="J28" s="258"/>
      <c r="K28" s="258"/>
      <c r="L28" s="258"/>
      <c r="M28" s="87"/>
      <c r="N28" s="87"/>
      <c r="O28" s="87"/>
      <c r="P28" s="87"/>
      <c r="Q28" s="87"/>
    </row>
    <row r="29" spans="1:40" ht="13" x14ac:dyDescent="0.3">
      <c r="B29" s="87"/>
      <c r="C29" s="87"/>
      <c r="D29" s="87"/>
      <c r="E29" s="187" t="s">
        <v>61</v>
      </c>
      <c r="F29" s="187" t="s">
        <v>462</v>
      </c>
      <c r="G29" s="187" t="s">
        <v>463</v>
      </c>
      <c r="H29" s="187" t="s">
        <v>464</v>
      </c>
      <c r="I29" s="187" t="s">
        <v>465</v>
      </c>
      <c r="J29" s="187" t="s">
        <v>466</v>
      </c>
      <c r="K29" s="187" t="s">
        <v>467</v>
      </c>
      <c r="L29" s="187" t="s">
        <v>468</v>
      </c>
      <c r="M29" s="87"/>
      <c r="N29" s="87"/>
      <c r="O29" s="87"/>
      <c r="P29" s="87"/>
      <c r="Q29" s="87"/>
    </row>
    <row r="30" spans="1:40" ht="13" x14ac:dyDescent="0.3">
      <c r="B30" s="87"/>
      <c r="C30" s="87"/>
      <c r="D30" s="87"/>
      <c r="E30" s="187"/>
      <c r="F30" s="187"/>
      <c r="G30" s="187"/>
      <c r="H30" s="1210" t="s">
        <v>469</v>
      </c>
      <c r="I30" s="187"/>
      <c r="J30" s="187"/>
      <c r="K30" s="187"/>
      <c r="L30" s="187"/>
      <c r="M30" s="87"/>
      <c r="N30" s="87"/>
      <c r="O30" s="87"/>
      <c r="P30" s="87"/>
      <c r="AD30" s="614" t="s">
        <v>62</v>
      </c>
    </row>
    <row r="31" spans="1:40" ht="18" x14ac:dyDescent="0.4">
      <c r="B31" s="21" t="s">
        <v>849</v>
      </c>
      <c r="C31" s="92"/>
      <c r="D31" s="92"/>
      <c r="E31" s="1125" t="str">
        <f>IF(AND(L33&gt;0, AND(L34=0,L35=0,L36=0,L37=0)), "Please complete breakdown of line 13 in lines 16-19", "")</f>
        <v/>
      </c>
      <c r="F31" s="52"/>
      <c r="G31" s="52"/>
      <c r="H31" s="52"/>
      <c r="I31" s="52"/>
      <c r="J31" s="52"/>
      <c r="K31" s="52"/>
      <c r="L31" s="52"/>
      <c r="M31" s="87"/>
      <c r="N31" s="87"/>
      <c r="O31" s="87"/>
      <c r="P31" s="87"/>
      <c r="AD31" s="614" t="s">
        <v>64</v>
      </c>
      <c r="AE31" s="614" t="s">
        <v>65</v>
      </c>
      <c r="AF31" s="614" t="s">
        <v>66</v>
      </c>
      <c r="AG31" s="614" t="s">
        <v>67</v>
      </c>
      <c r="AH31" s="614" t="s">
        <v>68</v>
      </c>
      <c r="AI31" s="614" t="s">
        <v>69</v>
      </c>
      <c r="AJ31" s="614" t="s">
        <v>70</v>
      </c>
      <c r="AK31" s="614" t="s">
        <v>71</v>
      </c>
      <c r="AL31" s="614" t="s">
        <v>72</v>
      </c>
      <c r="AM31" s="614" t="s">
        <v>73</v>
      </c>
      <c r="AN31" s="614" t="s">
        <v>727</v>
      </c>
    </row>
    <row r="32" spans="1:40" ht="15.5" x14ac:dyDescent="0.35">
      <c r="A32" t="s">
        <v>850</v>
      </c>
      <c r="B32" s="84">
        <v>10</v>
      </c>
      <c r="C32" s="92" t="s">
        <v>851</v>
      </c>
      <c r="D32" s="92"/>
      <c r="E32" s="1222"/>
      <c r="F32" s="1222"/>
      <c r="G32" s="1223">
        <f>SUM(E32:F32)</f>
        <v>0</v>
      </c>
      <c r="H32" s="1271"/>
      <c r="I32" s="1222"/>
      <c r="J32" s="1222"/>
      <c r="K32" s="1223">
        <f>SUM(I32:J32)</f>
        <v>0</v>
      </c>
      <c r="L32" s="1223">
        <f>G32-K32</f>
        <v>0</v>
      </c>
      <c r="M32" s="87"/>
      <c r="N32" s="1184" t="str">
        <f t="shared" ref="N32:N43" si="0">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VLOOKUP("RO3"&amp;$B32,data_val_parameters,8,0)/100</f>
        <v>0.45</v>
      </c>
      <c r="AE32" s="609">
        <f t="shared" ref="AE32:AE43" si="1">VLOOKUP("RO3"&amp;$B32,data_val_parameters,7,0)</f>
        <v>4000</v>
      </c>
      <c r="AF32" s="609" t="e">
        <f t="shared" ref="AF32:AF43" si="2">VLOOKUP(LA_code,data_prev_year,MATCH("RO3"&amp;$B32&amp;"7",data_prev_year_headers,0),0)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65" customHeight="1" x14ac:dyDescent="0.35">
      <c r="A33" t="s">
        <v>852</v>
      </c>
      <c r="B33" s="84">
        <v>13</v>
      </c>
      <c r="C33" s="92" t="s">
        <v>853</v>
      </c>
      <c r="D33" s="92"/>
      <c r="E33" s="1272">
        <f>SUM(E34:E37)</f>
        <v>0</v>
      </c>
      <c r="F33" s="1272">
        <f>SUM(F34:F37)</f>
        <v>0</v>
      </c>
      <c r="G33" s="1223">
        <f t="shared" ref="G33:G43" si="3">SUM(E33:F33)</f>
        <v>0</v>
      </c>
      <c r="H33" s="1223">
        <f>SUM(H34:H37)</f>
        <v>0</v>
      </c>
      <c r="I33" s="1272">
        <f>SUM(I34:I37)</f>
        <v>0</v>
      </c>
      <c r="J33" s="1272">
        <f>SUM(J34:J37)</f>
        <v>0</v>
      </c>
      <c r="K33" s="1223">
        <f t="shared" ref="K33:K43" si="4">SUM(I33:J33)</f>
        <v>0</v>
      </c>
      <c r="L33" s="1223">
        <f t="shared" ref="L33:L43" si="5">G33-K33</f>
        <v>0</v>
      </c>
      <c r="M33" s="87"/>
      <c r="N33" s="1184" t="str">
        <f t="shared" si="0"/>
        <v/>
      </c>
      <c r="O33" s="256" t="str">
        <f t="shared" ref="O33:O43" si="6">IF(OR((K33&lt;&gt;(I33+J33)),(G33&lt;&gt;(E33+F33)),(L33&lt;&gt;(G33-K33)),AN33="Error"),"Error",IF(AM33="Warning","Warning",""))</f>
        <v/>
      </c>
      <c r="P33" s="87"/>
      <c r="Q33" s="98" t="str">
        <f t="shared" ref="Q33:Q43" si="7">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VLOOKUP("RO3"&amp;$B33,data_val_parameters,8,0)/100</f>
        <v>0.45</v>
      </c>
      <c r="AE33" s="609">
        <f t="shared" si="1"/>
        <v>4000</v>
      </c>
      <c r="AF33" s="609" t="e">
        <f t="shared" si="2"/>
        <v>#N/A</v>
      </c>
      <c r="AG33" s="609" t="e">
        <f t="shared" ref="AG33:AG43" si="8">AF33+AE33</f>
        <v>#N/A</v>
      </c>
      <c r="AH33" s="609" t="e">
        <f t="shared" ref="AH33:AH43" si="9">AF33-AE33</f>
        <v>#N/A</v>
      </c>
      <c r="AI33" s="609" t="e">
        <f t="shared" ref="AI33:AI43" si="10">AF33+(AF33*AD33)</f>
        <v>#N/A</v>
      </c>
      <c r="AJ33" s="609" t="e">
        <f t="shared" ref="AJ33:AJ43" si="11">AF33-(AF33*AD33)</f>
        <v>#N/A</v>
      </c>
      <c r="AK33" s="609" t="e">
        <f t="shared" ref="AK33:AK43" si="12">IF(OR(L33&lt;AH33,L33&gt;AG33),"Warning","")</f>
        <v>#N/A</v>
      </c>
      <c r="AL33" s="609" t="e">
        <f t="shared" ref="AL33:AL43" si="13">IF(OR(L33&gt;(AI33),L33&lt;(AJ33)),"Warning","")</f>
        <v>#N/A</v>
      </c>
      <c r="AM33" s="609" t="str">
        <f t="shared" ref="AM33:AM43" si="14">IF(OR(L33=0),"",IF(AND(AK33="Warning",AL33="Warning"),"Warning",""))</f>
        <v/>
      </c>
      <c r="AN33" s="609" t="str">
        <f t="shared" ref="AN33:AN67" si="15">IF(OR(I33&lt;0,J33&lt;0),"Error","")</f>
        <v/>
      </c>
    </row>
    <row r="34" spans="1:40" ht="15.5" x14ac:dyDescent="0.35">
      <c r="A34" t="s">
        <v>854</v>
      </c>
      <c r="B34" s="84">
        <v>16</v>
      </c>
      <c r="C34" s="418" t="s">
        <v>855</v>
      </c>
      <c r="D34" s="92"/>
      <c r="E34" s="1222"/>
      <c r="F34" s="1222"/>
      <c r="G34" s="1223">
        <f t="shared" si="3"/>
        <v>0</v>
      </c>
      <c r="H34" s="1271"/>
      <c r="I34" s="1222"/>
      <c r="J34" s="1222"/>
      <c r="K34" s="1223">
        <f t="shared" si="4"/>
        <v>0</v>
      </c>
      <c r="L34" s="1223">
        <f t="shared" si="5"/>
        <v>0</v>
      </c>
      <c r="M34" s="87"/>
      <c r="N34" s="1184" t="str">
        <f>IF(ISERROR(O34),"",IF((O34="Error"),"add explanation",IF((O34="Warning"),"add explanation","")))</f>
        <v/>
      </c>
      <c r="O34" s="256" t="str">
        <f t="shared" si="6"/>
        <v/>
      </c>
      <c r="P34" s="87"/>
      <c r="Q34" s="98" t="str">
        <f t="shared" si="7"/>
        <v/>
      </c>
      <c r="AN34" s="609" t="str">
        <f t="shared" si="15"/>
        <v/>
      </c>
    </row>
    <row r="35" spans="1:40" ht="15.5" x14ac:dyDescent="0.35">
      <c r="A35" t="s">
        <v>856</v>
      </c>
      <c r="B35" s="84">
        <v>17</v>
      </c>
      <c r="C35" s="418" t="s">
        <v>857</v>
      </c>
      <c r="D35" s="92"/>
      <c r="E35" s="1222"/>
      <c r="F35" s="1222"/>
      <c r="G35" s="1223">
        <f t="shared" si="3"/>
        <v>0</v>
      </c>
      <c r="H35" s="1271"/>
      <c r="I35" s="1222"/>
      <c r="J35" s="1222"/>
      <c r="K35" s="1223">
        <f t="shared" si="4"/>
        <v>0</v>
      </c>
      <c r="L35" s="1223">
        <f t="shared" si="5"/>
        <v>0</v>
      </c>
      <c r="M35" s="87"/>
      <c r="N35" s="1184" t="str">
        <f>IF(ISERROR(O35),"",IF((O35="Error"),"add explanation",IF((O35="Warning"),"add explanation","")))</f>
        <v/>
      </c>
      <c r="O35" s="256" t="str">
        <f t="shared" si="6"/>
        <v/>
      </c>
      <c r="P35" s="87"/>
      <c r="Q35" s="98" t="str">
        <f t="shared" si="7"/>
        <v/>
      </c>
      <c r="AN35" s="609" t="str">
        <f t="shared" si="15"/>
        <v/>
      </c>
    </row>
    <row r="36" spans="1:40" ht="15.5" x14ac:dyDescent="0.35">
      <c r="A36" t="s">
        <v>858</v>
      </c>
      <c r="B36" s="84">
        <v>18</v>
      </c>
      <c r="C36" s="418" t="s">
        <v>859</v>
      </c>
      <c r="D36" s="92"/>
      <c r="E36" s="1222"/>
      <c r="F36" s="1222"/>
      <c r="G36" s="1223">
        <f t="shared" si="3"/>
        <v>0</v>
      </c>
      <c r="H36" s="1271"/>
      <c r="I36" s="1222"/>
      <c r="J36" s="1222"/>
      <c r="K36" s="1223">
        <f t="shared" si="4"/>
        <v>0</v>
      </c>
      <c r="L36" s="1223">
        <f t="shared" si="5"/>
        <v>0</v>
      </c>
      <c r="M36" s="87"/>
      <c r="N36" s="1184" t="str">
        <f>IF(ISERROR(O36),"",IF((O36="Error"),"add explanation",IF((O36="Warning"),"add explanation","")))</f>
        <v/>
      </c>
      <c r="O36" s="256" t="str">
        <f t="shared" si="6"/>
        <v/>
      </c>
      <c r="P36" s="87"/>
      <c r="Q36" s="98" t="str">
        <f t="shared" si="7"/>
        <v/>
      </c>
      <c r="AN36" s="609" t="str">
        <f t="shared" si="15"/>
        <v/>
      </c>
    </row>
    <row r="37" spans="1:40" ht="15.5" x14ac:dyDescent="0.35">
      <c r="A37" t="s">
        <v>860</v>
      </c>
      <c r="B37" s="84">
        <v>19</v>
      </c>
      <c r="C37" s="418" t="s">
        <v>861</v>
      </c>
      <c r="D37" s="92"/>
      <c r="E37" s="1222"/>
      <c r="F37" s="1222"/>
      <c r="G37" s="1223">
        <f t="shared" si="3"/>
        <v>0</v>
      </c>
      <c r="H37" s="1271"/>
      <c r="I37" s="1222"/>
      <c r="J37" s="1222"/>
      <c r="K37" s="1223">
        <f t="shared" si="4"/>
        <v>0</v>
      </c>
      <c r="L37" s="1223">
        <f t="shared" si="5"/>
        <v>0</v>
      </c>
      <c r="M37" s="87"/>
      <c r="N37" s="1184" t="str">
        <f>IF(ISERROR(O37),"",IF((O37="Error"),"add explanation",IF((O37="Warning"),"add explanation","")))</f>
        <v/>
      </c>
      <c r="O37" s="256" t="str">
        <f t="shared" si="6"/>
        <v/>
      </c>
      <c r="P37" s="87"/>
      <c r="Q37" s="98" t="str">
        <f t="shared" si="7"/>
        <v/>
      </c>
      <c r="AN37" s="609" t="str">
        <f t="shared" si="15"/>
        <v/>
      </c>
    </row>
    <row r="38" spans="1:40" ht="15.5" x14ac:dyDescent="0.35">
      <c r="A38" t="s">
        <v>862</v>
      </c>
      <c r="B38" s="84">
        <v>15</v>
      </c>
      <c r="C38" s="92" t="s">
        <v>863</v>
      </c>
      <c r="D38" s="92"/>
      <c r="E38" s="1222"/>
      <c r="F38" s="1222"/>
      <c r="G38" s="1223">
        <f>SUM(E38:F38)</f>
        <v>0</v>
      </c>
      <c r="H38" s="1271"/>
      <c r="I38" s="1222"/>
      <c r="J38" s="1222"/>
      <c r="K38" s="1223">
        <f>SUM(I38:J38)</f>
        <v>0</v>
      </c>
      <c r="L38" s="1223">
        <f>G38-K38</f>
        <v>0</v>
      </c>
      <c r="M38" s="87"/>
      <c r="N38" s="1184" t="str">
        <f t="shared" si="0"/>
        <v/>
      </c>
      <c r="O38" s="256" t="str">
        <f t="shared" si="6"/>
        <v/>
      </c>
      <c r="P38" s="87"/>
      <c r="Q38" s="98" t="str">
        <f t="shared" si="7"/>
        <v/>
      </c>
      <c r="AD38" s="609">
        <f t="shared" ref="AD38:AD43" si="16">VLOOKUP("RO3"&amp;$B38,data_val_parameters,8,0)/100</f>
        <v>0.45</v>
      </c>
      <c r="AE38" s="609">
        <f t="shared" si="1"/>
        <v>4000</v>
      </c>
      <c r="AF38" s="609" t="e">
        <f t="shared" si="2"/>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t="str">
        <f t="shared" si="15"/>
        <v/>
      </c>
    </row>
    <row r="39" spans="1:40" ht="15.5" x14ac:dyDescent="0.35">
      <c r="A39" t="s">
        <v>864</v>
      </c>
      <c r="B39" s="84">
        <v>22</v>
      </c>
      <c r="C39" s="92" t="s">
        <v>865</v>
      </c>
      <c r="D39" s="92"/>
      <c r="E39" s="1222"/>
      <c r="F39" s="1222"/>
      <c r="G39" s="1223">
        <f t="shared" si="3"/>
        <v>0</v>
      </c>
      <c r="H39" s="1271"/>
      <c r="I39" s="1222"/>
      <c r="J39" s="1222"/>
      <c r="K39" s="1223">
        <f t="shared" si="4"/>
        <v>0</v>
      </c>
      <c r="L39" s="1223">
        <f t="shared" si="5"/>
        <v>0</v>
      </c>
      <c r="M39" s="87"/>
      <c r="N39" s="1184" t="str">
        <f t="shared" si="0"/>
        <v/>
      </c>
      <c r="O39" s="256" t="str">
        <f t="shared" si="6"/>
        <v/>
      </c>
      <c r="P39" s="87"/>
      <c r="Q39" s="98" t="str">
        <f t="shared" si="7"/>
        <v/>
      </c>
      <c r="AD39" s="609">
        <f t="shared" si="16"/>
        <v>0.45</v>
      </c>
      <c r="AE39" s="609">
        <f t="shared" si="1"/>
        <v>4000</v>
      </c>
      <c r="AF39" s="609" t="e">
        <f t="shared" si="2"/>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t="str">
        <f t="shared" si="15"/>
        <v/>
      </c>
    </row>
    <row r="40" spans="1:40" ht="15.5" x14ac:dyDescent="0.35">
      <c r="A40" t="s">
        <v>866</v>
      </c>
      <c r="B40" s="84">
        <v>23</v>
      </c>
      <c r="C40" s="92" t="s">
        <v>867</v>
      </c>
      <c r="D40" s="92"/>
      <c r="E40" s="1222"/>
      <c r="F40" s="1222"/>
      <c r="G40" s="1223">
        <f t="shared" si="3"/>
        <v>0</v>
      </c>
      <c r="H40" s="1271"/>
      <c r="I40" s="1222"/>
      <c r="J40" s="1222"/>
      <c r="K40" s="1223">
        <f t="shared" si="4"/>
        <v>0</v>
      </c>
      <c r="L40" s="1223">
        <f t="shared" si="5"/>
        <v>0</v>
      </c>
      <c r="M40" s="87"/>
      <c r="N40" s="1184" t="str">
        <f t="shared" si="0"/>
        <v/>
      </c>
      <c r="O40" s="256" t="str">
        <f t="shared" si="6"/>
        <v/>
      </c>
      <c r="P40" s="87"/>
      <c r="Q40" s="98" t="str">
        <f t="shared" si="7"/>
        <v/>
      </c>
      <c r="AD40" s="609">
        <f t="shared" si="16"/>
        <v>0.3</v>
      </c>
      <c r="AE40" s="609">
        <f t="shared" si="1"/>
        <v>3000</v>
      </c>
      <c r="AF40" s="609" t="e">
        <f t="shared" si="2"/>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t="str">
        <f t="shared" si="15"/>
        <v/>
      </c>
    </row>
    <row r="41" spans="1:40" ht="15.5" x14ac:dyDescent="0.35">
      <c r="A41" t="s">
        <v>868</v>
      </c>
      <c r="B41" s="84">
        <v>25</v>
      </c>
      <c r="C41" s="92" t="s">
        <v>869</v>
      </c>
      <c r="D41" s="92"/>
      <c r="E41" s="1222"/>
      <c r="F41" s="1222"/>
      <c r="G41" s="1223">
        <f>SUM(E41:F41)</f>
        <v>0</v>
      </c>
      <c r="H41" s="1271"/>
      <c r="I41" s="1222"/>
      <c r="J41" s="1222"/>
      <c r="K41" s="1223">
        <f>SUM(I41:J41)</f>
        <v>0</v>
      </c>
      <c r="L41" s="1223">
        <f t="shared" si="5"/>
        <v>0</v>
      </c>
      <c r="M41" s="87"/>
      <c r="N41" s="1184" t="str">
        <f t="shared" si="0"/>
        <v/>
      </c>
      <c r="O41" s="256" t="str">
        <f t="shared" si="6"/>
        <v/>
      </c>
      <c r="P41" s="87"/>
      <c r="Q41" s="98" t="str">
        <f t="shared" si="7"/>
        <v/>
      </c>
      <c r="AD41" s="609">
        <f t="shared" si="16"/>
        <v>0.45</v>
      </c>
      <c r="AE41" s="609">
        <f t="shared" si="1"/>
        <v>10000</v>
      </c>
      <c r="AF41" s="609" t="e">
        <f t="shared" si="2"/>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t="str">
        <f t="shared" si="15"/>
        <v/>
      </c>
    </row>
    <row r="42" spans="1:40" ht="15.5" x14ac:dyDescent="0.35">
      <c r="A42" t="s">
        <v>870</v>
      </c>
      <c r="B42" s="84">
        <v>26</v>
      </c>
      <c r="C42" s="92" t="s">
        <v>871</v>
      </c>
      <c r="D42" s="92"/>
      <c r="E42" s="1222"/>
      <c r="F42" s="1222"/>
      <c r="G42" s="1223">
        <f t="shared" si="3"/>
        <v>0</v>
      </c>
      <c r="H42" s="1271"/>
      <c r="I42" s="1222"/>
      <c r="J42" s="1222"/>
      <c r="K42" s="1223">
        <f t="shared" si="4"/>
        <v>0</v>
      </c>
      <c r="L42" s="1223">
        <f t="shared" si="5"/>
        <v>0</v>
      </c>
      <c r="M42" s="87"/>
      <c r="N42" s="1184" t="str">
        <f t="shared" si="0"/>
        <v/>
      </c>
      <c r="O42" s="256" t="str">
        <f t="shared" si="6"/>
        <v/>
      </c>
      <c r="P42" s="87"/>
      <c r="Q42" s="98" t="str">
        <f t="shared" si="7"/>
        <v/>
      </c>
      <c r="AD42" s="609">
        <f t="shared" si="16"/>
        <v>0.4</v>
      </c>
      <c r="AE42" s="609">
        <f t="shared" si="1"/>
        <v>4000</v>
      </c>
      <c r="AF42" s="609" t="e">
        <f t="shared" si="2"/>
        <v>#N/A</v>
      </c>
      <c r="AG42" s="609" t="e">
        <f t="shared" si="8"/>
        <v>#N/A</v>
      </c>
      <c r="AH42" s="609" t="e">
        <f t="shared" si="9"/>
        <v>#N/A</v>
      </c>
      <c r="AI42" s="609" t="e">
        <f t="shared" si="10"/>
        <v>#N/A</v>
      </c>
      <c r="AJ42" s="609" t="e">
        <f t="shared" si="11"/>
        <v>#N/A</v>
      </c>
      <c r="AK42" s="609" t="e">
        <f>IF(OR((L42)&lt;AH42,(L42)&gt;AG42),"Warning","")</f>
        <v>#N/A</v>
      </c>
      <c r="AL42" s="609" t="e">
        <f>IF(OR((L42)&gt;(AI42),(L42)&lt;(AJ42)),"Warning","")</f>
        <v>#N/A</v>
      </c>
      <c r="AM42" s="609" t="str">
        <f>IF(OR((L42)=0),"",IF(AND(AK42="Warning",AL42="Warning"),"Warning",""))</f>
        <v/>
      </c>
      <c r="AN42" s="609" t="str">
        <f t="shared" si="15"/>
        <v/>
      </c>
    </row>
    <row r="43" spans="1:40" ht="15.5" x14ac:dyDescent="0.35">
      <c r="A43" t="s">
        <v>872</v>
      </c>
      <c r="B43" s="84">
        <v>27</v>
      </c>
      <c r="C43" s="92" t="s">
        <v>873</v>
      </c>
      <c r="D43" s="92"/>
      <c r="E43" s="1222"/>
      <c r="F43" s="1222"/>
      <c r="G43" s="1223">
        <f t="shared" si="3"/>
        <v>0</v>
      </c>
      <c r="H43" s="1271"/>
      <c r="I43" s="1222"/>
      <c r="J43" s="1222"/>
      <c r="K43" s="1223">
        <f t="shared" si="4"/>
        <v>0</v>
      </c>
      <c r="L43" s="1223">
        <f t="shared" si="5"/>
        <v>0</v>
      </c>
      <c r="M43" s="87"/>
      <c r="N43" s="1184" t="str">
        <f t="shared" si="0"/>
        <v/>
      </c>
      <c r="O43" s="256" t="str">
        <f t="shared" si="6"/>
        <v/>
      </c>
      <c r="P43" s="87"/>
      <c r="Q43" s="98" t="str">
        <f t="shared" si="7"/>
        <v/>
      </c>
      <c r="AD43" s="609">
        <f t="shared" si="16"/>
        <v>0.4</v>
      </c>
      <c r="AE43" s="609">
        <f t="shared" si="1"/>
        <v>10000</v>
      </c>
      <c r="AF43" s="609" t="e">
        <f t="shared" si="2"/>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t="str">
        <f t="shared" si="15"/>
        <v/>
      </c>
    </row>
    <row r="44" spans="1:40" ht="15.5" x14ac:dyDescent="0.35">
      <c r="B44" s="84" t="s">
        <v>253</v>
      </c>
      <c r="C44" s="92" t="s">
        <v>253</v>
      </c>
      <c r="D44" s="92"/>
      <c r="E44" s="1404" t="str">
        <f>IF(SUM(E34:F37)&lt;&gt;G33,"Expenditure for lines 16-19 does not match line 13 ","")</f>
        <v/>
      </c>
      <c r="F44" s="1404"/>
      <c r="G44" s="1404"/>
      <c r="H44" s="1404"/>
      <c r="I44" s="1404" t="str">
        <f>IF(SUM(I34:J37)&lt;&gt;K33,"Income for lines 16-19 does not match line 13 ","")</f>
        <v/>
      </c>
      <c r="J44" s="1405"/>
      <c r="K44" s="1406"/>
      <c r="L44" s="1406"/>
      <c r="M44" s="87"/>
      <c r="N44" s="1185"/>
      <c r="O44" s="117"/>
      <c r="P44" s="87"/>
      <c r="Q44" s="87"/>
    </row>
    <row r="45" spans="1:40" ht="15.5" x14ac:dyDescent="0.35">
      <c r="A45" t="s">
        <v>874</v>
      </c>
      <c r="B45" s="153">
        <v>30</v>
      </c>
      <c r="C45" s="153" t="s">
        <v>875</v>
      </c>
      <c r="D45" s="92"/>
      <c r="E45" s="1273">
        <f t="shared" ref="E45:L45" si="17">SUM(E32:E33,E38:E43)</f>
        <v>0</v>
      </c>
      <c r="F45" s="1407">
        <f t="shared" si="17"/>
        <v>0</v>
      </c>
      <c r="G45" s="1273">
        <f t="shared" si="17"/>
        <v>0</v>
      </c>
      <c r="H45" s="711">
        <f t="shared" si="17"/>
        <v>0</v>
      </c>
      <c r="I45" s="1273">
        <f t="shared" si="17"/>
        <v>0</v>
      </c>
      <c r="J45" s="1273">
        <f t="shared" si="17"/>
        <v>0</v>
      </c>
      <c r="K45" s="1273">
        <f t="shared" si="17"/>
        <v>0</v>
      </c>
      <c r="L45" s="711">
        <f t="shared" si="17"/>
        <v>0</v>
      </c>
      <c r="M45" s="87"/>
      <c r="N45" s="1184" t="str">
        <f>IF(ISERROR(O45),"",IF((O45="Error"),"add explanation",IF((O45="Warning"),"add explanation","")))</f>
        <v/>
      </c>
      <c r="O45" s="256" t="str">
        <f>IF(OR((K45&lt;&gt;(I45+J45)),(G45&lt;&gt;(E45+F45)),(L45&lt;&gt;(G45-K45))),"Error",IF(AM45="Warning","Warning",""))</f>
        <v/>
      </c>
      <c r="P45" s="87"/>
      <c r="Q45" s="98" t="str">
        <f>IF($O45="Error","A total column for "&amp;($C45)&amp;" does not match the sum of the components, please correct",IF($O45="Warning","This year's figure is over "&amp;AE45/1000&amp;" million and "&amp;(AD45*100)&amp;"% different to "&amp;TEXT(AF45,"#,###")&amp;" last year, please explain",""))</f>
        <v/>
      </c>
      <c r="AD45" s="609">
        <f>VLOOKUP("RO3"&amp;$B45,data_val_parameters,8,0)/100</f>
        <v>0.4</v>
      </c>
    </row>
    <row r="46" spans="1:40" ht="42" x14ac:dyDescent="0.35">
      <c r="B46" s="87"/>
      <c r="C46" s="186"/>
      <c r="D46" s="186"/>
      <c r="E46" s="24"/>
      <c r="F46" s="1403"/>
      <c r="G46" s="36"/>
      <c r="H46" s="1212" t="s">
        <v>742</v>
      </c>
      <c r="I46" s="24"/>
      <c r="J46" s="24"/>
      <c r="K46" s="82"/>
      <c r="L46" s="1212" t="s">
        <v>743</v>
      </c>
      <c r="M46" s="87"/>
      <c r="N46" s="320"/>
      <c r="O46" s="117"/>
      <c r="P46" s="87"/>
      <c r="Q46" s="87"/>
    </row>
    <row r="47" spans="1:40" ht="46.5" x14ac:dyDescent="0.35">
      <c r="B47" s="87"/>
      <c r="C47" s="186"/>
      <c r="D47" s="186"/>
      <c r="E47" s="24"/>
      <c r="F47" s="443" t="s">
        <v>744</v>
      </c>
      <c r="G47" s="36"/>
      <c r="H47" s="1199" t="str" cm="1">
        <f t="array" ref="H47">IF(SUMPRODUCT(--(H32:H45 &gt; G32:G45)),"Error","")</f>
        <v/>
      </c>
      <c r="I47" s="24" t="str">
        <f>IF(H47="Error","A figure in the central MSS column is greater than total expenditure for that line","")</f>
        <v/>
      </c>
      <c r="J47" s="24"/>
      <c r="K47" s="36"/>
      <c r="L47" s="494"/>
      <c r="M47" s="87"/>
      <c r="N47" s="320"/>
      <c r="O47" s="117"/>
      <c r="P47" s="87"/>
      <c r="Q47" s="87"/>
    </row>
    <row r="48" spans="1:40" ht="15.5" x14ac:dyDescent="0.35">
      <c r="B48" s="87"/>
      <c r="C48" s="87"/>
      <c r="D48" s="87"/>
      <c r="E48" s="24"/>
      <c r="F48" s="271" t="s">
        <v>745</v>
      </c>
      <c r="G48" s="36"/>
      <c r="H48" s="271"/>
      <c r="I48" s="24"/>
      <c r="J48" s="24"/>
      <c r="K48" s="36"/>
      <c r="L48" s="244"/>
      <c r="M48" s="87"/>
      <c r="N48" s="320"/>
      <c r="O48" s="117"/>
      <c r="P48" s="87"/>
      <c r="Q48" s="87"/>
    </row>
    <row r="49" spans="1:40" ht="15.5" x14ac:dyDescent="0.35">
      <c r="A49" t="s">
        <v>876</v>
      </c>
      <c r="B49" s="1023">
        <v>301</v>
      </c>
      <c r="C49" s="1024" t="s">
        <v>877</v>
      </c>
      <c r="D49" s="87"/>
      <c r="E49" s="87"/>
      <c r="F49" s="1270"/>
      <c r="G49" s="36"/>
      <c r="H49" s="24"/>
      <c r="I49" s="24"/>
      <c r="J49" s="24"/>
      <c r="K49" s="36"/>
      <c r="L49" s="244"/>
      <c r="M49" s="87"/>
      <c r="N49" s="320"/>
      <c r="O49" s="117"/>
      <c r="P49" s="87"/>
      <c r="Q49" s="87"/>
    </row>
    <row r="50" spans="1:40" ht="15.5" x14ac:dyDescent="0.35">
      <c r="B50" s="1023"/>
      <c r="C50" s="1024"/>
      <c r="D50" s="87"/>
      <c r="E50" s="87"/>
      <c r="G50" s="36"/>
      <c r="H50" s="1206"/>
      <c r="I50" s="24"/>
      <c r="J50" s="443"/>
      <c r="K50" s="36"/>
      <c r="L50" s="244"/>
      <c r="M50" s="87"/>
      <c r="N50" s="320"/>
      <c r="O50" s="117"/>
      <c r="P50" s="87"/>
      <c r="Q50" s="87"/>
    </row>
    <row r="51" spans="1:40" ht="15.5" x14ac:dyDescent="0.35">
      <c r="B51" s="1023"/>
      <c r="C51" s="1024"/>
      <c r="D51" s="87"/>
      <c r="E51" s="87"/>
      <c r="G51" s="36"/>
      <c r="H51" s="1206"/>
      <c r="I51" s="24"/>
      <c r="J51" s="271"/>
      <c r="K51" s="36"/>
      <c r="L51" s="244"/>
      <c r="M51" s="87"/>
      <c r="N51" s="320"/>
      <c r="O51" s="117"/>
      <c r="P51" s="87"/>
      <c r="Q51" s="87"/>
    </row>
    <row r="52" spans="1:40" ht="15.5" x14ac:dyDescent="0.35">
      <c r="A52" t="s">
        <v>878</v>
      </c>
      <c r="B52" s="1023">
        <v>302</v>
      </c>
      <c r="C52" s="1024" t="s">
        <v>879</v>
      </c>
      <c r="D52" s="87"/>
      <c r="E52" s="87"/>
      <c r="G52" s="36"/>
      <c r="H52" s="36"/>
      <c r="I52" s="24"/>
      <c r="J52" s="1270"/>
      <c r="K52" s="1213" t="s">
        <v>750</v>
      </c>
      <c r="L52" s="244"/>
      <c r="M52" s="87"/>
      <c r="N52" s="320"/>
      <c r="O52" s="117"/>
      <c r="P52" s="87"/>
      <c r="Q52" s="87"/>
    </row>
    <row r="53" spans="1:40" ht="15.5" x14ac:dyDescent="0.35">
      <c r="B53" s="84"/>
      <c r="C53" s="92"/>
      <c r="D53" s="92"/>
      <c r="E53" s="24"/>
      <c r="F53" s="24"/>
      <c r="G53" s="36"/>
      <c r="J53" s="24"/>
      <c r="K53" s="36"/>
      <c r="L53" s="244"/>
      <c r="M53" s="87"/>
      <c r="N53" s="320"/>
      <c r="O53" s="117"/>
      <c r="P53" s="87"/>
      <c r="Q53" s="87"/>
    </row>
    <row r="54" spans="1:40" ht="18" x14ac:dyDescent="0.4">
      <c r="B54" s="21" t="s">
        <v>880</v>
      </c>
      <c r="C54" s="92"/>
      <c r="D54" s="92"/>
      <c r="E54" s="250"/>
      <c r="F54" s="250"/>
      <c r="G54" s="69"/>
      <c r="H54" s="69"/>
      <c r="I54" s="250"/>
      <c r="J54" s="250"/>
      <c r="K54" s="69"/>
      <c r="L54" s="69"/>
      <c r="M54" s="87"/>
      <c r="N54" s="320"/>
      <c r="O54" s="117"/>
      <c r="P54" s="87"/>
      <c r="Q54" s="87"/>
    </row>
    <row r="55" spans="1:40" ht="15.5" x14ac:dyDescent="0.35">
      <c r="A55" t="s">
        <v>881</v>
      </c>
      <c r="B55" s="92">
        <v>32</v>
      </c>
      <c r="C55" s="92" t="s">
        <v>882</v>
      </c>
      <c r="D55" s="92"/>
      <c r="E55" s="1222"/>
      <c r="F55" s="1222"/>
      <c r="G55" s="1223">
        <f t="shared" ref="G55:G66" si="18">SUM(E55:F55)</f>
        <v>0</v>
      </c>
      <c r="H55" s="1271"/>
      <c r="I55" s="1222"/>
      <c r="J55" s="1222"/>
      <c r="K55" s="1223">
        <f t="shared" ref="K55:K66" si="19">SUM(I55:J55)</f>
        <v>0</v>
      </c>
      <c r="L55" s="1223">
        <f t="shared" ref="L55:L66" si="20">G55-K55</f>
        <v>0</v>
      </c>
      <c r="M55" s="40"/>
      <c r="N55" s="1179" t="str">
        <f t="shared" ref="N55:N67" si="21">IF(ISERROR(O55),"",IF((O55="Error"),"add explanation",IF((O55="Warning"),"add explanation","")))</f>
        <v/>
      </c>
      <c r="O55" s="256" t="str">
        <f t="shared" ref="O55:O67" si="22">IF(OR((K55&lt;&gt;(I55+J55)),(G55&lt;&gt;(E55+F55)),(L55&lt;&gt;(G55-K55)),AN55="Error"),"Error",IF(AM55="Warning","Warning",""))</f>
        <v/>
      </c>
      <c r="P55" s="87"/>
      <c r="Q55" s="98" t="str">
        <f t="shared" ref="Q55:Q67" si="23">IF(AND($O55="Error",$AN55="Error"),"Sales, Fees &amp; Charges or Other Income figure is negative",IF($O55="Error","A total column for "&amp;($C55)&amp;" does not match the sum of the components, please correct",IF($O55="Warning","This year's figure is over "&amp;AE55/1000&amp;" million and "&amp;(AD55*100)&amp;"% different to "&amp;TEXT(AF55,"#,###")&amp;" last year, please explain","")))</f>
        <v/>
      </c>
      <c r="AD55" s="609">
        <f t="shared" ref="AD55:AD68" si="24">VLOOKUP("RO3"&amp;$B55,data_val_parameters,8,0)/100</f>
        <v>0.4</v>
      </c>
      <c r="AE55" s="609">
        <f t="shared" ref="AE55:AE80" si="25">VLOOKUP("RO3"&amp;$B55,data_val_parameters,7,0)</f>
        <v>4000</v>
      </c>
      <c r="AF55" s="636" t="e">
        <f t="shared" ref="AF55:AF80" si="26">VLOOKUP(LA_code,data_prev_year,MATCH("RO3"&amp;$B55&amp;"7",data_prev_year_headers,0),0)</f>
        <v>#N/A</v>
      </c>
      <c r="AG55" s="636" t="e">
        <f t="shared" ref="AG55:AG68" si="27">AF55+AE55</f>
        <v>#N/A</v>
      </c>
      <c r="AH55" s="636" t="e">
        <f t="shared" ref="AH55:AH68" si="28">AF55-AE55</f>
        <v>#N/A</v>
      </c>
      <c r="AI55" s="636" t="e">
        <f t="shared" ref="AI55:AI68" si="29">AF55+(AF55*AD55)</f>
        <v>#N/A</v>
      </c>
      <c r="AJ55" s="636" t="e">
        <f t="shared" ref="AJ55:AJ68" si="30">AF55-(AF55*AD55)</f>
        <v>#N/A</v>
      </c>
      <c r="AK55" s="609" t="e">
        <f t="shared" ref="AK55:AK65" si="31">IF(OR(L55&lt;AH55,L55&gt;AG55),"Warning","")</f>
        <v>#N/A</v>
      </c>
      <c r="AL55" s="609" t="e">
        <f t="shared" ref="AL55:AL65" si="32">IF(OR(L55&gt;(AI55),L55&lt;(AJ55)),"Warning","")</f>
        <v>#N/A</v>
      </c>
      <c r="AM55" s="609" t="str">
        <f t="shared" ref="AM55:AM65" si="33">IF(OR(L55=0),"",IF(AND(AK55="Warning",AL55="Warning"),"Warning",""))</f>
        <v/>
      </c>
      <c r="AN55" s="609" t="str">
        <f t="shared" si="15"/>
        <v/>
      </c>
    </row>
    <row r="56" spans="1:40" ht="15.5" x14ac:dyDescent="0.35">
      <c r="A56" t="s">
        <v>883</v>
      </c>
      <c r="B56" s="92">
        <v>33</v>
      </c>
      <c r="C56" s="92" t="s">
        <v>884</v>
      </c>
      <c r="D56" s="92"/>
      <c r="E56" s="1222"/>
      <c r="F56" s="1222"/>
      <c r="G56" s="1223">
        <f t="shared" si="18"/>
        <v>0</v>
      </c>
      <c r="H56" s="1271"/>
      <c r="I56" s="1222"/>
      <c r="J56" s="1222"/>
      <c r="K56" s="1223">
        <f t="shared" si="19"/>
        <v>0</v>
      </c>
      <c r="L56" s="1223">
        <f t="shared" si="20"/>
        <v>0</v>
      </c>
      <c r="M56" s="40"/>
      <c r="N56" s="1179" t="str">
        <f t="shared" si="21"/>
        <v/>
      </c>
      <c r="O56" s="256" t="str">
        <f t="shared" si="22"/>
        <v/>
      </c>
      <c r="P56" s="87"/>
      <c r="Q56" s="98" t="str">
        <f t="shared" si="23"/>
        <v/>
      </c>
      <c r="AD56" s="609">
        <f t="shared" si="24"/>
        <v>0.4</v>
      </c>
      <c r="AE56" s="609">
        <f t="shared" si="25"/>
        <v>10000</v>
      </c>
      <c r="AF56" s="636" t="e">
        <f t="shared" si="26"/>
        <v>#N/A</v>
      </c>
      <c r="AG56" s="636" t="e">
        <f t="shared" si="27"/>
        <v>#N/A</v>
      </c>
      <c r="AH56" s="636" t="e">
        <f t="shared" si="28"/>
        <v>#N/A</v>
      </c>
      <c r="AI56" s="636" t="e">
        <f t="shared" si="29"/>
        <v>#N/A</v>
      </c>
      <c r="AJ56" s="636" t="e">
        <f t="shared" si="30"/>
        <v>#N/A</v>
      </c>
      <c r="AK56" s="609" t="e">
        <f t="shared" si="31"/>
        <v>#N/A</v>
      </c>
      <c r="AL56" s="609" t="e">
        <f t="shared" si="32"/>
        <v>#N/A</v>
      </c>
      <c r="AM56" s="609" t="str">
        <f t="shared" si="33"/>
        <v/>
      </c>
      <c r="AN56" s="609" t="str">
        <f t="shared" si="15"/>
        <v/>
      </c>
    </row>
    <row r="57" spans="1:40" ht="15.5" x14ac:dyDescent="0.35">
      <c r="A57" t="s">
        <v>885</v>
      </c>
      <c r="B57" s="92">
        <v>34</v>
      </c>
      <c r="C57" s="92" t="s">
        <v>886</v>
      </c>
      <c r="D57" s="92"/>
      <c r="E57" s="1222"/>
      <c r="F57" s="1222"/>
      <c r="G57" s="1223">
        <f t="shared" si="18"/>
        <v>0</v>
      </c>
      <c r="H57" s="1271"/>
      <c r="I57" s="1222"/>
      <c r="J57" s="1222"/>
      <c r="K57" s="1223">
        <f t="shared" si="19"/>
        <v>0</v>
      </c>
      <c r="L57" s="1223">
        <f t="shared" si="20"/>
        <v>0</v>
      </c>
      <c r="M57" s="40"/>
      <c r="N57" s="1179" t="str">
        <f t="shared" si="21"/>
        <v/>
      </c>
      <c r="O57" s="256" t="str">
        <f t="shared" si="22"/>
        <v/>
      </c>
      <c r="P57" s="87"/>
      <c r="Q57" s="98" t="str">
        <f t="shared" si="23"/>
        <v/>
      </c>
      <c r="AD57" s="609">
        <f t="shared" si="24"/>
        <v>0.4</v>
      </c>
      <c r="AE57" s="609">
        <f t="shared" si="25"/>
        <v>4000</v>
      </c>
      <c r="AF57" s="609" t="e">
        <f t="shared" si="26"/>
        <v>#N/A</v>
      </c>
      <c r="AG57" s="609" t="e">
        <f t="shared" si="27"/>
        <v>#N/A</v>
      </c>
      <c r="AH57" s="609" t="e">
        <f t="shared" si="28"/>
        <v>#N/A</v>
      </c>
      <c r="AI57" s="636" t="e">
        <f t="shared" si="29"/>
        <v>#N/A</v>
      </c>
      <c r="AJ57" s="636" t="e">
        <f t="shared" si="30"/>
        <v>#N/A</v>
      </c>
      <c r="AK57" s="609" t="e">
        <f t="shared" si="31"/>
        <v>#N/A</v>
      </c>
      <c r="AL57" s="609" t="e">
        <f t="shared" si="32"/>
        <v>#N/A</v>
      </c>
      <c r="AM57" s="609" t="str">
        <f t="shared" si="33"/>
        <v/>
      </c>
      <c r="AN57" s="609" t="str">
        <f t="shared" si="15"/>
        <v/>
      </c>
    </row>
    <row r="58" spans="1:40" ht="15.5" x14ac:dyDescent="0.35">
      <c r="A58" t="s">
        <v>887</v>
      </c>
      <c r="B58" s="92">
        <v>35</v>
      </c>
      <c r="C58" s="92" t="s">
        <v>888</v>
      </c>
      <c r="D58" s="92"/>
      <c r="E58" s="1222"/>
      <c r="F58" s="1222"/>
      <c r="G58" s="1223">
        <f t="shared" si="18"/>
        <v>0</v>
      </c>
      <c r="H58" s="1271"/>
      <c r="I58" s="1222"/>
      <c r="J58" s="1222"/>
      <c r="K58" s="1223">
        <f t="shared" si="19"/>
        <v>0</v>
      </c>
      <c r="L58" s="1223">
        <f t="shared" si="20"/>
        <v>0</v>
      </c>
      <c r="M58" s="40"/>
      <c r="N58" s="1179" t="str">
        <f t="shared" si="21"/>
        <v/>
      </c>
      <c r="O58" s="256" t="str">
        <f t="shared" si="22"/>
        <v/>
      </c>
      <c r="P58" s="87"/>
      <c r="Q58" s="98" t="str">
        <f t="shared" si="23"/>
        <v/>
      </c>
      <c r="AD58" s="609">
        <f t="shared" si="24"/>
        <v>0.4</v>
      </c>
      <c r="AE58" s="609">
        <f t="shared" si="25"/>
        <v>4000</v>
      </c>
      <c r="AF58" s="636" t="e">
        <f t="shared" si="26"/>
        <v>#N/A</v>
      </c>
      <c r="AG58" s="636" t="e">
        <f t="shared" si="27"/>
        <v>#N/A</v>
      </c>
      <c r="AH58" s="636" t="e">
        <f t="shared" si="28"/>
        <v>#N/A</v>
      </c>
      <c r="AI58" s="636" t="e">
        <f t="shared" si="29"/>
        <v>#N/A</v>
      </c>
      <c r="AJ58" s="636" t="e">
        <f t="shared" si="30"/>
        <v>#N/A</v>
      </c>
      <c r="AK58" s="609" t="e">
        <f t="shared" si="31"/>
        <v>#N/A</v>
      </c>
      <c r="AL58" s="609" t="e">
        <f t="shared" si="32"/>
        <v>#N/A</v>
      </c>
      <c r="AM58" s="609" t="str">
        <f t="shared" si="33"/>
        <v/>
      </c>
      <c r="AN58" s="609" t="str">
        <f t="shared" si="15"/>
        <v/>
      </c>
    </row>
    <row r="59" spans="1:40" ht="15.5" x14ac:dyDescent="0.35">
      <c r="A59" t="s">
        <v>889</v>
      </c>
      <c r="B59" s="92">
        <v>36</v>
      </c>
      <c r="C59" s="92" t="s">
        <v>890</v>
      </c>
      <c r="D59" s="92"/>
      <c r="E59" s="1222"/>
      <c r="F59" s="1222"/>
      <c r="G59" s="1223">
        <f t="shared" si="18"/>
        <v>0</v>
      </c>
      <c r="H59" s="1271"/>
      <c r="I59" s="1222"/>
      <c r="J59" s="1222"/>
      <c r="K59" s="1223">
        <f t="shared" si="19"/>
        <v>0</v>
      </c>
      <c r="L59" s="1223">
        <f t="shared" si="20"/>
        <v>0</v>
      </c>
      <c r="M59" s="40"/>
      <c r="N59" s="1179" t="str">
        <f>IF(ISERROR(O59),"",IF((O59="Error"),"add explanation",IF((O59="Warning"),"add explanation","")))</f>
        <v/>
      </c>
      <c r="O59" s="256" t="str">
        <f t="shared" si="22"/>
        <v/>
      </c>
      <c r="P59" s="87"/>
      <c r="Q59" s="98" t="str">
        <f t="shared" si="23"/>
        <v/>
      </c>
      <c r="AD59" s="609">
        <f t="shared" si="24"/>
        <v>0.55000000000000004</v>
      </c>
      <c r="AE59" s="609">
        <f t="shared" si="25"/>
        <v>6000</v>
      </c>
      <c r="AF59" s="609" t="e">
        <f t="shared" si="26"/>
        <v>#N/A</v>
      </c>
      <c r="AG59" s="609" t="e">
        <f t="shared" si="27"/>
        <v>#N/A</v>
      </c>
      <c r="AH59" s="609" t="e">
        <f t="shared" si="28"/>
        <v>#N/A</v>
      </c>
      <c r="AI59" s="609" t="e">
        <f t="shared" si="29"/>
        <v>#N/A</v>
      </c>
      <c r="AJ59" s="636" t="e">
        <f t="shared" si="30"/>
        <v>#N/A</v>
      </c>
      <c r="AK59" s="609" t="e">
        <f t="shared" si="31"/>
        <v>#N/A</v>
      </c>
      <c r="AL59" s="609" t="e">
        <f t="shared" si="32"/>
        <v>#N/A</v>
      </c>
      <c r="AM59" s="609" t="str">
        <f t="shared" si="33"/>
        <v/>
      </c>
      <c r="AN59" s="609" t="str">
        <f t="shared" si="15"/>
        <v/>
      </c>
    </row>
    <row r="60" spans="1:40" ht="15.5" x14ac:dyDescent="0.35">
      <c r="A60" t="s">
        <v>891</v>
      </c>
      <c r="B60" s="92">
        <v>37</v>
      </c>
      <c r="C60" s="92" t="s">
        <v>892</v>
      </c>
      <c r="D60" s="92"/>
      <c r="E60" s="1222"/>
      <c r="F60" s="1222"/>
      <c r="G60" s="1223">
        <f t="shared" si="18"/>
        <v>0</v>
      </c>
      <c r="H60" s="1271"/>
      <c r="I60" s="1222"/>
      <c r="J60" s="1222"/>
      <c r="K60" s="1223">
        <f t="shared" si="19"/>
        <v>0</v>
      </c>
      <c r="L60" s="1223">
        <f t="shared" si="20"/>
        <v>0</v>
      </c>
      <c r="M60" s="40"/>
      <c r="N60" s="1179" t="str">
        <f t="shared" si="21"/>
        <v/>
      </c>
      <c r="O60" s="256" t="str">
        <f t="shared" si="22"/>
        <v/>
      </c>
      <c r="P60" s="87"/>
      <c r="Q60" s="98" t="str">
        <f t="shared" si="23"/>
        <v/>
      </c>
      <c r="AD60" s="609">
        <f t="shared" si="24"/>
        <v>0.55000000000000004</v>
      </c>
      <c r="AE60" s="609">
        <f t="shared" si="25"/>
        <v>8000</v>
      </c>
      <c r="AF60" s="609" t="e">
        <f t="shared" si="26"/>
        <v>#N/A</v>
      </c>
      <c r="AG60" s="609" t="e">
        <f t="shared" si="27"/>
        <v>#N/A</v>
      </c>
      <c r="AH60" s="609" t="e">
        <f t="shared" si="28"/>
        <v>#N/A</v>
      </c>
      <c r="AI60" s="609" t="e">
        <f t="shared" si="29"/>
        <v>#N/A</v>
      </c>
      <c r="AJ60" s="636" t="e">
        <f t="shared" si="30"/>
        <v>#N/A</v>
      </c>
      <c r="AK60" s="609" t="e">
        <f t="shared" si="31"/>
        <v>#N/A</v>
      </c>
      <c r="AL60" s="609" t="e">
        <f t="shared" si="32"/>
        <v>#N/A</v>
      </c>
      <c r="AM60" s="609" t="str">
        <f t="shared" si="33"/>
        <v/>
      </c>
      <c r="AN60" s="609" t="str">
        <f t="shared" si="15"/>
        <v/>
      </c>
    </row>
    <row r="61" spans="1:40" ht="15.5" x14ac:dyDescent="0.35">
      <c r="A61" t="s">
        <v>893</v>
      </c>
      <c r="B61" s="92">
        <v>40</v>
      </c>
      <c r="C61" s="92" t="s">
        <v>894</v>
      </c>
      <c r="D61" s="92"/>
      <c r="E61" s="1222"/>
      <c r="F61" s="1222"/>
      <c r="G61" s="1223">
        <f t="shared" si="18"/>
        <v>0</v>
      </c>
      <c r="H61" s="1271"/>
      <c r="I61" s="1222"/>
      <c r="J61" s="1222"/>
      <c r="K61" s="1223">
        <f t="shared" si="19"/>
        <v>0</v>
      </c>
      <c r="L61" s="1223">
        <f t="shared" si="20"/>
        <v>0</v>
      </c>
      <c r="M61" s="40"/>
      <c r="N61" s="1179" t="str">
        <f t="shared" si="21"/>
        <v/>
      </c>
      <c r="O61" s="256" t="str">
        <f t="shared" si="22"/>
        <v/>
      </c>
      <c r="P61" s="87"/>
      <c r="Q61" s="98" t="str">
        <f t="shared" si="23"/>
        <v/>
      </c>
      <c r="AD61" s="609">
        <f t="shared" si="24"/>
        <v>0.4</v>
      </c>
      <c r="AE61" s="609">
        <f t="shared" si="25"/>
        <v>4000</v>
      </c>
      <c r="AF61" s="636" t="e">
        <f t="shared" si="26"/>
        <v>#N/A</v>
      </c>
      <c r="AG61" s="636" t="e">
        <f t="shared" si="27"/>
        <v>#N/A</v>
      </c>
      <c r="AH61" s="636" t="e">
        <f t="shared" si="28"/>
        <v>#N/A</v>
      </c>
      <c r="AI61" s="636" t="e">
        <f t="shared" si="29"/>
        <v>#N/A</v>
      </c>
      <c r="AJ61" s="636" t="e">
        <f t="shared" si="30"/>
        <v>#N/A</v>
      </c>
      <c r="AK61" s="609" t="e">
        <f t="shared" si="31"/>
        <v>#N/A</v>
      </c>
      <c r="AL61" s="609" t="e">
        <f t="shared" si="32"/>
        <v>#N/A</v>
      </c>
      <c r="AM61" s="609" t="str">
        <f t="shared" si="33"/>
        <v/>
      </c>
      <c r="AN61" s="609" t="str">
        <f t="shared" si="15"/>
        <v/>
      </c>
    </row>
    <row r="62" spans="1:40" ht="15.5" x14ac:dyDescent="0.35">
      <c r="A62" t="s">
        <v>895</v>
      </c>
      <c r="B62" s="92">
        <v>41</v>
      </c>
      <c r="C62" s="92" t="s">
        <v>896</v>
      </c>
      <c r="D62" s="92"/>
      <c r="E62" s="1222"/>
      <c r="F62" s="1222"/>
      <c r="G62" s="1223">
        <f t="shared" si="18"/>
        <v>0</v>
      </c>
      <c r="H62" s="1271"/>
      <c r="I62" s="1222"/>
      <c r="J62" s="1222"/>
      <c r="K62" s="1223">
        <f t="shared" si="19"/>
        <v>0</v>
      </c>
      <c r="L62" s="1223">
        <f t="shared" si="20"/>
        <v>0</v>
      </c>
      <c r="M62" s="40"/>
      <c r="N62" s="1179" t="str">
        <f t="shared" si="21"/>
        <v/>
      </c>
      <c r="O62" s="256" t="str">
        <f t="shared" si="22"/>
        <v/>
      </c>
      <c r="P62" s="87"/>
      <c r="Q62" s="98" t="str">
        <f t="shared" si="23"/>
        <v/>
      </c>
      <c r="AD62" s="609">
        <f t="shared" si="24"/>
        <v>0.4</v>
      </c>
      <c r="AE62" s="609">
        <f t="shared" si="25"/>
        <v>4000</v>
      </c>
      <c r="AF62" s="636" t="e">
        <f t="shared" si="26"/>
        <v>#N/A</v>
      </c>
      <c r="AG62" s="636" t="e">
        <f t="shared" si="27"/>
        <v>#N/A</v>
      </c>
      <c r="AH62" s="636" t="e">
        <f t="shared" si="28"/>
        <v>#N/A</v>
      </c>
      <c r="AI62" s="636" t="e">
        <f t="shared" si="29"/>
        <v>#N/A</v>
      </c>
      <c r="AJ62" s="636" t="e">
        <f t="shared" si="30"/>
        <v>#N/A</v>
      </c>
      <c r="AK62" s="609" t="e">
        <f t="shared" si="31"/>
        <v>#N/A</v>
      </c>
      <c r="AL62" s="609" t="e">
        <f t="shared" si="32"/>
        <v>#N/A</v>
      </c>
      <c r="AM62" s="609" t="str">
        <f t="shared" si="33"/>
        <v/>
      </c>
      <c r="AN62" s="609" t="str">
        <f t="shared" si="15"/>
        <v/>
      </c>
    </row>
    <row r="63" spans="1:40" ht="15.5" x14ac:dyDescent="0.35">
      <c r="A63" t="s">
        <v>897</v>
      </c>
      <c r="B63" s="92">
        <v>44</v>
      </c>
      <c r="C63" s="92" t="s">
        <v>898</v>
      </c>
      <c r="D63" s="92"/>
      <c r="E63" s="1222"/>
      <c r="F63" s="1222"/>
      <c r="G63" s="1223">
        <f t="shared" si="18"/>
        <v>0</v>
      </c>
      <c r="H63" s="1271"/>
      <c r="I63" s="1222"/>
      <c r="J63" s="1222"/>
      <c r="K63" s="1223">
        <f t="shared" si="19"/>
        <v>0</v>
      </c>
      <c r="L63" s="1223">
        <f t="shared" si="20"/>
        <v>0</v>
      </c>
      <c r="M63" s="40"/>
      <c r="N63" s="1179" t="str">
        <f t="shared" si="21"/>
        <v/>
      </c>
      <c r="O63" s="256" t="str">
        <f t="shared" si="22"/>
        <v/>
      </c>
      <c r="P63" s="87"/>
      <c r="Q63" s="98" t="str">
        <f t="shared" si="23"/>
        <v/>
      </c>
      <c r="AD63" s="609">
        <f t="shared" si="24"/>
        <v>0.4</v>
      </c>
      <c r="AE63" s="609">
        <f t="shared" si="25"/>
        <v>12000</v>
      </c>
      <c r="AF63" s="636" t="e">
        <f t="shared" si="26"/>
        <v>#N/A</v>
      </c>
      <c r="AG63" s="636" t="e">
        <f t="shared" si="27"/>
        <v>#N/A</v>
      </c>
      <c r="AH63" s="636" t="e">
        <f t="shared" si="28"/>
        <v>#N/A</v>
      </c>
      <c r="AI63" s="636" t="e">
        <f t="shared" si="29"/>
        <v>#N/A</v>
      </c>
      <c r="AJ63" s="636" t="e">
        <f t="shared" si="30"/>
        <v>#N/A</v>
      </c>
      <c r="AK63" s="609" t="e">
        <f t="shared" si="31"/>
        <v>#N/A</v>
      </c>
      <c r="AL63" s="609" t="e">
        <f t="shared" si="32"/>
        <v>#N/A</v>
      </c>
      <c r="AM63" s="609" t="str">
        <f t="shared" si="33"/>
        <v/>
      </c>
      <c r="AN63" s="609" t="str">
        <f t="shared" si="15"/>
        <v/>
      </c>
    </row>
    <row r="64" spans="1:40" ht="15.5" x14ac:dyDescent="0.35">
      <c r="A64" t="s">
        <v>899</v>
      </c>
      <c r="B64" s="92">
        <v>45</v>
      </c>
      <c r="C64" s="92" t="s">
        <v>900</v>
      </c>
      <c r="D64" s="92"/>
      <c r="E64" s="1222"/>
      <c r="F64" s="1222"/>
      <c r="G64" s="1223">
        <f t="shared" si="18"/>
        <v>0</v>
      </c>
      <c r="H64" s="1271"/>
      <c r="I64" s="1222"/>
      <c r="J64" s="1222"/>
      <c r="K64" s="1223">
        <f t="shared" si="19"/>
        <v>0</v>
      </c>
      <c r="L64" s="1223">
        <f t="shared" si="20"/>
        <v>0</v>
      </c>
      <c r="M64" s="40"/>
      <c r="N64" s="1179" t="str">
        <f t="shared" si="21"/>
        <v/>
      </c>
      <c r="O64" s="256" t="str">
        <f t="shared" si="22"/>
        <v/>
      </c>
      <c r="P64" s="87"/>
      <c r="Q64" s="98" t="str">
        <f t="shared" si="23"/>
        <v/>
      </c>
      <c r="AD64" s="609">
        <f t="shared" si="24"/>
        <v>0.4</v>
      </c>
      <c r="AE64" s="609">
        <f t="shared" si="25"/>
        <v>4000</v>
      </c>
      <c r="AF64" s="636" t="e">
        <f t="shared" si="26"/>
        <v>#N/A</v>
      </c>
      <c r="AG64" s="636" t="e">
        <f t="shared" si="27"/>
        <v>#N/A</v>
      </c>
      <c r="AH64" s="636" t="e">
        <f t="shared" si="28"/>
        <v>#N/A</v>
      </c>
      <c r="AI64" s="636" t="e">
        <f t="shared" si="29"/>
        <v>#N/A</v>
      </c>
      <c r="AJ64" s="636" t="e">
        <f t="shared" si="30"/>
        <v>#N/A</v>
      </c>
      <c r="AK64" s="609" t="e">
        <f t="shared" si="31"/>
        <v>#N/A</v>
      </c>
      <c r="AL64" s="609" t="e">
        <f t="shared" si="32"/>
        <v>#N/A</v>
      </c>
      <c r="AM64" s="609" t="str">
        <f t="shared" si="33"/>
        <v/>
      </c>
      <c r="AN64" s="609" t="str">
        <f t="shared" si="15"/>
        <v/>
      </c>
    </row>
    <row r="65" spans="1:40" ht="15.5" x14ac:dyDescent="0.35">
      <c r="A65" t="s">
        <v>901</v>
      </c>
      <c r="B65" s="92">
        <v>48</v>
      </c>
      <c r="C65" s="92" t="s">
        <v>902</v>
      </c>
      <c r="D65" s="92"/>
      <c r="E65" s="1222"/>
      <c r="F65" s="1222"/>
      <c r="G65" s="1223">
        <f t="shared" si="18"/>
        <v>0</v>
      </c>
      <c r="H65" s="1271"/>
      <c r="I65" s="1222"/>
      <c r="J65" s="1222"/>
      <c r="K65" s="1223">
        <f t="shared" si="19"/>
        <v>0</v>
      </c>
      <c r="L65" s="1223">
        <f t="shared" si="20"/>
        <v>0</v>
      </c>
      <c r="M65" s="40"/>
      <c r="N65" s="1179" t="str">
        <f t="shared" si="21"/>
        <v/>
      </c>
      <c r="O65" s="256" t="str">
        <f t="shared" si="22"/>
        <v/>
      </c>
      <c r="P65" s="87"/>
      <c r="Q65" s="98" t="str">
        <f t="shared" si="23"/>
        <v/>
      </c>
      <c r="AD65" s="609">
        <f t="shared" si="24"/>
        <v>0.4</v>
      </c>
      <c r="AE65" s="609">
        <f t="shared" si="25"/>
        <v>4000</v>
      </c>
      <c r="AF65" s="609" t="e">
        <f t="shared" si="26"/>
        <v>#N/A</v>
      </c>
      <c r="AG65" s="609" t="e">
        <f t="shared" si="27"/>
        <v>#N/A</v>
      </c>
      <c r="AH65" s="609" t="e">
        <f t="shared" si="28"/>
        <v>#N/A</v>
      </c>
      <c r="AI65" s="636" t="e">
        <f t="shared" si="29"/>
        <v>#N/A</v>
      </c>
      <c r="AJ65" s="636" t="e">
        <f t="shared" si="30"/>
        <v>#N/A</v>
      </c>
      <c r="AK65" s="609" t="e">
        <f t="shared" si="31"/>
        <v>#N/A</v>
      </c>
      <c r="AL65" s="609" t="e">
        <f t="shared" si="32"/>
        <v>#N/A</v>
      </c>
      <c r="AM65" s="609" t="str">
        <f t="shared" si="33"/>
        <v/>
      </c>
      <c r="AN65" s="609" t="str">
        <f t="shared" si="15"/>
        <v/>
      </c>
    </row>
    <row r="66" spans="1:40" ht="15.5" x14ac:dyDescent="0.35">
      <c r="A66" t="s">
        <v>903</v>
      </c>
      <c r="B66" s="92">
        <v>49</v>
      </c>
      <c r="C66" s="92" t="s">
        <v>904</v>
      </c>
      <c r="D66" s="92"/>
      <c r="E66" s="1222"/>
      <c r="F66" s="1222"/>
      <c r="G66" s="1223">
        <f t="shared" si="18"/>
        <v>0</v>
      </c>
      <c r="H66" s="1271"/>
      <c r="I66" s="1222"/>
      <c r="J66" s="1222"/>
      <c r="K66" s="1223">
        <f t="shared" si="19"/>
        <v>0</v>
      </c>
      <c r="L66" s="1223">
        <f t="shared" si="20"/>
        <v>0</v>
      </c>
      <c r="M66" s="420"/>
      <c r="N66" s="1179" t="str">
        <f t="shared" si="21"/>
        <v/>
      </c>
      <c r="O66" s="256" t="str">
        <f t="shared" si="22"/>
        <v/>
      </c>
      <c r="P66" s="40"/>
      <c r="Q66" s="98" t="str">
        <f t="shared" si="23"/>
        <v/>
      </c>
      <c r="R66" s="256"/>
      <c r="S66" s="87"/>
      <c r="T66" s="98"/>
      <c r="AD66" s="609">
        <f t="shared" si="24"/>
        <v>0.4</v>
      </c>
      <c r="AE66" s="609">
        <f t="shared" si="25"/>
        <v>4000</v>
      </c>
      <c r="AF66" s="609" t="e">
        <f t="shared" si="26"/>
        <v>#N/A</v>
      </c>
      <c r="AG66" s="609" t="e">
        <f t="shared" si="27"/>
        <v>#N/A</v>
      </c>
      <c r="AH66" s="609" t="e">
        <f t="shared" si="28"/>
        <v>#N/A</v>
      </c>
      <c r="AI66" s="609" t="e">
        <f t="shared" si="29"/>
        <v>#N/A</v>
      </c>
      <c r="AJ66" s="609" t="e">
        <f t="shared" si="30"/>
        <v>#N/A</v>
      </c>
      <c r="AK66" s="609" t="e">
        <f>IF(OR(L66&lt;AH66,L66&gt;AG66),"Warning","")</f>
        <v>#N/A</v>
      </c>
      <c r="AL66" s="609" t="e">
        <f>IF(OR(L66&gt;(AI66),L66&lt;(AJ66)),"Warning","")</f>
        <v>#N/A</v>
      </c>
      <c r="AM66" s="609" t="str">
        <f>IF(OR(L66=0),"",IF(AND(AK66="Warning",AL66="Warning"),"Warning",""))</f>
        <v/>
      </c>
      <c r="AN66" s="609" t="str">
        <f t="shared" si="15"/>
        <v/>
      </c>
    </row>
    <row r="67" spans="1:40" ht="15.5" x14ac:dyDescent="0.35">
      <c r="A67" t="s">
        <v>905</v>
      </c>
      <c r="B67" s="92">
        <v>50</v>
      </c>
      <c r="C67" s="419" t="s">
        <v>906</v>
      </c>
      <c r="D67" s="92"/>
      <c r="E67" s="1222"/>
      <c r="F67" s="1222"/>
      <c r="G67" s="1223">
        <f>SUM(E67:F67)</f>
        <v>0</v>
      </c>
      <c r="H67" s="1271"/>
      <c r="I67" s="1222"/>
      <c r="J67" s="1222"/>
      <c r="K67" s="1223">
        <f>SUM(I67:J67)</f>
        <v>0</v>
      </c>
      <c r="L67" s="1223">
        <f>G67-K67</f>
        <v>0</v>
      </c>
      <c r="M67" s="420"/>
      <c r="N67" s="1179" t="str">
        <f t="shared" si="21"/>
        <v/>
      </c>
      <c r="O67" s="256" t="str">
        <f t="shared" si="22"/>
        <v/>
      </c>
      <c r="P67" s="40"/>
      <c r="Q67" s="98" t="str">
        <f t="shared" si="23"/>
        <v/>
      </c>
      <c r="R67" s="256"/>
      <c r="S67" s="87"/>
      <c r="T67" s="98"/>
      <c r="AD67" s="609">
        <f t="shared" si="24"/>
        <v>0.4</v>
      </c>
      <c r="AE67" s="609">
        <f t="shared" si="25"/>
        <v>5000</v>
      </c>
      <c r="AF67" s="636" t="e">
        <f t="shared" si="26"/>
        <v>#N/A</v>
      </c>
      <c r="AG67" s="636" t="e">
        <f t="shared" ref="AG67" si="34">AF67+AE67</f>
        <v>#N/A</v>
      </c>
      <c r="AH67" s="636" t="e">
        <f t="shared" ref="AH67" si="35">AF67-AE67</f>
        <v>#N/A</v>
      </c>
      <c r="AI67" s="636" t="e">
        <f t="shared" ref="AI67" si="36">AF67+(AF67*AD67)</f>
        <v>#N/A</v>
      </c>
      <c r="AJ67" s="636" t="e">
        <f t="shared" ref="AJ67" si="37">AF67-(AF67*AD67)</f>
        <v>#N/A</v>
      </c>
      <c r="AK67" s="609" t="e">
        <f>IF(OR(L67&lt;AH67,L67&gt;AG67),"Warning","")</f>
        <v>#N/A</v>
      </c>
      <c r="AL67" s="609" t="e">
        <f>IF(OR(L67&gt;(AI67),L67&lt;(AJ67)),"Warning","")</f>
        <v>#N/A</v>
      </c>
      <c r="AM67" s="609" t="str">
        <f>IF(OR(L67=0),"",IF(AND(AK67="Warning",AL67="Warning"),"Warning",""))</f>
        <v/>
      </c>
      <c r="AN67" s="609" t="str">
        <f t="shared" si="15"/>
        <v/>
      </c>
    </row>
    <row r="68" spans="1:40" ht="43.5" customHeight="1" x14ac:dyDescent="0.35">
      <c r="A68" t="s">
        <v>907</v>
      </c>
      <c r="B68" s="428">
        <v>51</v>
      </c>
      <c r="C68" s="1408" t="s">
        <v>908</v>
      </c>
      <c r="D68" s="92"/>
      <c r="E68" s="1222"/>
      <c r="F68" s="1222"/>
      <c r="G68" s="1223">
        <f>SUM(E68:F68)</f>
        <v>0</v>
      </c>
      <c r="H68" s="1271"/>
      <c r="I68" s="1222"/>
      <c r="J68" s="1222"/>
      <c r="K68" s="1223">
        <f t="shared" ref="K68:K82" si="38">SUM(I68:J68)</f>
        <v>0</v>
      </c>
      <c r="L68" s="1223">
        <f t="shared" ref="L68:L81" si="39">G68-K68</f>
        <v>0</v>
      </c>
      <c r="M68" s="421"/>
      <c r="N68" s="1512" t="s">
        <v>909</v>
      </c>
      <c r="O68" s="1512"/>
      <c r="P68" s="1512"/>
      <c r="Q68" s="429" t="s">
        <v>910</v>
      </c>
      <c r="R68" s="435" t="str">
        <f t="shared" ref="R68" si="40">IF(ISERROR(S68),"",IF((S68="Error"),"add explanation",IF((S68="Warning"),"add explanation","")))</f>
        <v/>
      </c>
      <c r="S68" s="438" t="str">
        <f>IF(OR((K68&lt;&gt;(I68+J68)),(G68&lt;&gt;(E68+F68)),(L68&lt;&gt;(G68-K68))),"Error",IF(AM68="Warning","Warning",""))</f>
        <v/>
      </c>
      <c r="T68" s="430" t="str">
        <f>IF($S68="Error","A total column for "&amp;($C68)&amp;" does not match the sum of the components, please correct",IF($S68="Warning","This year's figure is over "&amp;AE68/1000&amp;" million and "&amp;(AD68*100)&amp;"% different to "&amp;TEXT(AF68,"#,###")&amp;" last year, please explain",""))</f>
        <v/>
      </c>
      <c r="AD68" s="609">
        <f t="shared" si="24"/>
        <v>0.4</v>
      </c>
      <c r="AE68" s="609">
        <f t="shared" si="25"/>
        <v>4000</v>
      </c>
      <c r="AF68" s="609" t="e">
        <f t="shared" si="26"/>
        <v>#N/A</v>
      </c>
      <c r="AG68" s="609" t="e">
        <f t="shared" si="27"/>
        <v>#N/A</v>
      </c>
      <c r="AH68" s="609" t="e">
        <f t="shared" si="28"/>
        <v>#N/A</v>
      </c>
      <c r="AI68" s="636" t="e">
        <f t="shared" si="29"/>
        <v>#N/A</v>
      </c>
      <c r="AJ68" s="636" t="e">
        <f t="shared" si="30"/>
        <v>#N/A</v>
      </c>
      <c r="AK68" s="609" t="e">
        <f>IF(OR(L68&lt;AH68,L68&gt;AG68),"Warning","")</f>
        <v>#N/A</v>
      </c>
      <c r="AL68" s="609" t="e">
        <f>IF(OR(L68&gt;(AI68),L68&lt;(AJ68)),"Warning","")</f>
        <v>#N/A</v>
      </c>
      <c r="AM68" s="609" t="str">
        <f>IF(OR(L68=0),"",IF(AND(AK68="Warning",AL68="Warning"),"Warning",""))</f>
        <v/>
      </c>
    </row>
    <row r="69" spans="1:40" ht="15.5" x14ac:dyDescent="0.35">
      <c r="A69" s="471" t="s">
        <v>911</v>
      </c>
      <c r="B69" s="428">
        <v>38</v>
      </c>
      <c r="C69" s="418" t="s">
        <v>912</v>
      </c>
      <c r="D69" s="92"/>
      <c r="E69" s="1274" t="str">
        <f>IFERROR((E$68*$N69/($N$69+$N$70)),"")</f>
        <v/>
      </c>
      <c r="F69" s="1274" t="str">
        <f>IFERROR((F$68*$N69/($N$69+$N$70)),"")</f>
        <v/>
      </c>
      <c r="G69" s="1223">
        <f t="shared" ref="G69:G82" si="41">SUM(E69:F69)</f>
        <v>0</v>
      </c>
      <c r="H69" s="1257" t="str">
        <f t="shared" ref="H69:J70" si="42">IFERROR((H$68*$N69/($N$69+$N$70)),"")</f>
        <v/>
      </c>
      <c r="I69" s="1274" t="str">
        <f t="shared" si="42"/>
        <v/>
      </c>
      <c r="J69" s="1274" t="str">
        <f t="shared" si="42"/>
        <v/>
      </c>
      <c r="K69" s="1223">
        <f t="shared" si="38"/>
        <v>0</v>
      </c>
      <c r="L69" s="1223">
        <f t="shared" si="39"/>
        <v>0</v>
      </c>
      <c r="M69" s="40"/>
      <c r="N69" s="1275" t="e">
        <f>(L55+L57+L59+L61+L63)/(L55+L57+L59+L61+L63+L56+L58+L60+L62+L64)</f>
        <v>#DIV/0!</v>
      </c>
      <c r="O69" s="580" t="s">
        <v>912</v>
      </c>
      <c r="P69" s="581"/>
      <c r="Q69" s="1409"/>
      <c r="R69" s="1410"/>
      <c r="S69" s="1410"/>
      <c r="T69" s="1411"/>
    </row>
    <row r="70" spans="1:40" ht="15.5" x14ac:dyDescent="0.35">
      <c r="A70" s="280" t="s">
        <v>913</v>
      </c>
      <c r="B70" s="428">
        <v>39</v>
      </c>
      <c r="C70" s="418" t="s">
        <v>914</v>
      </c>
      <c r="D70" s="92"/>
      <c r="E70" s="1274" t="str">
        <f t="shared" ref="E70" si="43">IFERROR((E$68*$N70/($N$69+$N$70)),"")</f>
        <v/>
      </c>
      <c r="F70" s="1274" t="str">
        <f>IFERROR((F$68*$N70/($N$69+$N$70)),"")</f>
        <v/>
      </c>
      <c r="G70" s="1223">
        <f t="shared" si="41"/>
        <v>0</v>
      </c>
      <c r="H70" s="1257" t="str">
        <f t="shared" si="42"/>
        <v/>
      </c>
      <c r="I70" s="1274" t="str">
        <f t="shared" si="42"/>
        <v/>
      </c>
      <c r="J70" s="1274" t="str">
        <f t="shared" si="42"/>
        <v/>
      </c>
      <c r="K70" s="1223">
        <f t="shared" si="38"/>
        <v>0</v>
      </c>
      <c r="L70" s="1223">
        <f t="shared" si="39"/>
        <v>0</v>
      </c>
      <c r="M70" s="40"/>
      <c r="N70" s="1275" t="e">
        <f>(L56+L58+L60+L62+L64)/(L55+L57+L59+L61+L63+L56+L58+L60+L62+L64)</f>
        <v>#DIV/0!</v>
      </c>
      <c r="O70" s="582" t="s">
        <v>914</v>
      </c>
      <c r="P70" s="583"/>
      <c r="Q70" s="572"/>
      <c r="R70" s="574"/>
      <c r="S70" s="574"/>
      <c r="T70" s="575"/>
    </row>
    <row r="71" spans="1:40" ht="44.15" customHeight="1" x14ac:dyDescent="0.35">
      <c r="A71" t="s">
        <v>915</v>
      </c>
      <c r="B71" s="428">
        <v>53</v>
      </c>
      <c r="C71" s="1408" t="s">
        <v>916</v>
      </c>
      <c r="D71" s="92"/>
      <c r="E71" s="1222"/>
      <c r="F71" s="1222"/>
      <c r="G71" s="1223">
        <f t="shared" si="41"/>
        <v>0</v>
      </c>
      <c r="H71" s="1271"/>
      <c r="I71" s="1222"/>
      <c r="J71" s="1222"/>
      <c r="K71" s="1223">
        <f t="shared" si="38"/>
        <v>0</v>
      </c>
      <c r="L71" s="1223">
        <f t="shared" si="39"/>
        <v>0</v>
      </c>
      <c r="M71" s="421"/>
      <c r="N71" s="1513" t="str">
        <f>N68</f>
        <v>The following two rows (for 18-64 and 65+) will be estimated by the proportions in the two yellows cells, which you can amend</v>
      </c>
      <c r="O71" s="1513"/>
      <c r="P71" s="1513"/>
      <c r="Q71" s="573" t="str">
        <f>Q68</f>
        <v>if your figures for ages 18-64 and 65+ are estimates, please briefly describe how, noting assumptions</v>
      </c>
      <c r="R71" s="327" t="str">
        <f t="shared" ref="R71" si="44">IF(ISERROR(S71),"",IF((S71="Error"),"add explanation",IF((S71="Warning"),"add explanation","")))</f>
        <v/>
      </c>
      <c r="S71" s="576" t="str">
        <f>IF(OR((K71&lt;&gt;(I71+J71)),(G71&lt;&gt;(E71+F71)),(L71&lt;&gt;(G71-K71))),"Error",IF(AM71="Warning","Warning",""))</f>
        <v/>
      </c>
      <c r="T71" s="577" t="str">
        <f>IF($S71="Error","A total column for "&amp;($C71)&amp;" does not match the sum of the components, please correct",IF($S71="Warning","This year's figure is over "&amp;AE71/1000&amp;" million and "&amp;(AD71*100)&amp;"% different to "&amp;TEXT(AF71,"#,###")&amp;" last year, please explain",""))</f>
        <v/>
      </c>
      <c r="AD71" s="609">
        <f>VLOOKUP("RO3"&amp;$B71,data_val_parameters,8,0)/100</f>
        <v>0.4</v>
      </c>
      <c r="AE71" s="1107">
        <f t="shared" si="25"/>
        <v>4000</v>
      </c>
      <c r="AF71" s="1108" t="e">
        <f t="shared" si="26"/>
        <v>#N/A</v>
      </c>
      <c r="AG71" s="1108" t="e">
        <f t="shared" ref="AG71" si="45">AF71+AE71</f>
        <v>#N/A</v>
      </c>
      <c r="AH71" s="1108" t="e">
        <f t="shared" ref="AH71" si="46">AF71-AE71</f>
        <v>#N/A</v>
      </c>
      <c r="AI71" s="1108" t="e">
        <f t="shared" ref="AI71" si="47">AF71+(AF71*AD71)</f>
        <v>#N/A</v>
      </c>
      <c r="AJ71" s="1108" t="e">
        <f t="shared" ref="AJ71" si="48">AF71-(AF71*AD71)</f>
        <v>#N/A</v>
      </c>
      <c r="AK71" s="685" t="e">
        <f>IF(OR(L71&lt;AH71,L71&gt;AG71),"Warning","")</f>
        <v>#N/A</v>
      </c>
      <c r="AL71" s="685" t="e">
        <f>IF(OR(L71&gt;(AI71),L71&lt;(AJ71)),"Warning","")</f>
        <v>#N/A</v>
      </c>
      <c r="AM71" s="609" t="str">
        <f>IF(OR(L71=0),"",IF(AND(AK71="Warning",AL71="Warning"),"Warning",""))</f>
        <v/>
      </c>
    </row>
    <row r="72" spans="1:40" ht="15.5" x14ac:dyDescent="0.35">
      <c r="A72" t="s">
        <v>917</v>
      </c>
      <c r="B72" s="428">
        <v>42</v>
      </c>
      <c r="C72" s="418" t="s">
        <v>912</v>
      </c>
      <c r="D72" s="92"/>
      <c r="E72" s="1274" t="str">
        <f>IFERROR((E$71*$N72/($N$72+$N$73)),"")</f>
        <v/>
      </c>
      <c r="F72" s="1274" t="str">
        <f>IFERROR((F$71*$N72/($N$72+$N$73)),"")</f>
        <v/>
      </c>
      <c r="G72" s="1223">
        <f>SUM(E72:F72)</f>
        <v>0</v>
      </c>
      <c r="H72" s="1276" t="str">
        <f>IFERROR((H$71*$N72/($N$72+$N$73)),"")</f>
        <v/>
      </c>
      <c r="I72" s="1274" t="str">
        <f t="shared" ref="I72:J72" si="49">IFERROR((I$71*$N72/($N$72+$N$73)),"")</f>
        <v/>
      </c>
      <c r="J72" s="1274" t="str">
        <f t="shared" si="49"/>
        <v/>
      </c>
      <c r="K72" s="1223">
        <f t="shared" si="38"/>
        <v>0</v>
      </c>
      <c r="L72" s="1223">
        <f t="shared" si="39"/>
        <v>0</v>
      </c>
      <c r="M72" s="40"/>
      <c r="N72" s="1277" t="e">
        <f>N69</f>
        <v>#DIV/0!</v>
      </c>
      <c r="O72" s="580" t="s">
        <v>912</v>
      </c>
      <c r="P72" s="581"/>
      <c r="Q72" s="1409"/>
      <c r="R72" s="1410"/>
      <c r="S72" s="1410"/>
      <c r="T72" s="1411"/>
    </row>
    <row r="73" spans="1:40" ht="15.5" x14ac:dyDescent="0.35">
      <c r="A73" t="s">
        <v>918</v>
      </c>
      <c r="B73" s="428">
        <v>43</v>
      </c>
      <c r="C73" s="418" t="s">
        <v>914</v>
      </c>
      <c r="D73" s="92"/>
      <c r="E73" s="1274" t="str">
        <f>IFERROR((E$71*$N73/($N$72+$N$73)),"")</f>
        <v/>
      </c>
      <c r="F73" s="1274" t="str">
        <f>IFERROR((F$71*$N73/($N$72+$N$73)),"")</f>
        <v/>
      </c>
      <c r="G73" s="1223">
        <f t="shared" si="41"/>
        <v>0</v>
      </c>
      <c r="H73" s="1276" t="str">
        <f>IFERROR((H$71*$N73/($N$72+$N$73)),"")</f>
        <v/>
      </c>
      <c r="I73" s="1274" t="str">
        <f>IFERROR((I$71*$N73/($N$72+$N$73)),"")</f>
        <v/>
      </c>
      <c r="J73" s="1274" t="str">
        <f>IFERROR((J$71*$N73/($N$72+$N$73)),"")</f>
        <v/>
      </c>
      <c r="K73" s="1223">
        <f t="shared" si="38"/>
        <v>0</v>
      </c>
      <c r="L73" s="1223">
        <f t="shared" si="39"/>
        <v>0</v>
      </c>
      <c r="M73" s="40"/>
      <c r="N73" s="1277" t="e">
        <f>N70</f>
        <v>#DIV/0!</v>
      </c>
      <c r="O73" s="582" t="s">
        <v>914</v>
      </c>
      <c r="P73" s="583"/>
      <c r="Q73" s="572"/>
      <c r="R73" s="574"/>
      <c r="S73" s="574"/>
      <c r="T73" s="575"/>
      <c r="AK73" s="609" t="str">
        <f>IF(OR(L73&lt;AH73,L73&gt;AG73),"Warning","")</f>
        <v/>
      </c>
      <c r="AL73" s="609" t="str">
        <f>IF(OR(L73&gt;(AI73),L73&lt;(AJ73)),"Warning","")</f>
        <v/>
      </c>
      <c r="AM73" s="609" t="str">
        <f>IF(OR(L73=0),"",IF(AND(AK73="Warning",AL73="Warning"),"Warning",""))</f>
        <v/>
      </c>
    </row>
    <row r="74" spans="1:40" ht="41.9" customHeight="1" x14ac:dyDescent="0.35">
      <c r="A74" t="s">
        <v>919</v>
      </c>
      <c r="B74" s="428">
        <v>54</v>
      </c>
      <c r="C74" s="1412" t="s">
        <v>920</v>
      </c>
      <c r="D74" s="92"/>
      <c r="E74" s="1222"/>
      <c r="F74" s="1222"/>
      <c r="G74" s="1223">
        <f t="shared" si="41"/>
        <v>0</v>
      </c>
      <c r="H74" s="1271"/>
      <c r="I74" s="1222"/>
      <c r="J74" s="1222"/>
      <c r="K74" s="1223">
        <f t="shared" si="38"/>
        <v>0</v>
      </c>
      <c r="L74" s="1223">
        <f t="shared" si="39"/>
        <v>0</v>
      </c>
      <c r="M74" s="421"/>
      <c r="N74" s="1513" t="str">
        <f>N68</f>
        <v>The following two rows (for 18-64 and 65+) will be estimated by the proportions in the two yellows cells, which you can amend</v>
      </c>
      <c r="O74" s="1513"/>
      <c r="P74" s="1513"/>
      <c r="Q74" s="573" t="str">
        <f>Q71</f>
        <v>if your figures for ages 18-64 and 65+ are estimates, please briefly describe how, noting assumptions</v>
      </c>
      <c r="R74" s="327" t="str">
        <f t="shared" ref="R74" si="50">IF(ISERROR(S74),"",IF((S74="Error"),"add explanation",IF((S74="Warning"),"add explanation","")))</f>
        <v/>
      </c>
      <c r="S74" s="576" t="str">
        <f>IF(OR((K74&lt;&gt;(I74+J74)),(G74&lt;&gt;(E74+F74)),(L74&lt;&gt;(G74-K74))),"Error",IF(AM74="Warning","Warning",""))</f>
        <v/>
      </c>
      <c r="T74" s="577" t="str">
        <f>IF($S74="Error","A total column for "&amp;($C74)&amp;" does not match the sum of the components, please correct",IF($S74="Warning","This year's figure is over "&amp;AE74/1000&amp;" million and "&amp;(AD74*100)&amp;"% different to "&amp;TEXT(AF74,"#,###")&amp;" last year, please explain",""))</f>
        <v/>
      </c>
      <c r="AD74" s="609">
        <f>VLOOKUP("RO3"&amp;$B74,data_val_parameters,8,0)/100</f>
        <v>0.55000000000000004</v>
      </c>
      <c r="AE74" s="609">
        <f t="shared" si="25"/>
        <v>10000</v>
      </c>
      <c r="AF74" s="636" t="e">
        <f t="shared" si="26"/>
        <v>#N/A</v>
      </c>
      <c r="AG74" s="636" t="e">
        <f t="shared" ref="AG74" si="51">AF74+AE74</f>
        <v>#N/A</v>
      </c>
      <c r="AH74" s="636" t="e">
        <f t="shared" ref="AH74" si="52">AF74-AE74</f>
        <v>#N/A</v>
      </c>
      <c r="AI74" s="636" t="e">
        <f t="shared" ref="AI74" si="53">AF74+(AF74*AD74)</f>
        <v>#N/A</v>
      </c>
      <c r="AJ74" s="636" t="e">
        <f t="shared" ref="AJ74" si="54">AF74-(AF74*AD74)</f>
        <v>#N/A</v>
      </c>
      <c r="AK74" s="609" t="e">
        <f>IF(OR(L74&lt;AH74,L74&gt;AG74),"Warning","")</f>
        <v>#N/A</v>
      </c>
      <c r="AL74" s="609" t="e">
        <f>IF(OR(L74&gt;(AI74),L74&lt;(AJ74)),"Warning","")</f>
        <v>#N/A</v>
      </c>
      <c r="AM74" s="609" t="str">
        <f>IF(OR(L74=0),"",IF(AND(AK74="Warning",AL74="Warning"),"Warning",""))</f>
        <v/>
      </c>
    </row>
    <row r="75" spans="1:40" ht="15.5" x14ac:dyDescent="0.35">
      <c r="A75" t="s">
        <v>921</v>
      </c>
      <c r="B75" s="428">
        <v>46</v>
      </c>
      <c r="C75" s="418" t="s">
        <v>912</v>
      </c>
      <c r="D75" s="92"/>
      <c r="E75" s="1274" t="str">
        <f>IFERROR((E$74*$N75/($N$75+$N$76)),"")</f>
        <v/>
      </c>
      <c r="F75" s="1274" t="str">
        <f>IFERROR((F$74*$N75/($N$75+$N$76)),"")</f>
        <v/>
      </c>
      <c r="G75" s="1223">
        <f t="shared" si="41"/>
        <v>0</v>
      </c>
      <c r="H75" s="1276" t="str">
        <f t="shared" ref="H75:J76" si="55">IFERROR((H$74*$N75/($N$75+$N$76)),"")</f>
        <v/>
      </c>
      <c r="I75" s="1274" t="str">
        <f t="shared" si="55"/>
        <v/>
      </c>
      <c r="J75" s="1274" t="str">
        <f t="shared" si="55"/>
        <v/>
      </c>
      <c r="K75" s="1223">
        <f t="shared" si="38"/>
        <v>0</v>
      </c>
      <c r="L75" s="1223">
        <f>G75-K75</f>
        <v>0</v>
      </c>
      <c r="M75" s="40"/>
      <c r="N75" s="1277" t="e">
        <f>N69</f>
        <v>#DIV/0!</v>
      </c>
      <c r="O75" s="580" t="s">
        <v>912</v>
      </c>
      <c r="P75" s="581"/>
      <c r="Q75" s="1409"/>
      <c r="R75" s="1410"/>
      <c r="S75" s="1410"/>
      <c r="T75" s="1411"/>
    </row>
    <row r="76" spans="1:40" ht="15.5" x14ac:dyDescent="0.35">
      <c r="A76" t="s">
        <v>922</v>
      </c>
      <c r="B76" s="428">
        <v>47</v>
      </c>
      <c r="C76" s="418" t="s">
        <v>914</v>
      </c>
      <c r="D76" s="92"/>
      <c r="E76" s="1274" t="str">
        <f>IFERROR((E$74*$N76/($N$75+$N$76)),"")</f>
        <v/>
      </c>
      <c r="F76" s="1274" t="str">
        <f>IFERROR((F$74*$N76/($N$75+$N$76)),"")</f>
        <v/>
      </c>
      <c r="G76" s="1223">
        <f>SUM(E76:F76)</f>
        <v>0</v>
      </c>
      <c r="H76" s="1276" t="str">
        <f t="shared" si="55"/>
        <v/>
      </c>
      <c r="I76" s="1274" t="str">
        <f t="shared" si="55"/>
        <v/>
      </c>
      <c r="J76" s="1274" t="str">
        <f t="shared" si="55"/>
        <v/>
      </c>
      <c r="K76" s="1223">
        <f t="shared" si="38"/>
        <v>0</v>
      </c>
      <c r="L76" s="1223">
        <f t="shared" si="39"/>
        <v>0</v>
      </c>
      <c r="M76" s="40"/>
      <c r="N76" s="1277" t="e">
        <f>N70</f>
        <v>#DIV/0!</v>
      </c>
      <c r="O76" s="582" t="s">
        <v>914</v>
      </c>
      <c r="P76" s="583"/>
      <c r="Q76" s="572"/>
      <c r="R76" s="574"/>
      <c r="S76" s="574"/>
      <c r="T76" s="575"/>
    </row>
    <row r="77" spans="1:40" ht="44.15" customHeight="1" x14ac:dyDescent="0.35">
      <c r="A77" t="s">
        <v>923</v>
      </c>
      <c r="B77" s="428">
        <v>55</v>
      </c>
      <c r="C77" s="1408" t="s">
        <v>924</v>
      </c>
      <c r="D77" s="92"/>
      <c r="E77" s="1222"/>
      <c r="F77" s="1222"/>
      <c r="G77" s="1223">
        <f>SUM(E77:F77)</f>
        <v>0</v>
      </c>
      <c r="H77" s="1271"/>
      <c r="I77" s="1222"/>
      <c r="J77" s="1222"/>
      <c r="K77" s="1223">
        <f t="shared" si="38"/>
        <v>0</v>
      </c>
      <c r="L77" s="1223">
        <f t="shared" si="39"/>
        <v>0</v>
      </c>
      <c r="M77" s="421"/>
      <c r="N77" s="1513" t="str">
        <f>N68</f>
        <v>The following two rows (for 18-64 and 65+) will be estimated by the proportions in the two yellows cells, which you can amend</v>
      </c>
      <c r="O77" s="1513"/>
      <c r="P77" s="1513"/>
      <c r="Q77" s="573" t="str">
        <f>Q74</f>
        <v>if your figures for ages 18-64 and 65+ are estimates, please briefly describe how, noting assumptions</v>
      </c>
      <c r="R77" s="327" t="str">
        <f t="shared" ref="R77" si="56">IF(ISERROR(S77),"",IF((S77="Error"),"add explanation",IF((S77="Warning"),"add explanation","")))</f>
        <v/>
      </c>
      <c r="S77" s="578" t="str">
        <f>IF(OR((K77&lt;&gt;(I77+J77)),(G77&lt;&gt;(E77+F77)),(L77&lt;&gt;(G77-K77))),"Error",IF(AM77="Warning","Warning",""))</f>
        <v/>
      </c>
      <c r="T77" s="579" t="str">
        <f>IF($S77="Error","A total column for "&amp;($C77)&amp;" does not match the sum of the components, please correct",IF($S77="Warning","This year's figure is over "&amp;AE77/1000&amp;" million and "&amp;(AD77*100)&amp;"% different to "&amp;TEXT(AF77,"#,###")&amp;" last year, please explain",""))</f>
        <v/>
      </c>
      <c r="U77" s="98"/>
      <c r="AD77" s="609">
        <f>VLOOKUP("RO3"&amp;$B77,data_val_parameters,8,0)/100</f>
        <v>0.4</v>
      </c>
      <c r="AE77" s="609">
        <f t="shared" si="25"/>
        <v>4000</v>
      </c>
      <c r="AF77" s="636" t="e">
        <f t="shared" si="26"/>
        <v>#N/A</v>
      </c>
      <c r="AG77" s="636" t="e">
        <f t="shared" ref="AG77" si="57">AF77+AE77</f>
        <v>#N/A</v>
      </c>
      <c r="AH77" s="636" t="e">
        <f t="shared" ref="AH77" si="58">AF77-AE77</f>
        <v>#N/A</v>
      </c>
      <c r="AI77" s="636" t="e">
        <f t="shared" ref="AI77" si="59">AF77+(AF77*AD77)</f>
        <v>#N/A</v>
      </c>
      <c r="AJ77" s="636" t="e">
        <f t="shared" ref="AJ77" si="60">AF77-(AF77*AD77)</f>
        <v>#N/A</v>
      </c>
      <c r="AK77" s="609" t="e">
        <f>IF(OR(L77&lt;AH77,L77&gt;AG77),"Warning","")</f>
        <v>#N/A</v>
      </c>
      <c r="AL77" s="609" t="e">
        <f>IF(OR(L77&gt;(AI77),L77&lt;(AJ77)),"Warning","")</f>
        <v>#N/A</v>
      </c>
      <c r="AM77" s="609" t="str">
        <f>IF(OR(L77=0),"",IF(AND(AK77="Warning",AL77="Warning"),"Warning",""))</f>
        <v/>
      </c>
    </row>
    <row r="78" spans="1:40" ht="15.5" x14ac:dyDescent="0.35">
      <c r="A78" t="s">
        <v>925</v>
      </c>
      <c r="B78" s="428">
        <v>52</v>
      </c>
      <c r="C78" s="418" t="s">
        <v>912</v>
      </c>
      <c r="D78" s="92"/>
      <c r="E78" s="1274" t="str">
        <f>IFERROR((E$77*$N78/($N$78+$N$79)),"")</f>
        <v/>
      </c>
      <c r="F78" s="1274" t="str">
        <f>IFERROR((F$77*$N78/($N$78+$N$79)),"")</f>
        <v/>
      </c>
      <c r="G78" s="1223">
        <f t="shared" si="41"/>
        <v>0</v>
      </c>
      <c r="H78" s="1276" t="str">
        <f t="shared" ref="H78:J79" si="61">IFERROR((H$77*$N78/($N$78+$N$79)),"")</f>
        <v/>
      </c>
      <c r="I78" s="1274" t="str">
        <f t="shared" si="61"/>
        <v/>
      </c>
      <c r="J78" s="1274" t="str">
        <f t="shared" si="61"/>
        <v/>
      </c>
      <c r="K78" s="1223">
        <f t="shared" si="38"/>
        <v>0</v>
      </c>
      <c r="L78" s="1223">
        <f t="shared" si="39"/>
        <v>0</v>
      </c>
      <c r="M78" s="40"/>
      <c r="N78" s="1277" t="e">
        <f>N69</f>
        <v>#DIV/0!</v>
      </c>
      <c r="O78" s="580" t="s">
        <v>912</v>
      </c>
      <c r="P78" s="581"/>
      <c r="Q78" s="1409"/>
      <c r="R78" s="1410"/>
      <c r="S78" s="1410"/>
      <c r="T78" s="1411"/>
      <c r="U78" s="98"/>
    </row>
    <row r="79" spans="1:40" ht="15.5" x14ac:dyDescent="0.35">
      <c r="A79" t="s">
        <v>926</v>
      </c>
      <c r="B79" s="428">
        <v>57</v>
      </c>
      <c r="C79" s="418" t="s">
        <v>914</v>
      </c>
      <c r="D79" s="92"/>
      <c r="E79" s="1274" t="str">
        <f>IFERROR((E$77*$N79/($N$78+$N$79)),"")</f>
        <v/>
      </c>
      <c r="F79" s="1274" t="str">
        <f>IFERROR((F$77*$N79/($N$78+$N$79)),"")</f>
        <v/>
      </c>
      <c r="G79" s="1223">
        <f>SUM(E79:F79)</f>
        <v>0</v>
      </c>
      <c r="H79" s="1276" t="str">
        <f t="shared" si="61"/>
        <v/>
      </c>
      <c r="I79" s="1274" t="str">
        <f t="shared" si="61"/>
        <v/>
      </c>
      <c r="J79" s="1274" t="str">
        <f t="shared" si="61"/>
        <v/>
      </c>
      <c r="K79" s="1223">
        <f t="shared" si="38"/>
        <v>0</v>
      </c>
      <c r="L79" s="1223">
        <f t="shared" si="39"/>
        <v>0</v>
      </c>
      <c r="M79" s="40"/>
      <c r="N79" s="1277" t="e">
        <f>N70</f>
        <v>#DIV/0!</v>
      </c>
      <c r="O79" s="582" t="s">
        <v>914</v>
      </c>
      <c r="P79" s="583"/>
      <c r="Q79" s="572"/>
      <c r="R79" s="574"/>
      <c r="S79" s="574"/>
      <c r="T79" s="575"/>
      <c r="U79" s="98"/>
    </row>
    <row r="80" spans="1:40" ht="40.4" customHeight="1" x14ac:dyDescent="0.35">
      <c r="A80" t="s">
        <v>927</v>
      </c>
      <c r="B80" s="428">
        <v>56</v>
      </c>
      <c r="C80" s="1412" t="s">
        <v>928</v>
      </c>
      <c r="D80" s="92"/>
      <c r="E80" s="1222"/>
      <c r="F80" s="1222"/>
      <c r="G80" s="1223">
        <f t="shared" si="41"/>
        <v>0</v>
      </c>
      <c r="H80" s="1271"/>
      <c r="I80" s="1222"/>
      <c r="J80" s="1222"/>
      <c r="K80" s="1223">
        <f t="shared" si="38"/>
        <v>0</v>
      </c>
      <c r="L80" s="1223">
        <f t="shared" si="39"/>
        <v>0</v>
      </c>
      <c r="M80" s="421"/>
      <c r="N80" s="1513" t="str">
        <f>N68</f>
        <v>The following two rows (for 18-64 and 65+) will be estimated by the proportions in the two yellows cells, which you can amend</v>
      </c>
      <c r="O80" s="1513"/>
      <c r="P80" s="1513"/>
      <c r="Q80" s="573" t="str">
        <f>Q77</f>
        <v>if your figures for ages 18-64 and 65+ are estimates, please briefly describe how, noting assumptions</v>
      </c>
      <c r="R80" s="327" t="str">
        <f t="shared" ref="R80" si="62">IF(ISERROR(S80),"",IF((S80="Error"),"add explanation",IF((S80="Warning"),"add explanation","")))</f>
        <v/>
      </c>
      <c r="S80" s="578" t="str">
        <f>IF(OR((K80&lt;&gt;(I80+J80)),(G80&lt;&gt;(E80+F80)),(L80&lt;&gt;(G80-K80))),"Error",IF(AM80="Warning","Warning",""))</f>
        <v/>
      </c>
      <c r="T80" s="579" t="str">
        <f>IF($S80="Error","A total column for "&amp;($C80)&amp;" does not match the sum of the components, please correct",IF($S80="Warning","This year's figure is over "&amp;AE80/1000&amp;" million and "&amp;(AD80*100)&amp;"% different to "&amp;TEXT(AF80,"#,###")&amp;" last year, please explain",""))</f>
        <v/>
      </c>
      <c r="U80" s="98"/>
      <c r="AD80" s="609">
        <f>VLOOKUP("RO3"&amp;$B80,data_val_parameters,8,0)/100</f>
        <v>0.55000000000000004</v>
      </c>
      <c r="AE80" s="609">
        <f t="shared" si="25"/>
        <v>10000</v>
      </c>
      <c r="AF80" s="636" t="e">
        <f t="shared" si="26"/>
        <v>#N/A</v>
      </c>
      <c r="AG80" s="636" t="e">
        <f t="shared" ref="AG80" si="63">AF80+AE80</f>
        <v>#N/A</v>
      </c>
      <c r="AH80" s="636" t="e">
        <f t="shared" ref="AH80" si="64">AF80-AE80</f>
        <v>#N/A</v>
      </c>
      <c r="AI80" s="636" t="e">
        <f t="shared" ref="AI80" si="65">AF80+(AF80*AD80)</f>
        <v>#N/A</v>
      </c>
      <c r="AJ80" s="636" t="e">
        <f t="shared" ref="AJ80" si="66">AF80-(AF80*AD80)</f>
        <v>#N/A</v>
      </c>
      <c r="AK80" s="609" t="e">
        <f>IF(OR(L80&lt;AH80,L80&gt;AG80),"Warning","")</f>
        <v>#N/A</v>
      </c>
      <c r="AL80" s="609" t="e">
        <f>IF(OR(L80&gt;(AI80),L80&lt;(AJ80)),"Warning","")</f>
        <v>#N/A</v>
      </c>
      <c r="AM80" s="609" t="str">
        <f>IF(OR(L80=0),"",IF(AND(AK80="Warning",AL80="Warning"),"Warning",""))</f>
        <v/>
      </c>
    </row>
    <row r="81" spans="1:30" ht="15.5" x14ac:dyDescent="0.35">
      <c r="A81" t="s">
        <v>929</v>
      </c>
      <c r="B81" s="428">
        <v>58</v>
      </c>
      <c r="C81" s="427" t="s">
        <v>930</v>
      </c>
      <c r="D81" s="92"/>
      <c r="E81" s="1274" t="str">
        <f>IFERROR((E$80*$N81/($N$81+$N$82)),"")</f>
        <v/>
      </c>
      <c r="F81" s="1274" t="str">
        <f>IFERROR((F$80*$N81/($N$81+$N$82)),"")</f>
        <v/>
      </c>
      <c r="G81" s="1223">
        <f t="shared" si="41"/>
        <v>0</v>
      </c>
      <c r="H81" s="1276" t="str">
        <f t="shared" ref="H81:J82" si="67">IFERROR((H$80*$N81/($N$81+$N$82)),"")</f>
        <v/>
      </c>
      <c r="I81" s="1274" t="str">
        <f t="shared" si="67"/>
        <v/>
      </c>
      <c r="J81" s="1274" t="str">
        <f t="shared" si="67"/>
        <v/>
      </c>
      <c r="K81" s="1223">
        <f t="shared" si="38"/>
        <v>0</v>
      </c>
      <c r="L81" s="1223">
        <f t="shared" si="39"/>
        <v>0</v>
      </c>
      <c r="M81" s="40"/>
      <c r="N81" s="1277" t="e">
        <f>N69</f>
        <v>#DIV/0!</v>
      </c>
      <c r="O81" s="580" t="s">
        <v>912</v>
      </c>
      <c r="P81" s="581"/>
      <c r="Q81" s="1409"/>
      <c r="R81" s="1410"/>
      <c r="S81" s="1410"/>
      <c r="T81" s="1411"/>
      <c r="U81" s="98"/>
    </row>
    <row r="82" spans="1:30" ht="15.5" x14ac:dyDescent="0.35">
      <c r="A82" t="s">
        <v>931</v>
      </c>
      <c r="B82" s="428">
        <v>59</v>
      </c>
      <c r="C82" s="427" t="s">
        <v>932</v>
      </c>
      <c r="D82" s="92"/>
      <c r="E82" s="1274" t="str">
        <f>IFERROR((E$80*$N82/($N$81+$N$82)),"")</f>
        <v/>
      </c>
      <c r="F82" s="1274" t="str">
        <f>IFERROR((F$80*$N82/($N$81+$N$82)),"")</f>
        <v/>
      </c>
      <c r="G82" s="1223">
        <f t="shared" si="41"/>
        <v>0</v>
      </c>
      <c r="H82" s="1276" t="str">
        <f t="shared" si="67"/>
        <v/>
      </c>
      <c r="I82" s="1274" t="str">
        <f t="shared" si="67"/>
        <v/>
      </c>
      <c r="J82" s="1274" t="str">
        <f t="shared" si="67"/>
        <v/>
      </c>
      <c r="K82" s="1223">
        <f t="shared" si="38"/>
        <v>0</v>
      </c>
      <c r="L82" s="1223">
        <f>G82-K82</f>
        <v>0</v>
      </c>
      <c r="M82" s="40"/>
      <c r="N82" s="1277" t="e">
        <f>N70</f>
        <v>#DIV/0!</v>
      </c>
      <c r="O82" s="582" t="s">
        <v>914</v>
      </c>
      <c r="P82" s="583"/>
      <c r="Q82" s="572"/>
      <c r="R82" s="574"/>
      <c r="S82" s="574"/>
      <c r="T82" s="575"/>
      <c r="U82" s="98"/>
    </row>
    <row r="83" spans="1:30" ht="15.5" x14ac:dyDescent="0.35">
      <c r="B83" s="92" t="s">
        <v>253</v>
      </c>
      <c r="C83" s="431" t="s">
        <v>933</v>
      </c>
      <c r="D83" s="92"/>
      <c r="E83" s="1511" t="str">
        <f>IFERROR(IF(SUM(E84:L84)&gt;0,"ERROR: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3" s="1511"/>
      <c r="G83" s="1511"/>
      <c r="H83" s="1511"/>
      <c r="I83" s="1511"/>
      <c r="J83" s="1511"/>
      <c r="K83" s="1511"/>
      <c r="L83" s="1511"/>
      <c r="M83" s="40"/>
      <c r="N83" s="320"/>
      <c r="O83" s="318"/>
      <c r="P83" s="87"/>
      <c r="Q83" s="186"/>
    </row>
    <row r="84" spans="1:30" ht="14.5" hidden="1" customHeight="1" x14ac:dyDescent="0.35">
      <c r="B84" s="92"/>
      <c r="C84" s="431" t="s">
        <v>934</v>
      </c>
      <c r="D84" s="92"/>
      <c r="E84" s="460" t="e">
        <f>IF(ROUND((E68+E71+E74+E77+E80-E69-E70-E72-E73-E75-E76-E78-E79-E81-E82),0)&lt;&gt;0,1,0)</f>
        <v>#VALUE!</v>
      </c>
      <c r="F84" s="460" t="e">
        <f t="shared" ref="F84:L84" si="68">IF(ROUND((F68+F71+F74+F77+F80-F69-F70-F72-F73-F75-F76-F78-F79-F81-F82),0)&lt;&gt;0,1,0)</f>
        <v>#VALUE!</v>
      </c>
      <c r="G84" s="460">
        <f t="shared" si="68"/>
        <v>0</v>
      </c>
      <c r="H84" s="460"/>
      <c r="I84" s="460" t="e">
        <f t="shared" si="68"/>
        <v>#VALUE!</v>
      </c>
      <c r="J84" s="460" t="e">
        <f t="shared" si="68"/>
        <v>#VALUE!</v>
      </c>
      <c r="K84" s="460">
        <f t="shared" si="68"/>
        <v>0</v>
      </c>
      <c r="L84" s="460">
        <f t="shared" si="68"/>
        <v>0</v>
      </c>
      <c r="M84" s="40"/>
      <c r="N84" s="320"/>
      <c r="O84" s="318"/>
      <c r="P84" s="87"/>
      <c r="Q84" s="186"/>
      <c r="AD84" s="609" t="e">
        <f>VLOOKUP("RO3"&amp;$B84,data_val_parameters,8,0)/100</f>
        <v>#N/A</v>
      </c>
    </row>
    <row r="85" spans="1:30" ht="15.5" x14ac:dyDescent="0.35">
      <c r="A85" t="s">
        <v>935</v>
      </c>
      <c r="B85" s="153">
        <v>60</v>
      </c>
      <c r="C85" s="153" t="s">
        <v>936</v>
      </c>
      <c r="D85" s="92"/>
      <c r="E85" s="1223">
        <f t="shared" ref="E85:L85" si="69">SUM(E55:E68,E71,E74,E77,E80)</f>
        <v>0</v>
      </c>
      <c r="F85" s="1296">
        <f t="shared" si="69"/>
        <v>0</v>
      </c>
      <c r="G85" s="1223">
        <f t="shared" si="69"/>
        <v>0</v>
      </c>
      <c r="H85" s="712">
        <f t="shared" si="69"/>
        <v>0</v>
      </c>
      <c r="I85" s="1223">
        <f t="shared" si="69"/>
        <v>0</v>
      </c>
      <c r="J85" s="1223">
        <f t="shared" si="69"/>
        <v>0</v>
      </c>
      <c r="K85" s="1223">
        <f t="shared" si="69"/>
        <v>0</v>
      </c>
      <c r="L85" s="712">
        <f t="shared" si="69"/>
        <v>0</v>
      </c>
      <c r="M85" s="40"/>
      <c r="N85" s="468" t="str">
        <f>IF(ISERROR(O85),"",IF((O85="Error"),"add explanation",IF((O85="Warning"),"add explanation","")))</f>
        <v/>
      </c>
      <c r="O85" s="256" t="str">
        <f>IF(OR((K85&lt;&gt;(I85+J85)),(G85&lt;&gt;(E85+F85)),(L85&lt;&gt;(G85-K85))),"Error",IF(AM85="Warning","Warning",""))</f>
        <v/>
      </c>
      <c r="P85" s="87"/>
      <c r="Q85" s="98" t="str">
        <f>IF($O85="Error","A total column for "&amp;($C85)&amp;" does not match the sum of the components, please correct",IF($O85="Warning","This year's figure is over "&amp;AE85/1000&amp;" million and "&amp;(AD85*100)&amp;"% different to "&amp;TEXT(AF85,"#,###")&amp;" last year, please explain",""))</f>
        <v/>
      </c>
      <c r="AD85" s="609">
        <f>VLOOKUP("RO3"&amp;$B85,data_val_parameters,8,0)/100</f>
        <v>0.55000000000000004</v>
      </c>
    </row>
    <row r="86" spans="1:30" ht="42" x14ac:dyDescent="0.35">
      <c r="B86" s="87"/>
      <c r="C86" s="186"/>
      <c r="D86" s="186"/>
      <c r="E86" s="24"/>
      <c r="F86" s="1403"/>
      <c r="G86" s="36"/>
      <c r="H86" s="1212" t="s">
        <v>742</v>
      </c>
      <c r="I86" s="24"/>
      <c r="J86" s="24"/>
      <c r="K86" s="82"/>
      <c r="L86" s="1212" t="s">
        <v>743</v>
      </c>
      <c r="M86" s="40"/>
      <c r="N86" s="320"/>
      <c r="O86" s="318"/>
      <c r="P86" s="87"/>
      <c r="Q86" s="251"/>
    </row>
    <row r="87" spans="1:30" ht="46.5" x14ac:dyDescent="0.35">
      <c r="B87" s="87"/>
      <c r="C87" s="186"/>
      <c r="D87" s="186"/>
      <c r="E87" s="24"/>
      <c r="F87" s="443" t="s">
        <v>744</v>
      </c>
      <c r="G87" s="36"/>
      <c r="H87" s="1199" t="str" cm="1">
        <f t="array" ref="H87">IF(SUMPRODUCT(--(H55:H85 &gt; G55:G85)),"Error","")</f>
        <v>Error</v>
      </c>
      <c r="I87" s="24" t="str">
        <f>IF(H87="Error","A figure in the central MSS column is greater than total expenditure for that line","")</f>
        <v>A figure in the central MSS column is greater than total expenditure for that line</v>
      </c>
      <c r="J87" s="36"/>
      <c r="K87" s="36"/>
      <c r="L87" s="244"/>
      <c r="M87" s="40"/>
      <c r="N87" s="320"/>
      <c r="O87" s="318"/>
      <c r="P87" s="87"/>
      <c r="Q87" s="251"/>
    </row>
    <row r="88" spans="1:30" ht="15.5" x14ac:dyDescent="0.35">
      <c r="A88" s="280"/>
      <c r="B88" s="251"/>
      <c r="C88" s="251"/>
      <c r="D88" s="87"/>
      <c r="E88" s="24"/>
      <c r="F88" s="271" t="s">
        <v>745</v>
      </c>
      <c r="G88" s="36"/>
      <c r="I88" s="36"/>
      <c r="J88" s="36"/>
      <c r="K88" s="36"/>
      <c r="L88" s="244"/>
      <c r="M88" s="40"/>
      <c r="N88" s="320"/>
      <c r="O88" s="318"/>
      <c r="P88" s="87"/>
      <c r="Q88" s="251"/>
    </row>
    <row r="89" spans="1:30" ht="15.5" x14ac:dyDescent="0.35">
      <c r="A89" s="280" t="s">
        <v>937</v>
      </c>
      <c r="B89" s="1023">
        <v>601</v>
      </c>
      <c r="C89" s="1023" t="s">
        <v>938</v>
      </c>
      <c r="D89" s="87"/>
      <c r="E89" s="87"/>
      <c r="F89" s="1270"/>
      <c r="G89" s="36"/>
      <c r="I89" s="36"/>
      <c r="J89" s="36"/>
      <c r="K89" s="36"/>
      <c r="L89" s="244"/>
      <c r="M89" s="40"/>
      <c r="N89" s="320"/>
      <c r="O89" s="318"/>
      <c r="P89" s="87"/>
      <c r="Q89" s="251"/>
    </row>
    <row r="90" spans="1:30" ht="15.5" x14ac:dyDescent="0.35">
      <c r="A90" s="280"/>
      <c r="B90" s="1023"/>
      <c r="C90" s="1023"/>
      <c r="D90" s="87"/>
      <c r="E90" s="87"/>
      <c r="F90" s="1206"/>
      <c r="G90" s="36"/>
      <c r="H90" s="1206"/>
      <c r="I90" s="36"/>
      <c r="J90" s="443"/>
      <c r="K90" s="36"/>
      <c r="L90" s="244"/>
      <c r="M90" s="40"/>
      <c r="N90" s="320"/>
      <c r="O90" s="318"/>
      <c r="P90" s="87"/>
      <c r="Q90" s="251"/>
    </row>
    <row r="91" spans="1:30" ht="15.5" x14ac:dyDescent="0.35">
      <c r="A91" s="280"/>
      <c r="B91" s="1023"/>
      <c r="C91" s="1023"/>
      <c r="D91" s="87"/>
      <c r="E91" s="87"/>
      <c r="F91" s="1206"/>
      <c r="G91" s="36"/>
      <c r="H91" s="1206"/>
      <c r="I91" s="36"/>
      <c r="J91" s="271"/>
      <c r="K91" s="36"/>
      <c r="L91" s="244"/>
      <c r="M91" s="40"/>
      <c r="N91" s="320"/>
      <c r="O91" s="318"/>
      <c r="P91" s="87"/>
      <c r="Q91" s="251"/>
    </row>
    <row r="92" spans="1:30" ht="15.5" x14ac:dyDescent="0.35">
      <c r="A92" s="280" t="s">
        <v>939</v>
      </c>
      <c r="B92" s="1023">
        <v>602</v>
      </c>
      <c r="C92" s="1023" t="s">
        <v>940</v>
      </c>
      <c r="D92" s="87"/>
      <c r="E92" s="87"/>
      <c r="F92" s="1206"/>
      <c r="G92" s="36"/>
      <c r="H92" s="1206"/>
      <c r="I92" s="36"/>
      <c r="J92" s="1270"/>
      <c r="K92" s="1213" t="s">
        <v>750</v>
      </c>
      <c r="L92" s="244"/>
      <c r="M92" s="40"/>
      <c r="N92" s="320"/>
      <c r="O92" s="318"/>
      <c r="P92" s="87"/>
      <c r="Q92" s="251"/>
    </row>
    <row r="93" spans="1:30" ht="15.5" x14ac:dyDescent="0.35">
      <c r="A93" s="280"/>
      <c r="B93" s="1023"/>
      <c r="C93" s="1023"/>
      <c r="D93" s="87"/>
      <c r="E93" s="87"/>
      <c r="F93" s="1206"/>
      <c r="G93" s="36"/>
      <c r="H93" s="36"/>
      <c r="I93" s="36"/>
      <c r="J93" s="36"/>
      <c r="K93" s="36"/>
      <c r="L93" s="244"/>
      <c r="M93" s="40"/>
      <c r="N93" s="320"/>
      <c r="O93" s="318"/>
      <c r="P93" s="87"/>
      <c r="Q93" s="251"/>
    </row>
    <row r="94" spans="1:30" ht="15.5" x14ac:dyDescent="0.35">
      <c r="A94" s="280" t="s">
        <v>941</v>
      </c>
      <c r="B94" s="1023">
        <v>603</v>
      </c>
      <c r="C94" s="1023" t="s">
        <v>942</v>
      </c>
      <c r="D94" s="87"/>
      <c r="E94" s="87"/>
      <c r="F94" s="1206"/>
      <c r="G94" s="36"/>
      <c r="H94" s="36"/>
      <c r="I94" s="36"/>
      <c r="J94" s="1220"/>
      <c r="K94" s="36"/>
      <c r="L94" s="244"/>
      <c r="M94" s="40"/>
      <c r="N94" s="320"/>
      <c r="O94" s="318"/>
      <c r="P94" s="87"/>
      <c r="Q94" s="251"/>
    </row>
    <row r="95" spans="1:30" ht="15.5" x14ac:dyDescent="0.35">
      <c r="A95" s="280" t="s">
        <v>943</v>
      </c>
      <c r="B95" s="1023">
        <v>604</v>
      </c>
      <c r="C95" s="1023" t="s">
        <v>944</v>
      </c>
      <c r="D95" s="87"/>
      <c r="E95" s="87"/>
      <c r="F95" s="1206"/>
      <c r="G95" s="36"/>
      <c r="H95" s="36"/>
      <c r="I95" s="36"/>
      <c r="J95" s="1220"/>
      <c r="K95" s="36"/>
      <c r="L95" s="244"/>
      <c r="M95" s="40"/>
      <c r="N95" s="320"/>
      <c r="O95" s="318"/>
      <c r="P95" s="87"/>
      <c r="Q95" s="251"/>
    </row>
    <row r="96" spans="1:30" ht="15.5" x14ac:dyDescent="0.35">
      <c r="B96" s="153"/>
      <c r="C96" s="92"/>
      <c r="D96" s="92"/>
      <c r="E96" s="36"/>
      <c r="F96" s="36"/>
      <c r="G96" s="36"/>
      <c r="J96" s="36"/>
      <c r="K96" s="36"/>
      <c r="L96" s="244"/>
      <c r="M96" s="40"/>
      <c r="N96" s="320"/>
      <c r="O96" s="318"/>
      <c r="P96" s="87"/>
      <c r="Q96" s="251"/>
    </row>
    <row r="97" spans="1:39" ht="18" x14ac:dyDescent="0.4">
      <c r="B97" s="21" t="s">
        <v>87</v>
      </c>
      <c r="C97" s="92"/>
      <c r="D97" s="92"/>
      <c r="E97" s="250"/>
      <c r="F97" s="250"/>
      <c r="G97" s="69"/>
      <c r="H97" s="69"/>
      <c r="I97" s="250"/>
      <c r="J97" s="250"/>
      <c r="K97" s="69"/>
      <c r="L97" s="69"/>
      <c r="M97" s="87"/>
      <c r="N97" s="320"/>
      <c r="O97" s="318"/>
      <c r="P97" s="87"/>
      <c r="Q97" s="87"/>
    </row>
    <row r="98" spans="1:39" ht="15.5" x14ac:dyDescent="0.35">
      <c r="A98" t="s">
        <v>945</v>
      </c>
      <c r="B98" s="252">
        <v>61</v>
      </c>
      <c r="C98" s="92" t="s">
        <v>946</v>
      </c>
      <c r="D98" s="92"/>
      <c r="E98" s="1222"/>
      <c r="F98" s="1222"/>
      <c r="G98" s="1223">
        <f t="shared" ref="G98:G119" si="70">SUM(E98:F98)</f>
        <v>0</v>
      </c>
      <c r="H98" s="1271"/>
      <c r="I98" s="1222"/>
      <c r="J98" s="1222"/>
      <c r="K98" s="1223">
        <f t="shared" ref="K98:K119" si="71">SUM(I98:J98)</f>
        <v>0</v>
      </c>
      <c r="L98" s="1223">
        <f t="shared" ref="L98:L119" si="72">G98-K98</f>
        <v>0</v>
      </c>
      <c r="M98" s="87"/>
      <c r="N98" s="1178" t="str">
        <f>IF(ISERROR(O98),"",IF((O98="Error"),"add explanation",IF((O98="Warning"),"add explanation",IF((AM98="Warning"),"add explanation",""))))</f>
        <v/>
      </c>
      <c r="O98" s="256" t="e">
        <f>IF(L98&lt;&gt;(G98-K98),"Error",IF((VLOOKUP(LA_code,'LA List'!C3:M416,11,0))=1,IF(OR(L98=0,L98&lt;0),"Warning",""),""))</f>
        <v>#N/A</v>
      </c>
      <c r="P98" s="87"/>
      <c r="Q98" s="1164" t="e">
        <f>IF(L98&lt;&gt;(G98-K98),"Net Current Expenditure for "&amp;($C98)&amp;" here does not match Total Income - Total Expenditure, please correct",IF((VLOOKUP(LA_code,'LA List'!C3:M416,11,0))=1,IF(OR(L98=0,L98&lt;0),"A positive figure for Net Current Expenditure is expected on this prescribed function, please amend",""),""))</f>
        <v>#N/A</v>
      </c>
      <c r="R98" s="445" t="str">
        <f>IF($AM98="Warning","This year's figure is over "&amp;AE98/1000&amp;" million and "&amp;(AD98*100)&amp;"% different to "&amp;TEXT(AF98,"#,###")&amp;" last year, please explain","")</f>
        <v/>
      </c>
      <c r="AD98" s="609">
        <f t="shared" ref="AD98:AD110" si="73">VLOOKUP("RO3"&amp;$B98,data_val_parameters,8,0)/100</f>
        <v>0.4</v>
      </c>
      <c r="AE98" s="609">
        <f t="shared" ref="AE98:AE119" si="74">VLOOKUP("RO3"&amp;$B98,data_val_parameters,7,0)</f>
        <v>3000</v>
      </c>
      <c r="AF98" s="636" t="e">
        <f t="shared" ref="AF98:AF119" si="75">VLOOKUP(LA_code,data_prev_year,MATCH("RO3"&amp;$B98&amp;"7",data_prev_year_headers,0),0)</f>
        <v>#N/A</v>
      </c>
      <c r="AG98" s="636" t="e">
        <f t="shared" ref="AG98" si="76">AF98+AE98</f>
        <v>#N/A</v>
      </c>
      <c r="AH98" s="636" t="e">
        <f t="shared" ref="AH98" si="77">AF98-AE98</f>
        <v>#N/A</v>
      </c>
      <c r="AI98" s="636" t="e">
        <f t="shared" ref="AI98" si="78">AF98+(AF98*AD98)</f>
        <v>#N/A</v>
      </c>
      <c r="AJ98" s="636" t="e">
        <f t="shared" ref="AJ98" si="79">AF98-(AF98*AD98)</f>
        <v>#N/A</v>
      </c>
      <c r="AK98" s="609" t="e">
        <f>IF(OR(L98&lt;AH98,L98&gt;AG98),"Warning","")</f>
        <v>#N/A</v>
      </c>
      <c r="AL98" s="609" t="e">
        <f>IF(OR(L98&gt;(AI98),L98&lt;(AJ98)),"Warning","")</f>
        <v>#N/A</v>
      </c>
      <c r="AM98" s="609" t="str">
        <f>IF(OR(L98=0),"",IF(AND(AK98="Warning",AL98="Warning"),"Warning",""))</f>
        <v/>
      </c>
    </row>
    <row r="99" spans="1:39" ht="15.5" x14ac:dyDescent="0.35">
      <c r="A99" t="s">
        <v>947</v>
      </c>
      <c r="B99" s="252">
        <v>62</v>
      </c>
      <c r="C99" s="92" t="s">
        <v>948</v>
      </c>
      <c r="D99" s="92"/>
      <c r="E99" s="1222"/>
      <c r="F99" s="1222"/>
      <c r="G99" s="1223">
        <f t="shared" si="70"/>
        <v>0</v>
      </c>
      <c r="H99" s="1271"/>
      <c r="I99" s="1222"/>
      <c r="J99" s="1222"/>
      <c r="K99" s="1223">
        <f t="shared" si="71"/>
        <v>0</v>
      </c>
      <c r="L99" s="1223">
        <f t="shared" si="72"/>
        <v>0</v>
      </c>
      <c r="M99" s="87"/>
      <c r="N99" s="1178" t="str">
        <f t="shared" ref="N99:N119" si="80">IF(ISERROR(O99),"",IF((O99="Error"),"add explanation",IF((O99="Warning"),"add explanation",IF((AM99="Warning"),"add explanation",""))))</f>
        <v/>
      </c>
      <c r="O99" s="256" t="e">
        <f>IF(L99&lt;&gt;(G99-K99),"Error",IF((VLOOKUP(LA_code,'LA List'!C3:M416,11,0))=1,IF(OR(L99=0,L99&lt;0),"Warning",""),""))</f>
        <v>#N/A</v>
      </c>
      <c r="P99" s="87"/>
      <c r="Q99" s="1164" t="e">
        <f>IF(L99&lt;&gt;(G99-K99),"Net Current Expenditure for "&amp;($C99)&amp;" here does not match Total Income - Total Expenditure, please correct",IF((VLOOKUP(LA_code,'LA List'!C3:M416,11,0))=1,IF(OR(L99=0,L99&lt;0),"A positive figure for Net Current Expenditure is expected on this prescribed function, please amend",""),""))</f>
        <v>#N/A</v>
      </c>
      <c r="R99" s="445" t="str">
        <f t="shared" ref="R99:R119" si="81">IF($AM99="Warning","This year's figure is over "&amp;AE99/1000&amp;" million and "&amp;(AD99*100)&amp;"% different to "&amp;TEXT(AF99,"#,###")&amp;" last year, please explain","")</f>
        <v/>
      </c>
      <c r="AD99" s="609">
        <f t="shared" si="73"/>
        <v>0.4</v>
      </c>
      <c r="AE99" s="609">
        <f t="shared" si="74"/>
        <v>3000</v>
      </c>
      <c r="AF99" s="636" t="e">
        <f t="shared" si="75"/>
        <v>#N/A</v>
      </c>
      <c r="AG99" s="636" t="e">
        <f t="shared" ref="AG99:AG119" si="82">AF99+AE99</f>
        <v>#N/A</v>
      </c>
      <c r="AH99" s="636" t="e">
        <f t="shared" ref="AH99:AH119" si="83">AF99-AE99</f>
        <v>#N/A</v>
      </c>
      <c r="AI99" s="636" t="e">
        <f t="shared" ref="AI99:AI119" si="84">AF99+(AF99*AD99)</f>
        <v>#N/A</v>
      </c>
      <c r="AJ99" s="636" t="e">
        <f t="shared" ref="AJ99:AJ119" si="85">AF99-(AF99*AD99)</f>
        <v>#N/A</v>
      </c>
      <c r="AK99" s="609" t="e">
        <f t="shared" ref="AK99:AK119" si="86">IF(OR(L99&lt;AH99,L99&gt;AG99),"Warning","")</f>
        <v>#N/A</v>
      </c>
      <c r="AL99" s="609" t="e">
        <f t="shared" ref="AL99:AL119" si="87">IF(OR(L99&gt;(AI99),L99&lt;(AJ99)),"Warning","")</f>
        <v>#N/A</v>
      </c>
      <c r="AM99" s="609" t="str">
        <f t="shared" ref="AM99:AM119" si="88">IF(OR(L99=0),"",IF(AND(AK99="Warning",AL99="Warning"),"Warning",""))</f>
        <v/>
      </c>
    </row>
    <row r="100" spans="1:39" ht="17.5" x14ac:dyDescent="0.35">
      <c r="A100" t="s">
        <v>949</v>
      </c>
      <c r="B100" s="252">
        <v>63</v>
      </c>
      <c r="C100" s="92" t="s">
        <v>950</v>
      </c>
      <c r="D100" s="92"/>
      <c r="E100" s="1222"/>
      <c r="F100" s="1222"/>
      <c r="G100" s="1223">
        <f t="shared" si="70"/>
        <v>0</v>
      </c>
      <c r="H100" s="1271"/>
      <c r="I100" s="1222"/>
      <c r="J100" s="1222"/>
      <c r="K100" s="1223">
        <f t="shared" si="71"/>
        <v>0</v>
      </c>
      <c r="L100" s="1223">
        <f t="shared" si="72"/>
        <v>0</v>
      </c>
      <c r="M100" s="87"/>
      <c r="N100" s="1178" t="str">
        <f t="shared" si="80"/>
        <v/>
      </c>
      <c r="O100" s="256" t="str">
        <f t="shared" ref="O100:O114" si="89">IF(L100&lt;&gt;(G100-K100),"Error","")</f>
        <v/>
      </c>
      <c r="P100" s="87"/>
      <c r="Q100" s="1164" t="str">
        <f t="shared" ref="Q100:Q114" si="90">IF($O100="Error","Net Current Expenditure for "&amp;($C100)&amp;" here does not match Total Income - Total Expenditure, please correct","")</f>
        <v/>
      </c>
      <c r="R100" s="445" t="str">
        <f t="shared" si="81"/>
        <v/>
      </c>
      <c r="S100" s="1021"/>
      <c r="AD100" s="609">
        <f t="shared" si="73"/>
        <v>0.4</v>
      </c>
      <c r="AE100" s="609">
        <f t="shared" si="74"/>
        <v>3000</v>
      </c>
      <c r="AF100" s="636" t="e">
        <f t="shared" si="75"/>
        <v>#N/A</v>
      </c>
      <c r="AG100" s="636" t="e">
        <f t="shared" si="82"/>
        <v>#N/A</v>
      </c>
      <c r="AH100" s="636" t="e">
        <f t="shared" si="83"/>
        <v>#N/A</v>
      </c>
      <c r="AI100" s="636" t="e">
        <f t="shared" si="84"/>
        <v>#N/A</v>
      </c>
      <c r="AJ100" s="636" t="e">
        <f t="shared" si="85"/>
        <v>#N/A</v>
      </c>
      <c r="AK100" s="609" t="e">
        <f t="shared" si="86"/>
        <v>#N/A</v>
      </c>
      <c r="AL100" s="609" t="e">
        <f t="shared" si="87"/>
        <v>#N/A</v>
      </c>
      <c r="AM100" s="609" t="str">
        <f t="shared" si="88"/>
        <v/>
      </c>
    </row>
    <row r="101" spans="1:39" ht="15.5" x14ac:dyDescent="0.35">
      <c r="A101" t="s">
        <v>951</v>
      </c>
      <c r="B101" s="252">
        <v>65</v>
      </c>
      <c r="C101" s="92" t="s">
        <v>952</v>
      </c>
      <c r="D101" s="92"/>
      <c r="E101" s="1222"/>
      <c r="F101" s="1222"/>
      <c r="G101" s="1223">
        <f t="shared" si="70"/>
        <v>0</v>
      </c>
      <c r="H101" s="1271"/>
      <c r="I101" s="1222"/>
      <c r="J101" s="1222"/>
      <c r="K101" s="1223">
        <f t="shared" si="71"/>
        <v>0</v>
      </c>
      <c r="L101" s="1223">
        <f t="shared" si="72"/>
        <v>0</v>
      </c>
      <c r="M101" s="87"/>
      <c r="N101" s="1178" t="str">
        <f t="shared" si="80"/>
        <v/>
      </c>
      <c r="O101" s="256" t="e">
        <f>IF(L101&lt;&gt;(G101-K101),"Error",IF((VLOOKUP(LA_code,'LA List'!C3:M416,11,0))=1,IF(OR(L101=0,L101&lt;0),"Warning",""),""))</f>
        <v>#N/A</v>
      </c>
      <c r="P101" s="87"/>
      <c r="Q101" s="1164" t="e">
        <f>IF(L101&lt;&gt;(G101-K101),"Net Current Expenditure for "&amp;($C101)&amp;" here does not match Total Income - Total Expenditure, please correct",IF((VLOOKUP(LA_code,'LA List'!C3:M416,11,0))=1,IF(OR(L101=0,L101&lt;0),"A positive figure for Net Current Expenditure is expected on this prescribed function, please amend",""),""))</f>
        <v>#N/A</v>
      </c>
      <c r="R101" s="445" t="str">
        <f t="shared" si="81"/>
        <v/>
      </c>
      <c r="AD101" s="609">
        <f t="shared" si="73"/>
        <v>0.4</v>
      </c>
      <c r="AE101" s="609">
        <f t="shared" si="74"/>
        <v>3000</v>
      </c>
      <c r="AF101" s="636" t="e">
        <f t="shared" si="75"/>
        <v>#N/A</v>
      </c>
      <c r="AG101" s="636" t="e">
        <f t="shared" si="82"/>
        <v>#N/A</v>
      </c>
      <c r="AH101" s="636" t="e">
        <f t="shared" si="83"/>
        <v>#N/A</v>
      </c>
      <c r="AI101" s="636" t="e">
        <f t="shared" si="84"/>
        <v>#N/A</v>
      </c>
      <c r="AJ101" s="636" t="e">
        <f t="shared" si="85"/>
        <v>#N/A</v>
      </c>
      <c r="AK101" s="609" t="e">
        <f t="shared" si="86"/>
        <v>#N/A</v>
      </c>
      <c r="AL101" s="609" t="e">
        <f t="shared" si="87"/>
        <v>#N/A</v>
      </c>
      <c r="AM101" s="609" t="str">
        <f t="shared" si="88"/>
        <v/>
      </c>
    </row>
    <row r="102" spans="1:39" ht="15.5" x14ac:dyDescent="0.35">
      <c r="A102" t="s">
        <v>953</v>
      </c>
      <c r="B102" s="252">
        <v>66</v>
      </c>
      <c r="C102" s="92" t="s">
        <v>954</v>
      </c>
      <c r="D102" s="92"/>
      <c r="E102" s="1222"/>
      <c r="F102" s="1222"/>
      <c r="G102" s="1223">
        <f t="shared" si="70"/>
        <v>0</v>
      </c>
      <c r="H102" s="1271"/>
      <c r="I102" s="1222"/>
      <c r="J102" s="1222"/>
      <c r="K102" s="1223">
        <f t="shared" si="71"/>
        <v>0</v>
      </c>
      <c r="L102" s="1223">
        <f t="shared" si="72"/>
        <v>0</v>
      </c>
      <c r="M102" s="87"/>
      <c r="N102" s="1178" t="str">
        <f t="shared" si="80"/>
        <v/>
      </c>
      <c r="O102" s="256" t="e">
        <f>IF(L102&lt;&gt;(G102-K102),"Error",IF((VLOOKUP(LA_code,'LA List'!C3:M416,11,0))=1,IF(OR(L102=0,L102&lt;0),"Warning",""),""))</f>
        <v>#N/A</v>
      </c>
      <c r="P102" s="87"/>
      <c r="Q102" s="1164" t="e">
        <f>IF(L102&lt;&gt;(G102-K102),"Net Current Expenditure for "&amp;($C102)&amp;" here does not match Total Income - Total Expenditure, please correct",IF((VLOOKUP(LA_code,'LA List'!C3:M416,11,0))=1,IF(OR(L102=0,L102&lt;0),"A positive figure for Net Current Expenditure is expected on this prescribed function, please amend",""),""))</f>
        <v>#N/A</v>
      </c>
      <c r="R102" s="445" t="str">
        <f t="shared" si="81"/>
        <v/>
      </c>
      <c r="AD102" s="609">
        <f t="shared" si="73"/>
        <v>0.4</v>
      </c>
      <c r="AE102" s="609">
        <f t="shared" si="74"/>
        <v>3000</v>
      </c>
      <c r="AF102" s="636" t="e">
        <f t="shared" si="75"/>
        <v>#N/A</v>
      </c>
      <c r="AG102" s="636" t="e">
        <f t="shared" si="82"/>
        <v>#N/A</v>
      </c>
      <c r="AH102" s="636" t="e">
        <f t="shared" si="83"/>
        <v>#N/A</v>
      </c>
      <c r="AI102" s="636" t="e">
        <f t="shared" si="84"/>
        <v>#N/A</v>
      </c>
      <c r="AJ102" s="636" t="e">
        <f t="shared" si="85"/>
        <v>#N/A</v>
      </c>
      <c r="AK102" s="609" t="e">
        <f t="shared" si="86"/>
        <v>#N/A</v>
      </c>
      <c r="AL102" s="609" t="e">
        <f t="shared" si="87"/>
        <v>#N/A</v>
      </c>
      <c r="AM102" s="609" t="str">
        <f t="shared" si="88"/>
        <v/>
      </c>
    </row>
    <row r="103" spans="1:39" ht="15.5" x14ac:dyDescent="0.35">
      <c r="A103" t="s">
        <v>955</v>
      </c>
      <c r="B103" s="252">
        <v>68</v>
      </c>
      <c r="C103" s="92" t="s">
        <v>956</v>
      </c>
      <c r="D103" s="92"/>
      <c r="E103" s="1222"/>
      <c r="F103" s="1222"/>
      <c r="G103" s="1223">
        <f t="shared" si="70"/>
        <v>0</v>
      </c>
      <c r="H103" s="1271"/>
      <c r="I103" s="1222"/>
      <c r="J103" s="1222"/>
      <c r="K103" s="1223">
        <f t="shared" si="71"/>
        <v>0</v>
      </c>
      <c r="L103" s="1223">
        <f t="shared" si="72"/>
        <v>0</v>
      </c>
      <c r="M103" s="87"/>
      <c r="N103" s="1178" t="str">
        <f t="shared" si="80"/>
        <v/>
      </c>
      <c r="O103" s="256" t="e">
        <f>IF(L103&lt;&gt;(G103-K103),"Error",IF((VLOOKUP(LA_code,'LA List'!C3:M416,11,0))=1,IF(OR(L103=0,L103&lt;0),"Warning",""),""))</f>
        <v>#N/A</v>
      </c>
      <c r="P103" s="87"/>
      <c r="Q103" s="1164" t="e">
        <f>IF(L103&lt;&gt;(G103-K103),"Net Current Expenditure for "&amp;($C103)&amp;" here does not match Total Income - Total Expenditure, please correct",IF((VLOOKUP(LA_code,'LA List'!C3:M416,11,0))=1,IF(OR(L103=0,L103&lt;0),"A positive figure for Net Current Expenditure is expected on this prescribed function, please amend",""),""))</f>
        <v>#N/A</v>
      </c>
      <c r="R103" s="445" t="str">
        <f t="shared" si="81"/>
        <v/>
      </c>
      <c r="AD103" s="609">
        <f t="shared" si="73"/>
        <v>0.4</v>
      </c>
      <c r="AE103" s="609">
        <f t="shared" si="74"/>
        <v>2000</v>
      </c>
      <c r="AF103" s="636" t="e">
        <f t="shared" si="75"/>
        <v>#N/A</v>
      </c>
      <c r="AG103" s="636" t="e">
        <f t="shared" si="82"/>
        <v>#N/A</v>
      </c>
      <c r="AH103" s="636" t="e">
        <f t="shared" si="83"/>
        <v>#N/A</v>
      </c>
      <c r="AI103" s="636" t="e">
        <f t="shared" si="84"/>
        <v>#N/A</v>
      </c>
      <c r="AJ103" s="636" t="e">
        <f t="shared" si="85"/>
        <v>#N/A</v>
      </c>
      <c r="AK103" s="609" t="e">
        <f t="shared" si="86"/>
        <v>#N/A</v>
      </c>
      <c r="AL103" s="609" t="e">
        <f t="shared" si="87"/>
        <v>#N/A</v>
      </c>
      <c r="AM103" s="609" t="str">
        <f t="shared" si="88"/>
        <v/>
      </c>
    </row>
    <row r="104" spans="1:39" ht="15.5" x14ac:dyDescent="0.35">
      <c r="A104" t="s">
        <v>957</v>
      </c>
      <c r="B104" s="252">
        <v>70</v>
      </c>
      <c r="C104" s="92" t="s">
        <v>958</v>
      </c>
      <c r="D104" s="92"/>
      <c r="E104" s="1222"/>
      <c r="F104" s="1222"/>
      <c r="G104" s="1223">
        <f t="shared" si="70"/>
        <v>0</v>
      </c>
      <c r="H104" s="1271"/>
      <c r="I104" s="1222"/>
      <c r="J104" s="1222"/>
      <c r="K104" s="1223">
        <f t="shared" si="71"/>
        <v>0</v>
      </c>
      <c r="L104" s="1223">
        <f t="shared" si="72"/>
        <v>0</v>
      </c>
      <c r="M104" s="87"/>
      <c r="N104" s="1178" t="str">
        <f t="shared" si="80"/>
        <v/>
      </c>
      <c r="O104" s="256" t="e">
        <f>IF(L104&lt;&gt;(G104-K104),"Error",IF((VLOOKUP(LA_code,'LA List'!C3:M416,11,0))=1,IF(OR(L104=0,L104&lt;0),"Warning",""),""))</f>
        <v>#N/A</v>
      </c>
      <c r="P104" s="87"/>
      <c r="Q104" s="1164" t="e">
        <f>IF(L104&lt;&gt;(G104-K104),"Net Current Expenditure for "&amp;($C104)&amp;" here does not match Total Income - Total Expenditure, please correct",IF((VLOOKUP(LA_code,'LA List'!C3:M416,11,0))=1,IF(OR(L104=0,L104&lt;0),"A positive figure for Net Current Expenditure is expected on this prescribed function, please amend",""),""))</f>
        <v>#N/A</v>
      </c>
      <c r="R104" s="445" t="str">
        <f t="shared" si="81"/>
        <v/>
      </c>
      <c r="AD104" s="609">
        <f t="shared" si="73"/>
        <v>0.4</v>
      </c>
      <c r="AE104" s="609">
        <f t="shared" si="74"/>
        <v>2000</v>
      </c>
      <c r="AF104" s="636" t="e">
        <f t="shared" si="75"/>
        <v>#N/A</v>
      </c>
      <c r="AG104" s="636" t="e">
        <f t="shared" si="82"/>
        <v>#N/A</v>
      </c>
      <c r="AH104" s="636" t="e">
        <f t="shared" si="83"/>
        <v>#N/A</v>
      </c>
      <c r="AI104" s="636" t="e">
        <f t="shared" si="84"/>
        <v>#N/A</v>
      </c>
      <c r="AJ104" s="636" t="e">
        <f t="shared" si="85"/>
        <v>#N/A</v>
      </c>
      <c r="AK104" s="609" t="e">
        <f t="shared" si="86"/>
        <v>#N/A</v>
      </c>
      <c r="AL104" s="609" t="e">
        <f t="shared" si="87"/>
        <v>#N/A</v>
      </c>
      <c r="AM104" s="609" t="str">
        <f t="shared" si="88"/>
        <v/>
      </c>
    </row>
    <row r="105" spans="1:39" ht="15.5" x14ac:dyDescent="0.35">
      <c r="A105" t="s">
        <v>959</v>
      </c>
      <c r="B105" s="252">
        <v>71</v>
      </c>
      <c r="C105" s="92" t="s">
        <v>960</v>
      </c>
      <c r="D105" s="92"/>
      <c r="E105" s="1222"/>
      <c r="F105" s="1222"/>
      <c r="G105" s="1223">
        <f t="shared" si="70"/>
        <v>0</v>
      </c>
      <c r="H105" s="1271"/>
      <c r="I105" s="1222"/>
      <c r="J105" s="1222"/>
      <c r="K105" s="1223">
        <f t="shared" si="71"/>
        <v>0</v>
      </c>
      <c r="L105" s="1223">
        <f t="shared" si="72"/>
        <v>0</v>
      </c>
      <c r="M105" s="87"/>
      <c r="N105" s="1178" t="str">
        <f t="shared" si="80"/>
        <v/>
      </c>
      <c r="O105" s="256" t="str">
        <f t="shared" si="89"/>
        <v/>
      </c>
      <c r="P105" s="87"/>
      <c r="Q105" s="1164" t="str">
        <f t="shared" si="90"/>
        <v/>
      </c>
      <c r="R105" s="445" t="str">
        <f t="shared" si="81"/>
        <v/>
      </c>
      <c r="AD105" s="609">
        <f t="shared" si="73"/>
        <v>0.4</v>
      </c>
      <c r="AE105" s="609">
        <f t="shared" si="74"/>
        <v>2000</v>
      </c>
      <c r="AF105" s="636" t="e">
        <f t="shared" si="75"/>
        <v>#N/A</v>
      </c>
      <c r="AG105" s="636" t="e">
        <f t="shared" si="82"/>
        <v>#N/A</v>
      </c>
      <c r="AH105" s="636" t="e">
        <f t="shared" si="83"/>
        <v>#N/A</v>
      </c>
      <c r="AI105" s="636" t="e">
        <f t="shared" si="84"/>
        <v>#N/A</v>
      </c>
      <c r="AJ105" s="636" t="e">
        <f t="shared" si="85"/>
        <v>#N/A</v>
      </c>
      <c r="AK105" s="609" t="e">
        <f t="shared" si="86"/>
        <v>#N/A</v>
      </c>
      <c r="AL105" s="609" t="e">
        <f t="shared" si="87"/>
        <v>#N/A</v>
      </c>
      <c r="AM105" s="609" t="str">
        <f t="shared" si="88"/>
        <v/>
      </c>
    </row>
    <row r="106" spans="1:39" ht="15.5" x14ac:dyDescent="0.35">
      <c r="A106" t="s">
        <v>961</v>
      </c>
      <c r="B106" s="252">
        <v>72</v>
      </c>
      <c r="C106" s="92" t="s">
        <v>962</v>
      </c>
      <c r="D106" s="92"/>
      <c r="E106" s="1222"/>
      <c r="F106" s="1222"/>
      <c r="G106" s="1223">
        <f t="shared" si="70"/>
        <v>0</v>
      </c>
      <c r="H106" s="1271"/>
      <c r="I106" s="1222"/>
      <c r="J106" s="1222"/>
      <c r="K106" s="1223">
        <f t="shared" si="71"/>
        <v>0</v>
      </c>
      <c r="L106" s="1223">
        <f t="shared" si="72"/>
        <v>0</v>
      </c>
      <c r="M106" s="87"/>
      <c r="N106" s="1178" t="str">
        <f t="shared" si="80"/>
        <v/>
      </c>
      <c r="O106" s="256" t="str">
        <f t="shared" si="89"/>
        <v/>
      </c>
      <c r="P106" s="87"/>
      <c r="Q106" s="1164" t="str">
        <f t="shared" si="90"/>
        <v/>
      </c>
      <c r="R106" s="445" t="str">
        <f t="shared" si="81"/>
        <v/>
      </c>
      <c r="AD106" s="609">
        <f t="shared" si="73"/>
        <v>0.4</v>
      </c>
      <c r="AE106" s="609">
        <f t="shared" si="74"/>
        <v>2000</v>
      </c>
      <c r="AF106" s="636" t="e">
        <f t="shared" si="75"/>
        <v>#N/A</v>
      </c>
      <c r="AG106" s="636" t="e">
        <f t="shared" si="82"/>
        <v>#N/A</v>
      </c>
      <c r="AH106" s="636" t="e">
        <f t="shared" si="83"/>
        <v>#N/A</v>
      </c>
      <c r="AI106" s="636" t="e">
        <f t="shared" si="84"/>
        <v>#N/A</v>
      </c>
      <c r="AJ106" s="636" t="e">
        <f t="shared" si="85"/>
        <v>#N/A</v>
      </c>
      <c r="AK106" s="609" t="e">
        <f t="shared" si="86"/>
        <v>#N/A</v>
      </c>
      <c r="AL106" s="609" t="e">
        <f t="shared" si="87"/>
        <v>#N/A</v>
      </c>
      <c r="AM106" s="609" t="str">
        <f t="shared" si="88"/>
        <v/>
      </c>
    </row>
    <row r="107" spans="1:39" ht="15.5" x14ac:dyDescent="0.35">
      <c r="A107" t="s">
        <v>963</v>
      </c>
      <c r="B107" s="252">
        <v>73</v>
      </c>
      <c r="C107" s="92" t="s">
        <v>964</v>
      </c>
      <c r="D107" s="92"/>
      <c r="E107" s="1222"/>
      <c r="F107" s="1222"/>
      <c r="G107" s="1223">
        <f t="shared" si="70"/>
        <v>0</v>
      </c>
      <c r="H107" s="1271"/>
      <c r="I107" s="1222"/>
      <c r="J107" s="1222"/>
      <c r="K107" s="1223">
        <f t="shared" si="71"/>
        <v>0</v>
      </c>
      <c r="L107" s="1223">
        <f t="shared" si="72"/>
        <v>0</v>
      </c>
      <c r="M107" s="87"/>
      <c r="N107" s="1178" t="str">
        <f t="shared" si="80"/>
        <v/>
      </c>
      <c r="O107" s="256" t="str">
        <f t="shared" si="89"/>
        <v/>
      </c>
      <c r="P107" s="87"/>
      <c r="Q107" s="1164" t="str">
        <f t="shared" si="90"/>
        <v/>
      </c>
      <c r="R107" s="445" t="str">
        <f t="shared" si="81"/>
        <v/>
      </c>
      <c r="AD107" s="609">
        <f t="shared" si="73"/>
        <v>0.4</v>
      </c>
      <c r="AE107" s="609">
        <f t="shared" si="74"/>
        <v>2000</v>
      </c>
      <c r="AF107" s="636" t="e">
        <f t="shared" si="75"/>
        <v>#N/A</v>
      </c>
      <c r="AG107" s="636" t="e">
        <f t="shared" si="82"/>
        <v>#N/A</v>
      </c>
      <c r="AH107" s="636" t="e">
        <f t="shared" si="83"/>
        <v>#N/A</v>
      </c>
      <c r="AI107" s="636" t="e">
        <f t="shared" si="84"/>
        <v>#N/A</v>
      </c>
      <c r="AJ107" s="636" t="e">
        <f t="shared" si="85"/>
        <v>#N/A</v>
      </c>
      <c r="AK107" s="609" t="e">
        <f t="shared" si="86"/>
        <v>#N/A</v>
      </c>
      <c r="AL107" s="609" t="e">
        <f t="shared" si="87"/>
        <v>#N/A</v>
      </c>
      <c r="AM107" s="609" t="str">
        <f t="shared" si="88"/>
        <v/>
      </c>
    </row>
    <row r="108" spans="1:39" ht="15.5" x14ac:dyDescent="0.35">
      <c r="A108" t="s">
        <v>965</v>
      </c>
      <c r="B108" s="252">
        <v>74</v>
      </c>
      <c r="C108" s="92" t="s">
        <v>966</v>
      </c>
      <c r="D108" s="92"/>
      <c r="E108" s="1222"/>
      <c r="F108" s="1222"/>
      <c r="G108" s="1223">
        <f t="shared" si="70"/>
        <v>0</v>
      </c>
      <c r="H108" s="1271"/>
      <c r="I108" s="1222"/>
      <c r="J108" s="1222"/>
      <c r="K108" s="1223">
        <f t="shared" si="71"/>
        <v>0</v>
      </c>
      <c r="L108" s="1223">
        <f t="shared" si="72"/>
        <v>0</v>
      </c>
      <c r="M108" s="87"/>
      <c r="N108" s="1178" t="str">
        <f t="shared" si="80"/>
        <v/>
      </c>
      <c r="O108" s="256" t="str">
        <f t="shared" si="89"/>
        <v/>
      </c>
      <c r="P108" s="87"/>
      <c r="Q108" s="1164" t="str">
        <f t="shared" si="90"/>
        <v/>
      </c>
      <c r="R108" s="445" t="str">
        <f t="shared" si="81"/>
        <v/>
      </c>
      <c r="AD108" s="609">
        <f t="shared" si="73"/>
        <v>0.4</v>
      </c>
      <c r="AE108" s="609">
        <f t="shared" si="74"/>
        <v>2000</v>
      </c>
      <c r="AF108" s="636" t="e">
        <f t="shared" si="75"/>
        <v>#N/A</v>
      </c>
      <c r="AG108" s="636" t="e">
        <f t="shared" si="82"/>
        <v>#N/A</v>
      </c>
      <c r="AH108" s="636" t="e">
        <f t="shared" si="83"/>
        <v>#N/A</v>
      </c>
      <c r="AI108" s="636" t="e">
        <f t="shared" si="84"/>
        <v>#N/A</v>
      </c>
      <c r="AJ108" s="636" t="e">
        <f t="shared" si="85"/>
        <v>#N/A</v>
      </c>
      <c r="AK108" s="609" t="e">
        <f t="shared" si="86"/>
        <v>#N/A</v>
      </c>
      <c r="AL108" s="609" t="e">
        <f t="shared" si="87"/>
        <v>#N/A</v>
      </c>
      <c r="AM108" s="609" t="str">
        <f t="shared" si="88"/>
        <v/>
      </c>
    </row>
    <row r="109" spans="1:39" ht="15.5" x14ac:dyDescent="0.35">
      <c r="A109" t="s">
        <v>967</v>
      </c>
      <c r="B109" s="403">
        <v>76</v>
      </c>
      <c r="C109" s="275" t="s">
        <v>968</v>
      </c>
      <c r="D109" s="92"/>
      <c r="E109" s="1222"/>
      <c r="F109" s="1222"/>
      <c r="G109" s="1223">
        <f t="shared" ref="G109:G118" si="91">SUM(E109:F109)</f>
        <v>0</v>
      </c>
      <c r="H109" s="1271"/>
      <c r="I109" s="1222"/>
      <c r="J109" s="1222"/>
      <c r="K109" s="1223">
        <f t="shared" ref="K109:K118" si="92">SUM(I109:J109)</f>
        <v>0</v>
      </c>
      <c r="L109" s="1223">
        <f t="shared" si="72"/>
        <v>0</v>
      </c>
      <c r="M109" s="87"/>
      <c r="N109" s="1178" t="str">
        <f t="shared" si="80"/>
        <v/>
      </c>
      <c r="O109" s="256" t="str">
        <f t="shared" si="89"/>
        <v/>
      </c>
      <c r="P109" s="87"/>
      <c r="Q109" s="1164" t="str">
        <f t="shared" si="90"/>
        <v/>
      </c>
      <c r="R109" s="445" t="str">
        <f t="shared" si="81"/>
        <v/>
      </c>
      <c r="AD109" s="609">
        <f t="shared" si="73"/>
        <v>0.4</v>
      </c>
      <c r="AE109" s="609">
        <f t="shared" si="74"/>
        <v>2000</v>
      </c>
      <c r="AF109" s="636" t="e">
        <f>VLOOKUP(LA_code,data_prev_year,MATCH("RO3"&amp;$B109&amp;"7",data_prev_year_headers,0),0)+VLOOKUP(LA_code,data_prev_year,MATCH("RO3777",data_prev_year_headers,0),0)</f>
        <v>#N/A</v>
      </c>
      <c r="AG109" s="636" t="e">
        <f t="shared" si="82"/>
        <v>#N/A</v>
      </c>
      <c r="AH109" s="636" t="e">
        <f t="shared" si="83"/>
        <v>#N/A</v>
      </c>
      <c r="AI109" s="636" t="e">
        <f t="shared" si="84"/>
        <v>#N/A</v>
      </c>
      <c r="AJ109" s="636" t="e">
        <f t="shared" si="85"/>
        <v>#N/A</v>
      </c>
      <c r="AK109" s="609" t="e">
        <f t="shared" si="86"/>
        <v>#N/A</v>
      </c>
      <c r="AL109" s="609" t="e">
        <f t="shared" si="87"/>
        <v>#N/A</v>
      </c>
      <c r="AM109" s="609" t="str">
        <f t="shared" si="88"/>
        <v/>
      </c>
    </row>
    <row r="110" spans="1:39" ht="15.5" x14ac:dyDescent="0.35">
      <c r="A110" t="s">
        <v>969</v>
      </c>
      <c r="B110" s="403">
        <v>78</v>
      </c>
      <c r="C110" s="275" t="s">
        <v>970</v>
      </c>
      <c r="D110" s="92"/>
      <c r="E110" s="1222"/>
      <c r="F110" s="1222"/>
      <c r="G110" s="1223">
        <f t="shared" si="91"/>
        <v>0</v>
      </c>
      <c r="H110" s="1271"/>
      <c r="I110" s="1222"/>
      <c r="J110" s="1222"/>
      <c r="K110" s="1223">
        <f t="shared" si="92"/>
        <v>0</v>
      </c>
      <c r="L110" s="1223">
        <f t="shared" si="72"/>
        <v>0</v>
      </c>
      <c r="M110" s="87"/>
      <c r="N110" s="1178" t="str">
        <f t="shared" si="80"/>
        <v/>
      </c>
      <c r="O110" s="256" t="str">
        <f t="shared" si="89"/>
        <v/>
      </c>
      <c r="P110" s="87"/>
      <c r="Q110" s="1164" t="str">
        <f t="shared" si="90"/>
        <v/>
      </c>
      <c r="R110" s="445" t="str">
        <f t="shared" si="81"/>
        <v/>
      </c>
      <c r="AD110" s="609">
        <f t="shared" si="73"/>
        <v>0.4</v>
      </c>
      <c r="AE110" s="609">
        <f t="shared" si="74"/>
        <v>2000</v>
      </c>
      <c r="AF110" s="636" t="e">
        <f>VLOOKUP(LA_code,data_prev_year,MATCH("RO3"&amp;$B107&amp;"7",data_prev_year_headers,0),0)+VLOOKUP(LA_code,data_prev_year,MATCH("RO3797",data_prev_year_headers,0),0)</f>
        <v>#N/A</v>
      </c>
      <c r="AG110" s="636" t="e">
        <f t="shared" si="82"/>
        <v>#N/A</v>
      </c>
      <c r="AH110" s="636" t="e">
        <f t="shared" si="83"/>
        <v>#N/A</v>
      </c>
      <c r="AI110" s="636" t="e">
        <f t="shared" si="84"/>
        <v>#N/A</v>
      </c>
      <c r="AJ110" s="636" t="e">
        <f t="shared" si="85"/>
        <v>#N/A</v>
      </c>
      <c r="AK110" s="609" t="e">
        <f t="shared" si="86"/>
        <v>#N/A</v>
      </c>
      <c r="AL110" s="609" t="e">
        <f t="shared" si="87"/>
        <v>#N/A</v>
      </c>
      <c r="AM110" s="609" t="str">
        <f t="shared" si="88"/>
        <v/>
      </c>
    </row>
    <row r="111" spans="1:39" ht="15.5" x14ac:dyDescent="0.35">
      <c r="A111" t="s">
        <v>971</v>
      </c>
      <c r="B111" s="403">
        <v>80</v>
      </c>
      <c r="C111" s="275" t="s">
        <v>972</v>
      </c>
      <c r="D111" s="92"/>
      <c r="E111" s="1222"/>
      <c r="F111" s="1222"/>
      <c r="G111" s="1223">
        <f t="shared" si="91"/>
        <v>0</v>
      </c>
      <c r="H111" s="1271"/>
      <c r="I111" s="1222"/>
      <c r="J111" s="1222"/>
      <c r="K111" s="1223">
        <f t="shared" si="92"/>
        <v>0</v>
      </c>
      <c r="L111" s="1223">
        <f t="shared" si="72"/>
        <v>0</v>
      </c>
      <c r="M111" s="87"/>
      <c r="N111" s="1178" t="str">
        <f t="shared" si="80"/>
        <v/>
      </c>
      <c r="O111" s="256" t="str">
        <f t="shared" si="89"/>
        <v/>
      </c>
      <c r="P111" s="87"/>
      <c r="Q111" s="1164" t="str">
        <f t="shared" si="90"/>
        <v/>
      </c>
      <c r="R111" s="445" t="str">
        <f t="shared" si="81"/>
        <v/>
      </c>
      <c r="AD111" s="609">
        <f t="shared" ref="AD111:AD119" si="93">VLOOKUP("RO3"&amp;$B111,data_val_parameters,8,0)/100</f>
        <v>0.4</v>
      </c>
      <c r="AE111" s="609">
        <f t="shared" si="74"/>
        <v>2000</v>
      </c>
      <c r="AF111" s="636" t="e">
        <f t="shared" si="75"/>
        <v>#N/A</v>
      </c>
      <c r="AG111" s="636" t="e">
        <f t="shared" si="82"/>
        <v>#N/A</v>
      </c>
      <c r="AH111" s="636" t="e">
        <f t="shared" si="83"/>
        <v>#N/A</v>
      </c>
      <c r="AI111" s="636" t="e">
        <f t="shared" si="84"/>
        <v>#N/A</v>
      </c>
      <c r="AJ111" s="636" t="e">
        <f t="shared" si="85"/>
        <v>#N/A</v>
      </c>
      <c r="AK111" s="609" t="e">
        <f t="shared" si="86"/>
        <v>#N/A</v>
      </c>
      <c r="AL111" s="609" t="e">
        <f t="shared" si="87"/>
        <v>#N/A</v>
      </c>
      <c r="AM111" s="609" t="str">
        <f t="shared" si="88"/>
        <v/>
      </c>
    </row>
    <row r="112" spans="1:39" ht="15.5" x14ac:dyDescent="0.35">
      <c r="A112" t="s">
        <v>973</v>
      </c>
      <c r="B112" s="403">
        <v>81</v>
      </c>
      <c r="C112" s="404" t="s">
        <v>974</v>
      </c>
      <c r="D112" s="92"/>
      <c r="E112" s="1222"/>
      <c r="F112" s="1222"/>
      <c r="G112" s="1223">
        <f t="shared" si="91"/>
        <v>0</v>
      </c>
      <c r="H112" s="1271"/>
      <c r="I112" s="1222"/>
      <c r="J112" s="1222"/>
      <c r="K112" s="1223">
        <f t="shared" si="92"/>
        <v>0</v>
      </c>
      <c r="L112" s="1223">
        <f t="shared" si="72"/>
        <v>0</v>
      </c>
      <c r="M112" s="87"/>
      <c r="N112" s="1178" t="str">
        <f t="shared" si="80"/>
        <v/>
      </c>
      <c r="O112" s="256" t="str">
        <f t="shared" si="89"/>
        <v/>
      </c>
      <c r="P112" s="87"/>
      <c r="Q112" s="1164" t="str">
        <f t="shared" si="90"/>
        <v/>
      </c>
      <c r="R112" s="445" t="str">
        <f t="shared" si="81"/>
        <v/>
      </c>
      <c r="AD112" s="609">
        <f t="shared" si="93"/>
        <v>0.4</v>
      </c>
      <c r="AE112" s="609">
        <f t="shared" si="74"/>
        <v>3000</v>
      </c>
      <c r="AF112" s="636" t="e">
        <f t="shared" si="75"/>
        <v>#N/A</v>
      </c>
      <c r="AG112" s="636" t="e">
        <f t="shared" si="82"/>
        <v>#N/A</v>
      </c>
      <c r="AH112" s="636" t="e">
        <f t="shared" si="83"/>
        <v>#N/A</v>
      </c>
      <c r="AI112" s="636" t="e">
        <f t="shared" si="84"/>
        <v>#N/A</v>
      </c>
      <c r="AJ112" s="636" t="e">
        <f t="shared" si="85"/>
        <v>#N/A</v>
      </c>
      <c r="AK112" s="609" t="e">
        <f t="shared" si="86"/>
        <v>#N/A</v>
      </c>
      <c r="AL112" s="609" t="e">
        <f t="shared" si="87"/>
        <v>#N/A</v>
      </c>
      <c r="AM112" s="609" t="str">
        <f t="shared" si="88"/>
        <v/>
      </c>
    </row>
    <row r="113" spans="1:39" ht="15.5" x14ac:dyDescent="0.35">
      <c r="A113" t="s">
        <v>975</v>
      </c>
      <c r="B113" s="403">
        <v>82</v>
      </c>
      <c r="C113" s="404" t="s">
        <v>976</v>
      </c>
      <c r="D113" s="92"/>
      <c r="E113" s="1222"/>
      <c r="F113" s="1222"/>
      <c r="G113" s="1223">
        <f t="shared" si="91"/>
        <v>0</v>
      </c>
      <c r="H113" s="1271"/>
      <c r="I113" s="1222"/>
      <c r="J113" s="1222"/>
      <c r="K113" s="1223">
        <f t="shared" si="92"/>
        <v>0</v>
      </c>
      <c r="L113" s="1223">
        <f t="shared" si="72"/>
        <v>0</v>
      </c>
      <c r="M113" s="87"/>
      <c r="N113" s="1178" t="str">
        <f t="shared" si="80"/>
        <v/>
      </c>
      <c r="O113" s="256" t="str">
        <f t="shared" si="89"/>
        <v/>
      </c>
      <c r="P113" s="87"/>
      <c r="Q113" s="1164" t="str">
        <f t="shared" si="90"/>
        <v/>
      </c>
      <c r="R113" s="445" t="str">
        <f t="shared" si="81"/>
        <v/>
      </c>
      <c r="AD113" s="609">
        <f t="shared" si="93"/>
        <v>0.4</v>
      </c>
      <c r="AE113" s="609">
        <f t="shared" si="74"/>
        <v>3000</v>
      </c>
      <c r="AF113" s="636" t="e">
        <f t="shared" si="75"/>
        <v>#N/A</v>
      </c>
      <c r="AG113" s="636" t="e">
        <f t="shared" si="82"/>
        <v>#N/A</v>
      </c>
      <c r="AH113" s="636" t="e">
        <f t="shared" si="83"/>
        <v>#N/A</v>
      </c>
      <c r="AI113" s="636" t="e">
        <f t="shared" si="84"/>
        <v>#N/A</v>
      </c>
      <c r="AJ113" s="636" t="e">
        <f t="shared" si="85"/>
        <v>#N/A</v>
      </c>
      <c r="AK113" s="609" t="e">
        <f t="shared" si="86"/>
        <v>#N/A</v>
      </c>
      <c r="AL113" s="609" t="e">
        <f t="shared" si="87"/>
        <v>#N/A</v>
      </c>
      <c r="AM113" s="609" t="str">
        <f t="shared" si="88"/>
        <v/>
      </c>
    </row>
    <row r="114" spans="1:39" ht="15.5" x14ac:dyDescent="0.35">
      <c r="A114" t="s">
        <v>977</v>
      </c>
      <c r="B114" s="403">
        <v>83</v>
      </c>
      <c r="C114" s="404" t="s">
        <v>978</v>
      </c>
      <c r="D114" s="92"/>
      <c r="E114" s="1222"/>
      <c r="F114" s="1222"/>
      <c r="G114" s="1223">
        <f t="shared" si="91"/>
        <v>0</v>
      </c>
      <c r="H114" s="1271"/>
      <c r="I114" s="1222"/>
      <c r="J114" s="1222"/>
      <c r="K114" s="1223">
        <f t="shared" si="92"/>
        <v>0</v>
      </c>
      <c r="L114" s="1223">
        <f t="shared" si="72"/>
        <v>0</v>
      </c>
      <c r="M114" s="87"/>
      <c r="N114" s="1178" t="str">
        <f t="shared" si="80"/>
        <v/>
      </c>
      <c r="O114" s="256" t="str">
        <f t="shared" si="89"/>
        <v/>
      </c>
      <c r="P114" s="87"/>
      <c r="Q114" s="1164" t="str">
        <f t="shared" si="90"/>
        <v/>
      </c>
      <c r="R114" s="445" t="str">
        <f t="shared" si="81"/>
        <v/>
      </c>
      <c r="AD114" s="609">
        <f t="shared" si="93"/>
        <v>0.4</v>
      </c>
      <c r="AE114" s="609">
        <f t="shared" si="74"/>
        <v>4000</v>
      </c>
      <c r="AF114" s="636" t="e">
        <f t="shared" si="75"/>
        <v>#N/A</v>
      </c>
      <c r="AG114" s="636" t="e">
        <f t="shared" si="82"/>
        <v>#N/A</v>
      </c>
      <c r="AH114" s="636" t="e">
        <f t="shared" si="83"/>
        <v>#N/A</v>
      </c>
      <c r="AI114" s="636" t="e">
        <f t="shared" si="84"/>
        <v>#N/A</v>
      </c>
      <c r="AJ114" s="636" t="e">
        <f t="shared" si="85"/>
        <v>#N/A</v>
      </c>
      <c r="AK114" s="609" t="e">
        <f t="shared" si="86"/>
        <v>#N/A</v>
      </c>
      <c r="AL114" s="609" t="e">
        <f t="shared" si="87"/>
        <v>#N/A</v>
      </c>
      <c r="AM114" s="609" t="str">
        <f t="shared" si="88"/>
        <v/>
      </c>
    </row>
    <row r="115" spans="1:39" ht="15.5" x14ac:dyDescent="0.35">
      <c r="A115" t="s">
        <v>979</v>
      </c>
      <c r="B115" s="403">
        <v>84</v>
      </c>
      <c r="C115" s="275" t="s">
        <v>980</v>
      </c>
      <c r="D115" s="92"/>
      <c r="E115" s="1222"/>
      <c r="F115" s="1222"/>
      <c r="G115" s="1223">
        <f t="shared" si="91"/>
        <v>0</v>
      </c>
      <c r="H115" s="1271"/>
      <c r="I115" s="1222"/>
      <c r="J115" s="1222"/>
      <c r="K115" s="1223">
        <f t="shared" si="92"/>
        <v>0</v>
      </c>
      <c r="L115" s="1223">
        <f t="shared" si="72"/>
        <v>0</v>
      </c>
      <c r="M115" s="87"/>
      <c r="N115" s="1178" t="str">
        <f t="shared" si="80"/>
        <v/>
      </c>
      <c r="O115" s="256" t="e">
        <f>IF(L115&lt;&gt;(G115-K115),"Error",IF((VLOOKUP(LA_code,'LA List'!C3:M416,11,0))=1,IF(OR(L115=0,L115&lt;0),"Warning",""),""))</f>
        <v>#N/A</v>
      </c>
      <c r="P115" s="87"/>
      <c r="Q115" s="1164" t="e">
        <f>IF(L115&lt;&gt;(G115-K115),"Net Current Expenditure for "&amp;($C115)&amp;" here does not match Total Income - Total Expenditure, please correct",IF((VLOOKUP(LA_code,'LA List'!C3:M416,11,0))=1,IF(OR(L115=0,L115&lt;0),"A positive figure for Net Current Expenditure is expected on this prescribed function, please amend",""),""))</f>
        <v>#N/A</v>
      </c>
      <c r="R115" s="445" t="str">
        <f t="shared" si="81"/>
        <v/>
      </c>
      <c r="AD115" s="609">
        <f t="shared" si="93"/>
        <v>0.4</v>
      </c>
      <c r="AE115" s="609">
        <f t="shared" si="74"/>
        <v>4000</v>
      </c>
      <c r="AF115" s="636" t="e">
        <f t="shared" si="75"/>
        <v>#N/A</v>
      </c>
      <c r="AG115" s="636" t="e">
        <f t="shared" ref="AG115:AG118" si="94">AF115+AE115</f>
        <v>#N/A</v>
      </c>
      <c r="AH115" s="636" t="e">
        <f t="shared" ref="AH115:AH118" si="95">AF115-AE115</f>
        <v>#N/A</v>
      </c>
      <c r="AI115" s="636" t="e">
        <f t="shared" ref="AI115:AI118" si="96">AF115+(AF115*AD115)</f>
        <v>#N/A</v>
      </c>
      <c r="AJ115" s="636" t="e">
        <f t="shared" ref="AJ115:AJ118" si="97">AF115-(AF115*AD115)</f>
        <v>#N/A</v>
      </c>
      <c r="AK115" s="609" t="e">
        <f t="shared" ref="AK115:AK118" si="98">IF(OR(L115&lt;AH115,L115&gt;AG115),"Warning","")</f>
        <v>#N/A</v>
      </c>
      <c r="AL115" s="609" t="e">
        <f t="shared" ref="AL115:AL118" si="99">IF(OR(L115&gt;(AI115),L115&lt;(AJ115)),"Warning","")</f>
        <v>#N/A</v>
      </c>
      <c r="AM115" s="609" t="str">
        <f t="shared" si="88"/>
        <v/>
      </c>
    </row>
    <row r="116" spans="1:39" ht="15.5" x14ac:dyDescent="0.35">
      <c r="A116" t="s">
        <v>981</v>
      </c>
      <c r="B116" s="403">
        <v>85</v>
      </c>
      <c r="C116" s="275" t="s">
        <v>982</v>
      </c>
      <c r="D116" s="92"/>
      <c r="E116" s="1222"/>
      <c r="F116" s="1222"/>
      <c r="G116" s="1223">
        <f t="shared" si="91"/>
        <v>0</v>
      </c>
      <c r="H116" s="1271"/>
      <c r="I116" s="1222"/>
      <c r="J116" s="1222"/>
      <c r="K116" s="1223">
        <f t="shared" si="92"/>
        <v>0</v>
      </c>
      <c r="L116" s="1223">
        <f t="shared" si="72"/>
        <v>0</v>
      </c>
      <c r="M116" s="87"/>
      <c r="N116" s="1178" t="str">
        <f t="shared" si="80"/>
        <v/>
      </c>
      <c r="O116" s="256" t="e">
        <f>IF(L116&lt;&gt;(G116-K116),"Error",IF((VLOOKUP(LA_code,'LA List'!C3:M416,11,0))=1,IF(OR(L116=0,L116&lt;0),"Warning",""),""))</f>
        <v>#N/A</v>
      </c>
      <c r="P116" s="87"/>
      <c r="Q116" s="1164" t="e">
        <f>IF(L116&lt;&gt;(G116-K116),"Net Current Expenditure for "&amp;($C116)&amp;" here does not match Total Income - Total Expenditure, please correct",IF((VLOOKUP(LA_code,'LA List'!C3:M416,11,0))=1,IF(OR(L116=0,L116&lt;0),"A positive figure for Net Current Expenditure is expected on this line, please amend",""),""))</f>
        <v>#N/A</v>
      </c>
      <c r="R116" s="445" t="str">
        <f t="shared" si="81"/>
        <v/>
      </c>
      <c r="AD116" s="609">
        <f t="shared" si="93"/>
        <v>0.4</v>
      </c>
      <c r="AE116" s="609">
        <f t="shared" si="74"/>
        <v>4000</v>
      </c>
      <c r="AF116" s="636" t="e">
        <f t="shared" si="75"/>
        <v>#N/A</v>
      </c>
      <c r="AG116" s="636" t="e">
        <f t="shared" si="94"/>
        <v>#N/A</v>
      </c>
      <c r="AH116" s="636" t="e">
        <f t="shared" si="95"/>
        <v>#N/A</v>
      </c>
      <c r="AI116" s="636" t="e">
        <f t="shared" si="96"/>
        <v>#N/A</v>
      </c>
      <c r="AJ116" s="636" t="e">
        <f t="shared" si="97"/>
        <v>#N/A</v>
      </c>
      <c r="AK116" s="609" t="e">
        <f t="shared" si="98"/>
        <v>#N/A</v>
      </c>
      <c r="AL116" s="609" t="e">
        <f t="shared" si="99"/>
        <v>#N/A</v>
      </c>
      <c r="AM116" s="609" t="str">
        <f t="shared" si="88"/>
        <v/>
      </c>
    </row>
    <row r="117" spans="1:39" ht="15.5" x14ac:dyDescent="0.35">
      <c r="A117" t="s">
        <v>983</v>
      </c>
      <c r="B117" s="403">
        <v>86</v>
      </c>
      <c r="C117" s="404" t="s">
        <v>984</v>
      </c>
      <c r="D117" s="92"/>
      <c r="E117" s="1222"/>
      <c r="F117" s="1222"/>
      <c r="G117" s="1223">
        <f t="shared" si="91"/>
        <v>0</v>
      </c>
      <c r="H117" s="1271"/>
      <c r="I117" s="1222"/>
      <c r="J117" s="1222"/>
      <c r="K117" s="1223">
        <f t="shared" si="92"/>
        <v>0</v>
      </c>
      <c r="L117" s="1223">
        <f t="shared" si="72"/>
        <v>0</v>
      </c>
      <c r="M117" s="87"/>
      <c r="N117" s="1178" t="str">
        <f t="shared" si="80"/>
        <v/>
      </c>
      <c r="O117" s="256" t="str">
        <f>IF(L117&lt;&gt;(G117-K117),"Error","")</f>
        <v/>
      </c>
      <c r="P117" s="87"/>
      <c r="Q117" s="98" t="str">
        <f>IF($O117="Error","Net Current Expenditure for "&amp;($C117)&amp;" here does not match Total Income - Total Expenditure, please correct","")</f>
        <v/>
      </c>
      <c r="R117" s="445" t="str">
        <f t="shared" si="81"/>
        <v/>
      </c>
      <c r="AD117" s="609">
        <f t="shared" si="93"/>
        <v>0.4</v>
      </c>
      <c r="AE117" s="609">
        <f t="shared" si="74"/>
        <v>4000</v>
      </c>
      <c r="AF117" s="636" t="e">
        <f t="shared" si="75"/>
        <v>#N/A</v>
      </c>
      <c r="AG117" s="636" t="e">
        <f t="shared" si="94"/>
        <v>#N/A</v>
      </c>
      <c r="AH117" s="636" t="e">
        <f t="shared" si="95"/>
        <v>#N/A</v>
      </c>
      <c r="AI117" s="636" t="e">
        <f t="shared" si="96"/>
        <v>#N/A</v>
      </c>
      <c r="AJ117" s="636" t="e">
        <f t="shared" si="97"/>
        <v>#N/A</v>
      </c>
      <c r="AK117" s="609" t="e">
        <f t="shared" si="98"/>
        <v>#N/A</v>
      </c>
      <c r="AL117" s="609" t="e">
        <f t="shared" si="99"/>
        <v>#N/A</v>
      </c>
      <c r="AM117" s="609" t="str">
        <f t="shared" si="88"/>
        <v/>
      </c>
    </row>
    <row r="118" spans="1:39" ht="15.5" x14ac:dyDescent="0.35">
      <c r="A118" t="s">
        <v>985</v>
      </c>
      <c r="B118" s="403">
        <v>87</v>
      </c>
      <c r="C118" s="404" t="s">
        <v>986</v>
      </c>
      <c r="D118" s="92"/>
      <c r="E118" s="1222"/>
      <c r="F118" s="1222"/>
      <c r="G118" s="1223">
        <f t="shared" si="91"/>
        <v>0</v>
      </c>
      <c r="H118" s="1271"/>
      <c r="I118" s="1222"/>
      <c r="J118" s="1222"/>
      <c r="K118" s="1223">
        <f t="shared" si="92"/>
        <v>0</v>
      </c>
      <c r="L118" s="1223">
        <f t="shared" si="72"/>
        <v>0</v>
      </c>
      <c r="M118" s="87"/>
      <c r="N118" s="1178" t="str">
        <f t="shared" si="80"/>
        <v/>
      </c>
      <c r="O118" s="256" t="str">
        <f>IF(L118&lt;&gt;(G118-K118),"Error","")</f>
        <v/>
      </c>
      <c r="P118" s="87"/>
      <c r="Q118" s="98" t="str">
        <f>IF($O118="Error","Net Current Expenditure for "&amp;($C118)&amp;" here does not match Total Income - Total Expenditure, please correct","")</f>
        <v/>
      </c>
      <c r="R118" s="445" t="str">
        <f t="shared" si="81"/>
        <v/>
      </c>
      <c r="AD118" s="609">
        <f t="shared" si="93"/>
        <v>0.4</v>
      </c>
      <c r="AE118" s="609">
        <f t="shared" si="74"/>
        <v>4000</v>
      </c>
      <c r="AF118" s="636" t="e">
        <f t="shared" si="75"/>
        <v>#N/A</v>
      </c>
      <c r="AG118" s="636" t="e">
        <f t="shared" si="94"/>
        <v>#N/A</v>
      </c>
      <c r="AH118" s="636" t="e">
        <f t="shared" si="95"/>
        <v>#N/A</v>
      </c>
      <c r="AI118" s="636" t="e">
        <f t="shared" si="96"/>
        <v>#N/A</v>
      </c>
      <c r="AJ118" s="636" t="e">
        <f t="shared" si="97"/>
        <v>#N/A</v>
      </c>
      <c r="AK118" s="609" t="e">
        <f t="shared" si="98"/>
        <v>#N/A</v>
      </c>
      <c r="AL118" s="609" t="e">
        <f t="shared" si="99"/>
        <v>#N/A</v>
      </c>
      <c r="AM118" s="609" t="str">
        <f t="shared" si="88"/>
        <v/>
      </c>
    </row>
    <row r="119" spans="1:39" ht="15.5" x14ac:dyDescent="0.35">
      <c r="A119" t="s">
        <v>987</v>
      </c>
      <c r="B119" s="403">
        <v>89</v>
      </c>
      <c r="C119" s="404" t="s">
        <v>988</v>
      </c>
      <c r="D119" s="92"/>
      <c r="E119" s="1222"/>
      <c r="F119" s="1222"/>
      <c r="G119" s="1223">
        <f t="shared" si="70"/>
        <v>0</v>
      </c>
      <c r="H119" s="1271"/>
      <c r="I119" s="1222"/>
      <c r="J119" s="1222"/>
      <c r="K119" s="1223">
        <f t="shared" si="71"/>
        <v>0</v>
      </c>
      <c r="L119" s="1223">
        <f t="shared" si="72"/>
        <v>0</v>
      </c>
      <c r="M119" s="87"/>
      <c r="N119" s="1178" t="str">
        <f t="shared" si="80"/>
        <v/>
      </c>
      <c r="O119" s="256" t="e">
        <f>IF(L119&lt;&gt;(G119-K119),"Error",IF((L119/L121)&gt;0.25,"Warning",""))</f>
        <v>#DIV/0!</v>
      </c>
      <c r="P119" s="87"/>
      <c r="Q119" s="98" t="str">
        <f>IF(L119&lt;&gt;(G119-K119),"Net Current Expenditure for "&amp;($C119)&amp;" here does not match Total Income - Total Expenditure, please correct",IF(ISERROR((L119/L121)),"",IF((L119/L121)&gt;0.25,"Net Current Expenditure on Misc. is greater than 25%, please reallocate to public health lines or give reasons in the memo.","")))</f>
        <v/>
      </c>
      <c r="R119" s="445" t="str">
        <f t="shared" si="81"/>
        <v/>
      </c>
      <c r="AD119" s="609">
        <f t="shared" si="93"/>
        <v>0.4</v>
      </c>
      <c r="AE119" s="609">
        <f t="shared" si="74"/>
        <v>6000</v>
      </c>
      <c r="AF119" s="636" t="e">
        <f t="shared" si="75"/>
        <v>#N/A</v>
      </c>
      <c r="AG119" s="636" t="e">
        <f t="shared" si="82"/>
        <v>#N/A</v>
      </c>
      <c r="AH119" s="636" t="e">
        <f t="shared" si="83"/>
        <v>#N/A</v>
      </c>
      <c r="AI119" s="636" t="e">
        <f t="shared" si="84"/>
        <v>#N/A</v>
      </c>
      <c r="AJ119" s="636" t="e">
        <f t="shared" si="85"/>
        <v>#N/A</v>
      </c>
      <c r="AK119" s="609" t="e">
        <f t="shared" si="86"/>
        <v>#N/A</v>
      </c>
      <c r="AL119" s="609" t="e">
        <f t="shared" si="87"/>
        <v>#N/A</v>
      </c>
      <c r="AM119" s="609" t="str">
        <f t="shared" si="88"/>
        <v/>
      </c>
    </row>
    <row r="120" spans="1:39" ht="15.5" x14ac:dyDescent="0.35">
      <c r="B120" s="404"/>
      <c r="C120" s="404"/>
      <c r="D120" s="92"/>
      <c r="E120" s="24"/>
      <c r="F120" s="24"/>
      <c r="G120" s="36"/>
      <c r="H120" s="36"/>
      <c r="I120" s="24"/>
      <c r="J120" s="24"/>
      <c r="K120" s="36"/>
      <c r="L120" s="36"/>
      <c r="M120" s="87"/>
      <c r="N120" s="1182"/>
      <c r="O120" s="318"/>
      <c r="P120" s="87"/>
      <c r="Q120" s="251"/>
      <c r="R120" s="445"/>
    </row>
    <row r="121" spans="1:39" ht="15.5" x14ac:dyDescent="0.35">
      <c r="A121" t="s">
        <v>989</v>
      </c>
      <c r="B121" s="153">
        <v>90</v>
      </c>
      <c r="C121" s="153" t="s">
        <v>990</v>
      </c>
      <c r="D121" s="92"/>
      <c r="E121" s="1223">
        <f t="shared" ref="E121:L121" si="100">SUM(E98:E119)</f>
        <v>0</v>
      </c>
      <c r="F121" s="1296">
        <f t="shared" si="100"/>
        <v>0</v>
      </c>
      <c r="G121" s="1223">
        <f t="shared" si="100"/>
        <v>0</v>
      </c>
      <c r="H121" s="712">
        <f t="shared" si="100"/>
        <v>0</v>
      </c>
      <c r="I121" s="1223">
        <f t="shared" si="100"/>
        <v>0</v>
      </c>
      <c r="J121" s="1223">
        <f t="shared" si="100"/>
        <v>0</v>
      </c>
      <c r="K121" s="1290">
        <f t="shared" si="100"/>
        <v>0</v>
      </c>
      <c r="L121" s="712">
        <f t="shared" si="100"/>
        <v>0</v>
      </c>
      <c r="M121" s="87"/>
      <c r="N121" s="1178" t="str">
        <f>IF(ISERROR(O121),"",IF((O121="Error"),"add explanation",IF((O121="Warning"),"add explanation","")))</f>
        <v/>
      </c>
      <c r="O121" s="256" t="e">
        <f>IF(L121&lt;&gt;SUM(L98:L119),"Error",IF(L121&lt;&gt;(G121-K121),"Error",IF(AND(VLOOKUP(LA_code,'LA Data'!A4:H417,8,0)&gt;0, LA_code&lt;&gt;"E4201", LA_code&lt;&gt;"E4202", LA_code&lt;&gt;"E4203", LA_code&lt;&gt;"E4204", LA_code&lt;&gt;"E4205", LA_code&lt;&gt;"E4206", LA_code&lt;&gt;"E4207", LA_code&lt;&gt;"E4208", LA_code&lt;&gt;"E4209", LA_code&lt;&gt;"E4210"),IF(SUM(RS!$F$67,RS!$F$104,'RO3'!$L$121)&lt;SUM(RG!$H$35),"Error",""),"")))</f>
        <v>#N/A</v>
      </c>
      <c r="P121" s="87"/>
      <c r="Q121" s="98" t="e">
        <f>IF(L121&lt;&gt;SUM(L98:L119),PROPER($C121)&amp;" here does not match the total of the individual lines, please correct",IF(L121&lt;&gt;(G121-K121),"Net Current Expenditure for "&amp;($C121)&amp;" here does not match Total Income - Total Expenditure, please correct",IF(AND(VLOOKUP(LA_code,'LA Data'!A4:H417,8,0)&gt;0, LA_code&lt;&gt;"E4201", LA_code&lt;&gt;"E4202", LA_code&lt;&gt;"E4203", LA_code&lt;&gt;"E4204", LA_code&lt;&gt;"E4205", LA_code&lt;&gt;"E4206", LA_code&lt;&gt;"E4207", LA_code&lt;&gt;"E4208", LA_code&lt;&gt;"E4209", LA_code&lt;&gt;"E4210"), IF(SUM(RS!$F$67,RS!$F$104,'RO3'!$L$121)&lt;SUM(RG!$H$35),"There is unaccounted expenditure. The sum of RO3 Line 90, RS Line 766 and RS Line 814 cannot be less than the income from the Public Health Grant (RG313), please resolve.",""),"")))</f>
        <v>#N/A</v>
      </c>
      <c r="R121" s="445"/>
      <c r="AD121" s="609">
        <f>VLOOKUP("RO3"&amp;$B121,data_val_parameters,8,0)/100</f>
        <v>0.4</v>
      </c>
    </row>
    <row r="122" spans="1:39" ht="42" x14ac:dyDescent="0.35">
      <c r="B122" s="87"/>
      <c r="C122" s="186"/>
      <c r="D122" s="186"/>
      <c r="E122" s="24"/>
      <c r="F122" s="1403"/>
      <c r="G122" s="37"/>
      <c r="H122" s="1212" t="s">
        <v>742</v>
      </c>
      <c r="I122" s="24"/>
      <c r="J122" s="24"/>
      <c r="K122" s="82"/>
      <c r="L122" s="1212" t="s">
        <v>743</v>
      </c>
      <c r="M122" s="87"/>
      <c r="N122" s="320"/>
      <c r="O122" s="318"/>
      <c r="P122" s="87"/>
      <c r="Q122" s="87"/>
    </row>
    <row r="123" spans="1:39" ht="46.5" x14ac:dyDescent="0.35">
      <c r="B123" s="87"/>
      <c r="C123" s="186"/>
      <c r="D123" s="186"/>
      <c r="E123" s="24"/>
      <c r="F123" s="443" t="s">
        <v>744</v>
      </c>
      <c r="G123" s="37"/>
      <c r="H123" s="1199" t="str" cm="1">
        <f t="array" ref="H123">IF(SUMPRODUCT(--(H98:H121 &gt; G98:G121)),"Error","")</f>
        <v/>
      </c>
      <c r="I123" s="249" t="str">
        <f>IF(H123="Error","A figure in the central MSS column is greater than total expenditure for that line","")</f>
        <v/>
      </c>
      <c r="J123" s="249"/>
      <c r="K123" s="37"/>
      <c r="L123" s="494"/>
      <c r="M123" s="87"/>
      <c r="N123" s="320"/>
      <c r="O123" s="318"/>
      <c r="P123" s="87"/>
      <c r="Q123" s="87"/>
    </row>
    <row r="124" spans="1:39" ht="15.5" x14ac:dyDescent="0.35">
      <c r="B124" s="87"/>
      <c r="C124" s="87"/>
      <c r="D124" s="87"/>
      <c r="E124" s="24"/>
      <c r="F124" s="271" t="s">
        <v>745</v>
      </c>
      <c r="G124" s="37"/>
      <c r="I124" s="249"/>
      <c r="J124" s="249"/>
      <c r="K124" s="37"/>
      <c r="L124" s="37"/>
      <c r="M124" s="87"/>
      <c r="N124" s="320"/>
      <c r="O124" s="318"/>
      <c r="P124" s="87"/>
      <c r="Q124" s="87"/>
    </row>
    <row r="125" spans="1:39" ht="18" x14ac:dyDescent="0.4">
      <c r="A125" s="280" t="s">
        <v>991</v>
      </c>
      <c r="B125" s="1023">
        <v>1901</v>
      </c>
      <c r="C125" s="1023" t="s">
        <v>992</v>
      </c>
      <c r="D125" s="87"/>
      <c r="E125" s="87"/>
      <c r="F125" s="1270"/>
      <c r="G125" s="37"/>
      <c r="I125" s="249"/>
      <c r="J125" s="249"/>
      <c r="K125" s="37"/>
      <c r="L125" s="37"/>
      <c r="M125" s="32"/>
      <c r="N125" s="320"/>
      <c r="O125" s="319"/>
      <c r="P125" s="32"/>
      <c r="Q125" s="87"/>
    </row>
    <row r="126" spans="1:39" ht="18" x14ac:dyDescent="0.4">
      <c r="A126" s="280"/>
      <c r="B126" s="1023"/>
      <c r="C126" s="1023"/>
      <c r="D126" s="87"/>
      <c r="E126" s="87"/>
      <c r="F126" s="1206"/>
      <c r="G126" s="37"/>
      <c r="H126" s="1206"/>
      <c r="I126" s="249"/>
      <c r="J126" s="443"/>
      <c r="K126" s="37"/>
      <c r="L126" s="37"/>
      <c r="M126" s="32"/>
      <c r="N126" s="320"/>
      <c r="O126" s="319"/>
      <c r="P126" s="32"/>
      <c r="Q126" s="87"/>
    </row>
    <row r="127" spans="1:39" ht="18" x14ac:dyDescent="0.4">
      <c r="A127" s="280"/>
      <c r="B127" s="1023"/>
      <c r="C127" s="1023"/>
      <c r="D127" s="87"/>
      <c r="E127" s="87"/>
      <c r="F127" s="1206"/>
      <c r="G127" s="37"/>
      <c r="H127" s="1206"/>
      <c r="I127" s="249"/>
      <c r="J127" s="271"/>
      <c r="K127" s="37"/>
      <c r="L127" s="37"/>
      <c r="M127" s="32"/>
      <c r="N127" s="320"/>
      <c r="O127" s="319"/>
      <c r="P127" s="32"/>
      <c r="Q127" s="87"/>
    </row>
    <row r="128" spans="1:39" ht="18" x14ac:dyDescent="0.4">
      <c r="A128" s="280" t="s">
        <v>993</v>
      </c>
      <c r="B128" s="1023">
        <v>1902</v>
      </c>
      <c r="C128" s="1023" t="s">
        <v>994</v>
      </c>
      <c r="D128" s="87"/>
      <c r="E128" s="87"/>
      <c r="F128" s="1206"/>
      <c r="G128" s="37"/>
      <c r="H128" s="1206"/>
      <c r="I128" s="249"/>
      <c r="J128" s="1270"/>
      <c r="K128" s="1213" t="s">
        <v>750</v>
      </c>
      <c r="L128" s="37"/>
      <c r="M128" s="32"/>
      <c r="N128" s="320"/>
      <c r="O128" s="319"/>
      <c r="P128" s="32"/>
      <c r="Q128" s="87"/>
    </row>
    <row r="129" spans="1:39" ht="15.5" x14ac:dyDescent="0.35">
      <c r="B129" s="253" t="s">
        <v>253</v>
      </c>
      <c r="C129" s="92" t="s">
        <v>253</v>
      </c>
      <c r="D129" s="92"/>
      <c r="E129" s="249"/>
      <c r="F129" s="249"/>
      <c r="G129" s="37"/>
      <c r="H129" s="37"/>
      <c r="I129" s="249"/>
      <c r="J129" s="249"/>
      <c r="K129" s="37"/>
      <c r="L129" s="37"/>
      <c r="M129" s="87"/>
      <c r="N129" s="320"/>
      <c r="O129" s="318"/>
      <c r="P129" s="87"/>
      <c r="Q129" s="87"/>
    </row>
    <row r="130" spans="1:39" ht="20" x14ac:dyDescent="0.4">
      <c r="B130" s="246" t="s">
        <v>810</v>
      </c>
      <c r="C130" s="92"/>
      <c r="D130" s="92"/>
      <c r="E130" s="249"/>
      <c r="F130" s="249"/>
      <c r="G130" s="37"/>
      <c r="J130" s="249"/>
      <c r="K130" s="37"/>
      <c r="L130" s="37"/>
      <c r="M130" s="87"/>
      <c r="N130" s="320"/>
      <c r="O130" s="318"/>
      <c r="P130" s="87"/>
      <c r="Q130" s="87"/>
    </row>
    <row r="131" spans="1:39" ht="15.5" x14ac:dyDescent="0.35">
      <c r="B131" s="87" t="s">
        <v>253</v>
      </c>
      <c r="C131" s="92"/>
      <c r="D131" s="92"/>
      <c r="E131" s="87"/>
      <c r="F131" s="87"/>
      <c r="G131" s="87"/>
      <c r="H131" s="87"/>
      <c r="I131" s="87"/>
      <c r="J131" s="87"/>
      <c r="K131" s="87"/>
      <c r="L131" s="87"/>
      <c r="M131" s="87"/>
      <c r="N131" s="320"/>
      <c r="O131" s="117"/>
      <c r="P131" s="87"/>
      <c r="Q131" s="87"/>
    </row>
    <row r="132" spans="1:39" ht="17.5" x14ac:dyDescent="0.35">
      <c r="B132" s="248" t="s">
        <v>995</v>
      </c>
      <c r="C132" s="92"/>
      <c r="D132" s="92"/>
      <c r="E132" s="249"/>
      <c r="F132" s="249"/>
      <c r="G132" s="37"/>
      <c r="H132" s="37"/>
      <c r="I132" s="249"/>
      <c r="J132" s="249"/>
      <c r="K132" s="37"/>
      <c r="L132" s="37"/>
      <c r="M132" s="87"/>
      <c r="N132" s="320"/>
      <c r="O132" s="256" t="str">
        <f>IF(SUM($L133:$L136)&gt;$L$121,"Error","")</f>
        <v/>
      </c>
      <c r="P132" s="87"/>
      <c r="Q132" s="98" t="str">
        <f>IF($O132="Error","Lines 93-96 ("&amp;($B132)&amp;") are, in total, greater than the Public Health total. Please check the figures are in 000's and correct this.","")</f>
        <v/>
      </c>
    </row>
    <row r="133" spans="1:39" ht="15.5" x14ac:dyDescent="0.35">
      <c r="A133" t="s">
        <v>996</v>
      </c>
      <c r="B133" s="254">
        <v>93</v>
      </c>
      <c r="C133" s="92" t="s">
        <v>997</v>
      </c>
      <c r="D133" s="92"/>
      <c r="E133" s="24"/>
      <c r="F133" s="24"/>
      <c r="G133" s="36"/>
      <c r="H133" s="36"/>
      <c r="I133" s="24"/>
      <c r="J133" s="24"/>
      <c r="K133" s="36"/>
      <c r="L133" s="1222"/>
      <c r="M133" s="87"/>
      <c r="N133" s="1179" t="str">
        <f>IF(ISERROR(O133),"",IF((O133="Error"),"add explanation",IF((O133="Warning"),"add explanation","")))</f>
        <v/>
      </c>
      <c r="O133" s="256" t="str">
        <f>IF($L133&gt;$L$121,"Error",IF(AM133="Warning","Warning",""))</f>
        <v/>
      </c>
      <c r="P133" s="87"/>
      <c r="Q133" s="98" t="str">
        <f>IF($O133="Error",($C133)&amp;" is greater than the Public Health total. Please check the figures are in 000's and correct this.",IF($O133="Warning","This year's figure is over "&amp;AE133/1000&amp;" million and "&amp;(AD133*100)&amp;"% different to "&amp;TEXT(AF133,"#,###")&amp;" last year, please explain",""))</f>
        <v/>
      </c>
      <c r="AD133" s="609">
        <f>VLOOKUP("RO3"&amp;$B133,data_val_parameters,8,0)/100</f>
        <v>0.4</v>
      </c>
      <c r="AE133" s="609">
        <f t="shared" ref="AE133:AE136" si="101">VLOOKUP("RO3"&amp;$B133,data_val_parameters,7,0)</f>
        <v>2000</v>
      </c>
      <c r="AF133" s="636" t="e">
        <f t="shared" ref="AF133:AF136" si="102">VLOOKUP(LA_code,data_prev_year,MATCH("RO3"&amp;$B133&amp;"7",data_prev_year_headers,0),0)</f>
        <v>#N/A</v>
      </c>
      <c r="AG133" s="636" t="e">
        <f t="shared" ref="AG133" si="103">AF133+AE133</f>
        <v>#N/A</v>
      </c>
      <c r="AH133" s="636" t="e">
        <f t="shared" ref="AH133" si="104">AF133-AE133</f>
        <v>#N/A</v>
      </c>
      <c r="AI133" s="636" t="e">
        <f t="shared" ref="AI133" si="105">AF133+(AF133*AD133)</f>
        <v>#N/A</v>
      </c>
      <c r="AJ133" s="636" t="e">
        <f t="shared" ref="AJ133" si="106">AF133-(AF133*AD133)</f>
        <v>#N/A</v>
      </c>
      <c r="AK133" s="609" t="e">
        <f t="shared" ref="AK133" si="107">IF(OR(L133&lt;AH133,L133&gt;AG133),"Warning","")</f>
        <v>#N/A</v>
      </c>
      <c r="AL133" s="609" t="e">
        <f t="shared" ref="AL133" si="108">IF(OR(L133&gt;(AI133),L133&lt;(AJ133)),"Warning","")</f>
        <v>#N/A</v>
      </c>
      <c r="AM133" s="609" t="str">
        <f t="shared" ref="AM133" si="109">IF(OR(L133=0),"",IF(AND(AK133="Warning",AL133="Warning"),"Warning",""))</f>
        <v/>
      </c>
    </row>
    <row r="134" spans="1:39" ht="15.5" x14ac:dyDescent="0.35">
      <c r="A134" t="s">
        <v>998</v>
      </c>
      <c r="B134" s="254">
        <v>94</v>
      </c>
      <c r="C134" s="92" t="s">
        <v>999</v>
      </c>
      <c r="D134" s="92"/>
      <c r="E134" s="24"/>
      <c r="F134" s="24"/>
      <c r="G134" s="36"/>
      <c r="H134" s="36"/>
      <c r="I134" s="24"/>
      <c r="J134" s="24"/>
      <c r="K134" s="36"/>
      <c r="L134" s="1222"/>
      <c r="M134" s="87"/>
      <c r="N134" s="1179" t="str">
        <f>IF(ISERROR(O134),"",IF((O134="Error"),"add explanation",IF((O134="Warning"),"add explanation","")))</f>
        <v/>
      </c>
      <c r="O134" s="256" t="str">
        <f t="shared" ref="O134:O135" si="110">IF($L134&gt;$L$121,"Error",IF(AM134="Warning","Warning",""))</f>
        <v/>
      </c>
      <c r="P134" s="87"/>
      <c r="Q134" s="98" t="str">
        <f t="shared" ref="Q134:Q136" si="111">IF($O134="Error",($C134)&amp;" is greater than the Public Health total. Please check the figures are in 000's and correct this.",IF($O134="Warning","This year's figure is over "&amp;AE134/1000&amp;" million and "&amp;(AD134*100)&amp;"% different to "&amp;TEXT(AF134,"#,###")&amp;" last year, please explain",""))</f>
        <v/>
      </c>
      <c r="AD134" s="609">
        <f>VLOOKUP("RO3"&amp;$B134,data_val_parameters,8,0)/100</f>
        <v>0.4</v>
      </c>
      <c r="AE134" s="609">
        <f t="shared" si="101"/>
        <v>2000</v>
      </c>
      <c r="AF134" s="636" t="e">
        <f t="shared" si="102"/>
        <v>#N/A</v>
      </c>
      <c r="AG134" s="636" t="e">
        <f t="shared" ref="AG134:AG136" si="112">AF134+AE134</f>
        <v>#N/A</v>
      </c>
      <c r="AH134" s="636" t="e">
        <f t="shared" ref="AH134:AH136" si="113">AF134-AE134</f>
        <v>#N/A</v>
      </c>
      <c r="AI134" s="636" t="e">
        <f t="shared" ref="AI134:AI136" si="114">AF134+(AF134*AD134)</f>
        <v>#N/A</v>
      </c>
      <c r="AJ134" s="636" t="e">
        <f t="shared" ref="AJ134:AJ136" si="115">AF134-(AF134*AD134)</f>
        <v>#N/A</v>
      </c>
      <c r="AK134" s="609" t="e">
        <f t="shared" ref="AK134:AK136" si="116">IF(OR(L134&lt;AH134,L134&gt;AG134),"Warning","")</f>
        <v>#N/A</v>
      </c>
      <c r="AL134" s="609" t="e">
        <f t="shared" ref="AL134:AL136" si="117">IF(OR(L134&gt;(AI134),L134&lt;(AJ134)),"Warning","")</f>
        <v>#N/A</v>
      </c>
      <c r="AM134" s="609" t="str">
        <f t="shared" ref="AM134:AM136" si="118">IF(OR(L134=0),"",IF(AND(AK134="Warning",AL134="Warning"),"Warning",""))</f>
        <v/>
      </c>
    </row>
    <row r="135" spans="1:39" ht="15.5" x14ac:dyDescent="0.35">
      <c r="A135" t="s">
        <v>1000</v>
      </c>
      <c r="B135" s="254">
        <v>95</v>
      </c>
      <c r="C135" s="92" t="s">
        <v>1001</v>
      </c>
      <c r="D135" s="92"/>
      <c r="E135" s="24"/>
      <c r="F135" s="24"/>
      <c r="G135" s="36"/>
      <c r="H135" s="36"/>
      <c r="I135" s="24"/>
      <c r="J135" s="24"/>
      <c r="K135" s="36"/>
      <c r="L135" s="1222"/>
      <c r="M135" s="87"/>
      <c r="N135" s="1179" t="str">
        <f>IF(ISERROR(O135),"",IF((O135="Error"),"add explanation",IF((O135="Warning"),"add explanation","")))</f>
        <v/>
      </c>
      <c r="O135" s="256" t="str">
        <f t="shared" si="110"/>
        <v/>
      </c>
      <c r="P135" s="87"/>
      <c r="Q135" s="98" t="str">
        <f t="shared" si="111"/>
        <v/>
      </c>
      <c r="AD135" s="609">
        <f>VLOOKUP("RO3"&amp;$B135,data_val_parameters,8,0)/100</f>
        <v>0.4</v>
      </c>
      <c r="AE135" s="609">
        <f t="shared" si="101"/>
        <v>2000</v>
      </c>
      <c r="AF135" s="636" t="e">
        <f t="shared" si="102"/>
        <v>#N/A</v>
      </c>
      <c r="AG135" s="636" t="e">
        <f t="shared" si="112"/>
        <v>#N/A</v>
      </c>
      <c r="AH135" s="636" t="e">
        <f t="shared" si="113"/>
        <v>#N/A</v>
      </c>
      <c r="AI135" s="636" t="e">
        <f t="shared" si="114"/>
        <v>#N/A</v>
      </c>
      <c r="AJ135" s="636" t="e">
        <f t="shared" si="115"/>
        <v>#N/A</v>
      </c>
      <c r="AK135" s="609" t="e">
        <f t="shared" si="116"/>
        <v>#N/A</v>
      </c>
      <c r="AL135" s="609" t="e">
        <f t="shared" si="117"/>
        <v>#N/A</v>
      </c>
      <c r="AM135" s="609" t="str">
        <f t="shared" si="118"/>
        <v/>
      </c>
    </row>
    <row r="136" spans="1:39" ht="15.5" x14ac:dyDescent="0.35">
      <c r="A136" t="s">
        <v>1002</v>
      </c>
      <c r="B136" s="254">
        <v>96</v>
      </c>
      <c r="C136" s="92" t="s">
        <v>1003</v>
      </c>
      <c r="D136" s="92"/>
      <c r="E136" s="24"/>
      <c r="F136" s="24"/>
      <c r="G136" s="36"/>
      <c r="H136" s="36"/>
      <c r="I136" s="24"/>
      <c r="J136" s="24"/>
      <c r="K136" s="36"/>
      <c r="L136" s="1222"/>
      <c r="M136" s="87"/>
      <c r="N136" s="1179" t="str">
        <f>IF(ISERROR(O136),"",IF((O136="Error"),"add explanation",IF((O136="Warning"),"add explanation","")))</f>
        <v/>
      </c>
      <c r="O136" s="256" t="str">
        <f>IF($L136&gt;$L$121,"Error",IF(AM136="Warning","Warning",""))</f>
        <v/>
      </c>
      <c r="P136" s="87"/>
      <c r="Q136" s="98" t="str">
        <f t="shared" si="111"/>
        <v/>
      </c>
      <c r="AD136" s="609">
        <f>VLOOKUP("RO3"&amp;$B136,data_val_parameters,8,0)/100</f>
        <v>0.4</v>
      </c>
      <c r="AE136" s="609">
        <f t="shared" si="101"/>
        <v>2000</v>
      </c>
      <c r="AF136" s="636" t="e">
        <f t="shared" si="102"/>
        <v>#N/A</v>
      </c>
      <c r="AG136" s="636" t="e">
        <f t="shared" si="112"/>
        <v>#N/A</v>
      </c>
      <c r="AH136" s="636" t="e">
        <f t="shared" si="113"/>
        <v>#N/A</v>
      </c>
      <c r="AI136" s="636" t="e">
        <f t="shared" si="114"/>
        <v>#N/A</v>
      </c>
      <c r="AJ136" s="636" t="e">
        <f t="shared" si="115"/>
        <v>#N/A</v>
      </c>
      <c r="AK136" s="609" t="e">
        <f t="shared" si="116"/>
        <v>#N/A</v>
      </c>
      <c r="AL136" s="609" t="e">
        <f t="shared" si="117"/>
        <v>#N/A</v>
      </c>
      <c r="AM136" s="609" t="str">
        <f t="shared" si="118"/>
        <v/>
      </c>
    </row>
    <row r="137" spans="1:39" ht="15.5" x14ac:dyDescent="0.35">
      <c r="B137" s="253" t="s">
        <v>253</v>
      </c>
      <c r="C137" s="92"/>
      <c r="D137" s="92"/>
      <c r="E137" s="249"/>
      <c r="F137" s="249"/>
      <c r="G137" s="37"/>
      <c r="H137" s="37"/>
      <c r="I137" s="249"/>
      <c r="J137" s="249"/>
      <c r="K137" s="37"/>
      <c r="L137" s="37"/>
      <c r="M137" s="87"/>
      <c r="N137" s="1182"/>
      <c r="O137" s="318"/>
      <c r="P137" s="87"/>
      <c r="Q137" s="87"/>
    </row>
    <row r="138" spans="1:39" ht="17.5" x14ac:dyDescent="0.35">
      <c r="B138" s="248" t="s">
        <v>1004</v>
      </c>
      <c r="C138" s="92"/>
      <c r="D138" s="92"/>
      <c r="E138" s="249"/>
      <c r="F138" s="249"/>
      <c r="G138" s="37"/>
      <c r="H138" s="37"/>
      <c r="I138" s="249"/>
      <c r="J138" s="249"/>
      <c r="K138" s="37"/>
      <c r="L138" s="37"/>
      <c r="M138" s="87"/>
      <c r="N138" s="1182"/>
      <c r="O138" s="318"/>
      <c r="P138" s="87"/>
      <c r="Q138" s="87"/>
    </row>
    <row r="139" spans="1:39" ht="15.5" x14ac:dyDescent="0.35">
      <c r="A139" t="s">
        <v>1005</v>
      </c>
      <c r="B139" s="88">
        <v>98</v>
      </c>
      <c r="C139" s="92" t="s">
        <v>1006</v>
      </c>
      <c r="D139" s="92"/>
      <c r="E139" s="1222"/>
      <c r="F139" s="1222"/>
      <c r="G139" s="1223">
        <f>SUM(E139:F139)</f>
        <v>0</v>
      </c>
      <c r="H139" s="1271"/>
      <c r="I139" s="1222"/>
      <c r="J139" s="1222"/>
      <c r="K139" s="1223">
        <f>SUM(I139:J139)</f>
        <v>0</v>
      </c>
      <c r="L139" s="1223">
        <f>G139-K139</f>
        <v>0</v>
      </c>
      <c r="M139" s="2"/>
      <c r="N139" s="1179" t="str">
        <f>IF(ISERROR(O139),"",IF((O139="Error"),"add explanation",IF((O139="Warning"),"add explanation","")))</f>
        <v/>
      </c>
      <c r="O139" s="256" t="str">
        <f>IF($L139&gt;$L$45,"Error",IF(AM139="Warning","Warning",""))</f>
        <v/>
      </c>
      <c r="P139" s="87"/>
      <c r="Q139" s="98" t="str">
        <f>IF($O139="Error",($C139)&amp;", is greater than the Children's Social Care total. Please check the figures are in 000's and correct this.",IF($O139="Warning","This year's figure is over "&amp;AE139/1000&amp;" million and "&amp;(AD139*100)&amp;"% different to "&amp;TEXT(AF139,"#,###")&amp;" last year, please explain",""))</f>
        <v/>
      </c>
      <c r="AD139" s="609">
        <f>VLOOKUP("RO3"&amp;$B139,data_val_parameters,8,0)/100</f>
        <v>0.4</v>
      </c>
      <c r="AE139" s="609">
        <f t="shared" ref="AE139:AE141" si="119">VLOOKUP("RO3"&amp;$B139,data_val_parameters,7,0)</f>
        <v>2000</v>
      </c>
      <c r="AF139" s="636" t="e">
        <f t="shared" ref="AF139:AF141" si="120">VLOOKUP(LA_code,data_prev_year,MATCH("RO3"&amp;$B139&amp;"7",data_prev_year_headers,0),0)</f>
        <v>#N/A</v>
      </c>
      <c r="AG139" s="636" t="e">
        <f t="shared" ref="AG139" si="121">AF139+AE139</f>
        <v>#N/A</v>
      </c>
      <c r="AH139" s="636" t="e">
        <f t="shared" ref="AH139" si="122">AF139-AE139</f>
        <v>#N/A</v>
      </c>
      <c r="AI139" s="636" t="e">
        <f t="shared" ref="AI139" si="123">AF139+(AF139*AD139)</f>
        <v>#N/A</v>
      </c>
      <c r="AJ139" s="636" t="e">
        <f t="shared" ref="AJ139" si="124">AF139-(AF139*AD139)</f>
        <v>#N/A</v>
      </c>
      <c r="AK139" s="609" t="e">
        <f t="shared" ref="AK139" si="125">IF(OR(L139&lt;AH139,L139&gt;AG139),"Warning","")</f>
        <v>#N/A</v>
      </c>
      <c r="AL139" s="609" t="e">
        <f t="shared" ref="AL139" si="126">IF(OR(L139&gt;(AI139),L139&lt;(AJ139)),"Warning","")</f>
        <v>#N/A</v>
      </c>
      <c r="AM139" s="609" t="str">
        <f t="shared" ref="AM139" si="127">IF(OR(L139=0),"",IF(AND(AK139="Warning",AL139="Warning"),"Warning",""))</f>
        <v/>
      </c>
    </row>
    <row r="140" spans="1:39" ht="15.5" x14ac:dyDescent="0.35">
      <c r="B140" s="86" t="s">
        <v>253</v>
      </c>
      <c r="C140" s="92"/>
      <c r="D140" s="92"/>
      <c r="E140" s="249"/>
      <c r="F140" s="249"/>
      <c r="G140" s="37"/>
      <c r="H140" s="37"/>
      <c r="I140" s="249"/>
      <c r="J140" s="249"/>
      <c r="K140" s="37"/>
      <c r="L140" s="37"/>
      <c r="M140" s="87"/>
      <c r="N140" s="1181"/>
      <c r="O140" s="318"/>
      <c r="P140" s="87"/>
      <c r="Q140" s="98"/>
      <c r="AF140" s="636"/>
      <c r="AG140" s="636"/>
      <c r="AH140" s="636"/>
      <c r="AI140" s="636"/>
      <c r="AJ140" s="636"/>
    </row>
    <row r="141" spans="1:39" ht="15.5" x14ac:dyDescent="0.35">
      <c r="A141" t="s">
        <v>1007</v>
      </c>
      <c r="B141" s="88">
        <v>99</v>
      </c>
      <c r="C141" s="92" t="s">
        <v>1008</v>
      </c>
      <c r="D141" s="92"/>
      <c r="E141" s="1222"/>
      <c r="F141" s="1222"/>
      <c r="G141" s="1223">
        <f>SUM(E141:F141)</f>
        <v>0</v>
      </c>
      <c r="H141" s="1271"/>
      <c r="I141" s="1222"/>
      <c r="J141" s="1222"/>
      <c r="K141" s="1223">
        <f>SUM(I141:J141)</f>
        <v>0</v>
      </c>
      <c r="L141" s="1223">
        <f>G141-K141</f>
        <v>0</v>
      </c>
      <c r="M141" s="87"/>
      <c r="N141" s="1179" t="str">
        <f>IF(ISERROR(O141),"",IF((O141="Error"),"add explanation",IF((O141="Warning"),"add explanation","")))</f>
        <v/>
      </c>
      <c r="O141" s="256" t="str">
        <f>IF($L141&gt;$L$85,"Error",IF(AM141="Warning","Warning",""))</f>
        <v/>
      </c>
      <c r="P141" s="87"/>
      <c r="Q141" s="98" t="str">
        <f>IF($O141="Error",($C141)&amp;", is greater than the Adult's Social Care total. Please check the figures are in 000's and correct this.",IF($O141="Warning","This year's figure is over "&amp;AE141/1000&amp;" million and "&amp;(AD141*100)&amp;"% different to "&amp;TEXT(AF141,"#,###")&amp;" last year, please explain",""))</f>
        <v/>
      </c>
      <c r="AD141" s="609">
        <f>VLOOKUP("RO3"&amp;$B141,data_val_parameters,8,0)/100</f>
        <v>0.4</v>
      </c>
      <c r="AE141" s="609">
        <f t="shared" si="119"/>
        <v>2000</v>
      </c>
      <c r="AF141" s="636" t="e">
        <f t="shared" si="120"/>
        <v>#N/A</v>
      </c>
      <c r="AG141" s="636" t="e">
        <f t="shared" ref="AG141" si="128">AF141+AE141</f>
        <v>#N/A</v>
      </c>
      <c r="AH141" s="636" t="e">
        <f t="shared" ref="AH141" si="129">AF141-AE141</f>
        <v>#N/A</v>
      </c>
      <c r="AI141" s="636" t="e">
        <f t="shared" ref="AI141" si="130">AF141+(AF141*AD141)</f>
        <v>#N/A</v>
      </c>
      <c r="AJ141" s="636" t="e">
        <f t="shared" ref="AJ141" si="131">AF141-(AF141*AD141)</f>
        <v>#N/A</v>
      </c>
      <c r="AK141" s="609" t="e">
        <f t="shared" ref="AK141" si="132">IF(OR(L141&lt;AH141,L141&gt;AG141),"Warning","")</f>
        <v>#N/A</v>
      </c>
      <c r="AL141" s="609" t="e">
        <f t="shared" ref="AL141" si="133">IF(OR(L141&gt;(AI141),L141&lt;(AJ141)),"Warning","")</f>
        <v>#N/A</v>
      </c>
      <c r="AM141" s="609" t="str">
        <f t="shared" ref="AM141" si="134">IF(OR(L141=0),"",IF(AND(AK141="Warning",AL141="Warning"),"Warning",""))</f>
        <v/>
      </c>
    </row>
    <row r="142" spans="1:39" ht="15.5" x14ac:dyDescent="0.35">
      <c r="B142" s="255" t="s">
        <v>253</v>
      </c>
      <c r="C142" s="92"/>
      <c r="D142" s="92"/>
      <c r="E142" s="49"/>
      <c r="F142" s="49"/>
      <c r="G142" s="40"/>
      <c r="H142" s="40"/>
      <c r="I142" s="40"/>
      <c r="J142" s="40"/>
      <c r="K142" s="40"/>
      <c r="L142" s="40"/>
      <c r="M142" s="40"/>
      <c r="N142" s="40"/>
      <c r="O142" s="40"/>
      <c r="P142" s="40"/>
      <c r="Q142" s="87"/>
    </row>
    <row r="143" spans="1:39" ht="15.5" x14ac:dyDescent="0.35">
      <c r="B143" s="87"/>
      <c r="C143" s="87"/>
      <c r="D143" s="87"/>
      <c r="E143" s="87"/>
      <c r="F143" s="87"/>
      <c r="G143" s="87"/>
      <c r="H143" s="87"/>
      <c r="I143" s="87"/>
      <c r="J143" s="87"/>
      <c r="K143" s="87"/>
      <c r="L143" s="76"/>
      <c r="M143" s="87"/>
      <c r="N143" s="87"/>
      <c r="O143" s="87"/>
      <c r="P143" s="87"/>
      <c r="Q143" s="87"/>
    </row>
    <row r="144" spans="1:39" x14ac:dyDescent="0.25">
      <c r="B144" s="87"/>
      <c r="C144" s="87"/>
      <c r="D144" s="87"/>
      <c r="E144" s="87"/>
      <c r="F144" s="87"/>
      <c r="G144" s="87"/>
      <c r="H144" s="87"/>
      <c r="I144" s="87"/>
      <c r="J144" s="87"/>
      <c r="K144" s="87"/>
      <c r="L144" s="87"/>
      <c r="M144" s="87"/>
      <c r="N144" s="87"/>
      <c r="O144" s="87"/>
      <c r="P144" s="87"/>
      <c r="Q144" s="87"/>
    </row>
    <row r="145" spans="2:17" x14ac:dyDescent="0.25">
      <c r="B145" s="87"/>
      <c r="C145" s="87"/>
      <c r="D145" s="87"/>
      <c r="E145" s="87"/>
      <c r="F145" s="87"/>
      <c r="G145" s="87"/>
      <c r="H145" s="87"/>
      <c r="I145" s="87"/>
      <c r="J145" s="87"/>
      <c r="K145" s="87"/>
      <c r="L145" s="87"/>
      <c r="M145" s="87"/>
      <c r="N145" s="87"/>
      <c r="O145" s="87"/>
      <c r="P145" s="87"/>
      <c r="Q145" s="87"/>
    </row>
    <row r="146" spans="2:17" x14ac:dyDescent="0.25"/>
    <row r="147" spans="2:17" x14ac:dyDescent="0.25"/>
    <row r="148" spans="2:17" x14ac:dyDescent="0.25"/>
    <row r="149" spans="2:17" x14ac:dyDescent="0.25"/>
    <row r="150" spans="2:17" x14ac:dyDescent="0.25"/>
    <row r="151" spans="2:17" x14ac:dyDescent="0.25"/>
    <row r="152" spans="2:17" x14ac:dyDescent="0.25"/>
    <row r="153" spans="2:17" x14ac:dyDescent="0.25"/>
    <row r="154" spans="2:17" x14ac:dyDescent="0.25"/>
    <row r="155" spans="2:17" x14ac:dyDescent="0.25"/>
    <row r="156" spans="2:17" x14ac:dyDescent="0.25"/>
    <row r="157" spans="2:17" x14ac:dyDescent="0.25"/>
    <row r="158" spans="2:17" x14ac:dyDescent="0.25"/>
    <row r="159" spans="2:17" x14ac:dyDescent="0.25"/>
    <row r="160" spans="2:17" x14ac:dyDescent="0.25"/>
    <row r="161" x14ac:dyDescent="0.25"/>
    <row r="162" x14ac:dyDescent="0.25"/>
    <row r="1009" spans="2:2" x14ac:dyDescent="0.25"/>
    <row r="1010" spans="2:2" x14ac:dyDescent="0.25"/>
    <row r="1013" spans="2:2" hidden="1" x14ac:dyDescent="0.25">
      <c r="B1013" t="s">
        <v>1009</v>
      </c>
    </row>
  </sheetData>
  <sheetProtection sheet="1" objects="1" scenarios="1"/>
  <protectedRanges>
    <protectedRange sqref="E139:F139 I139:J139 I133:J136 E133:F136 F121:L121 E141:F141 I141:J141 L133:L136 F44 E44:E45 F120 E120:E121 I71:J71 E71:F71 I74:J74 E74:F74 I77:J77 E77:F77 I80:J80 E80:F80 E84:L84 F45:L45 I32:J44 E32:F43 E55:F68 I55:J68 K90:K94 H93:J94 H85:L85 I88:I92 E85:G94 I98:J120 E98:F119 J96:K96 E96:G96 E95:K95 H87:I87 J87:K89" name="Range1"/>
    <protectedRange sqref="I69:J70 E69:F70 E72:F73" name="Range1_1"/>
    <protectedRange sqref="I72:J73" name="Range1_2"/>
    <protectedRange sqref="I75:J76 E75:F76" name="Range1_3"/>
    <protectedRange sqref="I78:J79 E78:F79" name="Range1_4"/>
    <protectedRange sqref="I81:J82 E81:F82" name="Range1_5"/>
  </protectedRanges>
  <mergeCells count="12">
    <mergeCell ref="B2:O2"/>
    <mergeCell ref="E83:L83"/>
    <mergeCell ref="N68:P68"/>
    <mergeCell ref="N71:P71"/>
    <mergeCell ref="N74:P74"/>
    <mergeCell ref="N77:P77"/>
    <mergeCell ref="N80:P80"/>
    <mergeCell ref="B16:O16"/>
    <mergeCell ref="B10:O10"/>
    <mergeCell ref="B11:O11"/>
    <mergeCell ref="B13:O13"/>
    <mergeCell ref="B15:O15"/>
  </mergeCells>
  <phoneticPr fontId="0" type="noConversion"/>
  <conditionalFormatting sqref="B18">
    <cfRule type="containsText" dxfId="119" priority="143" operator="containsText" text="resolve">
      <formula>NOT(ISERROR(SEARCH("resolve",B18)))</formula>
    </cfRule>
  </conditionalFormatting>
  <conditionalFormatting sqref="C18">
    <cfRule type="expression" dxfId="118" priority="133">
      <formula>ISNUMBER(SEARCH(AB18,B18))</formula>
    </cfRule>
  </conditionalFormatting>
  <conditionalFormatting sqref="D18">
    <cfRule type="expression" dxfId="117" priority="132">
      <formula>ISNUMBER(SEARCH(AB18,B18))</formula>
    </cfRule>
  </conditionalFormatting>
  <conditionalFormatting sqref="E18">
    <cfRule type="expression" dxfId="116" priority="131">
      <formula>ISNUMBER(SEARCH(AB18,B18))</formula>
    </cfRule>
  </conditionalFormatting>
  <conditionalFormatting sqref="E71:F71">
    <cfRule type="expression" dxfId="115" priority="37">
      <formula>SUM(E72+E73)&lt;&gt;E71</formula>
    </cfRule>
  </conditionalFormatting>
  <conditionalFormatting sqref="E74:F74">
    <cfRule type="expression" dxfId="114" priority="35">
      <formula>SUM(E75+E76)&lt;&gt;E74</formula>
    </cfRule>
  </conditionalFormatting>
  <conditionalFormatting sqref="E77:F77">
    <cfRule type="expression" dxfId="113" priority="33">
      <formula>SUM(E78+E79)&lt;&gt;E77</formula>
    </cfRule>
  </conditionalFormatting>
  <conditionalFormatting sqref="E80:F80">
    <cfRule type="expression" dxfId="112" priority="31">
      <formula>SUM(E81+E82)&lt;&gt;E80</formula>
    </cfRule>
  </conditionalFormatting>
  <conditionalFormatting sqref="F18">
    <cfRule type="expression" dxfId="111" priority="130">
      <formula>ISNUMBER(SEARCH(AB18,B18))</formula>
    </cfRule>
  </conditionalFormatting>
  <conditionalFormatting sqref="G18:H18">
    <cfRule type="expression" dxfId="110" priority="129">
      <formula>ISNUMBER(SEARCH(AB18,B18))</formula>
    </cfRule>
  </conditionalFormatting>
  <conditionalFormatting sqref="H47">
    <cfRule type="containsText" dxfId="109" priority="3" operator="containsText" text="Error">
      <formula>NOT(ISERROR(SEARCH("Error",H47)))</formula>
    </cfRule>
  </conditionalFormatting>
  <conditionalFormatting sqref="H87">
    <cfRule type="containsText" dxfId="108" priority="1" operator="containsText" text="Error">
      <formula>NOT(ISERROR(SEARCH("Error",H87)))</formula>
    </cfRule>
  </conditionalFormatting>
  <conditionalFormatting sqref="H123">
    <cfRule type="containsText" dxfId="107" priority="4" operator="containsText" text="Error">
      <formula>NOT(ISERROR(SEARCH("Error",H123)))</formula>
    </cfRule>
  </conditionalFormatting>
  <conditionalFormatting sqref="I18">
    <cfRule type="expression" dxfId="106" priority="128">
      <formula>ISNUMBER(SEARCH(AB18,B18))</formula>
    </cfRule>
  </conditionalFormatting>
  <conditionalFormatting sqref="J18">
    <cfRule type="expression" dxfId="105" priority="127">
      <formula>ISNUMBER(SEARCH(AB18,B18))</formula>
    </cfRule>
  </conditionalFormatting>
  <conditionalFormatting sqref="K18">
    <cfRule type="expression" dxfId="104" priority="126">
      <formula>ISNUMBER(SEARCH(AB18,B18))</formula>
    </cfRule>
  </conditionalFormatting>
  <conditionalFormatting sqref="K68:K81">
    <cfRule type="expression" dxfId="103" priority="42">
      <formula>SUM(I68+J68)&lt;&gt;K68</formula>
    </cfRule>
  </conditionalFormatting>
  <conditionalFormatting sqref="K82">
    <cfRule type="expression" dxfId="102" priority="41">
      <formula>SUM(I79+J79)&lt;&gt;K79</formula>
    </cfRule>
  </conditionalFormatting>
  <conditionalFormatting sqref="L18">
    <cfRule type="expression" dxfId="101" priority="125">
      <formula>ISNUMBER(SEARCH(AB18,B18))</formula>
    </cfRule>
  </conditionalFormatting>
  <conditionalFormatting sqref="L68:L82">
    <cfRule type="expression" dxfId="100" priority="6">
      <formula>SUM(G68-K68)&lt;&gt;L68</formula>
    </cfRule>
  </conditionalFormatting>
  <conditionalFormatting sqref="O32:O67 O81:O141">
    <cfRule type="containsText" dxfId="99" priority="170" operator="containsText" text="Error">
      <formula>NOT(ISERROR(SEARCH("Error",O32)))</formula>
    </cfRule>
    <cfRule type="containsText" dxfId="98" priority="168" operator="containsText" text="Information">
      <formula>NOT(ISERROR(SEARCH("Information",O32)))</formula>
    </cfRule>
    <cfRule type="containsText" dxfId="97" priority="169" operator="containsText" text="Warning">
      <formula>NOT(ISERROR(SEARCH("Warning",O32)))</formula>
    </cfRule>
  </conditionalFormatting>
  <conditionalFormatting sqref="O69:O70">
    <cfRule type="containsText" dxfId="96" priority="95" operator="containsText" text="Information">
      <formula>NOT(ISERROR(SEARCH("Information",O69)))</formula>
    </cfRule>
    <cfRule type="containsText" dxfId="95" priority="97" operator="containsText" text="Error">
      <formula>NOT(ISERROR(SEARCH("Error",O69)))</formula>
    </cfRule>
    <cfRule type="containsText" dxfId="94" priority="96" operator="containsText" text="Warning">
      <formula>NOT(ISERROR(SEARCH("Warning",O69)))</formula>
    </cfRule>
  </conditionalFormatting>
  <conditionalFormatting sqref="O72:O73">
    <cfRule type="containsText" dxfId="93" priority="94" operator="containsText" text="Error">
      <formula>NOT(ISERROR(SEARCH("Error",O72)))</formula>
    </cfRule>
    <cfRule type="containsText" dxfId="92" priority="93" operator="containsText" text="Warning">
      <formula>NOT(ISERROR(SEARCH("Warning",O72)))</formula>
    </cfRule>
    <cfRule type="containsText" dxfId="91" priority="92" operator="containsText" text="Information">
      <formula>NOT(ISERROR(SEARCH("Information",O72)))</formula>
    </cfRule>
  </conditionalFormatting>
  <conditionalFormatting sqref="O75:O76">
    <cfRule type="containsText" dxfId="90" priority="91" operator="containsText" text="Error">
      <formula>NOT(ISERROR(SEARCH("Error",O75)))</formula>
    </cfRule>
    <cfRule type="containsText" dxfId="89" priority="90" operator="containsText" text="Warning">
      <formula>NOT(ISERROR(SEARCH("Warning",O75)))</formula>
    </cfRule>
    <cfRule type="containsText" dxfId="88" priority="89" operator="containsText" text="Information">
      <formula>NOT(ISERROR(SEARCH("Information",O75)))</formula>
    </cfRule>
  </conditionalFormatting>
  <conditionalFormatting sqref="O78:O79">
    <cfRule type="containsText" dxfId="87" priority="88" operator="containsText" text="Error">
      <formula>NOT(ISERROR(SEARCH("Error",O78)))</formula>
    </cfRule>
    <cfRule type="containsText" dxfId="86" priority="87" operator="containsText" text="Warning">
      <formula>NOT(ISERROR(SEARCH("Warning",O78)))</formula>
    </cfRule>
    <cfRule type="containsText" dxfId="85" priority="86" operator="containsText" text="Information">
      <formula>NOT(ISERROR(SEARCH("Information",O78)))</formula>
    </cfRule>
  </conditionalFormatting>
  <conditionalFormatting sqref="R66:R67">
    <cfRule type="containsText" dxfId="84" priority="122" operator="containsText" text="Information">
      <formula>NOT(ISERROR(SEARCH("Information",R66)))</formula>
    </cfRule>
    <cfRule type="containsText" dxfId="83" priority="123" operator="containsText" text="Warning">
      <formula>NOT(ISERROR(SEARCH("Warning",R66)))</formula>
    </cfRule>
    <cfRule type="containsText" dxfId="82" priority="124" operator="containsText" text="Error">
      <formula>NOT(ISERROR(SEARCH("Error",R66)))</formula>
    </cfRule>
  </conditionalFormatting>
  <conditionalFormatting sqref="S68 S71 S74 S77 S80">
    <cfRule type="containsText" dxfId="81" priority="105" operator="containsText" text="Warning">
      <formula>NOT(ISERROR(SEARCH("Warning",S68)))</formula>
    </cfRule>
    <cfRule type="containsText" dxfId="80" priority="106" operator="containsText" text="Error">
      <formula>NOT(ISERROR(SEARCH("Error",S68)))</formula>
    </cfRule>
    <cfRule type="containsText" dxfId="79" priority="104" operator="containsText" text="Information">
      <formula>NOT(ISERROR(SEARCH("Information",S68)))</formula>
    </cfRule>
  </conditionalFormatting>
  <hyperlinks>
    <hyperlink ref="N32" location="Memo!C340" display="Memo!C340" xr:uid="{00000000-0004-0000-0600-000000000000}"/>
    <hyperlink ref="N33" location="Memo!C341" display="Memo!C341" xr:uid="{00000000-0004-0000-0600-000001000000}"/>
    <hyperlink ref="N38" location="Memo!C342" display="Memo!C342" xr:uid="{00000000-0004-0000-0600-000002000000}"/>
    <hyperlink ref="N39" location="Memo!C343" display="Memo!C343" xr:uid="{00000000-0004-0000-0600-000003000000}"/>
    <hyperlink ref="N40" location="Memo!C344" display="Memo!C344" xr:uid="{00000000-0004-0000-0600-000004000000}"/>
    <hyperlink ref="N41" location="Memo!C345" display="Memo!C345" xr:uid="{00000000-0004-0000-0600-000005000000}"/>
    <hyperlink ref="N42" location="Memo!C346" display="Memo!C346" xr:uid="{00000000-0004-0000-0600-000006000000}"/>
    <hyperlink ref="N43" location="Memo!C347" display="Memo!C347" xr:uid="{00000000-0004-0000-0600-000007000000}"/>
    <hyperlink ref="N45" location="Memo!C348" display="Memo!C348" xr:uid="{00000000-0004-0000-0600-000008000000}"/>
    <hyperlink ref="N55" location="Memo!C349" display="Memo!C349" xr:uid="{00000000-0004-0000-0600-000009000000}"/>
    <hyperlink ref="N56" location="Memo!C350" display="Memo!C350" xr:uid="{00000000-0004-0000-0600-00000A000000}"/>
    <hyperlink ref="N57" location="Memo!C351" display="Memo!C351" xr:uid="{00000000-0004-0000-0600-00000B000000}"/>
    <hyperlink ref="N58" location="Memo!C352" display="Memo!C352" xr:uid="{00000000-0004-0000-0600-00000C000000}"/>
    <hyperlink ref="N59" location="Memo!C353" display="Memo!C353" xr:uid="{00000000-0004-0000-0600-00000D000000}"/>
    <hyperlink ref="N60" location="Memo!C354" display="Memo!C354" xr:uid="{00000000-0004-0000-0600-00000E000000}"/>
    <hyperlink ref="N61" location="Memo!C355" display="Memo!C355" xr:uid="{00000000-0004-0000-0600-00000F000000}"/>
    <hyperlink ref="N62" location="Memo!C356" display="Memo!C356" xr:uid="{00000000-0004-0000-0600-000010000000}"/>
    <hyperlink ref="N63" location="Memo!C357" display="Memo!C357" xr:uid="{00000000-0004-0000-0600-000011000000}"/>
    <hyperlink ref="N64" location="Memo!C358" display="Memo!C358" xr:uid="{00000000-0004-0000-0600-000012000000}"/>
    <hyperlink ref="N65" location="Memo!C359" display="Memo!C359" xr:uid="{00000000-0004-0000-0600-000013000000}"/>
    <hyperlink ref="N85" location="Memo!C370" display="Memo!C370" xr:uid="{00000000-0004-0000-0600-00001B000000}"/>
    <hyperlink ref="N98" location="Memo!C372" display="Memo!C372" xr:uid="{00000000-0004-0000-0600-00001C000000}"/>
    <hyperlink ref="N121" location="Memo!C398" display="Memo!C398" xr:uid="{00000000-0004-0000-0600-000034000000}"/>
    <hyperlink ref="N133" location="Memo!C401" display="Memo!C401" xr:uid="{00000000-0004-0000-0600-000035000000}"/>
    <hyperlink ref="N134" location="Memo!C402" display="Memo!C402" xr:uid="{00000000-0004-0000-0600-000036000000}"/>
    <hyperlink ref="N135" location="Memo!C403" display="Memo!C403" xr:uid="{00000000-0004-0000-0600-000037000000}"/>
    <hyperlink ref="N136" location="Memo!C404" display="Memo!C404" xr:uid="{00000000-0004-0000-0600-000038000000}"/>
    <hyperlink ref="N139" location="Memo!C399" display="Memo!C399" xr:uid="{00000000-0004-0000-0600-000039000000}"/>
    <hyperlink ref="N141" location="Memo!C400" display="Memo!C400" xr:uid="{00000000-0004-0000-0600-00003A000000}"/>
    <hyperlink ref="R80" location="Memo!C366" display="Memo!C366" xr:uid="{D2B8614E-4C22-484F-96F1-2FC311AEBE66}"/>
    <hyperlink ref="R77" location="Memo!C365" display="Memo!C365" xr:uid="{8C441BE1-2B1C-489D-AA64-AFA04C15D396}"/>
    <hyperlink ref="N66" location="Memo!C360" display="Memo!C360" xr:uid="{2ACA47AC-5692-4051-BC11-C18364ED5AA4}"/>
    <hyperlink ref="R68" location="Memo!C356" display="Memo!C356" xr:uid="{6E641BE4-24C6-4946-9D75-7B03B145C6F4}"/>
    <hyperlink ref="R71" location="Memo!C363" display="Memo!C363" xr:uid="{AB21856C-A6AA-4584-8F26-7C417B07F693}"/>
    <hyperlink ref="R74" location="Memo!C364" display="Memo!C364" xr:uid="{F9DEB1DF-72F6-47A1-A7F2-E0D8F9ABB3EE}"/>
    <hyperlink ref="N99:N119" location="Memo!C365" display="Memo!C365" xr:uid="{4ABD083C-BFBA-4C20-89AB-094FECF00C1D}"/>
    <hyperlink ref="N99" location="Memo!C373" display="Memo!C373" xr:uid="{89EE9756-8A82-4D61-934E-4CD21CB1F7E6}"/>
    <hyperlink ref="N100" location="Memo!C374" display="Memo!C374" xr:uid="{7F15DC75-7780-4247-BC9E-3901FE6A2740}"/>
    <hyperlink ref="N101" location="Memo!C375" display="Memo!C375" xr:uid="{FFB6AE0C-1189-4E9D-BDF0-9235D0F27D94}"/>
    <hyperlink ref="N102" location="Memo!C376" display="Memo!C376" xr:uid="{95CC2389-490C-41E1-ACA3-81A161668C39}"/>
    <hyperlink ref="N103" location="Memo!C377" display="Memo!C377" xr:uid="{92348BC6-26C3-4714-A6C5-027252253BD3}"/>
    <hyperlink ref="N104" location="Memo!C378" display="Memo!C378" xr:uid="{CC02B5A5-5EF6-4C35-9E04-C1164790BBCE}"/>
    <hyperlink ref="N105" location="Memo!C379" display="Memo!C379" xr:uid="{5C1BACE9-2F9E-4D35-B8C8-8B8426FF1EE1}"/>
    <hyperlink ref="N106" location="Memo!C380" display="Memo!C380" xr:uid="{68E49BD3-581C-4A24-A2AE-6C2E2D5EEABB}"/>
    <hyperlink ref="N107" location="Memo!C381" display="Memo!C381" xr:uid="{D536A926-2FA4-433B-958A-4EB4365BF333}"/>
    <hyperlink ref="N108" location="Memo!C382" display="Memo!C382" xr:uid="{98BAE0D1-B313-46DB-B386-97315D00FEF3}"/>
    <hyperlink ref="N109" location="Memo!C383" display="Memo!C383" xr:uid="{CEE41AF4-A7F7-4D29-AD43-5B28CF791D14}"/>
    <hyperlink ref="N110" location="Memo!C385" display="Memo!C385" xr:uid="{9BE7C207-4A57-4ECE-AAD3-7B435DEA8A83}"/>
    <hyperlink ref="N111" location="Memo!C387" display="Memo!C387" xr:uid="{C385905C-83A4-4276-9491-85716B9A69C9}"/>
    <hyperlink ref="N112" location="Memo!C388" display="Memo!C388" xr:uid="{A42C4946-119F-460E-97E5-3795B100CB07}"/>
    <hyperlink ref="N113" location="Memo!C389" display="Memo!C389" xr:uid="{1C19D153-8570-47A5-9A6D-44BD1AB080CF}"/>
    <hyperlink ref="N114" location="Memo!C390" display="Memo!C390" xr:uid="{9513CCB9-52EF-4ADB-B994-0484225326AD}"/>
    <hyperlink ref="N115" location="Memo!C391" display="Memo!C391" xr:uid="{7FBF87A8-2379-43B1-91BE-038C63030A32}"/>
    <hyperlink ref="N116" location="Memo!C392" display="Memo!C392" xr:uid="{2DABF5A7-6C4C-47F4-BFD8-9FC6ECBAC4BB}"/>
    <hyperlink ref="N117" location="Memo!C393" display="Memo!C393" xr:uid="{3363F171-5DB8-476B-B4DA-E4F493D3F47C}"/>
    <hyperlink ref="N118" location="Memo!C394" display="Memo!C394" xr:uid="{841C7A50-A81C-47C5-9C77-FA2459B32605}"/>
    <hyperlink ref="N119" location="Memo!C395" display="Memo!C395" xr:uid="{AD9F3F4B-68F7-4708-910C-169867E1801F}"/>
    <hyperlink ref="N34:N37" location="Memo!C342" display="Memo!C342" xr:uid="{5BDDFBFA-CA42-4CD8-AA29-C36E4E7642CB}"/>
    <hyperlink ref="N67" location="Memo!C360" display="Memo!C360" xr:uid="{864F8991-179F-460F-A6B7-27412A2A3E13}"/>
    <hyperlink ref="B26" r:id="rId1" location="reconciliation-between-asc-fr-and-ro3" display="Click here for reconciliation guidance between ASC-FR and RO3." xr:uid="{D4A9EC72-ED72-4DCB-B4BF-17881C2F2658}"/>
    <hyperlink ref="B27" r:id="rId2" xr:uid="{DA3BA798-628E-41E3-9DE3-89F4935B7765}"/>
    <hyperlink ref="N32:N45" location="Memo!C366" display="Memo!C366" xr:uid="{C81D6397-F29F-4122-9B1B-AB3005429398}"/>
    <hyperlink ref="N55:N67" location="Memo!C366" display="Memo!C366" xr:uid="{714E0DB8-86EA-459C-9452-C04EBAD84EDB}"/>
    <hyperlink ref="N98:N121" location="Memo!C366" display="Memo!C366" xr:uid="{C4E55C26-5134-4A4A-950A-71A7083E8E58}"/>
    <hyperlink ref="N133:N141" location="Memo!C366" display="Memo!C366" xr:uid="{10934F9C-628A-4C67-AFB4-3D09F488941D}"/>
  </hyperlinks>
  <printOptions horizontalCentered="1"/>
  <pageMargins left="0.39370078740157483" right="0.39370078740157483" top="0.39370078740157483" bottom="0.39370078740157483" header="0.19685039370078741" footer="0.19685039370078741"/>
  <pageSetup paperSize="9" scale="55" fitToHeight="2" orientation="landscape" r:id="rId3"/>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BG122"/>
  <sheetViews>
    <sheetView showGridLines="0" topLeftCell="B1" zoomScale="80" zoomScaleNormal="80" zoomScaleSheetLayoutView="30" workbookViewId="0">
      <pane ySplit="2" topLeftCell="A3" activePane="bottomLeft" state="frozen"/>
      <selection pane="bottomLeft" activeCell="B2" sqref="B2:O2"/>
    </sheetView>
  </sheetViews>
  <sheetFormatPr defaultColWidth="0" defaultRowHeight="12.75" customHeight="1" zeroHeight="1" x14ac:dyDescent="0.25"/>
  <cols>
    <col min="1" max="1" width="26.26953125" hidden="1" customWidth="1"/>
    <col min="2" max="2" width="7.26953125" customWidth="1"/>
    <col min="3" max="3" width="48.54296875" customWidth="1"/>
    <col min="4" max="4" width="71.453125" customWidth="1"/>
    <col min="5" max="7" width="18.81640625" customWidth="1"/>
    <col min="8" max="8" width="20.54296875" bestFit="1" customWidth="1"/>
    <col min="9" max="12" width="18.81640625" customWidth="1"/>
    <col min="13" max="15" width="11.81640625" customWidth="1"/>
    <col min="16" max="16" width="8.81640625" customWidth="1"/>
    <col min="17" max="21" width="11.81640625" customWidth="1"/>
    <col min="22" max="22" width="120.453125" hidden="1" customWidth="1"/>
    <col min="23" max="23" width="43.7265625" style="609" hidden="1" customWidth="1"/>
    <col min="24" max="41" width="11.81640625" style="609" hidden="1" customWidth="1"/>
    <col min="42" max="42" width="31.453125" style="609" hidden="1" customWidth="1"/>
    <col min="43" max="16384" width="11.81640625" hidden="1"/>
  </cols>
  <sheetData>
    <row r="1" spans="2:59" ht="21" hidden="1" customHeight="1" x14ac:dyDescent="0.25">
      <c r="B1" t="s">
        <v>43</v>
      </c>
      <c r="C1" s="93" t="s">
        <v>1010</v>
      </c>
      <c r="E1" t="s">
        <v>437</v>
      </c>
      <c r="F1" t="s">
        <v>438</v>
      </c>
      <c r="G1" t="s">
        <v>439</v>
      </c>
      <c r="H1" s="280" t="s">
        <v>440</v>
      </c>
      <c r="I1" t="s">
        <v>441</v>
      </c>
      <c r="J1" t="s">
        <v>442</v>
      </c>
      <c r="K1" t="s">
        <v>443</v>
      </c>
      <c r="L1" t="s">
        <v>444</v>
      </c>
      <c r="Q1" s="686"/>
      <c r="R1" s="686"/>
      <c r="S1" s="686"/>
      <c r="T1" s="686"/>
      <c r="U1" s="686"/>
      <c r="V1" s="686"/>
      <c r="W1" s="639" t="s">
        <v>49</v>
      </c>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c r="BF1" s="686"/>
      <c r="BG1" s="686"/>
    </row>
    <row r="2" spans="2:59" ht="60" customHeight="1" x14ac:dyDescent="0.25">
      <c r="B2" s="1475"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76"/>
      <c r="D2" s="1476"/>
      <c r="E2" s="1476"/>
      <c r="F2" s="1476"/>
      <c r="G2" s="1476"/>
      <c r="H2" s="1476"/>
      <c r="I2" s="1476"/>
      <c r="J2" s="1476"/>
      <c r="K2" s="1476"/>
      <c r="L2" s="1476"/>
      <c r="M2" s="1476"/>
      <c r="N2" s="1476"/>
      <c r="O2" s="1498"/>
      <c r="P2" s="948"/>
      <c r="W2" s="1009" t="s">
        <v>51</v>
      </c>
      <c r="X2" s="603"/>
      <c r="Y2" s="603"/>
      <c r="Z2" s="603"/>
      <c r="AA2" s="603"/>
      <c r="AB2" s="603"/>
      <c r="AC2" s="603"/>
      <c r="AD2" s="603"/>
      <c r="AE2" s="603"/>
      <c r="AF2" s="603"/>
      <c r="AG2" s="603"/>
      <c r="AH2" s="603"/>
      <c r="AI2" s="603"/>
      <c r="AJ2" s="603"/>
      <c r="AK2" s="603"/>
      <c r="AL2" s="603"/>
      <c r="AM2" s="603"/>
      <c r="AN2" s="603"/>
      <c r="AO2" s="603"/>
      <c r="AP2" s="603"/>
    </row>
    <row r="3" spans="2:59" ht="12.75" customHeight="1" x14ac:dyDescent="0.35">
      <c r="B3" s="721"/>
      <c r="C3" s="721"/>
      <c r="D3" s="722"/>
      <c r="E3" s="723"/>
      <c r="F3" s="1"/>
      <c r="G3" s="1"/>
      <c r="H3" s="1"/>
      <c r="I3" s="22"/>
      <c r="J3" s="724"/>
    </row>
    <row r="4" spans="2:59" ht="27.75" customHeight="1" x14ac:dyDescent="0.6">
      <c r="B4" s="721"/>
      <c r="C4" s="721"/>
      <c r="D4" s="722"/>
      <c r="E4" s="723"/>
      <c r="F4" s="1"/>
      <c r="G4" s="1"/>
      <c r="H4" s="1"/>
      <c r="O4" s="725" t="str">
        <f>"RO4 "&amp;YearForm</f>
        <v>RO4 2025-26</v>
      </c>
    </row>
    <row r="5" spans="2:59" ht="12.75" customHeight="1" x14ac:dyDescent="0.35">
      <c r="B5" s="721"/>
      <c r="C5" s="721"/>
      <c r="D5" s="722"/>
      <c r="E5" s="723"/>
      <c r="F5" s="1"/>
      <c r="G5" s="1"/>
      <c r="H5" s="1"/>
    </row>
    <row r="6" spans="2:59" ht="12.75" customHeight="1" x14ac:dyDescent="0.35">
      <c r="B6" s="721"/>
      <c r="C6" s="721"/>
      <c r="D6" s="722"/>
      <c r="E6" s="723"/>
      <c r="F6" s="1"/>
      <c r="G6" s="1"/>
      <c r="H6" s="1"/>
    </row>
    <row r="7" spans="2:59" ht="12.75" customHeight="1" x14ac:dyDescent="0.35">
      <c r="B7" s="721"/>
      <c r="C7" s="721"/>
      <c r="D7" s="722"/>
      <c r="E7" s="723"/>
      <c r="F7" s="1"/>
      <c r="G7" s="1"/>
      <c r="H7" s="1"/>
    </row>
    <row r="8" spans="2:59" ht="12.75" customHeight="1" x14ac:dyDescent="0.35">
      <c r="B8" s="721"/>
      <c r="C8" s="721"/>
      <c r="D8" s="722"/>
      <c r="E8" s="723"/>
      <c r="F8" s="1"/>
      <c r="G8" s="1"/>
      <c r="H8" s="1"/>
    </row>
    <row r="9" spans="2:59" ht="12.75" customHeight="1" x14ac:dyDescent="0.35">
      <c r="B9" s="721"/>
      <c r="C9" s="721"/>
      <c r="D9" s="722"/>
      <c r="E9" s="723"/>
      <c r="F9" s="1"/>
      <c r="G9" s="1"/>
      <c r="H9" s="1"/>
    </row>
    <row r="10" spans="2:59" ht="33" customHeight="1" x14ac:dyDescent="0.25">
      <c r="B10" s="1517" t="str">
        <f>RS!$B$11</f>
        <v>General Fund Revenue Account Outturn</v>
      </c>
      <c r="C10" s="1517"/>
      <c r="D10" s="1517"/>
      <c r="E10" s="1517"/>
      <c r="F10" s="1517"/>
      <c r="G10" s="1517"/>
      <c r="H10" s="1517"/>
      <c r="I10" s="1517"/>
      <c r="J10" s="1517"/>
      <c r="K10" s="1517"/>
      <c r="L10" s="1517"/>
      <c r="M10" s="1517"/>
      <c r="N10" s="1517"/>
      <c r="O10" s="1517"/>
      <c r="P10" s="99"/>
      <c r="Q10" s="99"/>
      <c r="R10" s="99"/>
      <c r="S10" s="99"/>
      <c r="T10" s="99"/>
      <c r="U10" s="99"/>
    </row>
    <row r="11" spans="2:59" ht="33" customHeight="1" x14ac:dyDescent="0.25">
      <c r="B11" s="1518" t="str">
        <f>"RO4 –  HOUSING SERVICES "&amp;YearForm</f>
        <v>RO4 –  HOUSING SERVICES 2025-26</v>
      </c>
      <c r="C11" s="1519"/>
      <c r="D11" s="1519"/>
      <c r="E11" s="1519"/>
      <c r="F11" s="1519"/>
      <c r="G11" s="1519"/>
      <c r="H11" s="1519"/>
      <c r="I11" s="1519"/>
      <c r="J11" s="1519"/>
      <c r="K11" s="1519"/>
      <c r="L11" s="1519"/>
      <c r="M11" s="1519"/>
      <c r="N11" s="1519"/>
      <c r="O11" s="1519"/>
      <c r="P11" s="99"/>
      <c r="Q11" s="99"/>
      <c r="R11" s="99"/>
      <c r="S11" s="99"/>
      <c r="T11" s="99"/>
      <c r="U11" s="99"/>
    </row>
    <row r="12" spans="2:59" ht="14.15" customHeight="1" x14ac:dyDescent="0.35">
      <c r="B12" s="721"/>
      <c r="C12" s="721"/>
      <c r="D12" s="722"/>
      <c r="E12" s="723"/>
      <c r="F12" s="1"/>
      <c r="G12" s="1"/>
      <c r="H12" s="1"/>
    </row>
    <row r="13" spans="2:59" ht="18.75" customHeight="1" x14ac:dyDescent="0.4">
      <c r="B13" s="1461" t="str">
        <f>"For return by: Provisional data: "&amp;deadline_provisional&amp;",  Certified data: "&amp;deadline_certify&amp;""</f>
        <v>For return by: Provisional data: Friday 24 July 2026,  Certified data: Friday 9 October 2026</v>
      </c>
      <c r="C13" s="1462"/>
      <c r="D13" s="1462"/>
      <c r="E13" s="1462"/>
      <c r="F13" s="1462"/>
      <c r="G13" s="1462"/>
      <c r="H13" s="1462"/>
      <c r="I13" s="1462"/>
      <c r="J13" s="1462"/>
      <c r="K13" s="1462"/>
      <c r="L13" s="1462"/>
      <c r="M13" s="1462"/>
      <c r="N13" s="1462"/>
      <c r="O13" s="1462"/>
    </row>
    <row r="14" spans="2:59" ht="12" customHeight="1" x14ac:dyDescent="0.3">
      <c r="B14" s="22"/>
      <c r="C14" s="22"/>
      <c r="D14" s="22"/>
      <c r="E14" s="22"/>
      <c r="F14" s="22"/>
      <c r="G14" s="22"/>
      <c r="H14" s="22"/>
      <c r="I14" s="22"/>
      <c r="J14" s="22"/>
      <c r="K14" s="22"/>
      <c r="L14" s="726"/>
      <c r="M14" s="22"/>
      <c r="N14" s="22"/>
      <c r="O14" s="22"/>
      <c r="P14" s="22"/>
      <c r="Q14" s="1"/>
    </row>
    <row r="15" spans="2:59" ht="21" customHeight="1" x14ac:dyDescent="0.25">
      <c r="B15" s="1502" t="s">
        <v>725</v>
      </c>
      <c r="C15" s="1502"/>
      <c r="D15" s="1502"/>
      <c r="E15" s="1502"/>
      <c r="F15" s="1502"/>
      <c r="G15" s="1502"/>
      <c r="H15" s="1502"/>
      <c r="I15" s="1502"/>
      <c r="J15" s="1502"/>
      <c r="K15" s="1502"/>
      <c r="L15" s="1502"/>
      <c r="M15" s="1502"/>
      <c r="N15" s="1502"/>
      <c r="O15" s="1502"/>
      <c r="P15" s="345"/>
      <c r="Q15" s="345"/>
    </row>
    <row r="16" spans="2:59" ht="21" customHeight="1" x14ac:dyDescent="0.25">
      <c r="B16" s="1516" t="s">
        <v>57</v>
      </c>
      <c r="C16" s="1516"/>
      <c r="D16" s="1516"/>
      <c r="E16" s="1516"/>
      <c r="F16" s="1516"/>
      <c r="G16" s="1516"/>
      <c r="H16" s="1516"/>
      <c r="I16" s="1516"/>
      <c r="J16" s="1516"/>
      <c r="K16" s="1516"/>
      <c r="L16" s="1516"/>
      <c r="M16" s="1516"/>
      <c r="N16" s="1516"/>
      <c r="O16" s="1516"/>
      <c r="P16" s="22"/>
      <c r="Q16" s="1"/>
    </row>
    <row r="17" spans="1:40" ht="20" x14ac:dyDescent="0.35">
      <c r="B17" s="727" t="str">
        <f>TRIM(LEFT(B$11,3))&amp;" error summary:"</f>
        <v>RO4 error summary:</v>
      </c>
      <c r="C17" s="728"/>
      <c r="D17" s="728"/>
      <c r="E17" s="22"/>
      <c r="F17" s="729"/>
      <c r="G17" s="22"/>
      <c r="H17" s="22"/>
      <c r="I17" s="22"/>
      <c r="J17" s="730"/>
      <c r="K17" s="731"/>
      <c r="L17" s="726"/>
      <c r="M17" s="22"/>
      <c r="N17" s="22"/>
      <c r="O17" s="22"/>
      <c r="P17" s="22"/>
      <c r="Q17" s="1"/>
    </row>
    <row r="18" spans="1:40" ht="32.15" customHeight="1" x14ac:dyDescent="0.35">
      <c r="A18" t="s">
        <v>89</v>
      </c>
      <c r="B18" s="732" t="str">
        <f>IF(AND(COUNTIF($O$32:$O$110,"Error")=0,COUNTIF($O$32:$O$110,"Warning")=0),("There are no outstanding errors or warnings with the "&amp;TRIM(LEFT(B$11,3))&amp;" section of the form. Thank you."),("There are "&amp;COUNTIF($O$32:$O$110,"Error")&amp;" outstanding error(s) and "&amp;COUNTIF($O$32:$O$110,"Warning")&amp;" outstanding warning(s) with the "&amp;TRIM(LEFT(B$11,3))&amp;" section of the form. Please resolve and/or explain these before submitting."))</f>
        <v>There are no outstanding errors or warnings with the RO4 section of the form. Thank you.</v>
      </c>
      <c r="C18" s="733"/>
      <c r="D18" s="733"/>
      <c r="E18" s="1138"/>
      <c r="F18" s="1138"/>
      <c r="G18" s="1138"/>
      <c r="H18" s="1138"/>
      <c r="I18" s="1138"/>
      <c r="J18" s="1138"/>
      <c r="K18" s="1138"/>
      <c r="L18" s="1138"/>
      <c r="M18" s="22"/>
      <c r="N18" s="22"/>
      <c r="O18" s="22"/>
      <c r="P18" s="22"/>
      <c r="Q18" s="1"/>
      <c r="AB18" s="631" t="s">
        <v>53</v>
      </c>
    </row>
    <row r="19" spans="1:40" ht="20.149999999999999" customHeight="1" x14ac:dyDescent="0.35">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row>
    <row r="20" spans="1:40" ht="12" customHeight="1" x14ac:dyDescent="0.35">
      <c r="B20" s="735"/>
      <c r="C20" s="735"/>
      <c r="D20" s="735"/>
      <c r="E20" s="736"/>
      <c r="F20" s="736"/>
      <c r="G20" s="736"/>
      <c r="H20" s="736"/>
      <c r="I20" s="736"/>
      <c r="J20" s="736"/>
      <c r="K20" s="736"/>
      <c r="L20" s="726"/>
      <c r="M20" s="22"/>
      <c r="N20" s="22"/>
      <c r="O20" s="22"/>
      <c r="P20" s="22"/>
      <c r="Q20" s="1"/>
    </row>
    <row r="21" spans="1:40" ht="25" x14ac:dyDescent="0.5">
      <c r="B21" s="737" t="str">
        <f>RS!$B$21</f>
        <v>Please select your authority name on Title page</v>
      </c>
      <c r="C21" s="738"/>
      <c r="D21" s="739"/>
      <c r="E21" s="739"/>
      <c r="F21" s="739"/>
      <c r="G21" s="739"/>
      <c r="H21" s="739"/>
      <c r="I21" s="739"/>
      <c r="J21" s="739"/>
      <c r="K21" s="739"/>
      <c r="L21" s="739"/>
    </row>
    <row r="22" spans="1:40" ht="18" x14ac:dyDescent="0.4">
      <c r="B22" s="740" t="str">
        <f>ContactDetails!C25</f>
        <v>E-code</v>
      </c>
      <c r="C22" s="741"/>
      <c r="D22" s="742"/>
      <c r="E22" s="743"/>
      <c r="F22" s="743"/>
      <c r="G22" s="744"/>
      <c r="H22" s="744"/>
      <c r="I22" s="743"/>
      <c r="J22" s="743"/>
      <c r="K22" s="744"/>
      <c r="L22" s="744"/>
    </row>
    <row r="23" spans="1:40" ht="18" x14ac:dyDescent="0.4">
      <c r="B23" s="741"/>
      <c r="C23" s="741"/>
      <c r="D23" s="742"/>
      <c r="E23" s="743"/>
      <c r="F23" s="743"/>
      <c r="G23" s="744"/>
      <c r="H23" s="744"/>
      <c r="I23" s="743"/>
      <c r="J23" s="743"/>
      <c r="K23" s="744"/>
      <c r="L23" s="744"/>
    </row>
    <row r="24" spans="1:40" ht="15.5" x14ac:dyDescent="0.35">
      <c r="B24" s="745"/>
      <c r="C24" s="745"/>
      <c r="D24" s="746"/>
      <c r="E24" s="746"/>
      <c r="F24" s="747"/>
      <c r="G24" s="744"/>
      <c r="H24" s="185" t="s">
        <v>449</v>
      </c>
      <c r="I24" s="743"/>
      <c r="J24" s="743"/>
      <c r="K24" s="744"/>
      <c r="L24" s="744"/>
    </row>
    <row r="25" spans="1:40" ht="15.5" x14ac:dyDescent="0.35">
      <c r="E25" s="743"/>
      <c r="F25" s="744" t="s">
        <v>450</v>
      </c>
      <c r="G25" s="744" t="s">
        <v>451</v>
      </c>
      <c r="H25" s="185" t="s">
        <v>452</v>
      </c>
      <c r="I25" s="744" t="s">
        <v>453</v>
      </c>
      <c r="J25" s="744" t="s">
        <v>454</v>
      </c>
      <c r="K25" s="744" t="s">
        <v>451</v>
      </c>
      <c r="L25" s="744" t="s">
        <v>455</v>
      </c>
    </row>
    <row r="26" spans="1:40" ht="15.5" x14ac:dyDescent="0.35">
      <c r="E26" s="744" t="s">
        <v>456</v>
      </c>
      <c r="F26" s="744" t="s">
        <v>457</v>
      </c>
      <c r="G26" s="744" t="s">
        <v>458</v>
      </c>
      <c r="H26" s="185" t="s">
        <v>459</v>
      </c>
      <c r="I26" s="744" t="s">
        <v>460</v>
      </c>
      <c r="J26" s="744" t="s">
        <v>461</v>
      </c>
      <c r="K26" s="744" t="s">
        <v>461</v>
      </c>
      <c r="L26" s="744" t="s">
        <v>458</v>
      </c>
    </row>
    <row r="27" spans="1:40" ht="15.5" x14ac:dyDescent="0.35">
      <c r="B27" s="748"/>
      <c r="C27" s="748"/>
      <c r="E27" s="749" t="s">
        <v>60</v>
      </c>
      <c r="F27" s="749" t="s">
        <v>60</v>
      </c>
      <c r="G27" s="749" t="s">
        <v>60</v>
      </c>
      <c r="H27" s="258" t="s">
        <v>60</v>
      </c>
      <c r="I27" s="749" t="s">
        <v>60</v>
      </c>
      <c r="J27" s="749" t="s">
        <v>60</v>
      </c>
      <c r="K27" s="749" t="s">
        <v>60</v>
      </c>
      <c r="L27" s="749" t="s">
        <v>60</v>
      </c>
    </row>
    <row r="28" spans="1:40" ht="15.5" x14ac:dyDescent="0.35">
      <c r="E28" s="749"/>
      <c r="F28" s="749"/>
      <c r="G28" s="749"/>
      <c r="H28" s="749"/>
      <c r="I28" s="749"/>
      <c r="J28" s="749"/>
      <c r="K28" s="749"/>
      <c r="L28" s="749"/>
    </row>
    <row r="29" spans="1:40" ht="13" x14ac:dyDescent="0.3">
      <c r="E29" s="750" t="s">
        <v>61</v>
      </c>
      <c r="F29" s="750" t="s">
        <v>462</v>
      </c>
      <c r="G29" s="750" t="s">
        <v>463</v>
      </c>
      <c r="H29" s="187" t="s">
        <v>464</v>
      </c>
      <c r="I29" s="750" t="s">
        <v>465</v>
      </c>
      <c r="J29" s="750" t="s">
        <v>466</v>
      </c>
      <c r="K29" s="750" t="s">
        <v>467</v>
      </c>
      <c r="L29" s="750" t="s">
        <v>468</v>
      </c>
    </row>
    <row r="30" spans="1:40" ht="13" x14ac:dyDescent="0.3">
      <c r="B30" s="1"/>
      <c r="C30" s="1"/>
      <c r="E30" s="742"/>
      <c r="F30" s="742"/>
      <c r="G30" s="742"/>
      <c r="H30" s="1210" t="s">
        <v>469</v>
      </c>
      <c r="I30" s="742"/>
      <c r="J30" s="742"/>
      <c r="K30" s="742"/>
      <c r="L30" s="742"/>
      <c r="AD30" s="614" t="s">
        <v>62</v>
      </c>
    </row>
    <row r="31" spans="1:40" ht="18" customHeight="1" x14ac:dyDescent="0.3">
      <c r="B31" s="1"/>
      <c r="C31" s="1"/>
      <c r="E31" s="742"/>
      <c r="F31" s="742"/>
      <c r="G31" s="742"/>
      <c r="H31" s="742"/>
      <c r="I31" s="742"/>
      <c r="J31" s="742"/>
      <c r="K31" s="742"/>
      <c r="L31" s="742"/>
      <c r="AD31" s="614" t="s">
        <v>64</v>
      </c>
      <c r="AE31" s="614" t="s">
        <v>65</v>
      </c>
      <c r="AF31" s="614" t="s">
        <v>66</v>
      </c>
      <c r="AG31" s="614" t="s">
        <v>67</v>
      </c>
      <c r="AH31" s="614" t="s">
        <v>68</v>
      </c>
      <c r="AI31" s="614" t="s">
        <v>69</v>
      </c>
      <c r="AJ31" s="614" t="s">
        <v>70</v>
      </c>
      <c r="AK31" s="614" t="s">
        <v>71</v>
      </c>
      <c r="AL31" s="614" t="s">
        <v>72</v>
      </c>
      <c r="AM31" s="614" t="s">
        <v>73</v>
      </c>
      <c r="AN31" s="614" t="s">
        <v>727</v>
      </c>
    </row>
    <row r="32" spans="1:40" ht="15.5" x14ac:dyDescent="0.35">
      <c r="A32" t="s">
        <v>1011</v>
      </c>
      <c r="B32" s="751">
        <v>10</v>
      </c>
      <c r="C32" s="752" t="s">
        <v>1012</v>
      </c>
      <c r="E32" s="1222"/>
      <c r="F32" s="1222"/>
      <c r="G32" s="1223">
        <f>SUM(E32:F32)</f>
        <v>0</v>
      </c>
      <c r="H32" s="1271"/>
      <c r="I32" s="1222"/>
      <c r="J32" s="1222"/>
      <c r="K32" s="1223">
        <f>SUM(I32:J32)</f>
        <v>0</v>
      </c>
      <c r="L32" s="1223">
        <f>G32-K32</f>
        <v>0</v>
      </c>
      <c r="N32" s="1181" t="str">
        <f>IF(ISERROR(O32),"",IF((O32="Error"),"add explanation",IF((O32="Warning"),"add explanation","")))</f>
        <v/>
      </c>
      <c r="O32" s="754" t="str">
        <f>IF(OR((K32&lt;&gt;(I32+J32)),(G32&lt;&gt;(E32+F32)),(L32&lt;&gt;(G32-K32)),AN32="Error"),"Error",IF(AM32="Warning","Warning",""))</f>
        <v/>
      </c>
      <c r="Q32" s="755"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VLOOKUP("RO4"&amp;$B32,data_val_parameters,8,0)/100</f>
        <v>0.35</v>
      </c>
      <c r="AE32" s="609">
        <f>VLOOKUP("RO4"&amp;$B32,data_val_parameters,7,0)</f>
        <v>3000</v>
      </c>
      <c r="AF32" s="609" t="e">
        <f>VLOOKUP(LA_code,data_prev_year,MATCH("RO4"&amp;$B32&amp;"7",data_prev_year_headers,0),0)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5" x14ac:dyDescent="0.35">
      <c r="B33" s="3" t="s">
        <v>253</v>
      </c>
      <c r="C33" s="756" t="s">
        <v>253</v>
      </c>
      <c r="E33" s="757"/>
      <c r="F33" s="757"/>
      <c r="G33" s="758"/>
      <c r="H33" s="757"/>
      <c r="I33" s="757"/>
      <c r="J33" s="757"/>
      <c r="K33" s="758"/>
      <c r="L33" s="758"/>
      <c r="N33" s="1181"/>
      <c r="O33" s="754"/>
      <c r="Q33" s="755"/>
    </row>
    <row r="34" spans="1:40" ht="15.5" x14ac:dyDescent="0.35">
      <c r="A34" t="s">
        <v>1013</v>
      </c>
      <c r="B34" s="751">
        <v>20</v>
      </c>
      <c r="C34" s="752" t="s">
        <v>1014</v>
      </c>
      <c r="E34" s="1222"/>
      <c r="F34" s="1222"/>
      <c r="G34" s="1223">
        <f>SUM(E34:F34)</f>
        <v>0</v>
      </c>
      <c r="H34" s="1271"/>
      <c r="I34" s="1222"/>
      <c r="J34" s="1222"/>
      <c r="K34" s="1223">
        <f>SUM(I34:J34)</f>
        <v>0</v>
      </c>
      <c r="L34" s="1223">
        <f>G34-K34</f>
        <v>0</v>
      </c>
      <c r="N34" s="1181" t="str">
        <f>IF(ISERROR(O34),"",IF((O34="Error"),"add explanation",IF((O34="Warning"),"add explanation","")))</f>
        <v/>
      </c>
      <c r="O34" s="754" t="str">
        <f t="shared" ref="O34:O46" si="0">IF(OR((K34&lt;&gt;(I34+J34)),(G34&lt;&gt;(E34+F34)),(L34&lt;&gt;(G34-K34)),AN34="Error"),"Error",IF(AM34="Warning","Warning",""))</f>
        <v/>
      </c>
      <c r="Q34" s="755" t="str">
        <f t="shared" ref="Q34:Q38"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VLOOKUP("RO4"&amp;$B34,data_val_parameters,8,0)/100</f>
        <v>0.35</v>
      </c>
      <c r="AE34" s="609">
        <f>VLOOKUP("RO4"&amp;$B34,data_val_parameters,7,0)</f>
        <v>4000</v>
      </c>
      <c r="AF34" s="609" t="e">
        <f>VLOOKUP(LA_code,data_prev_year,MATCH("RO4"&amp;$B34&amp;"7",data_prev_year_headers,0),0)</f>
        <v>#N/A</v>
      </c>
      <c r="AG34" s="609" t="e">
        <f t="shared" ref="AG34:AG63" si="2">AF34+AE34</f>
        <v>#N/A</v>
      </c>
      <c r="AH34" s="609" t="e">
        <f t="shared" ref="AH34:AH63" si="3">AF34-AE34</f>
        <v>#N/A</v>
      </c>
      <c r="AI34" s="609" t="e">
        <f t="shared" ref="AI34:AI63" si="4">AF34+(AF34*AD34)</f>
        <v>#N/A</v>
      </c>
      <c r="AJ34" s="609" t="e">
        <f t="shared" ref="AJ34:AJ63" si="5">AF34-(AF34*AD34)</f>
        <v>#N/A</v>
      </c>
      <c r="AK34" s="609" t="e">
        <f t="shared" ref="AK34:AK41" si="6">IF(OR(L34&lt;AH34,L34&gt;AG34),"Warning","")</f>
        <v>#N/A</v>
      </c>
      <c r="AL34" s="609" t="e">
        <f t="shared" ref="AL34:AL41" si="7">IF(OR(L34&gt;(AI34),L34&lt;(AJ34)),"Warning","")</f>
        <v>#N/A</v>
      </c>
      <c r="AM34" s="609" t="str">
        <f>IF(OR(L34=0),"",IF(AND(AK34="Warning",AL34="Warning"),"Warning",""))</f>
        <v/>
      </c>
      <c r="AN34" s="609" t="str">
        <f t="shared" ref="AN34:AN63" si="8">IF(OR(I34&lt;0,J34&lt;0),"Error","")</f>
        <v/>
      </c>
    </row>
    <row r="35" spans="1:40" ht="15.5" x14ac:dyDescent="0.35">
      <c r="B35" s="3" t="s">
        <v>253</v>
      </c>
      <c r="C35" s="756" t="s">
        <v>253</v>
      </c>
      <c r="E35" s="757"/>
      <c r="F35" s="757"/>
      <c r="G35" s="758"/>
      <c r="H35" s="757"/>
      <c r="I35" s="757"/>
      <c r="J35" s="757"/>
      <c r="K35" s="758"/>
      <c r="L35" s="758"/>
      <c r="N35" s="1181"/>
      <c r="O35" s="754"/>
      <c r="Q35" s="755"/>
    </row>
    <row r="36" spans="1:40" ht="18" x14ac:dyDescent="0.4">
      <c r="B36" s="759" t="s">
        <v>1015</v>
      </c>
      <c r="C36" s="756"/>
      <c r="E36" s="757"/>
      <c r="F36" s="757"/>
      <c r="G36" s="758"/>
      <c r="H36" s="757"/>
      <c r="I36" s="757"/>
      <c r="J36" s="757"/>
      <c r="K36" s="758"/>
      <c r="L36" s="758"/>
      <c r="N36" s="1181"/>
      <c r="O36" s="754"/>
      <c r="Q36" s="755"/>
    </row>
    <row r="37" spans="1:40" ht="15.5" x14ac:dyDescent="0.35">
      <c r="A37" t="s">
        <v>1016</v>
      </c>
      <c r="B37" s="760">
        <v>31</v>
      </c>
      <c r="C37" s="752" t="s">
        <v>1017</v>
      </c>
      <c r="E37" s="1222"/>
      <c r="F37" s="1222"/>
      <c r="G37" s="1223">
        <f>SUM(E37:F37)</f>
        <v>0</v>
      </c>
      <c r="H37" s="1271"/>
      <c r="I37" s="1222"/>
      <c r="J37" s="1222"/>
      <c r="K37" s="1223">
        <f>SUM(I37:J37)</f>
        <v>0</v>
      </c>
      <c r="L37" s="1223">
        <f>G37-K37</f>
        <v>0</v>
      </c>
      <c r="N37" s="1181" t="str">
        <f>IF(ISERROR(O37),"",IF((O37="Error"),"add explanation",IF((O37="Warning"),"add explanation","")))</f>
        <v/>
      </c>
      <c r="O37" s="754" t="str">
        <f t="shared" si="0"/>
        <v/>
      </c>
      <c r="Q37" s="755" t="str">
        <f t="shared" si="1"/>
        <v/>
      </c>
      <c r="AD37" s="609">
        <f>VLOOKUP("RO4"&amp;$B37,data_val_parameters,8,0)/100</f>
        <v>0.35</v>
      </c>
      <c r="AE37" s="609">
        <f>VLOOKUP("RO4"&amp;$B37,data_val_parameters,7,0)</f>
        <v>4000</v>
      </c>
      <c r="AF37" s="609" t="e">
        <f>VLOOKUP(LA_code,data_prev_year,MATCH("RO4"&amp;$B37&amp;"7",data_prev_year_headers,0),0)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row>
    <row r="38" spans="1:40" ht="15.5" x14ac:dyDescent="0.35">
      <c r="A38" t="s">
        <v>1018</v>
      </c>
      <c r="B38" s="760">
        <v>38</v>
      </c>
      <c r="C38" s="752" t="s">
        <v>1019</v>
      </c>
      <c r="E38" s="1222"/>
      <c r="F38" s="1222"/>
      <c r="G38" s="1223">
        <f>SUM(E38:F38)</f>
        <v>0</v>
      </c>
      <c r="H38" s="1271"/>
      <c r="I38" s="1222"/>
      <c r="J38" s="1222"/>
      <c r="K38" s="1223">
        <f>SUM(I38:J38)</f>
        <v>0</v>
      </c>
      <c r="L38" s="1223">
        <f>G38-K38</f>
        <v>0</v>
      </c>
      <c r="N38" s="1181" t="str">
        <f>IF(ISERROR(O38),"",IF((O38="Error"),"add explanation",IF((O38="Warning"),"add explanation","")))</f>
        <v/>
      </c>
      <c r="O38" s="754" t="str">
        <f t="shared" si="0"/>
        <v/>
      </c>
      <c r="Q38" s="755" t="str">
        <f t="shared" si="1"/>
        <v/>
      </c>
      <c r="AD38" s="609">
        <f>VLOOKUP("RO4"&amp;$B38,data_val_parameters,8,0)/100</f>
        <v>0.35</v>
      </c>
      <c r="AE38" s="609">
        <f>VLOOKUP("RO4"&amp;$B38,data_val_parameters,7,0)</f>
        <v>4000</v>
      </c>
      <c r="AF38" s="609" t="e">
        <f>VLOOKUP(LA_code,data_prev_year,MATCH("RO4"&amp;$B38&amp;"7",data_prev_year_headers,0),0)</f>
        <v>#N/A</v>
      </c>
      <c r="AG38" s="609" t="e">
        <f t="shared" si="2"/>
        <v>#N/A</v>
      </c>
      <c r="AH38" s="609" t="e">
        <f t="shared" si="3"/>
        <v>#N/A</v>
      </c>
      <c r="AI38" s="609" t="e">
        <f t="shared" si="4"/>
        <v>#N/A</v>
      </c>
      <c r="AJ38" s="609" t="e">
        <f t="shared" si="5"/>
        <v>#N/A</v>
      </c>
      <c r="AK38" s="609" t="e">
        <f t="shared" si="6"/>
        <v>#N/A</v>
      </c>
      <c r="AL38" s="609" t="e">
        <f t="shared" si="7"/>
        <v>#N/A</v>
      </c>
      <c r="AM38" s="609" t="str">
        <f>IF(OR(L38=0),"",IF(AND(AK38="Warning",AL38="Warning"),"Warning",""))</f>
        <v/>
      </c>
      <c r="AN38" s="609" t="str">
        <f t="shared" si="8"/>
        <v/>
      </c>
    </row>
    <row r="39" spans="1:40" ht="15.5" x14ac:dyDescent="0.35">
      <c r="B39" s="3" t="s">
        <v>253</v>
      </c>
      <c r="C39" s="756" t="s">
        <v>253</v>
      </c>
      <c r="E39" s="761"/>
      <c r="F39" s="757"/>
      <c r="G39" s="758"/>
      <c r="H39" s="757"/>
      <c r="I39" s="757"/>
      <c r="J39" s="757"/>
      <c r="K39" s="758"/>
      <c r="L39" s="758"/>
      <c r="N39" s="1182"/>
      <c r="O39" s="754"/>
      <c r="Q39" s="755"/>
    </row>
    <row r="40" spans="1:40" ht="18" x14ac:dyDescent="0.4">
      <c r="B40" s="759" t="s">
        <v>1020</v>
      </c>
      <c r="C40" s="756"/>
      <c r="E40" s="761"/>
      <c r="F40" s="757"/>
      <c r="G40" s="758"/>
      <c r="H40" s="757"/>
      <c r="I40" s="757"/>
      <c r="J40" s="757"/>
      <c r="K40" s="758"/>
      <c r="L40" s="758"/>
      <c r="N40" s="1182"/>
      <c r="O40" s="754"/>
      <c r="Q40" s="755"/>
    </row>
    <row r="41" spans="1:40" ht="15.5" x14ac:dyDescent="0.35">
      <c r="A41" t="s">
        <v>1021</v>
      </c>
      <c r="B41" s="760">
        <v>80</v>
      </c>
      <c r="C41" s="752" t="s">
        <v>1022</v>
      </c>
      <c r="E41" s="1222"/>
      <c r="F41" s="1222"/>
      <c r="G41" s="1223">
        <f t="shared" ref="G41:G50" si="9">SUM(E41:F41)</f>
        <v>0</v>
      </c>
      <c r="H41" s="1271"/>
      <c r="I41" s="1222"/>
      <c r="J41" s="1222"/>
      <c r="K41" s="1223">
        <f t="shared" ref="K41:K50" si="10">SUM(I41:J41)</f>
        <v>0</v>
      </c>
      <c r="L41" s="1223">
        <f t="shared" ref="L41:L50" si="11">G41-K41</f>
        <v>0</v>
      </c>
      <c r="M41" s="1"/>
      <c r="N41" s="1187" t="str">
        <f t="shared" ref="N41:N48" si="12">IF(ISERROR(O41),"",IF((O41="Error"),"add explanation",IF((O41="Warning"),"add explanation","")))</f>
        <v/>
      </c>
      <c r="O41" s="754" t="str">
        <f t="shared" si="0"/>
        <v/>
      </c>
      <c r="P41" s="1123"/>
      <c r="Q41" s="755" t="e">
        <f>IF(AND($O41="Error",$AN41="Error"),"Sales, Fees &amp; Charges or Other Income figure is negative",IF($O41="Error","A total column for "&amp;($C41)&amp;" does not match the sum of the components, please correct",IF($O41="Warning","This year's figure is over "&amp;AE41/1000&amp;" million and "&amp;(AD41*100)&amp;"% different to "&amp;TEXT(AF41,"#,###")&amp;" last year, please explain",IF(OR(AND(G41=0,VLOOKUP(LA_code,'LA Data'!A3:AR416,37,0)&gt;0),AND(G41&gt;0,VLOOKUP(LA_code,'LA Data'!A3:AR416,37,0)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1" s="1"/>
      <c r="V41" s="762"/>
      <c r="X41" s="619"/>
      <c r="AD41" s="609">
        <f t="shared" ref="AD41:AD50" si="13">VLOOKUP("RO4"&amp;$B41,data_val_parameters,8,0)/100</f>
        <v>0.35</v>
      </c>
      <c r="AE41" s="609">
        <f t="shared" ref="AE41:AE49" si="14">VLOOKUP("RO4"&amp;$B41,data_val_parameters,7,0)</f>
        <v>4000</v>
      </c>
      <c r="AF41" s="609" t="e">
        <f t="shared" ref="AF41:AF49" si="15">VLOOKUP(LA_code,data_prev_year,MATCH("RO4"&amp;$B41&amp;"7",data_prev_year_headers,0),0)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 t="shared" ref="AM41" si="16">IF(OR(L41=0),"",IF(AND(AK41="Warning",AL41="Warning"),"Warning",""))</f>
        <v/>
      </c>
      <c r="AN41" s="609" t="str">
        <f t="shared" si="8"/>
        <v/>
      </c>
    </row>
    <row r="42" spans="1:40" ht="15.5" x14ac:dyDescent="0.35">
      <c r="A42" t="s">
        <v>1023</v>
      </c>
      <c r="B42" s="763">
        <v>81</v>
      </c>
      <c r="C42" s="752" t="s">
        <v>1024</v>
      </c>
      <c r="E42" s="1222"/>
      <c r="F42" s="1222"/>
      <c r="G42" s="1223">
        <f t="shared" si="9"/>
        <v>0</v>
      </c>
      <c r="H42" s="1271"/>
      <c r="I42" s="1222"/>
      <c r="J42" s="1222"/>
      <c r="K42" s="1223">
        <f t="shared" si="10"/>
        <v>0</v>
      </c>
      <c r="L42" s="1223">
        <f t="shared" si="11"/>
        <v>0</v>
      </c>
      <c r="M42" s="1"/>
      <c r="N42" s="1187" t="str">
        <f t="shared" si="12"/>
        <v/>
      </c>
      <c r="O42" s="754" t="str">
        <f t="shared" si="0"/>
        <v/>
      </c>
      <c r="P42" s="1123"/>
      <c r="Q42" s="755" t="e">
        <f>IF(AND($O42="Error",$AN42="Error"),"Sales, Fees &amp; Charges or Other Income figure is negative",IF($O42="Error","A total column for "&amp;($C42)&amp;" does not match the sum of the components, please correct",IF($O42="Warning","This year's figure is over "&amp;AE42/1000&amp;" million and "&amp;(AD42*100)&amp;"% different to "&amp;TEXT(AF42,"#,###")&amp;" last year, please explain",IF(OR(AND(G42=0,VLOOKUP(LA_code,'LA Data'!A4:AR417,39,0)&gt;0),AND(G42&gt;0,VLOOKUP(LA_code,'LA Data'!A4:AR417,39,0)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2" s="1"/>
      <c r="V42" s="762"/>
      <c r="X42" s="619"/>
      <c r="AD42" s="609">
        <f t="shared" si="13"/>
        <v>0.35</v>
      </c>
      <c r="AE42" s="609">
        <f t="shared" si="14"/>
        <v>4000</v>
      </c>
      <c r="AF42" s="609" t="e">
        <f t="shared" si="15"/>
        <v>#N/A</v>
      </c>
      <c r="AG42" s="609" t="e">
        <f>AF42+AE42</f>
        <v>#N/A</v>
      </c>
      <c r="AH42" s="609" t="e">
        <f>AF42-AE42</f>
        <v>#N/A</v>
      </c>
      <c r="AI42" s="609" t="e">
        <f>AF42+(AF42*AD42)</f>
        <v>#N/A</v>
      </c>
      <c r="AJ42" s="609" t="e">
        <f>AF42-(AF42*AD42)</f>
        <v>#N/A</v>
      </c>
      <c r="AK42" s="609" t="e">
        <f>IF(OR(L42&lt;AH42,L42&gt;AG42),"Warning","")</f>
        <v>#N/A</v>
      </c>
      <c r="AL42" s="609" t="e">
        <f>IF(OR(L42&gt;(AI42),L42&lt;(AJ42)),"Warning","")</f>
        <v>#N/A</v>
      </c>
      <c r="AM42" s="609" t="str">
        <f>IF(OR(L42=0),"",IF(AND(AK42="Warning",AL42="Warning"),"Warning",""))</f>
        <v/>
      </c>
      <c r="AN42" s="609" t="str">
        <f t="shared" si="8"/>
        <v/>
      </c>
    </row>
    <row r="43" spans="1:40" ht="17.5" customHeight="1" x14ac:dyDescent="0.35">
      <c r="A43" s="601" t="s">
        <v>1025</v>
      </c>
      <c r="B43" s="760">
        <v>82</v>
      </c>
      <c r="C43" s="752" t="s">
        <v>1026</v>
      </c>
      <c r="E43" s="1222"/>
      <c r="F43" s="1222"/>
      <c r="G43" s="1223">
        <f t="shared" si="9"/>
        <v>0</v>
      </c>
      <c r="H43" s="1271"/>
      <c r="I43" s="1222"/>
      <c r="J43" s="1222"/>
      <c r="K43" s="1223">
        <f t="shared" si="10"/>
        <v>0</v>
      </c>
      <c r="L43" s="1223">
        <f t="shared" si="11"/>
        <v>0</v>
      </c>
      <c r="M43" s="1"/>
      <c r="N43" s="1187" t="str">
        <f t="shared" si="12"/>
        <v/>
      </c>
      <c r="O43" s="754" t="str">
        <f t="shared" si="0"/>
        <v/>
      </c>
      <c r="P43" s="1123"/>
      <c r="Q43" s="755" t="e">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 IF(OR(AND(G43=0,VLOOKUP(LA_code,'LA Data'!A4:AR417,38,0)&gt;0),AND(G43&gt;0,VLOOKUP(LA_code,'LA Data'!A4:AR417,38,0)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3" s="1"/>
      <c r="V43" s="762"/>
      <c r="X43" s="619"/>
      <c r="AD43" s="609">
        <f t="shared" si="13"/>
        <v>0.35</v>
      </c>
      <c r="AE43" s="609">
        <f t="shared" si="14"/>
        <v>4000</v>
      </c>
      <c r="AF43" s="609" t="e">
        <f t="shared" si="15"/>
        <v>#N/A</v>
      </c>
      <c r="AG43" s="609" t="e">
        <f>AF43+AE43</f>
        <v>#N/A</v>
      </c>
      <c r="AH43" s="609" t="e">
        <f>AF43-AE43</f>
        <v>#N/A</v>
      </c>
      <c r="AI43" s="609" t="e">
        <f>AF43+(AF43*AD43)</f>
        <v>#N/A</v>
      </c>
      <c r="AJ43" s="609" t="e">
        <f>AF43-(AF43*AD43)</f>
        <v>#N/A</v>
      </c>
      <c r="AK43" s="609" t="e">
        <f>IF(OR(L43&lt;AH43,L43&gt;AG43),"Warning","")</f>
        <v>#N/A</v>
      </c>
      <c r="AL43" s="609" t="e">
        <f>IF(OR(L43&gt;(AI43),L43&lt;(AJ43)),"Warning","")</f>
        <v>#N/A</v>
      </c>
      <c r="AM43" s="609" t="str">
        <f>IF(OR(L43=0),"",IF(AND(AK43="Warning",AL43="Warning"),"Warning",""))</f>
        <v/>
      </c>
      <c r="AN43" s="609" t="str">
        <f t="shared" si="8"/>
        <v/>
      </c>
    </row>
    <row r="44" spans="1:40" ht="15.5" x14ac:dyDescent="0.35">
      <c r="A44" t="s">
        <v>1027</v>
      </c>
      <c r="B44" s="760">
        <v>83</v>
      </c>
      <c r="C44" s="752" t="s">
        <v>1028</v>
      </c>
      <c r="E44" s="1222"/>
      <c r="F44" s="1222"/>
      <c r="G44" s="1223">
        <f t="shared" si="9"/>
        <v>0</v>
      </c>
      <c r="H44" s="1271"/>
      <c r="I44" s="1222"/>
      <c r="J44" s="1222"/>
      <c r="K44" s="1223">
        <f t="shared" si="10"/>
        <v>0</v>
      </c>
      <c r="L44" s="1223">
        <f t="shared" si="11"/>
        <v>0</v>
      </c>
      <c r="M44" s="1"/>
      <c r="N44" s="1187" t="str">
        <f t="shared" si="12"/>
        <v/>
      </c>
      <c r="O44" s="754" t="str">
        <f t="shared" si="0"/>
        <v/>
      </c>
      <c r="P44" s="1123"/>
      <c r="Q44" s="755" t="e">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explain",IF(OR(AND(G44=0,VLOOKUP(LA_code,'LA Data'!A4:AR417,36,0)&gt;0),AND(G44&gt;0,VLOOKUP(LA_code,'LA Data'!A4:AR417,36,0)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4" s="1"/>
      <c r="V44" s="762"/>
      <c r="X44" s="619"/>
      <c r="AD44" s="609">
        <f t="shared" si="13"/>
        <v>0.35</v>
      </c>
      <c r="AE44" s="609">
        <f t="shared" si="14"/>
        <v>4000</v>
      </c>
      <c r="AF44" s="609" t="e">
        <f t="shared" si="15"/>
        <v>#N/A</v>
      </c>
      <c r="AG44" s="609" t="e">
        <f>AF44+AE44</f>
        <v>#N/A</v>
      </c>
      <c r="AH44" s="609" t="e">
        <f>AF44-AE44</f>
        <v>#N/A</v>
      </c>
      <c r="AI44" s="609" t="e">
        <f>AF44+(AF44*AD44)</f>
        <v>#N/A</v>
      </c>
      <c r="AJ44" s="609" t="e">
        <f>AF44-(AF44*AD44)</f>
        <v>#N/A</v>
      </c>
      <c r="AK44" s="609" t="e">
        <f>IF(OR(L44&lt;AH44,L44&gt;AG44),"Warning","")</f>
        <v>#N/A</v>
      </c>
      <c r="AL44" s="609" t="e">
        <f>IF(OR(L44&gt;(AI44),L44&lt;(AJ44)),"Warning","")</f>
        <v>#N/A</v>
      </c>
      <c r="AM44" s="609" t="str">
        <f>IF(OR(L44=0),"",IF(AND(AK44="Warning",AL44="Warning"),"Warning",""))</f>
        <v/>
      </c>
      <c r="AN44" s="609" t="str">
        <f t="shared" si="8"/>
        <v/>
      </c>
    </row>
    <row r="45" spans="1:40" ht="15.5" x14ac:dyDescent="0.35">
      <c r="A45" t="s">
        <v>1029</v>
      </c>
      <c r="B45" s="763">
        <v>84</v>
      </c>
      <c r="C45" s="752" t="s">
        <v>1030</v>
      </c>
      <c r="E45" s="1222"/>
      <c r="F45" s="1222"/>
      <c r="G45" s="1223">
        <f t="shared" si="9"/>
        <v>0</v>
      </c>
      <c r="H45" s="1271"/>
      <c r="I45" s="1222"/>
      <c r="J45" s="1222"/>
      <c r="K45" s="1223">
        <f t="shared" si="10"/>
        <v>0</v>
      </c>
      <c r="L45" s="1223">
        <f t="shared" si="11"/>
        <v>0</v>
      </c>
      <c r="M45" s="1"/>
      <c r="N45" s="1187" t="str">
        <f t="shared" si="12"/>
        <v/>
      </c>
      <c r="O45" s="754" t="str">
        <f t="shared" si="0"/>
        <v/>
      </c>
      <c r="P45" s="1123"/>
      <c r="Q45" s="755" t="e">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explain",IF(OR(AND(G45=0,VLOOKUP(LA_code,'LA Data'!A4:AR417,40,0)&gt;0),AND(G45&gt;0,VLOOKUP(LA_code,'LA Data'!A4:AR417,40,0)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5" s="1"/>
      <c r="V45" s="762"/>
      <c r="X45" s="619"/>
      <c r="AD45" s="609">
        <f t="shared" si="13"/>
        <v>0.35</v>
      </c>
      <c r="AE45" s="609">
        <f t="shared" si="14"/>
        <v>4000</v>
      </c>
      <c r="AF45" s="609" t="e">
        <f t="shared" si="15"/>
        <v>#N/A</v>
      </c>
      <c r="AG45" s="609" t="e">
        <f>AF45+AE45</f>
        <v>#N/A</v>
      </c>
      <c r="AH45" s="609" t="e">
        <f>AF45-AE45</f>
        <v>#N/A</v>
      </c>
      <c r="AI45" s="609" t="e">
        <f>AF45+(AF45*AD45)</f>
        <v>#N/A</v>
      </c>
      <c r="AJ45" s="609" t="e">
        <f>AF45-(AF45*AD45)</f>
        <v>#N/A</v>
      </c>
      <c r="AK45" s="609" t="e">
        <f>IF(OR(L45&lt;AH45,L45&gt;AG45),"Warning","")</f>
        <v>#N/A</v>
      </c>
      <c r="AL45" s="609" t="e">
        <f>IF(OR(L45&gt;(AI45),L45&lt;(AJ45)),"Warning","")</f>
        <v>#N/A</v>
      </c>
      <c r="AM45" s="609" t="str">
        <f>IF(OR(L45=0),"",IF(AND(AK45="Warning",AL45="Warning"),"Warning",""))</f>
        <v/>
      </c>
      <c r="AN45" s="609" t="str">
        <f t="shared" si="8"/>
        <v/>
      </c>
    </row>
    <row r="46" spans="1:40" ht="14.15" customHeight="1" x14ac:dyDescent="0.35">
      <c r="A46" t="s">
        <v>1031</v>
      </c>
      <c r="B46" s="763">
        <v>85</v>
      </c>
      <c r="C46" s="752" t="s">
        <v>1032</v>
      </c>
      <c r="E46" s="1222"/>
      <c r="F46" s="1222"/>
      <c r="G46" s="1223">
        <f t="shared" si="9"/>
        <v>0</v>
      </c>
      <c r="H46" s="1271"/>
      <c r="I46" s="1222"/>
      <c r="J46" s="1222"/>
      <c r="K46" s="1223">
        <f t="shared" si="10"/>
        <v>0</v>
      </c>
      <c r="L46" s="1223">
        <f t="shared" si="11"/>
        <v>0</v>
      </c>
      <c r="M46" s="1"/>
      <c r="N46" s="1187" t="str">
        <f t="shared" si="12"/>
        <v/>
      </c>
      <c r="O46" s="754" t="str">
        <f t="shared" si="0"/>
        <v/>
      </c>
      <c r="P46" s="1123"/>
      <c r="Q46" s="755" t="e">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explain",IF(OR(AND(G46=0,VLOOKUP(LA_code,'LA Data'!A4:AR417,41,0)&gt;0),AND(G46&gt;0,VLOOKUP(LA_code,'LA Data'!A4:AR417,41,0)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6" s="1"/>
      <c r="V46" s="762"/>
      <c r="X46" s="619"/>
      <c r="AD46" s="609">
        <f t="shared" si="13"/>
        <v>0.35</v>
      </c>
      <c r="AE46" s="609">
        <f t="shared" si="14"/>
        <v>4000</v>
      </c>
      <c r="AF46" s="609" t="e">
        <f t="shared" si="15"/>
        <v>#N/A</v>
      </c>
      <c r="AG46" s="609" t="e">
        <f>AF46+AE46</f>
        <v>#N/A</v>
      </c>
      <c r="AH46" s="609" t="e">
        <f>AF46-AE46</f>
        <v>#N/A</v>
      </c>
      <c r="AI46" s="609" t="e">
        <f>AF46+(AF46*AD46)</f>
        <v>#N/A</v>
      </c>
      <c r="AJ46" s="609" t="e">
        <f>AF46-(AF46*AD46)</f>
        <v>#N/A</v>
      </c>
      <c r="AK46" s="609" t="e">
        <f>IF(OR(L46&lt;AH46,L46&gt;AG46),"Warning","")</f>
        <v>#N/A</v>
      </c>
      <c r="AL46" s="609" t="e">
        <f>IF(OR(L46&gt;(AI46),L46&lt;(AJ46)),"Warning","")</f>
        <v>#N/A</v>
      </c>
      <c r="AM46" s="609" t="str">
        <f>IF(OR(L46=0),"",IF(AND(AK46="Warning",AL46="Warning"),"Warning",""))</f>
        <v/>
      </c>
      <c r="AN46" s="609" t="str">
        <f t="shared" si="8"/>
        <v/>
      </c>
    </row>
    <row r="47" spans="1:40" ht="15.5" x14ac:dyDescent="0.35">
      <c r="A47" t="s">
        <v>1033</v>
      </c>
      <c r="B47" s="763">
        <v>86</v>
      </c>
      <c r="C47" s="752" t="s">
        <v>1034</v>
      </c>
      <c r="E47" s="1222"/>
      <c r="F47" s="1222"/>
      <c r="G47" s="1223">
        <f t="shared" si="9"/>
        <v>0</v>
      </c>
      <c r="H47" s="1271"/>
      <c r="I47" s="1222"/>
      <c r="J47" s="1222"/>
      <c r="K47" s="1223">
        <f t="shared" si="10"/>
        <v>0</v>
      </c>
      <c r="L47" s="1223">
        <f t="shared" si="11"/>
        <v>0</v>
      </c>
      <c r="M47" s="1"/>
      <c r="N47" s="1187" t="str">
        <f t="shared" si="12"/>
        <v/>
      </c>
      <c r="O47" s="754" t="str">
        <f>IF(OR((K47&lt;&gt;(I47+J47)),(G47&lt;&gt;(E47+F47)),(L47&lt;&gt;(G47-K47)),AN47="Error"),"Error","")</f>
        <v/>
      </c>
      <c r="Q47" s="755"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U47" s="1"/>
      <c r="V47" s="762"/>
      <c r="X47" s="619"/>
      <c r="AD47" s="609">
        <f t="shared" si="13"/>
        <v>0.35</v>
      </c>
      <c r="AE47" s="609">
        <f t="shared" si="14"/>
        <v>4000</v>
      </c>
      <c r="AF47" s="609" t="e">
        <f t="shared" si="15"/>
        <v>#N/A</v>
      </c>
      <c r="AG47" s="609" t="e">
        <f t="shared" ref="AG47:AG49" si="17">AF47+AE47</f>
        <v>#N/A</v>
      </c>
      <c r="AH47" s="609" t="e">
        <f t="shared" ref="AH47:AH49" si="18">AF47-AE47</f>
        <v>#N/A</v>
      </c>
      <c r="AI47" s="609" t="e">
        <f t="shared" ref="AI47:AI49" si="19">AF47+(AF47*AD47)</f>
        <v>#N/A</v>
      </c>
      <c r="AJ47" s="609" t="e">
        <f t="shared" ref="AJ47:AJ49" si="20">AF47-(AF47*AD47)</f>
        <v>#N/A</v>
      </c>
      <c r="AK47" s="609" t="e">
        <f t="shared" ref="AK47:AK49" si="21">IF(OR(L47&lt;AH47,L47&gt;AG47),"Warning","")</f>
        <v>#N/A</v>
      </c>
      <c r="AL47" s="609" t="e">
        <f t="shared" ref="AL47:AL49" si="22">IF(OR(L47&gt;(AI47),L47&lt;(AJ47)),"Warning","")</f>
        <v>#N/A</v>
      </c>
      <c r="AN47" s="609" t="str">
        <f t="shared" si="8"/>
        <v/>
      </c>
    </row>
    <row r="48" spans="1:40" ht="15.5" x14ac:dyDescent="0.35">
      <c r="A48" t="s">
        <v>1035</v>
      </c>
      <c r="B48" s="763">
        <v>87</v>
      </c>
      <c r="C48" s="752" t="s">
        <v>1036</v>
      </c>
      <c r="E48" s="1222"/>
      <c r="F48" s="1222"/>
      <c r="G48" s="1223">
        <f t="shared" si="9"/>
        <v>0</v>
      </c>
      <c r="H48" s="1271"/>
      <c r="I48" s="1222"/>
      <c r="J48" s="1222"/>
      <c r="K48" s="1223">
        <f t="shared" si="10"/>
        <v>0</v>
      </c>
      <c r="L48" s="1223">
        <f t="shared" si="11"/>
        <v>0</v>
      </c>
      <c r="M48" s="1"/>
      <c r="N48" s="1187" t="str">
        <f t="shared" si="12"/>
        <v/>
      </c>
      <c r="O48" s="754" t="str">
        <f t="shared" ref="O48:O49" si="23">IF(OR((K48&lt;&gt;(I48+J48)),(G48&lt;&gt;(E48+F48)),(L48&lt;&gt;(G48-K48)),AN48="Error"),"Error","")</f>
        <v/>
      </c>
      <c r="Q48" s="755" t="str">
        <f t="shared" ref="Q48:Q49" si="24">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U48" s="1"/>
      <c r="V48" s="762"/>
      <c r="X48" s="619"/>
      <c r="AD48" s="609">
        <f t="shared" si="13"/>
        <v>0.35</v>
      </c>
      <c r="AE48" s="609">
        <f t="shared" si="14"/>
        <v>4000</v>
      </c>
      <c r="AF48" s="609" t="e">
        <f t="shared" si="15"/>
        <v>#N/A</v>
      </c>
      <c r="AG48" s="609" t="e">
        <f t="shared" si="17"/>
        <v>#N/A</v>
      </c>
      <c r="AH48" s="609" t="e">
        <f t="shared" si="18"/>
        <v>#N/A</v>
      </c>
      <c r="AI48" s="609" t="e">
        <f t="shared" si="19"/>
        <v>#N/A</v>
      </c>
      <c r="AJ48" s="609" t="e">
        <f t="shared" si="20"/>
        <v>#N/A</v>
      </c>
      <c r="AK48" s="609" t="e">
        <f t="shared" si="21"/>
        <v>#N/A</v>
      </c>
      <c r="AL48" s="609" t="e">
        <f t="shared" si="22"/>
        <v>#N/A</v>
      </c>
      <c r="AN48" s="609" t="str">
        <f t="shared" si="8"/>
        <v/>
      </c>
    </row>
    <row r="49" spans="1:40" ht="15.5" x14ac:dyDescent="0.35">
      <c r="A49" t="s">
        <v>1037</v>
      </c>
      <c r="B49" s="763">
        <v>88</v>
      </c>
      <c r="C49" s="752" t="s">
        <v>1038</v>
      </c>
      <c r="E49" s="1222"/>
      <c r="F49" s="1222"/>
      <c r="G49" s="1223">
        <f>SUM(E49:F49)</f>
        <v>0</v>
      </c>
      <c r="H49" s="1271"/>
      <c r="I49" s="1222"/>
      <c r="J49" s="1222"/>
      <c r="K49" s="1223">
        <f>SUM(I49:J49)</f>
        <v>0</v>
      </c>
      <c r="L49" s="1223">
        <f>G49-K49</f>
        <v>0</v>
      </c>
      <c r="M49" s="1"/>
      <c r="N49" s="1187" t="str">
        <f>IF(ISERROR(O49),"",IF((O49="Error"),"add explanation",IF((O49="Warning"),"add explanation","")))</f>
        <v/>
      </c>
      <c r="O49" s="754" t="str">
        <f t="shared" si="23"/>
        <v/>
      </c>
      <c r="Q49" s="755" t="str">
        <f t="shared" si="24"/>
        <v/>
      </c>
      <c r="R49" s="762"/>
      <c r="T49" s="1"/>
      <c r="U49" s="1"/>
      <c r="AD49" s="609">
        <f t="shared" si="13"/>
        <v>0.35</v>
      </c>
      <c r="AE49" s="609">
        <f t="shared" si="14"/>
        <v>4000</v>
      </c>
      <c r="AF49" s="609" t="e">
        <f t="shared" si="15"/>
        <v>#N/A</v>
      </c>
      <c r="AG49" s="609" t="e">
        <f t="shared" si="17"/>
        <v>#N/A</v>
      </c>
      <c r="AH49" s="609" t="e">
        <f t="shared" si="18"/>
        <v>#N/A</v>
      </c>
      <c r="AI49" s="609" t="e">
        <f t="shared" si="19"/>
        <v>#N/A</v>
      </c>
      <c r="AJ49" s="609" t="e">
        <f t="shared" si="20"/>
        <v>#N/A</v>
      </c>
      <c r="AK49" s="609" t="e">
        <f t="shared" si="21"/>
        <v>#N/A</v>
      </c>
      <c r="AL49" s="609" t="e">
        <f t="shared" si="22"/>
        <v>#N/A</v>
      </c>
      <c r="AN49" s="609" t="str">
        <f t="shared" si="8"/>
        <v/>
      </c>
    </row>
    <row r="50" spans="1:40" ht="15.5" x14ac:dyDescent="0.35">
      <c r="A50" t="s">
        <v>1039</v>
      </c>
      <c r="B50" s="763">
        <v>89</v>
      </c>
      <c r="C50" s="764" t="s">
        <v>1040</v>
      </c>
      <c r="E50" s="1278">
        <f>SUM(E41:E49)</f>
        <v>0</v>
      </c>
      <c r="F50" s="1278">
        <f>SUM(F41:F49)</f>
        <v>0</v>
      </c>
      <c r="G50" s="1279">
        <f t="shared" si="9"/>
        <v>0</v>
      </c>
      <c r="H50" s="1278">
        <f>SUM(H41:H49)</f>
        <v>0</v>
      </c>
      <c r="I50" s="1278">
        <f>SUM(I41:I49)</f>
        <v>0</v>
      </c>
      <c r="J50" s="1278">
        <f>SUM(J41:J49)</f>
        <v>0</v>
      </c>
      <c r="K50" s="1223">
        <f t="shared" si="10"/>
        <v>0</v>
      </c>
      <c r="L50" s="1223">
        <f t="shared" si="11"/>
        <v>0</v>
      </c>
      <c r="N50" s="1187" t="str">
        <f>IF(ISERROR(O50),"",IF((O50="Error"),"add explanation",IF((O50="Warning"),"add explanation","")))</f>
        <v/>
      </c>
      <c r="O50" s="754" t="str">
        <f t="shared" ref="O50" si="25">IF(OR((K50&lt;&gt;(I50+J50)),(G50&lt;&gt;(E50+F50)),(L50&lt;&gt;(G50-K50))),"Error","")</f>
        <v/>
      </c>
      <c r="Q50" s="755" t="str">
        <f>IF($O50="Error","A total column for "&amp;($C50)&amp;" does not match the sum of the components, please correct","")</f>
        <v/>
      </c>
      <c r="AD50" s="609">
        <f t="shared" si="13"/>
        <v>0.35</v>
      </c>
    </row>
    <row r="51" spans="1:40" ht="18" x14ac:dyDescent="0.4">
      <c r="B51" s="765" t="s">
        <v>253</v>
      </c>
      <c r="C51" s="756" t="s">
        <v>253</v>
      </c>
      <c r="E51" s="761"/>
      <c r="F51" s="757"/>
      <c r="G51" s="758"/>
      <c r="H51" s="758"/>
      <c r="I51" s="757"/>
      <c r="J51" s="757"/>
      <c r="K51" s="758"/>
      <c r="L51" s="758"/>
      <c r="M51" s="35"/>
      <c r="N51" s="1182"/>
      <c r="O51" s="766"/>
      <c r="P51" s="35"/>
      <c r="Q51" s="35"/>
      <c r="R51" s="35"/>
      <c r="T51" s="35"/>
      <c r="U51" s="35"/>
    </row>
    <row r="52" spans="1:40" ht="18" x14ac:dyDescent="0.4">
      <c r="B52" s="759" t="s">
        <v>1041</v>
      </c>
      <c r="C52" s="756"/>
      <c r="E52" s="757"/>
      <c r="F52" s="757"/>
      <c r="G52" s="758"/>
      <c r="H52" s="758"/>
      <c r="I52" s="757"/>
      <c r="J52" s="757"/>
      <c r="K52" s="758"/>
      <c r="L52" s="758"/>
      <c r="N52" s="1182"/>
      <c r="O52" s="317"/>
      <c r="AN52" s="609" t="str">
        <f t="shared" si="8"/>
        <v/>
      </c>
    </row>
    <row r="53" spans="1:40" ht="15.5" x14ac:dyDescent="0.35">
      <c r="A53" t="s">
        <v>1042</v>
      </c>
      <c r="B53" s="760">
        <v>51</v>
      </c>
      <c r="C53" s="752" t="s">
        <v>1043</v>
      </c>
      <c r="E53" s="1222"/>
      <c r="F53" s="1222"/>
      <c r="G53" s="1223">
        <f>SUM(E53:F53)</f>
        <v>0</v>
      </c>
      <c r="H53" s="1271"/>
      <c r="I53" s="1222"/>
      <c r="J53" s="1222"/>
      <c r="K53" s="1223">
        <f>SUM(I53:J53)</f>
        <v>0</v>
      </c>
      <c r="L53" s="1223">
        <f>G53-K53</f>
        <v>0</v>
      </c>
      <c r="N53" s="1181" t="str">
        <f>IF(ISERROR(O53),"",IF((O53="Error"),"add explanation",IF((O53="Warning"),"add explanation","")))</f>
        <v/>
      </c>
      <c r="O53" s="754" t="str">
        <f t="shared" ref="O53:O63" si="26">IF(OR((K53&lt;&gt;(I53+J53)),(G53&lt;&gt;(E53+F53)),(L53&lt;&gt;(G53-K53)),AN53="Error"),"Error",IF(AM53="Warning","Warning",""))</f>
        <v/>
      </c>
      <c r="Q53" s="755" t="str">
        <f t="shared" ref="Q53:Q63" si="27">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VLOOKUP("RO4"&amp;$B53,data_val_parameters,8,0)/100</f>
        <v>0.35</v>
      </c>
      <c r="AE53" s="609">
        <f>VLOOKUP("RO4"&amp;$B53,data_val_parameters,7,0)</f>
        <v>3000</v>
      </c>
      <c r="AF53" s="609" t="e">
        <f>VLOOKUP(LA_code,data_prev_year,MATCH("RO4"&amp;$B53&amp;"7",data_prev_year_headers,0),0)</f>
        <v>#N/A</v>
      </c>
      <c r="AG53" s="609" t="e">
        <f t="shared" si="2"/>
        <v>#N/A</v>
      </c>
      <c r="AH53" s="609" t="e">
        <f t="shared" si="3"/>
        <v>#N/A</v>
      </c>
      <c r="AI53" s="609" t="e">
        <f t="shared" si="4"/>
        <v>#N/A</v>
      </c>
      <c r="AJ53" s="609" t="e">
        <f t="shared" si="5"/>
        <v>#N/A</v>
      </c>
      <c r="AK53" s="609" t="e">
        <f>IF(OR(L53&lt;AH53,L53&gt;AG53),"Warning","")</f>
        <v>#N/A</v>
      </c>
      <c r="AL53" s="609" t="e">
        <f>IF(OR(L53&gt;(AI53),L53&lt;(AJ53)),"Warning","")</f>
        <v>#N/A</v>
      </c>
      <c r="AM53" s="609" t="str">
        <f>IF(OR(L53=0),"",IF(AND(AK53="Warning",AL53="Warning"),"Warning",""))</f>
        <v/>
      </c>
      <c r="AN53" s="609" t="str">
        <f t="shared" si="8"/>
        <v/>
      </c>
    </row>
    <row r="54" spans="1:40" ht="15.5" x14ac:dyDescent="0.35">
      <c r="A54" t="s">
        <v>1044</v>
      </c>
      <c r="B54" s="760">
        <v>52</v>
      </c>
      <c r="C54" s="752" t="s">
        <v>1045</v>
      </c>
      <c r="E54" s="1222"/>
      <c r="F54" s="1222"/>
      <c r="G54" s="1223">
        <f>SUM(E54:F54)</f>
        <v>0</v>
      </c>
      <c r="H54" s="1271"/>
      <c r="I54" s="1222"/>
      <c r="J54" s="1222"/>
      <c r="K54" s="1223">
        <f>SUM(I54:J54)</f>
        <v>0</v>
      </c>
      <c r="L54" s="1223">
        <f>G54-K54</f>
        <v>0</v>
      </c>
      <c r="N54" s="1181" t="str">
        <f>IF(ISERROR(O54),"",IF((O54="Error"),"add explanation",IF((O54="Warning"),"add explanation","")))</f>
        <v/>
      </c>
      <c r="O54" s="754" t="str">
        <f t="shared" si="26"/>
        <v/>
      </c>
      <c r="Q54" s="755" t="str">
        <f t="shared" si="27"/>
        <v/>
      </c>
      <c r="AD54" s="609">
        <f>VLOOKUP("RO4"&amp;$B54,data_val_parameters,8,0)/100</f>
        <v>0.35</v>
      </c>
      <c r="AE54" s="609">
        <f>VLOOKUP("RO4"&amp;$B54,data_val_parameters,7,0)</f>
        <v>3000</v>
      </c>
      <c r="AF54" s="609" t="e">
        <f>VLOOKUP(LA_code,data_prev_year,MATCH("RO4"&amp;$B54&amp;"7",data_prev_year_headers,0),0)</f>
        <v>#N/A</v>
      </c>
      <c r="AG54" s="609" t="e">
        <f t="shared" si="2"/>
        <v>#N/A</v>
      </c>
      <c r="AH54" s="609" t="e">
        <f t="shared" si="3"/>
        <v>#N/A</v>
      </c>
      <c r="AI54" s="609" t="e">
        <f t="shared" si="4"/>
        <v>#N/A</v>
      </c>
      <c r="AJ54" s="609" t="e">
        <f t="shared" si="5"/>
        <v>#N/A</v>
      </c>
      <c r="AK54" s="609" t="e">
        <f>IF(OR(L54&lt;AH54,L54&gt;AG54),"Warning","")</f>
        <v>#N/A</v>
      </c>
      <c r="AL54" s="609" t="e">
        <f>IF(OR(L54&gt;(AI54),L54&lt;(AJ54)),"Warning","")</f>
        <v>#N/A</v>
      </c>
      <c r="AM54" s="609" t="str">
        <f>IF(OR(L54=0),"",IF(AND(AK54="Warning",AL54="Warning"),"Warning",""))</f>
        <v/>
      </c>
      <c r="AN54" s="609" t="str">
        <f t="shared" si="8"/>
        <v/>
      </c>
    </row>
    <row r="55" spans="1:40" ht="15.5" x14ac:dyDescent="0.35">
      <c r="A55" t="s">
        <v>1046</v>
      </c>
      <c r="B55" s="760">
        <v>53</v>
      </c>
      <c r="C55" s="752" t="s">
        <v>1047</v>
      </c>
      <c r="E55" s="1222"/>
      <c r="F55" s="1222"/>
      <c r="G55" s="1223">
        <f>SUM(E55:F55)</f>
        <v>0</v>
      </c>
      <c r="H55" s="1271"/>
      <c r="I55" s="1222"/>
      <c r="J55" s="1222"/>
      <c r="K55" s="1223">
        <f>SUM(I55:J55)</f>
        <v>0</v>
      </c>
      <c r="L55" s="1223">
        <f>G55-K55</f>
        <v>0</v>
      </c>
      <c r="N55" s="1181" t="str">
        <f>IF(ISERROR(O55),"",IF((O55="Error"),"add explanation",IF((O55="Warning"),"add explanation","")))</f>
        <v/>
      </c>
      <c r="O55" s="754" t="str">
        <f t="shared" si="26"/>
        <v/>
      </c>
      <c r="Q55" s="755" t="str">
        <f t="shared" si="27"/>
        <v/>
      </c>
      <c r="AD55" s="609">
        <f>VLOOKUP("RO4"&amp;$B55,data_val_parameters,8,0)/100</f>
        <v>0.35</v>
      </c>
      <c r="AE55" s="609">
        <f>VLOOKUP("RO4"&amp;$B55,data_val_parameters,7,0)</f>
        <v>3000</v>
      </c>
      <c r="AF55" s="609" t="e">
        <f>VLOOKUP(LA_code,data_prev_year,MATCH("RO4"&amp;$B55&amp;"7",data_prev_year_headers,0),0)</f>
        <v>#N/A</v>
      </c>
      <c r="AG55" s="609" t="e">
        <f t="shared" si="2"/>
        <v>#N/A</v>
      </c>
      <c r="AH55" s="609" t="e">
        <f t="shared" si="3"/>
        <v>#N/A</v>
      </c>
      <c r="AI55" s="609" t="e">
        <f t="shared" si="4"/>
        <v>#N/A</v>
      </c>
      <c r="AJ55" s="609" t="e">
        <f t="shared" si="5"/>
        <v>#N/A</v>
      </c>
      <c r="AK55" s="609" t="e">
        <f>IF(OR(L55&lt;AH55,L55&gt;AG55),"Warning","")</f>
        <v>#N/A</v>
      </c>
      <c r="AL55" s="609" t="e">
        <f>IF(OR(L55&gt;(AI55),L55&lt;(AJ55)),"Warning","")</f>
        <v>#N/A</v>
      </c>
      <c r="AM55" s="609" t="str">
        <f>IF(OR(L55=0),"",IF(AND(AK55="Warning",AL55="Warning"),"Warning",""))</f>
        <v/>
      </c>
      <c r="AN55" s="609" t="str">
        <f t="shared" si="8"/>
        <v/>
      </c>
    </row>
    <row r="56" spans="1:40" ht="15.5" x14ac:dyDescent="0.35">
      <c r="A56" t="s">
        <v>1048</v>
      </c>
      <c r="B56" s="760">
        <v>57</v>
      </c>
      <c r="C56" s="752" t="s">
        <v>1049</v>
      </c>
      <c r="E56" s="1222"/>
      <c r="F56" s="1222"/>
      <c r="G56" s="1223">
        <f>SUM(E56:F56)</f>
        <v>0</v>
      </c>
      <c r="H56" s="1271"/>
      <c r="I56" s="1222"/>
      <c r="J56" s="1222"/>
      <c r="K56" s="1223">
        <f>SUM(I56:J56)</f>
        <v>0</v>
      </c>
      <c r="L56" s="1223">
        <f>G56-K56</f>
        <v>0</v>
      </c>
      <c r="N56" s="1181" t="str">
        <f>IF(ISERROR(O56),"",IF((O56="Error"),"add explanation",IF((O56="Warning"),"add explanation","")))</f>
        <v/>
      </c>
      <c r="O56" s="754" t="str">
        <f t="shared" si="26"/>
        <v/>
      </c>
      <c r="Q56" s="755" t="str">
        <f t="shared" si="27"/>
        <v/>
      </c>
      <c r="AD56" s="609">
        <f>VLOOKUP("RO4"&amp;$B56,data_val_parameters,8,0)/100</f>
        <v>0.35</v>
      </c>
      <c r="AE56" s="609">
        <f>VLOOKUP("RO4"&amp;$B56,data_val_parameters,7,0)</f>
        <v>4000</v>
      </c>
      <c r="AF56" s="609" t="e">
        <f>VLOOKUP(LA_code,data_prev_year,MATCH("RO4"&amp;$B56&amp;"7",data_prev_year_headers,0),0)</f>
        <v>#N/A</v>
      </c>
      <c r="AG56" s="609" t="e">
        <f t="shared" si="2"/>
        <v>#N/A</v>
      </c>
      <c r="AH56" s="609" t="e">
        <f t="shared" si="3"/>
        <v>#N/A</v>
      </c>
      <c r="AI56" s="609" t="e">
        <f t="shared" si="4"/>
        <v>#N/A</v>
      </c>
      <c r="AJ56" s="609" t="e">
        <f t="shared" si="5"/>
        <v>#N/A</v>
      </c>
      <c r="AK56" s="609" t="e">
        <f>IF(OR(L56&lt;AH56,L56&gt;AG56),"Warning","")</f>
        <v>#N/A</v>
      </c>
      <c r="AL56" s="609" t="e">
        <f>IF(OR(L56&gt;(AI56),L56&lt;(AJ56)),"Warning","")</f>
        <v>#N/A</v>
      </c>
      <c r="AM56" s="609" t="str">
        <f>IF(OR(L56=0),"",IF(AND(AK56="Warning",AL56="Warning"),"Warning",""))</f>
        <v/>
      </c>
      <c r="AN56" s="609" t="str">
        <f t="shared" si="8"/>
        <v/>
      </c>
    </row>
    <row r="57" spans="1:40" ht="15.5" x14ac:dyDescent="0.35">
      <c r="B57" s="767" t="s">
        <v>1050</v>
      </c>
      <c r="C57" s="756"/>
      <c r="E57" s="757"/>
      <c r="F57" s="757"/>
      <c r="G57" s="758"/>
      <c r="H57" s="758"/>
      <c r="I57" s="757"/>
      <c r="J57" s="757"/>
      <c r="K57" s="758"/>
      <c r="L57" s="758"/>
      <c r="N57" s="1182"/>
      <c r="O57" s="754"/>
      <c r="Q57" s="755"/>
    </row>
    <row r="58" spans="1:40" ht="15.5" x14ac:dyDescent="0.35">
      <c r="B58" s="3" t="s">
        <v>253</v>
      </c>
      <c r="C58" s="756" t="s">
        <v>253</v>
      </c>
      <c r="E58" s="757"/>
      <c r="F58" s="757"/>
      <c r="G58" s="758"/>
      <c r="H58" s="758"/>
      <c r="I58" s="757"/>
      <c r="J58" s="757"/>
      <c r="K58" s="758"/>
      <c r="L58" s="758"/>
      <c r="N58" s="1182"/>
      <c r="O58" s="754"/>
      <c r="Q58" s="755"/>
    </row>
    <row r="59" spans="1:40" ht="15.5" x14ac:dyDescent="0.35">
      <c r="A59" t="s">
        <v>1051</v>
      </c>
      <c r="B59" s="751">
        <v>60</v>
      </c>
      <c r="C59" s="752" t="s">
        <v>1052</v>
      </c>
      <c r="E59" s="1222"/>
      <c r="F59" s="1222"/>
      <c r="G59" s="1223">
        <f>SUM(E59:F59)</f>
        <v>0</v>
      </c>
      <c r="H59" s="1271"/>
      <c r="I59" s="1222"/>
      <c r="J59" s="1222"/>
      <c r="K59" s="1223">
        <f>SUM(I59:J59)</f>
        <v>0</v>
      </c>
      <c r="L59" s="1223">
        <f>G59-K59</f>
        <v>0</v>
      </c>
      <c r="N59" s="1181" t="str">
        <f>IF(ISERROR(O59),"",IF((O59="Error"),"add explanation",IF((O59="Warning"),"add explanation","")))</f>
        <v/>
      </c>
      <c r="O59" s="754" t="str">
        <f t="shared" si="26"/>
        <v/>
      </c>
      <c r="Q59" s="755" t="str">
        <f t="shared" si="27"/>
        <v/>
      </c>
      <c r="AD59" s="609">
        <f>VLOOKUP("RO4"&amp;$B59,data_val_parameters,8,0)/100</f>
        <v>0.35</v>
      </c>
      <c r="AE59" s="609">
        <f>VLOOKUP("RO4"&amp;$B59,data_val_parameters,7,0)</f>
        <v>3000</v>
      </c>
      <c r="AF59" s="609" t="e">
        <f>VLOOKUP(LA_code,data_prev_year,MATCH("RO4"&amp;$B59&amp;"7",data_prev_year_headers,0),0)</f>
        <v>#N/A</v>
      </c>
      <c r="AG59" s="609" t="e">
        <f t="shared" si="2"/>
        <v>#N/A</v>
      </c>
      <c r="AH59" s="609" t="e">
        <f t="shared" si="3"/>
        <v>#N/A</v>
      </c>
      <c r="AI59" s="609" t="e">
        <f t="shared" si="4"/>
        <v>#N/A</v>
      </c>
      <c r="AJ59" s="609" t="e">
        <f t="shared" si="5"/>
        <v>#N/A</v>
      </c>
      <c r="AK59" s="609" t="e">
        <f>IF(OR(L59&lt;AH59,L59&gt;AG59),"Warning","")</f>
        <v>#N/A</v>
      </c>
      <c r="AL59" s="609" t="e">
        <f>IF(OR(L59&gt;(AI59),L59&lt;(AJ59)),"Warning","")</f>
        <v>#N/A</v>
      </c>
      <c r="AM59" s="609" t="str">
        <f>IF(OR(L59=0),"",IF(AND(AK59="Warning",AL59="Warning"),"Warning",""))</f>
        <v/>
      </c>
      <c r="AN59" s="609" t="str">
        <f t="shared" si="8"/>
        <v/>
      </c>
    </row>
    <row r="60" spans="1:40" ht="15.5" x14ac:dyDescent="0.35">
      <c r="B60" s="763" t="s">
        <v>253</v>
      </c>
      <c r="C60" s="756" t="s">
        <v>253</v>
      </c>
      <c r="E60" s="757"/>
      <c r="F60" s="757"/>
      <c r="G60" s="758"/>
      <c r="H60" s="758"/>
      <c r="I60" s="757"/>
      <c r="J60" s="757"/>
      <c r="K60" s="758"/>
      <c r="L60" s="758"/>
      <c r="N60" s="1182"/>
      <c r="O60" s="754"/>
      <c r="Q60" s="755"/>
    </row>
    <row r="61" spans="1:40" ht="18" x14ac:dyDescent="0.4">
      <c r="B61" s="759" t="s">
        <v>1053</v>
      </c>
      <c r="C61" s="756"/>
      <c r="E61" s="757"/>
      <c r="F61" s="757"/>
      <c r="G61" s="758"/>
      <c r="H61" s="758"/>
      <c r="I61" s="757"/>
      <c r="J61" s="757"/>
      <c r="K61" s="758"/>
      <c r="L61" s="758"/>
      <c r="N61" s="1182"/>
      <c r="O61" s="754"/>
      <c r="Q61" s="755"/>
    </row>
    <row r="62" spans="1:40" ht="15.5" x14ac:dyDescent="0.35">
      <c r="A62" t="s">
        <v>1054</v>
      </c>
      <c r="B62" s="751">
        <v>75</v>
      </c>
      <c r="C62" s="752" t="s">
        <v>1004</v>
      </c>
      <c r="E62" s="1222"/>
      <c r="F62" s="1222"/>
      <c r="G62" s="1223">
        <f>SUM(E62:F62)</f>
        <v>0</v>
      </c>
      <c r="H62" s="1271"/>
      <c r="I62" s="1222"/>
      <c r="J62" s="1222"/>
      <c r="K62" s="1223">
        <f>SUM(I62:J62)</f>
        <v>0</v>
      </c>
      <c r="L62" s="1223">
        <f>G62-K62</f>
        <v>0</v>
      </c>
      <c r="N62" s="1181" t="str">
        <f>IF(ISERROR(O62),"",IF((O62="Error"),"add explanation",IF((O62="Warning"),"add explanation","")))</f>
        <v/>
      </c>
      <c r="O62" s="754" t="str">
        <f t="shared" si="26"/>
        <v/>
      </c>
      <c r="Q62" s="755" t="str">
        <f t="shared" si="27"/>
        <v/>
      </c>
      <c r="AD62" s="609">
        <f>VLOOKUP("RO4"&amp;$B62,data_val_parameters,8,0)/100</f>
        <v>0.35</v>
      </c>
      <c r="AE62" s="609">
        <f>VLOOKUP("RO4"&amp;$B62,data_val_parameters,7,0)</f>
        <v>6000</v>
      </c>
      <c r="AF62" s="609" t="e">
        <f>VLOOKUP(LA_code,data_prev_year,MATCH("RO4"&amp;$B62&amp;"7",data_prev_year_headers,0),0)</f>
        <v>#N/A</v>
      </c>
      <c r="AG62" s="609" t="e">
        <f t="shared" si="2"/>
        <v>#N/A</v>
      </c>
      <c r="AH62" s="609" t="e">
        <f t="shared" si="3"/>
        <v>#N/A</v>
      </c>
      <c r="AI62" s="609" t="e">
        <f t="shared" si="4"/>
        <v>#N/A</v>
      </c>
      <c r="AJ62" s="609" t="e">
        <f t="shared" si="5"/>
        <v>#N/A</v>
      </c>
      <c r="AK62" s="609" t="e">
        <f>IF(OR(L62&lt;AH62,L62&gt;AG62),"Warning","")</f>
        <v>#N/A</v>
      </c>
      <c r="AL62" s="609" t="e">
        <f>IF(OR(L62&gt;(AI62),L62&lt;(AJ62)),"Warning","")</f>
        <v>#N/A</v>
      </c>
      <c r="AM62" s="609" t="str">
        <f>IF(OR(L62=0),"",IF(AND(AK62="Warning",AL62="Warning"),"Warning",""))</f>
        <v/>
      </c>
      <c r="AN62" s="609" t="str">
        <f t="shared" si="8"/>
        <v/>
      </c>
    </row>
    <row r="63" spans="1:40" ht="15.5" x14ac:dyDescent="0.35">
      <c r="A63" t="s">
        <v>1055</v>
      </c>
      <c r="B63" s="751">
        <v>78</v>
      </c>
      <c r="C63" s="752" t="s">
        <v>1056</v>
      </c>
      <c r="E63" s="1222"/>
      <c r="F63" s="1222"/>
      <c r="G63" s="1223">
        <f>SUM(E63:F63)</f>
        <v>0</v>
      </c>
      <c r="H63" s="1271"/>
      <c r="I63" s="1222"/>
      <c r="J63" s="1222"/>
      <c r="K63" s="1223">
        <f>SUM(I63:J63)</f>
        <v>0</v>
      </c>
      <c r="L63" s="1223">
        <f>G63-K63</f>
        <v>0</v>
      </c>
      <c r="N63" s="1181" t="str">
        <f>IF(ISERROR(O63),"",IF((O63="Error"),"add explanation",IF((O63="Warning"),"add explanation","")))</f>
        <v/>
      </c>
      <c r="O63" s="754" t="str">
        <f t="shared" si="26"/>
        <v/>
      </c>
      <c r="Q63" s="755" t="str">
        <f t="shared" si="27"/>
        <v/>
      </c>
      <c r="AD63" s="609">
        <f>VLOOKUP("RO4"&amp;$B63,data_val_parameters,8,0)/100</f>
        <v>0.35</v>
      </c>
      <c r="AE63" s="609">
        <f>VLOOKUP("RO4"&amp;$B63,data_val_parameters,7,0)</f>
        <v>3000</v>
      </c>
      <c r="AF63" s="609" t="e">
        <f>VLOOKUP(LA_code,data_prev_year,MATCH("RO4"&amp;$B63&amp;"7",data_prev_year_headers,0),0)</f>
        <v>#N/A</v>
      </c>
      <c r="AG63" s="609" t="e">
        <f t="shared" si="2"/>
        <v>#N/A</v>
      </c>
      <c r="AH63" s="609" t="e">
        <f t="shared" si="3"/>
        <v>#N/A</v>
      </c>
      <c r="AI63" s="609" t="e">
        <f t="shared" si="4"/>
        <v>#N/A</v>
      </c>
      <c r="AJ63" s="609" t="e">
        <f t="shared" si="5"/>
        <v>#N/A</v>
      </c>
      <c r="AK63" s="609" t="e">
        <f>IF(OR(L63&lt;AH63,L63&gt;AG63),"Warning","")</f>
        <v>#N/A</v>
      </c>
      <c r="AL63" s="609" t="e">
        <f>IF(OR(L63&gt;(AI63),L63&lt;(AJ63)),"Warning","")</f>
        <v>#N/A</v>
      </c>
      <c r="AM63" s="609" t="str">
        <f>IF(OR(L63=0),"",IF(AND(AK63="Warning",AL63="Warning"),"Warning",""))</f>
        <v/>
      </c>
      <c r="AN63" s="609" t="str">
        <f t="shared" si="8"/>
        <v/>
      </c>
    </row>
    <row r="64" spans="1:40" ht="15.5" x14ac:dyDescent="0.35">
      <c r="B64" s="765" t="s">
        <v>253</v>
      </c>
      <c r="C64" s="752" t="s">
        <v>253</v>
      </c>
      <c r="E64" s="757"/>
      <c r="F64" s="757"/>
      <c r="G64" s="758"/>
      <c r="H64" s="758"/>
      <c r="I64" s="757"/>
      <c r="J64" s="757"/>
      <c r="K64" s="758"/>
      <c r="L64" s="758"/>
      <c r="N64" s="1182"/>
      <c r="O64" s="317"/>
    </row>
    <row r="65" spans="1:39" ht="15.5" x14ac:dyDescent="0.35">
      <c r="A65" t="s">
        <v>1057</v>
      </c>
      <c r="B65" s="768">
        <v>90</v>
      </c>
      <c r="C65" s="764" t="s">
        <v>1058</v>
      </c>
      <c r="E65" s="1223">
        <f t="shared" ref="E65:L65" si="28">SUM(E32,E34,E37:E38,E41:E49,E53:E56,E59,E62:E63)</f>
        <v>0</v>
      </c>
      <c r="F65" s="1296">
        <f t="shared" si="28"/>
        <v>0</v>
      </c>
      <c r="G65" s="1223">
        <f t="shared" si="28"/>
        <v>0</v>
      </c>
      <c r="H65" s="1413">
        <f t="shared" si="28"/>
        <v>0</v>
      </c>
      <c r="I65" s="1223">
        <f t="shared" si="28"/>
        <v>0</v>
      </c>
      <c r="J65" s="1223">
        <f t="shared" si="28"/>
        <v>0</v>
      </c>
      <c r="K65" s="1290">
        <f t="shared" si="28"/>
        <v>0</v>
      </c>
      <c r="L65" s="1413">
        <f t="shared" si="28"/>
        <v>0</v>
      </c>
      <c r="M65" s="690"/>
      <c r="N65" s="1181" t="str">
        <f>IF(ISERROR(O65),"",IF((O65="Error"),"add explanation",IF((O65="Warning"),"add explanation","")))</f>
        <v/>
      </c>
      <c r="O65" s="754" t="str">
        <f>IF(OR((K65&lt;&gt;(I65+J65)),(G65&lt;&gt;(E65+F65)),(L65&lt;&gt;(G65-K65))),"Error",IF(AM65="Warning","Warning",""))</f>
        <v/>
      </c>
      <c r="Q65" s="755" t="str">
        <f>IF($O65="Error","A total column for "&amp;($C65)&amp;" does not match the sum of the components, please correct",IF($O65="Warning","This year's figure is over "&amp;AE65/1000&amp;" million and "&amp;(AD65*100)&amp;"% different to "&amp;TEXT(AF65,"#,###")&amp;" last year, please explain",""))</f>
        <v/>
      </c>
    </row>
    <row r="66" spans="1:39" ht="42" x14ac:dyDescent="0.35">
      <c r="C66" s="756"/>
      <c r="D66" s="756"/>
      <c r="E66" s="757"/>
      <c r="F66" s="1414"/>
      <c r="G66" s="758"/>
      <c r="H66" s="1212" t="s">
        <v>742</v>
      </c>
      <c r="I66" s="24"/>
      <c r="J66" s="24"/>
      <c r="K66" s="82"/>
      <c r="L66" s="1212" t="s">
        <v>743</v>
      </c>
      <c r="O66" s="317"/>
    </row>
    <row r="67" spans="1:39" ht="46.5" x14ac:dyDescent="0.35">
      <c r="C67" s="756"/>
      <c r="D67" s="756"/>
      <c r="E67" s="757"/>
      <c r="F67" s="770" t="s">
        <v>744</v>
      </c>
      <c r="G67" s="758"/>
      <c r="H67" s="1199" t="str" cm="1">
        <f t="array" ref="H67">IF(SUMPRODUCT(--(H32:H65 &gt; G32:G65)),"Error","")</f>
        <v/>
      </c>
      <c r="I67" s="757" t="str">
        <f>IF(H67="Error","A figure in the central MSS column is greater than total expenditure for that line","")</f>
        <v/>
      </c>
      <c r="J67" s="757"/>
      <c r="K67" s="758"/>
      <c r="L67" s="769"/>
      <c r="O67" s="317"/>
    </row>
    <row r="68" spans="1:39" ht="15.5" x14ac:dyDescent="0.35">
      <c r="E68" s="757"/>
      <c r="F68" s="771" t="s">
        <v>745</v>
      </c>
      <c r="G68" s="758"/>
      <c r="I68" s="757"/>
      <c r="J68" s="757"/>
      <c r="K68" s="758"/>
      <c r="L68" s="104"/>
      <c r="O68" s="317"/>
    </row>
    <row r="69" spans="1:39" ht="15.5" x14ac:dyDescent="0.35">
      <c r="A69" t="s">
        <v>1059</v>
      </c>
      <c r="B69" s="1030">
        <v>1901</v>
      </c>
      <c r="C69" s="1030" t="s">
        <v>1060</v>
      </c>
      <c r="F69" s="1280"/>
      <c r="G69" s="758"/>
      <c r="I69" s="757"/>
      <c r="J69" s="757"/>
      <c r="K69" s="758"/>
      <c r="L69" s="104"/>
      <c r="O69" s="317"/>
    </row>
    <row r="70" spans="1:39" ht="15.5" x14ac:dyDescent="0.35">
      <c r="B70" s="1030"/>
      <c r="C70" s="1030"/>
      <c r="F70" s="1200"/>
      <c r="G70" s="758"/>
      <c r="H70" s="758"/>
      <c r="I70" s="757"/>
      <c r="J70" s="443"/>
      <c r="K70" s="758"/>
      <c r="L70" s="104"/>
      <c r="O70" s="317"/>
    </row>
    <row r="71" spans="1:39" ht="15.5" x14ac:dyDescent="0.35">
      <c r="B71" s="1030"/>
      <c r="C71" s="1030"/>
      <c r="F71" s="1200"/>
      <c r="G71" s="758"/>
      <c r="J71" s="271"/>
      <c r="K71" s="758"/>
      <c r="L71" s="104"/>
      <c r="O71" s="317"/>
    </row>
    <row r="72" spans="1:39" ht="15.5" x14ac:dyDescent="0.35">
      <c r="A72" t="s">
        <v>1061</v>
      </c>
      <c r="B72" s="1030">
        <v>1902</v>
      </c>
      <c r="C72" s="1030" t="s">
        <v>1062</v>
      </c>
      <c r="F72" s="1200"/>
      <c r="G72" s="758"/>
      <c r="H72" s="1199"/>
      <c r="I72" s="757"/>
      <c r="J72" s="1270"/>
      <c r="K72" s="1213" t="s">
        <v>750</v>
      </c>
      <c r="L72" s="104"/>
      <c r="O72" s="317"/>
    </row>
    <row r="73" spans="1:39" ht="15.5" x14ac:dyDescent="0.35">
      <c r="D73" s="757"/>
      <c r="E73" s="757"/>
      <c r="F73" s="757"/>
      <c r="G73" s="758"/>
      <c r="H73" s="758"/>
      <c r="I73" s="757"/>
      <c r="J73" s="757"/>
      <c r="K73" s="758"/>
      <c r="L73" s="758"/>
    </row>
    <row r="74" spans="1:39" ht="15.5" x14ac:dyDescent="0.35">
      <c r="B74" s="772"/>
      <c r="C74" s="772"/>
      <c r="D74" s="772"/>
      <c r="E74" s="773"/>
      <c r="F74" s="773"/>
      <c r="G74" s="774"/>
      <c r="H74" s="774"/>
      <c r="I74" s="773"/>
      <c r="J74" s="773"/>
      <c r="K74" s="774"/>
      <c r="L74" s="774"/>
    </row>
    <row r="75" spans="1:39" ht="23" x14ac:dyDescent="0.5">
      <c r="B75" s="775" t="str">
        <f>"Housing Revenue Account (HRA) - "&amp;YearForm&amp;""</f>
        <v>Housing Revenue Account (HRA) - 2025-26</v>
      </c>
      <c r="C75" s="35"/>
      <c r="F75" s="757"/>
      <c r="G75" s="758"/>
      <c r="H75" s="758"/>
      <c r="I75" s="757"/>
      <c r="J75" s="757"/>
      <c r="K75" s="758"/>
      <c r="L75" s="758"/>
    </row>
    <row r="76" spans="1:39" ht="9" hidden="1" customHeight="1" x14ac:dyDescent="0.4">
      <c r="B76" s="776" t="s">
        <v>1063</v>
      </c>
      <c r="C76" s="35"/>
      <c r="D76" s="93" t="s">
        <v>44</v>
      </c>
      <c r="E76" s="777" t="s">
        <v>340</v>
      </c>
      <c r="F76" s="757"/>
      <c r="G76" s="758"/>
      <c r="H76" s="758"/>
      <c r="I76" s="757"/>
      <c r="J76" s="757"/>
      <c r="K76" s="758"/>
      <c r="L76" s="758"/>
      <c r="AD76" s="609" t="e">
        <f>VLOOKUP("RO4"&amp;$B76,data_val_parameters,8,0)/100</f>
        <v>#N/A</v>
      </c>
    </row>
    <row r="77" spans="1:39" ht="15.5" x14ac:dyDescent="0.35">
      <c r="B77" s="345"/>
      <c r="C77" s="345"/>
      <c r="E77" s="778" t="s">
        <v>341</v>
      </c>
      <c r="F77" s="757"/>
      <c r="G77" s="758"/>
      <c r="H77" s="758"/>
      <c r="I77" s="757"/>
      <c r="J77" s="757"/>
      <c r="K77" s="758"/>
      <c r="L77" s="758"/>
    </row>
    <row r="78" spans="1:39" ht="15.5" x14ac:dyDescent="0.35">
      <c r="B78" s="690" t="s">
        <v>461</v>
      </c>
      <c r="C78" s="756"/>
      <c r="E78" s="779" t="s">
        <v>60</v>
      </c>
      <c r="F78" s="757"/>
      <c r="G78" s="758"/>
      <c r="H78" s="758"/>
      <c r="I78" s="757"/>
      <c r="J78" s="757"/>
      <c r="K78" s="758"/>
      <c r="L78" s="758"/>
      <c r="N78" s="1182"/>
      <c r="O78" s="780"/>
    </row>
    <row r="79" spans="1:39" ht="15.75" customHeight="1" x14ac:dyDescent="0.35">
      <c r="A79" t="s">
        <v>1064</v>
      </c>
      <c r="B79" s="781">
        <v>101</v>
      </c>
      <c r="C79" s="782" t="s">
        <v>1065</v>
      </c>
      <c r="D79" s="99"/>
      <c r="E79" s="1224"/>
      <c r="F79" s="757"/>
      <c r="G79" s="758"/>
      <c r="H79" s="758"/>
      <c r="I79" s="757"/>
      <c r="J79" s="757"/>
      <c r="K79" s="758"/>
      <c r="L79" s="758"/>
      <c r="N79" s="1181" t="str">
        <f>IF(ISERROR(O79),"",IF((O79="Error"),"add explanation",IF((O79="Warning"),"add explanation","")))</f>
        <v/>
      </c>
      <c r="O79" s="780" t="str">
        <f>IF(AM79="Warning","Warning","")</f>
        <v/>
      </c>
      <c r="Q79" s="1264" t="str">
        <f>IF($O79="Warning","This year's figure is over "&amp;AE79/1000&amp;" million and "&amp;(AD79*100)&amp;"% different to "&amp;TEXT(AF79,"#,###")&amp;" last year, please explain","")</f>
        <v/>
      </c>
      <c r="AD79" s="609">
        <f t="shared" ref="AD79:AD88" si="29">VLOOKUP("RO4"&amp;$B79,data_val_parameters,8,0)/100</f>
        <v>0.55000000000000004</v>
      </c>
      <c r="AE79" s="609">
        <f t="shared" ref="AE79:AE87" si="30">VLOOKUP("RO4"&amp;$B79,data_val_parameters,7,0)</f>
        <v>8000</v>
      </c>
      <c r="AF79" s="609" t="e">
        <f t="shared" ref="AF79:AF87" si="31">VLOOKUP(LA_code,data_prev_year,MATCH("RO4"&amp;$B79&amp;"8",data_prev_year_headers,0),0)</f>
        <v>#N/A</v>
      </c>
      <c r="AG79" s="609" t="e">
        <f t="shared" ref="AG79" si="32">AF79+AE79</f>
        <v>#N/A</v>
      </c>
      <c r="AH79" s="609" t="e">
        <f t="shared" ref="AH79" si="33">AF79-AE79</f>
        <v>#N/A</v>
      </c>
      <c r="AI79" s="609" t="e">
        <f t="shared" ref="AI79" si="34">AF79+(AF79*AD79)</f>
        <v>#N/A</v>
      </c>
      <c r="AJ79" s="609" t="e">
        <f t="shared" ref="AJ79" si="35">AF79-(AF79*AD79)</f>
        <v>#N/A</v>
      </c>
      <c r="AK79" s="609" t="e">
        <f>IF(OR(E79&lt;AH79,E79&gt;AG79),"Warning","")</f>
        <v>#N/A</v>
      </c>
      <c r="AL79" s="609" t="e">
        <f>IF(OR(E79&gt;(AI79),E79&lt;(AJ79)),"Warning","")</f>
        <v>#N/A</v>
      </c>
      <c r="AM79" s="609" t="str">
        <f>IF(OR(E79=0),"",IF(AND(AK79="Warning",AL79="Warning"),"Warning",""))</f>
        <v/>
      </c>
    </row>
    <row r="80" spans="1:39" ht="15.75" customHeight="1" x14ac:dyDescent="0.35">
      <c r="A80" t="s">
        <v>1066</v>
      </c>
      <c r="B80" s="781">
        <v>102</v>
      </c>
      <c r="C80" s="782" t="s">
        <v>1067</v>
      </c>
      <c r="D80" s="99"/>
      <c r="E80" s="1224"/>
      <c r="F80" s="757"/>
      <c r="G80" s="758"/>
      <c r="H80" s="758"/>
      <c r="I80" s="757"/>
      <c r="J80" s="757"/>
      <c r="K80" s="758"/>
      <c r="L80" s="758"/>
      <c r="N80" s="1181" t="str">
        <f t="shared" ref="N80:N86" si="36">IF(ISERROR(O80),"",IF((O80="Error"),"add explanation",IF((O80="Warning"),"add explanation","")))</f>
        <v/>
      </c>
      <c r="O80" s="780" t="str">
        <f t="shared" ref="O80:O86" si="37">IF(AM80="Warning","Warning","")</f>
        <v/>
      </c>
      <c r="Q80" s="1264" t="str">
        <f t="shared" ref="Q80:Q86" si="38">IF($O80="Warning","This year's figure is over "&amp;AE80/1000&amp;" million and "&amp;(AD80*100)&amp;"% different to "&amp;TEXT(AF80,"#,###")&amp;" last year, please explain","")</f>
        <v/>
      </c>
      <c r="AD80" s="609">
        <f t="shared" si="29"/>
        <v>0.55000000000000004</v>
      </c>
      <c r="AE80" s="609">
        <f t="shared" si="30"/>
        <v>8000</v>
      </c>
      <c r="AF80" s="609" t="e">
        <f t="shared" si="31"/>
        <v>#N/A</v>
      </c>
      <c r="AG80" s="609" t="e">
        <f t="shared" ref="AG80:AG85" si="39">AF80+AE80</f>
        <v>#N/A</v>
      </c>
      <c r="AH80" s="609" t="e">
        <f t="shared" ref="AH80:AH85" si="40">AF80-AE80</f>
        <v>#N/A</v>
      </c>
      <c r="AI80" s="609" t="e">
        <f t="shared" ref="AI80:AI85" si="41">AF80+(AF80*AD80)</f>
        <v>#N/A</v>
      </c>
      <c r="AJ80" s="609" t="e">
        <f t="shared" ref="AJ80:AJ85" si="42">AF80-(AF80*AD80)</f>
        <v>#N/A</v>
      </c>
      <c r="AK80" s="609" t="e">
        <f t="shared" ref="AK80:AK84" si="43">IF(OR(E80&lt;AH80,E80&gt;AG80),"Warning","")</f>
        <v>#N/A</v>
      </c>
      <c r="AL80" s="609" t="e">
        <f t="shared" ref="AL80:AL84" si="44">IF(OR(E80&gt;(AI80),E80&lt;(AJ80)),"Warning","")</f>
        <v>#N/A</v>
      </c>
      <c r="AM80" s="609" t="str">
        <f t="shared" ref="AM80:AM102" si="45">IF(OR(E80=0),"",IF(AND(AK80="Warning",AL80="Warning"),"Warning",""))</f>
        <v/>
      </c>
    </row>
    <row r="81" spans="1:39" ht="15.75" customHeight="1" x14ac:dyDescent="0.35">
      <c r="A81" t="s">
        <v>1068</v>
      </c>
      <c r="B81" s="781">
        <v>103</v>
      </c>
      <c r="C81" s="782" t="s">
        <v>1069</v>
      </c>
      <c r="D81" s="99"/>
      <c r="E81" s="1224"/>
      <c r="F81" s="757"/>
      <c r="G81" s="758"/>
      <c r="H81" s="758"/>
      <c r="I81" s="757"/>
      <c r="J81" s="757"/>
      <c r="K81" s="758"/>
      <c r="L81" s="758"/>
      <c r="N81" s="1181" t="str">
        <f t="shared" si="36"/>
        <v/>
      </c>
      <c r="O81" s="780" t="str">
        <f t="shared" si="37"/>
        <v/>
      </c>
      <c r="Q81" s="1264" t="str">
        <f t="shared" si="38"/>
        <v/>
      </c>
      <c r="AD81" s="609">
        <f t="shared" si="29"/>
        <v>0.55000000000000004</v>
      </c>
      <c r="AE81" s="609">
        <f t="shared" si="30"/>
        <v>8000</v>
      </c>
      <c r="AF81" s="609" t="e">
        <f t="shared" si="31"/>
        <v>#N/A</v>
      </c>
      <c r="AG81" s="609" t="e">
        <f t="shared" si="39"/>
        <v>#N/A</v>
      </c>
      <c r="AH81" s="609" t="e">
        <f t="shared" si="40"/>
        <v>#N/A</v>
      </c>
      <c r="AI81" s="609" t="e">
        <f t="shared" si="41"/>
        <v>#N/A</v>
      </c>
      <c r="AJ81" s="609" t="e">
        <f t="shared" si="42"/>
        <v>#N/A</v>
      </c>
      <c r="AK81" s="609" t="e">
        <f t="shared" si="43"/>
        <v>#N/A</v>
      </c>
      <c r="AL81" s="609" t="e">
        <f t="shared" si="44"/>
        <v>#N/A</v>
      </c>
      <c r="AM81" s="609" t="str">
        <f t="shared" si="45"/>
        <v/>
      </c>
    </row>
    <row r="82" spans="1:39" ht="15.75" customHeight="1" x14ac:dyDescent="0.35">
      <c r="A82" t="s">
        <v>1070</v>
      </c>
      <c r="B82" s="781">
        <v>104</v>
      </c>
      <c r="C82" s="782" t="s">
        <v>1071</v>
      </c>
      <c r="D82" s="99"/>
      <c r="E82" s="1224"/>
      <c r="F82" s="757"/>
      <c r="G82" s="758"/>
      <c r="H82" s="758"/>
      <c r="I82" s="757"/>
      <c r="J82" s="757"/>
      <c r="K82" s="758"/>
      <c r="L82" s="758"/>
      <c r="N82" s="1181" t="str">
        <f t="shared" si="36"/>
        <v/>
      </c>
      <c r="O82" s="780" t="str">
        <f t="shared" si="37"/>
        <v/>
      </c>
      <c r="Q82" s="1264" t="str">
        <f t="shared" si="38"/>
        <v/>
      </c>
      <c r="AD82" s="609">
        <f t="shared" si="29"/>
        <v>0.55000000000000004</v>
      </c>
      <c r="AE82" s="609">
        <f t="shared" si="30"/>
        <v>8000</v>
      </c>
      <c r="AF82" s="609" t="e">
        <f t="shared" si="31"/>
        <v>#N/A</v>
      </c>
      <c r="AG82" s="609" t="e">
        <f t="shared" si="39"/>
        <v>#N/A</v>
      </c>
      <c r="AH82" s="609" t="e">
        <f t="shared" si="40"/>
        <v>#N/A</v>
      </c>
      <c r="AI82" s="609" t="e">
        <f t="shared" si="41"/>
        <v>#N/A</v>
      </c>
      <c r="AJ82" s="609" t="e">
        <f t="shared" si="42"/>
        <v>#N/A</v>
      </c>
      <c r="AK82" s="609" t="e">
        <f t="shared" si="43"/>
        <v>#N/A</v>
      </c>
      <c r="AL82" s="609" t="e">
        <f t="shared" si="44"/>
        <v>#N/A</v>
      </c>
      <c r="AM82" s="609" t="str">
        <f t="shared" si="45"/>
        <v/>
      </c>
    </row>
    <row r="83" spans="1:39" ht="15.75" customHeight="1" x14ac:dyDescent="0.35">
      <c r="A83" t="s">
        <v>1072</v>
      </c>
      <c r="B83" s="781">
        <v>105</v>
      </c>
      <c r="C83" s="782" t="s">
        <v>1073</v>
      </c>
      <c r="D83" s="99"/>
      <c r="E83" s="1224"/>
      <c r="F83" s="757"/>
      <c r="G83" s="758"/>
      <c r="H83" s="758"/>
      <c r="I83" s="757"/>
      <c r="J83" s="757"/>
      <c r="K83" s="758"/>
      <c r="L83" s="758"/>
      <c r="N83" s="1181" t="str">
        <f t="shared" si="36"/>
        <v/>
      </c>
      <c r="O83" s="780" t="str">
        <f t="shared" si="37"/>
        <v/>
      </c>
      <c r="Q83" s="1264" t="str">
        <f t="shared" si="38"/>
        <v/>
      </c>
      <c r="AD83" s="609">
        <f t="shared" si="29"/>
        <v>0.55000000000000004</v>
      </c>
      <c r="AE83" s="609">
        <f t="shared" si="30"/>
        <v>8000</v>
      </c>
      <c r="AF83" s="609" t="e">
        <f t="shared" si="31"/>
        <v>#N/A</v>
      </c>
      <c r="AG83" s="609" t="e">
        <f t="shared" si="39"/>
        <v>#N/A</v>
      </c>
      <c r="AH83" s="609" t="e">
        <f t="shared" si="40"/>
        <v>#N/A</v>
      </c>
      <c r="AI83" s="609" t="e">
        <f t="shared" si="41"/>
        <v>#N/A</v>
      </c>
      <c r="AJ83" s="609" t="e">
        <f t="shared" si="42"/>
        <v>#N/A</v>
      </c>
      <c r="AK83" s="609" t="e">
        <f t="shared" si="43"/>
        <v>#N/A</v>
      </c>
      <c r="AL83" s="609" t="e">
        <f t="shared" si="44"/>
        <v>#N/A</v>
      </c>
      <c r="AM83" s="609" t="str">
        <f t="shared" si="45"/>
        <v/>
      </c>
    </row>
    <row r="84" spans="1:39" ht="15.75" customHeight="1" x14ac:dyDescent="0.35">
      <c r="A84" t="s">
        <v>1074</v>
      </c>
      <c r="B84" s="781">
        <v>106</v>
      </c>
      <c r="C84" s="782" t="s">
        <v>1075</v>
      </c>
      <c r="D84" s="99"/>
      <c r="E84" s="1224"/>
      <c r="F84" s="757"/>
      <c r="G84" s="758"/>
      <c r="H84" s="758"/>
      <c r="I84" s="757"/>
      <c r="J84" s="757"/>
      <c r="K84" s="758"/>
      <c r="L84" s="758"/>
      <c r="N84" s="1181" t="str">
        <f t="shared" si="36"/>
        <v/>
      </c>
      <c r="O84" s="780" t="str">
        <f t="shared" si="37"/>
        <v/>
      </c>
      <c r="Q84" s="1264" t="str">
        <f t="shared" si="38"/>
        <v/>
      </c>
      <c r="AD84" s="609">
        <f t="shared" si="29"/>
        <v>0.55000000000000004</v>
      </c>
      <c r="AE84" s="609">
        <f t="shared" si="30"/>
        <v>8000</v>
      </c>
      <c r="AF84" s="609" t="e">
        <f t="shared" si="31"/>
        <v>#N/A</v>
      </c>
      <c r="AG84" s="609" t="e">
        <f t="shared" si="39"/>
        <v>#N/A</v>
      </c>
      <c r="AH84" s="609" t="e">
        <f t="shared" si="40"/>
        <v>#N/A</v>
      </c>
      <c r="AI84" s="609" t="e">
        <f t="shared" si="41"/>
        <v>#N/A</v>
      </c>
      <c r="AJ84" s="609" t="e">
        <f t="shared" si="42"/>
        <v>#N/A</v>
      </c>
      <c r="AK84" s="609" t="e">
        <f t="shared" si="43"/>
        <v>#N/A</v>
      </c>
      <c r="AL84" s="609" t="e">
        <f t="shared" si="44"/>
        <v>#N/A</v>
      </c>
      <c r="AM84" s="609" t="str">
        <f t="shared" si="45"/>
        <v/>
      </c>
    </row>
    <row r="85" spans="1:39" ht="15.75" customHeight="1" x14ac:dyDescent="0.35">
      <c r="A85" t="s">
        <v>1076</v>
      </c>
      <c r="B85" s="781">
        <v>107</v>
      </c>
      <c r="C85" s="782" t="s">
        <v>1077</v>
      </c>
      <c r="D85" s="99"/>
      <c r="E85" s="1224"/>
      <c r="F85" s="757"/>
      <c r="G85" s="731"/>
      <c r="H85" s="731"/>
      <c r="I85" s="757"/>
      <c r="J85" s="757"/>
      <c r="K85" s="758"/>
      <c r="L85" s="758"/>
      <c r="N85" s="1181" t="str">
        <f t="shared" si="36"/>
        <v/>
      </c>
      <c r="O85" s="780" t="str">
        <f t="shared" si="37"/>
        <v/>
      </c>
      <c r="Q85" s="1264" t="str">
        <f t="shared" si="38"/>
        <v/>
      </c>
      <c r="AD85" s="609">
        <f t="shared" si="29"/>
        <v>0.55000000000000004</v>
      </c>
      <c r="AE85" s="609">
        <f t="shared" si="30"/>
        <v>8000</v>
      </c>
      <c r="AF85" s="609" t="e">
        <f t="shared" si="31"/>
        <v>#N/A</v>
      </c>
      <c r="AG85" s="609" t="e">
        <f t="shared" si="39"/>
        <v>#N/A</v>
      </c>
      <c r="AH85" s="609" t="e">
        <f t="shared" si="40"/>
        <v>#N/A</v>
      </c>
      <c r="AI85" s="609" t="e">
        <f t="shared" si="41"/>
        <v>#N/A</v>
      </c>
      <c r="AJ85" s="609" t="e">
        <f t="shared" si="42"/>
        <v>#N/A</v>
      </c>
      <c r="AK85" s="609" t="e">
        <f>IF(OR(E85&lt;AH85,E85&gt;AG85),"Warning","")</f>
        <v>#N/A</v>
      </c>
      <c r="AL85" s="609" t="e">
        <f>IF(OR(E85&gt;(AI85),E85&lt;(AJ85)),"Warning","")</f>
        <v>#N/A</v>
      </c>
      <c r="AM85" s="609" t="str">
        <f t="shared" si="45"/>
        <v/>
      </c>
    </row>
    <row r="86" spans="1:39" ht="15.75" customHeight="1" x14ac:dyDescent="0.35">
      <c r="A86" t="s">
        <v>1078</v>
      </c>
      <c r="B86" s="781">
        <v>108</v>
      </c>
      <c r="C86" s="782" t="s">
        <v>1079</v>
      </c>
      <c r="D86" s="99"/>
      <c r="E86" s="1224"/>
      <c r="F86" s="757"/>
      <c r="G86" s="731"/>
      <c r="H86" s="731"/>
      <c r="I86" s="757"/>
      <c r="J86" s="757"/>
      <c r="K86" s="758"/>
      <c r="L86" s="758"/>
      <c r="N86" s="1181" t="str">
        <f t="shared" si="36"/>
        <v/>
      </c>
      <c r="O86" s="780" t="str">
        <f t="shared" si="37"/>
        <v/>
      </c>
      <c r="Q86" s="1264" t="str">
        <f t="shared" si="38"/>
        <v/>
      </c>
      <c r="AD86" s="609">
        <f t="shared" si="29"/>
        <v>0.55000000000000004</v>
      </c>
      <c r="AE86" s="609">
        <f t="shared" si="30"/>
        <v>8000</v>
      </c>
      <c r="AF86" s="609" t="e">
        <f t="shared" si="31"/>
        <v>#N/A</v>
      </c>
      <c r="AG86" s="609" t="e">
        <f t="shared" ref="AG86:AG87" si="46">AF86+AE86</f>
        <v>#N/A</v>
      </c>
      <c r="AH86" s="609" t="e">
        <f t="shared" ref="AH86:AH87" si="47">AF86-AE86</f>
        <v>#N/A</v>
      </c>
      <c r="AI86" s="609" t="e">
        <f t="shared" ref="AI86:AI87" si="48">AF86+(AF86*AD86)</f>
        <v>#N/A</v>
      </c>
      <c r="AJ86" s="609" t="e">
        <f t="shared" ref="AJ86:AJ87" si="49">AF86-(AF86*AD86)</f>
        <v>#N/A</v>
      </c>
      <c r="AK86" s="609" t="e">
        <f t="shared" ref="AK86" si="50">IF(OR(E86&lt;AH86,E86&gt;AG86),"Warning","")</f>
        <v>#N/A</v>
      </c>
      <c r="AL86" s="609" t="e">
        <f t="shared" ref="AL86" si="51">IF(OR(E86&gt;(AI86),E86&lt;(AJ86)),"Warning","")</f>
        <v>#N/A</v>
      </c>
      <c r="AM86" s="609" t="str">
        <f t="shared" si="45"/>
        <v/>
      </c>
    </row>
    <row r="87" spans="1:39" ht="15.75" customHeight="1" x14ac:dyDescent="0.35">
      <c r="A87" t="s">
        <v>1080</v>
      </c>
      <c r="B87" s="781">
        <v>111</v>
      </c>
      <c r="C87" s="782" t="s">
        <v>1081</v>
      </c>
      <c r="D87" s="99"/>
      <c r="E87" s="1415"/>
      <c r="F87" s="757"/>
      <c r="G87" s="731"/>
      <c r="H87" s="731"/>
      <c r="I87" s="757"/>
      <c r="J87" s="757"/>
      <c r="K87" s="758"/>
      <c r="L87" s="758"/>
      <c r="N87" s="1181" t="str">
        <f>IF(ISERROR(O87),"",IF((O87="Error"),"add explanation",IF((O87="Warning"),"add explanation","")))</f>
        <v/>
      </c>
      <c r="O87" s="780" t="str">
        <f>IF(AM87="Warning","Warning","")</f>
        <v/>
      </c>
      <c r="Q87" s="1264" t="str">
        <f>IF($O87="Warning","This year's figure is over "&amp;AE87/1000&amp;" million and "&amp;(AD87*100)&amp;"% different to "&amp;TEXT(AF87,"#,###")&amp;" last year, please explain","")</f>
        <v/>
      </c>
      <c r="AD87" s="609">
        <f t="shared" si="29"/>
        <v>0.55000000000000004</v>
      </c>
      <c r="AE87" s="609">
        <f t="shared" si="30"/>
        <v>8000</v>
      </c>
      <c r="AF87" s="609" t="e">
        <f t="shared" si="31"/>
        <v>#N/A</v>
      </c>
      <c r="AG87" s="609" t="e">
        <f t="shared" si="46"/>
        <v>#N/A</v>
      </c>
      <c r="AH87" s="609" t="e">
        <f t="shared" si="47"/>
        <v>#N/A</v>
      </c>
      <c r="AI87" s="609" t="e">
        <f t="shared" si="48"/>
        <v>#N/A</v>
      </c>
      <c r="AJ87" s="609" t="e">
        <f t="shared" si="49"/>
        <v>#N/A</v>
      </c>
      <c r="AK87" s="609" t="e">
        <f>IF(OR(E87&lt;AH87,E87&gt;AG87),"Warning","")</f>
        <v>#N/A</v>
      </c>
      <c r="AL87" s="609" t="e">
        <f>IF(OR(E87&gt;(AI87),E87&lt;(AJ87)),"Warning","")</f>
        <v>#N/A</v>
      </c>
      <c r="AM87" s="609" t="str">
        <f t="shared" si="45"/>
        <v/>
      </c>
    </row>
    <row r="88" spans="1:39" ht="15.75" customHeight="1" x14ac:dyDescent="0.35">
      <c r="A88" t="s">
        <v>342</v>
      </c>
      <c r="B88" s="783">
        <v>115</v>
      </c>
      <c r="C88" s="784" t="s">
        <v>1082</v>
      </c>
      <c r="D88" s="99"/>
      <c r="E88" s="1416">
        <f>SUM(E79:E87)</f>
        <v>0</v>
      </c>
      <c r="F88" s="757"/>
      <c r="G88" s="731"/>
      <c r="H88" s="731"/>
      <c r="I88" s="757"/>
      <c r="J88" s="757"/>
      <c r="K88" s="758"/>
      <c r="L88" s="758"/>
      <c r="N88" s="1182"/>
      <c r="O88" s="780"/>
      <c r="AD88" s="609">
        <f t="shared" si="29"/>
        <v>0.55000000000000004</v>
      </c>
    </row>
    <row r="89" spans="1:39" ht="15.5" x14ac:dyDescent="0.35">
      <c r="B89" s="785" t="s">
        <v>263</v>
      </c>
      <c r="C89" s="786"/>
      <c r="D89" s="99"/>
      <c r="E89" s="777"/>
      <c r="F89" s="757"/>
      <c r="G89" s="758"/>
      <c r="H89" s="758"/>
      <c r="I89" s="757"/>
      <c r="J89" s="757"/>
      <c r="K89" s="758"/>
      <c r="L89" s="758"/>
      <c r="N89" s="1182"/>
      <c r="O89" s="780"/>
    </row>
    <row r="90" spans="1:39" ht="15.5" x14ac:dyDescent="0.35">
      <c r="B90" s="787" t="s">
        <v>1083</v>
      </c>
      <c r="C90" s="786"/>
      <c r="D90" s="99"/>
      <c r="E90" s="777"/>
      <c r="F90" s="757"/>
      <c r="G90" s="758"/>
      <c r="H90" s="758"/>
      <c r="I90" s="757"/>
      <c r="J90" s="757"/>
      <c r="K90" s="758"/>
      <c r="L90" s="758"/>
      <c r="N90" s="1182"/>
      <c r="O90" s="780"/>
    </row>
    <row r="91" spans="1:39" ht="15.75" customHeight="1" x14ac:dyDescent="0.35">
      <c r="A91" t="s">
        <v>1084</v>
      </c>
      <c r="B91" s="781">
        <v>121</v>
      </c>
      <c r="C91" s="782" t="s">
        <v>1085</v>
      </c>
      <c r="D91" s="99"/>
      <c r="E91" s="1224"/>
      <c r="F91" s="757"/>
      <c r="G91" s="758"/>
      <c r="H91" s="758"/>
      <c r="I91" s="757"/>
      <c r="J91" s="757"/>
      <c r="K91" s="758"/>
      <c r="L91" s="758"/>
      <c r="N91" s="1181" t="str">
        <f>IF(ISERROR(O91),"",IF((O91="Error"),"add explanation",IF((O91="Warning"),"add explanation","")))</f>
        <v/>
      </c>
      <c r="O91" s="780" t="str">
        <f>IF(AM91="Warning","Warning","")</f>
        <v/>
      </c>
      <c r="Q91" s="1264" t="str">
        <f>IF($O91="Warning","This year's figure is over "&amp;AE91/1000&amp;" million and "&amp;(AD91*100)&amp;"% different to "&amp;TEXT(AF91,"#,###")&amp;" last year, please explain","")</f>
        <v/>
      </c>
      <c r="AD91" s="609">
        <f t="shared" ref="AD91:AD103" si="52">VLOOKUP("RO4"&amp;$B91,data_val_parameters,8,0)/100</f>
        <v>0.55000000000000004</v>
      </c>
      <c r="AE91" s="609">
        <f t="shared" ref="AE91:AE102" si="53">VLOOKUP("RO4"&amp;$B91,data_val_parameters,7,0)</f>
        <v>8000</v>
      </c>
      <c r="AF91" s="609" t="e">
        <f t="shared" ref="AF91:AF102" si="54">VLOOKUP(LA_code,data_prev_year,MATCH("RO4"&amp;$B91&amp;"8",data_prev_year_headers,0),0)</f>
        <v>#N/A</v>
      </c>
      <c r="AG91" s="609" t="e">
        <f t="shared" ref="AG91" si="55">AF91+AE91</f>
        <v>#N/A</v>
      </c>
      <c r="AH91" s="609" t="e">
        <f t="shared" ref="AH91" si="56">AF91-AE91</f>
        <v>#N/A</v>
      </c>
      <c r="AI91" s="609" t="e">
        <f t="shared" ref="AI91" si="57">AF91+(AF91*AD91)</f>
        <v>#N/A</v>
      </c>
      <c r="AJ91" s="609" t="e">
        <f t="shared" ref="AJ91" si="58">AF91-(AF91*AD91)</f>
        <v>#N/A</v>
      </c>
      <c r="AK91" s="609" t="e">
        <f>IF(OR(E91&lt;AH91,E91&gt;AG91),"Warning","")</f>
        <v>#N/A</v>
      </c>
      <c r="AL91" s="609" t="e">
        <f>IF(OR(E91&gt;(AI91),E91&lt;(AJ91)),"Warning","")</f>
        <v>#N/A</v>
      </c>
      <c r="AM91" s="609" t="str">
        <f t="shared" si="45"/>
        <v/>
      </c>
    </row>
    <row r="92" spans="1:39" ht="15.75" customHeight="1" x14ac:dyDescent="0.35">
      <c r="A92" t="s">
        <v>1086</v>
      </c>
      <c r="B92" s="781">
        <v>122</v>
      </c>
      <c r="C92" s="782" t="s">
        <v>1087</v>
      </c>
      <c r="D92" s="99"/>
      <c r="E92" s="1224"/>
      <c r="F92" s="757"/>
      <c r="G92" s="758"/>
      <c r="H92" s="758"/>
      <c r="I92" s="757"/>
      <c r="J92" s="757"/>
      <c r="K92" s="758"/>
      <c r="L92" s="758"/>
      <c r="N92" s="1181" t="str">
        <f t="shared" ref="N92:N102" si="59">IF(ISERROR(O92),"",IF((O92="Error"),"add explanation",IF((O92="Warning"),"add explanation","")))</f>
        <v/>
      </c>
      <c r="O92" s="780" t="str">
        <f t="shared" ref="O92:O100" si="60">IF(AM92="Warning","Warning","")</f>
        <v/>
      </c>
      <c r="Q92" s="1264" t="str">
        <f t="shared" ref="Q92:Q100" si="61">IF($O92="Warning","This year's figure is over "&amp;AE92/1000&amp;" million and "&amp;(AD92*100)&amp;"% different to "&amp;TEXT(AF92,"#,###")&amp;" last year, please explain","")</f>
        <v/>
      </c>
      <c r="AD92" s="609">
        <f t="shared" si="52"/>
        <v>0.55000000000000004</v>
      </c>
      <c r="AE92" s="609">
        <f t="shared" si="53"/>
        <v>8000</v>
      </c>
      <c r="AF92" s="609" t="e">
        <f t="shared" si="54"/>
        <v>#N/A</v>
      </c>
      <c r="AG92" s="609" t="e">
        <f t="shared" ref="AG92:AG102" si="62">AF92+AE92</f>
        <v>#N/A</v>
      </c>
      <c r="AH92" s="609" t="e">
        <f t="shared" ref="AH92:AH102" si="63">AF92-AE92</f>
        <v>#N/A</v>
      </c>
      <c r="AI92" s="609" t="e">
        <f t="shared" ref="AI92:AI102" si="64">AF92+(AF92*AD92)</f>
        <v>#N/A</v>
      </c>
      <c r="AJ92" s="609" t="e">
        <f t="shared" ref="AJ92:AJ102" si="65">AF92-(AF92*AD92)</f>
        <v>#N/A</v>
      </c>
      <c r="AK92" s="609" t="e">
        <f t="shared" ref="AK92:AK100" si="66">IF(OR(E92&lt;AH92,E92&gt;AG92),"Warning","")</f>
        <v>#N/A</v>
      </c>
      <c r="AL92" s="609" t="e">
        <f t="shared" ref="AL92:AL100" si="67">IF(OR(E92&gt;(AI92),E92&lt;(AJ92)),"Warning","")</f>
        <v>#N/A</v>
      </c>
      <c r="AM92" s="609" t="str">
        <f t="shared" si="45"/>
        <v/>
      </c>
    </row>
    <row r="93" spans="1:39" ht="15.75" customHeight="1" x14ac:dyDescent="0.35">
      <c r="A93" t="s">
        <v>1088</v>
      </c>
      <c r="B93" s="781">
        <v>123</v>
      </c>
      <c r="C93" s="782" t="s">
        <v>1089</v>
      </c>
      <c r="D93" s="99"/>
      <c r="E93" s="1224"/>
      <c r="F93" s="757"/>
      <c r="G93" s="758"/>
      <c r="H93" s="758"/>
      <c r="I93" s="757"/>
      <c r="J93" s="757"/>
      <c r="K93" s="758"/>
      <c r="L93" s="758"/>
      <c r="N93" s="1181" t="str">
        <f t="shared" si="59"/>
        <v/>
      </c>
      <c r="O93" s="780" t="str">
        <f t="shared" si="60"/>
        <v/>
      </c>
      <c r="Q93" s="1264" t="str">
        <f t="shared" si="61"/>
        <v/>
      </c>
      <c r="AD93" s="609">
        <f t="shared" si="52"/>
        <v>0.55000000000000004</v>
      </c>
      <c r="AE93" s="609">
        <f t="shared" si="53"/>
        <v>8000</v>
      </c>
      <c r="AF93" s="609" t="e">
        <f t="shared" si="54"/>
        <v>#N/A</v>
      </c>
      <c r="AG93" s="609" t="e">
        <f t="shared" si="62"/>
        <v>#N/A</v>
      </c>
      <c r="AH93" s="609" t="e">
        <f t="shared" si="63"/>
        <v>#N/A</v>
      </c>
      <c r="AI93" s="609" t="e">
        <f t="shared" si="64"/>
        <v>#N/A</v>
      </c>
      <c r="AJ93" s="609" t="e">
        <f t="shared" si="65"/>
        <v>#N/A</v>
      </c>
      <c r="AK93" s="609" t="e">
        <f t="shared" si="66"/>
        <v>#N/A</v>
      </c>
      <c r="AL93" s="609" t="e">
        <f t="shared" si="67"/>
        <v>#N/A</v>
      </c>
      <c r="AM93" s="609" t="str">
        <f t="shared" si="45"/>
        <v/>
      </c>
    </row>
    <row r="94" spans="1:39" ht="15.75" customHeight="1" x14ac:dyDescent="0.35">
      <c r="A94" t="s">
        <v>1090</v>
      </c>
      <c r="B94" s="781">
        <v>124</v>
      </c>
      <c r="C94" s="782" t="s">
        <v>1091</v>
      </c>
      <c r="D94" s="99"/>
      <c r="E94" s="1224"/>
      <c r="F94" s="757"/>
      <c r="G94" s="758"/>
      <c r="H94" s="758"/>
      <c r="I94" s="757"/>
      <c r="J94" s="757"/>
      <c r="K94" s="758"/>
      <c r="L94" s="758"/>
      <c r="N94" s="1181" t="str">
        <f t="shared" si="59"/>
        <v/>
      </c>
      <c r="O94" s="780" t="str">
        <f t="shared" si="60"/>
        <v/>
      </c>
      <c r="Q94" s="1264" t="str">
        <f t="shared" si="61"/>
        <v/>
      </c>
      <c r="AD94" s="609">
        <f t="shared" si="52"/>
        <v>0.55000000000000004</v>
      </c>
      <c r="AE94" s="609">
        <f t="shared" si="53"/>
        <v>8000</v>
      </c>
      <c r="AF94" s="609" t="e">
        <f t="shared" si="54"/>
        <v>#N/A</v>
      </c>
      <c r="AG94" s="609" t="e">
        <f t="shared" si="62"/>
        <v>#N/A</v>
      </c>
      <c r="AH94" s="609" t="e">
        <f t="shared" si="63"/>
        <v>#N/A</v>
      </c>
      <c r="AI94" s="609" t="e">
        <f t="shared" si="64"/>
        <v>#N/A</v>
      </c>
      <c r="AJ94" s="609" t="e">
        <f t="shared" si="65"/>
        <v>#N/A</v>
      </c>
      <c r="AK94" s="609" t="e">
        <f t="shared" si="66"/>
        <v>#N/A</v>
      </c>
      <c r="AL94" s="609" t="e">
        <f t="shared" si="67"/>
        <v>#N/A</v>
      </c>
      <c r="AM94" s="609" t="str">
        <f t="shared" si="45"/>
        <v/>
      </c>
    </row>
    <row r="95" spans="1:39" ht="15.75" customHeight="1" x14ac:dyDescent="0.35">
      <c r="A95" t="s">
        <v>1092</v>
      </c>
      <c r="B95" s="781">
        <v>125</v>
      </c>
      <c r="C95" s="782" t="s">
        <v>1093</v>
      </c>
      <c r="D95" s="99"/>
      <c r="E95" s="1224"/>
      <c r="F95" s="757"/>
      <c r="G95" s="758"/>
      <c r="H95" s="758"/>
      <c r="I95" s="757"/>
      <c r="J95" s="757"/>
      <c r="K95" s="758"/>
      <c r="L95" s="758"/>
      <c r="N95" s="1181" t="str">
        <f t="shared" si="59"/>
        <v/>
      </c>
      <c r="O95" s="780" t="str">
        <f t="shared" si="60"/>
        <v/>
      </c>
      <c r="Q95" s="1264" t="str">
        <f t="shared" si="61"/>
        <v/>
      </c>
      <c r="AD95" s="609">
        <f t="shared" si="52"/>
        <v>0.55000000000000004</v>
      </c>
      <c r="AE95" s="609">
        <f t="shared" si="53"/>
        <v>8000</v>
      </c>
      <c r="AF95" s="609" t="e">
        <f t="shared" si="54"/>
        <v>#N/A</v>
      </c>
      <c r="AG95" s="609" t="e">
        <f t="shared" si="62"/>
        <v>#N/A</v>
      </c>
      <c r="AH95" s="609" t="e">
        <f t="shared" si="63"/>
        <v>#N/A</v>
      </c>
      <c r="AI95" s="609" t="e">
        <f t="shared" si="64"/>
        <v>#N/A</v>
      </c>
      <c r="AJ95" s="609" t="e">
        <f t="shared" si="65"/>
        <v>#N/A</v>
      </c>
      <c r="AK95" s="609" t="e">
        <f t="shared" si="66"/>
        <v>#N/A</v>
      </c>
      <c r="AL95" s="609" t="e">
        <f t="shared" si="67"/>
        <v>#N/A</v>
      </c>
      <c r="AM95" s="609" t="str">
        <f t="shared" si="45"/>
        <v/>
      </c>
    </row>
    <row r="96" spans="1:39" ht="15.75" customHeight="1" x14ac:dyDescent="0.35">
      <c r="A96" t="s">
        <v>1094</v>
      </c>
      <c r="B96" s="781">
        <v>126</v>
      </c>
      <c r="C96" s="782" t="s">
        <v>1095</v>
      </c>
      <c r="D96" s="99"/>
      <c r="E96" s="1224"/>
      <c r="F96" s="1181"/>
      <c r="G96" s="896"/>
      <c r="H96" s="896"/>
      <c r="I96" s="757"/>
      <c r="J96" s="757"/>
      <c r="K96" s="758"/>
      <c r="L96" s="758"/>
      <c r="N96" s="1181" t="str">
        <f t="shared" si="59"/>
        <v/>
      </c>
      <c r="O96" s="780" t="str">
        <f t="shared" si="60"/>
        <v/>
      </c>
      <c r="Q96" s="1264" t="str">
        <f t="shared" si="61"/>
        <v/>
      </c>
      <c r="AD96" s="609">
        <f t="shared" si="52"/>
        <v>0</v>
      </c>
      <c r="AE96" s="609">
        <f t="shared" si="53"/>
        <v>0</v>
      </c>
      <c r="AF96" s="609" t="e">
        <f t="shared" si="54"/>
        <v>#N/A</v>
      </c>
      <c r="AG96" s="609" t="e">
        <f t="shared" ref="AG96:AG97" si="68">AF96+AE96</f>
        <v>#N/A</v>
      </c>
      <c r="AH96" s="609" t="e">
        <f t="shared" ref="AH96:AH97" si="69">AF96-AE96</f>
        <v>#N/A</v>
      </c>
      <c r="AI96" s="609" t="e">
        <f t="shared" ref="AI96:AI97" si="70">AF96+(AF96*AD96)</f>
        <v>#N/A</v>
      </c>
      <c r="AJ96" s="609" t="e">
        <f t="shared" ref="AJ96:AJ97" si="71">AF96-(AF96*AD96)</f>
        <v>#N/A</v>
      </c>
      <c r="AL96" s="609" t="str">
        <f>IF(E96="","Error","")</f>
        <v>Error</v>
      </c>
    </row>
    <row r="97" spans="1:39" ht="36" customHeight="1" x14ac:dyDescent="0.35">
      <c r="A97" t="s">
        <v>1096</v>
      </c>
      <c r="B97" s="781">
        <v>127</v>
      </c>
      <c r="C97" s="1514" t="s">
        <v>1097</v>
      </c>
      <c r="D97" s="1515"/>
      <c r="E97" s="1224"/>
      <c r="F97" s="757"/>
      <c r="G97" s="758"/>
      <c r="H97" s="758"/>
      <c r="I97" s="757"/>
      <c r="J97" s="757"/>
      <c r="K97" s="758"/>
      <c r="L97" s="758"/>
      <c r="N97" s="1181" t="str">
        <f t="shared" si="59"/>
        <v/>
      </c>
      <c r="O97" s="780" t="str">
        <f t="shared" si="60"/>
        <v/>
      </c>
      <c r="Q97" s="1264" t="str">
        <f t="shared" si="61"/>
        <v/>
      </c>
      <c r="AD97" s="609">
        <f t="shared" si="52"/>
        <v>0</v>
      </c>
      <c r="AE97" s="609">
        <f t="shared" si="53"/>
        <v>0</v>
      </c>
      <c r="AF97" s="609" t="e">
        <f t="shared" si="54"/>
        <v>#N/A</v>
      </c>
      <c r="AG97" s="609" t="e">
        <f t="shared" si="68"/>
        <v>#N/A</v>
      </c>
      <c r="AH97" s="609" t="e">
        <f t="shared" si="69"/>
        <v>#N/A</v>
      </c>
      <c r="AI97" s="609" t="e">
        <f t="shared" si="70"/>
        <v>#N/A</v>
      </c>
      <c r="AJ97" s="609" t="e">
        <f t="shared" si="71"/>
        <v>#N/A</v>
      </c>
      <c r="AM97" s="609" t="str">
        <f t="shared" si="45"/>
        <v/>
      </c>
    </row>
    <row r="98" spans="1:39" ht="15.75" customHeight="1" x14ac:dyDescent="0.35">
      <c r="A98" t="s">
        <v>1098</v>
      </c>
      <c r="B98" s="781">
        <v>128</v>
      </c>
      <c r="C98" s="782" t="s">
        <v>1099</v>
      </c>
      <c r="D98" s="99"/>
      <c r="E98" s="1224"/>
      <c r="F98" s="757"/>
      <c r="G98" s="758"/>
      <c r="H98" s="758"/>
      <c r="I98" s="757"/>
      <c r="J98" s="757"/>
      <c r="K98" s="758"/>
      <c r="L98" s="758"/>
      <c r="N98" s="1181" t="str">
        <f t="shared" si="59"/>
        <v/>
      </c>
      <c r="O98" s="780" t="str">
        <f t="shared" si="60"/>
        <v/>
      </c>
      <c r="Q98" s="1264" t="str">
        <f t="shared" si="61"/>
        <v/>
      </c>
      <c r="AD98" s="609">
        <f t="shared" si="52"/>
        <v>0.65</v>
      </c>
      <c r="AE98" s="609">
        <f t="shared" si="53"/>
        <v>15000</v>
      </c>
      <c r="AF98" s="609" t="e">
        <f t="shared" si="54"/>
        <v>#N/A</v>
      </c>
      <c r="AG98" s="609" t="e">
        <f t="shared" si="62"/>
        <v>#N/A</v>
      </c>
      <c r="AH98" s="609" t="e">
        <f t="shared" si="63"/>
        <v>#N/A</v>
      </c>
      <c r="AI98" s="609" t="e">
        <f t="shared" si="64"/>
        <v>#N/A</v>
      </c>
      <c r="AJ98" s="609" t="e">
        <f t="shared" si="65"/>
        <v>#N/A</v>
      </c>
      <c r="AK98" s="609" t="e">
        <f t="shared" si="66"/>
        <v>#N/A</v>
      </c>
      <c r="AL98" s="609" t="e">
        <f t="shared" si="67"/>
        <v>#N/A</v>
      </c>
      <c r="AM98" s="609" t="str">
        <f t="shared" si="45"/>
        <v/>
      </c>
    </row>
    <row r="99" spans="1:39" ht="15.75" customHeight="1" x14ac:dyDescent="0.35">
      <c r="A99" t="s">
        <v>1100</v>
      </c>
      <c r="B99" s="781">
        <v>129</v>
      </c>
      <c r="C99" s="782" t="s">
        <v>1101</v>
      </c>
      <c r="D99" s="99"/>
      <c r="E99" s="1224"/>
      <c r="F99" s="757"/>
      <c r="G99" s="758"/>
      <c r="H99" s="758"/>
      <c r="I99" s="757"/>
      <c r="J99" s="757"/>
      <c r="K99" s="758"/>
      <c r="L99" s="758"/>
      <c r="N99" s="1181" t="str">
        <f t="shared" si="59"/>
        <v/>
      </c>
      <c r="O99" s="780" t="str">
        <f t="shared" si="60"/>
        <v/>
      </c>
      <c r="Q99" s="1264" t="str">
        <f t="shared" si="61"/>
        <v/>
      </c>
      <c r="AD99" s="609">
        <f t="shared" si="52"/>
        <v>0.55000000000000004</v>
      </c>
      <c r="AE99" s="609">
        <f t="shared" si="53"/>
        <v>8000</v>
      </c>
      <c r="AF99" s="609" t="e">
        <f t="shared" si="54"/>
        <v>#N/A</v>
      </c>
      <c r="AG99" s="609" t="e">
        <f t="shared" si="62"/>
        <v>#N/A</v>
      </c>
      <c r="AH99" s="609" t="e">
        <f t="shared" si="63"/>
        <v>#N/A</v>
      </c>
      <c r="AI99" s="609" t="e">
        <f t="shared" si="64"/>
        <v>#N/A</v>
      </c>
      <c r="AJ99" s="609" t="e">
        <f t="shared" si="65"/>
        <v>#N/A</v>
      </c>
      <c r="AK99" s="609" t="e">
        <f t="shared" si="66"/>
        <v>#N/A</v>
      </c>
      <c r="AL99" s="609" t="e">
        <f t="shared" si="67"/>
        <v>#N/A</v>
      </c>
      <c r="AM99" s="609" t="str">
        <f t="shared" si="45"/>
        <v/>
      </c>
    </row>
    <row r="100" spans="1:39" ht="15.75" customHeight="1" x14ac:dyDescent="0.35">
      <c r="A100" t="s">
        <v>1102</v>
      </c>
      <c r="B100" s="781">
        <v>130</v>
      </c>
      <c r="C100" s="782" t="s">
        <v>1103</v>
      </c>
      <c r="D100" s="99"/>
      <c r="E100" s="1224"/>
      <c r="F100" s="757"/>
      <c r="G100" s="731"/>
      <c r="H100" s="731"/>
      <c r="I100" s="757"/>
      <c r="J100" s="757"/>
      <c r="K100" s="758"/>
      <c r="L100" s="758"/>
      <c r="N100" s="1181" t="str">
        <f t="shared" si="59"/>
        <v/>
      </c>
      <c r="O100" s="780" t="str">
        <f t="shared" si="60"/>
        <v/>
      </c>
      <c r="Q100" s="1264" t="str">
        <f t="shared" si="61"/>
        <v/>
      </c>
      <c r="AD100" s="609">
        <f t="shared" si="52"/>
        <v>0.55000000000000004</v>
      </c>
      <c r="AE100" s="609">
        <f t="shared" si="53"/>
        <v>8000</v>
      </c>
      <c r="AF100" s="609" t="e">
        <f t="shared" si="54"/>
        <v>#N/A</v>
      </c>
      <c r="AG100" s="609" t="e">
        <f t="shared" si="62"/>
        <v>#N/A</v>
      </c>
      <c r="AH100" s="609" t="e">
        <f t="shared" si="63"/>
        <v>#N/A</v>
      </c>
      <c r="AI100" s="609" t="e">
        <f t="shared" si="64"/>
        <v>#N/A</v>
      </c>
      <c r="AJ100" s="609" t="e">
        <f t="shared" si="65"/>
        <v>#N/A</v>
      </c>
      <c r="AK100" s="609" t="e">
        <f t="shared" si="66"/>
        <v>#N/A</v>
      </c>
      <c r="AL100" s="609" t="e">
        <f t="shared" si="67"/>
        <v>#N/A</v>
      </c>
      <c r="AM100" s="609" t="str">
        <f t="shared" si="45"/>
        <v/>
      </c>
    </row>
    <row r="101" spans="1:39" ht="15.75" customHeight="1" x14ac:dyDescent="0.35">
      <c r="A101" t="s">
        <v>1104</v>
      </c>
      <c r="B101" s="781">
        <v>131</v>
      </c>
      <c r="C101" s="782" t="s">
        <v>1105</v>
      </c>
      <c r="D101" s="99"/>
      <c r="E101" s="1415"/>
      <c r="F101" s="757"/>
      <c r="G101" s="731"/>
      <c r="H101" s="731"/>
      <c r="I101" s="757"/>
      <c r="J101" s="757"/>
      <c r="K101" s="758"/>
      <c r="L101" s="758"/>
      <c r="N101" s="1181" t="str">
        <f>IF(ISERROR(O101),"",IF((O101="Error"),"add explanation",IF((O101="Warning"),"add explanation","")))</f>
        <v/>
      </c>
      <c r="O101" s="780" t="str">
        <f>IF(AM101="Warning","Warning","")</f>
        <v/>
      </c>
      <c r="Q101" s="1264" t="str">
        <f>IF($O101="Warning","This year's figure is over "&amp;AE101/1000&amp;" million and "&amp;(AD101*100)&amp;"% different to "&amp;TEXT(AF101,"#,###")&amp;" last year, please explain","")</f>
        <v/>
      </c>
      <c r="AD101" s="609">
        <f t="shared" si="52"/>
        <v>0.55000000000000004</v>
      </c>
      <c r="AE101" s="609">
        <f t="shared" si="53"/>
        <v>8000</v>
      </c>
      <c r="AF101" s="609" t="e">
        <f t="shared" si="54"/>
        <v>#N/A</v>
      </c>
      <c r="AG101" s="609" t="e">
        <f t="shared" si="62"/>
        <v>#N/A</v>
      </c>
      <c r="AH101" s="609" t="e">
        <f t="shared" si="63"/>
        <v>#N/A</v>
      </c>
      <c r="AI101" s="609" t="e">
        <f t="shared" si="64"/>
        <v>#N/A</v>
      </c>
      <c r="AJ101" s="609" t="e">
        <f t="shared" si="65"/>
        <v>#N/A</v>
      </c>
      <c r="AK101" s="609" t="e">
        <f>IF(OR(E101&lt;AH101,E101&gt;AG101),"Warning","")</f>
        <v>#N/A</v>
      </c>
      <c r="AL101" s="609" t="e">
        <f>IF(OR(E101&gt;(AI101),E101&lt;(AJ101)),"Warning","")</f>
        <v>#N/A</v>
      </c>
      <c r="AM101" s="609" t="str">
        <f t="shared" si="45"/>
        <v/>
      </c>
    </row>
    <row r="102" spans="1:39" ht="15.75" customHeight="1" x14ac:dyDescent="0.35">
      <c r="A102" t="s">
        <v>1106</v>
      </c>
      <c r="B102" s="781">
        <v>133</v>
      </c>
      <c r="C102" s="782" t="s">
        <v>1107</v>
      </c>
      <c r="D102" s="99"/>
      <c r="E102" s="1415"/>
      <c r="F102" s="757"/>
      <c r="G102" s="731"/>
      <c r="H102" s="731"/>
      <c r="I102" s="757"/>
      <c r="J102" s="757"/>
      <c r="K102" s="758"/>
      <c r="L102" s="758"/>
      <c r="N102" s="1181" t="str">
        <f t="shared" si="59"/>
        <v/>
      </c>
      <c r="O102" s="780" t="str">
        <f t="shared" ref="O102" si="72">IF(AM102="Warning","Warning","")</f>
        <v/>
      </c>
      <c r="Q102" s="1264" t="str">
        <f t="shared" ref="Q102" si="73">IF($O102="Warning","This year's figure is over "&amp;AE102/1000&amp;" million and "&amp;(AD102*100)&amp;"% different to "&amp;TEXT(AF102,"#,###")&amp;" last year, please explain","")</f>
        <v/>
      </c>
      <c r="AD102" s="609">
        <f t="shared" si="52"/>
        <v>0.55000000000000004</v>
      </c>
      <c r="AE102" s="609">
        <f t="shared" si="53"/>
        <v>8000</v>
      </c>
      <c r="AF102" s="609" t="e">
        <f t="shared" si="54"/>
        <v>#N/A</v>
      </c>
      <c r="AG102" s="609" t="e">
        <f t="shared" si="62"/>
        <v>#N/A</v>
      </c>
      <c r="AH102" s="609" t="e">
        <f t="shared" si="63"/>
        <v>#N/A</v>
      </c>
      <c r="AI102" s="609" t="e">
        <f t="shared" si="64"/>
        <v>#N/A</v>
      </c>
      <c r="AJ102" s="609" t="e">
        <f t="shared" si="65"/>
        <v>#N/A</v>
      </c>
      <c r="AK102" s="609" t="e">
        <f>IF(OR(E102&lt;AH102,E102&gt;AG102),"Warning","")</f>
        <v>#N/A</v>
      </c>
      <c r="AL102" s="609" t="e">
        <f>IF(OR(E102&gt;(AI102),E102&lt;(AJ102)),"Warning","")</f>
        <v>#N/A</v>
      </c>
      <c r="AM102" s="609" t="str">
        <f t="shared" si="45"/>
        <v/>
      </c>
    </row>
    <row r="103" spans="1:39" ht="15.75" customHeight="1" x14ac:dyDescent="0.35">
      <c r="A103" t="s">
        <v>345</v>
      </c>
      <c r="B103" s="783">
        <v>135</v>
      </c>
      <c r="C103" s="784" t="s">
        <v>1108</v>
      </c>
      <c r="D103" s="99"/>
      <c r="E103" s="1416">
        <f>SUM(E91:E102)</f>
        <v>0</v>
      </c>
      <c r="F103" s="757"/>
      <c r="G103" s="731"/>
      <c r="H103" s="731"/>
      <c r="I103" s="757"/>
      <c r="J103" s="757"/>
      <c r="K103" s="758"/>
      <c r="L103" s="758"/>
      <c r="N103" s="1182"/>
      <c r="O103" s="780"/>
      <c r="AD103" s="609">
        <f t="shared" si="52"/>
        <v>0.4</v>
      </c>
    </row>
    <row r="104" spans="1:39" ht="15.5" x14ac:dyDescent="0.35">
      <c r="B104" s="785" t="s">
        <v>263</v>
      </c>
      <c r="C104" s="782"/>
      <c r="D104" s="99"/>
      <c r="E104" s="777"/>
      <c r="F104" s="757"/>
      <c r="G104" s="758"/>
      <c r="H104" s="758"/>
      <c r="I104" s="757"/>
      <c r="J104" s="757"/>
      <c r="K104" s="758"/>
      <c r="L104" s="758"/>
      <c r="N104" s="1182"/>
      <c r="O104" s="780"/>
    </row>
    <row r="105" spans="1:39" ht="15.75" customHeight="1" x14ac:dyDescent="0.35">
      <c r="A105" t="s">
        <v>348</v>
      </c>
      <c r="B105" s="783">
        <v>140</v>
      </c>
      <c r="C105" s="784" t="s">
        <v>1109</v>
      </c>
      <c r="D105" s="99"/>
      <c r="E105" s="1416">
        <f>E88-E103</f>
        <v>0</v>
      </c>
      <c r="F105" s="757"/>
      <c r="G105" s="758"/>
      <c r="H105" s="758"/>
      <c r="I105" s="757"/>
      <c r="J105" s="757"/>
      <c r="K105" s="758"/>
      <c r="L105" s="758"/>
      <c r="N105" s="1182"/>
      <c r="O105" s="780"/>
      <c r="AD105" s="609">
        <f>VLOOKUP("RO4"&amp;$B105,data_val_parameters,8,0)/100</f>
        <v>0.4</v>
      </c>
    </row>
    <row r="106" spans="1:39" ht="15.5" x14ac:dyDescent="0.35">
      <c r="B106" s="788"/>
      <c r="C106" s="756"/>
      <c r="E106" s="104" t="s">
        <v>743</v>
      </c>
      <c r="F106" s="757"/>
      <c r="G106" s="758"/>
      <c r="H106" s="758"/>
      <c r="I106" s="757"/>
      <c r="J106" s="757"/>
      <c r="K106" s="758"/>
      <c r="L106" s="758"/>
      <c r="N106" s="436"/>
      <c r="O106" s="780"/>
    </row>
    <row r="107" spans="1:39" ht="15.5" hidden="1" x14ac:dyDescent="0.35">
      <c r="B107" s="3" t="s">
        <v>1110</v>
      </c>
      <c r="C107" s="3"/>
      <c r="D107" s="951" t="s">
        <v>44</v>
      </c>
      <c r="E107" s="757" t="s">
        <v>256</v>
      </c>
      <c r="F107" s="757" t="s">
        <v>257</v>
      </c>
      <c r="G107" s="758"/>
      <c r="H107" s="758"/>
      <c r="I107" s="757"/>
      <c r="J107" s="757"/>
      <c r="K107" s="758"/>
      <c r="L107" s="758"/>
      <c r="N107" s="436"/>
      <c r="O107" s="780"/>
      <c r="AD107" s="609" t="e">
        <f>VLOOKUP("RO4"&amp;$B107,data_val_parameters,8,0)/100</f>
        <v>#N/A</v>
      </c>
    </row>
    <row r="108" spans="1:39" ht="31" x14ac:dyDescent="0.35">
      <c r="B108" s="3"/>
      <c r="C108" s="3"/>
      <c r="E108" s="443" t="str">
        <f>"At 1 April
"&amp;prev_year&amp;""</f>
        <v>At 1 April
2025</v>
      </c>
      <c r="F108" s="443" t="str">
        <f>"At 31 March
"&amp;current_year&amp;""</f>
        <v>At 31 March
2026</v>
      </c>
      <c r="G108" s="778"/>
      <c r="H108" s="778"/>
      <c r="I108" s="757"/>
      <c r="J108" s="757"/>
      <c r="K108" s="758"/>
      <c r="L108" s="758"/>
      <c r="N108" s="436"/>
      <c r="O108" s="780"/>
    </row>
    <row r="109" spans="1:39" ht="15.5" x14ac:dyDescent="0.35">
      <c r="B109" s="3"/>
      <c r="C109" s="3"/>
      <c r="E109" s="779" t="s">
        <v>60</v>
      </c>
      <c r="F109" s="779" t="s">
        <v>60</v>
      </c>
      <c r="G109" s="778"/>
      <c r="H109" s="778"/>
      <c r="I109" s="757"/>
      <c r="J109" s="757"/>
      <c r="K109" s="758"/>
      <c r="L109" s="758"/>
      <c r="N109" s="1181" t="str">
        <f t="shared" ref="N109" si="74">IF(ISERROR(O109),"",IF((O109="Error"),"add explanation",IF((O109="Warning"),"add explanation","")))</f>
        <v/>
      </c>
      <c r="O109" s="780" t="e">
        <f>IF(AM109="Warning","Warning","")</f>
        <v>#N/A</v>
      </c>
      <c r="Q109" s="1264" t="e">
        <f>IF($O109="Warning","This year's opening balance figure is over "&amp;AE109/1000&amp;" million and "&amp;(AD109*100)&amp;"% different to "&amp;TEXT(AF109,"#,###")&amp;" last year, please explain","")</f>
        <v>#N/A</v>
      </c>
      <c r="AD109" s="79">
        <f>VLOOKUP("RO4"&amp;$B110,data_val_parameters,8,0)/100</f>
        <v>0.55000000000000004</v>
      </c>
      <c r="AE109" s="79">
        <f>VLOOKUP("RO4"&amp;$B110,data_val_parameters,7,0)</f>
        <v>10000</v>
      </c>
      <c r="AF109" s="609" t="e">
        <f>VLOOKUP(LA_code,data_prev_year,MATCH("RO4"&amp;$B110&amp;"9",data_prev_year_headers,0),0)</f>
        <v>#N/A</v>
      </c>
      <c r="AG109" s="609" t="e">
        <f t="shared" ref="AG109:AG110" si="75">AF109+AE109</f>
        <v>#N/A</v>
      </c>
      <c r="AH109" s="609" t="e">
        <f t="shared" ref="AH109:AH110" si="76">AF109-AE109</f>
        <v>#N/A</v>
      </c>
      <c r="AI109" s="609" t="e">
        <f t="shared" ref="AI109:AI110" si="77">AF109+(AF109*AD109)</f>
        <v>#N/A</v>
      </c>
      <c r="AJ109" s="609" t="e">
        <f t="shared" ref="AJ109:AJ110" si="78">AF109-(AF109*AD109)</f>
        <v>#N/A</v>
      </c>
      <c r="AK109" s="609" t="e">
        <f>IF(OR(E110&lt;AH109,E110&gt;AG109),"Warning","")</f>
        <v>#N/A</v>
      </c>
      <c r="AL109" s="609" t="e">
        <f>IF(OR(E110&gt;(AI109),E110&lt;(AJ109)),"Warning","")</f>
        <v>#N/A</v>
      </c>
      <c r="AM109" s="609" t="e">
        <f>IF(OR(E110=0),"",IF(AND(AK109="Warning",AL109="Warning"),"Warning",""))</f>
        <v>#N/A</v>
      </c>
    </row>
    <row r="110" spans="1:39" ht="15.5" x14ac:dyDescent="0.35">
      <c r="A110" t="s">
        <v>353</v>
      </c>
      <c r="B110" s="789">
        <v>146</v>
      </c>
      <c r="C110" s="752" t="s">
        <v>1111</v>
      </c>
      <c r="E110" s="1417" t="e">
        <f>VLOOKUP(LA_code,data_prev_year,MATCH("RS"&amp;"983"&amp;"7",data_prev_year_headers,0),0)</f>
        <v>#N/A</v>
      </c>
      <c r="F110" s="1418" t="e">
        <f>E110+E105</f>
        <v>#N/A</v>
      </c>
      <c r="G110" s="970" t="str">
        <f>IF(ISERROR(I110),"",IF((I110="Error"),"add explanation",IF((S110="Warning"),"add explanation","")))</f>
        <v/>
      </c>
      <c r="H110" s="970"/>
      <c r="I110" s="545" t="e">
        <f>RS!I175</f>
        <v>#N/A</v>
      </c>
      <c r="J110" s="969" t="e">
        <f>RS!J175</f>
        <v>#N/A</v>
      </c>
      <c r="K110" s="758"/>
      <c r="L110" s="758"/>
      <c r="R110" s="434" t="str">
        <f t="shared" ref="R110" si="79">IF(ISERROR(S110),"",IF((S110="Error"),"add explanation",IF((S110="Warning"),"add explanation","")))</f>
        <v/>
      </c>
      <c r="S110" s="780" t="e">
        <f>IF(AM110="Warning","Warning","")</f>
        <v>#N/A</v>
      </c>
      <c r="U110" s="755" t="e">
        <f>IF($S110="Warning","This year's closing balance figure is over "&amp;AE110/1000&amp;" million and "&amp;(AD110*100)&amp;"% different to "&amp;TEXT(AF110,"#,###")&amp;" last year, please explain","")</f>
        <v>#N/A</v>
      </c>
      <c r="AD110" s="79">
        <f>VLOOKUP("RO4"&amp;$B110,data_val_parameters,8,0)/100</f>
        <v>0.55000000000000004</v>
      </c>
      <c r="AE110" s="79">
        <f>VLOOKUP("RO4"&amp;$B110,data_val_parameters,7,0)</f>
        <v>10000</v>
      </c>
      <c r="AF110" s="609" t="e">
        <f>VLOOKUP(LA_code,data_prev_year,MATCH("RO4"&amp;$B110&amp;"10",data_prev_year_headers,0),0)</f>
        <v>#N/A</v>
      </c>
      <c r="AG110" s="609" t="e">
        <f t="shared" si="75"/>
        <v>#N/A</v>
      </c>
      <c r="AH110" s="609" t="e">
        <f t="shared" si="76"/>
        <v>#N/A</v>
      </c>
      <c r="AI110" s="609" t="e">
        <f t="shared" si="77"/>
        <v>#N/A</v>
      </c>
      <c r="AJ110" s="609" t="e">
        <f t="shared" si="78"/>
        <v>#N/A</v>
      </c>
      <c r="AK110" s="609" t="e">
        <f>IF(OR(F110&lt;AH110,F110&gt;AG110),"Warning","")</f>
        <v>#N/A</v>
      </c>
      <c r="AL110" s="609" t="e">
        <f>IF(OR(F110&gt;(AI110),F110&lt;(AJ110)),"Warning","")</f>
        <v>#N/A</v>
      </c>
      <c r="AM110" s="609" t="e">
        <f>IF(OR(F110=0),"",IF(AND(AK110="Warning",AL110="Warning"),"Warning",""))</f>
        <v>#N/A</v>
      </c>
    </row>
    <row r="111" spans="1:39" ht="23.5" customHeight="1" x14ac:dyDescent="0.35">
      <c r="B111" s="790" t="s">
        <v>1112</v>
      </c>
      <c r="C111" s="791"/>
      <c r="D111" s="756"/>
      <c r="E111" s="757"/>
      <c r="F111" s="757"/>
      <c r="G111" s="758"/>
      <c r="H111" s="758"/>
      <c r="I111" s="757"/>
      <c r="J111" s="757"/>
      <c r="K111" s="758"/>
      <c r="L111" s="758"/>
      <c r="O111" s="780" t="e">
        <f>IF(AM111="Warning","Warning","")</f>
        <v>#N/A</v>
      </c>
      <c r="Q111" s="792" t="e">
        <f>IF(E110+E105=F110,"","Reserve levels at end of March does not equal the sum of April reserve levels and surplus or deficit (line 140).")</f>
        <v>#N/A</v>
      </c>
      <c r="AM111" s="609" t="e">
        <f>IF(E110+E105=F110,"", "Warning")</f>
        <v>#N/A</v>
      </c>
    </row>
    <row r="112" spans="1:39" ht="15.5" x14ac:dyDescent="0.35">
      <c r="D112" s="1"/>
      <c r="E112" s="757"/>
      <c r="F112" s="757"/>
      <c r="G112" s="758"/>
      <c r="H112" s="758"/>
      <c r="I112" s="757"/>
      <c r="J112" s="757"/>
      <c r="K112" s="758"/>
      <c r="L112" s="758"/>
    </row>
    <row r="113" spans="2:12" ht="15.5" x14ac:dyDescent="0.35">
      <c r="B113" s="760"/>
      <c r="C113" s="760"/>
      <c r="D113" s="1"/>
      <c r="E113" s="757"/>
      <c r="F113" s="757"/>
      <c r="G113" s="758"/>
      <c r="H113" s="758"/>
      <c r="I113" s="757"/>
      <c r="J113" s="757"/>
      <c r="K113" s="758"/>
      <c r="L113" s="758"/>
    </row>
    <row r="114" spans="2:12" ht="12.5" x14ac:dyDescent="0.25">
      <c r="E114" s="756"/>
    </row>
    <row r="115" spans="2:12" ht="12.5" x14ac:dyDescent="0.25"/>
    <row r="116" spans="2:12" ht="12.5" x14ac:dyDescent="0.25"/>
    <row r="117" spans="2:12" ht="12.5" x14ac:dyDescent="0.25"/>
    <row r="118" spans="2:12" ht="12.5" x14ac:dyDescent="0.25"/>
    <row r="119" spans="2:12" ht="12.5" x14ac:dyDescent="0.25"/>
    <row r="120" spans="2:12" ht="12.5" x14ac:dyDescent="0.25"/>
    <row r="121" spans="2:12" ht="12.5" x14ac:dyDescent="0.25"/>
    <row r="122" spans="2:12" ht="12.5" x14ac:dyDescent="0.25"/>
  </sheetData>
  <sheetProtection sheet="1" objects="1" scenarios="1"/>
  <protectedRanges>
    <protectedRange sqref="E110" name="Range1"/>
  </protectedRanges>
  <mergeCells count="7">
    <mergeCell ref="C97:D97"/>
    <mergeCell ref="B2:O2"/>
    <mergeCell ref="B16:O16"/>
    <mergeCell ref="B10:O10"/>
    <mergeCell ref="B11:O11"/>
    <mergeCell ref="B13:O13"/>
    <mergeCell ref="B15:O15"/>
  </mergeCells>
  <phoneticPr fontId="0" type="noConversion"/>
  <conditionalFormatting sqref="B18">
    <cfRule type="containsText" dxfId="78" priority="28" operator="containsText" text="resolve">
      <formula>NOT(ISERROR(SEARCH("resolve",B18)))</formula>
    </cfRule>
  </conditionalFormatting>
  <conditionalFormatting sqref="C18">
    <cfRule type="expression" dxfId="77" priority="5">
      <formula>ISNUMBER(SEARCH(AB18,B18))</formula>
    </cfRule>
  </conditionalFormatting>
  <conditionalFormatting sqref="D18">
    <cfRule type="expression" dxfId="76" priority="17">
      <formula>ISNUMBER(SEARCH(AB18,B18))</formula>
    </cfRule>
  </conditionalFormatting>
  <conditionalFormatting sqref="E18">
    <cfRule type="expression" dxfId="75" priority="16">
      <formula>ISNUMBER(SEARCH(AB18,B18))</formula>
    </cfRule>
  </conditionalFormatting>
  <conditionalFormatting sqref="F18">
    <cfRule type="expression" dxfId="74" priority="15">
      <formula>ISNUMBER(SEARCH(AB18,B18))</formula>
    </cfRule>
  </conditionalFormatting>
  <conditionalFormatting sqref="G18:H18">
    <cfRule type="expression" dxfId="73" priority="14">
      <formula>ISNUMBER(SEARCH(AB18,B18))</formula>
    </cfRule>
  </conditionalFormatting>
  <conditionalFormatting sqref="H67 H72">
    <cfRule type="containsText" dxfId="72" priority="4" operator="containsText" text="Error">
      <formula>NOT(ISERROR(SEARCH("Error",H67)))</formula>
    </cfRule>
  </conditionalFormatting>
  <conditionalFormatting sqref="I18">
    <cfRule type="expression" dxfId="71" priority="13">
      <formula>ISNUMBER(SEARCH(AB18,B18))</formula>
    </cfRule>
  </conditionalFormatting>
  <conditionalFormatting sqref="I110">
    <cfRule type="containsText" dxfId="70" priority="6" operator="containsText" text="Information">
      <formula>NOT(ISERROR(SEARCH("Information",I110)))</formula>
    </cfRule>
    <cfRule type="containsText" dxfId="69" priority="7" operator="containsText" text="Warning">
      <formula>NOT(ISERROR(SEARCH("Warning",I110)))</formula>
    </cfRule>
    <cfRule type="containsText" dxfId="68" priority="8" operator="containsText" text="Error">
      <formula>NOT(ISERROR(SEARCH("Error",I110)))</formula>
    </cfRule>
  </conditionalFormatting>
  <conditionalFormatting sqref="J18">
    <cfRule type="expression" dxfId="67" priority="12">
      <formula>ISNUMBER(SEARCH(AB18,B18))</formula>
    </cfRule>
  </conditionalFormatting>
  <conditionalFormatting sqref="K18">
    <cfRule type="expression" dxfId="66" priority="11">
      <formula>ISNUMBER(SEARCH(AB18,B18))</formula>
    </cfRule>
  </conditionalFormatting>
  <conditionalFormatting sqref="L18">
    <cfRule type="expression" dxfId="65" priority="10">
      <formula>ISNUMBER(SEARCH(AB18,B18))</formula>
    </cfRule>
  </conditionalFormatting>
  <conditionalFormatting sqref="O32:O109">
    <cfRule type="containsText" dxfId="64" priority="1" operator="containsText" text="Information">
      <formula>NOT(ISERROR(SEARCH("Information",O32)))</formula>
    </cfRule>
    <cfRule type="containsText" dxfId="63" priority="2" operator="containsText" text="Warning">
      <formula>NOT(ISERROR(SEARCH("Warning",O32)))</formula>
    </cfRule>
    <cfRule type="containsText" dxfId="62" priority="3" operator="containsText" text="Error">
      <formula>NOT(ISERROR(SEARCH("Error",O32)))</formula>
    </cfRule>
  </conditionalFormatting>
  <conditionalFormatting sqref="S110 O111">
    <cfRule type="containsText" dxfId="61" priority="32" operator="containsText" text="Information">
      <formula>NOT(ISERROR(SEARCH("Information",O110)))</formula>
    </cfRule>
    <cfRule type="containsText" dxfId="60" priority="33" operator="containsText" text="Warning">
      <formula>NOT(ISERROR(SEARCH("Warning",O110)))</formula>
    </cfRule>
    <cfRule type="containsText" dxfId="59" priority="34" operator="containsText" text="Error">
      <formula>NOT(ISERROR(SEARCH("Error",O110)))</formula>
    </cfRule>
  </conditionalFormatting>
  <hyperlinks>
    <hyperlink ref="N32" location="Memo!C405" display="Memo!C405" xr:uid="{00000000-0004-0000-0700-000000000000}"/>
    <hyperlink ref="N34" location="Memo!C406" display="Memo!C406" xr:uid="{00000000-0004-0000-0700-000001000000}"/>
    <hyperlink ref="N37" location="Memo!C407" display="Memo!C407" xr:uid="{00000000-0004-0000-0700-000002000000}"/>
    <hyperlink ref="N38" location="Memo!C408" display="Memo!C408" xr:uid="{00000000-0004-0000-0700-000003000000}"/>
    <hyperlink ref="N41" location="Memo!C409" display="Memo!C409" xr:uid="{00000000-0004-0000-0700-000004000000}"/>
    <hyperlink ref="N42" location="Memo!C410" display="Memo!C410" xr:uid="{00000000-0004-0000-0700-000005000000}"/>
    <hyperlink ref="N44" location="Memo!C412" display="Memo!C412" xr:uid="{00000000-0004-0000-0700-000007000000}"/>
    <hyperlink ref="N45" location="Memo!C413" display="Memo!C413" xr:uid="{00000000-0004-0000-0700-000008000000}"/>
    <hyperlink ref="N46" location="Memo!C414" display="Memo!C414" xr:uid="{00000000-0004-0000-0700-000009000000}"/>
    <hyperlink ref="N47" location="Memo!C415" display="Memo!C415" xr:uid="{00000000-0004-0000-0700-00000A000000}"/>
    <hyperlink ref="N48" location="Memo!C416" display="Memo!C416" xr:uid="{00000000-0004-0000-0700-00000B000000}"/>
    <hyperlink ref="N53" location="Memo!C419" display="Memo!C419" xr:uid="{00000000-0004-0000-0700-000010000000}"/>
    <hyperlink ref="N54" location="Memo!C420" display="Memo!C420" xr:uid="{00000000-0004-0000-0700-000011000000}"/>
    <hyperlink ref="N55" location="Memo!C421" display="Memo!C421" xr:uid="{00000000-0004-0000-0700-000012000000}"/>
    <hyperlink ref="N56" location="Memo!C422" display="Memo!C422" xr:uid="{00000000-0004-0000-0700-000013000000}"/>
    <hyperlink ref="N59" location="Memo!C423" display="Memo!C423" xr:uid="{00000000-0004-0000-0700-000014000000}"/>
    <hyperlink ref="N62" location="Memo!C424" display="Memo!C424" xr:uid="{00000000-0004-0000-0700-000015000000}"/>
    <hyperlink ref="N63" location="Memo!C425" display="Memo!C425" xr:uid="{00000000-0004-0000-0700-000016000000}"/>
    <hyperlink ref="N65" location="Memo!C426" display="Memo!C426" xr:uid="{00000000-0004-0000-0700-000017000000}"/>
    <hyperlink ref="N49" location="Memo!C417" display="Memo!C417" xr:uid="{23B177FB-2DB6-4DBC-9CBA-0F01AFE80497}"/>
    <hyperlink ref="N50" location="Memo!C418" display="Memo!C418" xr:uid="{2F1C7D78-BC89-4341-8E1F-2157E51EADA9}"/>
    <hyperlink ref="N43" location="Memo!C411" display="Memo!C411" xr:uid="{00000000-0004-0000-0700-000006000000}"/>
    <hyperlink ref="G110" location="Memo!D512" display="Memo!D512" xr:uid="{D4F82F0E-FEF5-4C80-B750-5D33399EA637}"/>
    <hyperlink ref="N32:N65" location="Memo!C432" display="Memo!C432" xr:uid="{FE53CE54-76DE-4411-B2B1-D1A25E17592E}"/>
    <hyperlink ref="N79" location="Memo!C427" display="Memo!C427" xr:uid="{9F9B4D45-4697-4B26-9EEE-59D27383422C}"/>
    <hyperlink ref="N80:N86" location="Memo!C420" display="Memo!C420" xr:uid="{7C7FDED3-A371-4763-93ED-67C593B1EB70}"/>
    <hyperlink ref="N87" location="Memo!C435" display="Memo!C435" xr:uid="{38F5A9EA-5271-4B7D-A52C-67C6B2A4064F}"/>
    <hyperlink ref="N80" location="Memo!C428" display="Memo!C428" xr:uid="{B818D179-D3B2-49D6-B63A-6331ABA2AA81}"/>
    <hyperlink ref="N81" location="Memo!C429" display="Memo!C429" xr:uid="{F30BF31F-EE67-4C1B-8D46-5944659F50AB}"/>
    <hyperlink ref="N82" location="Memo!C430" display="Memo!C430" xr:uid="{267D9042-0414-410C-838A-BD5A89ECED93}"/>
    <hyperlink ref="N83" location="Memo!C431" display="Memo!C431" xr:uid="{124B8AB9-8BBC-4D43-85AB-C73ED6C563F9}"/>
    <hyperlink ref="N84" location="Memo!C432" display="Memo!C432" xr:uid="{20DF97C8-FEA5-4906-8594-CE0DF8DF42A5}"/>
    <hyperlink ref="N85" location="Memo!C433" display="Memo!C433" xr:uid="{3F605439-5D61-401A-BA2F-EFBB1B415C05}"/>
    <hyperlink ref="N86" location="Memo!C434" display="Memo!C434" xr:uid="{8DF4B7F1-81F7-4F83-AC1E-A55DF6C440EC}"/>
    <hyperlink ref="N91" location="Memo!C437" display="Memo!C437" xr:uid="{73C6B77E-2A04-464E-9E80-36856897BCAA}"/>
    <hyperlink ref="N92:N100" location="Memo!C428" display="Memo!C428" xr:uid="{AA2004BA-9B0A-4EF2-96E8-92B0818668DF}"/>
    <hyperlink ref="N101" location="Memo!C446" display="Memo!C446" xr:uid="{BBE84E57-43D8-4636-875D-5A3ACE1016A3}"/>
    <hyperlink ref="N102" location="Memo!C447" display="Memo!C447" xr:uid="{25284D3E-65AB-4209-B3EF-B49162248115}"/>
    <hyperlink ref="N92" location="Memo!C438" display="Memo!C438" xr:uid="{6E852609-5BD6-4365-B86E-F484224A6FEE}"/>
    <hyperlink ref="N93" location="Memo!C439" display="Memo!C439" xr:uid="{F048B08F-6ED3-436F-B204-34D0A48DDB0A}"/>
    <hyperlink ref="N94" location="Memo!C440" display="Memo!C440" xr:uid="{3F49482F-6BC0-447F-9E0A-8B4C2E26395D}"/>
    <hyperlink ref="N95" location="Memo!C441" display="Memo!C441" xr:uid="{9A3F937A-E802-4970-A748-6A0298D3095A}"/>
    <hyperlink ref="N97" location="Memo!C442" display="Memo!C442" xr:uid="{382A56BC-9CEE-4FB8-9B7A-81E2E9CB5F78}"/>
    <hyperlink ref="N98" location="Memo!C443" display="Memo!C443" xr:uid="{F73AD985-A2A7-430F-9E88-90EA9FB023BC}"/>
    <hyperlink ref="N99" location="Memo!C444" display="Memo!C444" xr:uid="{0AE6273A-BE0F-4CB3-A657-F31BC52E82CA}"/>
    <hyperlink ref="N100" location="Memo!C445" display="Memo!C445" xr:uid="{DFF7BAFE-DB22-4421-8660-F1E7C8D4A2FB}"/>
    <hyperlink ref="N109" location="Memo!C432" display="Memo!C432" xr:uid="{D69E3868-A722-4ACE-A873-5EE03E54B76D}"/>
    <hyperlink ref="N96" location="Memo!C442" display="Memo!C442" xr:uid="{A93ADC6C-7813-43CD-A497-D09E17B6E7F0}"/>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109:F109 E78 E27:G29" numberStoredAsText="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C0D598-6935-461C-8DC0-65D153874DB3}">
  <ds:schemaRefs>
    <ds:schemaRef ds:uri="http://schemas.microsoft.com/office/2006/metadata/properties"/>
    <ds:schemaRef ds:uri="http://schemas.microsoft.com/office/infopath/2007/PartnerControls"/>
    <ds:schemaRef ds:uri="http://schemas.microsoft.com/sharepoint/v3"/>
    <ds:schemaRef ds:uri="3fa4860e-4e84-4984-b511-cb934d7752ca"/>
    <ds:schemaRef ds:uri="83a87e31-bf32-46ab-8e70-9fa18461fa4d"/>
  </ds:schemaRefs>
</ds:datastoreItem>
</file>

<file path=customXml/itemProps2.xml><?xml version="1.0" encoding="utf-8"?>
<ds:datastoreItem xmlns:ds="http://schemas.openxmlformats.org/officeDocument/2006/customXml" ds:itemID="{83F549B1-F4D6-4DBD-B730-48B2B641B85A}">
  <ds:schemaRefs>
    <ds:schemaRef ds:uri="http://schemas.microsoft.com/sharepoint/v3/contenttype/forms"/>
  </ds:schemaRefs>
</ds:datastoreItem>
</file>

<file path=customXml/itemProps3.xml><?xml version="1.0" encoding="utf-8"?>
<ds:datastoreItem xmlns:ds="http://schemas.openxmlformats.org/officeDocument/2006/customXml" ds:itemID="{3E2802AB-E390-4C63-B707-913297D331B8}">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133ED55-D0B5-4D8F-9812-9819569C3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134</vt:i4>
      </vt:variant>
    </vt:vector>
  </HeadingPairs>
  <TitlesOfParts>
    <vt:vector size="157" baseType="lpstr">
      <vt:lpstr>ContactDetails</vt:lpstr>
      <vt:lpstr>RS</vt:lpstr>
      <vt:lpstr>RSm</vt:lpstr>
      <vt:lpstr>RSX</vt:lpstr>
      <vt:lpstr>RG</vt:lpstr>
      <vt:lpstr>RO1</vt:lpstr>
      <vt:lpstr>RO2</vt:lpstr>
      <vt:lpstr>RO3</vt:lpstr>
      <vt:lpstr>RO4</vt:lpstr>
      <vt:lpstr>RO5</vt:lpstr>
      <vt:lpstr>RO6</vt:lpstr>
      <vt:lpstr>TSR</vt:lpstr>
      <vt:lpstr>SAR</vt:lpstr>
      <vt:lpstr>Levy</vt:lpstr>
      <vt:lpstr>Memo</vt:lpstr>
      <vt:lpstr>LA Data</vt:lpstr>
      <vt:lpstr>LA List</vt:lpstr>
      <vt:lpstr>Dropdown options</vt:lpstr>
      <vt:lpstr>Class check validations</vt:lpstr>
      <vt:lpstr>LA_data_prev_year</vt:lpstr>
      <vt:lpstr>NEW backsheet</vt:lpstr>
      <vt:lpstr>LA_info</vt:lpstr>
      <vt:lpstr>Validation Parameters</vt:lpstr>
      <vt:lpstr>Certifier_Selection_list</vt:lpstr>
      <vt:lpstr>RSm!CLASS_CHECK</vt:lpstr>
      <vt:lpstr>CLASS_CHECK</vt:lpstr>
      <vt:lpstr>current_year</vt:lpstr>
      <vt:lpstr>data_prev_year</vt:lpstr>
      <vt:lpstr>data_prev_year_headers</vt:lpstr>
      <vt:lpstr>data_val_parameters</vt:lpstr>
      <vt:lpstr>deadline_certify</vt:lpstr>
      <vt:lpstr>deadline_provisional</vt:lpstr>
      <vt:lpstr>fyear</vt:lpstr>
      <vt:lpstr>LA_code</vt:lpstr>
      <vt:lpstr>la_contact_Date_Cert</vt:lpstr>
      <vt:lpstr>la_contact_email</vt:lpstr>
      <vt:lpstr>la_contact_email_Cert</vt:lpstr>
      <vt:lpstr>la_contact_email_cfo</vt:lpstr>
      <vt:lpstr>la_contact_email_S151</vt:lpstr>
      <vt:lpstr>la_contact_name</vt:lpstr>
      <vt:lpstr>la_contact_name_Cert</vt:lpstr>
      <vt:lpstr>la_contact_name_cfo</vt:lpstr>
      <vt:lpstr>la_contact_name_S151</vt:lpstr>
      <vt:lpstr>la_contact_Other_Cert</vt:lpstr>
      <vt:lpstr>la_contact_phone</vt:lpstr>
      <vt:lpstr>la_contact_phone_cfo</vt:lpstr>
      <vt:lpstr>la_contact_phone_S151</vt:lpstr>
      <vt:lpstr>la_contact_Role_Cert</vt:lpstr>
      <vt:lpstr>LA_Data</vt:lpstr>
      <vt:lpstr>LA_name</vt:lpstr>
      <vt:lpstr>LA_Names</vt:lpstr>
      <vt:lpstr>MHCLG_CONTROL</vt:lpstr>
      <vt:lpstr>notes_RG</vt:lpstr>
      <vt:lpstr>notes_RO1</vt:lpstr>
      <vt:lpstr>notes_RO2</vt:lpstr>
      <vt:lpstr>notes_RO3</vt:lpstr>
      <vt:lpstr>notes_RO4</vt:lpstr>
      <vt:lpstr>notes_RO5</vt:lpstr>
      <vt:lpstr>notes_RO6</vt:lpstr>
      <vt:lpstr>notes_rs</vt:lpstr>
      <vt:lpstr>notes_rsx</vt:lpstr>
      <vt:lpstr>notes_SAR</vt:lpstr>
      <vt:lpstr>notes_SARB</vt:lpstr>
      <vt:lpstr>notes_SARC</vt:lpstr>
      <vt:lpstr>notes_TSR</vt:lpstr>
      <vt:lpstr>prev_periodcode</vt:lpstr>
      <vt:lpstr>prev_year</vt:lpstr>
      <vt:lpstr>ContactDetails!Print_Area</vt:lpstr>
      <vt:lpstr>Memo!Print_Area</vt:lpstr>
      <vt:lpstr>RG!Print_Area</vt:lpstr>
      <vt:lpstr>'RO1'!Print_Area</vt:lpstr>
      <vt:lpstr>'RO2'!Print_Area</vt:lpstr>
      <vt:lpstr>'RO3'!Print_Area</vt:lpstr>
      <vt:lpstr>'RO4'!Print_Area</vt:lpstr>
      <vt:lpstr>'RO5'!Print_Area</vt:lpstr>
      <vt:lpstr>'RO6'!Print_Area</vt:lpstr>
      <vt:lpstr>RS!Print_Area</vt:lpstr>
      <vt:lpstr>RSm!Print_Area</vt:lpstr>
      <vt:lpstr>RSX!Print_Area</vt:lpstr>
      <vt:lpstr>SAR!Print_Area</vt:lpstr>
      <vt:lpstr>TSR!Print_Area</vt:lpstr>
      <vt:lpstr>RG!Print_Titles</vt:lpstr>
      <vt:lpstr>'RO2'!Print_Titles</vt:lpstr>
      <vt:lpstr>'RO4'!Print_Titles</vt:lpstr>
      <vt:lpstr>'RO5'!Print_Titles</vt:lpstr>
      <vt:lpstr>'RO6'!Print_Titles</vt:lpstr>
      <vt:lpstr>RS!Print_Titles</vt:lpstr>
      <vt:lpstr>RSm!Print_Titles</vt:lpstr>
      <vt:lpstr>TSR!Print_Titles</vt:lpstr>
      <vt:lpstr>return_date</vt:lpstr>
      <vt:lpstr>RG_data</vt:lpstr>
      <vt:lpstr>RG_Header</vt:lpstr>
      <vt:lpstr>RG_rows</vt:lpstr>
      <vt:lpstr>RO1_data</vt:lpstr>
      <vt:lpstr>RO1_Header</vt:lpstr>
      <vt:lpstr>RO1_rows</vt:lpstr>
      <vt:lpstr>RO2_data</vt:lpstr>
      <vt:lpstr>RO2_Header</vt:lpstr>
      <vt:lpstr>RO2_rows</vt:lpstr>
      <vt:lpstr>RO3_data</vt:lpstr>
      <vt:lpstr>RO3_Header</vt:lpstr>
      <vt:lpstr>RO3_rows</vt:lpstr>
      <vt:lpstr>RO4_data</vt:lpstr>
      <vt:lpstr>RO4_Header</vt:lpstr>
      <vt:lpstr>RO4_hradata</vt:lpstr>
      <vt:lpstr>RO4_hraHeader</vt:lpstr>
      <vt:lpstr>RO4_hraResdata</vt:lpstr>
      <vt:lpstr>RO4_hraResHeader</vt:lpstr>
      <vt:lpstr>RO4_hraResRows</vt:lpstr>
      <vt:lpstr>RO4_hraRows</vt:lpstr>
      <vt:lpstr>RO4_rows</vt:lpstr>
      <vt:lpstr>RO5_data</vt:lpstr>
      <vt:lpstr>RO5_Header</vt:lpstr>
      <vt:lpstr>RO5_rows</vt:lpstr>
      <vt:lpstr>RO6_data</vt:lpstr>
      <vt:lpstr>RO6_Header</vt:lpstr>
      <vt:lpstr>RO6_rows</vt:lpstr>
      <vt:lpstr>RS_data</vt:lpstr>
      <vt:lpstr>RS_Header</vt:lpstr>
      <vt:lpstr>RS_hra_Header</vt:lpstr>
      <vt:lpstr>RS_hra_res_Header</vt:lpstr>
      <vt:lpstr>RS_IAS_Header</vt:lpstr>
      <vt:lpstr>RS_ors_Header</vt:lpstr>
      <vt:lpstr>RS_res_data</vt:lpstr>
      <vt:lpstr>RS_res_Header</vt:lpstr>
      <vt:lpstr>RS_res_rows</vt:lpstr>
      <vt:lpstr>RS_rows</vt:lpstr>
      <vt:lpstr>RS_RSmdata</vt:lpstr>
      <vt:lpstr>RS_RSmHeader</vt:lpstr>
      <vt:lpstr>RS_RSmHeader1</vt:lpstr>
      <vt:lpstr>RS_RSmrows</vt:lpstr>
      <vt:lpstr>RSX_data</vt:lpstr>
      <vt:lpstr>RSX_Header</vt:lpstr>
      <vt:lpstr>RSX_rows</vt:lpstr>
      <vt:lpstr>SAR_data</vt:lpstr>
      <vt:lpstr>SAR_Header</vt:lpstr>
      <vt:lpstr>SAR_rows</vt:lpstr>
      <vt:lpstr>SARB_data</vt:lpstr>
      <vt:lpstr>SARB_Header</vt:lpstr>
      <vt:lpstr>SARB_rows</vt:lpstr>
      <vt:lpstr>SARC_data</vt:lpstr>
      <vt:lpstr>SARC_Header</vt:lpstr>
      <vt:lpstr>SARC_rows</vt:lpstr>
      <vt:lpstr>TRANS_data</vt:lpstr>
      <vt:lpstr>TRANS_Header</vt:lpstr>
      <vt:lpstr>TRANS_rows</vt:lpstr>
      <vt:lpstr>TSR_capdata</vt:lpstr>
      <vt:lpstr>TSR_capHeader</vt:lpstr>
      <vt:lpstr>TSR_caprows</vt:lpstr>
      <vt:lpstr>TSR_data</vt:lpstr>
      <vt:lpstr>TSR_Header</vt:lpstr>
      <vt:lpstr>TSR_rows</vt:lpstr>
      <vt:lpstr>upper</vt:lpstr>
      <vt:lpstr>WASTE_data</vt:lpstr>
      <vt:lpstr>WASTE_Header</vt:lpstr>
      <vt:lpstr>WASTE_rows</vt:lpstr>
      <vt:lpstr>YearForm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2024-04-26T08:07:57Z</dcterms:created>
  <dcterms:modified xsi:type="dcterms:W3CDTF">2026-04-22T15:50:01Z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